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13_ncr:11_{D68C6745-84F0-4686-8B5C-1A88197F3384}"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BH3" i="3"/>
  <c r="BH4" i="3"/>
  <c r="BH5" i="3"/>
  <c r="BH6" i="3"/>
  <c r="BH7" i="3"/>
  <c r="BH8" i="3"/>
  <c r="BH9" i="3"/>
  <c r="BH10" i="3"/>
  <c r="BH11" i="3"/>
  <c r="BH12" i="3"/>
  <c r="BH13" i="3"/>
  <c r="BH14" i="3"/>
  <c r="BH16" i="3"/>
  <c r="BH17" i="3"/>
  <c r="BH18" i="3"/>
  <c r="BH19" i="3"/>
  <c r="BH21" i="3"/>
  <c r="BH22" i="3"/>
  <c r="BH23" i="3"/>
  <c r="BH24" i="3"/>
  <c r="BH25" i="3"/>
  <c r="BH26" i="3"/>
  <c r="BH27" i="3"/>
  <c r="BH28" i="3"/>
  <c r="BH29" i="3"/>
  <c r="BH30" i="3"/>
  <c r="BH32" i="3"/>
  <c r="BH33" i="3"/>
  <c r="BH34" i="3"/>
  <c r="BH35" i="3"/>
  <c r="BH36" i="3"/>
  <c r="BH39" i="3"/>
  <c r="BH40" i="3"/>
  <c r="BH42" i="3"/>
  <c r="BH44" i="3"/>
  <c r="BH45" i="3"/>
  <c r="BH46" i="3"/>
  <c r="BH47" i="3"/>
  <c r="BH48" i="3"/>
  <c r="BH49" i="3"/>
  <c r="BH50" i="3"/>
  <c r="BH51" i="3"/>
  <c r="BH54" i="3"/>
  <c r="BH55" i="3"/>
  <c r="BH56" i="3"/>
  <c r="BH57" i="3"/>
  <c r="BH58" i="3"/>
  <c r="BH60" i="3"/>
  <c r="BH61" i="3"/>
  <c r="BH62" i="3"/>
  <c r="BH63" i="3"/>
  <c r="BH64" i="3"/>
  <c r="BH65" i="3"/>
  <c r="BH66" i="3"/>
  <c r="BH67" i="3"/>
  <c r="BH68" i="3"/>
  <c r="BH69" i="3"/>
  <c r="BH70" i="3"/>
  <c r="BH71" i="3"/>
  <c r="BH72" i="3"/>
  <c r="BH73" i="3"/>
  <c r="BH74" i="3"/>
  <c r="BH75" i="3"/>
  <c r="BH76" i="3"/>
  <c r="BH77" i="3"/>
  <c r="BH78" i="3"/>
  <c r="BH79" i="3"/>
  <c r="BH80" i="3"/>
  <c r="BH81" i="3"/>
  <c r="BH82" i="3"/>
  <c r="BH83" i="3"/>
  <c r="BH84" i="3"/>
  <c r="BH85" i="3"/>
  <c r="BH86" i="3"/>
  <c r="BH87" i="3"/>
  <c r="BH88" i="3"/>
  <c r="BH90" i="3"/>
  <c r="BH92" i="3"/>
  <c r="BH93" i="3"/>
  <c r="BH95" i="3"/>
  <c r="BH96" i="3"/>
  <c r="BH97" i="3"/>
  <c r="BH98" i="3"/>
  <c r="BH99" i="3"/>
  <c r="BH100" i="3"/>
  <c r="BH101" i="3"/>
  <c r="BH102" i="3"/>
  <c r="BH103" i="3"/>
  <c r="BH104" i="3"/>
  <c r="BH105" i="3"/>
  <c r="BH106" i="3"/>
  <c r="BH107" i="3"/>
  <c r="BH108" i="3"/>
  <c r="BH109" i="3"/>
  <c r="BH110" i="3"/>
  <c r="BH111" i="3"/>
  <c r="BH112" i="3"/>
  <c r="BH113" i="3"/>
  <c r="BH114" i="3"/>
  <c r="BH115" i="3"/>
  <c r="BH116" i="3"/>
  <c r="BH117" i="3"/>
  <c r="BH118" i="3"/>
  <c r="BH119" i="3"/>
  <c r="BH120" i="3"/>
  <c r="BH121" i="3"/>
  <c r="BH123" i="3"/>
  <c r="BH126" i="3"/>
  <c r="BH129" i="3"/>
  <c r="BH131" i="3"/>
  <c r="BH132" i="3"/>
  <c r="BH133" i="3"/>
  <c r="BH134" i="3"/>
  <c r="BH135" i="3"/>
  <c r="BH136" i="3"/>
  <c r="BH137" i="3"/>
  <c r="BH138" i="3"/>
  <c r="BH139" i="3"/>
  <c r="BH140" i="3"/>
  <c r="BH141" i="3"/>
  <c r="BH143" i="3"/>
  <c r="BH144" i="3"/>
  <c r="BH145" i="3"/>
  <c r="BH147" i="3"/>
  <c r="BH149" i="3"/>
  <c r="BH150" i="3"/>
  <c r="BH151" i="3"/>
  <c r="BH152" i="3"/>
  <c r="BH153" i="3"/>
  <c r="BH154" i="3"/>
  <c r="BH156" i="3"/>
  <c r="BH158" i="3"/>
  <c r="BH159" i="3"/>
  <c r="BH160" i="3"/>
  <c r="BH161" i="3"/>
  <c r="BH162" i="3"/>
  <c r="BH163" i="3"/>
  <c r="BH164" i="3"/>
  <c r="BH165" i="3"/>
  <c r="BH168" i="3"/>
  <c r="BH169" i="3"/>
  <c r="BH171" i="3"/>
  <c r="BH172" i="3"/>
  <c r="BH173" i="3"/>
  <c r="BH174" i="3"/>
  <c r="BH175" i="3"/>
  <c r="BH176" i="3"/>
  <c r="BH177" i="3"/>
  <c r="BH179" i="3"/>
  <c r="BH180" i="3"/>
  <c r="BH181" i="3"/>
  <c r="BH182" i="3"/>
  <c r="BH183" i="3"/>
  <c r="BH184" i="3"/>
  <c r="BH185" i="3"/>
  <c r="BH186" i="3"/>
  <c r="BH188" i="3"/>
  <c r="BH189" i="3"/>
  <c r="BH190" i="3"/>
  <c r="BH191" i="3"/>
  <c r="BH192" i="3"/>
  <c r="BH193" i="3"/>
  <c r="BH194" i="3"/>
  <c r="BH195" i="3"/>
  <c r="BH196" i="3"/>
  <c r="BH197" i="3"/>
  <c r="BH198" i="3"/>
  <c r="BH199" i="3"/>
  <c r="BH200" i="3"/>
  <c r="BH201" i="3"/>
  <c r="BH202" i="3"/>
  <c r="BH203" i="3"/>
  <c r="BH204" i="3"/>
  <c r="BH205" i="3"/>
  <c r="BH206" i="3"/>
  <c r="BH207" i="3"/>
  <c r="BH209" i="3"/>
  <c r="BH210" i="3"/>
  <c r="BH211" i="3"/>
  <c r="BH212" i="3"/>
  <c r="BH213" i="3"/>
  <c r="BH215" i="3"/>
  <c r="BH217" i="3"/>
  <c r="BH218" i="3"/>
  <c r="BH219" i="3"/>
  <c r="BH220" i="3"/>
  <c r="BH221" i="3"/>
  <c r="BH222" i="3"/>
  <c r="BH223" i="3"/>
  <c r="BH226" i="3"/>
  <c r="BH227" i="3"/>
  <c r="BH229" i="3"/>
  <c r="BH230" i="3"/>
  <c r="BH231" i="3"/>
  <c r="BH232" i="3"/>
  <c r="BH233" i="3"/>
  <c r="BH234" i="3"/>
  <c r="BH235" i="3"/>
  <c r="BH236" i="3"/>
  <c r="BH237" i="3"/>
  <c r="BH238" i="3"/>
  <c r="BH239" i="3"/>
  <c r="BH240" i="3"/>
  <c r="BH241" i="3"/>
  <c r="BH242" i="3"/>
  <c r="BH243" i="3"/>
  <c r="BH244" i="3"/>
  <c r="BH245" i="3"/>
  <c r="BH246" i="3"/>
  <c r="BH247" i="3"/>
  <c r="BH248" i="3"/>
  <c r="BH249" i="3"/>
  <c r="BH250" i="3"/>
  <c r="BH251" i="3"/>
  <c r="BH252" i="3"/>
  <c r="BH253" i="3"/>
  <c r="BH254" i="3"/>
  <c r="BH255" i="3"/>
  <c r="BH256" i="3"/>
  <c r="BH257" i="3"/>
  <c r="BH258" i="3"/>
  <c r="BH259" i="3"/>
  <c r="BH260" i="3"/>
  <c r="BH261" i="3"/>
  <c r="BH262" i="3"/>
  <c r="BH263" i="3"/>
  <c r="BH264" i="3"/>
  <c r="BH265" i="3"/>
  <c r="BH266" i="3"/>
  <c r="BH267" i="3"/>
  <c r="BH268" i="3"/>
  <c r="BH269" i="3"/>
  <c r="BH270" i="3"/>
  <c r="BH271" i="3"/>
  <c r="BH273" i="3"/>
  <c r="BH274" i="3"/>
  <c r="BH275" i="3"/>
  <c r="BH276" i="3"/>
  <c r="BH277" i="3"/>
  <c r="BH278" i="3"/>
  <c r="BH279" i="3"/>
  <c r="BH281" i="3"/>
  <c r="BH282" i="3"/>
  <c r="BH283" i="3"/>
  <c r="BH285" i="3"/>
  <c r="BH286" i="3"/>
  <c r="BH287" i="3"/>
  <c r="BH288" i="3"/>
  <c r="BH289" i="3"/>
  <c r="BH290" i="3"/>
  <c r="BH291" i="3"/>
  <c r="BH293" i="3"/>
  <c r="BH294" i="3"/>
  <c r="BH295" i="3"/>
  <c r="BH296" i="3"/>
  <c r="BH297" i="3"/>
  <c r="BH298" i="3"/>
  <c r="BH300" i="3"/>
  <c r="BH301" i="3"/>
  <c r="BH302" i="3"/>
  <c r="BH303" i="3"/>
  <c r="BH304" i="3"/>
  <c r="BH305" i="3"/>
  <c r="BH306" i="3"/>
  <c r="BH307" i="3"/>
  <c r="BH308" i="3"/>
  <c r="BH309" i="3"/>
  <c r="BH310" i="3"/>
  <c r="BH311" i="3"/>
  <c r="BH312" i="3"/>
  <c r="BH313" i="3"/>
  <c r="BH314" i="3"/>
  <c r="BH315" i="3"/>
  <c r="BH316" i="3"/>
  <c r="BH317" i="3"/>
  <c r="BH318" i="3"/>
  <c r="BH320" i="3"/>
  <c r="BH321" i="3"/>
  <c r="BH323" i="3"/>
  <c r="BH324" i="3"/>
  <c r="BH325" i="3"/>
  <c r="BH326" i="3"/>
  <c r="BH327" i="3"/>
  <c r="BH329" i="3"/>
  <c r="BH330" i="3"/>
  <c r="BH331" i="3"/>
  <c r="BH332" i="3"/>
  <c r="BH333" i="3"/>
  <c r="BH334" i="3"/>
  <c r="BH335" i="3"/>
  <c r="BH336" i="3"/>
  <c r="BH337" i="3"/>
  <c r="BH338" i="3"/>
  <c r="BH339" i="3"/>
  <c r="BH340" i="3"/>
  <c r="BH341" i="3"/>
  <c r="BH342" i="3"/>
  <c r="BH343" i="3"/>
  <c r="BH344" i="3"/>
  <c r="BH345" i="3"/>
  <c r="BH347" i="3"/>
  <c r="BH348" i="3"/>
  <c r="BH349" i="3"/>
  <c r="BH350" i="3"/>
  <c r="BH351" i="3"/>
  <c r="BH352" i="3"/>
  <c r="BH353" i="3"/>
  <c r="BH354" i="3"/>
  <c r="BH355" i="3"/>
  <c r="BH356" i="3"/>
  <c r="BH357" i="3"/>
  <c r="BH358" i="3"/>
  <c r="BH359" i="3"/>
  <c r="BH360" i="3"/>
  <c r="BH361" i="3"/>
  <c r="BH362" i="3"/>
  <c r="BH363" i="3"/>
  <c r="BH364" i="3"/>
  <c r="BH365" i="3"/>
  <c r="BH366" i="3"/>
  <c r="BH367" i="3"/>
  <c r="BH368" i="3"/>
  <c r="BH369" i="3"/>
  <c r="BH370" i="3"/>
  <c r="BH371" i="3"/>
  <c r="BH372" i="3"/>
  <c r="BH373" i="3"/>
  <c r="BH374" i="3"/>
  <c r="BH375" i="3"/>
  <c r="BH376" i="3"/>
  <c r="BH377" i="3"/>
  <c r="BH379" i="3"/>
  <c r="BH380" i="3"/>
  <c r="BH381" i="3"/>
  <c r="BH382" i="3"/>
  <c r="BH383" i="3"/>
  <c r="BH384" i="3"/>
  <c r="BH385" i="3"/>
  <c r="BH386" i="3"/>
  <c r="BH387" i="3"/>
  <c r="BH388" i="3"/>
  <c r="BH389" i="3"/>
  <c r="BH390" i="3"/>
  <c r="BH391" i="3"/>
  <c r="BH393" i="3"/>
  <c r="BH394" i="3"/>
  <c r="BH396" i="3"/>
  <c r="BH397" i="3"/>
  <c r="BH398" i="3"/>
  <c r="BH400" i="3"/>
  <c r="BH401" i="3"/>
  <c r="BH402" i="3"/>
  <c r="BH403" i="3"/>
  <c r="BH404" i="3"/>
  <c r="BH406" i="3"/>
  <c r="BH407" i="3"/>
  <c r="BH408" i="3"/>
  <c r="BH409" i="3"/>
  <c r="BH410" i="3"/>
  <c r="BH411" i="3"/>
  <c r="BH412" i="3"/>
  <c r="BH413" i="3"/>
  <c r="BH414" i="3"/>
  <c r="BH416" i="3"/>
  <c r="BH418" i="3"/>
  <c r="BH419" i="3"/>
  <c r="BH420" i="3"/>
  <c r="BH421" i="3"/>
  <c r="BH422" i="3"/>
  <c r="BH423" i="3"/>
  <c r="BH424" i="3"/>
  <c r="BH425" i="3"/>
  <c r="BH426" i="3"/>
  <c r="BH427" i="3"/>
  <c r="BH428" i="3"/>
  <c r="BH429" i="3"/>
  <c r="BH430" i="3"/>
  <c r="BH431" i="3"/>
  <c r="BH432" i="3"/>
  <c r="BH433" i="3"/>
  <c r="BH434" i="3"/>
  <c r="BH435" i="3"/>
  <c r="BH436" i="3"/>
  <c r="BH437" i="3"/>
  <c r="BH438" i="3"/>
  <c r="BH440" i="3"/>
  <c r="BH441" i="3"/>
  <c r="BH442" i="3"/>
  <c r="BH443" i="3"/>
  <c r="BH444" i="3"/>
  <c r="BH445" i="3"/>
  <c r="BH446" i="3"/>
  <c r="BH447" i="3"/>
  <c r="BH448" i="3"/>
  <c r="BH449" i="3"/>
  <c r="BH452" i="3"/>
  <c r="BH453" i="3"/>
  <c r="BH454" i="3"/>
  <c r="BH455" i="3"/>
  <c r="BH456" i="3"/>
  <c r="BH457" i="3"/>
  <c r="BH458" i="3"/>
  <c r="BH461" i="3"/>
  <c r="BH462" i="3"/>
  <c r="BH463" i="3"/>
  <c r="BH464" i="3"/>
  <c r="BH465" i="3"/>
  <c r="BH466" i="3"/>
  <c r="BH467" i="3"/>
  <c r="BH468" i="3"/>
  <c r="BH469" i="3"/>
  <c r="BH470" i="3"/>
  <c r="BH471" i="3"/>
  <c r="BH472" i="3"/>
  <c r="BH473" i="3"/>
  <c r="BH474" i="3"/>
  <c r="BH475" i="3"/>
  <c r="BH476" i="3"/>
  <c r="BH477" i="3"/>
  <c r="BH478" i="3"/>
  <c r="BH479" i="3"/>
  <c r="BH480" i="3"/>
  <c r="BH483" i="3"/>
  <c r="BH485" i="3"/>
  <c r="BH486" i="3"/>
  <c r="BH487" i="3"/>
  <c r="BH489" i="3"/>
  <c r="BH490" i="3"/>
  <c r="BH491" i="3"/>
  <c r="BH492" i="3"/>
  <c r="BH493" i="3"/>
  <c r="BH494" i="3"/>
  <c r="BH496" i="3"/>
  <c r="BH497" i="3"/>
  <c r="BH498" i="3"/>
  <c r="BH499" i="3"/>
  <c r="BH501" i="3"/>
  <c r="BH502" i="3"/>
  <c r="BH503" i="3"/>
  <c r="BH504" i="3"/>
  <c r="BH505" i="3"/>
  <c r="BH506" i="3"/>
  <c r="BH507" i="3"/>
  <c r="BH508" i="3"/>
  <c r="BH509" i="3"/>
  <c r="BH510" i="3"/>
  <c r="BH511" i="3"/>
  <c r="BH512" i="3"/>
  <c r="BH514" i="3"/>
  <c r="BH515" i="3"/>
  <c r="BH516" i="3"/>
  <c r="BH518" i="3"/>
  <c r="BH519" i="3"/>
  <c r="BH520" i="3"/>
  <c r="BH521" i="3"/>
  <c r="BH522" i="3"/>
  <c r="BH523" i="3"/>
  <c r="BH524" i="3"/>
  <c r="BH525" i="3"/>
  <c r="BH526" i="3"/>
  <c r="BH528" i="3"/>
  <c r="BH529" i="3"/>
  <c r="BH530" i="3"/>
  <c r="BH531" i="3"/>
  <c r="BH532" i="3"/>
  <c r="BH533" i="3"/>
  <c r="BH534" i="3"/>
  <c r="BH535" i="3"/>
  <c r="BH537" i="3"/>
  <c r="BH538" i="3"/>
  <c r="BH539" i="3"/>
  <c r="BH542" i="3"/>
  <c r="BH543" i="3"/>
  <c r="BH544" i="3"/>
  <c r="BH545" i="3"/>
  <c r="BH546" i="3"/>
  <c r="BH547" i="3"/>
  <c r="BH548" i="3"/>
  <c r="BH549" i="3"/>
  <c r="BH550" i="3"/>
  <c r="BH551" i="3"/>
  <c r="BH552" i="3"/>
  <c r="BH553" i="3"/>
  <c r="BH555" i="3"/>
  <c r="BH556" i="3"/>
  <c r="BH557" i="3"/>
  <c r="BH558" i="3"/>
  <c r="BH559" i="3"/>
  <c r="BH560" i="3"/>
  <c r="BH561" i="3"/>
  <c r="BH562" i="3"/>
  <c r="BH563" i="3"/>
  <c r="BH564" i="3"/>
  <c r="BH565" i="3"/>
  <c r="BH566" i="3"/>
  <c r="BH567" i="3"/>
  <c r="BH568" i="3"/>
  <c r="BH569" i="3"/>
  <c r="BH570" i="3"/>
  <c r="BH571" i="3"/>
  <c r="BH572" i="3"/>
  <c r="BH573" i="3"/>
  <c r="BH575" i="3"/>
  <c r="BH576" i="3"/>
  <c r="BH578" i="3"/>
  <c r="BH579" i="3"/>
  <c r="BH580" i="3"/>
  <c r="BH581" i="3"/>
  <c r="BH582" i="3"/>
  <c r="AW6" i="3"/>
  <c r="AW8" i="3"/>
  <c r="AW9" i="3"/>
  <c r="AW10" i="3"/>
  <c r="AW12" i="3"/>
  <c r="AW13" i="3"/>
  <c r="AW14" i="3"/>
  <c r="AW15" i="3"/>
  <c r="AW16" i="3"/>
  <c r="AW17" i="3"/>
  <c r="AW21" i="3"/>
  <c r="AW22" i="3"/>
  <c r="AW23" i="3"/>
  <c r="AW24" i="3"/>
  <c r="AW25" i="3"/>
  <c r="AW26" i="3"/>
  <c r="AW27" i="3"/>
  <c r="AW34" i="3"/>
  <c r="AW35" i="3"/>
  <c r="AW36" i="3"/>
  <c r="AW40" i="3"/>
  <c r="AW42" i="3"/>
  <c r="AW43" i="3"/>
  <c r="AW44" i="3"/>
  <c r="AW45" i="3"/>
  <c r="AW46" i="3"/>
  <c r="AW48" i="3"/>
  <c r="AW49" i="3"/>
  <c r="AW50" i="3"/>
  <c r="AW51" i="3"/>
  <c r="AW54" i="3"/>
  <c r="AW55" i="3"/>
  <c r="AW56" i="3"/>
  <c r="AW57" i="3"/>
  <c r="AW58" i="3"/>
  <c r="AW60" i="3"/>
  <c r="AW61" i="3"/>
  <c r="AW64" i="3"/>
  <c r="AW66" i="3"/>
  <c r="AW67" i="3"/>
  <c r="AW71" i="3"/>
  <c r="AW72" i="3"/>
  <c r="AW74" i="3"/>
  <c r="AW76" i="3"/>
  <c r="AW77" i="3"/>
  <c r="AW78" i="3"/>
  <c r="AW80" i="3"/>
  <c r="AW81" i="3"/>
  <c r="AW83" i="3"/>
  <c r="AW84" i="3"/>
  <c r="AW85" i="3"/>
  <c r="AW86" i="3"/>
  <c r="AW87" i="3"/>
  <c r="AW89" i="3"/>
  <c r="AW93" i="3"/>
  <c r="AW96" i="3"/>
  <c r="AW97" i="3"/>
  <c r="AW98" i="3"/>
  <c r="AW99" i="3"/>
  <c r="AW100" i="3"/>
  <c r="AW101" i="3"/>
  <c r="AW102" i="3"/>
  <c r="AW103" i="3"/>
  <c r="AW104" i="3"/>
  <c r="AW105" i="3"/>
  <c r="AW106" i="3"/>
  <c r="AW107" i="3"/>
  <c r="AW108" i="3"/>
  <c r="AW110" i="3"/>
  <c r="AW111" i="3"/>
  <c r="AW113" i="3"/>
  <c r="AW114" i="3"/>
  <c r="AW115" i="3"/>
  <c r="AW116" i="3"/>
  <c r="AW117" i="3"/>
  <c r="AW118" i="3"/>
  <c r="AW119" i="3"/>
  <c r="AW120" i="3"/>
  <c r="AW123" i="3"/>
  <c r="AW126" i="3"/>
  <c r="AW128" i="3"/>
  <c r="AW131" i="3"/>
  <c r="AW132" i="3"/>
  <c r="AW133" i="3"/>
  <c r="AW137" i="3"/>
  <c r="AW138" i="3"/>
  <c r="AW139" i="3"/>
  <c r="AW141" i="3"/>
  <c r="AW143" i="3"/>
  <c r="AW144" i="3"/>
  <c r="AW145" i="3"/>
  <c r="AW148" i="3"/>
  <c r="AW150" i="3"/>
  <c r="AW151" i="3"/>
  <c r="AW153" i="3"/>
  <c r="AW154" i="3"/>
  <c r="AW156" i="3"/>
  <c r="AW158" i="3"/>
  <c r="AW159" i="3"/>
  <c r="AW160" i="3"/>
  <c r="AW161" i="3"/>
  <c r="AW162" i="3"/>
  <c r="AW163" i="3"/>
  <c r="AW164" i="3"/>
  <c r="AW165" i="3"/>
  <c r="AW166" i="3"/>
  <c r="AW167" i="3"/>
  <c r="AW168" i="3"/>
  <c r="AW169" i="3"/>
  <c r="AW171" i="3"/>
  <c r="AW174" i="3"/>
  <c r="AW175" i="3"/>
  <c r="AW176" i="3"/>
  <c r="AW179" i="3"/>
  <c r="AW180" i="3"/>
  <c r="AW181" i="3"/>
  <c r="AW183" i="3"/>
  <c r="AW185" i="3"/>
  <c r="AW187" i="3"/>
  <c r="AW188" i="3"/>
  <c r="AW189" i="3"/>
  <c r="AW192" i="3"/>
  <c r="AW193" i="3"/>
  <c r="AW195" i="3"/>
  <c r="AW196" i="3"/>
  <c r="AW197" i="3"/>
  <c r="AW200" i="3"/>
  <c r="AW201" i="3"/>
  <c r="AW202" i="3"/>
  <c r="AW203" i="3"/>
  <c r="AW205" i="3"/>
  <c r="AW207" i="3"/>
  <c r="AW209" i="3"/>
  <c r="AW210" i="3"/>
  <c r="AW211" i="3"/>
  <c r="AW213" i="3"/>
  <c r="AW216" i="3"/>
  <c r="AW219" i="3"/>
  <c r="AW220" i="3"/>
  <c r="AW221" i="3"/>
  <c r="AW222" i="3"/>
  <c r="AW223" i="3"/>
  <c r="AW225" i="3"/>
  <c r="AW227" i="3"/>
  <c r="AW229" i="3"/>
  <c r="AW230" i="3"/>
  <c r="AW231" i="3"/>
  <c r="AW232" i="3"/>
  <c r="AW233" i="3"/>
  <c r="AW234" i="3"/>
  <c r="AW235" i="3"/>
  <c r="AW236" i="3"/>
  <c r="AW237" i="3"/>
  <c r="AW238" i="3"/>
  <c r="AW239" i="3"/>
  <c r="AW240" i="3"/>
  <c r="AW242" i="3"/>
  <c r="AW243" i="3"/>
  <c r="AW244" i="3"/>
  <c r="AW245" i="3"/>
  <c r="AW246" i="3"/>
  <c r="AW247" i="3"/>
  <c r="AW248" i="3"/>
  <c r="AW249" i="3"/>
  <c r="AW251" i="3"/>
  <c r="AW252" i="3"/>
  <c r="AW253" i="3"/>
  <c r="AW254" i="3"/>
  <c r="AW257" i="3"/>
  <c r="AW258" i="3"/>
  <c r="AW262" i="3"/>
  <c r="AW263" i="3"/>
  <c r="AW264" i="3"/>
  <c r="AW266" i="3"/>
  <c r="AW267" i="3"/>
  <c r="AW268" i="3"/>
  <c r="AW269" i="3"/>
  <c r="AW270" i="3"/>
  <c r="AW271" i="3"/>
  <c r="AW272" i="3"/>
  <c r="AW273" i="3"/>
  <c r="AW274" i="3"/>
  <c r="AW275" i="3"/>
  <c r="AW276" i="3"/>
  <c r="AW277" i="3"/>
  <c r="AW279" i="3"/>
  <c r="AW281" i="3"/>
  <c r="AW282" i="3"/>
  <c r="AW286" i="3"/>
  <c r="AW287" i="3"/>
  <c r="AW289" i="3"/>
  <c r="AW291" i="3"/>
  <c r="AW293" i="3"/>
  <c r="AW294" i="3"/>
  <c r="AW295" i="3"/>
  <c r="AW298" i="3"/>
  <c r="AW301" i="3"/>
  <c r="AW302" i="3"/>
  <c r="AW303" i="3"/>
  <c r="AW304" i="3"/>
  <c r="AW307" i="3"/>
  <c r="AW309" i="3"/>
  <c r="AW310" i="3"/>
  <c r="AW312" i="3"/>
  <c r="AW313" i="3"/>
  <c r="AW314" i="3"/>
  <c r="AW316" i="3"/>
  <c r="AW317" i="3"/>
  <c r="AW318" i="3"/>
  <c r="AW319" i="3"/>
  <c r="AW323" i="3"/>
  <c r="AW325" i="3"/>
  <c r="AW326" i="3"/>
  <c r="AW327" i="3"/>
  <c r="AW330" i="3"/>
  <c r="AW331" i="3"/>
  <c r="AW332" i="3"/>
  <c r="AW333" i="3"/>
  <c r="AW334" i="3"/>
  <c r="AW335" i="3"/>
  <c r="AW337" i="3"/>
  <c r="AW338" i="3"/>
  <c r="AW339" i="3"/>
  <c r="AW340" i="3"/>
  <c r="AW341" i="3"/>
  <c r="AW342" i="3"/>
  <c r="AW343" i="3"/>
  <c r="AW344" i="3"/>
  <c r="AW345" i="3"/>
  <c r="AW347" i="3"/>
  <c r="AW348" i="3"/>
  <c r="AW349" i="3"/>
  <c r="AW350" i="3"/>
  <c r="AW351" i="3"/>
  <c r="AW352" i="3"/>
  <c r="AW353" i="3"/>
  <c r="AW355" i="3"/>
  <c r="AW356" i="3"/>
  <c r="AW357" i="3"/>
  <c r="AW358" i="3"/>
  <c r="AW359" i="3"/>
  <c r="AW360" i="3"/>
  <c r="AW361" i="3"/>
  <c r="AW362" i="3"/>
  <c r="AW365" i="3"/>
  <c r="AW367" i="3"/>
  <c r="AW368" i="3"/>
  <c r="AW369" i="3"/>
  <c r="AW370" i="3"/>
  <c r="AW371" i="3"/>
  <c r="AW372" i="3"/>
  <c r="AW375" i="3"/>
  <c r="AW376" i="3"/>
  <c r="AW378" i="3"/>
  <c r="AW380" i="3"/>
  <c r="AW383" i="3"/>
  <c r="AW384" i="3"/>
  <c r="AW385" i="3"/>
  <c r="AW386" i="3"/>
  <c r="AW387" i="3"/>
  <c r="AW388" i="3"/>
  <c r="AW389" i="3"/>
  <c r="AW390" i="3"/>
  <c r="AW391" i="3"/>
  <c r="AW393" i="3"/>
  <c r="AW394" i="3"/>
  <c r="AW396" i="3"/>
  <c r="AW397" i="3"/>
  <c r="AW398" i="3"/>
  <c r="AW402" i="3"/>
  <c r="AW403" i="3"/>
  <c r="AW404" i="3"/>
  <c r="AW406" i="3"/>
  <c r="AW407" i="3"/>
  <c r="AW409" i="3"/>
  <c r="AW410" i="3"/>
  <c r="AW411" i="3"/>
  <c r="AW412" i="3"/>
  <c r="AW419" i="3"/>
  <c r="AW420" i="3"/>
  <c r="AW421" i="3"/>
  <c r="AW422" i="3"/>
  <c r="AW424" i="3"/>
  <c r="AW425" i="3"/>
  <c r="AW427" i="3"/>
  <c r="AW428" i="3"/>
  <c r="AW429" i="3"/>
  <c r="AW430" i="3"/>
  <c r="AW431" i="3"/>
  <c r="AW433" i="3"/>
  <c r="AW438" i="3"/>
  <c r="AW440" i="3"/>
  <c r="AW441" i="3"/>
  <c r="AW442" i="3"/>
  <c r="AW443" i="3"/>
  <c r="AW444" i="3"/>
  <c r="AW445" i="3"/>
  <c r="AW446" i="3"/>
  <c r="AW447" i="3"/>
  <c r="AW448" i="3"/>
  <c r="AW449" i="3"/>
  <c r="AW452" i="3"/>
  <c r="AW453" i="3"/>
  <c r="AW454" i="3"/>
  <c r="AW455" i="3"/>
  <c r="AW456" i="3"/>
  <c r="AW457" i="3"/>
  <c r="AW461" i="3"/>
  <c r="AW462" i="3"/>
  <c r="AW463" i="3"/>
  <c r="AW464" i="3"/>
  <c r="AW466" i="3"/>
  <c r="AW468" i="3"/>
  <c r="AW469" i="3"/>
  <c r="AW471" i="3"/>
  <c r="AW475" i="3"/>
  <c r="AW476" i="3"/>
  <c r="AW479" i="3"/>
  <c r="AW480" i="3"/>
  <c r="AW481" i="3"/>
  <c r="AW486" i="3"/>
  <c r="AW487" i="3"/>
  <c r="AW489" i="3"/>
  <c r="AW490" i="3"/>
  <c r="AW491" i="3"/>
  <c r="AW492" i="3"/>
  <c r="AW493" i="3"/>
  <c r="AW496" i="3"/>
  <c r="AW497" i="3"/>
  <c r="AW499" i="3"/>
  <c r="AW500" i="3"/>
  <c r="AW502" i="3"/>
  <c r="AW503" i="3"/>
  <c r="AW504" i="3"/>
  <c r="AW505" i="3"/>
  <c r="AW506" i="3"/>
  <c r="AW507" i="3"/>
  <c r="AW508" i="3"/>
  <c r="AW510" i="3"/>
  <c r="AW512" i="3"/>
  <c r="AW514" i="3"/>
  <c r="AW515" i="3"/>
  <c r="AW516" i="3"/>
  <c r="AW518" i="3"/>
  <c r="AW519" i="3"/>
  <c r="AW520" i="3"/>
  <c r="AW521" i="3"/>
  <c r="AW522" i="3"/>
  <c r="AW523" i="3"/>
  <c r="AW524" i="3"/>
  <c r="AW525" i="3"/>
  <c r="AW528" i="3"/>
  <c r="AW529" i="3"/>
  <c r="AW532" i="3"/>
  <c r="AW533" i="3"/>
  <c r="AW534" i="3"/>
  <c r="AW535" i="3"/>
  <c r="AW537" i="3"/>
  <c r="AW539" i="3"/>
  <c r="AW544" i="3"/>
  <c r="AW546" i="3"/>
  <c r="AW548" i="3"/>
  <c r="AW549" i="3"/>
  <c r="AW551" i="3"/>
  <c r="AW552" i="3"/>
  <c r="AW553" i="3"/>
  <c r="AW555" i="3"/>
  <c r="AW556" i="3"/>
  <c r="AW557" i="3"/>
  <c r="AW559" i="3"/>
  <c r="AW560" i="3"/>
  <c r="AW561" i="3"/>
  <c r="AW562" i="3"/>
  <c r="AW563" i="3"/>
  <c r="AW564" i="3"/>
  <c r="AW566" i="3"/>
  <c r="AW567" i="3"/>
  <c r="AW569" i="3"/>
  <c r="AW570" i="3"/>
  <c r="AW572" i="3"/>
  <c r="AW575" i="3"/>
  <c r="AW576" i="3"/>
  <c r="AW578" i="3"/>
  <c r="AW580" i="3"/>
  <c r="AW581" i="3"/>
  <c r="AW582" i="3"/>
  <c r="AT6" i="3"/>
  <c r="AT20" i="3"/>
  <c r="AT25" i="3"/>
  <c r="AT26" i="3"/>
  <c r="AT28" i="3"/>
  <c r="AT29" i="3"/>
  <c r="AT43" i="3"/>
  <c r="AT55" i="3"/>
  <c r="AT87" i="3"/>
  <c r="AT93" i="3"/>
  <c r="AT101" i="3"/>
  <c r="AT106" i="3"/>
  <c r="AT109" i="3"/>
  <c r="AT114" i="3"/>
  <c r="AT139" i="3"/>
  <c r="AT156" i="3"/>
  <c r="AT192" i="3"/>
  <c r="AT198" i="3"/>
  <c r="AT214" i="3"/>
  <c r="AT222" i="3"/>
  <c r="AT227" i="3"/>
  <c r="AT233" i="3"/>
  <c r="AT238" i="3"/>
  <c r="AT274" i="3"/>
  <c r="AT275" i="3"/>
  <c r="AT277" i="3"/>
  <c r="AT291" i="3"/>
  <c r="AT293" i="3"/>
  <c r="AT326" i="3"/>
  <c r="AT327" i="3"/>
  <c r="AT367" i="3"/>
  <c r="AT388" i="3"/>
  <c r="AT389" i="3"/>
  <c r="AT409" i="3"/>
  <c r="AT410" i="3"/>
  <c r="AT419" i="3"/>
  <c r="AT420" i="3"/>
  <c r="AT421" i="3"/>
  <c r="AT434" i="3"/>
  <c r="AT449" i="3"/>
  <c r="AT453" i="3"/>
  <c r="AT492" i="3"/>
  <c r="AT496" i="3"/>
  <c r="AT508" i="3"/>
  <c r="AT519" i="3"/>
  <c r="AT522" i="3"/>
  <c r="AT533" i="3"/>
  <c r="AT534" i="3"/>
  <c r="AT559" i="3"/>
  <c r="AS6" i="3"/>
  <c r="AS20" i="3"/>
  <c r="AS25" i="3"/>
  <c r="AS26" i="3"/>
  <c r="AS28" i="3"/>
  <c r="AS29" i="3"/>
  <c r="AS43" i="3"/>
  <c r="AS55" i="3"/>
  <c r="AS87" i="3"/>
  <c r="AS93" i="3"/>
  <c r="AS101" i="3"/>
  <c r="AS106" i="3"/>
  <c r="AS109" i="3"/>
  <c r="AS114" i="3"/>
  <c r="AS139" i="3"/>
  <c r="AS156" i="3"/>
  <c r="AS192" i="3"/>
  <c r="AS198" i="3"/>
  <c r="AS214" i="3"/>
  <c r="AS222" i="3"/>
  <c r="AS227" i="3"/>
  <c r="AS233" i="3"/>
  <c r="AS238" i="3"/>
  <c r="AS274" i="3"/>
  <c r="AS275" i="3"/>
  <c r="AS277" i="3"/>
  <c r="AS291" i="3"/>
  <c r="AS293" i="3"/>
  <c r="AS326" i="3"/>
  <c r="AS327" i="3"/>
  <c r="AS367" i="3"/>
  <c r="AS388" i="3"/>
  <c r="AS389" i="3"/>
  <c r="AS409" i="3"/>
  <c r="AS410" i="3"/>
  <c r="AS419" i="3"/>
  <c r="AS420" i="3"/>
  <c r="AS421" i="3"/>
  <c r="AS434" i="3"/>
  <c r="AS449" i="3"/>
  <c r="AS453" i="3"/>
  <c r="AS492" i="3"/>
  <c r="AS496" i="3"/>
  <c r="AS508" i="3"/>
  <c r="AS519" i="3"/>
  <c r="AS522" i="3"/>
  <c r="AS533" i="3"/>
  <c r="AS534" i="3"/>
  <c r="AS559" i="3"/>
  <c r="AQ6" i="3"/>
  <c r="AQ8" i="3"/>
  <c r="AQ9" i="3"/>
  <c r="AQ10" i="3"/>
  <c r="AQ12" i="3"/>
  <c r="AQ13" i="3"/>
  <c r="AQ14" i="3"/>
  <c r="AQ15" i="3"/>
  <c r="AQ16" i="3"/>
  <c r="AQ17" i="3"/>
  <c r="AQ21" i="3"/>
  <c r="AQ22" i="3"/>
  <c r="AQ23" i="3"/>
  <c r="AQ24" i="3"/>
  <c r="AQ25" i="3"/>
  <c r="AQ26" i="3"/>
  <c r="AQ27" i="3"/>
  <c r="AQ34" i="3"/>
  <c r="AQ35" i="3"/>
  <c r="AQ36" i="3"/>
  <c r="AQ40" i="3"/>
  <c r="AQ42" i="3"/>
  <c r="AQ43" i="3"/>
  <c r="AQ44" i="3"/>
  <c r="AQ45" i="3"/>
  <c r="AQ46" i="3"/>
  <c r="AQ48" i="3"/>
  <c r="AQ49" i="3"/>
  <c r="AQ50" i="3"/>
  <c r="AQ51" i="3"/>
  <c r="AQ54" i="3"/>
  <c r="AQ55" i="3"/>
  <c r="AQ56" i="3"/>
  <c r="AQ57" i="3"/>
  <c r="AQ58" i="3"/>
  <c r="AQ60" i="3"/>
  <c r="AQ61" i="3"/>
  <c r="AQ64" i="3"/>
  <c r="AQ66" i="3"/>
  <c r="AQ67" i="3"/>
  <c r="AQ71" i="3"/>
  <c r="AQ72" i="3"/>
  <c r="AQ74" i="3"/>
  <c r="AQ76" i="3"/>
  <c r="AQ77" i="3"/>
  <c r="AQ78" i="3"/>
  <c r="AQ80" i="3"/>
  <c r="AQ81" i="3"/>
  <c r="AQ83" i="3"/>
  <c r="AQ84" i="3"/>
  <c r="AQ85" i="3"/>
  <c r="AQ86" i="3"/>
  <c r="AQ87" i="3"/>
  <c r="AQ89" i="3"/>
  <c r="AQ93" i="3"/>
  <c r="AQ96" i="3"/>
  <c r="AQ97" i="3"/>
  <c r="AQ98" i="3"/>
  <c r="AQ99" i="3"/>
  <c r="AQ100" i="3"/>
  <c r="AQ101" i="3"/>
  <c r="AQ102" i="3"/>
  <c r="AQ103" i="3"/>
  <c r="AQ104" i="3"/>
  <c r="AQ105" i="3"/>
  <c r="AQ106" i="3"/>
  <c r="AQ107" i="3"/>
  <c r="AQ108" i="3"/>
  <c r="AQ110" i="3"/>
  <c r="AQ111" i="3"/>
  <c r="AQ113" i="3"/>
  <c r="AQ114" i="3"/>
  <c r="AQ115" i="3"/>
  <c r="AQ116" i="3"/>
  <c r="AQ117" i="3"/>
  <c r="AQ118" i="3"/>
  <c r="AQ119" i="3"/>
  <c r="AQ120" i="3"/>
  <c r="AQ123" i="3"/>
  <c r="AQ126" i="3"/>
  <c r="AQ128" i="3"/>
  <c r="AQ131" i="3"/>
  <c r="AQ132" i="3"/>
  <c r="AQ133" i="3"/>
  <c r="AQ137" i="3"/>
  <c r="AQ138" i="3"/>
  <c r="AQ139" i="3"/>
  <c r="AQ141" i="3"/>
  <c r="AQ143" i="3"/>
  <c r="AQ144" i="3"/>
  <c r="AQ145" i="3"/>
  <c r="AQ148" i="3"/>
  <c r="AQ150" i="3"/>
  <c r="AQ151" i="3"/>
  <c r="AQ153" i="3"/>
  <c r="AQ154" i="3"/>
  <c r="AQ156" i="3"/>
  <c r="AQ158" i="3"/>
  <c r="AQ159" i="3"/>
  <c r="AQ160" i="3"/>
  <c r="AQ161" i="3"/>
  <c r="AQ162" i="3"/>
  <c r="AQ163" i="3"/>
  <c r="AQ164" i="3"/>
  <c r="AQ165" i="3"/>
  <c r="AQ166" i="3"/>
  <c r="AQ167" i="3"/>
  <c r="AQ168" i="3"/>
  <c r="AQ169" i="3"/>
  <c r="AQ171" i="3"/>
  <c r="AQ174" i="3"/>
  <c r="AQ175" i="3"/>
  <c r="AQ176" i="3"/>
  <c r="AQ179" i="3"/>
  <c r="AQ180" i="3"/>
  <c r="AQ181" i="3"/>
  <c r="AQ183" i="3"/>
  <c r="AQ185" i="3"/>
  <c r="AQ187" i="3"/>
  <c r="AQ188" i="3"/>
  <c r="AQ189" i="3"/>
  <c r="AQ192" i="3"/>
  <c r="AQ193" i="3"/>
  <c r="AQ195" i="3"/>
  <c r="AQ196" i="3"/>
  <c r="AQ197" i="3"/>
  <c r="AQ200" i="3"/>
  <c r="AQ201" i="3"/>
  <c r="AQ202" i="3"/>
  <c r="AQ203" i="3"/>
  <c r="AQ205" i="3"/>
  <c r="AQ207" i="3"/>
  <c r="AQ209" i="3"/>
  <c r="AQ210" i="3"/>
  <c r="AQ211" i="3"/>
  <c r="AQ213" i="3"/>
  <c r="AQ216" i="3"/>
  <c r="AQ219" i="3"/>
  <c r="AQ220" i="3"/>
  <c r="AQ221" i="3"/>
  <c r="AQ222" i="3"/>
  <c r="AQ223" i="3"/>
  <c r="AQ225" i="3"/>
  <c r="AQ227" i="3"/>
  <c r="AQ229" i="3"/>
  <c r="AQ230" i="3"/>
  <c r="AQ231" i="3"/>
  <c r="AQ232" i="3"/>
  <c r="AQ233" i="3"/>
  <c r="AQ234" i="3"/>
  <c r="AQ235" i="3"/>
  <c r="AQ236" i="3"/>
  <c r="AQ237" i="3"/>
  <c r="AQ238" i="3"/>
  <c r="AQ239" i="3"/>
  <c r="AQ240" i="3"/>
  <c r="AQ242" i="3"/>
  <c r="AQ243" i="3"/>
  <c r="AQ244" i="3"/>
  <c r="AQ245" i="3"/>
  <c r="AQ246" i="3"/>
  <c r="AQ247" i="3"/>
  <c r="AQ248" i="3"/>
  <c r="AQ249" i="3"/>
  <c r="AQ251" i="3"/>
  <c r="AQ252" i="3"/>
  <c r="AQ253" i="3"/>
  <c r="AQ254" i="3"/>
  <c r="AQ257" i="3"/>
  <c r="AQ258" i="3"/>
  <c r="AQ262" i="3"/>
  <c r="AQ263" i="3"/>
  <c r="AQ264" i="3"/>
  <c r="AQ266" i="3"/>
  <c r="AQ267" i="3"/>
  <c r="AQ268" i="3"/>
  <c r="AQ269" i="3"/>
  <c r="AQ270" i="3"/>
  <c r="AQ271" i="3"/>
  <c r="AQ272" i="3"/>
  <c r="AQ273" i="3"/>
  <c r="AQ274" i="3"/>
  <c r="AQ275" i="3"/>
  <c r="AQ276" i="3"/>
  <c r="AQ277" i="3"/>
  <c r="AQ279" i="3"/>
  <c r="AQ281" i="3"/>
  <c r="AQ282" i="3"/>
  <c r="AQ286" i="3"/>
  <c r="AQ287" i="3"/>
  <c r="AQ289" i="3"/>
  <c r="AQ291" i="3"/>
  <c r="AQ293" i="3"/>
  <c r="AQ294" i="3"/>
  <c r="AQ295" i="3"/>
  <c r="AQ298" i="3"/>
  <c r="AQ301" i="3"/>
  <c r="AQ302" i="3"/>
  <c r="AQ303" i="3"/>
  <c r="AQ304" i="3"/>
  <c r="AQ307" i="3"/>
  <c r="AQ309" i="3"/>
  <c r="AQ310" i="3"/>
  <c r="AQ312" i="3"/>
  <c r="AQ313" i="3"/>
  <c r="AQ314" i="3"/>
  <c r="AQ316" i="3"/>
  <c r="AQ317" i="3"/>
  <c r="AQ318" i="3"/>
  <c r="AQ319" i="3"/>
  <c r="AQ323" i="3"/>
  <c r="AQ325" i="3"/>
  <c r="AQ326" i="3"/>
  <c r="AQ327" i="3"/>
  <c r="AQ330" i="3"/>
  <c r="AQ331" i="3"/>
  <c r="AQ332" i="3"/>
  <c r="AQ333" i="3"/>
  <c r="AQ334" i="3"/>
  <c r="AQ335" i="3"/>
  <c r="AQ337" i="3"/>
  <c r="AQ338" i="3"/>
  <c r="AQ339" i="3"/>
  <c r="AQ340" i="3"/>
  <c r="AQ341" i="3"/>
  <c r="AQ342" i="3"/>
  <c r="AQ343" i="3"/>
  <c r="AQ344" i="3"/>
  <c r="AQ345" i="3"/>
  <c r="AQ347" i="3"/>
  <c r="AQ348" i="3"/>
  <c r="AQ349" i="3"/>
  <c r="AQ350" i="3"/>
  <c r="AQ351" i="3"/>
  <c r="AQ352" i="3"/>
  <c r="AQ353" i="3"/>
  <c r="AQ355" i="3"/>
  <c r="AQ356" i="3"/>
  <c r="AQ357" i="3"/>
  <c r="AQ358" i="3"/>
  <c r="AQ359" i="3"/>
  <c r="AQ360" i="3"/>
  <c r="AQ361" i="3"/>
  <c r="AQ362" i="3"/>
  <c r="AQ365" i="3"/>
  <c r="AQ367" i="3"/>
  <c r="AQ368" i="3"/>
  <c r="AQ369" i="3"/>
  <c r="AQ370" i="3"/>
  <c r="AQ371" i="3"/>
  <c r="AQ372" i="3"/>
  <c r="AQ375" i="3"/>
  <c r="AQ376" i="3"/>
  <c r="AQ378" i="3"/>
  <c r="AQ380" i="3"/>
  <c r="AQ383" i="3"/>
  <c r="AQ384" i="3"/>
  <c r="AQ385" i="3"/>
  <c r="AQ386" i="3"/>
  <c r="AQ387" i="3"/>
  <c r="AQ388" i="3"/>
  <c r="AQ389" i="3"/>
  <c r="AQ390" i="3"/>
  <c r="AQ391" i="3"/>
  <c r="AQ393" i="3"/>
  <c r="AQ394" i="3"/>
  <c r="AQ396" i="3"/>
  <c r="AQ397" i="3"/>
  <c r="AQ398" i="3"/>
  <c r="AQ402" i="3"/>
  <c r="AQ403" i="3"/>
  <c r="AQ404" i="3"/>
  <c r="AQ406" i="3"/>
  <c r="AQ407" i="3"/>
  <c r="AQ409" i="3"/>
  <c r="AQ410" i="3"/>
  <c r="AQ411" i="3"/>
  <c r="AQ412" i="3"/>
  <c r="AQ419" i="3"/>
  <c r="AQ420" i="3"/>
  <c r="AQ421" i="3"/>
  <c r="AQ422" i="3"/>
  <c r="AQ424" i="3"/>
  <c r="AQ425" i="3"/>
  <c r="AQ427" i="3"/>
  <c r="AQ428" i="3"/>
  <c r="AQ429" i="3"/>
  <c r="AQ430" i="3"/>
  <c r="AQ431" i="3"/>
  <c r="AQ433" i="3"/>
  <c r="AQ438" i="3"/>
  <c r="AQ440" i="3"/>
  <c r="AQ441" i="3"/>
  <c r="AQ442" i="3"/>
  <c r="AQ443" i="3"/>
  <c r="AQ444" i="3"/>
  <c r="AQ445" i="3"/>
  <c r="AQ446" i="3"/>
  <c r="AQ447" i="3"/>
  <c r="AQ448" i="3"/>
  <c r="AQ449" i="3"/>
  <c r="AQ452" i="3"/>
  <c r="AQ453" i="3"/>
  <c r="AQ454" i="3"/>
  <c r="AQ455" i="3"/>
  <c r="AQ456" i="3"/>
  <c r="AQ457" i="3"/>
  <c r="AQ461" i="3"/>
  <c r="AQ462" i="3"/>
  <c r="AQ463" i="3"/>
  <c r="AQ464" i="3"/>
  <c r="AQ466" i="3"/>
  <c r="AQ468" i="3"/>
  <c r="AQ469" i="3"/>
  <c r="AQ471" i="3"/>
  <c r="AQ475" i="3"/>
  <c r="AQ476" i="3"/>
  <c r="AQ479" i="3"/>
  <c r="AQ480" i="3"/>
  <c r="AQ481" i="3"/>
  <c r="AQ486" i="3"/>
  <c r="AQ487" i="3"/>
  <c r="AQ489" i="3"/>
  <c r="AQ490" i="3"/>
  <c r="AQ491" i="3"/>
  <c r="AQ492" i="3"/>
  <c r="AQ493" i="3"/>
  <c r="AQ496" i="3"/>
  <c r="AQ497" i="3"/>
  <c r="AQ499" i="3"/>
  <c r="AQ500" i="3"/>
  <c r="AQ502" i="3"/>
  <c r="AQ503" i="3"/>
  <c r="AQ504" i="3"/>
  <c r="AQ505" i="3"/>
  <c r="AQ506" i="3"/>
  <c r="AQ507" i="3"/>
  <c r="AQ508" i="3"/>
  <c r="AQ510" i="3"/>
  <c r="AQ512" i="3"/>
  <c r="AQ514" i="3"/>
  <c r="AQ515" i="3"/>
  <c r="AQ516" i="3"/>
  <c r="AQ518" i="3"/>
  <c r="AQ519" i="3"/>
  <c r="AQ520" i="3"/>
  <c r="AQ521" i="3"/>
  <c r="AQ522" i="3"/>
  <c r="AQ523" i="3"/>
  <c r="AQ524" i="3"/>
  <c r="AQ525" i="3"/>
  <c r="AQ528" i="3"/>
  <c r="AQ529" i="3"/>
  <c r="AQ532" i="3"/>
  <c r="AQ533" i="3"/>
  <c r="AQ534" i="3"/>
  <c r="AQ535" i="3"/>
  <c r="AQ537" i="3"/>
  <c r="AQ539" i="3"/>
  <c r="AQ544" i="3"/>
  <c r="AQ546" i="3"/>
  <c r="AQ548" i="3"/>
  <c r="AQ549" i="3"/>
  <c r="AQ551" i="3"/>
  <c r="AQ552" i="3"/>
  <c r="AQ553" i="3"/>
  <c r="AQ555" i="3"/>
  <c r="AQ556" i="3"/>
  <c r="AQ557" i="3"/>
  <c r="AQ559" i="3"/>
  <c r="AQ560" i="3"/>
  <c r="AQ561" i="3"/>
  <c r="AQ562" i="3"/>
  <c r="AQ563" i="3"/>
  <c r="AQ564" i="3"/>
  <c r="AQ566" i="3"/>
  <c r="AQ567" i="3"/>
  <c r="AQ569" i="3"/>
  <c r="AQ570" i="3"/>
  <c r="AQ572" i="3"/>
  <c r="AQ575" i="3"/>
  <c r="AQ576" i="3"/>
  <c r="AQ578" i="3"/>
  <c r="AQ580" i="3"/>
  <c r="AQ581" i="3"/>
  <c r="AQ582" i="3"/>
  <c r="AP6" i="3"/>
  <c r="AP8" i="3"/>
  <c r="AP9" i="3"/>
  <c r="AP10" i="3"/>
  <c r="AP12" i="3"/>
  <c r="AP13" i="3"/>
  <c r="AP14" i="3"/>
  <c r="AP15" i="3"/>
  <c r="AP16" i="3"/>
  <c r="AP17" i="3"/>
  <c r="AP21" i="3"/>
  <c r="AP22" i="3"/>
  <c r="AP23" i="3"/>
  <c r="AP24" i="3"/>
  <c r="AP25" i="3"/>
  <c r="AP26" i="3"/>
  <c r="AP27" i="3"/>
  <c r="AP34" i="3"/>
  <c r="AP35" i="3"/>
  <c r="AP36" i="3"/>
  <c r="AP40" i="3"/>
  <c r="AP42" i="3"/>
  <c r="AP43" i="3"/>
  <c r="AP44" i="3"/>
  <c r="AP45" i="3"/>
  <c r="AP46" i="3"/>
  <c r="AP48" i="3"/>
  <c r="AP49" i="3"/>
  <c r="AP50" i="3"/>
  <c r="AP51" i="3"/>
  <c r="AP54" i="3"/>
  <c r="AP55" i="3"/>
  <c r="AP56" i="3"/>
  <c r="AP57" i="3"/>
  <c r="AP58" i="3"/>
  <c r="AP60" i="3"/>
  <c r="AP61" i="3"/>
  <c r="AP64" i="3"/>
  <c r="AP66" i="3"/>
  <c r="AP67" i="3"/>
  <c r="AP71" i="3"/>
  <c r="AP72" i="3"/>
  <c r="AP74" i="3"/>
  <c r="AP76" i="3"/>
  <c r="AP77" i="3"/>
  <c r="AP78" i="3"/>
  <c r="AP80" i="3"/>
  <c r="AP81" i="3"/>
  <c r="AP83" i="3"/>
  <c r="AP84" i="3"/>
  <c r="AP85" i="3"/>
  <c r="AP86" i="3"/>
  <c r="AP87" i="3"/>
  <c r="AP89" i="3"/>
  <c r="AP93" i="3"/>
  <c r="AP96" i="3"/>
  <c r="AP97" i="3"/>
  <c r="AP98" i="3"/>
  <c r="AP99" i="3"/>
  <c r="AP100" i="3"/>
  <c r="AP101" i="3"/>
  <c r="AP102" i="3"/>
  <c r="AP103" i="3"/>
  <c r="AP104" i="3"/>
  <c r="AP105" i="3"/>
  <c r="AP106" i="3"/>
  <c r="AP107" i="3"/>
  <c r="AP108" i="3"/>
  <c r="AP110" i="3"/>
  <c r="AP111" i="3"/>
  <c r="AP113" i="3"/>
  <c r="AP114" i="3"/>
  <c r="AP115" i="3"/>
  <c r="AP116" i="3"/>
  <c r="AP117" i="3"/>
  <c r="AP118" i="3"/>
  <c r="AP119" i="3"/>
  <c r="AP120" i="3"/>
  <c r="AP123" i="3"/>
  <c r="AP126" i="3"/>
  <c r="AP128" i="3"/>
  <c r="AP131" i="3"/>
  <c r="AP132" i="3"/>
  <c r="AP133" i="3"/>
  <c r="AP137" i="3"/>
  <c r="AP138" i="3"/>
  <c r="AP139" i="3"/>
  <c r="AP141" i="3"/>
  <c r="AP143" i="3"/>
  <c r="AP144" i="3"/>
  <c r="AP145" i="3"/>
  <c r="AP148" i="3"/>
  <c r="AP150" i="3"/>
  <c r="AP151" i="3"/>
  <c r="AP153" i="3"/>
  <c r="AP154" i="3"/>
  <c r="AP156" i="3"/>
  <c r="AP158" i="3"/>
  <c r="AP159" i="3"/>
  <c r="AP160" i="3"/>
  <c r="AP161" i="3"/>
  <c r="AP162" i="3"/>
  <c r="AP163" i="3"/>
  <c r="AP164" i="3"/>
  <c r="AP165" i="3"/>
  <c r="AP166" i="3"/>
  <c r="AP167" i="3"/>
  <c r="AP168" i="3"/>
  <c r="AP169" i="3"/>
  <c r="AP171" i="3"/>
  <c r="AP174" i="3"/>
  <c r="AP175" i="3"/>
  <c r="AP176" i="3"/>
  <c r="AP179" i="3"/>
  <c r="AP180" i="3"/>
  <c r="AP181" i="3"/>
  <c r="AP183" i="3"/>
  <c r="AP185" i="3"/>
  <c r="AP187" i="3"/>
  <c r="AP188" i="3"/>
  <c r="AP189" i="3"/>
  <c r="AP192" i="3"/>
  <c r="AP193" i="3"/>
  <c r="AP195" i="3"/>
  <c r="AP196" i="3"/>
  <c r="AP197" i="3"/>
  <c r="AP200" i="3"/>
  <c r="AP201" i="3"/>
  <c r="AP202" i="3"/>
  <c r="AP203" i="3"/>
  <c r="AP205" i="3"/>
  <c r="AP207" i="3"/>
  <c r="AP209" i="3"/>
  <c r="AP210" i="3"/>
  <c r="AP211" i="3"/>
  <c r="AP213" i="3"/>
  <c r="AP216" i="3"/>
  <c r="AP219" i="3"/>
  <c r="AP220" i="3"/>
  <c r="AP221" i="3"/>
  <c r="AP222" i="3"/>
  <c r="AP223" i="3"/>
  <c r="AP225" i="3"/>
  <c r="AP227" i="3"/>
  <c r="AP229" i="3"/>
  <c r="AP230" i="3"/>
  <c r="AP231" i="3"/>
  <c r="AP232" i="3"/>
  <c r="AP233" i="3"/>
  <c r="AP234" i="3"/>
  <c r="AP235" i="3"/>
  <c r="AP236" i="3"/>
  <c r="AP237" i="3"/>
  <c r="AP238" i="3"/>
  <c r="AP239" i="3"/>
  <c r="AP240" i="3"/>
  <c r="AP242" i="3"/>
  <c r="AP243" i="3"/>
  <c r="AP244" i="3"/>
  <c r="AP245" i="3"/>
  <c r="AP246" i="3"/>
  <c r="AP247" i="3"/>
  <c r="AP248" i="3"/>
  <c r="AP249" i="3"/>
  <c r="AP251" i="3"/>
  <c r="AP252" i="3"/>
  <c r="AP253" i="3"/>
  <c r="AP254" i="3"/>
  <c r="AP257" i="3"/>
  <c r="AP258" i="3"/>
  <c r="AP262" i="3"/>
  <c r="AP263" i="3"/>
  <c r="AP264" i="3"/>
  <c r="AP266" i="3"/>
  <c r="AP267" i="3"/>
  <c r="AP268" i="3"/>
  <c r="AP269" i="3"/>
  <c r="AP270" i="3"/>
  <c r="AP271" i="3"/>
  <c r="AP272" i="3"/>
  <c r="AP273" i="3"/>
  <c r="AP274" i="3"/>
  <c r="AP275" i="3"/>
  <c r="AP276" i="3"/>
  <c r="AP277" i="3"/>
  <c r="AP279" i="3"/>
  <c r="AP281" i="3"/>
  <c r="AP282" i="3"/>
  <c r="AP286" i="3"/>
  <c r="AP287" i="3"/>
  <c r="AP289" i="3"/>
  <c r="AP291" i="3"/>
  <c r="AP293" i="3"/>
  <c r="AP294" i="3"/>
  <c r="AP295" i="3"/>
  <c r="AP298" i="3"/>
  <c r="AP301" i="3"/>
  <c r="AP302" i="3"/>
  <c r="AP303" i="3"/>
  <c r="AP304" i="3"/>
  <c r="AP307" i="3"/>
  <c r="AP309" i="3"/>
  <c r="AP310" i="3"/>
  <c r="AP312" i="3"/>
  <c r="AP313" i="3"/>
  <c r="AP314" i="3"/>
  <c r="AP316" i="3"/>
  <c r="AP317" i="3"/>
  <c r="AP318" i="3"/>
  <c r="AP319" i="3"/>
  <c r="AP323" i="3"/>
  <c r="AP325" i="3"/>
  <c r="AP326" i="3"/>
  <c r="AP327" i="3"/>
  <c r="AP330" i="3"/>
  <c r="AP331" i="3"/>
  <c r="AP332" i="3"/>
  <c r="AP333" i="3"/>
  <c r="AP334" i="3"/>
  <c r="AP335" i="3"/>
  <c r="AP337" i="3"/>
  <c r="AP338" i="3"/>
  <c r="AP339" i="3"/>
  <c r="AP340" i="3"/>
  <c r="AP341" i="3"/>
  <c r="AP342" i="3"/>
  <c r="AP343" i="3"/>
  <c r="AP344" i="3"/>
  <c r="AP345" i="3"/>
  <c r="AP347" i="3"/>
  <c r="AP348" i="3"/>
  <c r="AP349" i="3"/>
  <c r="AP350" i="3"/>
  <c r="AP351" i="3"/>
  <c r="AP352" i="3"/>
  <c r="AP353" i="3"/>
  <c r="AP355" i="3"/>
  <c r="AP356" i="3"/>
  <c r="AP357" i="3"/>
  <c r="AP358" i="3"/>
  <c r="AP359" i="3"/>
  <c r="AP360" i="3"/>
  <c r="AP361" i="3"/>
  <c r="AP362" i="3"/>
  <c r="AP365" i="3"/>
  <c r="AP367" i="3"/>
  <c r="AP368" i="3"/>
  <c r="AP369" i="3"/>
  <c r="AP370" i="3"/>
  <c r="AP371" i="3"/>
  <c r="AP372" i="3"/>
  <c r="AP375" i="3"/>
  <c r="AP376" i="3"/>
  <c r="AP378" i="3"/>
  <c r="AP380" i="3"/>
  <c r="AP383" i="3"/>
  <c r="AP384" i="3"/>
  <c r="AP385" i="3"/>
  <c r="AP386" i="3"/>
  <c r="AP387" i="3"/>
  <c r="AP388" i="3"/>
  <c r="AP389" i="3"/>
  <c r="AP390" i="3"/>
  <c r="AP391" i="3"/>
  <c r="AP393" i="3"/>
  <c r="AP394" i="3"/>
  <c r="AP396" i="3"/>
  <c r="AP397" i="3"/>
  <c r="AP398" i="3"/>
  <c r="AP402" i="3"/>
  <c r="AP403" i="3"/>
  <c r="AP404" i="3"/>
  <c r="AP406" i="3"/>
  <c r="AP407" i="3"/>
  <c r="AP409" i="3"/>
  <c r="AP410" i="3"/>
  <c r="AP411" i="3"/>
  <c r="AP412" i="3"/>
  <c r="AP419" i="3"/>
  <c r="AP420" i="3"/>
  <c r="AP421" i="3"/>
  <c r="AP422" i="3"/>
  <c r="AP424" i="3"/>
  <c r="AP425" i="3"/>
  <c r="AP427" i="3"/>
  <c r="AP428" i="3"/>
  <c r="AP429" i="3"/>
  <c r="AP430" i="3"/>
  <c r="AP431" i="3"/>
  <c r="AP433" i="3"/>
  <c r="AP438" i="3"/>
  <c r="AP440" i="3"/>
  <c r="AP441" i="3"/>
  <c r="AP442" i="3"/>
  <c r="AP443" i="3"/>
  <c r="AP444" i="3"/>
  <c r="AP445" i="3"/>
  <c r="AP446" i="3"/>
  <c r="AP447" i="3"/>
  <c r="AP448" i="3"/>
  <c r="AP449" i="3"/>
  <c r="AP452" i="3"/>
  <c r="AP453" i="3"/>
  <c r="AP454" i="3"/>
  <c r="AP455" i="3"/>
  <c r="AP456" i="3"/>
  <c r="AP457" i="3"/>
  <c r="AP461" i="3"/>
  <c r="AP462" i="3"/>
  <c r="AP463" i="3"/>
  <c r="AP464" i="3"/>
  <c r="AP466" i="3"/>
  <c r="AP468" i="3"/>
  <c r="AP469" i="3"/>
  <c r="AP471" i="3"/>
  <c r="AP475" i="3"/>
  <c r="AP476" i="3"/>
  <c r="AP479" i="3"/>
  <c r="AP480" i="3"/>
  <c r="AP481" i="3"/>
  <c r="AP486" i="3"/>
  <c r="AP487" i="3"/>
  <c r="AP489" i="3"/>
  <c r="AP490" i="3"/>
  <c r="AP491" i="3"/>
  <c r="AP492" i="3"/>
  <c r="AP493" i="3"/>
  <c r="AP496" i="3"/>
  <c r="AP497" i="3"/>
  <c r="AP499" i="3"/>
  <c r="AP500" i="3"/>
  <c r="AP502" i="3"/>
  <c r="AP503" i="3"/>
  <c r="AP504" i="3"/>
  <c r="AP505" i="3"/>
  <c r="AP506" i="3"/>
  <c r="AP507" i="3"/>
  <c r="AP508" i="3"/>
  <c r="AP510" i="3"/>
  <c r="AP512" i="3"/>
  <c r="AP514" i="3"/>
  <c r="AP515" i="3"/>
  <c r="AP516" i="3"/>
  <c r="AP518" i="3"/>
  <c r="AP519" i="3"/>
  <c r="AP520" i="3"/>
  <c r="AP521" i="3"/>
  <c r="AP522" i="3"/>
  <c r="AP523" i="3"/>
  <c r="AP524" i="3"/>
  <c r="AP525" i="3"/>
  <c r="AP528" i="3"/>
  <c r="AP529" i="3"/>
  <c r="AP532" i="3"/>
  <c r="AP533" i="3"/>
  <c r="AP534" i="3"/>
  <c r="AP535" i="3"/>
  <c r="AP537" i="3"/>
  <c r="AP539" i="3"/>
  <c r="AP544" i="3"/>
  <c r="AP546" i="3"/>
  <c r="AP548" i="3"/>
  <c r="AP549" i="3"/>
  <c r="AP551" i="3"/>
  <c r="AP552" i="3"/>
  <c r="AP553" i="3"/>
  <c r="AP555" i="3"/>
  <c r="AP556" i="3"/>
  <c r="AP557" i="3"/>
  <c r="AP559" i="3"/>
  <c r="AP560" i="3"/>
  <c r="AP561" i="3"/>
  <c r="AP562" i="3"/>
  <c r="AP563" i="3"/>
  <c r="AP564" i="3"/>
  <c r="AP566" i="3"/>
  <c r="AP567" i="3"/>
  <c r="AP569" i="3"/>
  <c r="AP570" i="3"/>
  <c r="AP572" i="3"/>
  <c r="AP575" i="3"/>
  <c r="AP576" i="3"/>
  <c r="AP578" i="3"/>
  <c r="AP580" i="3"/>
  <c r="AP581" i="3"/>
  <c r="AP582" i="3"/>
  <c r="AO6" i="3"/>
  <c r="AO28" i="3"/>
  <c r="AO109" i="3"/>
  <c r="AO389"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V4024" i="1"/>
  <c r="AV4025" i="1"/>
  <c r="AV4026" i="1"/>
  <c r="AV4027" i="1"/>
  <c r="AV4028" i="1"/>
  <c r="AV4029" i="1"/>
  <c r="AV4030" i="1"/>
  <c r="AV4031" i="1"/>
  <c r="AV4032" i="1"/>
  <c r="AV4033" i="1"/>
  <c r="AV4034" i="1"/>
  <c r="AV4035" i="1"/>
  <c r="AV4036" i="1"/>
  <c r="AV4037" i="1"/>
  <c r="AV4038" i="1"/>
  <c r="AV4039" i="1"/>
  <c r="AV4040" i="1"/>
  <c r="AV4041" i="1"/>
  <c r="AV4042" i="1"/>
  <c r="AV4043" i="1"/>
  <c r="AV4044" i="1"/>
  <c r="AV4045" i="1"/>
  <c r="AV4046" i="1"/>
  <c r="AV4047" i="1"/>
  <c r="AV4048" i="1"/>
  <c r="AV4049" i="1"/>
  <c r="AV4050" i="1"/>
  <c r="AV4051" i="1"/>
  <c r="AV405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X4" i="1"/>
  <c r="X5" i="1"/>
  <c r="X6" i="1"/>
  <c r="X7" i="1"/>
  <c r="X8" i="1"/>
  <c r="X9" i="1"/>
  <c r="X10" i="1"/>
  <c r="X11" i="1"/>
  <c r="X43" i="1"/>
  <c r="X47" i="1"/>
  <c r="X48" i="1"/>
  <c r="X64" i="1"/>
  <c r="X65" i="1"/>
  <c r="X68" i="1"/>
  <c r="X69" i="1"/>
  <c r="X71" i="1"/>
  <c r="X74" i="1"/>
  <c r="X79" i="1"/>
  <c r="X82" i="1"/>
  <c r="X87" i="1"/>
  <c r="X88" i="1"/>
  <c r="X89" i="1"/>
  <c r="X93" i="1"/>
  <c r="X94" i="1"/>
  <c r="X95" i="1"/>
  <c r="X96" i="1"/>
  <c r="X97" i="1"/>
  <c r="X98" i="1"/>
  <c r="X99" i="1"/>
  <c r="X100" i="1"/>
  <c r="X101" i="1"/>
  <c r="X102" i="1"/>
  <c r="X103"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7" i="1"/>
  <c r="X158" i="1"/>
  <c r="X159" i="1"/>
  <c r="X160" i="1"/>
  <c r="X162" i="1"/>
  <c r="X163" i="1"/>
  <c r="X164" i="1"/>
  <c r="X165" i="1"/>
  <c r="X166" i="1"/>
  <c r="X169" i="1"/>
  <c r="X170" i="1"/>
  <c r="X171" i="1"/>
  <c r="X172" i="1"/>
  <c r="X173" i="1"/>
  <c r="X175"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7" i="1"/>
  <c r="X208" i="1"/>
  <c r="X209" i="1"/>
  <c r="X210" i="1"/>
  <c r="X211" i="1"/>
  <c r="X212" i="1"/>
  <c r="X213" i="1"/>
  <c r="X214" i="1"/>
  <c r="X215" i="1"/>
  <c r="X219" i="1"/>
  <c r="X221" i="1"/>
  <c r="X222" i="1"/>
  <c r="X226" i="1"/>
  <c r="X229" i="1"/>
  <c r="X230" i="1"/>
  <c r="X239" i="1"/>
  <c r="X240" i="1"/>
  <c r="X241" i="1"/>
  <c r="X242" i="1"/>
  <c r="X243" i="1"/>
  <c r="X244" i="1"/>
  <c r="X245" i="1"/>
  <c r="X247" i="1"/>
  <c r="X251" i="1"/>
  <c r="X253" i="1"/>
  <c r="X256" i="1"/>
  <c r="X301" i="1"/>
  <c r="X305" i="1"/>
  <c r="X306" i="1"/>
  <c r="X307" i="1"/>
  <c r="X308" i="1"/>
  <c r="X309" i="1"/>
  <c r="X310" i="1"/>
  <c r="X312" i="1"/>
  <c r="X313" i="1"/>
  <c r="X314" i="1"/>
  <c r="X315" i="1"/>
  <c r="X316" i="1"/>
  <c r="X321" i="1"/>
  <c r="X322" i="1"/>
  <c r="X324" i="1"/>
  <c r="X325" i="1"/>
  <c r="X328" i="1"/>
  <c r="X329" i="1"/>
  <c r="X330" i="1"/>
  <c r="X331" i="1"/>
  <c r="X334" i="1"/>
  <c r="X336" i="1"/>
  <c r="X337" i="1"/>
  <c r="X343" i="1"/>
  <c r="X344" i="1"/>
  <c r="X345" i="1"/>
  <c r="X346" i="1"/>
  <c r="X347" i="1"/>
  <c r="X348" i="1"/>
  <c r="X349" i="1"/>
  <c r="X350" i="1"/>
  <c r="X351" i="1"/>
  <c r="X352" i="1"/>
  <c r="X353" i="1"/>
  <c r="X354" i="1"/>
  <c r="X355" i="1"/>
  <c r="X356" i="1"/>
  <c r="X357" i="1"/>
  <c r="X361" i="1"/>
  <c r="X362" i="1"/>
  <c r="X411" i="1"/>
  <c r="X412" i="1"/>
  <c r="X413" i="1"/>
  <c r="X414" i="1"/>
  <c r="X416" i="1"/>
  <c r="X417" i="1"/>
  <c r="X420"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6" i="1"/>
  <c r="X459" i="1"/>
  <c r="X480" i="1"/>
  <c r="X481" i="1"/>
  <c r="X483" i="1"/>
  <c r="X486" i="1"/>
  <c r="X508" i="1"/>
  <c r="X524" i="1"/>
  <c r="X525" i="1"/>
  <c r="X526" i="1"/>
  <c r="X528" i="1"/>
  <c r="X529" i="1"/>
  <c r="X531" i="1"/>
  <c r="X538" i="1"/>
  <c r="X540" i="1"/>
  <c r="X541" i="1"/>
  <c r="X542" i="1"/>
  <c r="X543" i="1"/>
  <c r="X544" i="1"/>
  <c r="X547" i="1"/>
  <c r="X548" i="1"/>
  <c r="X549" i="1"/>
  <c r="X550" i="1"/>
  <c r="X551" i="1"/>
  <c r="X553" i="1"/>
  <c r="X571" i="1"/>
  <c r="X574" i="1"/>
  <c r="X575" i="1"/>
  <c r="X576" i="1"/>
  <c r="X577" i="1"/>
  <c r="X578" i="1"/>
  <c r="X579" i="1"/>
  <c r="X580" i="1"/>
  <c r="X581" i="1"/>
  <c r="X582" i="1"/>
  <c r="X583" i="1"/>
  <c r="X584" i="1"/>
  <c r="X585" i="1"/>
  <c r="X586" i="1"/>
  <c r="X587" i="1"/>
  <c r="X594" i="1"/>
  <c r="X598" i="1"/>
  <c r="X602" i="1"/>
  <c r="X611" i="1"/>
  <c r="X612" i="1"/>
  <c r="X618" i="1"/>
  <c r="X619" i="1"/>
  <c r="X620" i="1"/>
  <c r="X621" i="1"/>
  <c r="X622" i="1"/>
  <c r="X623" i="1"/>
  <c r="X628" i="1"/>
  <c r="X629" i="1"/>
  <c r="X630" i="1"/>
  <c r="X631" i="1"/>
  <c r="X632" i="1"/>
  <c r="X633" i="1"/>
  <c r="X634" i="1"/>
  <c r="X638" i="1"/>
  <c r="X639" i="1"/>
  <c r="X640" i="1"/>
  <c r="X645" i="1"/>
  <c r="X646" i="1"/>
  <c r="X647" i="1"/>
  <c r="X648" i="1"/>
  <c r="X654" i="1"/>
  <c r="X655" i="1"/>
  <c r="X656" i="1"/>
  <c r="X657" i="1"/>
  <c r="X658" i="1"/>
  <c r="X663" i="1"/>
  <c r="X664" i="1"/>
  <c r="X666" i="1"/>
  <c r="X670" i="1"/>
  <c r="X671" i="1"/>
  <c r="X673" i="1"/>
  <c r="X674" i="1"/>
  <c r="X675" i="1"/>
  <c r="X676" i="1"/>
  <c r="X677"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5" i="1"/>
  <c r="X806" i="1"/>
  <c r="X807" i="1"/>
  <c r="X808" i="1"/>
  <c r="X809" i="1"/>
  <c r="X810" i="1"/>
  <c r="X811" i="1"/>
  <c r="X812" i="1"/>
  <c r="X813" i="1"/>
  <c r="X817" i="1"/>
  <c r="X818" i="1"/>
  <c r="X819" i="1"/>
  <c r="X820" i="1"/>
  <c r="X821" i="1"/>
  <c r="X822" i="1"/>
  <c r="X823" i="1"/>
  <c r="X824" i="1"/>
  <c r="X825" i="1"/>
  <c r="X826" i="1"/>
  <c r="X827" i="1"/>
  <c r="X828" i="1"/>
  <c r="X829" i="1"/>
  <c r="X830" i="1"/>
  <c r="X831" i="1"/>
  <c r="X832" i="1"/>
  <c r="X833" i="1"/>
  <c r="X834" i="1"/>
  <c r="X835" i="1"/>
  <c r="X836" i="1"/>
  <c r="X837" i="1"/>
  <c r="X838" i="1"/>
  <c r="X842" i="1"/>
  <c r="X843" i="1"/>
  <c r="X844" i="1"/>
  <c r="X845" i="1"/>
  <c r="X846" i="1"/>
  <c r="X847" i="1"/>
  <c r="X848" i="1"/>
  <c r="X849" i="1"/>
  <c r="X850" i="1"/>
  <c r="X851" i="1"/>
  <c r="X858" i="1"/>
  <c r="X859" i="1"/>
  <c r="X860" i="1"/>
  <c r="X861" i="1"/>
  <c r="X862" i="1"/>
  <c r="X863" i="1"/>
  <c r="X864" i="1"/>
  <c r="X865" i="1"/>
  <c r="X866" i="1"/>
  <c r="X867" i="1"/>
  <c r="X871" i="1"/>
  <c r="X872" i="1"/>
  <c r="X877" i="1"/>
  <c r="X878" i="1"/>
  <c r="X879" i="1"/>
  <c r="X882" i="1"/>
  <c r="X888" i="1"/>
  <c r="X889" i="1"/>
  <c r="X890" i="1"/>
  <c r="X891" i="1"/>
  <c r="X892" i="1"/>
  <c r="X893" i="1"/>
  <c r="X894" i="1"/>
  <c r="X896" i="1"/>
  <c r="X899" i="1"/>
  <c r="X900" i="1"/>
  <c r="X901" i="1"/>
  <c r="X902" i="1"/>
  <c r="X903" i="1"/>
  <c r="X904" i="1"/>
  <c r="X905" i="1"/>
  <c r="X906" i="1"/>
  <c r="X907" i="1"/>
  <c r="X910" i="1"/>
  <c r="X911" i="1"/>
  <c r="X912" i="1"/>
  <c r="X913" i="1"/>
  <c r="X914" i="1"/>
  <c r="X927"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51" i="1"/>
  <c r="X1352" i="1"/>
  <c r="X1353" i="1"/>
  <c r="X1354" i="1"/>
  <c r="X1355" i="1"/>
  <c r="X1356" i="1"/>
  <c r="X1357" i="1"/>
  <c r="X1358" i="1"/>
  <c r="X1361" i="1"/>
  <c r="X1362" i="1"/>
  <c r="X1366" i="1"/>
  <c r="X1381" i="1"/>
  <c r="X1383" i="1"/>
  <c r="X1384" i="1"/>
  <c r="X1385" i="1"/>
  <c r="X1386" i="1"/>
  <c r="X1387" i="1"/>
  <c r="X1388" i="1"/>
  <c r="X1392" i="1"/>
  <c r="X1395" i="1"/>
  <c r="X1400" i="1"/>
  <c r="X1405" i="1"/>
  <c r="X1406" i="1"/>
  <c r="X1408" i="1"/>
  <c r="X1409" i="1"/>
  <c r="X1412" i="1"/>
  <c r="X1413" i="1"/>
  <c r="X1414" i="1"/>
  <c r="X1415" i="1"/>
  <c r="X1416" i="1"/>
  <c r="X1417" i="1"/>
  <c r="X1418" i="1"/>
  <c r="X1419" i="1"/>
  <c r="X1420" i="1"/>
  <c r="X1421" i="1"/>
  <c r="X1422" i="1"/>
  <c r="X1423" i="1"/>
  <c r="X1424" i="1"/>
  <c r="X1425" i="1"/>
  <c r="X1426" i="1"/>
  <c r="X1427" i="1"/>
  <c r="X1433" i="1"/>
  <c r="X1438" i="1"/>
  <c r="X1445" i="1"/>
  <c r="X1446" i="1"/>
  <c r="X1462" i="1"/>
  <c r="X1463" i="1"/>
  <c r="X1464" i="1"/>
  <c r="X1466" i="1"/>
  <c r="X1467" i="1"/>
  <c r="X1468" i="1"/>
  <c r="X1469" i="1"/>
  <c r="X1472" i="1"/>
  <c r="X1556" i="1"/>
  <c r="X1557" i="1"/>
  <c r="X1558" i="1"/>
  <c r="X1559" i="1"/>
  <c r="X1560" i="1"/>
  <c r="X1569" i="1"/>
  <c r="X1570" i="1"/>
  <c r="X1571" i="1"/>
  <c r="X1576" i="1"/>
  <c r="X1577" i="1"/>
  <c r="X1578" i="1"/>
  <c r="X1581" i="1"/>
  <c r="X1582" i="1"/>
  <c r="X1583" i="1"/>
  <c r="X1584" i="1"/>
  <c r="X1585" i="1"/>
  <c r="X1589" i="1"/>
  <c r="X1590" i="1"/>
  <c r="X1591" i="1"/>
  <c r="X1592" i="1"/>
  <c r="X1593" i="1"/>
  <c r="X1594" i="1"/>
  <c r="X1596" i="1"/>
  <c r="X1597" i="1"/>
  <c r="X1598" i="1"/>
  <c r="X1599" i="1"/>
  <c r="X1600" i="1"/>
  <c r="X1602" i="1"/>
  <c r="X1603" i="1"/>
  <c r="X1604" i="1"/>
  <c r="X1605" i="1"/>
  <c r="X1606" i="1"/>
  <c r="X1607" i="1"/>
  <c r="X1608" i="1"/>
  <c r="X1609" i="1"/>
  <c r="X1610" i="1"/>
  <c r="X1611" i="1"/>
  <c r="X1612" i="1"/>
  <c r="X1613" i="1"/>
  <c r="X1614" i="1"/>
  <c r="X1615" i="1"/>
  <c r="X1616" i="1"/>
  <c r="X1617" i="1"/>
  <c r="X1620" i="1"/>
  <c r="X1626" i="1"/>
  <c r="X1632" i="1"/>
  <c r="X1633" i="1"/>
  <c r="X1634" i="1"/>
  <c r="X1635" i="1"/>
  <c r="X1636" i="1"/>
  <c r="X1637" i="1"/>
  <c r="X1638" i="1"/>
  <c r="X1639" i="1"/>
  <c r="X1640" i="1"/>
  <c r="X1645" i="1"/>
  <c r="X1647" i="1"/>
  <c r="X1649" i="1"/>
  <c r="X1650" i="1"/>
  <c r="X1653" i="1"/>
  <c r="X1681" i="1"/>
  <c r="X1682" i="1"/>
  <c r="X1683" i="1"/>
  <c r="X1684" i="1"/>
  <c r="X1685" i="1"/>
  <c r="X1686" i="1"/>
  <c r="X1707" i="1"/>
  <c r="X1708" i="1"/>
  <c r="X1709" i="1"/>
  <c r="X1712" i="1"/>
  <c r="X1713" i="1"/>
  <c r="X1714" i="1"/>
  <c r="X1720" i="1"/>
  <c r="X1722" i="1"/>
  <c r="X1724" i="1"/>
  <c r="X1725" i="1"/>
  <c r="X1727" i="1"/>
  <c r="X1728" i="1"/>
  <c r="X1729" i="1"/>
  <c r="X1730" i="1"/>
  <c r="X1731" i="1"/>
  <c r="X1732" i="1"/>
  <c r="X1733" i="1"/>
  <c r="X1734" i="1"/>
  <c r="X1736" i="1"/>
  <c r="X1737" i="1"/>
  <c r="X1738" i="1"/>
  <c r="X1739" i="1"/>
  <c r="X1740" i="1"/>
  <c r="X1741" i="1"/>
  <c r="X1742" i="1"/>
  <c r="X1743" i="1"/>
  <c r="X1744" i="1"/>
  <c r="X1745" i="1"/>
  <c r="X1746"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2" i="1"/>
  <c r="X1894" i="1"/>
  <c r="X1896" i="1"/>
  <c r="X1897" i="1"/>
  <c r="X1898" i="1"/>
  <c r="X1899" i="1"/>
  <c r="X1901" i="1"/>
  <c r="X1902" i="1"/>
  <c r="X1903" i="1"/>
  <c r="X1907"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52" i="1"/>
  <c r="X1953" i="1"/>
  <c r="X1954" i="1"/>
  <c r="X1955" i="1"/>
  <c r="X1956" i="1"/>
  <c r="X1957" i="1"/>
  <c r="X1958" i="1"/>
  <c r="X1959" i="1"/>
  <c r="X1960"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2" i="1"/>
  <c r="X2018" i="1"/>
  <c r="X2019" i="1"/>
  <c r="X2020" i="1"/>
  <c r="X2021" i="1"/>
  <c r="X2022" i="1"/>
  <c r="X2023" i="1"/>
  <c r="X2024" i="1"/>
  <c r="X2025" i="1"/>
  <c r="X2026" i="1"/>
  <c r="X2027" i="1"/>
  <c r="X2028" i="1"/>
  <c r="X2030" i="1"/>
  <c r="X2031" i="1"/>
  <c r="X2032" i="1"/>
  <c r="X2033" i="1"/>
  <c r="X2034" i="1"/>
  <c r="X2035" i="1"/>
  <c r="X2036" i="1"/>
  <c r="X2037" i="1"/>
  <c r="X2038" i="1"/>
  <c r="X2039" i="1"/>
  <c r="X2043" i="1"/>
  <c r="X2044" i="1"/>
  <c r="X2045" i="1"/>
  <c r="X2046" i="1"/>
  <c r="X2047" i="1"/>
  <c r="X2048" i="1"/>
  <c r="X2049" i="1"/>
  <c r="X2050" i="1"/>
  <c r="X2051" i="1"/>
  <c r="X2052" i="1"/>
  <c r="X2053" i="1"/>
  <c r="X2054" i="1"/>
  <c r="X2056" i="1"/>
  <c r="X2071" i="1"/>
  <c r="X2072" i="1"/>
  <c r="X2073" i="1"/>
  <c r="X2074" i="1"/>
  <c r="X2075" i="1"/>
  <c r="X2076" i="1"/>
  <c r="X2077" i="1"/>
  <c r="X2078" i="1"/>
  <c r="X2079" i="1"/>
  <c r="X2080" i="1"/>
  <c r="X2081" i="1"/>
  <c r="X2083" i="1"/>
  <c r="X2087" i="1"/>
  <c r="X2096" i="1"/>
  <c r="X2097" i="1"/>
  <c r="X2099" i="1"/>
  <c r="X2100" i="1"/>
  <c r="X2101" i="1"/>
  <c r="X2102" i="1"/>
  <c r="X2103" i="1"/>
  <c r="X2104" i="1"/>
  <c r="X2105" i="1"/>
  <c r="X2106" i="1"/>
  <c r="X2107" i="1"/>
  <c r="X2108" i="1"/>
  <c r="X2109" i="1"/>
  <c r="X2110" i="1"/>
  <c r="X2111" i="1"/>
  <c r="X2112" i="1"/>
  <c r="X2113" i="1"/>
  <c r="X2114" i="1"/>
  <c r="X2115" i="1"/>
  <c r="X2116" i="1"/>
  <c r="X2117" i="1"/>
  <c r="X2118" i="1"/>
  <c r="X2119" i="1"/>
  <c r="X2121" i="1"/>
  <c r="X2127" i="1"/>
  <c r="X2128" i="1"/>
  <c r="X2129" i="1"/>
  <c r="X2130" i="1"/>
  <c r="X2131" i="1"/>
  <c r="X2132" i="1"/>
  <c r="X2133" i="1"/>
  <c r="X2134" i="1"/>
  <c r="X2135" i="1"/>
  <c r="X2136" i="1"/>
  <c r="X2137" i="1"/>
  <c r="X2138" i="1"/>
  <c r="X2139" i="1"/>
  <c r="X2140" i="1"/>
  <c r="X2145" i="1"/>
  <c r="X2146" i="1"/>
  <c r="X2147" i="1"/>
  <c r="X2148" i="1"/>
  <c r="X2149" i="1"/>
  <c r="X2150" i="1"/>
  <c r="X2151"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72" i="1"/>
  <c r="X2373" i="1"/>
  <c r="X2374" i="1"/>
  <c r="X2376" i="1"/>
  <c r="X2379" i="1"/>
  <c r="X2380" i="1"/>
  <c r="X2383" i="1"/>
  <c r="X2384" i="1"/>
  <c r="X2385" i="1"/>
  <c r="X2386" i="1"/>
  <c r="X2395" i="1"/>
  <c r="X2397" i="1"/>
  <c r="X2398" i="1"/>
  <c r="X2399" i="1"/>
  <c r="X2400" i="1"/>
  <c r="X2401" i="1"/>
  <c r="X2402" i="1"/>
  <c r="X2403" i="1"/>
  <c r="X2404" i="1"/>
  <c r="X2405" i="1"/>
  <c r="X2406" i="1"/>
  <c r="X2407" i="1"/>
  <c r="X2408" i="1"/>
  <c r="X2409" i="1"/>
  <c r="X2417" i="1"/>
  <c r="X2418" i="1"/>
  <c r="X2419" i="1"/>
  <c r="X2420" i="1"/>
  <c r="X2421" i="1"/>
  <c r="X2422"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1" i="1"/>
  <c r="X2463" i="1"/>
  <c r="X2464" i="1"/>
  <c r="X2465" i="1"/>
  <c r="X2466" i="1"/>
  <c r="X2470" i="1"/>
  <c r="X2471" i="1"/>
  <c r="X2473" i="1"/>
  <c r="X2479" i="1"/>
  <c r="X2480"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41" i="1"/>
  <c r="X3042" i="1"/>
  <c r="X3047" i="1"/>
  <c r="X3049" i="1"/>
  <c r="X3050" i="1"/>
  <c r="X3064" i="1"/>
  <c r="X3065" i="1"/>
  <c r="X3067" i="1"/>
  <c r="X3074" i="1"/>
  <c r="X3075" i="1"/>
  <c r="X3078" i="1"/>
  <c r="X3081" i="1"/>
  <c r="X3082" i="1"/>
  <c r="X3083" i="1"/>
  <c r="X3084" i="1"/>
  <c r="X3085" i="1"/>
  <c r="X3086" i="1"/>
  <c r="X3087" i="1"/>
  <c r="X3088" i="1"/>
  <c r="X3093" i="1"/>
  <c r="X3094" i="1"/>
  <c r="X3096" i="1"/>
  <c r="X3098" i="1"/>
  <c r="X3100" i="1"/>
  <c r="X3105" i="1"/>
  <c r="X3106" i="1"/>
  <c r="X3107" i="1"/>
  <c r="X3108" i="1"/>
  <c r="X3109" i="1"/>
  <c r="X3112" i="1"/>
  <c r="X3113" i="1"/>
  <c r="X3114" i="1"/>
  <c r="X3115" i="1"/>
  <c r="X3120" i="1"/>
  <c r="X3121" i="1"/>
  <c r="X3123" i="1"/>
  <c r="X3124" i="1"/>
  <c r="X3131" i="1"/>
  <c r="X3132" i="1"/>
  <c r="X3215"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7" i="1"/>
  <c r="X3948" i="1"/>
  <c r="X3951" i="1"/>
  <c r="X3953" i="1"/>
  <c r="X3956" i="1"/>
  <c r="X4008" i="1"/>
  <c r="X4009" i="1"/>
  <c r="X4010" i="1"/>
  <c r="X4012" i="1"/>
  <c r="X4013" i="1"/>
  <c r="X4014" i="1"/>
  <c r="X4015" i="1"/>
  <c r="X4016" i="1"/>
  <c r="X4018" i="1"/>
  <c r="X4028" i="1"/>
  <c r="X4029" i="1"/>
  <c r="X4031" i="1"/>
  <c r="X4032" i="1"/>
  <c r="X4033" i="1"/>
  <c r="X4034" i="1"/>
  <c r="X4036" i="1"/>
  <c r="X4038" i="1"/>
  <c r="X4039" i="1"/>
  <c r="X4040" i="1"/>
  <c r="X4041" i="1"/>
  <c r="X4042" i="1"/>
  <c r="X4044" i="1"/>
  <c r="X4045" i="1"/>
  <c r="X4046" i="1"/>
  <c r="X4049" i="1"/>
  <c r="X4050" i="1"/>
  <c r="X4052" i="1"/>
  <c r="Q1447"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5" i="7"/>
  <c r="O34" i="7" l="1"/>
  <c r="O35" i="7"/>
  <c r="G34" i="7"/>
  <c r="G35" i="7"/>
  <c r="K34" i="7"/>
  <c r="K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<sst xmlns="http://schemas.openxmlformats.org/spreadsheetml/2006/main" count="72047" uniqueCount="20348">
  <si>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</si>
  <si>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</si>
  <si>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</si>
  <si>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</si>
  <si>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</si>
  <si>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</si>
  <si>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</si>
  <si>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</si>
  <si>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</si>
  <si>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</si>
  <si>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</si>
  <si>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</si>
  <si>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</si>
  <si>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</si>
  <si>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</si>
  <si>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</si>
  <si>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</si>
  <si>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</si>
  <si>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</si>
  <si>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</si>
  <si>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</si>
  <si>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</si>
  <si>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</si>
  <si>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</si>
  <si>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</si>
  <si>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</si>
  <si>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</si>
  <si>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</si>
  <si>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</si>
  <si>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</si>
  <si>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</si>
  <si>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</si>
  <si>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</si>
  <si>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</si>
  <si>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</si>
  <si>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</si>
  <si>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</si>
  <si>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</si>
  <si>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</si>
  <si>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</si>
  <si>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</si>
  <si>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</si>
  <si>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</si>
  <si>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</si>
  <si>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</si>
  <si>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</si>
  <si>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</si>
  <si>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</si>
  <si>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</si>
  <si>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</si>
  <si>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</si>
  <si>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</si>
  <si>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</si>
  <si>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</si>
  <si>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</si>
  <si>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</si>
  <si>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</si>
  <si>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</si>
  <si>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</si>
  <si>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</si>
  <si>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</si>
  <si>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</si>
  <si>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</si>
  <si>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</si>
  <si>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</si>
  <si>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</si>
  <si>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</si>
  <si>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</si>
  <si>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</si>
  <si>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</si>
  <si>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</si>
  <si>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</si>
  <si>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</si>
  <si>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</si>
  <si>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</si>
  <si>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</si>
  <si>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</si>
  <si>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</si>
  <si>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</si>
  <si>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</si>
  <si>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</si>
  <si>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</si>
  <si>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</si>
  <si>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</si>
  <si>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</si>
  <si>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</si>
  <si>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</si>
  <si>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</si>
  <si>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</si>
  <si>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</si>
  <si>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</si>
  <si>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</si>
  <si>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</si>
  <si>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</si>
  <si>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</si>
  <si>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</si>
  <si>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</si>
  <si>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</si>
  <si>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</si>
  <si>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</si>
  <si>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</si>
  <si>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</si>
  <si>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</si>
  <si>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</si>
  <si>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</si>
  <si>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</si>
  <si>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</si>
  <si>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</si>
  <si>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</si>
  <si>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</si>
  <si>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</si>
  <si>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</si>
  <si>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</si>
  <si>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</si>
  <si>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</si>
  <si>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</si>
  <si>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</si>
  <si>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</si>
  <si>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</si>
  <si>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</si>
  <si>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</si>
  <si>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</si>
  <si>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</si>
  <si>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</si>
  <si>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</si>
  <si>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</si>
  <si>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</si>
  <si>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</si>
  <si>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</si>
  <si>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</si>
  <si>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</si>
  <si>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</si>
  <si>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</si>
  <si>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</si>
  <si>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</si>
  <si>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</si>
  <si>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</si>
  <si>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</si>
  <si>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</si>
  <si>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</si>
  <si>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</si>
  <si>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</si>
  <si>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</si>
  <si>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</si>
  <si>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</si>
  <si>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</si>
  <si>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</si>
  <si>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</si>
  <si>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</si>
  <si>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</si>
  <si>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</si>
  <si>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</si>
  <si>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</si>
  <si>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</si>
  <si>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</si>
  <si>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</si>
  <si>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</si>
  <si>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</si>
  <si>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</si>
  <si>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</si>
  <si>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</si>
  <si>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</si>
  <si>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</si>
  <si>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</si>
  <si>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</si>
  <si>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</si>
  <si>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</si>
  <si>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</si>
  <si>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</si>
  <si>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</si>
  <si>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</si>
  <si>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</si>
  <si>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</si>
  <si>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</si>
  <si>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</si>
  <si>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</si>
  <si>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</si>
  <si>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</si>
  <si>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</si>
  <si>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</si>
  <si>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</si>
  <si>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</si>
  <si>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</si>
  <si>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</si>
  <si>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</si>
  <si>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</si>
  <si>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</si>
  <si>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</si>
  <si>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</si>
  <si>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</si>
  <si>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</si>
  <si>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</si>
  <si>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</si>
  <si>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</si>
  <si>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</si>
  <si>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</si>
  <si>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</si>
  <si>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</si>
  <si>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</si>
  <si>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</si>
  <si>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</si>
  <si>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</si>
  <si>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</si>
  <si>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</si>
  <si>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</si>
  <si>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</si>
  <si>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</si>
  <si>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</si>
  <si>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</si>
  <si>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</si>
  <si>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</si>
  <si>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</si>
  <si>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</si>
  <si>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</si>
  <si>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</si>
  <si>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</si>
  <si>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</si>
  <si>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</si>
  <si>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</si>
  <si>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</si>
  <si>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</si>
  <si>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</si>
  <si>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</si>
  <si>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</si>
  <si>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leiafinancenews</t>
  </si>
  <si>
    <t>acoesbr</t>
  </si>
  <si>
    <t>acoesimportam</t>
  </si>
  <si>
    <t>luciocw</t>
  </si>
  <si>
    <t>economaticabr</t>
  </si>
  <si>
    <t>tina_pimenteld</t>
  </si>
  <si>
    <t>juanfidalgo_</t>
  </si>
  <si>
    <t>vokininvest</t>
  </si>
  <si>
    <t>felippe_analyst</t>
  </si>
  <si>
    <t>guidottisilva</t>
  </si>
  <si>
    <t>invexcripto</t>
  </si>
  <si>
    <t>rudimarbenfatto</t>
  </si>
  <si>
    <t>caiohsr0</t>
  </si>
  <si>
    <t>garimpeiroinvst</t>
  </si>
  <si>
    <t>da_randel</t>
  </si>
  <si>
    <t>webtcoficial</t>
  </si>
  <si>
    <t>diariodovale</t>
  </si>
  <si>
    <t>perfilcombrasil</t>
  </si>
  <si>
    <t>diegotraderb3</t>
  </si>
  <si>
    <t>epbr</t>
  </si>
  <si>
    <t>realpauloborba</t>
  </si>
  <si>
    <t>empiricus</t>
  </si>
  <si>
    <t>ellenaddison423</t>
  </si>
  <si>
    <t>bryeno</t>
  </si>
  <si>
    <t>thegemshunter</t>
  </si>
  <si>
    <t>calilecalil</t>
  </si>
  <si>
    <t>jacksondomenico</t>
  </si>
  <si>
    <t>mundo_sap</t>
  </si>
  <si>
    <t>edexprime</t>
  </si>
  <si>
    <t>ale_usilva</t>
  </si>
  <si>
    <t>somosnomos</t>
  </si>
  <si>
    <t>jovempannews</t>
  </si>
  <si>
    <t>vsmolina3</t>
  </si>
  <si>
    <t>giranoticias</t>
  </si>
  <si>
    <t>escolacripto</t>
  </si>
  <si>
    <t>denisectoledo8</t>
  </si>
  <si>
    <t>botinhao</t>
  </si>
  <si>
    <t>investidoreso</t>
  </si>
  <si>
    <t>sergioparrelli</t>
  </si>
  <si>
    <t>wallfigueiredo</t>
  </si>
  <si>
    <t>franciscob_at</t>
  </si>
  <si>
    <t>perspectiveinvs</t>
  </si>
  <si>
    <t>pmw_noticias</t>
  </si>
  <si>
    <t>culturaalterna5</t>
  </si>
  <si>
    <t>bedrock079tm</t>
  </si>
  <si>
    <t>viniciocarlos_</t>
  </si>
  <si>
    <t>sxidiomas</t>
  </si>
  <si>
    <t>inteligentbolsa</t>
  </si>
  <si>
    <t>aleatoriando_o</t>
  </si>
  <si>
    <t>marcossanru</t>
  </si>
  <si>
    <t>gorilainvest</t>
  </si>
  <si>
    <t>salamandraamby</t>
  </si>
  <si>
    <t>andrewcfonseca</t>
  </si>
  <si>
    <t>arthurodriguex</t>
  </si>
  <si>
    <t>facolommoney</t>
  </si>
  <si>
    <t>ayronferreira</t>
  </si>
  <si>
    <t>hmiacatracha</t>
  </si>
  <si>
    <t>instecovida</t>
  </si>
  <si>
    <t>andrelenski</t>
  </si>
  <si>
    <t>governope</t>
  </si>
  <si>
    <t>blogdojuares</t>
  </si>
  <si>
    <t>umanresa</t>
  </si>
  <si>
    <t>henriquehikgt</t>
  </si>
  <si>
    <t>candeprofessor</t>
  </si>
  <si>
    <t>williamhuntbr</t>
  </si>
  <si>
    <t>10marcellofaria</t>
  </si>
  <si>
    <t>oconvergente_</t>
  </si>
  <si>
    <t>johanancastell</t>
  </si>
  <si>
    <t>jeffersonlucabr</t>
  </si>
  <si>
    <t>visualmodo</t>
  </si>
  <si>
    <t>awsan</t>
  </si>
  <si>
    <t>wesleyluiz01</t>
  </si>
  <si>
    <t>nancy_fxgold_</t>
  </si>
  <si>
    <t>luciasantanna22</t>
  </si>
  <si>
    <t>jsemanario</t>
  </si>
  <si>
    <t>dleon3211</t>
  </si>
  <si>
    <t>hellentaynan</t>
  </si>
  <si>
    <t>mais_superior</t>
  </si>
  <si>
    <t>esron</t>
  </si>
  <si>
    <t>relatorio</t>
  </si>
  <si>
    <t>funnybetbrasil</t>
  </si>
  <si>
    <t>hubinvestidor</t>
  </si>
  <si>
    <t>alnanet</t>
  </si>
  <si>
    <t>crfminas</t>
  </si>
  <si>
    <t>moprify</t>
  </si>
  <si>
    <t>canalfs0ciety</t>
  </si>
  <si>
    <t>jornaldagazeta</t>
  </si>
  <si>
    <t>smashupbrazil</t>
  </si>
  <si>
    <t>forbesbr</t>
  </si>
  <si>
    <t>borja_on_stocks</t>
  </si>
  <si>
    <t>mercado_em_alta</t>
  </si>
  <si>
    <t>beyourscompany</t>
  </si>
  <si>
    <t>sonartrade</t>
  </si>
  <si>
    <t>janningmiguel</t>
  </si>
  <si>
    <t>eduardo_garufi</t>
  </si>
  <si>
    <t>izzinvest</t>
  </si>
  <si>
    <t>andreluiztorr11</t>
  </si>
  <si>
    <t>freeclassific</t>
  </si>
  <si>
    <t>rafaelporcari</t>
  </si>
  <si>
    <t>roletasalafree</t>
  </si>
  <si>
    <t>debritoinvest</t>
  </si>
  <si>
    <t>brainpowerbr</t>
  </si>
  <si>
    <t>petruspeters8</t>
  </si>
  <si>
    <t>leandro25687644</t>
  </si>
  <si>
    <t>cmcovilha</t>
  </si>
  <si>
    <t>nishioeduardo</t>
  </si>
  <si>
    <t>joaobrbrbr</t>
  </si>
  <si>
    <t>investe1tempo</t>
  </si>
  <si>
    <t>willinvestindo</t>
  </si>
  <si>
    <t>prmarcosbrasil1</t>
  </si>
  <si>
    <t>diego_dias_10</t>
  </si>
  <si>
    <t>marcio_mendonc</t>
  </si>
  <si>
    <t>daytraderpt</t>
  </si>
  <si>
    <t>charao_andre</t>
  </si>
  <si>
    <t>danielperu</t>
  </si>
  <si>
    <t>gustavober_59</t>
  </si>
  <si>
    <t>giramundoap</t>
  </si>
  <si>
    <t>force2mv</t>
  </si>
  <si>
    <t>wellington_tds</t>
  </si>
  <si>
    <t>leiacryptotimes</t>
  </si>
  <si>
    <t>rodrigues590804</t>
  </si>
  <si>
    <t>axcrestfall</t>
  </si>
  <si>
    <t>investedigitall</t>
  </si>
  <si>
    <t>investidorcltt</t>
  </si>
  <si>
    <t>xcadubr</t>
  </si>
  <si>
    <t>lucas_nv_cnpi</t>
  </si>
  <si>
    <t>ericacamposmar1</t>
  </si>
  <si>
    <t>exito_oficial</t>
  </si>
  <si>
    <t>sindifisconac</t>
  </si>
  <si>
    <t>flordeserto</t>
  </si>
  <si>
    <t>istoe_dinheiro</t>
  </si>
  <si>
    <t>rnainvest</t>
  </si>
  <si>
    <t>ufpeoficial</t>
  </si>
  <si>
    <t>rafaelalgodao</t>
  </si>
  <si>
    <t>careca4p</t>
  </si>
  <si>
    <t>anbima_br</t>
  </si>
  <si>
    <t>andrecerque</t>
  </si>
  <si>
    <t>oramainvest</t>
  </si>
  <si>
    <t>nicolaslicce</t>
  </si>
  <si>
    <t>prefesaraquari</t>
  </si>
  <si>
    <t>jornaldooeste</t>
  </si>
  <si>
    <t>penselacerda</t>
  </si>
  <si>
    <t>marciojuri</t>
  </si>
  <si>
    <t>lp4planejamento</t>
  </si>
  <si>
    <t>napoleaoadv</t>
  </si>
  <si>
    <t>brumazzoni</t>
  </si>
  <si>
    <t>forkthebanks_io</t>
  </si>
  <si>
    <t>pge_ma</t>
  </si>
  <si>
    <t>papodemilhao022</t>
  </si>
  <si>
    <t>investucan0</t>
  </si>
  <si>
    <t>panksgo</t>
  </si>
  <si>
    <t>facilinvestidor</t>
  </si>
  <si>
    <t>fxando</t>
  </si>
  <si>
    <t>jovempanentrete</t>
  </si>
  <si>
    <t>portal_viu</t>
  </si>
  <si>
    <t>jocarlosdaraujo</t>
  </si>
  <si>
    <t>felipedospneus</t>
  </si>
  <si>
    <t>eniacsjc</t>
  </si>
  <si>
    <t>darisamattos</t>
  </si>
  <si>
    <t>governosergipe</t>
  </si>
  <si>
    <t>dolcarajas</t>
  </si>
  <si>
    <t>shnakatani</t>
  </si>
  <si>
    <t>alisc</t>
  </si>
  <si>
    <t>vi_ruscito</t>
  </si>
  <si>
    <t>dinheirama</t>
  </si>
  <si>
    <t>sigler_marcia</t>
  </si>
  <si>
    <t>tcinvestimentos</t>
  </si>
  <si>
    <t>j_ramacciotti</t>
  </si>
  <si>
    <t>caio_c_antonio</t>
  </si>
  <si>
    <t>francisinvicto</t>
  </si>
  <si>
    <t>thiagobudni</t>
  </si>
  <si>
    <t>falkalertas</t>
  </si>
  <si>
    <t>fcardan</t>
  </si>
  <si>
    <t>androidfinal</t>
  </si>
  <si>
    <t>urtado_cesar</t>
  </si>
  <si>
    <t>nelsonpeixoto20</t>
  </si>
  <si>
    <t>mpzae</t>
  </si>
  <si>
    <t>edivaniobs</t>
  </si>
  <si>
    <t>edmarbertolo</t>
  </si>
  <si>
    <t>einvestidor</t>
  </si>
  <si>
    <t>trademapapp</t>
  </si>
  <si>
    <t>brasilsuino</t>
  </si>
  <si>
    <t>simaocassange</t>
  </si>
  <si>
    <t>estoaresearch</t>
  </si>
  <si>
    <t>daniel_bm92</t>
  </si>
  <si>
    <t>stelute</t>
  </si>
  <si>
    <t>cripto_leblon</t>
  </si>
  <si>
    <t>leomorban</t>
  </si>
  <si>
    <t>filosofiadetrad</t>
  </si>
  <si>
    <t>meugamerbr</t>
  </si>
  <si>
    <t>revistagc1</t>
  </si>
  <si>
    <t>jhonata13179362</t>
  </si>
  <si>
    <t>enfoqueif</t>
  </si>
  <si>
    <t>rferreirasbc</t>
  </si>
  <si>
    <t>iqoption_pt</t>
  </si>
  <si>
    <t>paulomartinsdev</t>
  </si>
  <si>
    <t>noalvo3</t>
  </si>
  <si>
    <t>georgestmattos</t>
  </si>
  <si>
    <t>genialinveste</t>
  </si>
  <si>
    <t>invistafinancas</t>
  </si>
  <si>
    <t>brcointelegraph</t>
  </si>
  <si>
    <t>seu_dinheiro_br</t>
  </si>
  <si>
    <t>motorshow_ed3</t>
  </si>
  <si>
    <t>financad</t>
  </si>
  <si>
    <t>vnc_005</t>
  </si>
  <si>
    <t>pittertrader</t>
  </si>
  <si>
    <t>moneymarkets_br</t>
  </si>
  <si>
    <t>euqueroinvestir</t>
  </si>
  <si>
    <t>paivapiovesan</t>
  </si>
  <si>
    <t>o_turco_</t>
  </si>
  <si>
    <t>monicabrisolla</t>
  </si>
  <si>
    <t>leiaflj</t>
  </si>
  <si>
    <t>czambelo</t>
  </si>
  <si>
    <t>maribh2</t>
  </si>
  <si>
    <t>israelborba</t>
  </si>
  <si>
    <t>sonoticiaboaofc</t>
  </si>
  <si>
    <t>casal_trader</t>
  </si>
  <si>
    <t>tiagogreis</t>
  </si>
  <si>
    <t>japonews_eth</t>
  </si>
  <si>
    <t>filipeborgesfb</t>
  </si>
  <si>
    <t>cmswbr</t>
  </si>
  <si>
    <t>jornaldaki</t>
  </si>
  <si>
    <t>tarcisiogdf</t>
  </si>
  <si>
    <t>pixtvhd</t>
  </si>
  <si>
    <t>granjanews</t>
  </si>
  <si>
    <t>exnova_pt</t>
  </si>
  <si>
    <t>dygosilvagraves</t>
  </si>
  <si>
    <t>matheuscdesales</t>
  </si>
  <si>
    <t>kratoncapital</t>
  </si>
  <si>
    <t>oantenado_</t>
  </si>
  <si>
    <t>vdividendos</t>
  </si>
  <si>
    <t>1bertoalexandre</t>
  </si>
  <si>
    <t>rafaeldemello_</t>
  </si>
  <si>
    <t>teg6oficial</t>
  </si>
  <si>
    <t>juristecadv</t>
  </si>
  <si>
    <t>adrieli05758330</t>
  </si>
  <si>
    <t>fumarmata8</t>
  </si>
  <si>
    <t>jbmholding</t>
  </si>
  <si>
    <t>brunovenancio</t>
  </si>
  <si>
    <t>andreczero</t>
  </si>
  <si>
    <t>kabbalahinfopt</t>
  </si>
  <si>
    <t>raphael_tesla</t>
  </si>
  <si>
    <t>ricomonteiro76</t>
  </si>
  <si>
    <t>lexlatinbr</t>
  </si>
  <si>
    <t>luyzananna</t>
  </si>
  <si>
    <t>demoedaemmoeda</t>
  </si>
  <si>
    <t>nascimentomma</t>
  </si>
  <si>
    <t>dropsdomercado</t>
  </si>
  <si>
    <t>comdinheiro</t>
  </si>
  <si>
    <t>lubashivaya</t>
  </si>
  <si>
    <t>robsob87</t>
  </si>
  <si>
    <t>danimontori_at</t>
  </si>
  <si>
    <t>jose_saragoza</t>
  </si>
  <si>
    <t>alelansampa</t>
  </si>
  <si>
    <t>ydlpizarro</t>
  </si>
  <si>
    <t>estrelladigital</t>
  </si>
  <si>
    <t>marcia23403</t>
  </si>
  <si>
    <t>buenocosta20</t>
  </si>
  <si>
    <t>cayocesar89</t>
  </si>
  <si>
    <t>pensarpiaui</t>
  </si>
  <si>
    <t>pipelinevalor</t>
  </si>
  <si>
    <t>stigertrodrigo</t>
  </si>
  <si>
    <t>theinfoveritas</t>
  </si>
  <si>
    <t>jnegocios</t>
  </si>
  <si>
    <t>caminhodoinves1</t>
  </si>
  <si>
    <t>ionited_io</t>
  </si>
  <si>
    <t>ricsantosesilva</t>
  </si>
  <si>
    <t>rodrigofv</t>
  </si>
  <si>
    <t>flaviosouza2810</t>
  </si>
  <si>
    <t>operadoresbr</t>
  </si>
  <si>
    <t>wladuarte</t>
  </si>
  <si>
    <t>polidistrital</t>
  </si>
  <si>
    <t>rbreia</t>
  </si>
  <si>
    <t>dinheirovdd</t>
  </si>
  <si>
    <t>gabrielrigon86</t>
  </si>
  <si>
    <t>charlesfibonacc</t>
  </si>
  <si>
    <t>modalmais</t>
  </si>
  <si>
    <t>ygor_fbc</t>
  </si>
  <si>
    <t>portal_viva</t>
  </si>
  <si>
    <t>fonte_certa</t>
  </si>
  <si>
    <t>exxcedeoficial</t>
  </si>
  <si>
    <t>truxtinvest</t>
  </si>
  <si>
    <t>t2id_</t>
  </si>
  <si>
    <t>gabriiiell_gb</t>
  </si>
  <si>
    <t>digital_profit1</t>
  </si>
  <si>
    <t>contadorfred</t>
  </si>
  <si>
    <t>arhursantos</t>
  </si>
  <si>
    <t>viciodeinvestid</t>
  </si>
  <si>
    <t>prudente_ip</t>
  </si>
  <si>
    <t>granacapital</t>
  </si>
  <si>
    <t>sfainvest</t>
  </si>
  <si>
    <t>kaio_csilva</t>
  </si>
  <si>
    <t>cptm_oficial</t>
  </si>
  <si>
    <t>juliocsborba27</t>
  </si>
  <si>
    <t>arthurvallephd</t>
  </si>
  <si>
    <t>b3_oficial</t>
  </si>
  <si>
    <t>carlosteles__</t>
  </si>
  <si>
    <t>p_prefeitura</t>
  </si>
  <si>
    <t>cadubr</t>
  </si>
  <si>
    <t>activtrades_pt</t>
  </si>
  <si>
    <t>contraponto_jor</t>
  </si>
  <si>
    <t>plamevoficial</t>
  </si>
  <si>
    <t>andreibecker</t>
  </si>
  <si>
    <t>heulerandrey</t>
  </si>
  <si>
    <t>cultivarofuturo</t>
  </si>
  <si>
    <t>investfrugal</t>
  </si>
  <si>
    <t>anatassara</t>
  </si>
  <si>
    <t>davidwashin</t>
  </si>
  <si>
    <t>1nverpersona1</t>
  </si>
  <si>
    <t>vagner_caldas</t>
  </si>
  <si>
    <t>incriptomoedas</t>
  </si>
  <si>
    <t>bloomberglineab</t>
  </si>
  <si>
    <t>rcordeiro21</t>
  </si>
  <si>
    <t>fundspeoplept</t>
  </si>
  <si>
    <t>fragmentos27</t>
  </si>
  <si>
    <t>econovisao</t>
  </si>
  <si>
    <t>kingrodrigues0</t>
  </si>
  <si>
    <t>mecfin</t>
  </si>
  <si>
    <t>rodmf</t>
  </si>
  <si>
    <t>blogdohiel</t>
  </si>
  <si>
    <t>plu7oficial</t>
  </si>
  <si>
    <t>coingraphnewspt</t>
  </si>
  <si>
    <t>anderson77i</t>
  </si>
  <si>
    <t>jornal_panorama</t>
  </si>
  <si>
    <t>adminneotel</t>
  </si>
  <si>
    <t>economicnewsbr</t>
  </si>
  <si>
    <t>joselaus</t>
  </si>
  <si>
    <t>reutersworld</t>
  </si>
  <si>
    <t>info_global_</t>
  </si>
  <si>
    <t>bmp1357</t>
  </si>
  <si>
    <t>ocriptomestre</t>
  </si>
  <si>
    <t>criptomestres</t>
  </si>
  <si>
    <t>peritofinanc</t>
  </si>
  <si>
    <t>lucaspereira_ef</t>
  </si>
  <si>
    <t>webercripim</t>
  </si>
  <si>
    <t>vitorfaustinoyt</t>
  </si>
  <si>
    <t>correiodeminas</t>
  </si>
  <si>
    <t>lipeinveste</t>
  </si>
  <si>
    <t>eddie_poker</t>
  </si>
  <si>
    <t>ex_terior</t>
  </si>
  <si>
    <t>osmarangelin</t>
  </si>
  <si>
    <t>yagocardoso_</t>
  </si>
  <si>
    <t>wagnergeremia</t>
  </si>
  <si>
    <t>marcosmanguelli</t>
  </si>
  <si>
    <t>espacorecomecar</t>
  </si>
  <si>
    <t>piauidaniel</t>
  </si>
  <si>
    <t>lucasrdgx</t>
  </si>
  <si>
    <t>osdadosmostram</t>
  </si>
  <si>
    <t>jadsonlimanovo</t>
  </si>
  <si>
    <t>aulaplusbr</t>
  </si>
  <si>
    <t>btgpactual</t>
  </si>
  <si>
    <t>investemvalor</t>
  </si>
  <si>
    <t>seiacoes</t>
  </si>
  <si>
    <t>vanessadezem</t>
  </si>
  <si>
    <t>murilo_sobral</t>
  </si>
  <si>
    <t>alemartuchelli</t>
  </si>
  <si>
    <t>falkcapital</t>
  </si>
  <si>
    <t>diario_comercio</t>
  </si>
  <si>
    <t>mcmanocall</t>
  </si>
  <si>
    <t>ingridflima87</t>
  </si>
  <si>
    <t>mais_educativa</t>
  </si>
  <si>
    <t>toninhodocall</t>
  </si>
  <si>
    <t>jamesatayde</t>
  </si>
  <si>
    <t>celiobalbi</t>
  </si>
  <si>
    <t>investmattallen</t>
  </si>
  <si>
    <t>marquinhodapipa</t>
  </si>
  <si>
    <t>onjornal1</t>
  </si>
  <si>
    <t>maykoonayk</t>
  </si>
  <si>
    <t>revistamt1</t>
  </si>
  <si>
    <t>sobratema</t>
  </si>
  <si>
    <t>mano_investidor</t>
  </si>
  <si>
    <t>bravacapital</t>
  </si>
  <si>
    <t>cleudo_lima</t>
  </si>
  <si>
    <t>hiltonboss90841</t>
  </si>
  <si>
    <t>clickpetroleoeg</t>
  </si>
  <si>
    <t>glaucojarzinski</t>
  </si>
  <si>
    <t>light_love7</t>
  </si>
  <si>
    <t>factutrade</t>
  </si>
  <si>
    <t>amanciomatheus1</t>
  </si>
  <si>
    <t>damiosoaresnun</t>
  </si>
  <si>
    <t>leiaagrotimes</t>
  </si>
  <si>
    <t>leiamoneytimes</t>
  </si>
  <si>
    <t>hsrodrigues2</t>
  </si>
  <si>
    <t>amazonasatual</t>
  </si>
  <si>
    <t>guiaindicador</t>
  </si>
  <si>
    <t>camarasaopaulo</t>
  </si>
  <si>
    <t>exnesscorretora</t>
  </si>
  <si>
    <t>canalcomlucro</t>
  </si>
  <si>
    <t>senhorhidden</t>
  </si>
  <si>
    <t>phani_29</t>
  </si>
  <si>
    <t>correa899</t>
  </si>
  <si>
    <t>maisnewsoficial</t>
  </si>
  <si>
    <t>tradervlog</t>
  </si>
  <si>
    <t>invest_nomad</t>
  </si>
  <si>
    <t>i_monetaria</t>
  </si>
  <si>
    <t>pensemercado</t>
  </si>
  <si>
    <t>carvalhoalves</t>
  </si>
  <si>
    <t>invista_nabolsa</t>
  </si>
  <si>
    <t>statusinvestbr</t>
  </si>
  <si>
    <t>meusfii</t>
  </si>
  <si>
    <t>investirna</t>
  </si>
  <si>
    <t>pedroalegre17</t>
  </si>
  <si>
    <t>fiinewspaper</t>
  </si>
  <si>
    <t>publishorperich</t>
  </si>
  <si>
    <t>raquellyra</t>
  </si>
  <si>
    <t>igoor_serrano</t>
  </si>
  <si>
    <t>rintaroufx</t>
  </si>
  <si>
    <t>jonathan_baldi_</t>
  </si>
  <si>
    <t>smarttbot</t>
  </si>
  <si>
    <t>fabiooliveira18</t>
  </si>
  <si>
    <t>descoletizado</t>
  </si>
  <si>
    <t>cavalachepedro</t>
  </si>
  <si>
    <t>edu_manthis</t>
  </si>
  <si>
    <t>joaobppsp2070</t>
  </si>
  <si>
    <t>cebolasurf</t>
  </si>
  <si>
    <t>expressopb</t>
  </si>
  <si>
    <t>sef_multi</t>
  </si>
  <si>
    <t>dicadehoje7</t>
  </si>
  <si>
    <t>smartbrain_br</t>
  </si>
  <si>
    <t>piauinet</t>
  </si>
  <si>
    <t>indiabrazilcha1</t>
  </si>
  <si>
    <t>trading_jazz</t>
  </si>
  <si>
    <t>pauta_economica</t>
  </si>
  <si>
    <t>ativosgarantem</t>
  </si>
  <si>
    <t>alcyrbeltrame</t>
  </si>
  <si>
    <t>articainvest</t>
  </si>
  <si>
    <t>lucasholandacl</t>
  </si>
  <si>
    <t>hojeinvestir</t>
  </si>
  <si>
    <t>lumluxart</t>
  </si>
  <si>
    <t>celinhomedeiros</t>
  </si>
  <si>
    <t>penseexcel</t>
  </si>
  <si>
    <t>ocesarkato</t>
  </si>
  <si>
    <t>maniam_podcast</t>
  </si>
  <si>
    <t>brunova56701023</t>
  </si>
  <si>
    <t>moneyiinvest</t>
  </si>
  <si>
    <t>agorapiauisite</t>
  </si>
  <si>
    <t>tmarketl</t>
  </si>
  <si>
    <t>bytresloucado</t>
  </si>
  <si>
    <t>ocleydsontrader</t>
  </si>
  <si>
    <t>ocanaldalili</t>
  </si>
  <si>
    <t>noticias_b3</t>
  </si>
  <si>
    <t>seguroambiental</t>
  </si>
  <si>
    <t>eduardonishio</t>
  </si>
  <si>
    <t>2tmobinvesting</t>
  </si>
  <si>
    <t>sigaif</t>
  </si>
  <si>
    <t>regbit1</t>
  </si>
  <si>
    <t>blockbr_</t>
  </si>
  <si>
    <t>peupimenta</t>
  </si>
  <si>
    <t>rodrigo__correa</t>
  </si>
  <si>
    <t>panflixoficial</t>
  </si>
  <si>
    <t>podcall2023</t>
  </si>
  <si>
    <t>pabloricksom</t>
  </si>
  <si>
    <t>midregional</t>
  </si>
  <si>
    <t>descomplicaft</t>
  </si>
  <si>
    <t>vasconcellos984</t>
  </si>
  <si>
    <t>otimistaoficial</t>
  </si>
  <si>
    <t>thomasppessoaa</t>
  </si>
  <si>
    <t>_primebrokers</t>
  </si>
  <si>
    <t>crisinveste</t>
  </si>
  <si>
    <t>erkcvl</t>
  </si>
  <si>
    <t>lenoar75</t>
  </si>
  <si>
    <t>oaltoacre</t>
  </si>
  <si>
    <t>diariodegoias</t>
  </si>
  <si>
    <t>keepgrowing_</t>
  </si>
  <si>
    <t>cssfinance</t>
  </si>
  <si>
    <t>financas</t>
  </si>
  <si>
    <t>movo_trade</t>
  </si>
  <si>
    <t>cbcardoso01</t>
  </si>
  <si>
    <t>bpmoney_</t>
  </si>
  <si>
    <t>ppspencersoares</t>
  </si>
  <si>
    <t>hamampaulo</t>
  </si>
  <si>
    <t>cryptonita_ta</t>
  </si>
  <si>
    <t>dicionario_news</t>
  </si>
  <si>
    <t>capivaranab3</t>
  </si>
  <si>
    <t>correiopopular_</t>
  </si>
  <si>
    <t>empreendegoias</t>
  </si>
  <si>
    <t>agenciacma</t>
  </si>
  <si>
    <t>alyson_davalle</t>
  </si>
  <si>
    <t>corridasdetouro</t>
  </si>
  <si>
    <t>brazilmineral</t>
  </si>
  <si>
    <t>ronaldolundgren</t>
  </si>
  <si>
    <t>duduhrosa13</t>
  </si>
  <si>
    <t>brasil247</t>
  </si>
  <si>
    <t>rafael__costa__</t>
  </si>
  <si>
    <t>investciente</t>
  </si>
  <si>
    <t>smartcryptobr</t>
  </si>
  <si>
    <t>foletooficial</t>
  </si>
  <si>
    <t>quebradob</t>
  </si>
  <si>
    <t>caesgatos</t>
  </si>
  <si>
    <t>rodrigobarboza7</t>
  </si>
  <si>
    <t>bancocentralbr</t>
  </si>
  <si>
    <t>allqamarin</t>
  </si>
  <si>
    <t>estantevirtuall</t>
  </si>
  <si>
    <t>mtteixeira</t>
  </si>
  <si>
    <t>midimashup</t>
  </si>
  <si>
    <t>vitoartswow</t>
  </si>
  <si>
    <t>romerofinancas</t>
  </si>
  <si>
    <t>yomelijah</t>
  </si>
  <si>
    <t>knop_op</t>
  </si>
  <si>
    <t>emoneybrasil</t>
  </si>
  <si>
    <t>ig</t>
  </si>
  <si>
    <t>henleinvest</t>
  </si>
  <si>
    <t>bbgemportugues</t>
  </si>
  <si>
    <t>investingbrasil</t>
  </si>
  <si>
    <t>farialima_aai</t>
  </si>
  <si>
    <t>financeone_br</t>
  </si>
  <si>
    <t>pequenosestudos</t>
  </si>
  <si>
    <t>youtube</t>
  </si>
  <si>
    <t>petrobras</t>
  </si>
  <si>
    <t>criptofacil</t>
  </si>
  <si>
    <t>mfbohm</t>
  </si>
  <si>
    <t>faustobotelho</t>
  </si>
  <si>
    <t>tvgazetaoficial</t>
  </si>
  <si>
    <t>cope</t>
  </si>
  <si>
    <t>padtec</t>
  </si>
  <si>
    <t>claudiacontaii</t>
  </si>
  <si>
    <t>tucaandrada3</t>
  </si>
  <si>
    <t>luizmoura123</t>
  </si>
  <si>
    <t>nubank</t>
  </si>
  <si>
    <t>invest_academy</t>
  </si>
  <si>
    <t>olhardigital</t>
  </si>
  <si>
    <t>mashirafael</t>
  </si>
  <si>
    <t>erer</t>
  </si>
  <si>
    <t>interbr</t>
  </si>
  <si>
    <t>futebol_info</t>
  </si>
  <si>
    <t>professorbaroni</t>
  </si>
  <si>
    <t>felipetadewald</t>
  </si>
  <si>
    <t>nonoinvestidor</t>
  </si>
  <si>
    <t>netoinvest</t>
  </si>
  <si>
    <t>ionedu</t>
  </si>
  <si>
    <t>b3bipolar</t>
  </si>
  <si>
    <t>tradingview</t>
  </si>
  <si>
    <t>polkadot</t>
  </si>
  <si>
    <t>polkabridge</t>
  </si>
  <si>
    <t>proeducacional</t>
  </si>
  <si>
    <t>business</t>
  </si>
  <si>
    <t>seekingalpha</t>
  </si>
  <si>
    <t>markets</t>
  </si>
  <si>
    <t>filipevillegas</t>
  </si>
  <si>
    <t>_robertomotta</t>
  </si>
  <si>
    <t>analiseenergia</t>
  </si>
  <si>
    <t>segurancasp</t>
  </si>
  <si>
    <t>prefdecotia</t>
  </si>
  <si>
    <t>marketwatch</t>
  </si>
  <si>
    <t>litecoin</t>
  </si>
  <si>
    <t>microstrategy</t>
  </si>
  <si>
    <t>rbainfo</t>
  </si>
  <si>
    <t>radiotabajara</t>
  </si>
  <si>
    <t>hrhmbnsalmaan</t>
  </si>
  <si>
    <t>spreaker</t>
  </si>
  <si>
    <t>bmcnewstv</t>
  </si>
  <si>
    <t>activtrades</t>
  </si>
  <si>
    <t>cmcapitaleplus</t>
  </si>
  <si>
    <t>freepik</t>
  </si>
  <si>
    <t>brianferoldi</t>
  </si>
  <si>
    <t>valoreconomico</t>
  </si>
  <si>
    <t>farialimaelevat</t>
  </si>
  <si>
    <t>tevaindices</t>
  </si>
  <si>
    <t>mmakersoficial</t>
  </si>
  <si>
    <t>degiro</t>
  </si>
  <si>
    <t>minerva_beef3</t>
  </si>
  <si>
    <t>getthejb</t>
  </si>
  <si>
    <t>b3</t>
  </si>
  <si>
    <t>viniciu06354450</t>
  </si>
  <si>
    <t>feantonioli21</t>
  </si>
  <si>
    <t>andradevini3</t>
  </si>
  <si>
    <t>magalu</t>
  </si>
  <si>
    <t>hilton</t>
  </si>
  <si>
    <t>brunoreisba</t>
  </si>
  <si>
    <t>victordojornal</t>
  </si>
  <si>
    <t>ivanbarboza_</t>
  </si>
  <si>
    <t>waldezoficial</t>
  </si>
  <si>
    <t>danielalima_</t>
  </si>
  <si>
    <t>consedbr</t>
  </si>
  <si>
    <t>nathfinancas</t>
  </si>
  <si>
    <t>xpinvestimentos</t>
  </si>
  <si>
    <t>Replies to</t>
  </si>
  <si>
    <t>Quote</t>
  </si>
  <si>
    <t>Mentions</t>
  </si>
  <si>
    <t>Retweet</t>
  </si>
  <si>
    <t>MentionsInQuote</t>
  </si>
  <si>
    <t>MentionsInReplyTo</t>
  </si>
  <si>
    <t>Eventos que podem impactar a Bolsa nesta semana - Finance News https://t.co/xxPpZdkkPK 
#Bolsa #ações #Ibovespa</t>
  </si>
  <si>
    <t>Companhias que divulgaram informações sobre dividendos e JCP na semana - Finance News https://t.co/wso7hrHHd7 
#ações #PETR4 #ALUP11 #MTRE3 #RANI3 #GRND3</t>
  </si>
  <si>
    <t>Companhias que divulgaram informações sobre dividendos e JCP na semana - Finance News https://t.co/lt86WmqPlA 
#dividendo #ações</t>
  </si>
  <si>
    <t>Companhias que divulgaram informações sobre dividendos e JCP na semana - Finance News https://t.co/YTp5WJaf0t 
#dividendo #JCP #ações</t>
  </si>
  <si>
    <t>Companhias que divulgaram informações sobre dividendos e JCP na semana - Finance News https://t.co/QZUFkwArBK 
#dividendo #provento #ações</t>
  </si>
  <si>
    <t>Agenda de dividendo da semana - Finance News https://t.co/FWvW39DUss 
#dividendo #ações</t>
  </si>
  <si>
    <t>Companhias que divulgaram informações sobre dividendos e JCP na semana - Finance News https://t.co/jkYFsGw2xT 
#dividendo #ações #provento #TAEE11</t>
  </si>
  <si>
    <t>Agenda de dividendos da semana - Finance News https://t.co/9UdBLAyOEb 
#dividendo #provento #ações</t>
  </si>
  <si>
    <t>📆 Balanços do 1T23 
🏠 A PDG Realty [#PDGR3] registrou prejuízo líquido de R$ 209 milhões no primeiro trimestre de 2023, recuo ante o lucro de R$ 46 milhões obtido no mesmo período do ano passado. O Ebitda caiu 56%, indo para R$ 48,097 milhões negativos.
#Notícias #ações https://t.co/WC4J8CA31v</t>
  </si>
  <si>
    <t>💢Não é nenhuma recomendação.
#Noticia #bolsadevalores #ações https://t.co/1YaFn1UB8F</t>
  </si>
  <si>
    <t>4️⃣ para que o empresário possa financiar investimentos em produção com taxas que justifiquem o retorno esperado, o que gera mais emprego e renda, além do consumidor deixar de destinar parte da renda para juros. Acorda Robertinho. Passou da hora!!
#bolsadevalores #b3 #acoes</t>
  </si>
  <si>
    <t>#SEER3 -19,69%
Curto prazo chegou no 3º alvo de Fibonacci e caputz.
Essa é importância de se trabalhar com  RP ou encerrar em alvo.
Quem da bola de cristal acertou uma que de mais de 19% hoje?!
#Noticia #ações https://t.co/RMRajbR9bV</t>
  </si>
  <si>
    <t>#POSI3 #POSITIVO 
📊 Recomendação BTG Pactual 
📉 Análise - COMPRA 
💸 Preço Alvo - R$ 17,00
☄️ Potencial - 165,21% 
#Noticia #ações https://t.co/RLhR33Xo38</t>
  </si>
  <si>
    <t>#ações #bancos #BreakingNews #criptomoedas #Finance #inflation #bolsadevalores https://t.co/4Zij6aBRcl</t>
  </si>
  <si>
    <t>Com isso, o fluxo de recursos estrangeiros acumula saldo positivo de R$ 1,06 bilhão em junho e positivo de R$ 7,940 bilhões em 2023. No mesmo dia, quando o Ibovespa subiu 0,77%, o investidor institucional sacou R$ 742,2 milhões, enquanto o individual aportou R$ 80 milhões. #ações</t>
  </si>
  <si>
    <t>👁️Buy or Sell - Análise de ações  
➡️ Empresa: INFRACOMMERCE (#IFCM3)
🏢 Análise: BTG Banking
📊 Rating: Compra
💸 Preço-alvo: R$ 25,00
📉Preço Atual: R$ 1,73
💰 Preço Teto: R$ 12,00
💣 Potencial: 1345.08 % 
📈 Risco: B
P/L : -1,957
P/VP : 0,462
#ações #bolsadevalores https://t.co/FO0l75Y876</t>
  </si>
  <si>
    <t>👁️Buy or Sell - Análise de ações  
➡️ Empresa: Burguer King (#ZAMP3)
🏢 Análise: BTG Banking
📊 Rating: Compra
📉 Preço-alvo: R$ 14,00
💸 Preço Atual: R$ 5,12
💰 Preço Teto: R$ 10,85
💣 Potencial: 173,43 % 
📈 Risco: C
P/L : -17,337
P/VP : 0,957
#ações https://t.co/oTIhqygM0i</t>
  </si>
  <si>
    <t>Bem vindo 115 ibov</t>
  </si>
  <si>
    <t>eai :? riem agora !! #ações #bolsadevalores</t>
  </si>
  <si>
    <t>e perspectivas de demanda chinesa mais fraca nos próximos meses. Em Dalian, na China, a commodity teve alta de 3,96%, cotado a US$ 100,53 a tonelada.
#Notícias #Finance #ações</t>
  </si>
  <si>
    <t>informando que realizará uma oferta pública voluntária para aquisição de ações da companhia. A oferta pretende adquirir 32 milhões de ações preferenciais da Alpargatas pelo preço de R$ 10,50 por papel, um prêmio de 17,2% em relação ao fechamento de sexta-feira.
#acoesbr #ações</t>
  </si>
  <si>
    <t>COMPREI ERRADO
Se não aconteceu com você, tenha paciência, esse dia irá chegar.
Link: https://t.co/bre5r2zfKo
🔴 SE INSCREVA NO CANAL: https://t.co/Ae2b5sDVXU
➡️ INSTAGRAM: https://t.co/qaMkew3wbi
#acoesimportam #ações #compradeacoes #investimento #b3 #rendavariavel https://t.co/Tc5rZollcg</t>
  </si>
  <si>
    <t>LUIZ BARSI
História contada pelo maior investidor pessoa física do Brasil, Luiz Barsi Filho.
#UNIPAR #AcoesImportam #luizbarsi #luizbarsifilho #agf #acoesgarantem #acoesgarantemfuturo #Louisebarsi #Ações #UNIP5 https://t.co/66njah13fb</t>
  </si>
  <si>
    <t>ENCERRAMENTO 12.05.23
#ibovespa #economia #investimento #ibov #acoesimportam #ações #fiis #fundosimobiliários https://t.co/LQrCjowadA</t>
  </si>
  <si>
    <t>COTAS
Mais 3 anúncios de dividendos, entre eles, RECT11, fundo imobiliário de escritório.
Como mencionado recentemente, continua pagando R$ 0,40.
Siga @AcoesImportam 
#ações #AcoesImportam #RECT11 #fiis #fundosimobiliários #nchb11 #mxrf11 #recr11 https://t.co/3cNWH4QZft</t>
  </si>
  <si>
    <t>ENCERRAMENTO 23.05.23
#ibovespa #economia #investimento #ibov #acoesimportam #ações #fiis #fundosimobiliários #b3 #petr3 #petr4 #bbas3 #cple6 #yduq3 https://t.co/nmBMvuY2CX</t>
  </si>
  <si>
    <t>ENCERRAMENTO 22.05.23
#ibovespa #economia #investimento #ibov #acoesimportam #ações #fiis #fundosimobiliários #b3 #hglg11 #rec11 #MRVE3 https://t.co/eii7eRcOJZ</t>
  </si>
  <si>
    <t>LISTA
Alguns fundos imobiliários divulgaram seus dividendos no dia 31.07.
Siga @AcoesImportam 
#AcoesImportam #Ações #fiis #fundosimobiliários #dividendos #DataCom #HFOF11 #VINO11 #XPLG11 #vilg11 #visc11 https://t.co/kTEUaFZIA4</t>
  </si>
  <si>
    <t>Dividendos do mês de junho 2023.
Siga @AcoesImportam 
#AcoesImportam #acoes #investimento #B3 https://t.co/T3Ui8wDZxn</t>
  </si>
  <si>
    <t>ENCERRAMENTO 25.05.23
#ibovespa #economia #investimento #ibov #acoesimportam #ações #fiis #fundosimobiliários #b3 #hapv3 #viia3 #lwsa3 #lren3 #mrve3 https://t.co/74S7oCNvna</t>
  </si>
  <si>
    <t>ENBR3 
EDP Energias do Brasil 
PAGAMENTO
24/05/2023 
TIPO / DATA COM
Dividendo, 11/04/2023, R$0,269
JCP, 02/01/2023, R$ 1,151 
PREÇO ENBR3 em 24.05.2023
R$ 22,79 
Siga @AcoesImportam 
#acoesimportam #ENBR3 #opa #ações #setoreletrico #transmissãodeenergia https://t.co/y2P1oZmlxd</t>
  </si>
  <si>
    <t>Encare os problemas como oportunidades de aprendizado. Mesmo que as soluções não funcionem inicialmente, você pode aprender com as tentativas e ajustar sua abordagem.
Siga @AcoesImportam 
#AcoesImportam #fiis #ações #fundosimobiliários</t>
  </si>
  <si>
    <t>DEVA11 
VALOR ATUAL
R$ 53,10, valorização de 0,87% 
VAL. PATRIM. P/COTA
R$ 98,58 
PATRIMÔNIO
R$ 1.384.543.209 
P/VP
0,53 
VALOR DE MERCADO
R$ 745.784.615 
Nº DE COTAS
14.044.908 
#deva11 #deva #fiis #fundosimobiliários #acoesimportam #ações https://t.co/vlcZF3iME9</t>
  </si>
  <si>
    <t>UPSIDE
O IBOVESPA continua atuando, positivamente, nesta semana — início do mês de maio/2023.
#ibov #ibovespa #upside #acoesimportam #ações #investimento https://t.co/ksKqWiYSDY</t>
  </si>
  <si>
    <t>VALE3 
Com aporte único de R$ 151.324,00, o investidor teria uma renda média mensal de R$ 1.000,00 — com base nos dividendos/jcps dos últimos 12 meses 
PREÇO VALE3, 02.08.2023
R$ 67,13 
Siga @AcoesImportam 
#ações #acoesimportam #jcp #dividendos #vale #vale3 #commodities https://t.co/HNbgtJcyTp</t>
  </si>
  <si>
    <t>Almeja liberdade financeira mas não quer compromisso.
Como acha que irá conquistar algo sem esforço?
Se continuar assim, infelizmente, jamais conseguirá sair da corrida dos 🐀 (trabalhar para pagar).
Plante hoje para colher amanhã, esse é o jogo.
Siga @AcoesImportam 
#Acoes https://t.co/Dp4x6HQjbc</t>
  </si>
  <si>
    <t>CADÊ A GRANA?
Galvão espera um valor exorbitante em relação aos dividendos do mês, mas  ficou surpreso quando se deparou com o valor de R$ 36,87 na conta bancária.
Siga @AcoesImportam 
#AcoesImportam #ações #investimento #italyinvest #dinheirosumiu https://t.co/P71VSz7ZII</t>
  </si>
  <si>
    <t>B3SA3 
BRASIL, BOLSA, BALCÃO 
COTAÇÃO - 05.07.2023
R$ 14,71 
VALORIZAÇÃO (12M)
33,43%  
P/L
20,31 
P/VP
4,17 
DY
2,61%
Siga @AcoesImportam 
#AcoesImportam #acoes #b3 #b3sa3 #rendavariavel #fii #fundosimobiliários https://t.co/hYqzfWtQqt</t>
  </si>
  <si>
    <t>SENHA
Parece brincadeira, mas pode acontecer com qualquer um.
O problema é se este exemplo fosse verdade, VALE3 sendo negociada abaixo dos R$50.
SERIA MUITA FALTA DE SORTE.
Siga @AcoesImportam 
#AcoesImportam #ações #fundosimobiliários #vale #vale3 #commodities #b3 https://t.co/wD9Fqhlmc4</t>
  </si>
  <si>
    <t>Siga @acoesimportam 
Olha quem está a espreita, é o jacaré do velho Luiz Barsi Filho, aguardando uma oportunidade do mercado. 
➡️ INSTAGRAM: https://t.co/qaMkew3wbi
#acoesimportam #luizbarsi #barsi #investimento #acoes #açõesgarantemfuturo https://t.co/2pws1T8NDM</t>
  </si>
  <si>
    <t>Ontem o @robsob87 puxou assunto sobre High Tight Flag, e trocamos uma breve ideia, junto da @danimontori_at. 
E hoje o @jhcastaldo me pediu para olhar $KEPL3, e olha que interessante o semanal dela. 
BOOM! 
#acoes #KEPL3 https://t.co/6bOVRCEh4w</t>
  </si>
  <si>
    <t>Para sexta, quase final do dia, um gráfico limpo de AAPL no semanal para mostrar um pouco de price action. #stockmarkets #stocks #acoes https://t.co/98oXiNDJR3</t>
  </si>
  <si>
    <t>📊 Confira a tabela com o ranking de performance das ações em maio:
[TABELA - https://t.co/0fw4JqRcNa]
ℹ️ Dados sujeitos a alterações e análises adicionais.
#Economia #MercadoFinanceiro #Ações #Economatica</t>
  </si>
  <si>
    <t>Native News Carajás: Governo vai investir R$ 2 bilhões para segurança n... https://t.co/CxyZWX8WtO 
#nativenewscarajás #NNC 
#ações #segurança #AmazôniaLegal #reforçonasegurança</t>
  </si>
  <si>
    <t>E impossivel não comprar alguma cena donde BlackRock não seja acionista maioritario 
#blackRock #economy #acões #negocios #bussiness #Obrigações #Bolsa #investment https://t.co/CwQeVWI0lu</t>
  </si>
  <si>
    <t>📇 Da produção industrial do mês de junho a taxa de desemprego dos EUA 🇺🇸 
Confira os destaques econômicos da semana ✅ 
👉SIGA @vokininvestimentos para mais conteúdos como esse!
#economia #bolsadevalores #acoes #ibovespa #economiabrasileira https://t.co/GhvCCLRtsY</t>
  </si>
  <si>
    <t>Siga 👉 @vokininvest 
💡 Por que mesmo sendo amigo de Bill Gates, Buffett não investiu na Microsoft?
#açoes #acoes #fundosdeinvestimentos #warrenbuffet #microsoft #billgates https://t.co/7o8OmZdYWU</t>
  </si>
  <si>
    <t>🎉 Vokin GBV Aconcágua ultrapassa a marca de R$ 800MM!
E os fundos da estratégia Long Only passaram da marca de R$ 1,2bi.
#fundosdeinvestimentos #acoes #açoes https://t.co/9uSVab5o1M</t>
  </si>
  <si>
    <t>🏆 Vokin GBV Aconcágua entre os melhores fundos de Ações Livres no ranking da Revista Investidor Institucional!
#ibovespa #açoes #acoes #educacaofinanceira #rendavariavel https://t.co/PFGtbyW2xK</t>
  </si>
  <si>
    <t>🚨 Volatilidade NÃO mede risco. - Warren Buffett.
Siga 👉 @vokininvestimentos 
#ibovespa #açoes #acoes #educaçãofinanceira #bolsadevalores https://t.co/RtLJLv7weK</t>
  </si>
  <si>
    <t>💡 O que distingue um bom investidor de um investidor EXCEPCIONAL? Por Howard Marks.
Siga 👉 @vokininvestimentos 
#ibovespa #açoes #acoes #educacaofinanceira #bolsadevalores https://t.co/gvXvTjwJmi</t>
  </si>
  <si>
    <t>📇 Do fechamento de atividade econômica do trimestre no Brasil aos preços ao consumidor dos EUA 🇺🇸 
Confira os destaques econômicos da semana ✅ 
👉SIGA @vokininvestimentos para mais conteúdos como esse!
#economia #bolsadevalores #acoes #ibovespa #economiabrasileira https://t.co/F6dTLuo2Uv</t>
  </si>
  <si>
    <t>através dessa educação a pessoa começa a se interessar essa questão de investir como por exemplo o #tesourodireto #fundos #ações e entender que pode ter uma renda a longo prazo, no mercado financeira nada vai pra frente que é curto prazo , não dá em nada</t>
  </si>
  <si>
    <t>Qual é o seu negócio ?!? https://t.co/F7gyObOjju via @YouTube 
me siga nas redes sociais: - https://t.co/daVCzQUZMp...  https://t.co/lWLW1FKUnN... 
#bolsadevalores #ações #b3 #rendaextra #rendavariavel #dinheiro #educaçãofinanceira</t>
  </si>
  <si>
    <t>📊 Índice de Medo e Ganância das #Criptomoedas: 55/100 = GANÂNCIA.
📊 Índice de Medo e Ganância das #Ações: 80/100 = GANÂNCIA EXTREMA https://t.co/HhsL4yJIHb</t>
  </si>
  <si>
    <t>🔴 Índice de Medo e Ganância das #Criptomoedas: 44/100 = MEDO
🔴 Índice de Medo e Ganância das #Ações: 25/100 = MEDO EXTREMO https://t.co/2xTlck0skq</t>
  </si>
  <si>
    <t>Banco do Brasil BBSA3 aprova 966,4 milhoes em JCP para o 2° trimestre de 2023. #bancodobrasil #acoes</t>
  </si>
  <si>
    <t>#Negócios #Fintwit #Ações #Gestão #Oportunidades</t>
  </si>
  <si>
    <t>Aconteceu com vc? 
#nucoin #dividendos #ações https://t.co/XAQ1Yy3mo9</t>
  </si>
  <si>
    <t>Roleta sala grátis
CADASTRE E GANHE: https://t.co/VAtnq391Y2
#multiplicar #roleta #cassino #roleta #investimentoimobiliário #acoes #vidafinanceira #daytraders #roletapremiada https://t.co/y5rh6cMaag</t>
  </si>
  <si>
    <t>Roleta sala grátis
CADASTRE E GANHE: https://t.co/VAtnq391Y2
#multiplicar #roleta #cassino #roleta #investimentoimobiliário #acoes #vidafinanceira #daytraders #roletapremiada #vidasaudavel #roletapremiada #premios https://t.co/tPPKLaytnz</t>
  </si>
  <si>
    <t>#webitcoin
#cryptonews #notíiciascripto #bitcoin #btc #tendênciadealta #correçãobtc #ações #mercadocripto #criptomoedas #crypto #cripto #criptomoedas #tecnologia</t>
  </si>
  <si>
    <t>Michael Saylor, CEO da MicroStrategy, afirmou no Twitter que a estratégia de Bitcoin da empresa superou ações, índices e o próprio Bitcoin.
#webtcoin
#cryptonews #notíciascripto #microstrategy #bitcoin #investimento #btc #michaelsaylor #ações #moedadigital #cryptocurrency</t>
  </si>
  <si>
    <t>Volta Redonda: CSN apresenta a Neto ações imediatas contra o pó preto
#diariodovale #diario #jornalismo #digital #voltaredonda #csn #poluição #prefeito #reunião #ações
https://t.co/pCwoAY2AFv https://t.co/SChEveNnTq</t>
  </si>
  <si>
    <t>#ações #brasil #BrasilSemFome #Lula 
https://t.co/7TIYER7nn8</t>
  </si>
  <si>
    <t>Meta batida hoje 🔥
(06/07)
#ibov #ibovespa #miniindice #minidolar #b3 #bolsabrasileira #winfut #wdofut #dolar #indice #acoes #mercadofuturo https://t.co/X6ir7DkG3T</t>
  </si>
  <si>
    <t>📈 @petrobras tem valorização acima dos pares. As #ações sobem 4,75% (#PETR3) e 3,83% (#PETR4) às 13h00, batendo o índice Ibovespa na B3 (+1,49%)  e as petroleiras independentes Prio (+1,15%), 3R Petroleum (0,34%), Petroreconcavo (0,22%) e Enauta (0,94%).
https://t.co/L0ia3GNqMb</t>
  </si>
  <si>
    <t>Ações, por outro lado, representam propriedade direta em empresas. Têm potencial de alto retorno, mas são mais arriscadas. Você é o gerente das suas ações, sendo assim o responsável por definir quem entra na sua carteira. 🏢💰 #Ações #Investir</t>
  </si>
  <si>
    <t>E você, compra ou vende Bolsa brasileira?
#bolsa #b3 #ações #investimentos https://t.co/zMD6rG2qR7</t>
  </si>
  <si>
    <t>RT @Cleudo_Lima: Cenário Atual: Os Riscos Ocultos 
#ibov #Bolsa #Acoes
https://t.co/PozmtZAhel</t>
  </si>
  <si>
    <t>#BRSR6 em uma região importante!!! Espero ver um rompimento com força semana que vem!!! #b3 #BANRISUL #investimento #bolsadevalores #acoes https://t.co/gUBLrhLMSN</t>
  </si>
  <si>
    <t>@criptofacil Sim.. isso ocorre em todos os mercados: #cripto #BTC #acoes... e isso é ótimo,  pois traz liquidez!!!</t>
  </si>
  <si>
    <t>Enquanto eles falam, você constrói.
#Dividendos
#Investimentos
#Ações
#RendaPassiva
#Investidores
#FinançasPessoais
#BolsadeValores
#IndependênciaFinanceira
#MercadoFinanceiro
#EducaçãoFinanceira https://t.co/FFZbPItQy8</t>
  </si>
  <si>
    <t>"A justiça não se alcança apenas com palavras, mas com ações concretas e decisões corajosas." - Martin Luther King Jr.
Desej0 um ótimo final de semana!
#justiça #ações
#decisões #coragem https://t.co/8vrvPoz8k0</t>
  </si>
  <si>
    <t>A SAP elevou nesta terça-feira previsão de receita total em 2025 em cerca de 4 bilhões de euros e anunciou recompra de #ações de até 5 bilhões, impulsionada pela forte demanda por serviços de #computação em nuvem https://t.co/vkkLLaNzkK</t>
  </si>
  <si>
    <t>Veja 10 dicas PRIMES para você investir em si mesmo! E lembre-se, " Investir em você rende os melhores juros" Benjamin Franklin...
#investimentointeligente #ações #rendavariavel #rendafixa #dinheiro #conhecimento #investidor #finanças #b3 #lucro #contabilidade #professor https://t.co/VEaJOEXESZ</t>
  </si>
  <si>
    <t>É a lei ta atração, são pensamentos que se tornaram hábitos, hábitos que se tornaram ações e ações que se tornaram atitudes. #pensamentos #motivacao #habitos #resultados #ações</t>
  </si>
  <si>
    <t>Com uma sequência de escolhas assertivas, a Carteira Max Ações vem acumulando um retorno impressionante de 17,9% desde o seu lançamento, contra 9,5% do Ibov.
Saiba quais são as ações que estão no radar do @mfbohm atualmente:
📲 https://t.co/AkeMYzxBfL
#ações #sqia3 #mrve3 https://t.co/9Md1ykXha7</t>
  </si>
  <si>
    <t>#LinhaDeFrente | Conselho de Ética abre processos contra Flávio Bolsonaro (PL), Randolfe Rodrigues, Jorge Kajuru (PSB), Cid Gomes (PDT) e outros senadores; bancada comenta
📺 Confira na JP News
#Brasil #Notícia #Informação #Conselho #Ações #Senadores https://t.co/JwIEOgh6ds</t>
  </si>
  <si>
    <t>#JPBusiness | Ações da Tupperware disparam quase 700% na bolsa de valores. Empresa, que luta por sobrevivência, registrou alta em menos de um mês; saiba os motivos desse crescimento com Bruno Meyer
📺 Confira na JP News
#Tupperware #bolsadevalores #ações https://t.co/fdWI3wPNFu</t>
  </si>
  <si>
    <t>#JornalJP | Polícia do Rio de Janeiro vai passar por reciclagem; envolvidos em ações que tiveram três mortes e outros agentes farão processo
📺 Confira na JP News
#Notícia #Informação #RJ #Mortes #Ações #Polícia #Reciclagem https://t.co/JJxQ7husnc</t>
  </si>
  <si>
    <t>#JornalJP | Jair Bolsonaro (PL) deposita quase R$ 1 milhão para pagar multas; ex-presidente ainda mantém ações contestando valores de algumas sanções 
📺 Confira na JP News
#Brasil #Notícia #Informação #Bolsonaro #Ações #Multas https://t.co/XtT7j0CR5d</t>
  </si>
  <si>
    <t>Tem algum desses ativos em carteira? 
Quem rendeu mais?
https://t.co/SpnwCApuJC
#mxrf11 #fundosimobiliarios #açoes</t>
  </si>
  <si>
    <t>PF faz ação contra empresa suspeita de monitorar operações https://t.co/2UakyChnEA 
#PF #ações #operações #giranotícias</t>
  </si>
  <si>
    <t>GM família!
🔥 O episódio #4 do Podcast EscolaCripto é HOJE!!
E temos um convidado de peso, que dispensa apresentações 🚀
@FaustoBotelho
Analista gráfico com foco em #Criptomoedas, #acoes e #commodities.
🗓️ 12/07/2023
⏰ ÀS 18 HORAS
👉 https://t.co/dfiKOxDJZC https://t.co/sNHAmxxFOB</t>
  </si>
  <si>
    <t>Comentário no @JornalDaGazeta @tvgazetaoficial sobre #petrobras #balanço #ações #preços 👇</t>
  </si>
  <si>
    <t>Até onde o Índice Futuro pode descer?
https://t.co/nbkG82gTAy  
#GrupoBovespa #Botinhao #Bovespa #Acoes #AnaliseGrafica #Mercado @botinhao</t>
  </si>
  <si>
    <t>Os investidores estrangeiros começaram o mês de julho com apetite menor do que o observado na última semana do mês anterior
#AÇÕES #INVESTIMENTOS #MERCADOFINANCEIRO #ECONOMIA
https://t.co/WNtLKMybiy https://t.co/qohpM7ZOgY</t>
  </si>
  <si>
    <t>Veja o que investidores e mercado esperam e potenciais resultados para as ações no segundo semestre.
#dividendos #estatal #ações #petr3 #petr4
https://t.co/vUPheKhzw7 https://t.co/wYxLkKJSsS</t>
  </si>
  <si>
    <t>Apesar de não acreditar que um rali de ações de mineração globais seja sustentável, devido ao fraco crescimento global, um dólar americano mais forte e um valuation justa, o Morgan Stanley mantém recomendação 
#vale3 #ações #mineradoras
https://t.co/X7otdq1iNs https://t.co/MTRg2DfZPD</t>
  </si>
  <si>
    <t>Depois de pouco mais de uma semana comprando ações brasileiras, os investidores estrangeiros inverteram a mão e sacaram recursos por dois dias consecutivos no mercado secundário (ações já listadas) da B3.
#mercadofinanceiro #Ibovespa #ações
https://t.co/WaFyeTZOxg https://t.co/dNBtLCK62z</t>
  </si>
  <si>
    <t>#MERCADOFINANCEIRO #INVESTIMENTO #AÇÕES #IBOV
https://t.co/mt54YTfehD https://t.co/bVuhiT8L7R</t>
  </si>
  <si>
    <t>As ações do Ibovespa apresentaram maior contração do lucro por ação desde o segundo trimestre de 2020, aponta o Bank of America, o que segundo o Banco pode levar 
#IBOVESPA #BOVA11 #MERCADOFINANCEIRO #INVESTIMENTOS #AÇÕES #LUCROCOMAÇÕES
https://t.co/rupCixC1yL https://t.co/fxII4oG7s6</t>
  </si>
  <si>
    <t>Apenas no último dia do mês a  B3 foi marcada por retirada  de  R$ 676 milhões 
#mercadofinanceiro #ibovespa #ações #rendavariavel
https://t.co/HkyEKpFnqp https://t.co/JwUNIEDpWK</t>
  </si>
  <si>
    <t>Bolsa mostra cansaço diante de vários dias de alta, sem nenhuma razão específica.
Veja destaques de alta e baixa da sessão
#mercadofinanceiro #economia #ações
Acompanhe:
https://t.co/92A1kE8JJo https://t.co/812PN8ndQd</t>
  </si>
  <si>
    <t>Esta semana traz os dividendos que os investidores tanto esperam receber das empresas em que investem. Para quem negocia opções de ações veja as datas "ex" que mudam o strike de sua posição
#mercadofinanceiro #opções #ações #BBAS3 #EGIE3 #itub4
https://t.co/hUEGa4EfN2 https://t.co/Y5T4n5p9sM</t>
  </si>
  <si>
    <t>A B3 lançou plataforma que permite a transferência de ações, fundos, BDRs e ETFs entre agentes de custódia de forma automatizada.
#investimentos #custodia #corretoras #ações #mercadofinanceiro
https://t.co/kGdM8FQ7cd https://t.co/5AKWCZ29qC</t>
  </si>
  <si>
    <t>Com o exercício de opções se aproximando na próxima sexta-feira, o mercado ficou volátil durante todo o dia.
Chegou a dar uma boa queda no meio da tarde e depois se recuperou forte. Para os dois próximos dias se espera muita volatilidade
#mercadofinanceiro #ibovespa #ações https://t.co/Sd4rDIcD08</t>
  </si>
  <si>
    <t>A CVC (CVCB3) apurou prejuízo líquido de R$ 128 milhões no primeiro trimestre de 2023, 23% menor do que no mesmo período de 2022.
#cvcb3 #cvc #resultado #ações
https://t.co/MYxbp3zjKf https://t.co/M4x3g0kuTS</t>
  </si>
  <si>
    <t>#pensamentos #palavras #acoes #habitos #carater #destino https://t.co/aAh35F1gU6</t>
  </si>
  <si>
    <t>Rastreamento de #ações : GRÁFICO MENSAL p/ JUN/23, Avalie analisar também  se romper e Não deixe de curtir!: Uso https://t.co/e9QdFtUAPS Clique na figura pra vê-la melhor https://t.co/S17D6k89fo</t>
  </si>
  <si>
    <t>Rastreamento de #ações: GRAFICO MENSAL Volume financeiro &amp;gt;1,5 x MM21 Mensal (MAI/23). Uso https://t.co/e9QdFtUAPS  Clique na figura pra vê-la melhor https://t.co/OaU830yOJ3</t>
  </si>
  <si>
    <t>Rastreamento de #ações : GRÁFICO MENSAL p/ JUN/23, Analise se romper e Não deixe de curtir!: Uso https://t.co/e9QdFtUAPS  Clique na figura pra vê-la melhor https://t.co/Vn87x7fCa5</t>
  </si>
  <si>
    <t>Rastreamento de #ações : GRÁFICO SEMANAL p/  29/05 a 02/06/23, Avalie analisar também  se romper e Não deixe de curtir!: Uso https://t.co/e9QdFtUAPS Clique na figura pra vê-la melhor https://t.co/rPLtfWySNi</t>
  </si>
  <si>
    <t>Rastreamento de #ações : Volume financeiro &amp;gt;1,5 x MM21 SEM (22 a 26/05/23) Uso https://t.co/e9QdFtUAPS  Clique na figura pra vê-la melhor https://t.co/OKGCes7TEx</t>
  </si>
  <si>
    <t>Rastreamento de #ações : GRÁFICO SEMANAL p/ 29/05 a 02/06/23, Analise se romper e Não deixe de curtir!: Uso https://t.co/e9QdFtUAPS Clique na figura pra vê-la melhor https://t.co/psxNe5aYr4</t>
  </si>
  <si>
    <t>Rastreamento de #ações : GRÁFICO DIÁRIO p/ 29/05/23, Avalie analisar também  se romper e Não deixe de curtir!: Uso https://t.co/e9QdFtUAPS  Clique na figura pra vê-la melhor https://t.co/XmJQSXv5LK</t>
  </si>
  <si>
    <t>Rastreamento de #ações : GRÁFICO DIÁRIO p/ 29/05/23, analise se romper e Não deixe de curtir!: Uso https://t.co/e9QdFtUAPS  Clique na figura pra vê-la melhor https://t.co/ueD7wN3XVv</t>
  </si>
  <si>
    <t>Rastreamento de #ações : GRÁFICO DIÁRIO p/21/08/23, Avalie analisar também  se romper e Não deixe de curtir! Clique na figura p/ vê-la melhor ( ​Uso https://t.co/e9QdFtUAPS  ) https://t.co/FWpWplh6j6</t>
  </si>
  <si>
    <t>Rastreamento de #ações : GRÁFICO SEMANAL p/ 21 a 25/08/23 , Avalie analisar também  se romper e Não deixe de curtir!: Clique na figura p/ vê-la melhor ( Uso https://t.co/e9QdFtUAPS  ) https://t.co/sjQhEYgkVp</t>
  </si>
  <si>
    <t>Rastreamento de #ações : GRÁFICO SEMANAL p/  21 a 25/08/23, Analise  se romper e Não deixe de curtir!: Clique na figura p/ vê-la melhor ( Uso https://t.co/e9QdFtUAPS  ) https://t.co/dCu3YXH7QX</t>
  </si>
  <si>
    <t>Rastreamento de #ações : Volume financeiro &amp;gt;1,5 x MM21 SEM (05 a 09/06/23) Uso https://t.co/e9QdFtUAPS  Clique na figura pra vê-la melhor https://t.co/yZtGv6ceGe</t>
  </si>
  <si>
    <t>Rastreamento de #ações : GRÁFICO SEMANAL p/ 12 a 16/06/23, Analise se romper e Não deixe de curtir!: Uso https://t.co/e9QdFtUAPS Clique na figura pra vê-la melhor https://t.co/ydcX6ulJJ0</t>
  </si>
  <si>
    <t>Rastreamento de #ações : GRÁFICO DIÁRIO p/ 12/06/23, analise se romper e Não deixe de curtir!: Uso https://t.co/e9QdFtV8Fq  Clique na figura pra vê-la melhor https://t.co/xhDITX4b8m</t>
  </si>
  <si>
    <t>Rastreamento de #ações: GRAFICO MENSAL Volume financeiro &amp;gt;1,5 x MM21 Mensal (ABR/23). Uso https://t.co/e9QdFtUAPS  Clique na figura pra vê-la melhor https://t.co/RlBuiFVdGS</t>
  </si>
  <si>
    <t>Rastreamento de #ações : GRÁFICO MENSAL p/ MAI/23, Analise se romper e Não deixe de curtir!: Uso https://t.co/e9QdFtUAPS  Clique na figura pra vê-la melhor https://t.co/TMmn4s98Ue</t>
  </si>
  <si>
    <t>Rastreamento de #ações : Volume financeiro &amp;gt;1,5 x MM21 SEM (01 a 05/05/23) Uso https://t.co/e9QdFtUAPS  Clique na figura pra vê-la melhor https://t.co/Rvhb5foZZf</t>
  </si>
  <si>
    <t>Rastreamento de #ações : GRÁFICO SEMANAL p/ 08 a 12/05/23, Analise se romper e Não deixe de curtir!: Uso https://t.co/e9QdFtUAPS Clique na figura pra vê-la melhor https://t.co/UUFl3O0gts</t>
  </si>
  <si>
    <t>Rastreamento de #ações : GRÁFICO DIÁRIO p/ 08/05/23, Avalie analisar também  se romper e Não deixe de curtir!: Uso https://t.co/e9QdFtUAPS  Clique na figura pra vê-la melhor https://t.co/OHqsRZQWdw</t>
  </si>
  <si>
    <t>Rastreamento de #ações : GRÁFICO DIÁRIO p/ 08/05/23, analise se romper e Não deixe de curtir!: Uso https://t.co/e9QdFtUAPS  Clique na figura pra vê-la melhor https://t.co/2byPCkGje3</t>
  </si>
  <si>
    <t>Rastreamento de #ações : GRÁFICO MENSAL p/ SET/23, Avalie analisar também  se romper e Não deixe de curtir! Clique na figura p/ vê-la melhor ( Uso https://t.co/e9QdFtV8Fq  ) https://t.co/ojijosmQmz</t>
  </si>
  <si>
    <t>Rastreamento de #ações : GRÁFICO DIÁRIO p/21/08/23, Avalie analisar também  se romper e Não deixe de curtir! Clique na figura p/ vê-la melhor ( Uso https://t.co/e9QdFtUAPS  ) https://t.co/07yYodJP6k</t>
  </si>
  <si>
    <t>Rastreamento de #ações : Gráfico diário p/ 21/08/23, Analise se romper e Não deixe de curtir! Clique na figura p/ vê-la melhor ( Uso https://t.co/e9QdFtUAPS  ) https://t.co/T9eUqqHZLN</t>
  </si>
  <si>
    <t>Volume financeiro &amp;gt;1,5 x MM21: GRÁFICO MENSAL JUL/23, Clique na figura p/ vê-la melhor ( ​Uso https://t.co/e9QdFtUAPS  ) #Ações https://t.co/CUNfhPeU2y</t>
  </si>
  <si>
    <t>Rastreamento de #ações : GRÁFICO MENSAL p/ AGO/23, Avalie analisar também  se romper e Não deixe de curtir! Clique na figura p/ vê-la melhor ( Uso https://t.co/e9QdFtUAPS  ) #Ações https://t.co/bp9QC1pR3s</t>
  </si>
  <si>
    <t>Rastreamento de #ações : GRÁFICO MENSAL p/  AGO/23, Analise  se romper e Não deixe de curtir!: Clique na figura p/ vê-la melhor ( Uso https://t.co/e9QdFtUAPS  ) #Ações https://t.co/VCaqS1miua</t>
  </si>
  <si>
    <t>Rastreamento de #ações : GRÁFICO SEMANAL p/  03 a 07/07/23, Avalie analisar também  se romper e Não deixe de curtir!: Clique na figura p/ vê-la melhor ( Uso https://t.co/e9QdFtUAPS  ) #Ações https://t.co/WvsDGfQIP6</t>
  </si>
  <si>
    <t>Volume financeiro &amp;gt;1,5 x MM21: GRÁFICO SEMANAL p/  26 a 30/06/23, Clique na figura p/ vê-la melhor ( Uso https://t.co/e9QdFtUAPS  )  #Ações https://t.co/CHzAvfr1mJ</t>
  </si>
  <si>
    <t>Rastreamento de #ações : GRÁFICO SEMANAL p/  03 a 07/07/23, Avalie analisar também  se romper e Não deixe de curtir!: Clique na figura p/ vê-la melhor ( Uso https://t.co/e9QdFtUAPS  )  #Ações https://t.co/DzbukSzeaY</t>
  </si>
  <si>
    <t>Rastreamento de #ações : GRÁFICO SEMANAL p/  31/07 a 04/08/23, Analise  se romper e Não deixe de curtir!: Clique na figura p/ vê-la melhor ( Uso https://t.co/e9QdFtUAPS  ) https://t.co/2itGdtDgUT</t>
  </si>
  <si>
    <t>Rastreamento de #ações : GRÁFICO DIÁRIO p/31/07/23, Avalie analisar também  se romper e Não deixe de curtir! Clique na figura p/ vê-la melhor ( Uso https://t.co/e9QdFtUAPS  )   #Ações https://t.co/tHl0cN2KqF</t>
  </si>
  <si>
    <t>Volume financeiro &amp;gt;1,5 x MM21 Graf Diário (28/07/23) Clique na figura p/ vê-la melhor ( Uso https://t.co/e9QdFtUAPS  )  #Ações https://t.co/n9ShZWSdOB</t>
  </si>
  <si>
    <t>Rastreamento de #ações : Gráfico diário p/ 31/07/23, Analise se romper e Não deixe de curtir! Clique na figura p/ vê-la melhor ( Uso https://t.co/e9QdFtUAPS  )  #Ações https://t.co/8VcWbFk9Jd</t>
  </si>
  <si>
    <t>Rastreamento de #ações : GRÁFICO SEMANAL p/  10 a 14/07/23, Avalie analisar também  se romper e Não deixe de curtir!: Uso https://t.co/e9QdFtUAPS Clique na figura pra vê-la melhor https://t.co/1HeM1Yx6lc</t>
  </si>
  <si>
    <t>Rastreamento de #ações : Volume financeiro &amp;gt;1,5 x MM21 SEM (03 a 07/07/23) Uso https://t.co/e9QdFtUAPS  Clique na figura pra vê-la melhor https://t.co/KzugVhpJqm</t>
  </si>
  <si>
    <t>Rastreamento de #ações : GRÁFICO SEMANAL p/ 10 a 14/07/23, Analise se romper e Não deixe de curtir!: Uso https://t.co/e9QdFtUAPS Clique na figura pra vê-la melhor https://t.co/MCgMqOdZes</t>
  </si>
  <si>
    <t>Rastreamento de #ações : GRÁFICO DIÁRIO p/ 10/07/23, Avalie analisar também  se romper e Não deixe de curtir!: Uso https://t.co/e9QdFtUAPS  Clique na figura pra vê-la melhor https://t.co/VQD45MI4yc</t>
  </si>
  <si>
    <t>Rastreamento de #ações : GRÁFICO DIÁRIO p/ 11/07/23, analise se romper e Não deixe de curtir!: Uso https://t.co/e9QdFtUAPS  Clique na figura pra vê-la melhor https://t.co/qsfRYgnidb</t>
  </si>
  <si>
    <t>Volume financeiro &amp;gt;1,5 x MM21: GRÁFICO MENSAL  JUN/23, Clique na figura p/ vê-la melhor ( Uso https://t.co/e9QdFtUAPS  ) #ações https://t.co/sXGOqFuaM6</t>
  </si>
  <si>
    <t>Rastreamento de #ações : GRÁFICO MENSAL p/ JUL/23, Avalie analisar também  se romper e Não deixe de curtir! Clique na figura p/ vê-la melhor ( Uso https://t.co/e9QdFtUAPS  ) #ações https://t.co/a4UoFJ3Qpl</t>
  </si>
  <si>
    <t>Rastreamento de #ações : GRÁFICO MENSAL p/ JUL/23, Analise se romper e Não deixe de curtir!: Clique na figura p/ vê-la melhor ( Uso https://t.co/e9QdFtUAPS  ) #ações https://t.co/oTwg74EqMj</t>
  </si>
  <si>
    <t>Volume financeiro &amp;gt;1,5 x MM21: GRÁFICO SEMANAL p/  26 a 30/06/23, Clique na figura p/ vê-la melhor ( Uso https://t.co/e9QdFtUAPS  ) #ações https://t.co/6AM7xzubG1</t>
  </si>
  <si>
    <t>Rastreamento de #ações : GRÁFICO SEMANAL p/  03 a 07/07/23, Avalie analisar também  se romper e Não deixe de curtir!: Clique na figura p/ vê-la melhor ( Uso https://t.co/e9QdFtUAPS  ) #ações https://t.co/eXVmqa2fuR</t>
  </si>
  <si>
    <t>Rastreamento de #ações : GRÁFICO SEMANAL p/  03 a 07/07/23, Analise  se romper e Não deixe de curtir!: Clique na figura p/ vê-la melhor ( Uso https://t.co/e9QdFtUAPS  ) #ações https://t.co/9UB5lfCYx1</t>
  </si>
  <si>
    <t>Volume financeiro &amp;gt;1,5 x MM21 Graf Diário (30/06/23) Clique na figura p/ vê-la melhor ( Uso https://t.co/e9QdFtUAPS  ) #ações https://t.co/2mIXpXhOOq</t>
  </si>
  <si>
    <t>Rastreamento de #ações : Gráfico diário p/ 03/07/23, Analise se romper e Não deixe de curtir! Clique na figura p/ vê-la melhor ( Uso https://t.co/e9QdFtUAPS  ) #ações https://t.co/R9mAeDLarr</t>
  </si>
  <si>
    <t>Rastreamento de #ações : GRÁFICO SEMANAL p/ 04/ a 08/09/23, Avalie analisar também  se romper e Não deixe de curtir!: Clique na figura p/ vê-la melhor ( Uso https://t.co/e9QdFtUAPS  )  POR FAVOR, SIGA MEU PERFIL NO INSTAGRAM: DRWALLFIGUEIREDO https://t.co/0jwYCfvfOD</t>
  </si>
  <si>
    <t>Rastreamento de #ações : GRÁFICO SEMANAL p/  04/ a 08/09/23, Analise  se romper e Não deixe de curtir!: Clique na figura p/ vê-la melhor ( Uso https://t.co/e9QdFtUAPS https://t.co/9savzyTOUR</t>
  </si>
  <si>
    <t>P/ escolher quais ações comprar (pela análise Fundamentalista), analiso os seguintes múltiplos (mesmo q haja redundância entre alguns) #ações #AnáliseFundamentalista: https://t.co/WELnieX7Qy</t>
  </si>
  <si>
    <t>Ações rastreadas (análise Fundamentalista), segundo aos meus critérios - #ações #analisefundamentalista https://t.co/zGq08H7WKH</t>
  </si>
  <si>
    <t>Rastreamento de #ações : GRÁFICO SEMANAL p/ 28/08 a 01/09/23, Avalie analisar também  se romper e Não deixe de curtir!: Clique na figura p/ vê-la melhor ( Uso https://t.co/e9QdFtUAPS  ) https://t.co/WiOn0vCFB7</t>
  </si>
  <si>
    <t>Rastreamento de #ações : GRÁFICO SEMANAL p/  28/08 a 01/09/23, Analise  se romper e Não deixe de curtir!: Clique na figura p/ vê-la melhor ( Uso https://t.co/e9QdFtUAPS  ) https://t.co/WcXUIg58e7</t>
  </si>
  <si>
    <t>Rastreamento de #ações : Gráfico diário p/ 28/08/23, Analise se romper e Não deixe de curtir! Clique na figura p/ vê-la melhor ( Uso https://t.co/e9QdFtUAPS  ) https://t.co/1Hpte66jI0</t>
  </si>
  <si>
    <t>Rastreamento de #ações : GRÁFICO SEMANAL p/ 18 a 22/09/23, Avalie analisar também  se romper e Não deixe de curtir!: Clique na figura p/ vê-la melhor ( Uso https://t.co/e9QdFtUAPS  )  POR FAVOR, SIGA MEU PERFIL NO INSTAGRAM: DRWALLFIGUEIREDO https://t.co/mZvn9Q0V0H</t>
  </si>
  <si>
    <t>RT @WallFigueiredo: Rastreamento de #ações : GRÁFICO SEMANAL p/ 18 a 22/09/23, Avalie analisar também  se romper e Não deixe de curtir!: Cl…</t>
  </si>
  <si>
    <t>Rastreamento de #ações : Gráfico diário p/ 11/09/23, Analise se romper e Não deixe de curtir! Clique na figura p/ vê-la melhor ( Uso https://t.co/e9QdFtUAPS  ) POR FAVOR, SIGA MEU PERFIL NO INSTAGRAM: DRWALLFIGUEIREDO https://t.co/7XSDqqfxXH</t>
  </si>
  <si>
    <t>Rastreamento de #ações : GRÁFICO SEMANAL p/ 14 a 18/08/23 , Avalie analisar também  se romper e Não deixe de curtir!: Clique na figura p/ vê-la melhor ( Uso https://t.co/e9QdFtV8Fq  ) https://t.co/mwKN6ULT82</t>
  </si>
  <si>
    <t>Rastreamento de #ações : GRÁFICO SEMANAL p/  14 a 18/08/23, Analise  se romper e Não deixe de curtir!: Clique na figura p/ vê-la melhor ( Uso https://t.co/e9QdFtUAPS  ) https://t.co/6Ikjhaka0s</t>
  </si>
  <si>
    <t>Rastreamento de #ações : GRÁFICO DIÁRIO p/14/08/23, Avalie analisar também  se romper e Não deixe de curtir! Clique na figura p/ vê-la melhor ( Uso https://t.co/e9QdFtUAPS  ) https://t.co/sMdgYHTfCq</t>
  </si>
  <si>
    <t>Rastreamento de #ações : Gráfico diário p/ 14/08/23, Analise se romper e Não deixe de curtir! Clique na figura p/ vê-la melhor ( Uso https://t.co/e9QdFtUAPS  ) https://t.co/3NE5nX8bQM</t>
  </si>
  <si>
    <t>Rastreamento de ações (Análise Fundamentalista) segundo aos meus critérios - Quais 6 dessas ações entre essas 19 empresas escolheria p/formar uma carteira equilibrada e diversificada. Clique na fig para vê-la melhor https://t.co/KflcKUMdbi</t>
  </si>
  <si>
    <t>#ações</t>
  </si>
  <si>
    <t>Rastreamento de #ações : Volume financeiro &amp;gt;1,5 x MM21 SEM (12 a 16/06/23) Uso https://t.co/e9QdFtUAPS  Clique na figura pra vê-la melhor https://t.co/mQt36lHBDW</t>
  </si>
  <si>
    <t>Rastreamento de #ações : GRÁFICO SEMANAL p/ 19 a 23/06/23, Analise se romper e Não deixe de curtir!: Uso https://t.co/e9QdFtUAPS Clique na figura pra vê-la melhor https://t.co/3G89G3AI8M</t>
  </si>
  <si>
    <t>Rastreamento de #ações : GRÁFICO DIÁRIO p/ 19/06/23, Avalie analisar também  se romper e Não deixe de curtir!: Uso https://t.co/e9QdFtUAPS  Clique na figura pra vê-la melhor https://t.co/v5uKXWB2tv</t>
  </si>
  <si>
    <t>Rastreamento de #ações : GRÁFICO DIÁRIO p/ 19/06/23, analise se romper e Não deixe de curtir!: Uso https://t.co/e9QdFtUAPS  Clique na figura pra vê-la melhor https://t.co/cacojsSUwL</t>
  </si>
  <si>
    <t>Rastreamento de #ações : GRÁFICO SEMANAL p/  18 a 22/09/23, Analise  se romper e Não deixe de curtir!: Clique na figura p/ vê-la melhor ( Uso https://t.co/e9QdFtUAPS  ) POR FAVOR, SIGA MEU PERFIL NO INSTAGRAM: DRWALLFIGUEIREDO https://t.co/y2PLSU9h2O</t>
  </si>
  <si>
    <t>RT @WallFigueiredo: Rastreamento de #ações : GRÁFICO SEMANAL p/  18 a 22/09/23, Analise  se romper e Não deixe de curtir!: Clique na figura…</t>
  </si>
  <si>
    <t>Rastreamento de #ações : Gráfico diário p/ 18/09/23, Analise se romper e Não deixe de curtir! Clique na figura p/ vê-la melhor ( Uso https://t.co/e9QdFtUAPS  ) POR FAVOR, SIGA MEU PERFIL NO INSTAGRAM: DRWALLFIGUEIREDO https://t.co/amEmYMh0ih</t>
  </si>
  <si>
    <t>RT @WallFigueiredo: Rastreamento de #ações : Gráfico diário p/ 18/09/23, Analise se romper e Não deixe de curtir! Clique na figura p/ vê-la…</t>
  </si>
  <si>
    <t>Rastreamento de #ações : GRÁFICO SEMANAL p/  24 a 28/07/23, Avalie analisar também  se romper e Não deixe de curtir!: Uso https://t.co/e9QdFtUAPS Clique na figura pra vê-la melhor https://t.co/IBFFdzLl1c</t>
  </si>
  <si>
    <t>Rastreamento de #ações : Volume financeiro &amp;gt;1,5 x MM21 SEM (17 a 21/07/23) Uso https://t.co/e9QdFtUAPS  Clique na figura pra vê-la melhor https://t.co/BSts8YP0wo</t>
  </si>
  <si>
    <t>Rastreamento de #ações : GRÁFICO SEMANAL p/ 24 a 28/07/23, Analise se romper e Não deixe de curtir!: Uso https://t.co/e9QdFtUAPS Clique na figura pra vê-la melhor https://t.co/u2T7gTA8Mp</t>
  </si>
  <si>
    <t>Rastreamento de #ações : GRÁFICO DIÁRIO p/ 24/07/23, analise se romper e Não deixe de curtir!: Uso https://t.co/e9QdFtUAPS  Clique na figura pra vê-la melhor https://t.co/kg5vDR3SfE</t>
  </si>
  <si>
    <t>Rastreamento de #ações : GRÁFICO SEMANAL p/  26 a 30/06/23, Avalie analisar também  se romper e Não deixe de curtir!: Clique na figura p/ vê-la melhor ( Uso https://t.co/e9QdFtUAPS  ) https://t.co/MYUJJAP73j</t>
  </si>
  <si>
    <t>Rastreamento de #ações : GRÁFICO SEMANAL p/  26 a 30/06/23, Analise  se romper e Não deixe de curtir!: Clique na figura p/ vê-la melhor ( Uso https://t.co/e9QdFtUAPS  ) https://t.co/kfLQLreAIv</t>
  </si>
  <si>
    <t>Rastreamento de #ações : Gráfico diário p/ 26/06/23, Analise se romper e Não deixe de curtir! Clique na figura p/ vê-la melhor ( Uso https://t.co/e9QdFtUAPS  ) https://t.co/aOOHeFXO5G</t>
  </si>
  <si>
    <t>Rastreamento de #ações : Volume financeiro &amp;gt;1,5 x MM21 SEM (29/05 a 02/06/23) Uso https://t.co/e9QdFtUAPS  Clique na figura pra vê-la melhor https://t.co/uvXRhHXhwA</t>
  </si>
  <si>
    <t>Rastreamento de #ações : GRÁFICO SEMANAL p/ 05/ a 09/06/23, Analise se romper e Não deixe de curtir!: Uso https://t.co/e9QdFtUAPS Clique na figura pra vê-la melhor https://t.co/6c7fpOiYrT</t>
  </si>
  <si>
    <t>Rastreamento de #ações : GRÁFICO DIÁRIO p/ 05/06/23, Avalie analisar também  se romper e Não deixe de curtir!: Uso https://t.co/e9QdFtUAPS  Clique na figura pra vê-la melhor https://t.co/HqY4fkXCJo</t>
  </si>
  <si>
    <t>Rastreamento de #ações : GRÁFICO DIÁRIO p/ 05/06/23, analise se romper e Não deixe de curtir!: Uso https://t.co/e9QdFtUAPS  Clique na figura pra vê-la melhor https://t.co/OaLb9D02wm</t>
  </si>
  <si>
    <t>Rastreamento de #ações : GRÁFICO SEMANAL p/ 18 a 22/09/23, Avalie analisar também  se romper e Não deixe de curtir!: Clique na figura p/ vê-la melhor ( Uso https://t.co/e9QdFtUAPS  )  POR FAVOR, SIGA MEU PERFIL NO INSTAGRAM: DRWALLFIGUEIREDO https://t.co/ZT7Xe6X97h</t>
  </si>
  <si>
    <t>Rastreamento de #ações : GRÁFICO SEMANAL p/  18 a 22/09/23, Analise  se romper e Não deixe de curtir!: Clique na figura p/ vê-la melhor ( Uso https://t.co/e9QdFtUAPS  ) POR FAVOR, SIGA MEU PERFIL NO INSTAGRAM: DRWALLFIGUEIREDO https://t.co/sTa5uFSitj</t>
  </si>
  <si>
    <t>Rastreamento de #ações : GRÁFICO SEMANAL p/ 07 a 11/08/23 , Avalie analisar também  se romper e Não deixe de curtir!: Clique na figura p/ vê-la melhor ( Uso https://t.co/e9QdFtUAPS  ) https://t.co/HI3E3wbXSw</t>
  </si>
  <si>
    <t>Rastreamento de #ações : GRÁFICO SEMANAL p/  07 a 11/08/23, Analise  se romper e Não deixe de curtir!: Clique na figura p/ vê-la melhor ( Uso https://t.co/e9QdFtUAPS  ) https://t.co/Iz1uyUREqR</t>
  </si>
  <si>
    <t>Rastreamento de #ações : GRÁFICO DIÁRIO p/07/08/23, Avalie analisar também  se romper e Não deixe de curtir! Clique na figura p/ vê-la melhor ( Uso https://t.co/e9QdFtUAPS  ) https://t.co/N8p87M0Z6f</t>
  </si>
  <si>
    <t>Rastreamento de #ações : Gráfico diário p/ 07/08/23, Analise se romper e Não deixe de curtir! Clique na figura p/ vê-la melhor ( Uso https://t.co/e9QdFtUAPS  ) https://t.co/yxp7JBsrh7</t>
  </si>
  <si>
    <t>Rastreamento de #ações : GRÁFICO SEMANAL p/  22 a 26/05/23, Avalie analisar também  se romper e Não deixe de curtir!: Clique na figura p/ vê-la melhor ( Uso https://t.co/e9QdFtUAPS  ) https://t.co/k7G6H9P55Z</t>
  </si>
  <si>
    <t>Rastreamento de #ações : GRÁFICO SEMANAL p/  22 a 26/05/23, Analise  se romper e Não deixe de curtir!: Clique na figura p/ vê-la melhor ( Uso https://t.co/e9QdFtUAPS  ) https://t.co/QFdlVnv2YZ</t>
  </si>
  <si>
    <t>Rastreamento de #ações : GRÁFICO DIÁRIO p/ 22/05/23, Avalie analisar também  se romper e Não deixe de curtir! Clique na figura p/ vê-la melhor ( Uso https://t.co/e9QdFtUAPS  ) https://t.co/vynZ5GHWGG</t>
  </si>
  <si>
    <t>Rastreamento de #ações : Gráfico diário p/ 22/05/23, Analise se romper e Não deixe de curtir! Clique na figura p/ vê-la melhor ( Uso https://t.co/e9QdFtUAPS  ) https://t.co/XRaXTJmSJK</t>
  </si>
  <si>
    <t>Rastreamento de #ações : GRÁFICO DIÁRIO p/ 18/09/23, Avalie analisar também  se romper e Não deixe de curtir! Clique na figura p/ vê-la melhor ( Uso https://t.co/e9QdFtUAPS  )  POR FAVOR, SIGA MEU PERFIL NO INSTAGRAM: DRWALLFIGUEIREDO https://t.co/a2hyrManth</t>
  </si>
  <si>
    <t>Rastreamento de #ações : Gráfico diário p/ 25/09/23, Analise se romper e Não deixe de curtir! Clique na figura p/ vê-la melhor ( Uso https://t.co/e9QdFtUAPS  ) POR FAVOR, SIGA MEU PERFIL NO INSTAGRAM: DRWALLFIGUEIREDO https://t.co/ElAsofj3xY</t>
  </si>
  <si>
    <t>Rastreamento de #ações : GRÁFICO MENSAL p/  SET/23, Analise  se romper e Não deixe de curtir!: Clique na figura p/ vê-la melhor ( Uso https://t.co/e9QdFtV8Fq  ) https://t.co/l7eWkoJbNe</t>
  </si>
  <si>
    <t>Rastreamento de #ações : GRÁFICO SEMANAL p/ 04/ a 08/09/23, Avalie analisar também  se romper e Não deixe de curtir!: Clique na figura p/ vê-la melhor ( Uso https://t.co/e9QdFtUAPS  ) https://t.co/X8vAsfhfDg</t>
  </si>
  <si>
    <t>Rastreamento de #ações : GRÁFICO SEMANAL p/  04/ a 08/09/23, Analise  se romper e Não deixe de curtir!: Clique na figura p/ vê-la melhor ( Uso https://t.co/e9QdFtUAPS  ) https://t.co/z5Mqi1PNPW</t>
  </si>
  <si>
    <t>Rastreamento de #ações : GRÁFICO DIÁRIO p/ 02/09/23, Avalie analisar também  se romper e Não deixe de curtir! Clique na figura p/ vê-la melhor ( Uso https://t.co/e9QdFtUAPS  ) https://t.co/MfTMKg61gE</t>
  </si>
  <si>
    <t>Rastreamento de #ações : Gráfico diário p/ 04/09/23, Analise se romper e Não deixe de curtir! Clique na figura p/ vê-la melhor ( Uso https://t.co/e9QdFtUAPS  ) https://t.co/ViKI6SlbK1</t>
  </si>
  <si>
    <t>Destas 15 ações (14 empresas) por mim rastreadas (segundo aos meus critérios) quais 6 escolheria para uma carteira diversificada? https://t.co/41hY6sjlFF</t>
  </si>
  <si>
    <t>#Ações</t>
  </si>
  <si>
    <t>Rastreamento de #ações : Volume financeiro &amp;gt;1,5 x MM21 SEM (10 a 14/07/23) Uso https://t.co/e9QdFtUAPS  Clique na figura pra vê-la melhor #Ações https://t.co/K7Aiu2EiYA</t>
  </si>
  <si>
    <t>Rastreamento de #ações : GRÁFICO SEMANAL p/ 17 a 21/07/23, Analise se romper e Não deixe de curtir!: Uso https://t.co/e9QdFtUAPS Clique na figura pra vê-la melhor #ações https://t.co/DylUE2fuJ1</t>
  </si>
  <si>
    <t>Volume financeiro &amp;gt;1,5 x MM21 Graf Diário (14/07/23) Uso https://t.co/e9QdFtUAPS  Clique na figura pra vê-la melhor #Ações https://t.co/JGqutWM81i</t>
  </si>
  <si>
    <t>Rastreamento de #ações : GRÁFICO DIÁRIO p/ 17/07/23, analise se romper e Não deixe de curtir!: Uso https://t.co/e9QdFtUAPS  Clique na figura pra vê-la melhor #ações https://t.co/443UaS93Ho</t>
  </si>
  <si>
    <t>Rastreamento de #ações : GRÁFICO SEMANAL p/  15 a 19/05/23, Avalie analisar também  se romper e Não deixe de curtir!: Uso https://t.co/e9QdFtUAPS Clique na figura pra vê-la melhor https://t.co/689feW66VA</t>
  </si>
  <si>
    <t>Rastreamento de #ações : Volume financeiro &amp;gt;1,5 x MM21 SEM (08 a 12/05/23) Uso https://t.co/e9QdFtUAPS  Clique na figura pra vê-la melhor https://t.co/LLQos6a5OD</t>
  </si>
  <si>
    <t>Rastreamento de #ações : GRÁFICO SEMANAL p/ 15 a 19/05/23, Analise se romper e Não deixe de curtir!: Uso https://t.co/e9QdFtUAPS Clique na figura pra vê-la melhor https://t.co/6MC2OS36Iz</t>
  </si>
  <si>
    <t>Rastreamento de #ações : GRÁFICO DIÁRIO p/ 15/05/23, Avalie analisar também  se romper e Não deixe de curtir!: Uso https://t.co/e9QdFtUAPS  Clique na figura pra vê-la melhor https://t.co/5meqiNzlQM</t>
  </si>
  <si>
    <t>Rastreamento de #ações : GRÁFICO DIÁRIO p/ 15/05/23, analise se romper e Não deixe de curtir!: Uso https://t.co/e9QdFtUAPS  Clique na figura pra vê-la melhor https://t.co/1BtTgCJpnK</t>
  </si>
  <si>
    <t>RELÁTORIO DE RECOMENDAÇÃO - SWING TRADE AÇÕES
ATIVO: GMAT3
EMPRESA: GRUPO MATEUS
Analista Técnico Responsável
Francisco Bertoldi Neto
CNPI-T Nº 3803
#mercadofinanceiro #cnpi #ações #swingtrading #investimentos #analistacnpi #analisetecnicaclassica #analisetecnica https://t.co/xiE5lJItTU</t>
  </si>
  <si>
    <t>RELÁTORIO DE RECOMENDAÇÃO - SWING TRADE AÇÕES
ATIVO: RENT3
EMPRESA: LOCALIZA
Analista Técnico Responsável
Francisco Bertoldi Neto
CNPI-T Nº 3803
#mercadofinanceiro #cnpi #ações #swingtrading #investimentos #analistacnpi #analisetecnicaclassica #analisetecnica https://t.co/gyfwbSL2a0</t>
  </si>
  <si>
    <t>O reconhecimento que vem é graças ao trabalho diário feito com dedicação, conhecimento e competência. 
#perspective #investimentos #mercadofinanceiro #investir #investimento #fortuna #força #dinheiro #crescimento #bolsadevalores #ações #btg https://t.co/xOsvRU8Kww</t>
  </si>
  <si>
    <t>A área de expansão da Perspective, liderada por Maiana Almeida, nossa head, é muito bem estruturada. Leia aqui: https://t.co/sVOqdsmxMi 
#perspective #investimentos #mercadofinanceiro #investir #investimento #fortuna #força #dinheiro #crescimento #bolsadevalores #ações #btg https://t.co/0WZzJOAb42</t>
  </si>
  <si>
    <t>Junho chegou e teremos feriado. Atente-se ao funcionamento da B3. 
#perspective #investimentos #mercadofinanceiro #investir #investimento #fortuna #força #dinheiro #crescimento #bolsadevalores #ações #btg https://t.co/wu4eNtAOCQ</t>
  </si>
  <si>
    <t>Vamos entender como funciona o cargo de AAI nessa leitura do blog? Leia aqui https://t.co/QOiwu218og 
#perspective #investimentos #mercadofinanceiro #investir #investimento #fortuna #força #dinheiro #crescimento #bolsadevalores #ações #btg https://t.co/8nVfwqd5xU</t>
  </si>
  <si>
    <t>Ao investir com a Perspective, você tem a certeza de que os seus objetivos serão alcançados. Fale conosco aqui:
 https://t.co/2xV24oeFGV 
#perspective #investimentos #mercadofinanceiro #investir #investimento #fortuna #força #dinheiro #crescimento #bolsadevalores #ações #btg https://t.co/QpcNnjxWSe</t>
  </si>
  <si>
    <t>Vamos falar mais sobre o mercado financeiro funciona e o que é preciso para ser um #aai? Leia no blog agora. O link está na bio! 
#perspective #investimentos #mercadofinanceiro #investir #investimento #fortuna #força #dinheiro #crescimento #bolsadevalores #ações #btg https://t.co/exduhnAgGZ</t>
  </si>
  <si>
    <t>O planeta é a nossa morada e deve ser tratado com cuidado, respeito e amor. 
#perspective #investimentos #mercadofinanceiro #investir #investimento #fortuna #força #dinheiro #crescimento #bolsadevalores #ações #btg https://t.co/QYAtTAPKgk</t>
  </si>
  <si>
    <t>Somos um escritório do maior banco de investimentos da América Latina: o BTG Pactual. 
Abra sua conta. 
#perspective #investimentos #mercadofinanceiro #investir #investimento #fortuna #força #dinheiro #crescimento #bolsadevalores #ações #btg https://t.co/CFBBBfWWk5</t>
  </si>
  <si>
    <t>Conteúdo de qualidade sobre o mercado financeiro? Basta acessar o blog da Perspective. Leia aqui: https://t.co/ZXkVzZkZQn
#perspective #investimentos #mercadofinanceiro #investir #investimento #fortuna #força #dinheiro #crescimento #bolsadevalores #ações #btg https://t.co/1HhQsOQiyK</t>
  </si>
  <si>
    <t>Nosso time é composto por especialistas que olham para suas necessidades como se fossem as suas.  
#perspective #investimentos #mercadofinanceiro #investir #investimento #fortuna #força #dinheiro #crescimento #bolsadevalores #ações #btg https://t.co/hojMrD7Zzd</t>
  </si>
  <si>
    <t>A P360 é uma plataforma de planejamento financeiro exclusiva no Brasil que vai auxiliar você a investir com propósito, objetividade e transparência.
Quer saber mais? Fale com nosso time. 
#perspective #investimentos  #crescimento #bolsadevalores #ações #btg https://t.co/kKNuSBDRSE</t>
  </si>
  <si>
    <t>De Norte a Sul do Tocantins, as divisões especializadas da Polícia Civil deflagraram várias operações no sentido de desvendar crimes diversos e identificar seus autores
#136kgdedrogas #62prisões #ações #DRACCO #facçãocriminosa #homicídios
https://t.co/3JUN6EcPaF https://t.co/8EBNCnL9J2</t>
  </si>
  <si>
    <t>Devo Investir em #ações em 2023? https://t.co/gYob3Y9aKm</t>
  </si>
  <si>
    <t>Disney fecha pregão com a maior queda em nove anos.
Os investidores não estão contentes com a diretoria do conglomerado.
#Disney #StockMarket $Dis #Mercado #ibov #ibovespa #Ações #Economia #economy 
BedRock™💸 https://t.co/DknawK9Dp5</t>
  </si>
  <si>
    <t>Nvidia reporta lucro recorde e estoques mais vazios devido o interesse geral em seus produtos, principalmente pelo avanço da Inteligência Artificial.
#Nvidia #Stock $NVDA #Economia #ibovespa #Mercado #Açoes
BedRock™💸 https://t.co/4BJD6rcMAd</t>
  </si>
  <si>
    <t>Nvidia surfa onda de IA e tem lucro recorde.
Além disso, a Nvidia irá recomprar partes de suas ações, o que pode aumentar o valor das que ficarem disponíveis para negociação já que, a oferta será diminuida
#Nvidia #Ações #Stock #Mercado #Economia #BolsaDeVelores
BedRock™💸 https://t.co/378ZFQaHNu</t>
  </si>
  <si>
    <t>Nvidia continua subindo enquanto o mercado descobre que a inteligência artificial não é uma bolha e tem caráter prático nas diversas áreas do conhecimento.
#Nvidia #Açoes #ibovespa #NvidiaStock #StockMarket #Economia #Mercado 
BedRock™💸 https://t.co/7GYR1UkpyG</t>
  </si>
  <si>
    <t>Drex promete diminuir a influência do Real (R$) convencional e do Papel-Moeda.  
É a forma mais conservadora de se criar uma nova Criptomoeda.
#Drex #BancoCentral #RobertoCamposNeto #RobertoCampos #Economia #mercado #Ações #Real 
BedRock™💸 https://t.co/Ozpsyb8wEd</t>
  </si>
  <si>
    <t>Ações da Tesla $TSLA supreendem e sobem mais de 10%!
Parece que as apostas de Bill Gates de que Elon não atingiria o nível de carros autônomos estava errada.
#ElonMusk #Tesla #BillGates #stockmarkets #Ações #Mercado #mercadofinanceiro #ibovespa 
BedRock™💸 https://t.co/3SZEEexGmD</t>
  </si>
  <si>
    <t>O mercado #spx e #Crypto vai cair, não tô falando dessa queda recente, estou falando dos treasures que foram criados agora com o aumento do teto da dívida americana, essa liquidez vai vir de onde? 
#Bitcoin #Apple #acoes #ethereum</t>
  </si>
  <si>
    <t>Uma Exchange é uma plataforma online que permite a compra, venda e troca de ativos digitais. #exchange #bitcoin #titulos #açoes #sxidiomas #solutionxidiomas #inglês https://t.co/em9N4MY6I0</t>
  </si>
  <si>
    <t>Explorando Estratégias de Investimento com Louise Barsi: Ações, Dividendos e Conselhos Valiosos 
https://t.co/nqtOpaXsZ8
#ações #Dividendos #Fiis #LouiseBarsi #WarrenBuffett https://t.co/UCDHTsaBAa</t>
  </si>
  <si>
    <t>Direito de Subscrição da Itaúsa (ITSA4): Vale a Pena? 
https://t.co/qyarLtrJzN
#ações #Itaú #ITSA4 #Subscrição https://t.co/F54SPysNrL</t>
  </si>
  <si>
    <t>Saiba como investir o seu dinheiro da melhor forma com os tipos de investimentos financeiros disponíveis. Saiba mais: https://t.co/W6OWdA6leH
 #ações #economia #investimentos #lucro #rendimento</t>
  </si>
  <si>
    <t>Mercado financeiro e suas formas de investimento. Entenda como funciona. Saiba mais: https://t.co/G1MMQZE74j
 #ações #dólar #economia #investimentos #mercadofinanceiro</t>
  </si>
  <si>
    <t>Conheça a Bolsa de Valores e como investir em ações e títulos públicos. Saiba mais: https://t.co/urzLuAmoO0
 #ações #bolsadevalores #corretoras #investimentos #mercadofinanceiro</t>
  </si>
  <si>
    <t>Entenda o mercado financeiro e invista de forma assertiva. Saiba mais: https://t.co/QgMhFNIjXN
 #ações #economia #investimentos #mercadofinanceiro #rendafixa</t>
  </si>
  <si>
    <t>Aumente o rendimento de seus investimentos em tempos de instabilidade econômica. Saiba mais: https://t.co/2Sf9tFDag3
 #ações #economia #investimentos #lucro #rendimento</t>
  </si>
  <si>
    <t>¿Qué medidas se han o están tomando? 
¿Era conocedora la dirección del centro del caso? 
¿Qué protocolo activó el #CoordinadorDeBienestar? 
#Acoes #AcosoEscolar #Verguenza</t>
  </si>
  <si>
    <t>É preciso monitorar os papéis do portfólio para se certificar de que tudo está em harmonia. Saiba mais aqui: https://t.co/JZePjfEgHt
#GorilaFLOW #MercadoFinanceiro #Notícias #Ações https://t.co/dHCd87JP2G</t>
  </si>
  <si>
    <t>Como foi o desempenho da sua carteira ao longo do mês? Confira as altas e baixas de abril. 📊 
#Ações #FundosImobiliários #MercadoFinanceiro #Investimentos https://t.co/xtYn7ymogM</t>
  </si>
  <si>
    <t>Com a aprovação do arcabouço fiscal e os dados de inflação abaixo do esperado, a bolsa brasileira passou por grandes movimentações em maio. Confira a seguir as principais altas e baixas do último mês.
#Ações #MercadoFinanceiro #Economia #Inflação https://t.co/T6cq8VuU5I</t>
  </si>
  <si>
    <t>Embora o Ibovespa tenha encerrado o último pregão de junho em queda, o índice da bolsa brasileira fechou o mês em tom positivo. Confira aqui suas altas e baixas. 📊 
#Ações #MercadoFinanceiro #Economia https://t.co/tuOYkCcrQ6</t>
  </si>
  <si>
    <t>Em um estudo encomendado pela InfoMoney, o Gorila analisou as carteiras de mais de 402 mil usuários para entender as principais escolhas dos investidores nos últimos 12 meses. 
🔗 Confira no link: https://t.co/QsBWqN2TPl
#Investimentos #MercadoFinanceiro #Ações #RendaFixa https://t.co/0XPx4FO4Jz</t>
  </si>
  <si>
    <t>#B3 Enquanto o Ibovespa fica no zero a zero no mês de setembro, minha carteira está decolando! 💸💼🚀 #Investimentos #Acoes #BolsaDeValores #Ganhos #Diversificacao #Estrategia https://t.co/w96KSBFYF3</t>
  </si>
  <si>
    <t>Gasto Extra no Arcabouço Fiscal, Lucro da AMBEV, Marisa Fechando, PPI da Petrobrás e Dividendos 
#ArcaboucoFiscal #abev3 #marisa #amar3 #ppi #petr4 #dividendos #ações
https://t.co/gwZ3lFII5j</t>
  </si>
  <si>
    <t>Petrobras (#PETR3 e #PETR4 paga dividendos nesta sexta.
Ações ordinárias (ON - PETR3, com direito a voto em assembleia) e Preferenciais (PNA - PETR4) ficará em R$ 1,44071213 (dividendos de R$ 1,37286685 + atualização pela Selic de R$ 0,06784528).
#dividendos #ações #b3</t>
  </si>
  <si>
    <t>Barsi compra mais ações da AES Brasil #Brasi #aesb3 #ações #investir #investimentos #beest #B3 https://t.co/8u8lEyAqtH</t>
  </si>
  <si>
    <t>Video novo no Canal
Mostrando como o #Ibov e #SmallCaps subiram forte desde o fundo em Março, e isso, é apenas o começo para as #açōes da nossa bolsa.
Juros vão cair e podemos ver #SELIC em 12% rm 2024.
https://t.co/ilE3q2uRwZ</t>
  </si>
  <si>
    <t>Análise em 1 minuto de Intelbras (INTB3). 
#investimentos #ações #bolsadevalores #intelbras #intb3 #economia #mercadofinanceiro #ibovespa #analisedeações https://t.co/Jcxqhg19lM</t>
  </si>
  <si>
    <t>"FAÇA A VERDADE A SUA ESPADA E A SUA ARMADURA."
The Stoic Emperor
#ibovespa #bovespa #ações #dinheiro #rendafixa #consultoria #rendavariavel #assessoria https://t.co/HrflCUzali</t>
  </si>
  <si>
    <t>"PLANEJE SOBREVIVER A REALIDADE.
O FUTURO ESTÁ CHEIO DE INCERTEZAS, QUE É COTIDIANO DE TODOS."
Psichology of Money 
#ibovespa #ações #dinheiro 
#rendavariavel #rendafixa #consultoria #assessori https://t.co/yM2SQTnKA2</t>
  </si>
  <si>
    <t>"QUALQUER UM PODE DIRIGIR O NAVIO QUANDO O MAR ESTÁ CALMO."
Publilius Syrus
#ibovespa #bovespa #dinheiro #fundodi #fundoimobiliario #fundorendafixa #ações #aplicaçõesfinanceiras #investimento #investimentofinanceiro #consultoriafinanceira https://t.co/yFi03ZdYYf</t>
  </si>
  <si>
    <t>"AS PESSOAS SÃO RÁPIDAS EM LOGO JULGAR,  AO INVÉS DE ESTAREM DISPOSTAS A ENTENDER."
Mind Essentials
#ibovespa #bovespa #dinheiro #ações #rendafixa #consultoria #assessoriafinanceira #rendavariavel #finanças #finanças #investimento #economia https://t.co/lG2yhIkcyI</t>
  </si>
  <si>
    <t>FECHAMENTO MERCADO 
19/05/23
DAX   +0,69%
SP500   -0,14% 
IBOVESPA  +0,58% 
DÓLAR   5,00
#Ibovespa #bovespa #dinheiro #rendafixa #rendavariavel #finanças #consultoria #assessoria #ações #economia https://t.co/bomWyCARfh</t>
  </si>
  <si>
    <t>"BASICAMENTE POSSO COMPRAR QUALQUER COISA QUE EU QUISER, MAS EU NÃO POSSO COMPRAR TEMPO." 
Warren Buffett
#ibovespa #bovespa #dinheiro #ações #rendafixa #consultoria #assessoriafinanceira #rendavariavel #finanças #educaçãofinanceira #economia https://t.co/FSCEufEwvs</t>
  </si>
  <si>
    <t>FECHAMENTO MERCADO 
18/05/23
DAX   +1,33%
SP500   +0,94% 
IBOVESPA  +0,59% 
DÓLAR   4,97
#Ibovespa #bovespa #dinheiro #rendafixa #rendavariavel #finanças #consultoria #assessoria #ações #economia https://t.co/cc12KdgR89</t>
  </si>
  <si>
    <t>RENDA FIXA 
MAI 22 / ABR 23
TX CDI  13,37%
IPCA   4,18%
CONSIDERANDO:
TX DE ADMINISTRAÇÃO
0,50 a 1,50% a.a
IMP.RENDA
22,5 a 15%
REND. REAL
+4,7%  a +6,4% ao ano
#Ibovespa #bovespa #ações #fdi #dinheiro #economia #rendafixa #rendavariavel #finanças #consultoria #poupança https://t.co/HqMYMKBEzu</t>
  </si>
  <si>
    <t>QUEDA DOS JUROS FUTUROS 
#ibovespa #bovespa #ações #SP500 #dinheiro #economia #rendafixa #rendavariavel #finanças #consultoria #assessoriafinanceira #finançaspessoais #educaçãofinanceira https://t.co/CPyg6Gb7bP</t>
  </si>
  <si>
    <t>PETROBRÁS ABANDONA A PARIDADE INTERNACIONAL DE PREÇOS 
#ibovespa #bovespa #dinheiro #ações #rendafixa #consultoria #assessoriafinanceira #rendavariavel #finanças #educaçãofinanceira https://t.co/tB0Q36KaLH</t>
  </si>
  <si>
    <t>"AS PESSOAS, VERDADEIRAMENTE, ENTENDERÃO ALGUMA SITUAÇÃO, SOMENTE QUANDO OCORRER COM ELAS."
Simran 
#ibovespa #bovespa #dinheiro #ações #rendafixa #consultoria #assessoria #bolsadevalores #rendavariavel #finanças #finanças https://t.co/pDNc2efagy</t>
  </si>
  <si>
    <t>FECHAMENTO MERCADO 
15/05/23
DAX   +0,02%
SP500   +0,30% 
IBOVESPA  +0,52% 
DÓLAR   4,88
#Ibovespa #bovespa #dinheiro #rendafixa #rendavariavel #finanças #consultoria #assessoria #ações #economia https://t.co/pw6QzL7cgh</t>
  </si>
  <si>
    <t>"NÃO É RICO QUEM MUITO TEM, MAS QUEM MUITO DÁ."
Get Wealthy 
#ibovespa #bovespa #dinheiro #ações #rendafixa #rendavariavel #finanças #consultoria #assessoria #bolsadevalores https://t.co/kDS5mUhoS4</t>
  </si>
  <si>
    <t>PIORES INVESTIMENTOS 
ANO 2023 ATÉ MAIO 
#ibovespa #bovespa #dinheiro #ações #rendafixa #consultoria #assessoriafinanceira #rendavariavel #finanças #educaçãofinanceira #fundoimobiliario #imóvel #fundodi #fundomultimercado #economia #dolar #bitcoin https://t.co/mnaQmWKPgA</t>
  </si>
  <si>
    <t>"AS PESSOAS NÃO DECIDEM SEUS  FUTUROS. 
ELAS DECIDEM SEUS HÁBITOS, E SEUS HÁBITOS DECIDEM SEUS FUTUROS."
F.M. Alexander
#ibovespa #bovespa #ações #SP500 #dinheiro #economia #rendafixa #rendavariavel #finanças #consultoria #assessoriafinanceira #finanças #educaçãofinanceira https://t.co/iAhsjzZ8is</t>
  </si>
  <si>
    <t>"EMBORA EXISTAM BOAS E MÁS COMPANHIAS, NÃO HÁ A BOA AÇÃO. 
O QUE EXISTEM SÃO APENAS BONS PREÇOS DE AÇÕES, QUE VÊM E VÃO."
Benjamin Graham
#ibovespa #bovespa #dinheiro #ações #rendafixa #rendavariavel #finanças #consultoria #assessoriafinanceira #educaçãofinanceira https://t.co/CiaByhFzZO</t>
  </si>
  <si>
    <t>FECHAMENTO MERCADO 
17/05/23
DAX   +0,34%
SP500   +1,19% 
IBOVESPA  +1,17% 
DÓLAR   4,94
#Ibovespa #bovespa #dinheiro #rendafixa #rendavariavel #finanças #consultoria #assessoria #ações #economia https://t.co/7QnBYSeoih</t>
  </si>
  <si>
    <t>"CONHEÇA O QUE VOCÊ POSSUI E PORQUE VOCÊ O POSSUI."
Peter Lynch
#ibovespa #bovespa #dinheiro #ações #rendafixa #consultoria #assessoria #rendavariavel #finanças #educaçãofinanceira https://t.co/tcpDqu0bD1</t>
  </si>
  <si>
    <t>FECHAMENTO MERCADO 
16/05/23
DAX   -0,12%
SP500   -0,64% 
IBOVESPA  -0,77% 
DÓLAR   4,94
#Ibovespa #bovespa #dinheiro #rendafixa #rendavariavel #finanças #consultoria #assessoria #ações #economia https://t.co/TEY4vKAu2T</t>
  </si>
  <si>
    <t>RENDA FIXA 
JUN 22 / MAI 23
TX CDI  13,48%
IPCA   3,94%
CONSIDERANDO:
TX DE ADMINISTRAÇÃO
0,50 a 1,50% a.a
IMP.RENDA
22,5 a 15%
REND. REAL
+5,0%  a +6,8% ao ano
#Ibovespa #bovespa #ações #fdi #dinheiro #economia #rendafixa #rendavariavel #finanças #consultoria #poupança https://t.co/JtWnGGuIsJ</t>
  </si>
  <si>
    <t>MELHORES INVESTIMENTOS
MAIO 2023
#ibovespa #bovespa #dinheiro #fundodi #aplicaçõesfinanceiras #dolar #economia #rendafixa #rendavariavel #finanças #consultoria #assessoriafinanceira #ações #fundodi #fundoimobiliario #fundomultimercado #finançaspessoais #educaçãofinanceira https://t.co/9gRKfFz5BC</t>
  </si>
  <si>
    <t>FECHAMENTO MERCADO 
31/05/23
DAX   -1,54%
SP500   -0,61%
IBOVESPA  -0,58% 
DÓLAR   5,07
HUMOR PIORA COM DADOS DA ECONOMIA CHINESA
#Ibovespa #bovespa #dinheiro #rendafixa #rendavariavel #finanças #consultoria #assessoria #ações #economia #finançaspessoais #educaçãofinanceira https://t.co/ugaNO8eMTZ</t>
  </si>
  <si>
    <t>ABERTURA MERCADO 
31/05/23
NIKKEI   -1,41%   
SHANGAI  -0,61%  
DAX   -0,46%
SP500 FUTURO  -0,48%
IBOVESPA FUTURO    -0,24%
DÓLAR   5,06
DADOS FRACOS DA ECONOMIA DA CHINA AFETA AS BOLSAS 
#ibovespa #bovespa #dinheiro #rendafixa #consultoria #rendavariavel #ações #finanças https://t.co/n2eM2Sfv9v</t>
  </si>
  <si>
    <t>FECHAMENTO MERCADO 
30/05/23
DAX   -0,27%
SP500   0,00%
IBOVESPA  -1,24% 
DÓLAR   5,04
#Ibovespa #bovespa #dinheiro #rendafixa #rendavariavel #finanças #consultoria #assessoria #ações #economia #finançaspessoais #educaçãofinanceira #fdi #poupança #fundoimobiliario https://t.co/BfcTHDTLRJ</t>
  </si>
  <si>
    <t>"SE VOCÊ NÃO ASSUMIR RISCOS, NADA IRÁ MUDAR."
Wise Chimp 
#ibovespa #bovespa #dinheiro #fundodi #ações #economia #finanças #consultoria #assessoriafinanceira #finançaspessoais #educaçãofinanceira #fdi #poupança #fundoimobiliario #fundomultimercado https://t.co/AVtNliXIHk</t>
  </si>
  <si>
    <t>FECHAMENTO MERCADO 
29/05/23
DAX   -0,20%
SP500   feriado 
IBOVESPA  -0,52% 
DÓLAR   5,01
#Ibovespa #bovespa #dinheiro #rendafixa #rendavariavel #finanças #consultoria #assessoria #ações #economia #finançaspessoais #educaçãofinanceira #fdi #poupança #fundoimobiliario https://t.co/z5XJiVrV0u</t>
  </si>
  <si>
    <t>Investir em ações requer muito sangue frio e disciplina.
Fuja do Efeito Manada, quando o investidor corre para o lado que todos estão correndo, sem qualquer racionalidade.
As chances de prejuízos são enormes.
#bovespa #ibovespa #ações #dinheiro #rendafixa #rendavariavel #fdi https://t.co/i5pC3sMe7H</t>
  </si>
  <si>
    <t>"INVESTIR NÃO É ARRISCADO. 
ARRISCADO  É  COMPRAR SEM FAZER QUALQUER PESQUISA.
Brian Feroldi 
#ibovespa #bovespa #dinheiro #rendafixa #consultoria #rendavariavel #fundomultimercado #fundoimobiliario #finanças #economia #ações #finançaspessoais #economia https://t.co/1ofETxFFMA</t>
  </si>
  <si>
    <t>"A MENOS QUE VOCÊ COMPRE UMA AÇÃO NA MÍNIMA DA BAIXA (QUASE IMPOSSÍVEL), VOCÊ PODE FICAR ABAIXO EM ALGUM MOMENTO DEPOIS DE CADA INVESTIMENTO QUE VOCÊ FIZER.
SEU SUCESSO DEPENDE INTEIRAMENTE, QUÃO NÃO PREOCUPADO VOCÊ ESTÁ COM AS FLUTUAÇÕES DE CURTO PRAZO."
Joel Greenblatt
#ações https://t.co/Y8qqnWTl21</t>
  </si>
  <si>
    <t>IPCA-15 MAIO 2023
#ibovespa #bovespa #dinheiro #fundodi #aplicaçõesfinanceiras #ações #economia #finanças #educaçãofinanceira #rendafixa #rendavariavel #finanças #consultoria #assessoriafinanceira #finançaspessoais https://t.co/nujEPytUto</t>
  </si>
  <si>
    <t>PIORES INVESTIMENTOS 
JUNHO  2023
#ibovespa #bovespa #ações #SP500 #dinheiro #economia #finanças #consultoria #dolar #bitcoin #euro #ouro #imovel https://t.co/hDFACzgp3W</t>
  </si>
  <si>
    <t>CONFIANÇA É UM ATIVO IMPORTANTISSIMO, COMO UM VASO DE CRISTAL.
UMA VEZ QUE SE QUEBRE,  NUNCA MAIS SERÁ O MESMO.
#ibovespa #bovespa #ações #SP500 #dinheiro #economia #fundoimobiliario #fundomultimercado #rendafixa #rendavariavel #finanças #consultoria #assessoriafinanceira https://t.co/rUb06lx1Yq</t>
  </si>
  <si>
    <t>QUEDA DOS JUROS 
#ibovespa #bovespa #ações #SP500 #dinheiro #economia #rendafixa #rendavariavel #finanças #consultoria #assessoriafinanceira #educaçãofinanceira #fundoimobiliario #fundomultimercado #finançaspessoais #dolar #bitcoin #poupança https://t.co/mjjlKjlmbB</t>
  </si>
  <si>
    <t>"NADA É MAIS PERSUASIVO DO QUE A OPINIÃO QUE VOCÊ QUER  DESESPERADAMENTE ACREDITAR QUE É VERDADE."
Morgan Housel
#ibovespa #bovespa #ações #SP500 #dinheiro #economia #investimento #rendafixa #rendavariavel #finanças #assessoriafinanceira #fundoimobiliario #fundomultimercado https://t.co/3NuB8tFnYB</t>
  </si>
  <si>
    <t>"NÃO USE SUA ENERGIA PARA SE PREOCUPAR. 
USE SUA ENERGIA PARA ACREDITAR."
Moral Philosophy 
#ibovespa #bovespa #ações #SP500 #dinheiro #economia #rendafixa #rendavariavel #finanças #consultoria #assessoriafinanceira #investimento #educaçãofinanceira https://t.co/n3miMpzFxf</t>
  </si>
  <si>
    <t>FECHAMENTO MERCADO 
23/05/23
DAX   -0,44%
SP500   -1,12% 
IBOVESPA  -0,26% 
DÓLAR   4,97
#Ibovespa #bovespa #dinheiro #rendafixa #rendavariavel #finanças #consultoria #assessoria #ações #economia https://t.co/Imoo7HpxXr</t>
  </si>
  <si>
    <t>"AS CINCO PALAVRAS MAIS PERIGOSAS EM NEGÓCIOS SÃO:
TODO MUNDO ESTÁ FAZENDO ISSO."
Warren Buffett
#ibovespa #bovespa #ações #SP500 #dinheiro #economia #rendafixa #rendavariavel #finanças #consultoria #assessoriafinanceira #finanças #educaçãofinanceira https://t.co/m5wkDcLtHl</t>
  </si>
  <si>
    <t>FECHAMENTO MERCADO 
22/05/23
DAX   -0,32%
SP500   +0,02% 
IBOVESPA  -0,48% 
DÓLAR   4,97
#Ibovespa #bovespa #dinheiro #rendafixa #rendavariavel #finanças #consultoria #assessoria #ações #economia https://t.co/HB4P33VFpx</t>
  </si>
  <si>
    <t>RENDA FIXA 
AGO 22 / JUL 23
TX CDI  13,58%
IPCA   3,99%
CONSIDERANDO:
TX DE ADMINISTRAÇÃO
0,50 a 1,50% a.a
IMP.RENDA
22,5 a 15%
REND. REAL
+5,0%  a +6,8% ao ano
#Ibovespa #bovespa #ações #fdi #dinheiro #economia #rendafixa #rendavariavel #finanças #poupança #multimercado https://t.co/FvYnyH5DGy</t>
  </si>
  <si>
    <t>"SE VOCÊ ESTÁ COMPRANDO COM O ÚNICO OBJETIVO DE VENDER, SEU FOCO ESTÁ NO PREÇO; PORTANTO VOCÊ ESTÁ ESPECULANDO - NÃO INVESTINDO."
VJ RABINDRANATH 
#Ibovespa #bovespa #ações #multimercado #poupança #economia #dolar #bitcoin #imovel #euro #ouro https://t.co/P4ehJIXGed</t>
  </si>
  <si>
    <t>INFLAÇÃO NOS EUA
JULHO 2023
#Ibovespa #bovespa #ações #multimercado #poupança #economia #dolar #bitcoin #imovel #euro #ouro #fundo https://t.co/RXXHqw3DvM</t>
  </si>
  <si>
    <t>"NÃO SEI COMO PREVER O MERCADO ACIONÁRIO, NÃO SEI COMO PREVER AS TAXAS DE JUROS E NÃO SEI COMO PREVER OS NEGÓCIOS.
TUDO O QUE SEI, É QUE SE EU COMPRAR A TIPO CERTO DE NEGÓCIO, PELO PREÇO CERTO, COM PESSOAS CERTAS, TEREI SUCESSO AO LONGO DO TEMPO."
Warren Buffett
#ibovespa #ações https://t.co/5qnKu2jiaY</t>
  </si>
  <si>
    <t>#federalreserve #mercadofinanceiro #investing #money #economia #economy #stocks #ações #trading #bitcoin #ibovespa #nasdaq</t>
  </si>
  <si>
    <t>El abogado que da de comer a once mil niños todos los días en Honduras #padrealvaro #acoes  https://t.co/XjLpO5PSQN vía @COPE</t>
  </si>
  <si>
    <t>Juntos impactamos vidas!
#institutoecovida #coletivoecovida #ong #penhasc #santacatarina #piçarras #barravelha #navegantes #trabalho #ações #luta #Juntosimpactamosvidas https://t.co/IU3kDxp8BQ</t>
  </si>
  <si>
    <t>Acredito que esse tenha sido um dos mais importantes FRs que a empresa soltou até hoje no mercado financeiro.
Apesar de não ter valores, o que acho um erro, o mesmo deve ser bem significativo. @Padtec 
#Padtec #MercadoFinanceiro #acoes https://t.co/AS3qaUuN7M</t>
  </si>
  <si>
    <t>A tradutora de Libras teve um trabalhão nesse vídeo, hein?! 🥵👏
Foram tantas as ações do Governo do Estado nesses primeiros sete meses de ano, que a gente teve que acelerar para caber tudo! Espia! 👀
#Ações #GovernoPE #Pernambuco #EstadoDeMudança https://t.co/SGkAgoFzgf</t>
  </si>
  <si>
    <t>Ações acontecem em alusão ao Dia Mundial de Conscientização sobre a Violência contra a Pessoa Idosa, celebrado em 15 de junho:_x000D__x000D_ #BlogdoJuares #BJNews #PoliciaCivil #pessoaidosa #acoes #violencia #PortoAlegre_x000D__x000D_https://t.co/QBibUPJPWf</t>
  </si>
  <si>
    <t>📹UManresa va ser pionera en la introducció de les ACOE al grau en Infermeria
L'Estel, la Mariona i la Júlia tenien aquesta expectativa abans d'entrar a fer-les 
Si voleu saber com va anar, mireu el vídeo al nostre canal de youtube
https://t.co/tVe8a73WqQ
#infermeria #ACOES https://t.co/5mbhlIZiKa</t>
  </si>
  <si>
    <t>📰UManresa completa la implantació de l’avaluació de competències de l’estudiantat d’Infermeria 
https://t.co/h3dsEwnhnE
#acoes #infermeria #simulacio https://t.co/LNQfpSSNYZ</t>
  </si>
  <si>
    <t>📰UManresa completa la implantació de l’avaluació de competències de l’estudiantat d’Infermeria
https://t.co/h3dsEwnPdc
#acoes #infermeria #simulacio https://t.co/QzpPs5NdhH</t>
  </si>
  <si>
    <t>📰UManresa completa la implantació de l’avaluació de competències de l’estudiantat d’Infermeria
https://t.co/h3dsEwnPdc
#acoes #infermeria #simulacio https://t.co/49R0KeHKsR</t>
  </si>
  <si>
    <t>Lula no Reino Unido: Diálogo pela paz e pelo meio ambiente https://t.co/daXlCwSzOP via @YouTube #lula #governo #brasil #consolidação #aperfeiçoamento #proteção #proteçãoambiental #energialimpa #ações #novosprojetos #relaçõesinternacionais #cop2023 #G20</t>
  </si>
  <si>
    <t>Foto: reprodução/TV Brasil
Radar Econômico – Veja
#lula 
#mercadofinanceiro 
#bolsadevalores 
#ações 
#foralula 
#taxar 
#impostos</t>
  </si>
  <si>
    <t>Descubra como desbloquear sua Liberdade Financeira de uma vez por todas:
https://t.co/i8OqlzIrwZ
#investimento #investir #ações #bolsadevalores #mercadofinanceiro #finanças #comoinvestir #inteligenciafinanceira https://t.co/mnprYBg20Z</t>
  </si>
  <si>
    <t>🔥PROMOÇÃO: Descubra como desbloquear sua Liberdade Financeira de uma vez por todas:
https://t.co/Bi0RwAbgpo
#inteligenciaartificial #bdr #etf #bolsadevalores #ações #tecnologia #ai #investimentos #comoinvestir #financas #educaçãofinanceira https://t.co/zM0gNlsQpx</t>
  </si>
  <si>
    <t>🔥PROMOÇÃO: Descubra como desbloquear sua Liberdade Financeira de uma vez por todas:
https://t.co/Bi0RwAbgpo
#dividendos #proventos #lucro #investir #bolsadevalores #investimentos #comoinvestir #finanças #ações #educaçãofinanceira https://t.co/GgVFUSt9UN</t>
  </si>
  <si>
    <t>Descubra como desbloquear sua Liberdade Financeira de uma vez por todas:
https://t.co/i8OqlzIZmx
#investimento #comoinvestir #educaçãofinanceira #poupança #inteligenciafinanceira #dividendos #investir #dicasfinanceiras #finançaspessoais #riqueza #ações https://t.co/UB4hF5C64D</t>
  </si>
  <si>
    <t>🔥PROMOÇÃO: Descubra como desbloquear sua Liberdade Financeira de uma vez por todas:
https://t.co/Bi0RwAaIzQ
#dividendos #proventos #lucro #bonificação #investir #bolsadevalores #investimentos #comoinvestir #finanças #ações #educaçãofinanceira https://t.co/tgfUOynwB8</t>
  </si>
  <si>
    <t>@ClaudiacontaII minhas #ações</t>
  </si>
  <si>
    <t>Segundo o Partido dos Trabalhadores, Lula usará o espaço para fazer uma avaliação dos primeiros seis meses de trabalho neste terceiro mandato na presidência da República.
Reprodução: Redes sociais
#Lula #Podcast #Novo #TVPT #Presidente #Ações https://t.co/NicWNtsl3o</t>
  </si>
  <si>
    <t>Quando focamos nas coisas boas ao nosso redor, nossos pensamentos e ações mudam para melhor e os resultados são excelentes!
#positivo #foco #bonspensamentos #ações #resultados #excelencia #determinação https://t.co/r38UUZHXNh</t>
  </si>
  <si>
    <t>A Vale, por exemplo, viu suas #ações subirem devido à alta do minério de ferro. Por outro lado, as ações da Petrobras, Itaú e Bradesco tiveram desempenhos mistos, refletindo os desafios e oportunidades únicos que cada empresa enfrenta 👇</t>
  </si>
  <si>
    <t>Compramos Fii de Papel, Fii de Tijolo e Fiagro - VisuInvest: Comprando Liberdade #21 🤑 https://t.co/WPZ5xLI0m7 💲 #Carteira #Investimentos #Fii #Ações</t>
  </si>
  <si>
    <t>Aportamos no Fiagro VGIA11 Gerando Renda Passiva  - VisuInvest: Comprando Liberdade #24 🤑 https://t.co/0sgL5K1ABu #Fiis #Fiagro #Ações #Investimentos</t>
  </si>
  <si>
    <t>📊 Agora é um bom momento para comprar ações para aqueles que planejam mantê-las por mais de 5 anos?
#Enquete #Investimentos #Ações #MercadoFinanceiro</t>
  </si>
  <si>
    <t>https://t.co/wXQxJx7ktz Grupo para acionista de Braskem #Braskem #BRKM5 #B3 #Acoes #Stock</t>
  </si>
  <si>
    <t>#GBPJPY SELL LIMIT @ 172.80
SL- 173.25
TARGET - 172.00
Join us https://t.co/pWgysyzzPv
#daytrader #investimento #trading #mercado #ações #indices  #estratégias #conhecimento #aprendizado #retorno #curtoprazo #volatilidade #disciplina
#planejamento #especialistaseminvestimentos</t>
  </si>
  <si>
    <t>@luizmoura123 @TucaAndrada3 👏🏼👏🏼📚👏🏼👏🏼
Perfeita a sua colocação. 
O que importa valores à nós, humanos que permanecemos na luta diária,  são as #ações para que #Cessem estes comportamentos antissociais, principalmente dos governos do RJ/SP. Abraços de Luz Kaká🌹</t>
  </si>
  <si>
    <t>💜 BENTO GONÇALVES - Mês é dedicado ao debate sobre a criação de mecanismos de auxílio que possam encorajar a mulher a enfrentar seus agressores e recomeçar uma nova vida.
🔗 Leia mais em: https://t.co/t2ej9aQM1g
#AgostoLilás #ViolênciaContraaMulher #Ações</t>
  </si>
  <si>
    <t>TOTVS RI 1T23!  Mais um vídeo novo no canal! vai lá!
#TOTVS #TOTS3 #ações 
link do canal: https://t.co/NArGtiN7CH https://t.co/ewKDqBIcCB</t>
  </si>
  <si>
    <t>VEM CONHECER O CANAL!
MGLU3 | MAGALU  RI 2T23!  Mais um vídeo novo no canal! vai lá!
link do video: https://t.co/cnu7rpNmXY
#ações  #bolsadevalores #ibovespa  #mglu3</t>
  </si>
  <si>
    <t>CIELO RI 1T23!  Mais um vídeo novo no canal! vai lá!
#CIEL3 #cielo #ações 
linkdo canal: https://t.co/NArGtiN7CH https://t.co/oNFHTaC26Z</t>
  </si>
  <si>
    <t>O @nubank está me pressionando para decidir o q fazer com meus BDRS e eu não faço a MÍNIMA ideia do q fazer. Alguém ajuda? #acoes #bovespa #bdr #nubr3 #investidoraanalfabeta #socorro</t>
  </si>
  <si>
    <t>👌O Conselho Coordenador dos Institutos Superiores Politécnicos desenvolverá trabalho de campo, no âmbito de uma nova missão de reforço da colaboração.
Sabe mais, aqui!👇
#maissuperior #missão #ações #ensinosuperior #politécnico
https://t.co/Fe9GLrUH7I</t>
  </si>
  <si>
    <t>Mercado volátil trás oportunidades. 
#volévida 
#mercado #mercafofinanceiro #ações https://t.co/ymF14S3fhF https://t.co/2FcqjMpCvn</t>
  </si>
  <si>
    <t>Hoje foi a última oportunidade de surfar na onda dos desesperados por conta da #SELIC.
#opcoes #opcoesCALL #mercadofinanceiro #acoes #viainvestimento</t>
  </si>
  <si>
    <t>Há fortes comentários no mercado de que o Carrefour planeja lançar uma oferta para a recompra de ações da sua subsidiária brasileira,
#mercado #ativos #açoes #carrefour #trader #bolsa 
https://t.co/hm6AOet5BO</t>
  </si>
  <si>
    <t>Há informações no mercado de que, nos últimos dias, Luiz Barsi Filho voltou a comprar um volume expressivo de ações da AES Brasil.
#energia #mercado #bolsa #aesbrasil #acoes #trader 
Leia na íntegra https://t.co/lbFganFCBz</t>
  </si>
  <si>
    <t>Double da FunnyBet está pagando bem demais🤑🔥
#funnybet #funnybetbrasil #bet #brasil #slots #jogo #win #bigwin #chellenge #aces #casino #casinoonline #betting #lucros #casinò #rendaextra #jogosonline #palpites #brasil #independenciafinanceira #ações #rendafixa #dinheiro https://t.co/DHGN6dbyCv</t>
  </si>
  <si>
    <t>Funnybet-Spaceman
Desfrute de diferentes emoções
#funnybet #funnybetbrasil #bet #brasil #slots #jogo #win #bigwin #chellenge #aces #casino #casinoonline #betting #lucros #casinò #rendaextra #jogosonline #palpites #brasil #independenciafinanceira #ações #rendafixa #dinheiro https://t.co/MX38TwoGUI</t>
  </si>
  <si>
    <t>Experimente uma experiência de jogo diferente no Funnybet
#funnybet #funnybetbrasil #bet #brasil #slots #jogo #win #bigwin #chellenge #aces #casino #casinoonline #betting #lucros #casinò #rendaextra #jogosonline #palpites #brasil #independenciafinanceira #ações #rendafixa https://t.co/uPdRHxpYzW</t>
  </si>
  <si>
    <t>#funnybet #funnybetbrasil #bet #brasil #slots #jogo #win #bigwin #chellenge #aces #casino #casinoonline #betting #lucros #casinò #rendaextra #jogosonline #palpites #brasil #independenciafinanceira #ações #rendafixa #dinheiro #milionário #aposta #roboinvestidor #dinheiroextra https://t.co/TMsjm8ufzI</t>
  </si>
  <si>
    <t>#funnybet #funnybetbrasil #bet #brasil #slots #jogo #win #bigwin #chellenge #aces #casino #casinoonline #betting #lucros #casinò #rendaextra #jogosonline #palpites #brasil #independenciafinanceira #ações #rendafixa #dinheiro #milionário #aposta #roboinvestidor #dinheiroextra https://t.co/0aGkhpGaaK</t>
  </si>
  <si>
    <t>Desde ter alcançado cerca de 97 mil pontos no final de março, o Ibovespa acumula uma alta de quase 20%, superando os 116 mil pontos.
Afinal, as ações da bolsa ainda estão baratas?
Confira: https://t.co/0lURMxkW4P #Ibovespa #ações</t>
  </si>
  <si>
    <t>#acoes
Detran lança campanha Maio Amarelo 2023 e reforça atenção pela vida no trânsito
https://t.co/78mwkUmrzp</t>
  </si>
  <si>
    <t>#acoes
Alagoas é destaque em ações implantadas no Plano de Redução de Mortes no Trânsito
https://t.co/6lZc3U3pcL</t>
  </si>
  <si>
    <t>#acoes
Governo Trabalhando vai levar ações para Arapiraca e Olho D’Água das Flores
https://t.co/nc8olIb4rh</t>
  </si>
  <si>
    <t>#acoes
Imagem Institucional é destaque em Fórum para os futuros soldados da PMAL
https://t.co/Cbkd736Vk4</t>
  </si>
  <si>
    <t>#acoes
Medidas preveem ações voltadas à população em situação de rua
https://t.co/jqCBiw0Oc5</t>
  </si>
  <si>
    <t>#acoes
Dia Nacional da Caatinga é celebrado com ações no Sertão de Alagoas
https://t.co/oLdxsFPfPx</t>
  </si>
  <si>
    <t>#acoes
Agosto Lilás: Polícia Militar intensifica ações de combate à violência contra a mulher
https://t.co/bN8Hy384yF</t>
  </si>
  <si>
    <t>#acoes
Governo apresenta propostas para combater o racismo no esporte
https://t.co/rnh8IZJvSa</t>
  </si>
  <si>
    <t>#acoes
Delmiro Gouveia receberá programa do Governo de Alagoas na próxima 6ª
https://t.co/30X0XOlhXI</t>
  </si>
  <si>
    <t>#acoes
TJAL, ALE e Abrasel iniciam parceria em combate à violência doméstica
https://t.co/vRFj4MCrX2</t>
  </si>
  <si>
    <t>#acoes
Governo Trabalhando: Seris dá início a ações no Sertão alagoano
https://t.co/p3lStEP6y9</t>
  </si>
  <si>
    <t>#acoes
Semarh levará diversas ações ao Sertão alagoano nesta sexta e sábado
https://t.co/zZWuz5vfsm</t>
  </si>
  <si>
    <t>#acoes
IMA leva ações para o Sertão de Alagoas durante o Governo Trabalhando
https://t.co/1zIxXCCqMP</t>
  </si>
  <si>
    <t>O mês foi repleto de ações e novidades para os farmacêuticos mineiros. Ouça nas principais plataformas de áudio os destaques de maio! 
https://t.co/Hgk0rNcdmB
#informação #resumo #destaque #mensal #ações https://t.co/abTghXjzhr</t>
  </si>
  <si>
    <t>O que é D.Y.?
O D.Y. é um índice usado para medir o rendimento de um ativo com o pagamento de proventos. 
Basta dividir o valor do provento pelo pelo preço do ativo e multiplicar por 100.
#proventos #ações #fiis #mercadoDeAções #educaçãoFinanceira #ControleDeInvestimentos https://t.co/1OUfzQloQs</t>
  </si>
  <si>
    <t>O touro está de olho. Seus investimentos estão sobre controle?
Moprify - A melhor visão dos seus investimentos.
#investimentos #bullmarket #fiis #ações #planejamentoFinanceiro #moprify #mercadofinanceiro #controledeinvestimentos https://t.co/a7DkeiPR0s</t>
  </si>
  <si>
    <t>Moprify é uma plataforma para controle de #investimentos pessoais em renda variável (#fiis #acoes) com ele você terá:
- Posição atualizada;
- Percentual de alocação;
- Yield on Cost (#yoc);
- Cálculo de DARF a cada;
- Consolidação de dados para declaração anual #irpf. https://t.co/0Ep94mxj3w</t>
  </si>
  <si>
    <t>#SamirNews: 
WARREN BUFFET VENDE TODAS AS SUAS AÇÕES DA TSMC 
 https://t.co/w3blrlODgC 
 #bolhadev #warren #buffet #vende #todas #as #suas #ações #da #tsmc #</t>
  </si>
  <si>
    <t>#SamirNews: 
8 AÇÕES QUE PODEM FAZER O CARREGADOR AQUECER ALÉM DO NORMAL
 https://t.co/9EqDoUV3qg 
 #bolhadev #8 #ações #que #podem #fazer #o #carregador #aquecer #além #do #normal</t>
  </si>
  <si>
    <t>E agora vamos ao comentário de Economia, com Denise Campos de Toledo. https://t.co/LUnNJMYDoB</t>
  </si>
  <si>
    <t>#smashup #smashupbrasil #smashupbet #smash #bet #brasil #slots #jogo #win #bigwin #chellenge #aces #casino #casinoonline #betting #lucros #casinò #rendaextra #jogosonline #palpites #brasil #independenciafinanceira #ações #rendafixa #dinheiro #milionário #aposta #roboinvestidor https://t.co/wPnxvDUJxE</t>
  </si>
  <si>
    <t>#smashup #smashupbrasil #smashupbet #smash #bet #brasil #slots #jogo #win #bigwin #chellenge #aces #casino #casinoonline #betting #lucros #casinò #rendaextra #jogosonline #palpites #brasil #independenciafinanceira #ações #rendafixa #dinheiro #milionário #aposta #roboinvestidor https://t.co/FRlo7IAz4q</t>
  </si>
  <si>
    <t>#smashup #smashupbrasil #smashupbet #smash #bet #brasil #slots #jogo #win #bigwin #chellenge #aces #casino #casinoonline #betting #lucros #casinò #rendaextra #jogosonline #palpites #brasil #independenciafinanceira #ações #rendafixa #dinheiro #milionário #aposta #roboinvestidor https://t.co/RUG91Rk5PN</t>
  </si>
  <si>
    <t>#smashup #smashupbrasil #smashupbet #smash #bet #brasil #slots #jogo #win #bigwin #chellenge #aces #casino #casinoonline #betting #lucros #casinò #rendaextra #jogosonline #palpites #brasil #independenciafinanceira #ações #rendafixa #dinheiro #milionário #aposta #roboinvestidor https://t.co/zFnu0RMv7P</t>
  </si>
  <si>
    <t>#smashup #smashupbrasil #smashupbet #smash #bet #brasil #slots #jogo #win #bigwin #chellenge #aces #casino #casinoonline #betting #lucros #casinò #rendaextra #jogosonline #palpites #brasil #independenciafinanceira #ações #rendafixa #dinheiro #milionário #aposta #roboinvestidor https://t.co/1n4YpQVFuV</t>
  </si>
  <si>
    <t>#smashup #smashupbrasil #smashupbet #smash #bet #brasil #slots #jogo #win #bigwin #chellenge #aces #casino #casinoonline #betting #lucros #casinò #rendaextra #jogosonline #palpites #brasil #independenciafinanceira #ações #rendafixa #dinheiro #milionário #aposta #roboinvestidor https://t.co/cyCLvsLmov</t>
  </si>
  <si>
    <t>#smashup #smashupbrasil #smashupbet #smash #bet #brasil #slots #jogo #win #bigwin #chellenge #aces #casino #casinoonline #betting #lucros #casinò #rendaextra #jogosonline #palpites #brasil #independenciafinanceira #ações #rendafixa #dinheiro #milionário #aposta #roboinvestidor https://t.co/icVfyLoyzU</t>
  </si>
  <si>
    <t>#smashup #smashupbrasil #smashupbet #smash #bet #brasil #slots #jogo #win #bigwin #chellenge #aces #casino #casinoonline #betting #lucros #casinò #rendaextra #jogosonline #palpites #brasil #independenciafinanceira #ações #rendafixa #dinheiro #milionário #aposta #roboinvestidor https://t.co/K0SelcXrQi</t>
  </si>
  <si>
    <t>#smashup #smashupbrasil #smashupbet #smash #bet #brasil #slots #jogo #win #bigwin #chellenge #aces #casino #casinoonline #betting #lucros #casinò #rendaextra #jogosonline #palpites #brasil #independenciafinanceira #ações #rendafixa #dinheiro #milionário #aposta #roboinvestidor https://t.co/ZGu3dEYlWX</t>
  </si>
  <si>
    <t>#smashup #smashupbrasil #smashupbet #smash #bet #brasil #slots #jogo #win #bigwin #chellenge #aces #casino #casinoonline #betting #lucros #casinò #rendaextra #jogosonline #palpites #brasil #independenciafinanceira #ações #rendafixa #dinheiro #milionário #aposta #roboinvestidor https://t.co/R0X5Wchqfo</t>
  </si>
  <si>
    <t>#smashup #smashupbrasil #smashupbet #smash #bet #brasil #slots #jogo #win #bigwin #chellenge #aces #casino #casinoonline #betting #lucros #casinò #rendaextra #jogosonline #palpites #brasil #independenciafinanceira #ações #rendafixa #dinheiro #milionário #aposta #roboinvestidor https://t.co/H3iXxaM0Ed</t>
  </si>
  <si>
    <t>#smashup #smashupbrasil #smashupbet #smash #bet #brasil #slots #jogo #win #bigwin #chellenge #aces #casino #casinoonline #betting #lucros #casinò #rendaextra #jogosonline #palpites #brasil #independenciafinanceira #ações #rendafixa #dinheiro #milionário #aposta #roboinvestidor https://t.co/d0S2P6IdYe</t>
  </si>
  <si>
    <t>#smashup #smashupbrasil #smashupbet #smash #bet #brasil #slots #jogo #win #bigwin #chellenge #aces #casino #casinoonline #betting #lucros #casinò #rendaextra #jogosonline #palpites #brasil #independenciafinanceira #ações #rendafixa #dinheiro #milionário #aposta #roboinvestidor https://t.co/OQHNVlNMjL</t>
  </si>
  <si>
    <t>Cerque-se de frutas para ganhar!
#smashup #smashupbrasil #smashupbet #smash #bet #brasil #slots #jogo #win #bigwin #chellenge #aces #casino #casinoonline #betting #lucros #casinò #rendaextra #jogosonline #palpites #brasil #independenciafinanceira #ações #rendafixa https://t.co/AntY7ITIQb</t>
  </si>
  <si>
    <t>Neste jogo, um lucro de 1000 vezes apareceu
#smashup #smashupbrasil #smashupbet #smash #bet #brasil #slots #jogo #win #bigwin #chellenge #aces #casino #casinoonline #betting #lucros #casinò #rendaextra #jogosonline #palpites #brasil #independenciafinanceira #ações #rendafixa https://t.co/EbFUhw5fbT</t>
  </si>
  <si>
    <t>#smashup #smashupbrasil #smashupbet #smash #bet #brasil #slots #jogo #win #bigwin #chellenge #aces #casino #casinoonline #betting #lucros #casinò #rendaextra #jogosonline #palpites #brasil #independenciafinanceira #ações #rendafixa #dinheiro #milionário #aposta #roboinvestidor https://t.co/gHRME7aQrg</t>
  </si>
  <si>
    <t>#smashup #smashupbrasil #smashupbet #smash #bet #brasil #slots #jogo #win #bigwin #chellenge #aces #casino #casinoonline #betting #lucros #casinò #rendaextra #jogosonline #palpites #brasil #independenciafinanceira #ações #rendafixa #dinheiro #milionário #aposta #roboinvestidor https://t.co/eP7B3Xcfar</t>
  </si>
  <si>
    <t>#smashup #smashupbrasil #smashupbet #smash #bet #brasil #slots #jogo #win #bigwin #chellenge #aces #casino #casinoonline #betting #lucros #casinò #rendaextra #jogosonline #palpites #brasil #independenciafinanceira #ações #rendafixa #dinheiro #milionário #aposta #roboinvestidor https://t.co/g2Q8cdjKuK</t>
  </si>
  <si>
    <t>#smashup #smashupbrasil #smashupbet #smash #bet #brasil #slots #jogo #win #bigwin #chellenge #aces #casino #casinoonline #betting #lucros #casinò #rendaextra #jogosonline #palpites #brasil #independenciafinanceira #ações #rendafixa #dinheiro #milionário #aposta #roboinvestidor https://t.co/T0c97ZPuVy</t>
  </si>
  <si>
    <t>#smashup #smashupbrasil #smashupbet #smash #bet #brasil #slots #jogo #win #bigwin #chellenge #aces #casino #casinoonline #betting #lucros #casinò #rendaextra #jogosonline #palpites #brasil #independenciafinanceira #ações #rendafixa #dinheiro #milionário #aposta #roboinvestidor https://t.co/D66ytwMBkr</t>
  </si>
  <si>
    <t>#smashup #smashupbrasil #smashupbet #smash #bet #brasil #slots #jogo #win #bigwin #chellenge #aces #casino #casinoonline #betting #lucros #casinò #rendaextra #jogosonline #palpites #brasil #independenciafinanceira #ações #rendafixa #dinheiro #milionário #aposta #roboinvestidor https://t.co/qdpvOYBAKl</t>
  </si>
  <si>
    <t>#smashup #smashupbrasil #smashupbet #smash #bet #brasil #slots #jogo #win #bigwin #chellenge #aces #casino #casinoonline #betting #lucros #casinò #rendaextra #jogosonline #palpites #brasil #independenciafinanceira #ações #rendafixa #dinheiro #milionário #aposta #roboinvestidor https://t.co/jJuxqQc7v3</t>
  </si>
  <si>
    <t>#smashup #smashupbrasil #smashupbet #smash #bet #brasil #slots #jogo #win #bigwin #chellenge #aces #casino #casinoonline #betting #lucros #casinò #rendaextra #jogosonline #palpites #brasil #independenciafinanceira #ações #rendafixa #dinheiro #milionário #aposta #roboinvestidor https://t.co/nLKp1s4L5r</t>
  </si>
  <si>
    <t>#smashup #smashupbrasil #smashupbet #smash #bet #brasil #slots #jogo #win #bigwin #chellenge #aces #casino #casinoonline #betting #lucros #casinò #rendaextra #jogosonline #palpites #brasil #independenciafinanceira #ações #rendafixa #dinheiro #milionário #aposta #roboinvestidor https://t.co/TLRQmNwdui</t>
  </si>
  <si>
    <t>vem pra smashup🤑🐬
#smashup #smashupbrasil #smashupbet #smash #bet #brasil #slots #jogo #win #bigwin #chellenge #aces #casino #casinoonline #betting #lucros #casinò #rendaextra #jogosonline #palpites #brasil #independenciafinanceira #ações #rendafixa #dinheiro #milionário https://t.co/4cr1kWXoUD</t>
  </si>
  <si>
    <t>#smashup #smashupbrasil #smashupbet #smash #bet #brasil #slots #jogo #win #bigwin #chellenge #aces #casino #casinoonline #betting #lucros #casinò #rendaextra #jogosonline #palpites #brasil #independenciafinanceira #ações #rendafixa #dinheiro #milionário #aposta #roboinvestidor https://t.co/Pl3g5BG5m3</t>
  </si>
  <si>
    <t>#smashup #smashupbrasil #smashupbet #smash #bet #brasil #slots #jogo #win #bigwin #chellenge #aces #casino #casinoonline #betting #lucros #casinò #rendaextra #jogosonline #palpites #brasil #independenciafinanceira #ações #rendafixa #dinheiro #milionário #aposta #roboinvestidor https://t.co/CJuTva1hWL</t>
  </si>
  <si>
    <t>#smashup #smashupbrasil #smashupbet #smash #bet #brasil #slots #jogo #win #bigwin #chellenge #aces #casino #casinoonline #betting #lucros #casinò #rendaextra #jogosonline #palpites #brasil #independenciafinanceira #ações #rendafixa #dinheiro #milionário #aposta #roboinvestidor https://t.co/6VLaFlWn00</t>
  </si>
  <si>
    <t>Jogos participantes: Joker’s Jewels
#smashup #smashupbrasil #smashupbet #smash #bet #brasil #slots #jogo #win #bigwin #chellenge #aces #casino #casinoonline #betting #lucros #casinò #rendaextra #jogosonline #palpites #brasil #independenciafinanceira #ações #rendafixa #dinheiro https://t.co/XrVHBlRyQM</t>
  </si>
  <si>
    <t>#smashup #smashupbrasil #smashupbet #smash #bet #brasil #slots #jogo #win #bigwin #chellenge #aces #casino #casinoonline #betting #lucros #casinò #rendaextra #jogosonline #palpites #brasil #independenciafinanceira #ações #rendafixa #dinheiro #milionário #aposta #roboinvestidor https://t.co/NrBs6Fem2o</t>
  </si>
  <si>
    <t>Os Slots mais famosos do momento aqui na SmashUp🤑🐬
#smashup #smashupbrasil #smashupbet #smash #bet #brasil #slots #jogo #win #bigwin #chellenge #aces #casino #casinoonline #betting #lucros #casinò #rendaextra #jogosonline #palpites #brasil #independenciafinanceira #ações https://t.co/wWa1iKPjZ2</t>
  </si>
  <si>
    <t>#smashup #smashupbrasil #smashupbet #smash #bet #brasil #slots #jogo #win #bigwin #chellenge #aces #casino #casinoonline #betting #lucros #casinò #rendaextra #jogosonline #palpites #brasil #independenciafinanceira #ações #rendafixa #dinheiro #milionário #aposta #roboinvestidor231 https://t.co/xOgBZqrj2G</t>
  </si>
  <si>
    <t>#smashup #smashupbrasil #smashupbet #smash #bet #brasil #slots #jogo #win #bigwin #chellenge #aces #casino #casinoonline #betting #lucros #casinò #rendaextra #jogosonline #palpites #brasil #independenciafinanceira #ações #rendafixa #dinheiro #milionário #aposta #roboinvestidor https://t.co/AS9PLqTQeu</t>
  </si>
  <si>
    <t>#smashup #smashupbrasil #smashupbet #smash #bet #brasil #slots #jogo #win #bigwin #chellenge #aces #casino #casinoonline #betting #lucros #casinò #rendaextra #jogosonline #palpites #brasil #independenciafinanceira #ações #rendafixa #dinheiro #milionário #aposta #roboinvestidor https://t.co/TJ1IQjJ7C7</t>
  </si>
  <si>
    <t>#smashup #smashupbrasil #smashupbet #smash #bet #brasil #slots #jogo #win #bigwin #chellenge #aces #casino #casinoonline #betting #lucros #casinò #rendaextra #jogosonline #palpites #brasil #independenciafinanceira #ações #rendafixa #dinheiro #milionário #aposta #roboinvestidor https://t.co/pcOrkHFc5o</t>
  </si>
  <si>
    <t>#smashup #smashupbrasil #smashupbet #smash #bet #brasil #slots #jogo #win #bigwin #chellenge #aces #casino #casinoonline #betting #lucros #casinò #rendaextra #jogosonline #palpites #brasil #independenciafinanceira #ações #rendafixa #dinheiro #milionário #aposta #roboinvestidor https://t.co/iK0Zz1cwt7</t>
  </si>
  <si>
    <t>#smashup #smashupbrasil #smashupbet #smash #bet #brasil #slots #jogo #win #bigwin #chellenge #aces #casino #casinoonline #betting #lucros #casinò #rendaextra #jogosonline #palpites #brasil #independenciafinanceira #ações #rendafixa #dinheiro #milionário #aposta #roboinvestidor https://t.co/uTHI7IkajJ</t>
  </si>
  <si>
    <t>#smashup #smashupbrasil #smashupbet #smash #bet #brasil #slots #jogo #win #bigwin #chellenge #aces #casino #casinoonline #betting #lucros #casinò #rendaextra #jogosonline #palpites #brasil #independenciafinanceira #ações #rendafixa #dinheiro #milionário #aposta #roboinvestidor https://t.co/9xSro9M009</t>
  </si>
  <si>
    <t>#smashup #smashupbrasil #smashupbet #smash #bet #brasil #slots #jogo #win #bigwin #chellenge #aces #casino #casinoonline #betting #lucros #casinò #rendaextra #jogosonline #palpites #brasil #independenciafinanceira #ações #rendafixa #dinheiro #milionário #aposta #roboinvestidor https://t.co/QWEFMPP70i</t>
  </si>
  <si>
    <t>#smashup #smashupbrasil #smashupbet #smash #bet #brasil #slots #jogo #win #bigwin #chellenge #aces #casino #casinoonline #betting #lucros #casinò #rendaextra #jogosonline #palpites #brasil #independenciafinanceira #ações #rendafixa #dinheiro #milionário #aposta #roboinvestidor https://t.co/MuJMCVzzYr</t>
  </si>
  <si>
    <t>#smashup #smashupbrasil #smashupbet #smash #bet #brasil #slots #jogo #win #bigwin #chellenge #aces #casino #casinoonline #betting #lucros #casinò #rendaextra #jogosonline #palpites #brasil #independenciafinanceira #ações #rendafixa #dinheiro #milionário #aposta #roboinvestidor https://t.co/et7j7N5ygd</t>
  </si>
  <si>
    <t>#smashup #smashupbrasil #smashupbet #smash #bet #brasil #slots #jogo #win #bigwin #chellenge #aces #casino #casinoonline #betting #lucros #casinò #rendaextra #jogosonline #palpites #brasil #independenciafinanceira #ações #rendafixa #dinheiro #milionário #aposta #roboinvestidor https://t.co/KMNhW5PMhH</t>
  </si>
  <si>
    <t>#smashup #smashupbrasil #smashupbet #smash #bet #brasil #slots #jogo #win #bigwin #chellenge #aces #casino #casinoonline #betting #lucros #casinò #rendaextra #jogosonline #palpites #brasil #independenciafinanceira #ações #rendafixa #dinheiro #milionário #aposta #roboinvestidor https://t.co/T2jKceh9zZ</t>
  </si>
  <si>
    <t>#smashup #smashupbrasil #smashupbet #smash #bet #brasil #slots #jogo #win #bigwin #chellenge #aces #casino #casinoonline #betting #lucros #casinò #rendaextra #jogosonline #palpites #brasil #independenciafinanceira #ações #rendafixa #dinheiro #milionário #aposta #roboinvestidor https://t.co/skzZYmNxvr</t>
  </si>
  <si>
    <t>#smashup #smashupbrasil #smashupbet #smash #bet #brasil #slots #jogo #win #bigwin #chellenge #aces #casino #casinoonline #betting #lucros #casinò #rendaextra #jogosonline #palpites #brasil #independenciafinanceira #ações #rendafixa #dinheiro #milionário #aposta #roboinvestidor https://t.co/EKlBL3R0vf</t>
  </si>
  <si>
    <t>#smashup #smashupbrasil #smashupbet #smash #bet #brasil #slots #jogo #win #bigwin #chellenge #aces #casino #casinoonline #betting #lucros #casinò #rendaextra #jogosonline #palpites #brasil #independenciafinanceira #ações #rendafixa #dinheiro #milionário #aposta #roboinvestidor https://t.co/zD5M3G1Rls</t>
  </si>
  <si>
    <t>#smashup #smashupbrasil #smashupbet #smash #bet #brasil #slots #jogo #win #bigwin #chellenge #aces #casino #casinoonline #betting #lucros #casinò #rendaextra #jogosonline #palpites #brasil #independenciafinanceira #ações #rendafixa #dinheiro #milionário #aposta #roboinvestidor https://t.co/rF01UG27yV</t>
  </si>
  <si>
    <t>#Money: As #ações da Nvidia subiram mais de 160% no acumulado do ano, o que a torna, de longe, a ação com melhor #desempenho no S&amp;amp;P 500.
Leia mais em: https://t.co/sgl49J8yZT</t>
  </si>
  <si>
    <t>#Investimentos: A #Vale (VALE3) conquistou o primeiro lugar no levantamento da #Forbes das melhores #ações para #investir em junho. 
Leia mais em: https://t.co/SJ0nfYfcPk</t>
  </si>
  <si>
    <t>Os #bilionários que mais venderam #ações: vinte e uma das pessoas mais ricas do mundo, incluindo Larry Ellison, da Oracle, e Rob Walton, do Carrefour, venderam ações no valor de mais de US$ 9 bilhões nos primeiros seis meses do ano: https://t.co/Z0Rg6yMHxp</t>
  </si>
  <si>
    <t>Segunda fase da reforma tributária pode afetar mercado de #ações e lucros das #empresas com novas taxações.
Leia mais em: https://t.co/Ra6VOOCPp9</t>
  </si>
  <si>
    <t>Toda a gente comete erros e os investidores não são exceção!
Também é culpado de cometer este erro? Diga-nos nos comentários ⬇️
#investimento #poupança #ações #investir #finanças #comoinvestir #borjaonstocks #independenciafinanceira #financeiramenteindependente https://t.co/rG7oo3AstF</t>
  </si>
  <si>
    <t>Se gosta de aprender com vídeos explicativos então corra para o nosso canal do YouTube e aprenda ainda mais sobre o mercado financeiro! Encontre-nos em: https://t.co/88eI2mqskC
#investimento #poupança #ações #investir #finanças #comoinvestir #borjaonstocks https://t.co/6JbgDTZT3H</t>
  </si>
  <si>
    <t>Ainda não subscreveu a nossa newsletter?Receba atualizações financeiras e de mercado e muitas surpresas pelo meio.
De que está à espera? Registe-se gratuitamente em: https://t.co/h8MkNlgqTN
#investimento #poupança #ações #investir #finanças #comoinvestir #borjaonstocks… https://t.co/wjdWuXUxY7</t>
  </si>
  <si>
    <t>Certamente conhece o ditado “Não coloque todos os seus ovos numa única cesta”, mas porque é que isso também se aplica ao mercado de ações?
Descubra tudo neste vídeo!
#investimento #poupança #ações #investir #finanças #comoinvestir #borjaonstocks https://t.co/XxIb6Xte9i</t>
  </si>
  <si>
    <t>A #Disney (NYSE: DIS) anunciou hoje que planeja expandir investimentos em Parques Temáticos e Produtos. Às 12h40, suas #ações caíam 3,5% para US$82,07.</t>
  </si>
  <si>
    <t>🚀Descubra o poder de transformar sua vida financeira com o Investidor em 1 Hora! 
Se você sempre quis aprender a investir e fazer seu dinheiro trabalhar para você, este curso é perfeito para você.
Acesse o conteúdo:👉 https://t.co/jfxKADQu3x
#investimento #emprendedor #ações</t>
  </si>
  <si>
    <t>📊📈 A Carteira Semanal da SonarTrade já está disponível em nosso app! Descubra as melhores oportunidades de investimento para esta semana. Acesse agora e aproveite! 💼🔍🚀 #CarteiraSemanal #Investimentos #SonarTrade #Oportunidades #Ações</t>
  </si>
  <si>
    <t>Quanto antes você começa antes você colhe os frutos. 🍎 
Tá esperando o que?
#mercadofinanceiro #ações #criptomoedas #bitcoin #antifragil #investimentos https://t.co/mH90ZS7UZE</t>
  </si>
  <si>
    <t>Mas você deve operar aquilo que te trás conforto, algo que você entenda os fundamentos e sabe aplicar com tranquilidade. De certa forma o mercado de #ações é tão parecido como qualquer outro ativo para um grafista, e sem muito segredos para ser adaptada.</t>
  </si>
  <si>
    <t>Recomendações de opções para o dia de hoje. 
O SaraOptions Pró aponta as melhores relações de RISCO X RETORNO, sugere os PREÇOS LIMITES DE COMPRA e VENDA, além de "STOP GAIN" e "STOP LOSS" de acordo com cada perfil.
#opcoes #b3 #acoes #bolsadevalores https://t.co/G6JanFu0TG</t>
  </si>
  <si>
    <t>🆓 &amp;gt; Recomendações de opções para o dia de hoje. 
O SaraOptions Pró aponta as melhores relações de RISCO X RETORNO, sugere os PREÇOS LIMITES DE COMPRA e VENDA, além de "STOP GAIN" e "STOP LOSS" de acordo com cada perfil.
#mercadofinanceiro #acoes #opcoes https://t.co/8kkH20DEF1</t>
  </si>
  <si>
    <t>Netflix: Empresa planeja reduzir gastos em $300 bi de dólares e ações caem 2%
#netfliix #streaming #empresas #acoes #wallstreet #mercado #empregos #twitter #redessociais
https://t.co/nC8nUwEBZ8 https://t.co/ueWL22rxis</t>
  </si>
  <si>
    <t>Barbie animação de festas e eventos starcover https://t.co/nbAZgglVrO #ações "Classificados Grátis"</t>
  </si>
  <si>
    <t>Atividades recreativas para crianças https://t.co/HFhlmn59Eh #ações "Classificados Grátis"</t>
  </si>
  <si>
    <t>Lol surprise o show (11) 948594445 https://t.co/BqzhavIFYc #ações "Classificados Grátis"</t>
  </si>
  <si>
    <t>Oficina infantil recreação e animação de festas https://t.co/IB8HuflW4o #ações "Classificados Grátis"</t>
  </si>
  <si>
    <t>Moana animação de festas https://t.co/RVnsSiVZmr #ações "Classificados Grátis"</t>
  </si>
  <si>
    <t>Barbie animação de festas https://t.co/fMS7ssVQeq #ações "Classificados Grátis"</t>
  </si>
  <si>
    <t>Apresentações teatros shows personagens https://t.co/aKSBuLGv2b #ações "Classificados Grátis"</t>
  </si>
  <si>
    <t>Atrações Diversas para hotéis recreação e shows https://t.co/CnlIzUgUY5 #ações "Classificados Grátis"</t>
  </si>
  <si>
    <t>Aniversários infantil com recreação e atividades https://t.co/dM8LvaqInH #ações "Classificados Grátis"</t>
  </si>
  <si>
    <t>Oficinas recreativas cupcakes e bolos https://t.co/t2fCnfQa4K #ações "Classificados Grátis"</t>
  </si>
  <si>
    <t>Frozen shows em eventos https://t.co/NOpjx7Rk8D #ações "Classificados Grátis"</t>
  </si>
  <si>
    <t>Unicórnios animação de festas shows e eventos https://t.co/CuG4iVNI1z #ações "Classificados Grátis"</t>
  </si>
  <si>
    <t>Moana conto de histórias show teatral brincadeiras e oficinas https://t.co/U6uf4YTpNY #ações "Classificados Grátis"</t>
  </si>
  <si>
    <t>Moana recreação e animação de festas https://t.co/BVF6wDxwc4 #ações "Classificados Grátis"</t>
  </si>
  <si>
    <t>Eventos infantil shows e personagens https://t.co/dCeiIWgpo5 #ações "Classificados Grátis"</t>
  </si>
  <si>
    <t>Cinderela animação de festas infantil https://t.co/uMiU361q0l #ações "Classificados Grátis"</t>
  </si>
  <si>
    <t>Shows e personagens para animar eventos corporativos e confraternização de empresas https://t.co/BEqn5GftF5 #ações "Classificados Grátis"</t>
  </si>
  <si>
    <t>Shows e Teatros 11948594445 https://t.co/4ibk1hAY2O #ações "Classificados Grátis"</t>
  </si>
  <si>
    <t>Turma da Galinha Pintadinha 11948594445 festas e eventos https://t.co/6Bw48Gc6VI #ações "Classificados Grátis"</t>
  </si>
  <si>
    <t>#FUTEBOL, #FINANÇAS E #NEGÓCIOS -
Temos 24 clubes que viraram #SAF em nosso país. Agora, a CVM definiu as regras para que elas possam vender #ações na Bolsa de Valores, inclusive aos torcedores. 
Em: https://t.co/AnCPPKjRUm
.</t>
  </si>
  <si>
    <t>Roleta sala grátis
CADASTRE E GANHE: https://t.co/mzUemyAq09
#multiplicar #roleta #cassino #roleta #investimentoimobiliário #acoes #vidafinanceira #daytraders https://t.co/q08jOfKEXz</t>
  </si>
  <si>
    <t>Roleta sala grátis
CADASTRE E GANHE: https://t.co/mzUemyAq09
#multiplicar #roleta #cassino #roleta #investimentoimobiliário #acoes #vidafinanceira #daytraders https://t.co/afypR6BuWi</t>
  </si>
  <si>
    <t>Roleta sala grátis  CADASTRE E GANHE: https://t.co/mzUemyAq09…… #multiplicar #roleta #cassino #roleta #investimentoimobiliário #acoes #vidafinanceira #daytraders https://t.co/PZeRPr6nnN</t>
  </si>
  <si>
    <t>Roleta sala grátis  CADASTRE E GANHE: https://t.co/mzUemyAq09…… #multiplicar #roleta #cassino #roleta #investimentoimobiliário #acoes #vidafinanceira #daytraders https://t.co/k6t3OMzSWk</t>
  </si>
  <si>
    <t>Roleta sala grátis  CADASTRE E GANHE: https://t.co/mzUemyAq09… #multiplicar #roleta #cassino #roleta #investimentoimobiliário #acoes #vidafinanceira #daytraders https://t.co/1j4mukGNwo</t>
  </si>
  <si>
    <t>Roleta sala grátis  CADASTRE E GANHE: https://t.co/mzUemyAq09…
 #multiplicar #roleta #cassino #roleta #investimentoimobiliário #acoes #vidafinanceira #daytraders https://t.co/uDxrZXJw12</t>
  </si>
  <si>
    <t>Roleta sala grátis  CADASTRE E GANHE: https://t.co/mzUemyAq09… #multiplicar #roleta #cassino #roleta #investimentoimobiliário #acoes #vidafinanceira #daytraders https://t.co/Z9BPjUpQYm</t>
  </si>
  <si>
    <t>Com a SELIC em baixa mais uma vez, significa que esse é o momento de você fazer seus Investimentos em Fll (Fundos Imobiliários), Fiagros (Fundos de Investimentos Agronegócio), Ações que é Renda Variável e etc.
#investimentos #rendavariavel #fll #fiagros #acoes #agro #imovel https://t.co/gNmkmYz725</t>
  </si>
  <si>
    <t>3⃣ Palavras influenciam nossas ações
🏃‍♀️ As palavras que falamos e ouvimos afetam nosso comportamento e ações. Para agir de forma mais alinhada com seus objetivos, cultive um diálogo interno positivo e encorajador. #Ações #Autofala</t>
  </si>
  <si>
    <t>Tem video novo no canal. OCO no S&amp;amp;P500, fatores de baixa aos montes nos gráficos de ativos voláteis. Criptomoedas e mais.
#btc #ethereum #mercado #ações #inflation 
https://t.co/ajnEFm0Ds7</t>
  </si>
  <si>
    <t>Cracolândia: “É incalculável prejuízo no Centro”, diz Tarcísio 
#leandroamaraljornalista #tarcisiogovernador #tarcisio #cracolandia #prejuizo #centro #sp #acoes https://t.co/bfTmGW7WFy</t>
  </si>
  <si>
    <t>🌎 MANIFESTAÇÃO PELO CLIMA
👉A Câmara Municipal da Covilhã, através do Chefe de Gabinete do Presidente, Hélio Fazendeiro, recebeu hoje um grupo de #estudantes, que se deslocou até à Praça do Município para #defender a justiça #climática e pedirem #ações face a esta #temática. https://t.co/07oaTNd9Me</t>
  </si>
  <si>
    <t>🔴 Atualização carteira Top Ações para 2023 | Podcast Genial Analisa https://t.co/iU52uiV7H8 via @YouTube 
#carteira #acoes #renda.variavel</t>
  </si>
  <si>
    <t>#simh3 #simpar #acoes</t>
  </si>
  <si>
    <t>Quanto você deveria ter investido 5 anos atrás para ter 100 mil reais nas ações da Weg hoje! (WEGE3) #investir #dinheiro #ações #investimento https://t.co/xI84rEvfm4</t>
  </si>
  <si>
    <t>Quanto rende 20 mil dólares nas ações do MC Donalds (MCD) #ações #investir #investimentos #dolar https://t.co/tz1miIUxxD</t>
  </si>
  <si>
    <t>Onde investir com a queda da taxa selic? #investir #ações #dolar #exterior https://t.co/lVEkegIqWQ</t>
  </si>
  <si>
    <t>Quanto deveria ter investido 5 anos atrás para ter 100 mil reais nas ações da Petrorio hoje! (PRIO3) #ações #investir #dinheiro #investimento https://t.co/Y1I3gxF6R2</t>
  </si>
  <si>
    <t>Quanto rende 1000 ações da Petrobrás (PETR4) #investir #ações #dinheiro #investimento https://t.co/UnN4Z7Kz8U</t>
  </si>
  <si>
    <t>Quanto deveria ter investido há 5 anos para ter 100 mil reais nas ações da Taurus hoje (TASA4) #ações #investir #investimento #dinheiro https://t.co/MIrne7ye8V</t>
  </si>
  <si>
    <t>Quanto rende 1000 ações da Brasil Agro (AGRO3) #investir #dinheiro #ações #investimentos https://t.co/WqZfeEYlUq</t>
  </si>
  <si>
    <t>Quanto rende 1000 ações da CSN (CSNA3) #ações #investir #investimento #dinheiro https://t.co/qNeVeedrxx</t>
  </si>
  <si>
    <t>Não invista na bolsa de valores antes de assistir esse vídeo! #investir #ações #bolsadevalores #dolar https://t.co/3y3a8t0eTX</t>
  </si>
  <si>
    <t>Quanto rende 1000 ações da Bradespar (BRAP4) #ações https://t.co/Vs9Mwxk3tm</t>
  </si>
  <si>
    <t>Quanto investir para receber 1000 reais por mês nas ações do Banco do Brasil (BBAS3) #ações #investir #investimento #dinheiro https://t.co/g5dvCFIrcN</t>
  </si>
  <si>
    <t>Quanto rende 1000 ações de BB Seguridade (BBSE3) #ações #investir #dinheiro https://t.co/t6kUeD57Ty</t>
  </si>
  <si>
    <t>Quanto rende 1000 ações da Gerdau (GGBR3) #ações #investir #dinheiro #investimento https://t.co/Xmlzz9Om2Q</t>
  </si>
  <si>
    <t>Quanto rende 1000 ações da Banco do Brasil (BBAS3) #investir #ações #investimento #dinheiro https://t.co/gR8qqnPyde</t>
  </si>
  <si>
    <t>Quanto rende 1000 ações da Grendene (GRND3) #ações #investir #investimento #dinheiro https://t.co/LeHZQxCCp5</t>
  </si>
  <si>
    <t>Quanto rende 100 mil reais nas ações de Caixa Seguridade (CXSE3) #ações #investir #investimento #dinheiro https://t.co/Knlut0V5Ce</t>
  </si>
  <si>
    <t>Enchendo o carrinho de #ações o #SuperQuant me deu tantas opções que ficou fácil escolher.</t>
  </si>
  <si>
    <t>Bolsonaro fala que vai entrar com duas ações na justiça ⚖️ contra o atual presidente. 
@PrmarcosBrasil1 
Seguir 
#política #politicos #bolsonaro #Ações #justiça https://t.co/6EjURY19Nr</t>
  </si>
  <si>
    <t>Alguém precisa fazer um curso sobre "quem NÃO DEVE investir em ações e ativos digitais". Fazendo centenas de declarações de imposto de renda é fácil perceber que há muitos aventureiros perdendo dinheiro, e o pior, nem percebem.
#impostoderenda #irpf #acoes #criptomoedas</t>
  </si>
  <si>
    <t>RT @leiamoneytimes: Gestora bilionária compra ações da CVC (CVCB3)
#empresas #ações #mercado #leiamoneytimes
https://t.co/WHHfHFyv4Q</t>
  </si>
  <si>
    <t>🔻A melhor corretora para short selling de ações é... https://t.co/4E8mTLQMGc
#shortselling  #acoes #bolsadevalores #daytrading</t>
  </si>
  <si>
    <t>Tô desviado dos zoiudo, fofoqueiros e mentirosos.
#andrecharao #andrecharão #conhecimento #ações #entidades #mobilização #advertência #prevenção #fofoqueiros #falador #menriroso #cuidadasuavida https://t.co/Q456Vegc1x</t>
  </si>
  <si>
    <t>Um prof falava que no Brasil apostar pelo intervalo é sempre mais vantajoso que apostar no direcional. As opcões estruturadas permitem se aproveitar do mercado lateralizado. 
Viste: https://t.co/G0BrAgdc9k
#Ibovespa #Opções #Ações https://t.co/jdqS7oVvCj</t>
  </si>
  <si>
    <t>📢🔥 Quer ficar por dentro das últimas notícias sobre tecnologia e ações? Me siga para conteúdos atualizados, dicas de investimentos e novidades do mundo da tecnologia. Juntos, vamos explorar as oportunidades desse universo em constante evolução! 💻💡 #Tecnologia #Ações…</t>
  </si>
  <si>
    <t>Meio ambiente, educação ambiental, empreendedorismo sustentável e eco-arte. 
🏕️ As comunidades que irão receber essas ações são: Vila Progresso, Buritizal, Arraiol e Igarapé do Meio. 
Confere a programação completa 😉
#tecnobarca #bailique #acoes  #meioambiente https://t.co/BcgQO9HanW</t>
  </si>
  <si>
    <t>Conheça a Mentoria 2MV em parceria com a Nelogica e a Invest Academy:
https://t.co/x9nyt0dOUX
@invest_academy
@bmc.news
#2mv #Nelogica #Finanças #Dinheiro #Ações  #Investimentos  #Renda #daytrade https://t.co/p9FVN3XROM</t>
  </si>
  <si>
    <t>Se está na boca do Trader, está na 2MV!
#2mv #Nelogica #DayTrade #Finanças #Dinheiro #Ações  #Investimentos  #Negócios #Renda https://t.co/cDqK7AGfOB</t>
  </si>
  <si>
    <t>-
#2mv #Nelogica #Finanças #Dinheiro #Ações  #Investimentos  #Renda #daytrade https://t.co/TAE2DpGcGW</t>
  </si>
  <si>
    <t>Se está na boca do Trader, está na 2MV!
#2mv #Nelogica #DayTrade #Finanças #Dinheiro #Ações  #Investimentos  #Negócios #Renda https://t.co/LQggL3XWzL</t>
  </si>
  <si>
    <t>-
#2mv #Nelogica #Finanças #Dinheiro #Ações  #Investimentos  #Renda #daytrade https://t.co/SKGKecqznI</t>
  </si>
  <si>
    <t>-
#2mv #Nelogica #Finanças #Dinheiro #Ações  #Investimentos  #Renda #daytrade https://t.co/W9ATAPjujJ</t>
  </si>
  <si>
    <t>Uma ótima semana a todos!!!
#2mv #Nelogica #Finanças #Dinheiro #Ações  #Investimentos  #Renda #daytrade https://t.co/v1GwZ8XxaZ</t>
  </si>
  <si>
    <t>- Controlar as emoções é fundamental para o sucesso no longo prazo. Stop faz parte desde que dentro do planejamento. Uma ótima sexta feira a todos!
#2mv #Nelogica #Finanças #Dinheiro #Ações  #Investimentos  #Renda #daytrade https://t.co/zPeSNQrpdZ</t>
  </si>
  <si>
    <t>- Trabalhar com investimentos é por na balança cada decisão! Ótima quinta feira!
#2mv #Nelogica #Finanças #Dinheiro #Ações  #Investimentos  #Renda #daytrade https://t.co/U4j0JcfG79</t>
  </si>
  <si>
    <t>#2mv #Nelogica #DayTrade #Finanças #Dinheiro #Ações  #Investimentos  #Negócios #Renda https://t.co/4rZvkWz7oK</t>
  </si>
  <si>
    <t>Se tá na boca do Trader, tá na 2MV!!!
#2mv #Nelogica #DayTrade #Finanças #Dinheiro #Ações  #Investimentos  #Negócios #Renda https://t.co/o4FAFh6f59</t>
  </si>
  <si>
    <t>Se tá na boca do Trader, tá na 2MV!!!
#2mv #Nelogica #DayTrade #Finanças #Dinheiro #Ações  #Investimentos  #Negócios #Renda https://t.co/XNSbWUytrL</t>
  </si>
  <si>
    <t>-
#2mv #Nelogica #Finanças #Dinheiro #Ações  #Investimentos  #Renda #daytrade https://t.co/atpVil0PVg</t>
  </si>
  <si>
    <t>-
#2mv #Nelogica #Finanças #Dinheiro #Ações  #Investimentos  #Renda #daytrade https://t.co/ZIko9nxqE4</t>
  </si>
  <si>
    <t>#2mv #Nelogica #Finanças #Dinheiro #Ações  #Investimentos  #Renda #daytrade https://t.co/uEVeTqZoXH</t>
  </si>
  <si>
    <t>Se tá na boca do Trader, tá na 2MV!!!
#2mv #Nelogica #DayTrade #Finanças #Dinheiro #Ações  #Investimentos  #Negócios #Renda https://t.co/ShEfpvPi6R</t>
  </si>
  <si>
    <t>- Feriado hoje na B3!
#2mv #Nelogica #Finanças #Dinheiro #Ações  #Investimentos  #Renda #daytrade https://t.co/9Z7oeLpt2d</t>
  </si>
  <si>
    <t>#2mv #Nelogica #Finanças #Dinheiro #Ações  #Investimentos  #Renda #daytrade https://t.co/rBhsLPfD9m</t>
  </si>
  <si>
    <t>-
#2mv #Nelogica #Finanças #Dinheiro #Ações  #Investimentos  #Renda #daytrade https://t.co/NvbbwGkGQj</t>
  </si>
  <si>
    <t>-
#2mv #Nelogica #Finanças #Dinheiro #Ações  #Investimentos  #Renda #daytrade https://t.co/VbOPaHb4Kw</t>
  </si>
  <si>
    <t>Se está na boca do Trader, está na 2MV!
#2mv #Nelogica #DayTrade #Finanças #Dinheiro #Ações  #Investimentos  #Negócios #Renda https://t.co/QWm5REgElD</t>
  </si>
  <si>
    <t>Se está na boca do Trader, está na 2MV!
#2mv #Nelogica #DayTrade #Finanças #Dinheiro #Ações  #Investimentos  #Negócios #Renda https://t.co/jRfCJxertb</t>
  </si>
  <si>
    <t>Copy Invest da 2MV já está disponível na NeloStore da @nelogicabrasil!
https://t.co/Qq19jTtg2u
#2mv #Nelogica #DayTrade #Finanças #Dinheiro #Ações  #Investimentos  #Negócios #Renda https://t.co/fgQMUVorar</t>
  </si>
  <si>
    <t>Se está na boca do Trader, está na 2MV!
#2mv #Nelogica #DayTrade #Finanças #Dinheiro #Ações  #Investimentos  #Negócios #Renda https://t.co/wIPG5iqvkK</t>
  </si>
  <si>
    <t>- Ótimo Inicio de semana a todos!
#2mv #Nelogica #Finanças #Dinheiro #Ações  #Investimentos  #Renda #daytrade https://t.co/oHdMEdqqWD</t>
  </si>
  <si>
    <t>- Sexta Feira pós feriado. Cautela com as operações! 
#2mv #Nelogica #Finanças #Dinheiro #Ações  #Investimentos  #Renda #daytrade https://t.co/DMzW2eJEzS</t>
  </si>
  <si>
    <t>-
#2mv #Nelogica #Finanças #Dinheiro #Ações  #Investimentos  #Renda #daytrade https://t.co/mXF2GkOXLs</t>
  </si>
  <si>
    <t>- Uma ótima sexta feira a todos!! 
#2mv #Nelogica #Finanças #Dinheiro #Ações  #Investimentos  #Renda #daytrade https://t.co/K7upISSBd1</t>
  </si>
  <si>
    <t>- Se o Oráculo de Omaha falou, melhor por em prática!
#2mv #Nelogica #Finanças #Dinheiro #Ações  #Investimentos  #Renda #daytrade https://t.co/KaQKe1vFbp</t>
  </si>
  <si>
    <t>- Bora pra cima com a 2MV!
#2mv #Nelogica #Finanças #Dinheiro #Ações  #Investimentos  #Renda #daytrade https://t.co/7al170B8GC</t>
  </si>
  <si>
    <t>- Bora iniciar a semana com pensamento positivo!!
#2mv #Nelogica #Finanças #Dinheiro #Ações  #Investimentos  #Renda #daytrade https://t.co/GKrTZkjsDH</t>
  </si>
  <si>
    <t>- Bom dia!
#2mv #Nelogica #Finanças #Dinheiro #Ações  #Investimentos  #Renda #daytrade https://t.co/AANusQLEAQ</t>
  </si>
  <si>
    <t>- Um ótimo inicio de semana a todos!!
#2mv #Nelogica #Finanças #Dinheiro #Ações  #Investimentos  #Renda #daytrade https://t.co/3VbbTECIaC</t>
  </si>
  <si>
    <t>COPY INVEST 2MV: Live Hoje as 19:00 no Youtube da @nelogica_brasil
#2mv #Nelogica #Finanças #Dinheiro #Ações  #Investimentos  #Renda #daytrade https://t.co/DtKqXQaD3N</t>
  </si>
  <si>
    <t>Um ótimo inicio de semana a todos!
#2mv #Nelogica #Finanças #Dinheiro #Ações  #Investimentos  #Renda #daytrade https://t.co/6V3z5LKFPw</t>
  </si>
  <si>
    <t>Você sabe o que é um Candle?
#2mv #Nelogica #DayTrade #Finanças #Dinheiro #Ações  #Investimentos  #Negócios #Renda https://t.co/2lAmkOUam7</t>
  </si>
  <si>
    <t>Se tá na boca do Trader, tá na 2MV!!!
#2mv #Nelogica #DayTrade #Finanças #Dinheiro #Ações  #Investimentos  #Negócios #Renda https://t.co/BCuL9uBTZf</t>
  </si>
  <si>
    <t>Acompanhe os resultados dos trades passados na Sala VIP 2MV essa semana!!!
Teste 7 dias grátis, acesso pela NeloStore em todas as plataformas da Nelogica!
#2mv #Nelogica #DayTrade #Finanças #Dinheiro #Ações https://t.co/1ShOHYi69N</t>
  </si>
  <si>
    <t>Ações da Sony caem após Microsoft comprar Activision Blizzard - Olhar Digital https://t.co/ZbhXGf28Yx #ações #Activision #activision blizzard #Blizzard #Microsoft #Sony via @OlharDigital</t>
  </si>
  <si>
    <t>Coinbase sobre processo da SEC: “Vamos continuar operando como sempre”
#Ações #Criptoativos #Criptomoedas
https://t.co/VQN7gy4Zd4</t>
  </si>
  <si>
    <t>Quebra da FTX: Gisele Bündchen perdeu R$ 232 milhões; entenda
#Ações #Criptoativos #Criptomoedas
https://t.co/voRpiwetQb</t>
  </si>
  <si>
    <t>RT @leiaagrotimes: Cenário mais provável é que Marfrig eleve sua participação na BRF para 50%, diz BBI
#ações #brf #marfrig #frigoríficos
h…</t>
  </si>
  <si>
    <t>https://t.co/Usph2fSwxa
📚📷 Quer entender tudo sobre Ações? Descubra como diversificar sua carteira e obter renda passiva com ações sem precisar comprá-los diretamente. Não perca essa oportunidade de conhecimento! #Ações #Investimentos #Barsi #LuizBarsi</t>
  </si>
  <si>
    <t>Chamando todos os mestres da especulação financeira! Se vc acredita que ganhar na Bolsa de Valores é tão fácil quanto acertar a senha do Wi-Fi do vizinho, prepare-se para uma montanha-russa de emoções! 🎢📉  #Ações #BolsaDeValores
Leia o artigo :https://t.co/c4vA9O5uBg</t>
  </si>
  <si>
    <t>Bradesco anuncia JCP de 2 Bilhões.
#acoes #fiis #bolsa #bolsadevalores #dividendos #investimentos #ativo #rendapassiva #renda #corretora #b3 #educacaofinanceira #milhas #rendavariavel #jcp #proventos #bbdc4 #bbdc3 #bradesco https://t.co/vca07jHko3</t>
  </si>
  <si>
    <t>Adquiri os melhores e-books de investimento em Fundos Imobiliários e ações.
E-books ⬇️
https://t.co/FCi3LqPwPq
#açao #b3 #finanças #finance #FII #fundosimobiliarios #fundoimobiliario #ações #investir #investidor #fiis #brasil #rendavariavel #açoes #rendafixa #investimento</t>
  </si>
  <si>
    <t>Trate seus investimentos como a conta mais importante do mês. Porque de fato são. 
Aportar por um futuro melhor é sacrificante para o consumo imediato, mas muda completamente o jogo no longo prazo. 
Pense nisso. 
#investimentos #investing #ações #stocks #fiis</t>
  </si>
  <si>
    <t>Não é o cargo que faz o líder, é a postura.
#Deveres #Direitos #Ações 
#Comoumtodo</t>
  </si>
  <si>
    <t>Já é sabido que trabalhar datas especiais na organização ajuda a construir uma cultura organizacional de reconhecimento profissional e a promover um bom clima na empresa, e para o Dia das Mães não é diferente.
#acoes #diadasmaes #endomarketing #dicas #institutoexito https://t.co/ENPEekjrZW</t>
  </si>
  <si>
    <t>🧵 Direção Nacional do Sindifisco ainda visitará unidades de fronteira no Paraná, Mato Grosso e Mato Grosso do Sul entre 23 e 28 de julho. Acompanhe as ações para garantir o pleno funcionamento das unidades da Receita Federal. #Fronteiras #SindifiscoNacional #Ações</t>
  </si>
  <si>
    <t>@montagcm @MashiRafael Essas #ações não pararam a #violência. Nas últimas #semanas, #cabeças decepadas apareceram nas #ruas, o #segurança de uma #joalheria ligada a #explosivos, #dezenas de #pessoas sequestradas e desaparecidas e o #assassinato do #diretor de um #hospital.</t>
  </si>
  <si>
    <t>O próprio #FBI apontou em uma #investigação de que #JuanGuaidó e #LeopoldoLópez, principais líderes do #partido de #Extrema_Direita #VoluntadPopular, teriam contratado #laranjas para comprar #ações da #Citgo e mais tarde, beneficiarem-se com a sua #venda. +</t>
  </si>
  <si>
    <t>#Bolsonaristas eleitos estão na #mira da #JustiçaEleitoral. 
11/12/2022 
#Ações por '#candidaturas_laranjas' podem fazer com que #bolsonaristas tenham #mandato cassado.
Segundo a #legislação, 30% das #candidaturas devem ser #reservadas para #mulheres. https://t.co/11fTnhpjYi</t>
  </si>
  <si>
    <t>Ibovespa engata 4ª alta seguida em dia com salto de Natura&amp;amp;Co
#Ibovespa #Ações #B3 
https://t.co/fVMRj7OLMB</t>
  </si>
  <si>
    <t>Ibovespa fecha em alta após dia volátil com agenda cheia de balanços
#Ibovespa #Mercado #Ações 
https://t.co/klT6Ntom3B</t>
  </si>
  <si>
    <t>Ibovespa sobe 0,52%, aos 109 mil pontos, e emenda 8º ganho diário
#Ibovespa #B3 #Ações 
https://t.co/Zoj1JxNfTn</t>
  </si>
  <si>
    <t>Ibovespa tem queda de 2,40%, pressionada por commodities
#Ibovespa #B3 #Ações 
https://t.co/DOv6KpPI78</t>
  </si>
  <si>
    <t>Quer diversificar seu portfólio financeiro e obter retornos a longo prazo? Investir em ações pode ser a solução ideal para você! 
https://t.co/owQT1iK79K
#Investimentos #Ações #MercadodeAções #Diversificação #Estratégia #Financeiro #BolsadeValores #SucessoFinanceiro https://t.co/efNPBTkpu7</t>
  </si>
  <si>
    <t>Descubra como começar a investir em ações de forma estratégica! Acesse o artigo completo no Blog da RNA Invest e aprenda sobre análise fundamentalista, diversificação de carteira e gestão de riscos. #Investimentos #Ações #Estratégia #Diversificação #RNAInvest https://t.co/FjEpbYJBjU</t>
  </si>
  <si>
    <t>💼 Investir em ações com pouco dinheiro é possível! 💰Descubra as 5 melhores maneiras de entrar no mercado de ações mesmo com um capital inicial limitado. Leia o artigo completo no Blog da RNA Invest e dê o primeiro passo rumo ao seu sucesso financeiro! 🔍🚀 #investimentos #ações https://t.co/sUC1h4KdGt</t>
  </si>
  <si>
    <t>📢Desvende os Mitos Sobre Investir em Ações! 💰Descubra como tomar decisões informadas e construir um futuro financeiro sólido. Acesse o artigo no Blog da RNA Invest e conquiste seus objetivos financeiros! https://t.co/yUEeLF6c8p
#investimentos #ações #finanças #RNAINVEST https://t.co/qFRfYukCZO</t>
  </si>
  <si>
    <t>🚀 Descubra os benefícios do investimento em ações a longo prazo! 💼💹 Nossa equipe de assessores especializados traz insights valiosos para impulsionar seus investimentos. Acesse agora: [https://t.co/5XpXN3zCGj #Investimentos #Ações #XPInvestimentos #LongoPrazo https://t.co/U57sc6zP9E</t>
  </si>
  <si>
    <t>📢Descubra o guia definitivo para investir em ações! Aprenda com a RNA Invest as melhores estratégias e práticas para alcançar o sucesso financeiro. Acesse agora: https://t.co/HPtYGDTab7 #investimentos #ações #sucessofinanceiro #RNAInvest #guiadeinvestimentos https://t.co/uBbCfKijB4</t>
  </si>
  <si>
    <t>O ERER (@erer.ufpe) é responsável por propor e articular ações afirmativas.
Para conhecer mais do ERER, acesse:
📍 https://t.co/CytEDPg84i
#ufpe #ERER #relaçõesétinicoraciais #etnia #racial #diversidade #iniciativas #ações #núcleos #estudo #universidade https://t.co/8AOBexZR5Q</t>
  </si>
  <si>
    <t>O NLGBT é o Núcleo de Políticas LGBTda UFPE .
Conheça mais sobre o Núcleo LGBT e suas ações acessando:
📍 https://t.co/eImDPlxsae
#ufpe #núcleos #universidade #LGBTI #NLGBT #diversidade #união #iniciativas #ações #orgulho ##mesdoorgulho https://t.co/9s2G67IbLr</t>
  </si>
  <si>
    <t>O segredo do sucesso é simples, pensar tudo a longo prazo.
#investir #investimento #acoes #criptomoneda #btc  #ETH</t>
  </si>
  <si>
    <t>https://t.co/6NbIespDwr
#omvestimemtps #acoes #Criptomonedas #BTCUSD ,</t>
  </si>
  <si>
    <t>#Proventos  no @interbr não  para 
#Fiis
#Ações https://t.co/IR8U3OLEvu</t>
  </si>
  <si>
    <t>@nonoinvestidor @futebol_info Mas ela,  só vai te alugar igual fazem com as #Ações q vc segura da #COGN3 #Oi 
🤑🤑🤑</t>
  </si>
  <si>
    <t>@ProfessorBaroni Por isso vou de #Proventos em #Ações #Fiis https://t.co/U4OfP9ftHq</t>
  </si>
  <si>
    <t>@FelipeTadewald Trabalhando pra chegar nos R$500 mês de média 
#Acoes
#Fiis https://t.co/HCNnP3v32D</t>
  </si>
  <si>
    <t>@nonoinvestidor Eh ao contrário vô, o $$$ do filho e o pai comprando as #Ações 😂🤣🤣😂🤣</t>
  </si>
  <si>
    <t>Chegou o resumão dos resultados do #mercadodecapitais no 1º semestre! As #debêntures tiveram o maior volume de emissões, seguidas de #ações e #CRAs. Destaque também para o crescimento dos Fiagros, mostrando a força do agronegócio. Confira o vídeo e saiba mais! https://t.co/NaCPbcPxsu</t>
  </si>
  <si>
    <t>@NetoInvest Acho q fizeram a conta do meu errado.
So não sei se foi a @ANBIMA_BR ou @B3_Oficial
😂🤣😂🤣
🤑🤑🤑
#Proventos 
#Ações
#Fiis https://t.co/rtC3nYgNZI</t>
  </si>
  <si>
    <t>@sigaif 
@IonEdu
#LuizBarsi
#Acoes  
#Dividendos https://t.co/4xO0j5gJFe</t>
  </si>
  <si>
    <t>#CDI
#Acoes
#Fiis
#Proventos 
🤑🤑🤑🤑 https://t.co/oc9PDbXOHn</t>
  </si>
  <si>
    <t>#Aporte 
#Ações 
#Fiis 
#Proventos https://t.co/sGl1nIPgNd</t>
  </si>
  <si>
    <t>#Aporte 
#Acoes
#Fiis
#FiAgro
#Proventos🤑 https://t.co/k2idzzGpV5</t>
  </si>
  <si>
    <t>#Acoes 
#Dividendos https://t.co/vmXB10aoyx</t>
  </si>
  <si>
    <t>Hoje vou falar sobre análise gráfica de ações 📈 Nesta thread, vou explicar alguns conceitos básicos que podem ajudar a entender melhor os movimentos dos preços no mercado financeiro. #AnáliseGráfica #Ações"</t>
  </si>
  <si>
    <t>👉🏼 Pra entender mais sobre como investir em #ações na #bolsa com a perspectiva de queda dos juros, leia nosso relatório completo aqui: https://t.co/i8SZHWU4xt</t>
  </si>
  <si>
    <t>Esse ano ainda dá pra chegar a mais ou menos 4 mil investidos na bolsa 
Com ações, FllS e ETF:
Ações: - KLBN3 - CPLE3 - BMGB4
FllS :  - MXRF11 - KIZU11 
ETF:  - EURP11 
@B3Bipolar 
#bolsa #b3 #açoes #FIIs #ETFs #Europa #beasil</t>
  </si>
  <si>
    <t>A gente já fez tanta coisa, né? 🤗
✔️Pavimentações em asfalto e pavers por toda a cidade; 
✔️Reformas, ampliações e construções de novas UBSs;
E muito ainda temos para fazer. Fique atento. Sempre temos uma novidade passando por aqui. 😉
#obras #araquari #ações #saúde https://t.co/WPRUPHGpr7</t>
  </si>
  <si>
    <t>Campanha Maio Furta-Cor: ações movimentam Toledo
https://t.co/1a87rwXAqk
📸Janaí Vieira
▶Leia a matéria completa no site. Link na BIO
#maiofurtacor #acoes #campanha https://t.co/WZyIkumhxe</t>
  </si>
  <si>
    <t>Cresol Integração realiza ações de educação financeira
https://t.co/0NiSbAUOxg
📸Assessoria
🌐Leia a matéria completa no site. Link na BIO
#acoes #educacaofinanceira #palestras https://t.co/2c08Y7lCJv</t>
  </si>
  <si>
    <t>Dia do Meio Ambiente é marcado por Ações de preservação em Maripá
📸Divulgação
🌐Leia a matéria em https://t.co/9ihpuBZvhF
#meioambiente #preservacao #acoes #conservacao https://t.co/T3oEslsxNV</t>
  </si>
  <si>
    <t>Governo do Paraná apresenta pacote de ações para estimular o desenvolvimento do turismo
https://t.co/WlaNDjf34e
📸José Fernando Ogura/Arquivo AEN
🌐Leia a matéria completa no site. Link na BIO
#turismo #acoes #estimulo #desenvolvimento https://t.co/nYaXZ762hS</t>
  </si>
  <si>
    <t>Maio Laranja: Ação mobilizou mais de mil crianças e adolescentes em Nova Santa Rosa
https://t.co/ZSR35KnqLJ
📸Divulgação
🌐Leia a matéria completa no site. Link na BIO
#maiolaranja #acoes #combateaviolencia https://t.co/6x4LZNXU2k</t>
  </si>
  <si>
    <t>Ouro Verde verifica as ações que tramitam a pedido de Micheletto
📸Divulgação
🌐Leia a matéria em https://t.co/SLcd5GSkUp
#acoes #projetos #tramites #politica https://t.co/xuimHIEttt</t>
  </si>
  <si>
    <t>Campanha Maio Furta-Cor: encontro na praça marca ações do movimento
https://t.co/RhB975JhaJ
📸Divulgação
🌐Leia a matéria completa no site. Link na BIO
#campanha #maiofurtacor #acoes https://t.co/AtPC1PdI3D</t>
  </si>
  <si>
    <t>Cardápio com mais vegetais e legumes: Parque das Aves investe em ações para diminuir pegada ecológica
📸Divulgação
🌐Leia a matéria em https://t.co/WKlGQOUXsr
#parquedasaves #acoes #pegadaecologica #fozdoiguacu #animais https://t.co/n4AZoHus0t</t>
  </si>
  <si>
    <t>Pato Bragado define ações iniciais para implantação do Centro de Convivência do Idoso
📸Divulgação
🌐Leia a matéria em https://t.co/iQ5TAvjyei
#acoes #implantacao #centrodeconvivencia #idoso https://t.co/212gb55pGz</t>
  </si>
  <si>
    <t>Enio Verri fala sobre ações socioambientais da Itaipu em aula magna da Unifoz
📸Sara Cheida
🌐Leia a matéria em https://t.co/Z0nMHIqmWO
#enioverri #acoes #socioambientais #aulamagna #unifoz #educacao #fozdoiguacu #parana https://t.co/a5q2qeKHZ0</t>
  </si>
  <si>
    <t>Projeto Rondon: acadêmicos do Oeste do Paraná realizam ações em Rondônia
📸Divulgação
🌐Leia a matéria em https://t.co/52QDpHT4TX
#projetorondon #academicos #rondonia #parana #acoes https://t.co/Ej4EPqoSlu</t>
  </si>
  <si>
    <t>Dia Mundial do Meio Ambiente: município inicia ações do Junho Verde
📸Janaí Vieira
🌐Leia a matéria em https://t.co/XI3CycXgJm
#meioambiente #diamundial #acoes #junhoverde https://t.co/n7VyAD6ZrZ</t>
  </si>
  <si>
    <t>Cojem realiza Feirão do Imposto com ações de 21 a 27 de maio em Toledo
https://t.co/a8pK3dfJzc
📸Assessoria de Imprensa ACIT
🌐Leia a matéria completa no site. Link na BIO
#feiraodoimposto #acoes #tributos https://t.co/GB1L4VCbnZ</t>
  </si>
  <si>
    <t>Ações do agosto azul são finalizadas em Assis Chateaubriand
📸Município de Assis Chateaubriand Paraná
🌐Leia a matéria em https://t.co/7csE7ulr5N
#acoes #agostoazul #assischateaubriand #parana #saude https://t.co/UoukRTahM2</t>
  </si>
  <si>
    <t>Inverno: Assistência Social planeja ações e orienta sobre acesso à Casa de Passagem
📸Divulgação
🌐Leia a matéria completa no site. Link na BIO
#inverno #assistenciasocial #acoes #casadepassagem #toledo https://t.co/IINGs9m5SF</t>
  </si>
  <si>
    <t>As fases da vida de um homem costumam ser #reflexo das suas #ações e #falas, e acabam servindo de exemplos práticos que apontam o que deve-se ou não fazer. Isso porque a mesma luz que aponta o caminho, revela os obstáculos.</t>
  </si>
  <si>
    <t>#investment #investimentos #ações https://t.co/kpWd2YtSAE</t>
  </si>
  <si>
    <t>Quer começar a investir em ações, mas não sabe por onde começar? Não se preocupe! Temos um guia completo para iniciantes sobre como investir de forma segura e lucrativa. Acesse agora mesmo o artigo e comece a investir com confiança.
#investimentos #ações #finanças #guiacompleto https://t.co/jqHUUNoxkX</t>
  </si>
  <si>
    <t>3/6 Se você é acionista da Petrobras, está na hora de comemorar! 🎉 E se não é, pode ser o momento para considerar esta oportunidade. #Ações #Investimento</t>
  </si>
  <si>
    <t>1/6 📢 Notícia Bomba! A Petrobras (#PETR4) anuncia o pagamento de R$ 1,89 por ação em dividendos, totalizando impressionantes R$ 24,6 bilhões! 💰🧵👇#Petrobras #Dividendos #Ações #petr4</t>
  </si>
  <si>
    <t>COMO INVESTIR EM AÇÕES DURANTE CICLO DE ALTA DA BOLSA DE VALORES
#bolsadevalores #ações #ibovespa #investir 
Vídeo completo ✅ 
https://t.co/j1Z0yzWRkJ</t>
  </si>
  <si>
    <t>✴️#BTC #correlação #cripto #ações
 A correlação positiva do BTC com ativos de risco aumentou significativamente desde agosto https://t.co/RGNTvEPpCh</t>
  </si>
  <si>
    <t>🚔👮🏻Na oportunidade, ocorreu a entrega de 18  viaturas pronasci, drones de vigilância e armamentos, 
totalizando um investimento de quase 4 milhões para aparelhar a segurança pública maranhense.
#PGEMA #AgendaPGE #JustiçaeSegurançaPública #Ações #InvestimentosMA https://t.co/STh00xERUb</t>
  </si>
  <si>
    <t>Diversificar e preciso, saber diversificar e NECESSÁRIO! 😉
QUER APRENDER A INVESTIR? ME CHAMA QUE TE AJUDO!
 #mercadofinanceiro #ações #fundosimobiliários #investir #rendapassiva https://t.co/xC5giO0JUS</t>
  </si>
  <si>
    <t>https://t.co/mgw4mrTKU8
Ouro é mesmo um investimento seguro?
#finanças #ações #ouro</t>
  </si>
  <si>
    <t>Testando a venda de ações pelo app da #Nubank e tem dado falha faz algumas horas... App continua instável e não é só para as #nucoin seriam bom um comunicado oficial da @nubank com mais detalhes. #Nucoins #ações #nuinvest #investimentos #rendavariavel https://t.co/WsQ6f4B7Vm</t>
  </si>
  <si>
    <t>VEM CONHECER CONFERIR!
MARFRIG RI 1T23!  Mais um vídeo novo no canal! vai lá! link do canal:https://t.co/1KWkek7dH5
link do video: https://t.co/QL3vVh7Jd9
#MRFG3  #ações https://t.co/5Wh3GUdGbV</t>
  </si>
  <si>
    <t>MXRF11 RELATÓRIO GERENCIAL 05/23 !!  Mais um vídeo novo no canal! vai lá!
link do canal: https://t.co/1KWkek7dH5
link do video: https://t.co/jC0l6celaS
#fundosimobiliários #investimento #ações #analisefundamentalista #1t23 #tasa3 #MXRF11 #FII https://t.co/F0UxTfgBCz</t>
  </si>
  <si>
    <t>VEM CONHECER O CANAL!
VVCR11 RELATÓRIO GERENCIAL 08/23 !!  Mais um vídeo novo no canal! vai lá!
link do video: https://t.co/2Cjd0NuENv
#fundosimobiliários #ações #analisefundamentalista #VVCR11</t>
  </si>
  <si>
    <t>VEM CONHECER O CANAL!
HGLG11 RELATÓRIO GERENCIAL 07/23 !!  Mais um vídeo novo no canal! vai lá!
link do video: https://t.co/vBHyTkrHrx
link do canal: https://t.co/1KWkek7dH5
#fundosimobiliários #ações #analisefundamentalista #HGLG11 #FII https://t.co/1pivBPvG7o</t>
  </si>
  <si>
    <t>VEM CONHECER O CANAL!
HSLG11 RELATÓRIO GERENCIAL 07/23 !!  Mais um vídeo novo no canal! vai lá!
link do video: https://t.co/1UV0x0owKc
link do canal: https://t.co/1KWkek7dH5
#fundosimobiliários #ações #analisefundamentalista #HSLG11 #FII https://t.co/9nDNq8gcvS</t>
  </si>
  <si>
    <t>VEM CONHECER O CANAL!
HGBS11 RELATÓRIO GERENCIAL 06/23 !!  Mais um vídeo novo no canal! vai lá!
link do video: https://t.co/DxjBIgQSJp
link do canal: https://t.co/1KWkek7dH5
#fundosimobiliários #ações #analisefundamentalista #HGBS11 #FIIs https://t.co/vTAGWLOzvt</t>
  </si>
  <si>
    <t>VEM CONHECER O CANAL!
GALG11 RELATÓRIO GERENCIAL 06/23 !!  Mais um vídeo novo no canal! vai lá!
link do canal: https://t.co/1KWkek7dH5
link do video: https://t.co/KAqEZYTujf
#fundosimobiliários  #ações #analisefundamentalista #GALG11 #FIIs https://t.co/6Ma4XYnuxh</t>
  </si>
  <si>
    <t>VEM CONHECER O CANAL!
XPML11 RELATÓRIO GERENCIAL 06/23 !!  Mais um vídeo novo no canal! vai lá!
link do canal: https://t.co/1KWkek7dH5
link do video: https://t.co/fQP4TybZWB
#fundosimobiliários  #ações #analisefundamentalista #XPML11 #FII https://t.co/mjRtgWgLpx</t>
  </si>
  <si>
    <t>VEM CONHECER O CANAL!
HGLG11 FATO RELEVANTE 06/23 !!  Mais um vídeo novo no canal! vai lá!
link do canal: https://t.co/1KWkek7dH5
link do video: https://t.co/DpTBx90pip
#fundosimobiliários  #ações #analisefundamentalista #HGLG11 #FII https://t.co/FqZWqShl3Q</t>
  </si>
  <si>
    <t>VEM CONHECER O CANAL!
MÉLIUZ RI 1T23!  Mais um vídeo novo no canal! vai lá!
link do canal: https://t.co/1KWkek7dH5
link do video: https://t.co/Xg5Npdh3ao
#cash3  #ações #meliuz https://t.co/olYE2mKYWh</t>
  </si>
  <si>
    <t>TAURUS RI 1T23!  Mais um vídeo novo no canal! vai lá!
#TASA3  #ações 
link do canal: https://t.co/1KWkek7dH5
link do video: https://t.co/7HosrCRNNj https://t.co/uyJTQaAblQ</t>
  </si>
  <si>
    <t>VEM CONHECER O CANAL!
VISC11 RELATÓRIO GERENCIAL 08/23 !!  Mais um vídeo novo no canal! vai lá!
link do video: https://t.co/DBxXGQ1w4O
#fundosimobiliários #ações #analisefundamentalista #visc11</t>
  </si>
  <si>
    <t>VEM CONHECER O CANAL!
MXRF11 E DEVA11 RELATÓRIO GERENCIAL 07/23 !!  Mais um vídeo novo no canal! vai lá!
link do video: https://t.co/JFMRTcZy2s
#fundosimobiliários #ações #analisefundamentalista #MXRF11 #DEVA11</t>
  </si>
  <si>
    <t>VEM CONHECER O CANAL!
AIEC11 RELATÓRIO GERENCIAL 07/23 !!  Mais um vídeo novo no canal! vai lá!
link do video: https://t.co/aeSv6bQjXz
link do canal: https://t.co/t3xZvdGYh1 /featured
#fundosimobiliários #ações #analisefundamentalista #AIEC11 #fii https://t.co/LGNxDXwp22</t>
  </si>
  <si>
    <t>VEM CONHECER O CANAL!
RZAK11 RELATÓRIO GERENCIAL 06/23 !!  Mais um vídeo novo no canal! vai lá!
link do video: https://t.co/UEbsKOyF7X
link do canal: https://t.co/1KWkek7dH5
#fundosimobiliários #ações #analisefundamentalista #RZAK11 #fii https://t.co/aYGcd3zFUD</t>
  </si>
  <si>
    <t>VEM CONHECER O CANAL!
BBFI11B FATO RELEVANTE 06/23 !!  Mais um vídeo novo no canal! vai lá!
link do canal: https://t.co/1KWkek7dH5
link do video: https://t.co/HI8NZNbJoy
#fundosimobiliários #investimento #ações #analisefundamentalista #BBFI11B #FII https://t.co/JUIqF6OHuf</t>
  </si>
  <si>
    <t>Fala galera,
Segue mais um vídeo! se você 
gosta desse tipo de conteúdo, vem visitar o canal
e se inscreva.  link: https://t.co/1KWkek7dH5
link do video: https://t.co/mspIUueS82
#fundosimobiliários #investimento #ações #analisefundamentalista #1t23 #aiec11 #FIIs https://t.co/lxBjPU0Yr1</t>
  </si>
  <si>
    <t>MULTILASER RI 1T23!  Mais um vídeo novo no canal! vai lá!
#MLAS3  #ações 
link do canal: https://t.co/1KWkek7dH5
link do video: https://t.co/AdIpxmRhiO https://t.co/tpwvHA0uG3</t>
  </si>
  <si>
    <t>VEM CONHECER O CANAL!
HGLG11 RELATÓRIO GERENCIAL 09/23 !!  Mais um vídeo novo no canal! vai lá!
link do video: https://t.co/xW0M1Fr3Qt
#fundosimobiliários  #ações #analisefundamentalista #HGLG11 #FII</t>
  </si>
  <si>
    <t>VEM CONHECER O CANAL!
HGLG11 FATO RELEVANTE 09/23 !!  Mais um vídeo novo no canal! vai lá!
link do video: https://t.co/kqZKd1Tv1V
#fundosimobiliários  #ações #analisefundamentalista #HGLG11 #FII</t>
  </si>
  <si>
    <t>VEM CONHECER O CANAL!
HGLG11 FATO RELEVANTE 09/23 !!  Mais um vídeo novo no canal! vai lá!
link do video: https://t.co/O1aTtFfJRr
#fundosimobiliários  #ações #analisefundamentalista #HGLG11 #FII</t>
  </si>
  <si>
    <t>VEM CONHECER O CANAL!
AIEC11 RELATÓRIO GERENCIAL 09/23 !!  Mais um vídeo novo no canal! vai lá!
link do video: https://t.co/ojf84LXCR0
#fundosimobiliários  #ações #analisefundamentalista #AIEC11 #FII</t>
  </si>
  <si>
    <t>VEM CONHECER O CANAL!
TRXF11 RELATÓRIO GERENCIAL 08/23 !!  Mais um vídeo novo no canal! vai lá!
link do video: https://t.co/ZFUG5x9g5n
#fundosimobiliários #ações #analisefundamentalista #TRXF11</t>
  </si>
  <si>
    <t>VEM CONHECER O CANAL!
XPML11 RELATÓRIO GERENCIAL 08/23 !!  Mais um vídeo novo no canal! vai lá!
link do video: https://t.co/t8pDEjyJwm
#fundosimobiliários #ações #analisefundamentalista #XPML11</t>
  </si>
  <si>
    <t>VEM CONHECER O CANAL!
DEVA11 RELATÓRIO GERENCIAL 06/23 !!  Mais um vídeo novo no canal! vai lá!
link do canal: https://t.co/1KWkek7dH5
#fundosimobiliários #ações #analisefundamentalista #DEVA11 #FII 
link do video: https://t.co/zEYGWCEBfm</t>
  </si>
  <si>
    <t>VEM CONHECER O CANAL!
HGLG11 FATO RELEVANTE 06/23 !!  Mais um vídeo novo no canal! vai lá!
link do canal: https://t.co/1KWkek7LwD
link do video:  https://t.co/2iUUtqeST9
#fundosimobiliários  #ações #analisefundamentalista #HGLG11 #FIIs https://t.co/wu7gdgTPtp</t>
  </si>
  <si>
    <t>VSLH11 RELATÓRIO GERENCIAL 05/23 !!  Mais um vídeo novo no canal! vai lá!
link do canal: https://t.co/1KWkek7LwD
link do video: https://t.co/2FXWuyE8uJ
#fundosimobiliários #investimento #ações #analisefundamentalista #1t23 #tasa3 #VSLH11 #FII https://t.co/SQsFnS8BWq</t>
  </si>
  <si>
    <t>SANEPAR RI 1T23!  Mais um vídeo novo no canal! vai lá!
#sapr4  #ações 
link do canal: https://t.co/1KWkek7dH5
link do video: https://t.co/CsD7KLwqog https://t.co/STD9eRrKB8</t>
  </si>
  <si>
    <t>VEM CONHECER O CANAL!
JPPA11 RELATÓRIO GERENCIAL 09/23 !!  Mais um vídeo novo no canal! vai lá!
link do video: https://t.co/JmL53t0oFU
#fundosimobiliários  #ações #analisefundamentalista #JPPA11 #FII</t>
  </si>
  <si>
    <t>VEM CONHECER O CANAL!
KLABIN 2T23 Mais um vídeo novo no canal! vai lá!
link do video: https://t.co/PRx2MsT5Qo
#fundosimobiliários #ações #analisefundamentalista #klbn11</t>
  </si>
  <si>
    <t>VEM CONHECER O CANAL!
KNRI11 FATO RELEVANTE 09/23 !!  Mais um vídeo novo no canal! vai lá!
link do video: https://t.co/l1YQLWEGx2
#fundosimobiliários  #ações #analisefundamentalista #KNRI11 #FII</t>
  </si>
  <si>
    <t>VEM CONHECER O CANAL!
AES BRASIL 2T23 Mais um vídeo novo no canal! vai lá!
link do video: https://t.co/xdWBUueD7e
#fundosimobiliários #ações #analisefundamentalista</t>
  </si>
  <si>
    <t>VEM CONHECER O CANAL!
COMO ANALISAR AÇÕES?!  Mais um vídeo novo no canal! vai lá!
link do video: https://t.co/RdF3o6qdb7
#fundosimobiliários #ações #analisefundamentalista</t>
  </si>
  <si>
    <t>VEM CONHECER O CANAL!
MXRF11 RELATÓRIO GERENCIAL 08/23 !!  Mais um vídeo novo no canal! vai lá!
link do video: https://t.co/O7COgif6az
#fundosimobiliários #ações #analisefundamentalista #mxrf11</t>
  </si>
  <si>
    <t>VEM CONHECER O CANAL!
AIEC11 RELATÓRIO GERENCIAL 08/23 !!  Mais um vídeo novo no canal! vai lá!
link do video: https://t.co/TJqrb7TKLA
#fundosimobiliários #ações #analisefundamentalista #aiec11</t>
  </si>
  <si>
    <t>VEM CONHECER O CANAL!
HGLG11 RELATÓRIO GERENCIAL 06/23 !!  Mais um vídeo novo no canal! vai lá!
link do canal: https://t.co/1KWkek7dH5
link do video: https://t.co/AO3k20Mfzq
#fundosimobiliários  #ações #analisefundamentalista #HGLG11 #FII https://t.co/pRrfE1NASG</t>
  </si>
  <si>
    <t>VEM CONHECER O CANAL!
VISC11 RELATÓRIO GERENCIAL 06/23 !!  Mais um vídeo novo no canal! vai lá!
link do canal: https://t.co/1KWkek7dH5
link do video: https://t.co/VhT5Z7o9V3
#fundosimobiliários  #ações #analisefundamentalista #VISC11 #fii https://t.co/s0vECwSuQB</t>
  </si>
  <si>
    <t>VEM CONHECER O CANAL!
ORACLE RI 1T23!  Mais um vídeo novo no canal! vai lá!
link do canal: https://t.co/1KWkek7dH5
link do video: https://t.co/LxXYt1R5AU
#cash3  #ações #ORACLE #ORCL #ORCL34 https://t.co/Qt6IhcKgfW</t>
  </si>
  <si>
    <t>VEM CONHECER O CANAL!
BBAS3 2T23 Mais um vídeo novo no canal! vai lá!
link do video: https://t.co/V1mRKIBAYi
#fundosimobiliários #ações #analisefundamentalista #BBAS3</t>
  </si>
  <si>
    <t>VEM CONHECER O CANAL!
VALE3 RI 2T23!  Mais um vídeo novo no canal! vai lá!
link do video: https://t.co/rIgGVMI7Lr
#ações  #bolsadevalores #ibovespa #VALE3</t>
  </si>
  <si>
    <t>VEM CONHECER O CANAL!
ANÁLISE E RESUMO DOS RELATÓRIOS DE AÇÕES E FIIS 
link do canal: https://t.co/Vd7kd5v2lX
#fundosimobiliários #ações #analisefundamentalista #facilitandooinvestidor</t>
  </si>
  <si>
    <t>VEM CONHECER O CANAL!
XPML11 RELATÓRIO GERENCIAL 07/23 !!  Mais um vídeo novo no canal! vai lá!
link do video: https://t.co/Lza7Q0dJGd
link do canal: https://t.co/1KWkek7dH5
#fundosimobiliários #ações #analisefundamentalista #XPML11 #FII https://t.co/0niWwz9mt6</t>
  </si>
  <si>
    <t>VEM CONHECER O CANAL!
HGBS11 RELATÓRIO GERENCIAL 07/23 !!  Mais um vídeo novo no canal! vai lá!
link do video: https://t.co/ZwkiQz6ObK
link do canal: https://t.co/1KWkek7dH5
#fundosimobiliários #ações #analisefundamentalista #HGBS11 #fiis https://t.co/GysoUIW8uS</t>
  </si>
  <si>
    <t>VEM CONHECER O CANAL!
JPPA11 RELATÓRIO GERENCIAL 07/23 !!  Mais um vídeo novo no canal! vai lá!
link do video: https://t.co/Ej7xY27HIA
link do canal: https://t.co/1KWkek7dH5
#fundosimobiliários #ações #analisefundamentalista #JPPA11 #FII https://t.co/WXV2nENokj</t>
  </si>
  <si>
    <t>VEM CONHECER O CANAL!
LOCAWEB RI 1T23!  Mais um vídeo novo no canal! vai lá!
link do canal: https://t.co/1KWkek7dH5
link do video: https://t.co/vHQk7JAc5r
#lwsa3  #ações https://t.co/YOhJSYSj1B</t>
  </si>
  <si>
    <t>VEM CONHECER O CANAL!
VVCR11 RELATÓRIO GERENCIAL 09/23 Mais um vídeo novo no canal! vai lá!
link do video: https://t.co/5fKmAlyfqN
#fundosimobiliários #ações #analisefundamentalista #VVCR11</t>
  </si>
  <si>
    <t>VEM CONHECER O CANAL!
KEPL3 2T23 Mais um vídeo novo no canal! vai lá!
link do video: https://t.co/iupgLe8ogk
#fundosimobiliários #ações #analisefundamentalista #KEPL3</t>
  </si>
  <si>
    <t>VEM CONHECER O CANAL!
BBFI11B RELATÓRIO GERENCIAL 08/23 !!  Mais um vídeo novo no canal! vai lá!
link do video: https://t.co/HUL1koCV8X
#fundosimobiliários #ações #analisefundamentalista #BBFI11B</t>
  </si>
  <si>
    <t>VEM CONHECER O CANAL!
CPRT11 RELATÓRIO GERENCIAL 07/23 !!  Mais um vídeo novo no canal! vai lá!
link do video: https://t.co/NzsHnaPfg6
#fundosimobiliários #ações #analisefundamentalista #CPRT11 #FIIs</t>
  </si>
  <si>
    <t>VEM CONHECER O CANAL!
RDPR11 RELATÓRIO GERENCIAL 05/23 !!  Mais um vídeo novo no canal! vai lá!
link do canal: https://t.co/1KWkek7dH5
link do video: https://t.co/x654uQtR27
#fundosimobiliários #investimento #ações #analisefundamentalista #RDPD11 #FII https://t.co/v5HmUhlUj2</t>
  </si>
  <si>
    <t>VEM CONHECER O CANAL!
GALG11 RELATÓRIO GERENCIAL 05/23 !!  Mais um vídeo novo no canal! vai lá!
link do canal: https://t.co/1KWkek7dH5
link do video: https://t.co/AOPfibSVea
#fundosimobiliários #investimento #ações #analisefundamentalista #1t23 #galg11 #FII https://t.co/qVm0U124aX</t>
  </si>
  <si>
    <t>MICROSOFT RI 1T23!  Mais um vídeo novo no canal! vai lá!
#MSFT #MSFT34 #ações 
link do canal: https://t.co/1KWkek7dH5
link do video: https://t.co/Wg7Jjx22MW https://t.co/hn4Tvl9zJW</t>
  </si>
  <si>
    <t>MAGALU RI 1T23!  Mais um vídeo novo no canal! vai lá!
 #mglu3  #ações 
link do canal: https://t.co/1KWkek7dH5
link do video : https://t.co/OltS1zzcPy https://t.co/7fL4Vzuvep</t>
  </si>
  <si>
    <t>PETROBRAS RI 1T23!  Mais um vídeo novo no canal! vai lá!
#PETR4 #PETR3 #ações 
link do canal: https://t.co/1KWkek7dH5
link do video : https://t.co/WHy40QB7mi https://t.co/Ork3epIztX</t>
  </si>
  <si>
    <t>VEM CONHECER O CANAL!
ANÁLISE GRÁFICA DE AÇÕES!  Mais um vídeo novo no canal! vai lá!
link do video: https://t.co/V0UTBHa2w9
#ações #analisefundamentalista</t>
  </si>
  <si>
    <t>VEM CONHECER O CANAL!
COMO ANALISAR FII DE PAPEL?!  Mais um vídeo novo no canal! vai lá!
link do video: https://t.co/aAgReMb5mM
#fundosimobiliários #ações #analisefundamentalista</t>
  </si>
  <si>
    <t>VEM CONHECER O CANAL!
COMO ANALISAR FII DE TIJOLO?!  Mais um vídeo novo no canal! vai lá!
link do video: https://t.co/u5mSwqqiJ9
#fundosimobiliários #ações #analisefundamentalista</t>
  </si>
  <si>
    <t>VEM CONHECER O CANAL!
HCTR11 RELATÓRIO GERENCIAL 07/23 !!  Mais um vídeo novo no canal! vai lá!
link do video: https://t.co/FhWG0lvK2L
#fundosimobiliários #ações #analisefundamentalista #GALG11 #fii</t>
  </si>
  <si>
    <t>VEM CONHECER O CANAL!
GALG11 RELATÓRIO GERENCIAL 07/23 !!  Mais um vídeo novo no canal! vai lá!
link do video: https://t.co/yhFWlgzS5J
#fundosimobiliários #ações #analisefundamentalista #GALG11 #fii</t>
  </si>
  <si>
    <t>VEM CONHECER O CANAL!
VVCR11 RELATÓRIO GERENCIAL 06/23 !!  Mais um vídeo novo no canal! vai lá!
link do canal: https://t.co/1KWkek7dH5
link do video: https://t.co/llDVgQF387
#fundosimobiliários #ações #analisefundamentalista #vvcr11 #fii</t>
  </si>
  <si>
    <t>VEM CONHECER O CANAL!
HCTR11 RELATÓRIO GERENCIAL 06/23 !!  Mais um vídeo novo no canal! vai lá!
link do canal: https://t.co/1KWkek7dH5
link do video: https://t.co/jIKQWcX97J
#fundosimobiliários #ações #analisefundamentalista #HCTR11 #fii</t>
  </si>
  <si>
    <t>VEM CONHECER O CANAL!
BBFI11B RELATÓRIO GERENCIAL 06/23 !!  Mais um vídeo novo no canal! vai lá!
link do canal: https://t.co/1KWkek7dH5
link do video: https://t.co/deQous3KeQ
#fundosimobiliários  #ações #analisefundamentalista #BBFI11B #fii</t>
  </si>
  <si>
    <t>VEM CONHECER O CANAL!
UNIPAR RI 1T23!  Mais um vídeo novo no canal! vai lá!
link do canal: https://t.co/1KWkek7dH5
link do video: https://t.co/zlSL0qDO2r
#UNIP6  #ações https://t.co/D3iADV0Slt</t>
  </si>
  <si>
    <t>Fala galera,
Segue mais um vídeo! se você 
gosta desse tipo de conteúdo, vem visitar o canal
e se inscreva.  link: https://t.co/1KWkek7dH5
#fundosimobiliários #investimento #ações #analisefundamentalista #1t23 #kisu11 https://t.co/M1xK4mHRTU</t>
  </si>
  <si>
    <t>#PapoFácil #887 #NetSecurity integra amplas soluções de #segurança sob medida para cada empresa
https://t.co/P1pudn8MJF
Com Leonardo Fagnani, Dir Serviços e CISO
#informação #proteção #serviços #gerenciados #SOC #ações #prevenção #ameaças #LGPD #ISO27001 #integração https://t.co/iZr9yARRtS</t>
  </si>
  <si>
    <t>#MorningShow | Ações contra Bolsonaro (PL) no TSE podem colocar em risco mandatos de 13 congressistas; processo feito pela coligação de Lula (PT) contesta suposta desinformação na eleição de 2022
📺 Confira na JP News
#Ações #Bolsonaro #TSE https://t.co/7uRijvhQdd</t>
  </si>
  <si>
    <t>#Ações da estatal tiveram a maior queda desde 2 de janeiro. Link:
https://t.co/crB3JjwQ4f https://t.co/IPpIiAc2O9</t>
  </si>
  <si>
    <t>Seguir firme na missão de combate ao crime, sejam quais forem as ações em detrimento ao seu povo. Ações firmes e inteligentes de nossas polícias, sem interesses de grupos e ou oligarquias políticas.  Parabéns Governador!!!
#saopaulo  #cracolandia #humanidade #ações #inteligencia</t>
  </si>
  <si>
    <t>🥳 E é com esse entusiasmo, essa garra e essa energia que nos preparamos para receber agosto. Tudo planejado para um mês inesquecível! Gratidão Deus! Seguimos fazendo acontecer! 💪🏻✅
#mesdejulho #ações #fazendoacontecer https://t.co/yfj64VuFoF</t>
  </si>
  <si>
    <t>Quanto mais constante for suas ações para alcançar seus objetivos mais portas irá se abrir e permitirá que grandes oportunidades façam a diferença na sua vida!!
#objetivos #foco #oportunidades #ações #sonhos https://t.co/f8oCbDs5d3</t>
  </si>
  <si>
    <t>E vamos hoje de Análise Completa do Banco do Banestes BEESS3
Está em um ponto de compra?
Quanto paga de dividendo?
Vale a pena investir?
https://t.co/6ujqFtJdtc
#BEES3
#ValeApenaComprar
#Acoes
#BolsaDeValores</t>
  </si>
  <si>
    <t>Boa tarde!!!
Pra movimentar um pouco a nossa tarde...vamos de análise das ações da CIELO.
https://t.co/4DS6OZSsl4
Seja membro e compartilhe!!!👍
#acoes
#cielo
#mercado</t>
  </si>
  <si>
    <t>Chegamos, santoamarenses! 🤩
Vem que tem mais de 150 serviços esperando por vocês no Sergipe é Aqui! ✅✨
#Sergipe #SergipeéAqui #serviços #ações #Governo https://t.co/xlbqUG3DIU</t>
  </si>
  <si>
    <t>MARABÁ
A iniciativa fortalece a luta contra a violência a mulher no interior do estado.
Leia mais ⬇️
https://t.co/FVLPxYwj0I
#pacientes #regional #marabá #ações #educativas #dolcarajas https://t.co/QAtJnFlJW0</t>
  </si>
  <si>
    <t>#Dinheiro #economia #finanças #financeiro #b3 #ibovespa #rendaVariavel #rendaFixa #ações #ativos
A bolsa de valores de São Paulo, a B3, teve 13 quedas consecutivas neste mês de Agosto de 2023.
https://t.co/GTVYnN7shQ</t>
  </si>
  <si>
    <t>#Dinheiro #economia #finanças #financeiro #b3 #ibovespa #rendaVariavel #rendaFixa #ações #ativos
A bolsa de valores de São Paulo, a B3, teve 13 quedas consecutivas neste mês de Agosto de 2023.
https://t.co/ha5F9usXCp</t>
  </si>
  <si>
    <t>#investimentos #santanderbrasil #bolsadevalores #equities #acoes https://t.co/fQwaRWWkgD</t>
  </si>
  <si>
    <t>📈 #DiáriodeTrades 📊 - POMO4 - gráfico de #POMO4 no @TradingView https://t.co/gpHuuMSLlx</t>
  </si>
  <si>
    <t>No Alvo 🎯
Dia 18/07/2023: Encerramento da operação com as ações da Marcopolo (POMO4). Confira os detalhes do trade abaixo. #POMO4 #TradeEncerrado #Ações #Marcopolo
Sai com uma gain de +7%.</t>
  </si>
  <si>
    <t>De acordo com dados preliminares, o S&amp;amp;P 500 (SPX) perdeu 0,70%
https://t.co/hSnS5uycFs
#AÇÕES #CARTÃODECRÉDITO #FEDERALRESERVE #INFLAÇÃO #MERCADOS #WALLSTREET</t>
  </si>
  <si>
    <t>Índice de referência do mercado acionário brasileiro, o Ibovespa caiu 0,67%, a 118.297,94 pontos
https://t.co/9fVEL3UZD4
#AÇÕES #CVCBRASIL #IBOVESPA #MERCADOS</t>
  </si>
  <si>
    <t>O envolvimento potencial da Amazon no IPO, que não foi relatado anteriormente, ressalta a importância da Arm na computação em nuvem
https://t.co/mSVC034crg
#AÇÕES #AMAZON #ARM #EMPRESAS #IPO #MERCADOS #SOFTBANK</t>
  </si>
  <si>
    <t>Veja as 18 ações que mais sobem quando o Brasil começa a cortar juros (o que é logo ali!) https://t.co/Tvntn8Kftn #Investimentos #Ações #Selic</t>
  </si>
  <si>
    <t>No mês passado, a Apple se tornou a primeira empresa do mundo a atingir um valor de mercado de 3 trilhões de dólares
https://t.co/TO5BXNuqwD
#AÇÕES #ALPHABET #APPLE #EMPRESAS #EUA #FACEBOOK #INTEL #MERCADOS #META #MICROSOFT</t>
  </si>
  <si>
    <t>Segundo dados preliminares, o S&amp;amp;P 500 ganhou 0,70%, para 4.400,13 pontos
https://t.co/jynHnuZwDb
#AÇÕES #DOWJONES #MERCADOS #NASDAQ #SP500 #TECNOLOGIA #WALLSTREET</t>
  </si>
  <si>
    <t>Índice de referência do mercado acionário brasileiro, o Ibovespa caiu 0,83%, a 114.454,65 pontos
https://t.co/UvombCMoGB
#AÇÕES #IBOVESPA #MERCADOS</t>
  </si>
  <si>
    <t>As ações europeias interromperam uma sequência de quatro dias de perdas nesta segunda-feira, com os setores de energia e mineradoras em alta
https://t.co/pLtMAWdKg2
#AÇÕES #BANCOCENTRALEUROPEU #EUROPA #MERCADOS #TECNOLOGIA</t>
  </si>
  <si>
    <t>Apenas 4% dos clientes têm entre 50% e 75% e somente 1% tem de 75% a 100%, mostrou o levantamento. Em julho, esses percentuais eram 5% e 2%
https://t.co/cwyoMVmXhB
#AÇÕES #EMPRESAS #MERCADOS #XP</t>
  </si>
  <si>
    <t>"O deságio tem o propósito de incentivar os acionistas a participarem do referido aumento" de capital, afirmou a companhia.
https://t.co/f2MhFSgd7Q
#AÇÕES #EMPRESAS #ITAÚUNIBANCO #ITAÚSA #MERCADOS</t>
  </si>
  <si>
    <t>Otimista e cautelosa, Genial troca metade de carteira para agosto - https://t.co/MmYJlLJfUo #Investimentos #Ações #Genial</t>
  </si>
  <si>
    <t>https://t.co/n2trbKB0ri
O percentual de renovação das indicações de ações nas carteiras recomendadas semanais chegou a 53,3% com 16 mudanças.
#mercados #ações #ibovespa</t>
  </si>
  <si>
    <t>O tribunal também rejeitou alegações de que a plataforma foi negligente ao não impedir que investidores perdessem dinheiro
https://t.co/iTIYyqVhGs
#AÇÕES #CRIPTO #ROBINHOOD</t>
  </si>
  <si>
    <t>O que comprar em agosto? BTG revela volta da Petrobras em Top 10 - https://t.co/ifqTNKEreI #Investimentos #Ações</t>
  </si>
  <si>
    <t>Festa na Bolsa com a queda da Selic? Veja o que é oportunidade e o que é cilada https://t.co/1K6dZ0VvA0 #investimentos #ações</t>
  </si>
  <si>
    <t>Bolsas na Europa têm dia mais forte em 6 meses após BCE elevar juro para nível recorde - https://t.co/nLaA7IU5zt #Bolsas #Europa #Ações</t>
  </si>
  <si>
    <t>https://t.co/IZI94k4Aa1
O índice Hang Seng, de Hong Kong, recuou 0,09%.
#mercados #ações #China</t>
  </si>
  <si>
    <t>BofA vê chance alta de Petrobras distribuir dividendo extraordinário no 2º semestre - https://t.co/RVVjouwZj7 #Mercados #Petrobras #Dividendos #BankOfAmerica #Ações</t>
  </si>
  <si>
    <t>Ibovespa avança com apoio externo após semana negativa - https://t.co/HQzWpA4IpE #Mercados #Ações #Ibovespa</t>
  </si>
  <si>
    <t>https://t.co/UbpDxMbQsn
O índice CSI300, que reúne as maiores companhias listadas em Xangai e Shenzhen, fechou com alta de 0,74%, enquanto o índice de Xangai avançou 0,84%.
#Mercados #ações #China</t>
  </si>
  <si>
    <t>Projeto regulamenta compra de ações de empresas por funcionários - https://t.co/wCH6CTtouJ #Mercados #Ações #StockOptions</t>
  </si>
  <si>
    <t>https://t.co/i4pvsk7N79
O índice Hang Seng, de Hong Kong, recuou 2,06%.
#ações #China #mercados</t>
  </si>
  <si>
    <t>O Ibovespa (IBOV) fechou com um declínio discreto nesta terça-feira, distante da mínima da sessão, conforme o alívio na curva de juros brasileira
https://t.co/8vDMWbghOf
#AÇÕES #BANCOCENTRAL #COPOM #ELETROBRAS #IBOVESPA #ITAÚUNIBANCO #MERCADOS</t>
  </si>
  <si>
    <t>O Dow Jones subiu 1,16%, para 35.473,42 pontos
https://t.co/YWu6VwEuwU
#AÇÕES #DOWJONES #MERCADOS #NASDAQ #SP500 #WALLSTREET</t>
  </si>
  <si>
    <t>O volume financeiro somava 16,85 bilhões de reais, bem abaixo da média diária do ano de 25,8 bilhões de reais
https://t.co/6MH7qjlDue
#AÇÕES #BBSEGURIDADE #COPOM #IBOVESPA #MERCADOS</t>
  </si>
  <si>
    <t>https://t.co/P1idFFYyZt
Em Tóquio, o índice Nikkei recuou 0,87%, a 33.242 pontos.
#Ações #China</t>
  </si>
  <si>
    <t>https://t.co/Bn3LuzLGjo
O índice Hang Seng, de Hong Kong, avançou 2,51%.
#mercados #ações #China</t>
  </si>
  <si>
    <t>O índice mais amplo de serviços financeiros avançou 1,5%, no maior nível em um mês
https://t.co/cUNLafjWIQ
#AÇÕES #EUROPA #MERCADOS</t>
  </si>
  <si>
    <t>No melhor momento do dia, o Ibovespa chegou a 118.039,15 pontos. Na mínima, a 116.158,89 pontos
https://t.co/rMJeJ2u6Y7
#AÇÕES #IBOVESPA #MERCADOS #PETROBRAS</t>
  </si>
  <si>
    <t>O índice pan-europeu STOXX 600 fechou em alta de 0,39%, a 453,45 pontos, depois de atingir o nível intradiário mais elevado em uma semana
https://t.co/0ASKuXl5Xe
#AÇÕES #EMPRESAS #EUROPA #MERCADOS #ROCHE</t>
  </si>
  <si>
    <t>O Ibovespa subiu 1,54 %, a 116.196,52 pontos, de acordo com dados preliminares.
https://t.co/oC7RoL6nO0
#AÇÕES #IBOVESPA #MERCADOS #VALE</t>
  </si>
  <si>
    <t>https://t.co/iHOQxlEklu
O índice Hang Seng, de Hong Kong, teve baixa de 1,36%
#mercados #ações #china</t>
  </si>
  <si>
    <t>Grandes bancos norte-americanos caíram com um relatório de que a Fitch poderia rebaixar algumas instituições financeiras
https://t.co/h1nhJaTwkF
#AÇÕES #EUA #MERCADOS #WALLSTREET</t>
  </si>
  <si>
    <t>Índice de referência do mercado acionário brasileiro, o Ibovespa caiu 0,47%, a 116.265,62 pontos
https://t.co/OlNrkbqo8a
#AÇÕES #ELETROBRAS #IBOVESPA #MERCADOS #PETROBRAS</t>
  </si>
  <si>
    <t>A bolsa paulista abria com viés de baixa nesta sexta-feira, em meio a uma batelada de resultados corporativos
https://t.co/FFUSY81nAz
#AÇÕES #BRADESCO #EUA #IBOVESPA #MERCADOS #PETROBRAS</t>
  </si>
  <si>
    <t>https://t.co/ilYpRCeMjc
Veja os principais acontecimentos que movimentam os mercados financeiros internacionais na sessão de hoje (26).
#mercados #ações https://t.co/ecTXbeFtAU</t>
  </si>
  <si>
    <t>https://t.co/tfKv9AvBDC
O índice Hang Seng, de Hong Kong, caiu 1,48%
#Mercados #ações #China https://t.co/CHRSx6oRB3</t>
  </si>
  <si>
    <t>https://t.co/lZLBRZp0r4
O índice Hang Seng, de Hong Kong, caiu 0,62%.
#Mercados #Ações #China</t>
  </si>
  <si>
    <t>A 2W, então geradora e comercializadora de energia, chegou a tentar avançar com um IPO em 2020
https://t.co/G5vfwx49xh
#2WECOBANK #AÇÕES #BTGPACTUAL #IPO #ITAÚBBA #MERCADOS #SANTANDER</t>
  </si>
  <si>
    <t>https://t.co/fqpcnZVC47
O Nikkei caiu 2,06%, encerrando em 31.622,28, em sua maior queda diária em mais de três semanas, mas ainda registrou um ganho semanal de 0,55%.
#Mercados #ações</t>
  </si>
  <si>
    <t>O índice de tecnologia Nasdaq (US100) recuou 1,15%, para 13.474,45 pontos
https://t.co/NAuHlxZStB
#AÇÕES #FEDERALRESERVE #MERCADOS #WALLSTREET</t>
  </si>
  <si>
    <t>https://t.co/mYbTP5bqz4
O índice Hang Seng, de Hong Kong, caiu 1,36%.
#Mercados #ações #China https://t.co/xg4pQXA5vA</t>
  </si>
  <si>
    <t>O NN Group caiu 18,8%, enquanto a ASR teve queda de 14,2%
https://t.co/Dk5iVvu3CS
#acoes #mercados https://t.co/sK4D8qXKrn</t>
  </si>
  <si>
    <t>https://t.co/D2EjTQVYCq
O índice CSI300, que reúne as maiores companhias listadas em Xangai e Shenzhen, fechou com queda de 0,65%, enquanto o índice de Xangai teve baixa 0,54%
#Mercados #Ações #China</t>
  </si>
  <si>
    <t>https://t.co/WpmFt46jGp
O índice Hang Seng, de Hong Kong, avançou 2,28%, liderado por ações de tecnologia.
#Mercados #Ações #China</t>
  </si>
  <si>
    <t>A ação da fabricante de chips, no qual o Softbank detém uma fatia de cerca de 90%, fechou em 63,59 dólares na quinta-feira
https://t.co/ylD0hc5y0V
#AÇÕES #ARM #EMPRESAS #MERCADOS</t>
  </si>
  <si>
    <t>https://t.co/tdOYGGRsPb
A companhia também aprovou a emissão de quatro bônus de subscrição para cada cinco novas ações adquiridas na oferta.
#Ações #CasaBahia</t>
  </si>
  <si>
    <t>https://t.co/8UgTE49GNz
O índice Hang Seng, de Hong Kong, teve queda de 0,39%
#Mercados #Ações #China</t>
  </si>
  <si>
    <t>Alibaba: ações caem após ex-CEO abandonar unidade de nuvem antes de IPO - https://t.co/3m7wG6EcEZ #Alibaba #Ações #CEO #IPO</t>
  </si>
  <si>
    <t>UBS: executivos do banco já venderam mais de US$ 15 milhões em ações em setembro - https://t.co/W0S6RSiCax #Bancos #UBS #Ações</t>
  </si>
  <si>
    <t>Ações de fornecedores da Apple caem com restrição na China e ameaça da Huawei - https://t.co/IIdVXwMBwH #Apple #Ações #Mercados</t>
  </si>
  <si>
    <t>https://t.co/UGwJqEubeI
Na semana, o índice CSI300 perdeu 1,4% e o índice Hang Seng de Hong Kong caiu 1%.
#mercados #ações #China</t>
  </si>
  <si>
    <t>O plano, que está sujeito à aprovação de acionistas e debenturistas, envolve uma troca de ações entre a Vitru Limited e a Vitru Brasil
https://t.co/B7MB9Wf0qB
#AÇÕES #B3 #EMPRESAS #NASDAQ</t>
  </si>
  <si>
    <t>Veja as 10 ações que podem reagir às quedas da Selic, segundo a correlação com o DI de um dia - https://t.co/glXwmVXzuE #Investimentos #Ações #Selic</t>
  </si>
  <si>
    <t>O lote adicional seria para venda de ações por acionistas, informou a Plano &amp;amp; Plano
https://t.co/tNTVwcyBze
#AÇÕES #BRADESCOBBI #BTGPACTUAL #CONSTRUÇÃOCIVIL #EMPRESA #PLANO&amp;amp;PLANO #SETORIMOBILIÁRIO #XPINVESTIMENTOS</t>
  </si>
  <si>
    <t>De acordo com dados preliminares, o S&amp;amp;P 500 (SPX) teve variação positiva de 0,03%, para 4.469,05 pontos
https://t.co/ilTvuVrxzD
#AÇÕES #DOWJONES #MERCADOS #NASDAQ #SP #WALLSTREET</t>
  </si>
  <si>
    <t>Em mais um dia repleto de resultados corporativos, Grupo Soma (SOMA3) e Rede D'Or (RDOR3) ficaram entre as maiores perdas
https://t.co/sXrZI2qE9I
#AÇÕES #AZUL #GRUPOSOMA #HAPVIDA #IBOVESPA #MERCADOS #REDEDOR #VALE</t>
  </si>
  <si>
    <t>#acoes   #açougue   #acre   #acupuntura   #acupunturista   #Adamantina #Adubacao    #aeromoca   #aes   #agenda   #agilidade   #Agricultura
https://t.co/e2tINFF9cv https://t.co/Ay4LlRUsin</t>
  </si>
  <si>
    <t>Você segue alguma carteira recomendada? 
Confira as carteiras recomendadas no app do TC. Baixe gratuitamente aqui: https://t.co/1cczQWWI8k
#ações #investidor #mercadofinanceiro
Opinião por: Filipe Villegas https://t.co/tzqhF6qwwa</t>
  </si>
  <si>
    <t>Você já faz o dinheiro trabalhar para você? #ações #mercadofinanceiro #dinheiro #pobreza
Opinião por: Louise Barsi https://t.co/b5uF3gXNQU</t>
  </si>
  <si>
    <t>“Escolha uma ação e compre sem olhar o preço”. Você tem apetite para risco? #ações #mercadofinanceiro
Opinião por: Jansen https://t.co/42uSzSsVD0</t>
  </si>
  <si>
    <t>RT @tcinvestimentos: “Escolha uma ação e compre sem olhar o preço”. Você tem apetite para risco? #ações #mercadofinanceiro
Opinião por: Jan…</t>
  </si>
  <si>
    <t>Os principais índices de ações apresentaram uma alta moderada. Esta semana é marcada pela reunião do Fomc do Fed, onde será decidida a taxa de juros básica. #Ações #Fomc #Fed</t>
  </si>
  <si>
    <t>No one is watching this but I am   
 @polkabridge @polkadot     #binance                        #investimento
#investidor
#finanças
#mercado
#ações
#bolsadevalores
#investir
#dinheiro
#renda
#negócios https://t.co/jkNzpbwMW7</t>
  </si>
  <si>
    <t>“Ter ações é como ter crianças, não se envolva com mais do que você consegue lidar.”
Peter Lynch
#economia #investimentos #dinheiro #mercadofinanceiro #frasedodia #pensamentos #financas #educaçãofinanceira #comportamento  #bolsadevalores #acoes #xp #finanças #PeterLynch https://t.co/u2eAJhiKy8</t>
  </si>
  <si>
    <t>Fechamento do dia 26/05/2023 - Ações 
⬇  Maiores Baixas: 
• #CIEL3:   (-3,19%)   R$ 4,85 
• #ASAI3:   (-1,97%)   R$ 11,40 
• #RRRP3:   (-1,72%)   R$ 30,70 
 Mercado de #Acoes: 
 (https://t.co/qpLh6TqP0T)</t>
  </si>
  <si>
    <t>Fechamento do dia 26/05/2023 - Ações 
⬆  Maiores Altas: 
• #CVCB3:   (+11,19%)   R$ 2,98 
• #GOLL4:   (+6,65%)   R$ 8,33 
• #DXCO3:   (+5,78%)   R$ 8,59 
 Mercado de #Acoes: 
 (https://t.co/qpLh6TqP0T)</t>
  </si>
  <si>
    <t>Fechamento do dia 15/05/2023 - Ações 
⬇  Maiores Baixas: 
• #BRKM5:   (-6,70%)   R$ 22,69 
• #BBSE3:   (-5,91%)   R$ 32,14 
• #RAIZ4:   (-4,55%)   R$ 3,14 
 Mercado de #Acoes: 
 (https://t.co/qpLh6TqP0T)</t>
  </si>
  <si>
    <t>Fechamento do dia 15/05/2023 - Ações 
⬆  Maiores Altas: 
• #EZTC3:   (+4,91%)   R$ 15,81 
• #KLBN11:   (+4,53%)   R$ 20,96 
• #GOLL4:   (+4,07%)   R$ 7,67 
 Mercado de #Acoes: 
 (https://t.co/qpLh6TqP0T)</t>
  </si>
  <si>
    <t>Fechamento do dia 02/05/2023 - Ações 
⬇  Maiores Baixas: 
• #VBBR3:   (-6,59%)   R$ 12,33 
• #PETZ3:   (-6,48%)   R$ 5,77 
• #BPAN4:   (-6,15%)   R$ 5,03 
 Mercado de #Acoes: 
 (https://t.co/qpLh6TqP0T)</t>
  </si>
  <si>
    <t>Fechamento do dia 02/05/2023 - Ações 
⬆  Maiores Altas: 
• #SUZB3:   (+2,21%)   R$ 40,68 
• #RADL3:   (+1,21%)   R$ 26,60 
• #HAPV3:   (+1,08%)   R$ 2,79 
 Mercado de #Acoes: 
 (https://t.co/qpLh6TqP0T)</t>
  </si>
  <si>
    <t>Fechamento dia 04/08/2023 - #Ações 
⬇  Maiores Baixas: 
• #CRFB3:   (-6,75%)   R$ 12,00 
• #BBDC4:   (-6,64%)   R$ 15,45 
• #EMBR3:   (-4,99%)   R$ 17,50 
 ↓ Detalhes do Mercado: 
 https://t.co/qpLh6TqP0T</t>
  </si>
  <si>
    <t>Fechamento dia 04/08/2023 - #Ações 
⬆  Maiores Altas: 
• #DXCO3:   (+6,37%)   R$ 9,35 
• #BRFS3:   (+6,09%)   R$ 10,27 
• #LREN3:   (+5,76%)   R$ 19,62 
 ↓ Detalhes do Mercado: 
 https://t.co/qpLh6TqP0T</t>
  </si>
  <si>
    <t>Fechamento do dia 09/06/2023 - Ações 
⬇  Maiores Baixas: 
• #IGTI11:   (-2,17%)   R$ 22,09 
• #DXCO3:   (-1,92%)   R$ 8,68 
• #RRRP3:   (-1,83%)   R$ 32,57 
 Mercado de #Acoes: 
 (https://t.co/qpLh6TqP0T)</t>
  </si>
  <si>
    <t>Fechamento do dia 09/06/2023 - Ações 
⬆  Maiores Altas: 
• #CVCB3:   (+9,85%)   R$ 4,57 
• #GOLL4:   (+7,28%)   R$ 10,31 
• #PETR4:   (+4,88%)   R$ 30,28 
 Mercado de #Acoes: 
 (https://t.co/qpLh6TqP0T)</t>
  </si>
  <si>
    <t>Fechamento do dia 24/05/2023 - Ações 
⬇  Maiores Baixas: 
• #CVCB3:   (-7,56%)   R$ 2,81 
• #DXCO3:   (-6,39%)   R$ 7,90 
• #BRFS3:   (-5,54%)   R$ 7,32 
 Mercado de #Acoes: 
 (https://t.co/qpLh6TqP0T)</t>
  </si>
  <si>
    <t>Fechamento do dia 24/05/2023 - Ações 
⬆  Maiores Altas: 
• #PETZ3:   (+2,73%)   R$ 7,50 
• #CASH3:   (+2,38%)   R$ 0,86 
• #BBSE3:   (+1,94%)   R$ 31,37 
 Mercado de #Acoes: 
 (https://t.co/qpLh6TqP0T)</t>
  </si>
  <si>
    <t>Fechamento do dia 08/05/2023 - Ações 
⬇  Maiores Baixas: 
• #SLCE3:   (-6,79%)   R$ 39,49 
• #IGTI11:   (-2,68%)   R$ 20,65 
• #JBSS3:   (-2,62%)   R$ 17,80 
 Mercado de #Acoes: 
 (https://t.co/qpLh6TqP0T)</t>
  </si>
  <si>
    <t>Fechamento do dia 08/05/2023 - Ações 
⬆  Maiores Altas: 
• #ALPA4:   (+7,44%)   R$ 9,24 
• #CRFB3:   (+7,25%)   R$ 9,46 
• #BRFS3:   (+7,01%)   R$ 7,02 
 Mercado de #Acoes: 
 (https://t.co/qpLh6TqP0T)</t>
  </si>
  <si>
    <t>Ranking #B3 do dia 01/09/2023
Empresas com maior percentual de ações alugadas: 
• #MRFG3: 26.6448%
• #MOVI3: 25.4014%
• #VIIA3: 22.9018%
• #CVCB3: 21.6628%
• #EZTC3: 20.7665%
↓ Visualizar Mercado de #Ações:
https://t.co/74H4ksUzFF)</t>
  </si>
  <si>
    <t>Fechamento dia 30/08/2023 - #Ações 
⬇  Maiores Baixas: 
• #VIIA3:   (-6,99%)   R$ 1,33 
• #IRBR3:   (-5,19%)   R$ 45,04 
• #ALPA4:   (-4,96%)   R$ 9,00 
 ↓ Detalhes do Mercado: 
 https://t.co/qpLh6TqP0T</t>
  </si>
  <si>
    <t>Fechamento dia 30/08/2023 - #Ações 
⬆  Maiores Altas: 
• #CVCB3:   (+17,09%)   R$ 2,74 
• #DXCO3:   (+3,03%)   R$ 8,50 
• #CMIN3:   (+2,83%)   R$ 4,35 
 ↓ Detalhes do Mercado: 
 https://t.co/qpLh6TqP0T</t>
  </si>
  <si>
    <t>Fechamento dia 18/08/2023 - #Ações 
⬇  Maiores Baixas: 
• #RDOR3:   (-1,84%)   R$ 29,74 
• #WEGE3:   (-1,76%)   R$ 36,26 
• #ARZZ3:   (-1,44%)   R$ 79,11 
 ↓ Detalhes do Mercado: 
 https://t.co/qpLh6TqP0T</t>
  </si>
  <si>
    <t>Fechamento dia 18/08/2023 - #Ações 
⬆  Maiores Altas: 
• #MGLU3:   (+6,38%)   R$ 3,00 
• #CRFB3:   (+5,23%)   R$ 11,85 
• #PETZ3:   (+3,91%)   R$ 5,31 
 ↓ Detalhes do Mercado: 
 https://t.co/qpLh6TqP0T</t>
  </si>
  <si>
    <t>Fechamento dia 09/08/2023 - #Ações 
⬇  Maiores Baixas: 
• #CVCB3:   (-7,98%)   R$ 2,65 
• #PETZ3:   (-6,96%)   R$ 6,01 
• #AZUL4:   (-5,36%)   R$ 16,59 
 ↓ Detalhes do Mercado: 
 https://t.co/qpLh6TqP0T</t>
  </si>
  <si>
    <t>Fechamento dia 09/08/2023 - #Ações 
⬆  Maiores Altas: 
• #VIIA3:   (+3,27%)   R$ 1,89 
• #SMTO3:   (+3,22%)   R$ 34,28 
• #RAIL3:   (+2,31%)   R$ 23,86 
 ↓ Detalhes do Mercado: 
 https://t.co/qpLh6TqP0T</t>
  </si>
  <si>
    <t>Fechamento do dia 07/06/2023 - Ações 
⬇  Maiores Baixas: 
• #IRBR3:   (-6,24%)   R$ 38,29 
• #AZUL4:   (-3,51%)   R$ 19,49 
• #CMIN3:   (-3,35%)   R$ 4,61 
 Mercado de #Acoes: 
 (https://t.co/qpLh6TqP0T)</t>
  </si>
  <si>
    <t>Fechamento do dia 07/06/2023 - Ações 
⬆  Maiores Altas: 
• #ENEV3:   (+4,56%)   R$ 12,14 
• #YDUQ3:   (+3,91%)   R$ 16,74 
• #CRFB3:   (+3,46%)   R$ 11,36 
 Mercado de #Acoes: 
 (https://t.co/qpLh6TqP0T)</t>
  </si>
  <si>
    <t>Fechamento do dia 06/06/2023 - Ações 
⬇  Maiores Baixas: 
• #PRIO3:   (-3,02%)   R$ 34,28 
• #CIEL3:   (-2,54%)   R$ 4,60 
• #SMTO3:   (-1,04%)   R$ 37,80 
 Mercado de #Acoes: 
 (https://t.co/qpLh6TqP0T)</t>
  </si>
  <si>
    <t>Fechamento do dia 06/06/2023 - Ações 
⬆  Maiores Altas: 
• #ASAI3:   (+14,69%)   R$ 12,80 
• #CRFB3:   (+10,90%)   R$ 10,98 
• #AZUL4:   (+10,50%)   R$ 20,20 
 Mercado de #Acoes: 
 (https://t.co/qpLh6TqP0T)</t>
  </si>
  <si>
    <t>Fechamento do dia 22/05/2023 - Ações 
⬇  Maiores Baixas: 
• #CIEL3:   (-3,71%)   R$ 5,19 
• #MRVE3:   (-3,35%)   R$ 9,50 
• #BRKM5:   (-3,22%)   R$ 23,40 
 Mercado de #Acoes: 
 (https://t.co/qpLh6TqP0T)</t>
  </si>
  <si>
    <t>Fechamento do dia 22/05/2023 - Ações 
⬆  Maiores Altas: 
• #ALPA4:   (+17,41%)   R$ 10,52 
• #AZUL4:   (+9,37%)   R$ 15,40 
• #COGN3:   (+7,22%)   R$ 2,67 
 Mercado de #Acoes: 
 (https://t.co/qpLh6TqP0T)</t>
  </si>
  <si>
    <t>Fechamento do dia 05/05/2023 - Ações 
⬇  Maiores Baixas: 
• #ASAI3:   (-8,53%)   R$ 10,50 
• #EMBR3:   (-2,48%)   R$ 16,50 
• #CMIG4:   (-2,38%)   R$ 11,87 
 Mercado de #Acoes: 
 (https://t.co/qpLh6TqP0T)</t>
  </si>
  <si>
    <t>Fechamento do dia 05/05/2023 - Ações 
⬆  Maiores Altas: 
• #BRKM5:   (+23,62%)   R$ 23,76 
• #PETZ3:   (+15,99%)   R$ 6,89 
• #ALPA4:   (+11,97%)   R$ 8,60 
 Mercado de #Acoes: 
 (https://t.co/qpLh6TqP0T)</t>
  </si>
  <si>
    <t>Fechamento do dia 04/05/2023 - Ações 
⬇  Maiores Baixas: 
• #EMBR3:   (-9,71%)   R$ 16,92 
• #CSNA3:   (-6,22%)   R$ 12,06 
• #CRFB3:   (-4,86%)   R$ 9,00 
 Mercado de #Acoes: 
 (https://t.co/qpLh6TqP0T)</t>
  </si>
  <si>
    <t>Fechamento do dia 04/05/2023 - Ações 
⬆  Maiores Altas: 
• #UGPA3:   (+11,80%)   R$ 16,19 
• #DXCO3:   (+7,28%)   R$ 6,48 
• #MGLU3:   (+6,88%)   R$ 3,57 
 Mercado de #Acoes: 
 (https://t.co/qpLh6TqP0T)</t>
  </si>
  <si>
    <t>Fechamento do dia 03/05/2023 - Ações 
⬇  Maiores Baixas: 
• #CRFB3:   (-9,38%)   R$ 9,46 
• #IRBR3:   (-6,76%)   R$ 31,83 
• #ARZZ3:   (-5,52%)   R$ 60,40 
 Mercado de #Acoes: 
 (https://t.co/qpLh6TqP0T)</t>
  </si>
  <si>
    <t>Fechamento do dia 03/05/2023 - Ações 
⬆  Maiores Altas: 
• #GOLL4:   (+5,97%)   R$ 6,92 
• #DXCO3:   (+5,04%)   R$ 6,04 
• #AZUL4:   (+4,92%)   R$ 11,30 
 Mercado de #Acoes: 
 (https://t.co/qpLh6TqP0T)</t>
  </si>
  <si>
    <t>Ranking #B3 do dia 11/09/2023.
Empresas com maior percentual de ações alugadas: 
• #MOVI3: 25.0173%
• #CVCB3: 24.1310%
• #MRFG3: 21.6377%
• #VIIA3: 21.4994%
• #RRRP3: 21.2405%
↓ Visualizar Mercado de #Ações
https://t.co/74H4ksUzFF</t>
  </si>
  <si>
    <t>Fechamento dia 06/09/2023 - #Ações 
⬇  Maiores Baixas: 
• #VAMO3:   (-7,09%)   R$ 10,73 
• #CVCB3:   (-4,93%)   R$ 2,31 
• #IRBR3:   (-4,48%)   R$ 41,30 
 ↓ Detalhes do Mercado: 
 https://t.co/qpLh6TqP0T</t>
  </si>
  <si>
    <t>Fechamento dia 06/09/2023 - #Ações 
⬆  Maiores Altas: 
• #BRKM5:   (+5,39%)   R$ 23,85 
• #VIIA3:   (+2,56%)   R$ 1,20 
• #YDUQ3:   (+2,31%)   R$ 20,33 
 ↓ Detalhes do Mercado: 
 https://t.co/qpLh6TqP0T</t>
  </si>
  <si>
    <t>Ranking #B3 do dia 06/09/2023.
Empresas com maior percentual de ações alugadas: 
• #MOVI3: 25.2561%
• #MRFG3: 23.8042%
• #CVCB3: 23.5444%
• #VIIA3: 23.1321%
• #RRRP3: 20.7617%
↓ Visualizar Mercado de #Ações
https://t.co/74H4ksUzFF</t>
  </si>
  <si>
    <t>Fechamento dia 04/09/2023 - #Ações 
⬇  Maiores Baixas: 
• #MGLU3:   (-2,79%)   R$ 2,78 
• #YDUQ3:   (-2,55%)   R$ 20,57 
• #VIIA3:   (-2,32%)   R$ 1,26 
 ↓ Detalhes do Mercado: 
 https://t.co/qpLh6TqP0T</t>
  </si>
  <si>
    <t>Fechamento dia 04/09/2023 - #Ações 
⬆  Maiores Altas: 
• #BEEF3:   (+4,55%)   R$ 8,95 
• #CASH3:   (+3,93%)   R$ 6,60 
• #IRBR3:   (+3,72%)   R$ 43,47 
 ↓ Detalhes do Mercado: 
 https://t.co/qpLh6TqP0T</t>
  </si>
  <si>
    <t>Ranking #B3 do dia 04/09/2023.
Empresas com maior percentual de ações alugadas: 
• #MRFG3: 25.6431%
• #MOVI3: 25.5210%
• #CVCB3: 24.8749%
• #VIIA3: 22.2614%
• #EZTC3: 21.3671%
↓ Visualizar Mercado de #Ações
https://t.co/74H4ksUzFF</t>
  </si>
  <si>
    <t>Fechamento dia 25/08/2023 - #Ações 
⬇  Maiores Baixas: 
• #PCAR3:   (-7,23%)   R$ 5,90 
• #CVCB3:   (-6,58%)   R$ 2,27 
• #MRVE3:   (-5,57%)   R$ 12,19 
 ↓ Detalhes do Mercado: 
 https://t.co/qpLh6TqP0T</t>
  </si>
  <si>
    <t>Fechamento dia 25/08/2023 - #Ações 
⬆  Maiores Altas: 
• #SMTO3:   (+4,01%)   R$ 36,50 
• #SLCE3:   (+1,89%)   R$ 39,83 
• #RAIZ4:   (+1,60%)   R$ 3,79 
 ↓ Detalhes do Mercado: 
 https://t.co/qpLh6TqP0T</t>
  </si>
  <si>
    <t>Fechamento dia 17/08/2023 - #Ações 
⬇  Maiores Baixas: 
• #VIIA3:   (-6,14%)   R$ 1,68 
• #SMTO3:   (-5,40%)   R$ 32,22 
• #MGLU3:   (-5,05%)   R$ 2,82 
 ↓ Detalhes do Mercado: 
 https://t.co/qpLh6TqP0T</t>
  </si>
  <si>
    <t>Fechamento dia 17/08/2023 - #Ações 
⬆  Maiores Altas: 
• #CIEL3:   (+2,67%)   R$ 3,84 
• #ELET3:   (+2,15%)   R$ 34,63 
• #BEEF3:   (+1,53%)   R$ 10,60 
 ↓ Detalhes do Mercado: 
 https://t.co/qpLh6TqP0T</t>
  </si>
  <si>
    <t>Fechamento dia 08/08/2023 - #Ações 
⬇  Maiores Baixas: 
• #PETZ3:   (-6,10%)   R$ 6,46 
• #DXCO3:   (-5,36%)   R$ 9,00 
• #CASH3:   (-3,39%)   R$ 8,54 
 ↓ Detalhes do Mercado: 
 https://t.co/qpLh6TqP0T</t>
  </si>
  <si>
    <t>Fechamento dia 08/08/2023 - #Ações 
⬆  Maiores Altas: 
• #HAPV3:   (+6,07%)   R$ 5,06 
• #YDUQ3:   (+3,99%)   R$ 22,66 
• #ALPA4:   (+3,27%)   R$ 9,45 
 ↓ Detalhes do Mercado: 
 https://t.co/qpLh6TqP0T</t>
  </si>
  <si>
    <t>Fechamento dia 07/08/2023 - #Ações 
⬆  Maiores Altas: 
• #ENBR3:   (+2,75%)   R$ 24,59 
• #BBSE3:   (+2,38%)   R$ 32,26 
• #EMBR3:   (+2,17%)   R$ 17,88 
 ↓ Detalhes do Mercado: 
 https://t.co/qpLh6TqP0T</t>
  </si>
  <si>
    <t>Fechamento do dia 12/06/2023 - Ações 
⬇  Maiores Baixas: 
• #PRIO3:   (-3,88%)   R$ 33,14 
• #SANB11:   (-3,24%)   R$ 29,82 
• #HAPV3:   (-2,83%)   R$ 4,12 
 Mercado de #Acoes: 
 (https://t.co/qpLh6TqP0T)</t>
  </si>
  <si>
    <t>Fechamento do dia 12/06/2023 - Ações 
⬆  Maiores Altas: 
• #BRKM5:   (+6,01%)   R$ 27,15 
• #ASAI3:   (+5,86%)   R$ 13,72 
• #LREN3:   (+4,53%)   R$ 22,82 
 Mercado de #Acoes: 
 (https://t.co/qpLh6TqP0T)</t>
  </si>
  <si>
    <t>Fechamento do dia 31/05/2023 - Ações 
⬇  Maiores Baixas: 
• #ASAI3:   (-4,18%)   R$ 10,75 
• #TIMS3:   (-2,85%)   R$ 13,96 
• #CPFE3:   (-2,54%)   R$ 30,28 
 Mercado de #Acoes: 
 (https://t.co/qpLh6TqP0T)</t>
  </si>
  <si>
    <t>Fechamento do dia 31/05/2023 - Ações 
⬆  Maiores Altas: 
• #CVCB3:   (+13,42%)   R$ 3,38 
• #BRFS3:   (+11,82%)   R$ 8,13 
• #MRFG3:   (+6,24%)   R$ 6,64 
 Mercado de #Acoes: 
 (https://t.co/qpLh6TqP0T)</t>
  </si>
  <si>
    <t>Fechamento do dia 30/05/2023 - Ações 
⬇  Maiores Baixas: 
• #CVCB3:   (-3,87%)   R$ 2,98 
• #CSNA3:   (-3,76%)   R$ 12,00 
• #PETZ3:   (-3,72%)   R$ 7,24 
 Mercado de #Acoes: 
 (https://t.co/qpLh6TqP0T)</t>
  </si>
  <si>
    <t>Fechamento do dia 30/05/2023 - Ações 
⬆  Maiores Altas: 
• #IRBR3:   (+4,31%)   R$ 38,71 
• #HAPV3:   (+4,10%)   R$ 4,06 
• #RAIZ4:   (+1,98%)   R$ 3,60 
 Mercado de #Acoes: 
 (https://t.co/qpLh6TqP0T)</t>
  </si>
  <si>
    <t>Fechamento do dia 29/05/2023 - Ações 
⬇  Maiores Baixas: 
• #VBBR3:   (-3,91%)   R$ 16,45 
• #BRFS3:   (-2,89%)   R$ 7,38 
• #FLRY3:   (-2,30%)   R$ 16,10 
 Mercado de #Acoes: 
 (https://t.co/qpLh6TqP0T)</t>
  </si>
  <si>
    <t>Fechamento do dia 29/05/2023 - Ações 
⬆  Maiores Altas: 
• #CVCB3:   (+4,02%)   R$ 3,10 
• #COGN3:   (+3,26%)   R$ 2,85 
• #EZTC3:   (+2,45%)   R$ 17,56 
 Mercado de #Acoes: 
 (https://t.co/qpLh6TqP0T)</t>
  </si>
  <si>
    <t>Fechamento do dia 28/04/2023 - Ações 
⬇  Maiores Baixas: 
• #ELET6:   (-1,13%)   R$ 36,41 
• #LWSA3:   (-1,12%)   R$ 5,26 
• #SBSP3:   (-0,64%)   R$ 46,13 
 Mercado de #Acoes: 
 (https://t.co/qpLh6TqP0T)</t>
  </si>
  <si>
    <t>Fechamento do dia 28/04/2023 - Ações 
⬆  Maiores Altas: 
• #GOLL4:   (+9,03%)   R$ 6,64 
• #BRFS3:   (+8,93%)   R$ 6,34 
• #HAPV3:   (+7,81%)   R$ 2,76 
 Mercado de #Acoes: 
 (https://t.co/qpLh6TqP0T)</t>
  </si>
  <si>
    <t>Fechamento do dia 27/04/2023 - Ações 
⬇  Maiores Baixas: 
• #PETZ3:   (-4,87%)   R$ 6,05 
• #PCAR3:   (-3,70%)   R$ 14,54 
• #SBSP3:   (-3,12%)   R$ 46,43 
 Mercado de #Acoes: 
 (https://t.co/qpLh6TqP0T)</t>
  </si>
  <si>
    <t>Fechamento do dia 27/04/2023 - Ações 
⬆  Maiores Altas: 
• #RRRP3:   (+11,91%)   R$ 30,44 
• #MRVE3:   (+8,58%)   R$ 7,08 
• #SOMA3:   (+4,26%)   R$ 8,06 
 Mercado de #Acoes: 
 (https://t.co/qpLh6TqP0T)</t>
  </si>
  <si>
    <t>RT @falkcapital: Fechamento dia 20/09/2023 - #Ações
🟢 Maiores Altas ↑
• #AZUL4: R$15,11 (+11,67%)
• #CVCB3: R$2,40 (+7,62%)
• #GOLL4: R$6,…</t>
  </si>
  <si>
    <t>Fechamento dia 01/09/2023 - #Ações 
⬇  Maiores Baixas: 
• #CASH3:   (-5,50%)   R$ 6,35 
• #IRBR3:   (-2,44%)   R$ 41,91 
• #MRFG3:   (-0,67%)   R$ 7,36 
 ↓ Detalhes do Mercado: 
 https://t.co/qpLh6TqP0T</t>
  </si>
  <si>
    <t>Fechamento dia 21/08/2023 - #Ações 
⬇  Maiores Baixas: 
• #IRBR3:   (-9,23%)   R$ 39,70 
• #CRFB3:   (-4,13%)   R$ 11,36 
• #YDUQ3:   (-3,85%)   R$ 21,32 
 ↓ Detalhes do Mercado: 
 https://t.co/qpLh6TqP0T</t>
  </si>
  <si>
    <t>Fechamento dia 21/08/2023 - #Ações 
⬆  Maiores Altas: 
• #PETZ3:   (+2,44%)   R$ 5,44 
• #MGLU3:   (+1,66%)   R$ 3,05 
• #CMIG4:   (+1,66%)   R$ 12,21 
 ↓ Detalhes do Mercado: 
 https://t.co/qpLh6TqP0T</t>
  </si>
  <si>
    <t>Fechamento dia 14/08/2023 - #Ações 
⬇  Maiores Baixas: 
• #YDUQ3:   (-14,45%)   R$ 20,53 
• #VIIA3:   (-7,02%)   R$ 1,72 
• #PETZ3:   (-6,38%)   R$ 5,57 
 ↓ Detalhes do Mercado: 
 https://t.co/qpLh6TqP0T</t>
  </si>
  <si>
    <t>Fechamento dia 14/08/2023 - #Ações 
⬆  Maiores Altas: 
• #ALPA4:   (+1,50%)   R$ 10,09 
• #SUZB3:   (+1,49%)   R$ 50,92 
• #CPFE3:   (+1,19%)   R$ 35,60 
 ↓ Detalhes do Mercado: 
 https://t.co/qpLh6TqP0T</t>
  </si>
  <si>
    <t>Fechamento do dia 01/06/2023 - Ações 
⬇  Maiores Baixas: 
• #ENGI11:   (-3,26%)   R$ 42,60 
• #JBSS3:   (-2,32%)   R$ 16,41 
• #TIMS3:   (-1,43%)   R$ 13,76 
 Mercado de #Acoes: 
 (https://t.co/qpLh6TqP0T)</t>
  </si>
  <si>
    <t>Fechamento do dia 01/06/2023 - Ações 
⬆  Maiores Altas: 
• #LWSA3:   (+11,87%)   R$ 8,57 
• #CVCB3:   (+7,39%)   R$ 3,63 
• #B3SA3:   (+7,35%)   R$ 14,30 
 Mercado de #Acoes: 
 (https://t.co/qpLh6TqP0T)</t>
  </si>
  <si>
    <t>Fechamento do dia 12/05/2023 - Ações 
⬇  Maiores Baixas: 
• #JBSS3:   (-6,70%)   R$ 16,14 
• #EZTC3:   (-6,45%)   R$ 15,07 
• #BRKM5:   (-4,85%)   R$ 24,32 
 Mercado de #Acoes: 
 (https://t.co/qpLh6TqP0T)</t>
  </si>
  <si>
    <t>Fechamento do dia 12/05/2023 - Ações 
⬆  Maiores Altas: 
• #LWSA3:   (+12,01%)   R$ 6,90 
• #SBSP3:   (+7,26%)   R$ 51,98 
• #PETR3:   (+3,51%)   R$ 29,14 
 Mercado de #Acoes: 
 (https://t.co/qpLh6TqP0T)</t>
  </si>
  <si>
    <t>RT @falkcapital: Fechamento dia 21/09/2023 - #Ações
🟢 Maiores Altas ↑
• #SUZB3: R$56,01 (+2,04%)
• #SBSP3: R$61,69 (+2,03%)
• #NTCO3: R$16…</t>
  </si>
  <si>
    <t>RT @falkcapital: Fechamento dia 19/09/2023 - #Ações
🟢 Maiores Altas ↑
• #MRFG3: R$7,42 (+4,06%)
• #VIIA3: R$0,75 (+2,73%)
• #HAPV3: R$4,50…</t>
  </si>
  <si>
    <t>Agora os fechamentos de mercado dos #Fiis, #Fiagros, #Ações, #BDRs e #ETFs serão enviados no perfil @falkcapital 👈🏽
Vamos destinar esse perfil somente para envio de Oferta Pública de Distribuição de Cotas, Fato Relevante, Comunicado ao Mercado, Relatório Gerencial e Rendimentos.</t>
  </si>
  <si>
    <t>Ranking #B3 do dia 13/09/2023.
Empresas com maior percentual de ações alugadas: 
• #CVCB3: 24.7229%
• #MOVI3: 24.6132%
• #VIIA3: 22.8042%
• #RRRP3: 22.5097%
• #MRFG3: 21.9684%
↓ Visualizar Mercado de #Ações
https://t.co/74H4ksUzFF</t>
  </si>
  <si>
    <t>Ranking #B3 do dia 12/09/2023.
Empresas com maior percentual de ações alugadas: 
• #MOVI3: 25.0378%
• #CVCB3: 24.1019%
• #PETZ3: 23.2685%
• #MRFG3: 22.0393%
• #RRRP3: 21.4212%
↓ Visualizar Mercado de #Ações
https://t.co/74H4ksUzFF</t>
  </si>
  <si>
    <t>Fechamento dia 11/09/2023 - #Ações 
⬇  Maiores Baixas: 
• #BRKM5:   (-3,18%)   R$ 23,38 
• #PETZ3:   (-2,30%)   R$ 5,52 
• #MRFG3:   (-1,84%)   R$ 7,46 
 ↓ Detalhes do Mercado: 
 https://t.co/qpLh6TqP0T</t>
  </si>
  <si>
    <t>Fechamento dia 11/09/2023 - #Ações 
⬆  Maiores Altas: 
• #EZTC3:   (+5,84%)   R$ 22,10 
• #PCAR3:   (+5,22%)   R$ 4,83 
• #CMIN3:   (+4,03%)   R$ 4,38 
 ↓ Detalhes do Mercado: 
 https://t.co/qpLh6TqP0T</t>
  </si>
  <si>
    <t>Ranking #B3 do dia 08/09/2023.
Empresas com maior percentual de ações alugadas: 
• #MOVI3: 24.9495%
• #CVCB3: 23.4468%
• #VIIA3: 21.9389%
• #MRFG3: 21.6281%
• #RRRP3: 21.1910%
↓ Visualizar Mercado de #Ações
https://t.co/74H4ksUzFF</t>
  </si>
  <si>
    <t>Ranking #B3 do dia 07/09/2023.
Empresas com maior percentual de ações alugadas: 
• #MOVI3: 25.2561%
• #MRFG3: 23.8042%
• #CVCB3: 23.5444%
• #VIIA3: 23.1321%
• #RRRP3: 20.7617%
↓ Visualizar Mercado de #Ações
https://t.co/74H4ksUzFF</t>
  </si>
  <si>
    <t>Fechamento dia 05/09/2023 - #Ações 
⬇  Maiores Baixas: 
• #VIIA3:   (-7,14%)   R$ 1,17 
• #CVCB3:   (-5,81%)   R$ 2,43 
• #RECV3:   (-5,48%)   R$ 22,57 
 ↓ Detalhes do Mercado: 
 https://t.co/qpLh6TqP0T</t>
  </si>
  <si>
    <t>Fechamento dia 05/09/2023 - #Ações 
⬆  Maiores Altas: 
• #PETR3:   (+4,60%)   R$ 36,82 
• #ASAI3:   (+4,24%)   R$ 12,77 
• #RAIZ4:   (+3,88%)   R$ 3,74 
 ↓ Detalhes do Mercado: 
 https://t.co/qpLh6TqP0T</t>
  </si>
  <si>
    <t>Ranking #B3 do dia 05/09/2023.
Empresas com maior percentual de ações alugadas: 
• #MRFG3: 25.2900%
• #MOVI3: 25.1930%
• #CVCB3: 24.8738%
• #VIIA3: 23.2804%
• #EZTC3: 20.9234%
↓ Visualizar Mercado de #Ações
https://t.co/74H4ksUzFF</t>
  </si>
  <si>
    <t>Fechamento dia 29/08/2023 - #Ações 
⬇  Maiores Baixas: 
• #BEEF3:   (-18,25%)   R$ 8,91 
• #PCAR3:   (-4,18%)   R$ 5,27 
• #PETZ3:   (-2,78%)   R$ 5,24 
 ↓ Detalhes do Mercado: 
 https://t.co/qpLh6TqP0T</t>
  </si>
  <si>
    <t>Fechamento dia 29/08/2023 - #Ações 
⬆  Maiores Altas: 
• #MRFG3:   (+10,69%)   R$ 7,45 
• #CVCB3:   (+6,36%)   R$ 2,34 
• #LWSA3:   (+4,41%)   R$ 7,09 
 ↓ Detalhes do Mercado: 
 https://t.co/qpLh6TqP0T</t>
  </si>
  <si>
    <t>Fechamento dia 28/08/2023 - #Ações 
⬇  Maiores Baixas: 
• #PCAR3:   (-6,77%)   R$ 5,50 
• #VIIA3:   (-6,45%)   R$ 1,45 
• #CASH3:   (-4,28%)   R$ 6,93 
 ↓ Detalhes do Mercado: 
 https://t.co/qpLh6TqP0T</t>
  </si>
  <si>
    <t>Fechamento dia 28/08/2023 - #Ações 
⬆  Maiores Altas: 
• #BEEF3:   (+4,20%)   R$ 10,90 
• #MRFG3:   (+3,53%)   R$ 6,73 
• #ITUB4:   (+3,38%)   R$ 27,77 
 ↓ Detalhes do Mercado: 
 https://t.co/qpLh6TqP0T</t>
  </si>
  <si>
    <t>Fechamento dia 11/08/2023 - #Ações 
⬇  Maiores Baixas: 
• #LWSA3:   (-8,07%)   R$ 7,17 
• #SOMA3:   (-7,31%)   R$ 9,25 
• #AZUL4:   (-6,42%)   R$ 17,05 
 ↓ Detalhes do Mercado: 
 https://t.co/qpLh6TqP0T</t>
  </si>
  <si>
    <t>Fechamento dia 10/08/2023 - #Ações 
⬇  Maiores Baixas: 
• #SOMA3:   (-7,67%)   R$ 9,98 
• #RRRP3:   (-4,96%)   R$ 35,05 
• #RDOR3:   (-4,92%)   R$ 32,27 
 ↓ Detalhes do Mercado: 
 https://t.co/qpLh6TqP0T</t>
  </si>
  <si>
    <t>Fechamento dia 10/08/2023 - #Ações 
⬆  Maiores Altas: 
• #AZUL4:   (+9,82%)   R$ 18,22 
• #BRKM5:   (+6,84%)   R$ 24,99 
• #GOLL4:   (+6,27%)   R$ 9,66 
 ↓ Detalhes do Mercado: 
 https://t.co/qpLh6TqP0T</t>
  </si>
  <si>
    <t>Fechamento do dia 11/05/2023 - Ações 
⬇  Maiores Baixas: 
• #CMIN3:   (-3,53%)   R$ 4,37 
• #ALPA4:   (-3,42%)   R$ 9,01 
• #LREN3:   (-3,31%)   R$ 16,92 
 Mercado de #Acoes: 
 (https://t.co/qpLh6TqP0T)</t>
  </si>
  <si>
    <t>Fechamento do dia 11/05/2023 - Ações 
⬆  Maiores Altas: 
• #YDUQ3:   (+8,07%)   R$ 12,31 
• #BRFS3:   (+6,09%)   R$ 7,49 
• #AZUL4:   (+5,53%)   R$ 12,97 
 Mercado de #Acoes: 
 (https://t.co/qpLh6TqP0T)</t>
  </si>
  <si>
    <t>Fechamento do dia 10/05/2023 - Ações 
⬇  Maiores Baixas: 
• #CIEL3:   (-3,50%)   R$ 5,51 
• #GGBR4:   (-3,13%)   R$ 24,37 
• #JBSS3:   (-2,75%)   R$ 17,30 
 Mercado de #Acoes: 
 (https://t.co/qpLh6TqP0T)</t>
  </si>
  <si>
    <t>Fechamento do dia 10/05/2023 - Ações 
⬆  Maiores Altas: 
• #YDUQ3:   (+23,80%)   R$ 11,39 
• #COGN3:   (+6,97%)   R$ 2,30 
• #MRVE3:   (+6,53%)   R$ 8,80 
 Mercado de #Acoes: 
 (https://t.co/qpLh6TqP0T)</t>
  </si>
  <si>
    <t>Fechamento do dia 09/05/2023 - Ações 
⬇  Maiores Baixas: 
• #RAIZ4:   (-3,92%)   R$ 3,18 
• #YDUQ3:   (-2,95%)   R$ 9,20 
• #TIMS3:   (-2,85%)   R$ 13,61 
 Mercado de #Acoes: 
 (https://t.co/qpLh6TqP0T)</t>
  </si>
  <si>
    <t>Fechamento do dia 09/05/2023 - Ações 
⬆  Maiores Altas: 
• #NTCO3:   (+15,08%)   R$ 12,97 
• #MGLU3:   (+6,97%)   R$ 4,14 
• #IRBR3:   (+5,49%)   R$ 34,74 
 Mercado de #Acoes: 
 (https://t.co/qpLh6TqP0T)</t>
  </si>
  <si>
    <t>RT @falkcapital: Fechamento dia 25/09/2023 - #Ações
🟢 Maiores Altas ↑
• #CVCB3: R$2,39 (+5,75%)
• #WEGE3: R$36,13 (+4,60%)
• #IRBR3: R$41,…</t>
  </si>
  <si>
    <t>RT @falkcapital: Fechamento dia 22/09/2023 - #Ações
🟢 Maiores Altas ↑
• #BRFS3: R$9,66 (+3,20%)
• #CRFB3: R$9,15 (+2,80%)
• #RADL3: R$27,4…</t>
  </si>
  <si>
    <t>RT @falkcapital: Fechamento dia 18/09/2023 - #Ações
🟢 Maiores Altas ↑
• #BRKM5: R$23,21 (+5,83%)
• #YDUQ3: R$21,21 (+4,74%)
• #BRFS3: R$9,…</t>
  </si>
  <si>
    <t>Fechamento dia 22/08/2023 - #Ações 
⬇  Maiores Baixas: 
• #MRFG3:   (-1,83%)   R$ 6,97 
• #PETZ3:   (-1,47%)   R$ 5,36 
• #CRFB3:   (-0,96%)   R$ 11,25 
 ↓ Detalhes do Mercado: 
 https://t.co/qpLh6TqP0T</t>
  </si>
  <si>
    <t>Fechamento dia 22/08/2023 - #Ações 
⬆  Maiores Altas: 
• #IRBR3:   (+9,14%)   R$ 43,33 
• #VBBR3:   (+7,61%)   R$ 18,94 
• #EZTC3:   (+6,98%)   R$ 24,80 
 ↓ Detalhes do Mercado: 
 https://t.co/qpLh6TqP0T</t>
  </si>
  <si>
    <t>Fechamento dia 15/08/2023 - #Ações 
⬇  Maiores Baixas: 
• #GOLL4:   (-12,50%)   R$ 8,19 
• #AZUL4:   (-6,59%)   R$ 15,85 
• #PETZ3:   (-4,12%)   R$ 5,34 
 ↓ Detalhes do Mercado: 
 https://t.co/qpLh6TqP0T</t>
  </si>
  <si>
    <t>Fechamento dia 15/08/2023 - #Ações 
⬆  Maiores Altas: 
• #VBBR3:   (+7,76%)   R$ 17,62 
• #BRFS3:   (+6,90%)   R$ 10,53 
• #NTCO3:   (+5,48%)   R$ 18,09 
 ↓ Detalhes do Mercado: 
 https://t.co/qpLh6TqP0T</t>
  </si>
  <si>
    <t>Fechamento do dia 02/06/2023 - Ações 
⬇  Maiores Baixas: 
• #VIIA3:   (-10,35%)   R$ 2,25 
• #MGLU3:   (-4,67%)   R$ 3,87 
• #TOTS3:   (-4,18%)   R$ 28,83 
 Mercado de #Acoes: 
 (https://t.co/qpLh6TqP0T)</t>
  </si>
  <si>
    <t>Fechamento do dia 02/06/2023 - Ações 
⬆  Maiores Altas: 
• #CSAN3:   (+7,89%)   R$ 16,53 
• #CSNA3:   (+4,90%)   R$ 12,82 
• #CMIN3:   (+4,47%)   R$ 4,67 
 Mercado de #Acoes: 
 (https://t.co/qpLh6TqP0T)</t>
  </si>
  <si>
    <t>Fechamento do dia 17/05/2023 - Ações 
⬇  Maiores Baixas: 
• #IRBR3:   (-8,39%)   R$ 32,61 
• #BEEF3:   (-2,88%)   R$ 9,10 
• #PETR4:   (-2,43%)   R$ 25,66 
 Mercado de #Acoes: 
 (https://t.co/qpLh6TqP0T)</t>
  </si>
  <si>
    <t>Fechamento do dia 17/05/2023 - Ações 
⬆  Maiores Altas: 
• #AZUL4:   (+14,88%)   R$ 14,20 
• #LREN3:   (+9,65%)   R$ 18,62 
• #GOLL4:   (+9,01%)   R$ 8,10 
 Mercado de #Acoes: 
 (https://t.co/qpLh6TqP0T)</t>
  </si>
  <si>
    <t>Fechamento do dia 16/05/2023 - Ações 
⬇  Maiores Baixas: 
• #MGLU3:   (-22,83%)   R$ 3,38 
• #BRFS3:   (-9,16%)   R$ 6,64 
• #RRRP3:   (-7,53%)   R$ 30,44 
 Mercado de #Acoes: 
 (https://t.co/qpLh6TqP0T)</t>
  </si>
  <si>
    <t>Fechamento do dia 16/05/2023 - Ações 
⬆  Maiores Altas: 
• #HAPV3:   (+8,25%)   R$ 3,41 
• #RDOR3:   (+6,71%)   R$ 27,80 
• #RAIZ4:   (+3,18%)   R$ 3,24 
 Mercado de #Acoes: 
 (https://t.co/qpLh6TqP0T)</t>
  </si>
  <si>
    <t>RT @falkcapital: Fechamento dia 27/09/2023 - #Ações
🟢 Maiores Altas ↑
• #GOLL4: R$6,56 (+7,18%)
• #RECV3: R$20,18 (+4,61%)
• #PETR3: R$37,…</t>
  </si>
  <si>
    <t>RT @falkcapital: Ranking #B3 do dia 27/09/2023.
Empresas com volume financeiro de ações termadas: 
• #VALE3: 491,99M
• #ENGI11: 451,73M
•…</t>
  </si>
  <si>
    <t>RT @falkcapital: Ranking #B3 do dia 21/09/2023.
Empresas com maior percentual de ações alugadas: 
• #CVCB3: 27.6860%
• #MOVI3: 24.8013%
•…</t>
  </si>
  <si>
    <t>RT @falkcapital: Ranking #B3 do dia 21/09/2023.
Empresas com volume financeiro de ações termadas: 
• #VALE3: 494,57M
• #ENGI11: 451,73M
•…</t>
  </si>
  <si>
    <t>RT @falkcapital: Ranking #B3 do dia 20/09/2023.
Empresas com maior percentual de ações alugadas: 
• #VIIA3: 27.4140%
• #CVCB3: 27.0932%
•…</t>
  </si>
  <si>
    <t>RT @falkcapital: Ranking #B3 do dia 19/09/2023.
Empresas com maior percentual de ações alugadas: 
• #VIIA3: 28.0092%
• #CVCB3: 27.1333%
•…</t>
  </si>
  <si>
    <t>Fechamento dia 24/08/2023 - #Ações 
⬇  Maiores Baixas: 
• #AZUL4:   (-5,30%)   R$ 15,34 
• #GOLL4:   (-4,56%)   R$ 7,52 
• #SOMA3:   (-3,96%)   R$ 8,48 
 ↓ Detalhes do Mercado: 
 https://t.co/qpLh6TqP0T</t>
  </si>
  <si>
    <t>Fechamento dia 24/08/2023 - #Ações 
⬆  Maiores Altas: 
• #RAIZ4:   (+3,32%)   R$ 3,73 
• #ALPA4:   (+2,27%)   R$ 9,89 
• #IRBR3:   (+2,01%)   R$ 45,02 
 ↓ Detalhes do Mercado: 
 https://t.co/qpLh6TqP0T</t>
  </si>
  <si>
    <t>Fechamento dia 23/08/2023 - #Ações 
⬇  Maiores Baixas: 
• #PCAR3:   (-19,39%)   R$ 6,56 
• #VIIA3:   (-2,39%)   R$ 1,63 
• #BRFS3:   (-2,31%)   R$ 9,72 
 ↓ Detalhes do Mercado: 
 https://t.co/qpLh6TqP0T</t>
  </si>
  <si>
    <t>Fechamento dia 23/08/2023 - #Ações 
⬆  Maiores Altas: 
• #SMTO3:   (+7,63%)   R$ 34,80 
• #ELET3:   (+7,30%)   R$ 36,70 
• #ELET6:   (+5,91%)   R$ 39,95 
 ↓ Detalhes do Mercado: 
 https://t.co/qpLh6TqP0T</t>
  </si>
  <si>
    <t>Fechamento dia 16/08/2023 - #Ações 
⬇  Maiores Baixas: 
• #NTCO3:   (-8,89%)   R$ 16,48 
• #HAPV3:   (-5,77%)   R$ 4,73 
• #ALPA4:   (-4,98%)   R$ 9,54 
 ↓ Detalhes do Mercado: 
 https://t.co/qpLh6TqP0T</t>
  </si>
  <si>
    <t>Fechamento dia 16/08/2023 - #Ações 
⬆  Maiores Altas: 
• #IRBR3:   (+11,85%)   R$ 44,25 
• #MGLU3:   (+7,22%)   R$ 2,97 
• #VIIA3:   (+5,91%)   R$ 1,79 
 ↓ Detalhes do Mercado: 
 https://t.co/qpLh6TqP0T</t>
  </si>
  <si>
    <t>Fechamento do dia 05/06/2023 - Ações 
⬇  Maiores Baixas: 
• #ENEV3:   (-4,01%)   R$ 11,48 
• #ASAI3:   (-2,95%)   R$ 11,16 
• #PCAR3:   (-2,05%)   R$ 16,65 
 Mercado de #Acoes: 
 (https://t.co/qpLh6TqP0T)</t>
  </si>
  <si>
    <t>Fechamento do dia 05/06/2023 - Ações 
⬆  Maiores Altas: 
• #CVCB3:   (+10,83%)   R$ 3,99 
• #YDUQ3:   (+2,33%)   R$ 15,32 
• #NTCO3:   (+2,14%)   R$ 14,73 
 Mercado de #Acoes: 
 (https://t.co/qpLh6TqP0T)</t>
  </si>
  <si>
    <t>Fechamento do dia 19/05/2023 - Ações 
⬇  Maiores Baixas: 
• #COGN3:   (-3,11%)   R$ 2,49 
• #AZUL4:   (-2,89%)   R$ 14,08 
• #GOLL4:   (-2,63%)   R$ 7,77 
 Mercado de #Acoes: 
 (https://t.co/qpLh6TqP0T)</t>
  </si>
  <si>
    <t>Fechamento do dia 19/05/2023 - Ações 
⬆  Maiores Altas: 
• #MRVE3:   (+7,54%)   R$ 9,83 
• #RAIZ4:   (+6,34%)   R$ 3,69 
• #MRFG3:   (+5,33%)   R$ 6,91 
 Mercado de #Acoes: 
 (https://t.co/qpLh6TqP0T)</t>
  </si>
  <si>
    <t>Desenvolvendo a funcionalidade de buscar os comunicados e fatos relevantes de Ações, BDRs &amp;amp; ETFs para o robô @falkalertas 🤖</t>
  </si>
  <si>
    <t>Aparentemente tudo rodando liso. Agora @falkalertas está com divulgando comunicados e fatos relevantes de #Ações, #BDRs e #ETFs.
OBS: #ITUB4 vai pagar JCP 🤑👇🏽 https://t.co/3m1dqU6aL8</t>
  </si>
  <si>
    <t>Gmail recebe novos avisos sobre ações confidenciais realizadas #Notícias #ações #avisos #confidenciais #Gmail  https://t.co/i3bnMJ8EqV</t>
  </si>
  <si>
    <t>Como DECLARAR BDR, AÇÕES e FUNDOS IMOBILIARIOS e RENDIMENTOS, PREJUIZO https://t.co/VCuerHy2vN via @YouTube #ações #fundosimobiliarios #fii #fiis #rendavariavel #alugueldeações #alugueldeação #emprestimodeativo #emprestimosdeativos #reembolsosdeativos #proventos #dividentos #b3</t>
  </si>
  <si>
    <t>Esse mês começo a investir 500/mês em FIIs, fundos imobiliários.
Vamos vê o que acontece em 5 anos. 
Maio/2023
#FIIs 
#fundosimobiliarios 
#ações 
#Ibovespa 
#dividendos</t>
  </si>
  <si>
    <t>Amanhã a taxa de juros deve começar a cair. Quais papéis tendem a ser mais beneficiados no primeiro momento ? #ações #investimentos #lren3 #mglu3 #vvar3 #inbr32 #mrve3 #lpsb3 https://t.co/Z7Kok58bUi</t>
  </si>
  <si>
    <t>Em julho, as ofertas subsequentes de #ações (follow-on) tiveram o melhor volume de captação dos últimos 12 meses, com R$ 8.6 bi em emissões.
#B3 #Ibovespa #IBOV</t>
  </si>
  <si>
    <t>#Ações Carteira para hoje #Clear https://t.co/8QwQiVOppj</t>
  </si>
  <si>
    <t>📉🏭A Vale (#VALE3) enfrenta desafios: queda nas ações e redução de #dividendos. Será que a empresa irá se recuperar?  Entenda os fatores por trás do desempenho ruim e as opiniões dos analistas. https://t.co/z5PbiAE1hA
#Vale #Ações</t>
  </si>
  <si>
    <t>📊Ser paciente é uma das características que todo #investidor deve ter ao estar posicionado na #BolsadeValores. Mas a volatilidade das #ações exige dos investidores cautela para alcançar os melhores rendimentos
https://t.co/zwsdqKtrAe</t>
  </si>
  <si>
    <t>🏭📊 Vale (VALE3) toca máxima com potenciais estímulos econômicos da China Confira a análise dos especialistas
#mercadofinanceiro #investimentos #acoes 
https://t.co/KJcqTKzThF</t>
  </si>
  <si>
    <t>🛫📉 Setor aéreo em queda no Ibovespa: Gol e Azul enfrentam desafios com quedas de 26,8% e 19,03% respectivamente em julho.
#MercadoFinanceiro #Ações #investimentos https://t.co/X4RMT4Qrrb</t>
  </si>
  <si>
    <t>A cada ano que passa vai caindo um tabu de que só investe na #bolsa quem tem muito dinheiro. Seguindo essa tendência, especialistas recomendam 6 #ações abaixo de R$ 5 que valem a pena ter na carteira.
Na matéria publicada pelo @EInvestidor você encontra a lista dos papéis…</t>
  </si>
  <si>
    <t>Chegou seu novo melhor amigo para analisar #ações e #FIIs: o AddIn! 😎​
Disponível para os assinantes do plano Explorer, Prime e Pro. ​
Acesse e descubra todas as vantagens do #AddInn: https://t.co/z1aSm1yBJ0
#trademap https://t.co/uA1QEauwjI</t>
  </si>
  <si>
    <t>#Ações de #Apple, #Amazon, #Alphabet, #Meta e #Microsoft já subiram mais de 20% no ano, apesar do cenário de aumento dos juros e queda no consumo. É hora de comprar ações das empresas?
Na matéria publicada pela Forbes Money você encontra dados extraídos junto ao #TradeMap além…</t>
  </si>
  <si>
    <t>Acesse nosso #site e saiba mais sobre estas #ações
https://t.co/KsxiVqoUWc</t>
  </si>
  <si>
    <t>Tenha em mente que as ações são o que realmente fazem a diferença. 💪✨ 
Não basta apenas ter planos e ideias brilhantes, é fundamental colocá-los em prática com determinação e persistência.
#ações #diferença #planejamento #prática #sucesso #realização #sonhos #avançar #motivação https://t.co/IT3Dh7lgRl</t>
  </si>
  <si>
    <t>Não espere pelo momento perfeito, pois ele pode nunca chegar. Tome medidas agora mesmo e siga em frente, passo a passo, rumo aos seus objetivos. #procrastinação #medo #progresso #ações #consistência #objetivos #desafios #crescimento #confiança #sonhos #ação #procrastinação https://t.co/M5eQbY8EbD</t>
  </si>
  <si>
    <t>Suas ações falam mais alto do que suas palavras. Seja coerente entre o que diz e o que faz.🌟💪 #sejacoerente #ações #caráter #valores #inspiração #motivação #autenticidade #íntegro #fazeradiferença #legado #exemplo #sejalembrado #açõesfalammais #façaacontecer #inspiração #legado https://t.co/fHmQe6sD0c</t>
  </si>
  <si>
    <t>Threads: Meta (M1TA34) lança concorrente do Twitter e ações sobem
#Twitter #Meta #ações #Threads 
https://t.co/DSSdxsZA75</t>
  </si>
  <si>
    <t>Ações da MRV (MRVE3) recuam após anúncio de follow-on
#ofertapublica #ações #MRV #b3 
https://t.co/u26HirDNlZ</t>
  </si>
  <si>
    <t>Ações do IRB (IRBR3) desabam após divulgação de prejuízo líquido em maio
#IRB #Açoes #Prejuizo
https://t.co/sVD76iM7ZB</t>
  </si>
  <si>
    <t>Azul (AZUL4) aprova emissão de US$ 800 milhões em títulos no exterior; ações decolam
#Azul #Açoes #Divida
https://t.co/VWzsWe5rgA</t>
  </si>
  <si>
    <t>Ações da Sinqia (SQIA3) operam em alta de 14,86% após venda para a Evertec
#Sinqia #Evertec #Açoes
https://t.co/SdZqzSPw9E</t>
  </si>
  <si>
    <t>BRF (BRFS3) levanta R$ 5,4 bilhões em follow-on e ações despencam
#BRF #FollowOn #Açoes
https://t.co/PnoU8ToaGI</t>
  </si>
  <si>
    <t>JBS (JBSS3): ações disparam com anúncio de listagem dupla
#JBS #Açoes #ListagemDupla
https://t.co/dbiHoAiepS</t>
  </si>
  <si>
    <t>Papel que me chama atenção, tendência de alta, fez um respiro saudável e agora volta pra retomar o movimento. Empresa que se beneficia com ciclo de corte de juros. mm200 pra cima, mm20 virando. fundo mais alto que o anterior. 
#ações #rendavariavel #b3 #ibovespa https://t.co/v02EHG9QLm</t>
  </si>
  <si>
    <t>https://t.co/oR7HiNP71u
#acoes #carteira #fintwit</t>
  </si>
  <si>
    <t>O que te influencia antes de fazer um investimento? 💰💰💰💰
Uma das coisas que me influenciam são as notícias do dia/semana/mês. 
#btc #bonds #açoes</t>
  </si>
  <si>
    <t>ganhar dinheiro de grandes sem trabalhar nelas! Top 5 ações da semana 12/07/23 empresas com bons lucros e que estão baratas, e dívidas controladas #investimento #ações #finanças https://t.co/iE9cBGuW78</t>
  </si>
  <si>
    <t>BBAS3 | BANCO DO BRASIL |  PREÇO ALVO | ANÚNCIO DE DIVIDENDOS | MELHOR B... https://t.co/grs0uDyEir via @YouTube #bbas3 #ações #dividendos</t>
  </si>
  <si>
    <t>5 AÇÕES COM DIVIDENDOS EM ABERTO PARA JUNHO | EMPRESAS COM DIVIDENDOS EM... https://t.co/q2Vykla85B via @YouTube #dividendos #ações #tims3 #itub4 #itub3 #bbdc4</t>
  </si>
  <si>
    <t>6 AÇÕES COM DIVIDENDOS EM ABERTO PARA JUNHO | EMPRESAS COM DIVIDENDOS EM... https://t.co/8cZVCRJXs5 via @YouTube #ações #investimentos #dividendos</t>
  </si>
  <si>
    <t>BRADESCO PAGANDO DIVIDENDOS DATA COM EM JUNHO |  OPINIÃO DE ANALISTAS SO... https://t.co/0QxkmlfNbU via @YouTube #bradesco #ações #bbdc4 #bbdc3</t>
  </si>
  <si>
    <t>ÚLTIMA SEMANA DE JUNHO COM MUITOS DIVIDENDOS EM ABERTO ! CONFIRA ! https://t.co/Pc1u4lH2H5 via @YouTube #ações #dividendos #barsi</t>
  </si>
  <si>
    <t>FÁBIO BARONI | “UMA ANÁLISE EXCELENTE DAS AÇÕES DA CIELO " #ações #inves... https://t.co/ElWrndiNY5 via @YouTube #cielo3</t>
  </si>
  <si>
    <t>Estúdio de Borderlands parece que terá casa nova caso o Embracer Group siga em frente com seu objetivo de cortar custos ao adicionar para venda o Gearbox Entertainment.
https://t.co/GMcSA74mZI
#Ações #Borderlands #Gaming</t>
  </si>
  <si>
    <t>Presidente da estatal aponta ações efetivas para a retomada das atividades nos estaleiros. https://t.co/Q9Rs6dDrBA
#revistagc #revista_gc #sobratema
#brasil #Presidente #estatal #ações #estaleiros #embarcações
#Transpetro #Petrobras https://t.co/5S1wi3zZtX</t>
  </si>
  <si>
    <t>Segundo a APAT, acessórios fazem parte de um conjunto de ações que visam mitigar riscos no ambiente de trabalho. https://t.co/LIqv4Dl0zQ
#revistagc #revista_gc #sobratema
#brasil #APAT #acessórios #ações #riscos #ambientedetrabalho #Observatório #Saúde #Trabalho #acidentes https://t.co/1IQAaNv7NF</t>
  </si>
  <si>
    <t>Sextou no nosso grupo de Mentoria da @Proeducacional.. E você, sabe a resposta???
#proeducacional #mercadofinanceiro #bolsadevalores #cnpi #Certificacao #fundosdeinvestimento #ações #swap https://t.co/jDZLkEjFx5</t>
  </si>
  <si>
    <t>Que Alegria ver essa galera sendo aprovada nas certificações..
Mais um Aluno que hoje se torna um Analista CNPI-T..
Nosso grupo de Mentoria da @Proeducacional mais uma vez mostrando resultado!
#proeducacional #Certificacao #mercadofinanceiro #cnpi #bolsadevalores #ações #fundos https://t.co/yczyNxUen1</t>
  </si>
  <si>
    <t>PAUTA DO DIA: Mercados operam sem fôlego nesta manhã
https://t.co/MC70Yuylsx
#ibovespa #ações #MercadoFinanceiro #asia #juros #bolsas #europa</t>
  </si>
  <si>
    <t>PAUTA DO DIA: Bolsas operam em baixa à espera de dados dos EUA
Na íntegra: https://t.co/7zF6HGfzxl
#B3 #bolsas #alemanha #juros #investidores #ações #dolar #ibovespa</t>
  </si>
  <si>
    <t>PAUTA DO DIA: Bolsas operam positivo com estímulos na China.
Na íntegra: https://t.co/x0k2YTHFSd
#B3 #MercadoFinanceiro #açoes #investidores #China #inflação</t>
  </si>
  <si>
    <t>CÂMBIO: Dólar fechou a terça-feira em alta, vendido e R$ 4,987
Na íntegra: https://t.co/2lL9gRr5oQ
#cambio #mercadofinanceiro #inflação #juros #ações</t>
  </si>
  <si>
    <t>Com o início do simpósio de Jackson Hole no radar dos investidores, juros seguem em queda.
Acompanhe na íntegra: https://t.co/g3ucnvhMB7
#commodities #b3 #juros #açoes #investidores #europa #mercadofinanceiro</t>
  </si>
  <si>
    <t>SETEMBRO AMARELO
Prevenção ao Suicídio
Conscientização do Tratamento da Saúde Mental
#setembro #amarelo #prevenção #suicídio #saúdemental #ações #conscientização #tratamento https://t.co/7ymSIl4dIT</t>
  </si>
  <si>
    <t>🚀 🇧🇷 Expansão dos Olhos da Família Mais Rica do #Brasil!
🗞️ @business relata que uma das famílias mais ricas do Brasil está buscando aumentar sua participação na renomada fabricante de chinelos #Havaianas, com o objetivo de se tornar o maior acionista.
#ações #bolsadevalores</t>
  </si>
  <si>
    <t>❗@SeekingAlpha relata que as #ações do #pinterest caíram 18% depois que a empresa superou o EPS, mas indicou um aumento de dois dígitos nos custos operacionais para o próximo trimestre.
#iqoption #stock</t>
  </si>
  <si>
    <t>AGORA: 🚀 As ações europeias disparam com uma onda de otimismo à medida que o progresso nas negociações do teto da dívida dos EUA traz esperança renovada, relata @markets.
#iqoption #UE #Europa #EUA #ações #global #açõesglobais #cfds #trading #bolsadevalores</t>
  </si>
  <si>
    <t>🚀📱As vendas da Apple superam as estimativas, provando que o #iPhone é forte apesar dos desafios da indústria, de acordo com @markets.
Qual é o segredo da #Apple? 🤫
Deixe-nos saber sua opinião nos comentários! 👇 🍎
#iqoption #ações</t>
  </si>
  <si>
    <t>⚡📈 O forte crescimento dos preços ao consumidor na área do euro 🇪🇺 provoca pedidos de mais aumentos nas taxas do #BCE e um viés de aperto contínuo, conforme relatado pelo @markets.
#Iqoption #cfds #UE #ações #noticiasdeações #mercadodeações #inflação #Economia</t>
  </si>
  <si>
    <t>🚨 URGENTE! 🚨
🇧🇷 A Equinot e seus parceiros estão de olho em um investimento de US$ 9 bilhões na Bacia de Campos, no Brasil, de acordo com @markets.
Prepare-se para algumas grandes descobertas de petróleo e gás! 🛢️
#Equinot #Brasil #Petróleo&amp;amp;Gás #Investimento #Iqoption #ações</t>
  </si>
  <si>
    <t>📉 Ações europeias enfrentam águas turbulentas após o rebaixamento da classificação de crédito soberano dos EUA pela Fitch Ratings, desencadeando negociações de risco em larga escala, segundo @markets.
#MercadoDeAções #Ações #IQOption #CFDs</t>
  </si>
  <si>
    <t>📈 As ações europeias continuam em alta pelo segundo dia consecutivo após a aprovação pelo Senado dos EUA da legislação para suspender o teto da dívida do país, informa @markets. 🚀
#iqoption #cfds #Europa #ações</t>
  </si>
  <si>
    <t>📈 As ações europeias sobem na sexta-feira, com os investidores analisando a trajetória das taxas de juros e a temporada de ganhos chegando ao fim, de acordo com @markets.
#iqoption #UE #ações #Europa #trading #cfds #inflação #bolsadevalores</t>
  </si>
  <si>
    <t>Feliz Dia dos Namorados de ontem! 🇧🇷❤️
Quem ou o que ocupa o lugar mais importante em seu coração? Pode até ser nós. 😉
Comente abaixo!
#diadosnamorados #Iqoption #bolsadevalores #forex #ações #investir #investimentosonline #tradersbrasileiros #estratégiasdetrading https://t.co/cxIP0ckw4r</t>
  </si>
  <si>
    <t>📈 Indicador de #Forex:
🔍 O Índice Direcional Médio (ADX) mede a força da tendência e pode ajudar a detectar possíveis reversões e continuações de tendências.
Você usa esse #indicador? Comente abaixo! 💬
#iqoption #ações #trading #investimentos #mercadofinanceiro https://t.co/fuTtX6yl0S</t>
  </si>
  <si>
    <t>Saia na frente no mundo das negociações com os dados e insights de mercado em tempo real da nossa plataforma!💡📙
 Fique à frente registrando-se hoje aqui:
➡️ https://t.co/ARIDjjBOPh
 #iqoption #negociação #Forex #Ações
 _
Aviso de risco: Seu capital pode estar em risco</t>
  </si>
  <si>
    <t>📈 Indicador de #Forex:
🔍 Ichimoku Kinko Hyo é usado para identificar tendências, níveis de suporte e resistência e gerar sinais de negociação com base em várias linhas.
Você usa esse #indicador? 🤔 Comente abaixo!💬
#iqoption #ações #trading #investimentos #mercadofinanceiro https://t.co/bqvpAXnDZn</t>
  </si>
  <si>
    <t>Atenção, traders! 📢
👀 Quais são as 🔥 ações quentes em seu 🎯 radar?
Nós queremos saber! Comente abaixo. ⤵️
#iqoption #ações #observação #dicas #negociação</t>
  </si>
  <si>
    <t>Qual é o seu instrumento de negociação favorito? 🤔
Forex 💱, Ações 📈, Commodities 🛢️ ou Criptomoedas 🚀? 
Deixe-nos saber na enquete e nos comentários por que você gosta de negociar seu instrumento escolhido!
#iqoption #trading #forex #acoes #commodities #cripto</t>
  </si>
  <si>
    <t>Mês de maio é um mês de record na minha carteira 💸🎉🎊
R$ 30,99 livres de impostos sem ter que fazer nada 🥳
A meta é chegar em R$ 1000,00 Bora !!!!!
#dividends #finance #acoes #fiis https://t.co/kOoQ6H1Ww8</t>
  </si>
  <si>
    <t>O que é o MACD e como operá-ló. #ibovespa #acoes #trader #analisegrafica #investidores https://t.co/GDcMAQP377</t>
  </si>
  <si>
    <t>Resumo da manhã #trader #acoes #ibovespa #analisegrafica #investidores #investimentos #trading https://t.co/ID7zrwp5xz</t>
  </si>
  <si>
    <t>Como lidar com as flutuações do mercado? #trader #acoes #ibovespa #analisegrafica #investidores https://t.co/lS5YREpw7j</t>
  </si>
  <si>
    <t>Resumo da manhã #acoes #ibovespa #trader #investidores #trading #dividendos https://t.co/NTxZOvWOKS</t>
  </si>
  <si>
    <t>Resumo da manhã #acoes #analisegrafica #ibovespa #trader #investidores #investimentos #trading https://t.co/StKS5LuDTX</t>
  </si>
  <si>
    <t>Resumo da manhã #ibovespa #acoes #trader #investimentos #petr4 #vale3 #analisegrafica #trading https://t.co/kkc8RdXN3x</t>
  </si>
  <si>
    <t>Resumo da manhã #bolsadevalores #acoes #investimentos #traderbrasil #rendavariavel https://t.co/S7erTB7Pzl</t>
  </si>
  <si>
    <t>Resumo da manhã #acoes #ibovespa #trader #analisegrafica #investidores #investimentos #petr4 https://t.co/20lAXv6CEV</t>
  </si>
  <si>
    <t>Resumo da manhã #acoes #ibovespa #trader #analisegrafica #investidores https://t.co/1gctkVMX5Q</t>
  </si>
  <si>
    <t>Resumo da manhã #analisegrafica #acoes #ibovespa #trader #investimentos #dividendos #petr4 https://t.co/1lJo5Ufv0g</t>
  </si>
  <si>
    <t>Correção #vale3 #acoes #analisegrafica #ibovespa #trader #investidores #investimentos #trading https://t.co/SFOxBnxvoz</t>
  </si>
  <si>
    <t>Resumo da Manhã #acoes #analisegrafica #ibovespa #trader #investidores #investimentos #trading https://t.co/BgMvVpR0qk</t>
  </si>
  <si>
    <t>Resumo da manhã #ibovespa #acoes #trader #analisegrafica #investidores #investimentos #petr4 https://t.co/7vIb8s1aZq</t>
  </si>
  <si>
    <t>Resumo da manhã #acoes #trader #ibovespa #analisegrafica #investidores #investimentos #petr4 https://t.co/hQU3K1D2KF</t>
  </si>
  <si>
    <t>#ibovespa “AVUA” ou não “AVUA”? #acoes #trader #analisegrafica #investidores https://t.co/siExNO1l53</t>
  </si>
  <si>
    <t>Resumo da manhã #acoes #ibovespa #trader #analisegrafica #investidores #trading #dividendos #vale3 https://t.co/eWl7rdCTPI</t>
  </si>
  <si>
    <t>Resumo da manhã #acoes #analisegrafica #ibovespa #trader #investidores #trading #dividendos #petr4 https://t.co/UkxHsvvoKE</t>
  </si>
  <si>
    <t>O caldo vai entornar hoje…🥶🥵 #ibovespa #acoes #trader #analisegrafica #investidores #investir https://t.co/5ZSmCpxT3I</t>
  </si>
  <si>
    <t>Resumo da manhã #ibovespa #acoes #trader #analisegrafica #investidores #investimentos #petr4 https://t.co/rff1xUjG3Z</t>
  </si>
  <si>
    <t>Resumo da manhã #acoes #analisegrafica #ibovespa #trader #investimentos #trading #petr4 https://t.co/n9kJfriiSn</t>
  </si>
  <si>
    <t>IBOV 150 mil! #ibovespa #trader #acoes #analisegrafica  #trading #petr4 #dividendos #ibov https://t.co/UbCShlIAm9</t>
  </si>
  <si>
    <t>Resumo da manhã #ibovespa #trader #acoes #analisegrafica https://t.co/CJGHCSLuG2</t>
  </si>
  <si>
    <t>Resumo da manhã #ibovespa #acoes #trader #ibovespahoje #investidores #trading https://t.co/aXnnhADbXe</t>
  </si>
  <si>
    <t>Resumo da manhã #ibovespa #acoes #trader #ibovespahoje https://t.co/E9pBYaOqVz</t>
  </si>
  <si>
    <t>Resumo da manhã #acoes #analisegrafica #ibovespa #trader #investidores #investimentos #trading https://t.co/1VoL54Oq1o</t>
  </si>
  <si>
    <t>Resumo da manhã #ibovespa #acoes #trader #analisegrafica #investidores #trading #petr4 #vale3 https://t.co/SSvVCbej9J</t>
  </si>
  <si>
    <t>IBOVESPA HOJE… #acoes #ibovespa #trader #analisegrafica #investidores #ibovespa https://t.co/SOTU2ksak7</t>
  </si>
  <si>
    <t>Resumo da manhã #acoes #ibovespa #trader #analisegrafica #investidores #dividendos #petr4 https://t.co/mU16D4IlL0</t>
  </si>
  <si>
    <t>Resumo da manhã #acoes #ibovespa #trader #analisegrafica #investidores #investimentos #petr4 #vale3 https://t.co/MfWT9VKbF1</t>
  </si>
  <si>
    <t>Resumo da Manhã #acoes #ibovespa #trader #analisegrafica #investidores #investimentos #petr4 #vale3 https://t.co/82kVndzB1R</t>
  </si>
  <si>
    <t>Resumo da manhã #acoes #ibovespa #trader #analisegrafica #investidores #trading https://t.co/G8J4nrbXw5</t>
  </si>
  <si>
    <t>E já estamos quase no final do ano #acoes #analisegrafica #ibovespa #trader #investidores #trading https://t.co/y7dz05D2ZU</t>
  </si>
  <si>
    <t>Resumo da manhã #acoes #analisegrafica #ibovespa #trader #investidores #investimentos #trading https://t.co/ZDneFUSx1x</t>
  </si>
  <si>
    <t>IBOV DEU UMA ESCORREGADA FEIA HOJE! #ibovespa #trader #acoes #analisegrafica #investidores #petr4 https://t.co/caSDWS1cfl</t>
  </si>
  <si>
    <t>Resumo da manhã #trader #acoes #ibovespa #analisegrafica #investimentos #dividendos https://t.co/UadEM53RyQ</t>
  </si>
  <si>
    <t>Resumo da manhã #acoes #ibovespa #trader #analisegrafica #investidores #investimentos #trading https://t.co/QcjcEWU3wP</t>
  </si>
  <si>
    <t>Resumo da manhã #acoes #ibovespa #trader #analisegrafica #investidores #investimentos #petr4 https://t.co/rYQCAy4OG7</t>
  </si>
  <si>
    <t>Os desafios que trader precisa enfrentar #ibovespa #trader #acoes #analisegrafica #investidores https://t.co/C3OV9fxC6y</t>
  </si>
  <si>
    <t>Resumo da manhã #trader #acoes #ibovespa #analisegrafica #investidores #investimentos #trading https://t.co/7fltdtAx5t</t>
  </si>
  <si>
    <t>Resumo da manhã #trader #acoes #ibovespa #petr4 #investimentos https://t.co/kuHvlDQMtM</t>
  </si>
  <si>
    <t>🎥📈 Conheça o mundo das ações! 💼💰
🔍 Se você já se perguntou o que são ações e como elas funcionam, você está no lugar certo! 🤔💡
📚 Prepare-se para uma aula rápida e divertida sobre o mercado de ações. 🎓✨
#Investimentos #Ações #MercadodeAções #EducaçãoFinanceira https://t.co/7j10YOQB0s</t>
  </si>
  <si>
    <t>#PETR4: Petrobras anuncia nova política para dividendos. #ações #mercado @FilipeVillegas https://t.co/kr5b7euHNP</t>
  </si>
  <si>
    <t>🚨 Ações da tupperware subiram 800% nos últimos dois meses.  Entenda porque isso aconteceu com @FilipeVillegas. #ações https://t.co/CuA2Ldy83T</t>
  </si>
  <si>
    <t>🚨 NVIDIA: A empresa que já subiu 220% esse ano. Resultados da companhia serão divulgados hoje. #vendas #ações @_robertomotta https://t.co/zgXZnwzqb6</t>
  </si>
  <si>
    <t>DUPLA LISTAGEM JBS
Inscreva-se na newsletter Genial Bom Dia e receba as principais notícias do mercado todas as manhãs, de graça!
👉 https://t.co/A1w9OFTV96
Veja o vídeo completo: https://t.co/kFxMEdOjis
#JBS #jbss3 #acoes #investimentos #genialinvestimentos https://t.co/xodPEnZeTs</t>
  </si>
  <si>
    <t>⭐Estreia no nosso canal do YouTube: Estratégia em Ação, com o nosso estrategista de ações Filipe Villegas. 
Entenda o mercado de ações neste momento em que ele deve voltar a brilhar com o ciclo de queda da Selic. 👉https://t.co/7773amRM44
#investimento #b3 #ações https://t.co/wWUpsknc6v</t>
  </si>
  <si>
    <t>A carteira recomendada de setembro já está no ar!  Confira quais foram as sugestões de investimentos dos nossos especialistas e acesse o relatório completo no plataforma Genial Analisa 🔗 https://t.co/lkH6IVtWoJ 
#carteiras #carteirarecomendada #ações #FIIs #BDRs https://t.co/1GcOT8OVPu</t>
  </si>
  <si>
    <t>Invista na Bolsa de Valores com confiança seguindo nossas orientações. Saiba mais: https://t.co/Aq0ok3edDV
 #InvestirBolsaValores #Investimentos #Ações</t>
  </si>
  <si>
    <t>Descubra como investir em ações e aproveitar o potencial de retorno e diversificação no mercado de valores. Saiba mais em nosso blog! Saiba mais: https://t.co/AEWnD9rtIh
 #ações #diversificação #gestãofinanceira #investimento</t>
  </si>
  <si>
    <t>Descubra as últimas tendências do mercado em ações expostas ao Bitcoin! 🚀 #Bitcoin #Ações #TendênciasdoMercado #Cripto" https://t.co/BHi5Dr5KVU</t>
  </si>
  <si>
    <t>Gasolina vai subir? Presidente da Petrobras (PETR4) nega aumento de preços e diz motivo da reunião com Lula
#ações #AoVivo #JeanPaulPrates
https://t.co/XfdXQnc2ux</t>
  </si>
  <si>
    <t>Ibovespa deve contar com uma nova ação a partir de setembro; saiba quem é a estreante na “elite” da B3
#ações #AoVivo #bolsa
https://t.co/O9cCATxRN4</t>
  </si>
  <si>
    <t>Fundador da Track&amp;amp;Field (TFCO4) deixa cargo de CEO para liderar uma das principais apostas de crescimento da companhia; veja quem assume o lugar dele
#ações #AoVivo #BolsadeValores
https://t.co/jUbgCmFSVG</t>
  </si>
  <si>
    <t>Inteligência artificial? Que nada! Saiba o que está por trás da alta de 10% das ações da dona do Google nesta semana
#ações #Google
https://t.co/YN1z1NY6B4</t>
  </si>
  <si>
    <t>Nem Petrobras nem Vale: Fator escala fundo com small caps e ações de segunda linha e vê ciclo longo de alta da bolsa; veja a seleção
#ações #bolsa #fundosdeinvestimento
https://t.co/vx143YjAMZ</t>
  </si>
  <si>
    <t>Netflix se arrependeu da cobrança do ‘ponto extra’? Você pode até não ter gostado, mas taxa pode ajudar empresa a vencer a guerra do streaming
#ações #AoVivo #Cinema
https://t.co/fuUtTPIagK</t>
  </si>
  <si>
    <t>A ação “esquecida” que dispara 15% hoje após o BTG apontar valor escondido e potencial de alta de mais de 150%
#ações #AoVivo #BTGPactual
https://t.co/KfkiEh7W3Z</t>
  </si>
  <si>
    <t>Day trade na B3: Ação da Usiminas (USIM5) pode render lucro de até 8% hoje; veja os fundos imobiliários para ficar de olho
#ações #AoVivo #BolsadeValores
https://t.co/lP2hOr2PCM</t>
  </si>
  <si>
    <t>Rumo à fusão? Marfrig (MRFG3) amplia posição na BRF (BRFS3) em oferta de ações que movimentou R$ 5,4 bilhões
#ações #AoVivo #BRF
https://t.co/8Ot2RivCga</t>
  </si>
  <si>
    <t>O erro que a maioria das pessoas comete ao tentar escolher “a hora certa” para investir na bolsa
#ações #bolsa #SextoucomoRuy
https://t.co/T82vvHVL1M</t>
  </si>
  <si>
    <t>Petrobras (PETR4) ou Vale (VALE3): BTG recomenda comprar apenas uma delas — descubra qual é a melhor opção
#ações #AoVivo #BTGPactual
https://t.co/zLBBe5tDtF</t>
  </si>
  <si>
    <t>Será que o preço de uma ação importa tanto assim? Saiba o que é necessário para avaliar investimentos
#ações #bolsa #BolsadeValores
https://t.co/4nAnnFL75Y</t>
  </si>
  <si>
    <t>Marfrig (MRFG3) amplia presença na BRF (BRFS3) com oferta de ações bilionária. Vem fusão por aí?
#ações #alimentos #AoVivo
https://t.co/B1b9WZPj1P</t>
  </si>
  <si>
    <t>MRV (MRVE3) divulga prévia operacional enquanto prepara terreno para oferta de ações que pode levantar até R$ 1 bilhão
#ações #AoVivo #BolsadeValores
https://t.co/E1pCjImjg4</t>
  </si>
  <si>
    <t>Day trade na B3: Saiba como lucrar até 13% com ações da Hidrovias do Brasil (HBSA3) hoje
#ações #AoVivo #bolsa
https://t.co/bzHWLO2mY7</t>
  </si>
  <si>
    <t>Succession da vida real? George Soros entrega seu império de US$ 25 bilhões para o filho mais novo
#ações #AoVivo #Bilionários
https://t.co/gV35QKFTjD</t>
  </si>
  <si>
    <t>Day trade na B3: Saiba como lucrar até 10% com ações da NeoEnergia (NEOE3) hoje
#ações #AoVivo #bolsa
https://t.co/BqZ51DJkKQ</t>
  </si>
  <si>
    <t>Quem vai ganhar a corrida dos shoppings? JP Morgan coloca Aliansce Sonae (ALSO3) como ação favorita no setor
#ações #AliansceSonae #ALSO3
https://t.co/fdPEYI2CJi</t>
  </si>
  <si>
    <t>Globo e Disney se unem para produzir filmes brasileiros — e você poderá assisti-los no cinema. Entenda o acordo
#ações #AoVivo #Cinema
https://t.co/fr2ZFmSehy</t>
  </si>
  <si>
    <t>Vale (VALE3) e Samarco fazem acordo para solucionar dívidas e recuperação judicial
#ações #AoVivo #Mercados
https://t.co/tWeOOoV82r</t>
  </si>
  <si>
    <t>Economia da China em apuros e yuan sem forças para substituir o dólar: Entenda tudo o que está acontecendo com o gigante asiático
#ações #AoVivo #bolsa
https://t.co/JyhVRChHyj</t>
  </si>
  <si>
    <t>Após disparada de 25% na semana, Nvidia entra para o “clube do trilhão” e dez maiores empresas do mundo valem mais de US$ 13 trilhões; veja ranking
#ações #bigtechs #internet
https://t.co/qyjD3Vp5Rc</t>
  </si>
  <si>
    <t>As ex-small caps da bolsa: Quais ações vão multiplicar de valor daqui para frente?
#ações #AoVivo #bolsa
https://t.co/QUyuJTCNQG</t>
  </si>
  <si>
    <t>CEO do Nubank vende quase R$ 1 bilhão em ações do banco digital e diz o que vai fazer com o dinheiro
#ações #AoVivo #bancodigital
https://t.co/NXQp83lJrk</t>
  </si>
  <si>
    <t>Do ingresso do show ao PIX, ClearSale (CLSA3) abre novas frentes para compensar e-commerce fraco; prejuízo diminui no 2T23
#ações #bancos #EspeciaisSD
https://t.co/bnjpoYhCO1</t>
  </si>
  <si>
    <t>Dividendos da Petrobras ameaçados? Citi rebaixa a estatal e corta preço-alvo das ADRs; saiba por que o banco americano está mais pessimista
#ações #AoVivo #Citibank
https://t.co/TDbuRpCE94</t>
  </si>
  <si>
    <t>BRF (BRFS3): ação sobe forte e tem espaço para avançar mais; é hora de comprar?
#ações #BRF #JPMorgan
https://t.co/8ZcQqCK3OI</t>
  </si>
  <si>
    <t>Bradesco (BBDC4): ações do banco caem forte na B3 após balanço — saiba o que desagradou
#ações #AoVivo #balanços
https://t.co/7kaBDcDlKE</t>
  </si>
  <si>
    <t>Day trade na B3: Ganhos de quase 10% com compra de Minerva (BEEF3); veja a recomendação para o pregão de hoje
#ações #AoVivo #BolsadeValores
https://t.co/fJmPdoYdMH</t>
  </si>
  <si>
    <t>Sabesp (SBSP3): Como o governo de Tarcísio de Freitas quer evitar o “risco Eletrobras” na privatização
#ações #AoVivo #bolsa
https://t.co/zTy8sEGD1j</t>
  </si>
  <si>
    <t>Day trade na B3: Oportunidade com compra de Cyrela (CYRE3) e venda de Lavvi (LAVV3); entenda a recomendação para o pregão de hoje
#ações #AoVivo #BolsadeValores
https://t.co/eILXZyhS2u</t>
  </si>
  <si>
    <t>Os dividendos da Petrobras (PETR4) vão cair. Ainda vale a pena investir nas ações da estatal?
#ações #Dividendos #Petrobras
https://t.co/PPLdsp37WC</t>
  </si>
  <si>
    <t>Cheiro de coisa boa no ar? Natura (NTCO3) lidera altas do Ibovespa após este analista elevar preço-alvo
#ações #AoVivo #Mercados
https://t.co/kRmopX8Bqz</t>
  </si>
  <si>
    <t>Day trade na B3: Oportunidade com compra de Energisa (ENGI11) e venda de Equatorial (EQTL3); entenda a recomendação para o pregão de hoje
#ações #AoVivo #BolsadeValores
https://t.co/p5oCxvk4Nr</t>
  </si>
  <si>
    <t>Rodolfo Amstalden: beleza para além do óbvio
#ações #bolsa #ExileonWallStreet
https://t.co/KkGXZLcg7Y</t>
  </si>
  <si>
    <t>Braskem (BRKM5): Com dona da JBS na disputa, veja como estão as ofertas pela participação da Novonor na petroquímica
#ações #AoVivo #Braskem
https://t.co/M4cqGlq3ki</t>
  </si>
  <si>
    <t>Day trade na B3: Como lucrar até 7% com ações da PetroRio – PRIO (PRIO3) hoje
#ações #AoVivo #BolsadeValores
https://t.co/AphwsQZb8j</t>
  </si>
  <si>
    <t>Melhores destinos para investir no exterior: as ações e setores para quem quer lucrar em dólar, euro e até yuan
#ações #BDRs #China
https://t.co/OKgaCN2IwY</t>
  </si>
  <si>
    <t>Hypera: o que este analista viu para elevar o preço-alvo de HYPE3? Ações estiveram entre as maiores alta do Ibovespa hoje
#ações #AoVivo #Hypera
https://t.co/OMJ7TT2YyS</t>
  </si>
  <si>
    <t>JBS (JBSS3) quer fechar capital no Brasil: empresa propõe dupla listagem de ações em NY e na B3 e pagamento bilionário de dividendos
#ações #AoVivo #BDRs
https://t.co/1mbKgXc43E</t>
  </si>
  <si>
    <t>Day trade na B3: Como lucrar até 9% com ações da Oncoclínicas do Brasil (ONCO3) hoje
#ações #AoVivo #bolsa
https://t.co/2VoAJ2HZFx</t>
  </si>
  <si>
    <t>Investidor de dividendos: Empiricus lista as cinco melhores pagadoras de proventos para o mês de julho
#ações #Alupar #AoVivo
https://t.co/ynnfWYdKQy</t>
  </si>
  <si>
    <t>Uma forcinha da Selic? Por que o BR Partners (BRBI11) é o queridinho do Itaú BBA entre as small caps
#ações #AoVivo #Mercados
https://t.co/BcAZ7X2Dxe</t>
  </si>
  <si>
    <t>Day trade na B3: Saiba como lucrar até 7% com ações da Suzano (SUZB3) hoje
#ações #AoVivo #bolsa
https://t.co/3wJlV6SekT</t>
  </si>
  <si>
    <t>Ação da Cosan (CSAN3) pode saltar mais de 70% em 2023. Confira 5 motivos para comprar os papéis, segundo o BofA
#ações #BankofAmericaMerrillLynch #BolsadeValores
https://t.co/1tFmPfsekd</t>
  </si>
  <si>
    <t>Carros voadores nos céus do Brasil? Empresa da Embraer fecha carta de intenções para mais 70 eVTOL
#ações #AoVivo #carrosvoadores
https://t.co/cCtrVwD69y</t>
  </si>
  <si>
    <t>Day trade na B3: Saiba como lucrar até 12% com ações da BrasilAgro (AGRO3) hoje
#ações #Agronegócio #AoVivo
https://t.co/JdnErLfogk</t>
  </si>
  <si>
    <t>JBS pagará R$ 2,2 bilhões em dividendos na próxima semana e Itaúsa aprova distribuição de JCP; veja como receber
#ações #Dividendos #Itaúsa
https://t.co/jmXN0Mx0D0</t>
  </si>
  <si>
    <t>Felipe Miranda: Oi, sumido! A morte e a ressurreição do financial deepening
#ações #IPO #rendavariável
https://t.co/VT7EOdI7Pn</t>
  </si>
  <si>
    <t>Multiplicando bilhões: como o ChatGPT está deixando os ricaços com mais dinheiro ainda
#ações #ChatGPT #Facebook
https://t.co/9h5IeXRFp7</t>
  </si>
  <si>
    <t>Corrida com barreira: bitcoin (BTC) sobe, mas tem dificuldade de manter o patamar dos US$ 27 mil — confira o que vem por aí
#ações #AoVivo #Bitcoin(BTC)
https://t.co/RjNEsin7wn</t>
  </si>
  <si>
    <t>Destaques da bolsa: 3R Petroleum (RRRP3) sobe com final feliz da novela da Petrobras; Magazine Luiza (MGLU3) e Via (VIIA3) de olho na Selic
#3RPetroleum #ações #AoVivo
https://t.co/fpU6IIvruB</t>
  </si>
  <si>
    <t>CVC (CVCB3) oferece “pacote” para atrair investidores em oferta de ações de pelo menos R$ 200 milhões
#ações #AoVivo #CVC
https://t.co/vuVo42L64q</t>
  </si>
  <si>
    <t>Lá vem a boiada: Bull market mais perto da B3, investimento bilionário do Itaú, demissões no Nubank e outros destaques do dia
#ações #AoVivo #BolsadeValores
https://t.co/VoUMLTI3pC</t>
  </si>
  <si>
    <t>Day trade na B3: Saiba como lucrar até 10% com ações da Eneva (ENEV3) hoje
#ações #AoVivo #bolsa
https://t.co/aKpAMFDZgq</t>
  </si>
  <si>
    <t>Pequenas notáveis: as microcaps voaram em maio e isso pode ser apenas o começo
#ações #bolsa #rendavariável
https://t.co/Mn29KuvVNP</t>
  </si>
  <si>
    <t>Day trade na B3: Saiba como você pode lucrar até 8% com ações da Positivo (POSI3) hoje
#ações #AoVivo #bolsa
https://t.co/0HElOFVgTC</t>
  </si>
  <si>
    <t>Vale (VALE3) perde mais de 25% do valor de mercado no ano e deixa a lista das maiores pagadoras de dividendos; o que esperar das ações da gigante?
#ações #Dividendos #Mercados
https://t.co/nkDS6WpOaR</t>
  </si>
  <si>
    <t>Na bolsa, evite histórias com fortes emoções, como a CVC (CVCB3); o tédio é o melhor amigo dos investimentos
#ações #Alupar #bolsa
https://t.co/V5JoGQJTxb</t>
  </si>
  <si>
    <t>Preenchendo as cadeiras: CVC (CVCB3) elege ex-diretor financeiro da Even para cargo de CFO
#ações #CVC #CVCB3
https://t.co/hh0CTN5dHN</t>
  </si>
  <si>
    <t>3R Petroleum (RRRP3) levanta R$ 836 milhões em aumento de capital que desagradou o mercado
#3RPetroleum #ações #AoVivo
https://t.co/LiBv5Cw4GE</t>
  </si>
  <si>
    <t>Smart Fit (SMFT3) ainda está fora de forma na B3, mas o maior acionista quer reduzir participação em uma oferta de ações na B3
#ações #AoVivo #Mercados
https://t.co/09IjMX3ZEW</t>
  </si>
  <si>
    <t>Day trade na B3: Saiba como você pode lucrar até 12% com ações da JHSF (JHSF3) hoje
#ações #AoVivo #bolsa
https://t.co/wA7nHOrMgA</t>
  </si>
  <si>
    <t>As ações que podem sair do marasmo no embalo do ChatGPT e da inteligência artificial
#ações #EstradadoFuturo #inteligênciaartificial
https://t.co/bbTW0ridT9</t>
  </si>
  <si>
    <t>Em meio a processo de reestruturação de dívidas, CVC (CVCB3) perde mais um executivo — dessa vez, o CEO
#ações #CVC #Mercados
https://t.co/AZrm5xQWJv</t>
  </si>
  <si>
    <t>Farmacêutica ultrapassa LVMH, de Bernard Arnault, e se torna a empresa mais valiosa da Europa — ainda que por pouco tempo
#ações #BernardArnault #LVMH
https://t.co/pfIG6gST9S</t>
  </si>
  <si>
    <t>CVC (CVCB3) lidera os ganhos com recuperação judicial da concorrente e Minerva (BEEF3) despenca — veja o que foi destaque na bolsa na semana
#ações #AjusteFiscal #commodities
https://t.co/gwHsbS9Z5Z</t>
  </si>
  <si>
    <t>Com ações em queda livre, Via (VIIA3) contrata bancos para levantar R$ 1 bilhão em oferta na B3
#ações #AoVivo #bolsa
https://t.co/qqr94wO1YO</t>
  </si>
  <si>
    <t>Day trade na B3: Como lucrar até 8,7% com ação do BB Seguridade (BBSE3) hoje? Confira a recomendação
#ações #AoVivo #BBSeguridade
https://t.co/8khlZOEP0g</t>
  </si>
  <si>
    <t>Se o CEO e os executivos do Nubank estão vendendo suas ações você deveria comprar? Analistas dizem que sim e veem potencial de alta de mais de 30%
#ações #AoVivo #DavidVélez
https://t.co/qxrLDEWY0R</t>
  </si>
  <si>
    <t>Cemig (CMIG4) e Copasa (CSMG3) entram na fila da privatização. Entenda como o governo de MG quer acelerar o processo 
#ações #AoVivo #Cemig
https://t.co/p8lhNjwJi0</t>
  </si>
  <si>
    <t>Day trade na B3: Como lucrar até 8,3% com ação da CEMIG (CMIG4) hoje? Veja a recomendação para o pregão
#ações #AoVivo #BolsadeValores
https://t.co/K1nUIIVhtF</t>
  </si>
  <si>
    <t>Não é mais seguro? Banco americano tem nova preferida e rebaixa a Porto; ações PSSA3 caem mais de 3% na B3
#ações #AoVivo #Mercados
https://t.co/EInCiEUz2z</t>
  </si>
  <si>
    <t>Santander projeta alta de 45% para as ações desta construtora na B3; favorita do banco, empresa deve ampliar atuação no Minha Casa Minha Vida
#ações #AoVivo #ConstruçãoCivil
https://t.co/nP1IDYbjTp</t>
  </si>
  <si>
    <t>Via (VIIA3): aumento de capital no radar? Ações caem com proposta da varejista de ampliar limite para emitir novos papéis
#ações #AoVivo #Mercados
https://t.co/MuslHMk5xB</t>
  </si>
  <si>
    <t>Gol (GOLL4) desaba com emissão de bônus e rebaixamento; banco diz que operação é risco para minoritários
#ações #ADRs #AoVivo
https://t.co/17EKDrJNGC</t>
  </si>
  <si>
    <t>O que o preço sobre lucro (P/L) nos diz sobre uma ação? Entenda a importância do indicador
#ações #bolsa #BolsadeValores
https://t.co/5OKXtPDaXG</t>
  </si>
  <si>
    <t>Cosan (CSAN3) e Grupo Mateus (GMAT3) anunciam programa de recompra na B3; o que isso significa para os acionistas?
#ações #AoVivo #BolsadeValores
https://t.co/YSYoQMFN5c</t>
  </si>
  <si>
    <t>Day trade na B3: Ação da Marfrig (MRFG3) pode render lucro de 5,8% hoje; veja a recomendação para o pregão
#ações #AoVivo #BolsadeValores
https://t.co/blN3H2nwir</t>
  </si>
  <si>
    <t>Felipe Miranda: Bizarre love triangle
#ações #Ibovespa #juros
https://t.co/AObcZ30dq3</t>
  </si>
  <si>
    <t>Sentiu o peso da tributação? Prejuízo do Magazine Luiza (MGLU3) dobra no segundo trimestre; saiba o que prejudicou o Magalu
#ações #balanços #MagazineLuiza
https://t.co/DMTyzEncOe</t>
  </si>
  <si>
    <t>Entenda o número do balanço da Cielo (CIEL3) que fez as ações caírem mais de 8% — mesmo com resultados sólidos e recomendações de compra
#ações #AoVivo #BTGPactual
https://t.co/oQQFobGo1X</t>
  </si>
  <si>
    <t>Day trade na B3: Ganhos de mais de 12% com compra da C&amp;amp;A Modas (CEAB3); veja a recomendação para o pregão de hoje
#ações #AoVivo #BolsadeValores
https://t.co/DI846JzBr0</t>
  </si>
  <si>
    <t>Sem medo do perigo: apetite por risco de gestores de fundos na América Latina supera média histórica pela primeira vez em quase 2 anos
#ações #AoVivo #FundosdeRendaFixa
https://t.co/qZYH1Z8xyp</t>
  </si>
  <si>
    <t>A ação que ganhou “passe livre” dos bancões e sobe forte hoje; espaço para valorização é de mais de 70%
#ações #AoVivo #EcoRodovias
https://t.co/ztHTTJLl3l</t>
  </si>
  <si>
    <t>Day trade na B3: Compra das ações do Itaú Unibanco (ITUB4) e venda de Itausa (ITSA4); entenda a recomendação do dia
#ações #AoVivo #BolsadeValores
https://t.co/Kf30RjpNjl</t>
  </si>
  <si>
    <t>Quer surfar a alta da bolsa sem ter trabalho e pagando barato? Veja quais são os melhores ETFs para seguir o Ibovespa
#ações #BolsadeValores #EspeciaisSD
https://t.co/85FBBIYM0z</t>
  </si>
  <si>
    <t>Prio (PRIO3) inicia produção em Frade, supera marca importante e chega a liderar o Ibovespa hoje — vale a pena explorar essa ação?
#ações #AoVivo #BTGPactual
https://t.co/BbswWbXlmo</t>
  </si>
  <si>
    <t>Day trade na B3: Ação da Gol (GOLL4). pode render lucro de mais de 8% hoje; veja recomendação do dia
#ações #AoVivo #BolsadeValores
https://t.co/gWon6B0Jod</t>
  </si>
  <si>
    <t>Felipe Miranda: os 12(0) trabalhos de Hércules
#ações #bolsa #ExileonWallStreet
https://t.co/bqv7YwoXuR</t>
  </si>
  <si>
    <t>Fim de jogo para Warren Buffett? Berkshire vende ações da dona do Call of Duty antes de acordo com Microsoft ser consumado de vez
#ações #Microsoft #WarrenBuffett
https://t.co/rn3v4wzzXz</t>
  </si>
  <si>
    <t>O pior está por vir? Locaweb (LWSA3) lidera quedas do Ibovespa — saiba se é hora de comprar ou vender as ações
#ações #AoVivo #BTGPactual
https://t.co/8xTTuhYYjz</t>
  </si>
  <si>
    <t>EZTEC (EZTC3) chega a ter a maior alta do dia após prévia operacional; vendas líquidas dobram na comparação anual
#ações #AoVivo #ConstruçãoCivil
https://t.co/FPy3UbFIsn</t>
  </si>
  <si>
    <t>Day trade na B3: Ação da Cosan (CSAN3) pode render lucro de até 6% hoje; veja recomendação do dia
#ações #AoVivo #BolsadeValores
https://t.co/MegdM87EnO</t>
  </si>
  <si>
    <t>Calendário de balanços: veja as datas de divulgação dos resultados do 2º trimestre e os horários das teleconferências
#ações #balanços #bolsa
https://t.co/uUXRGOYUcK</t>
  </si>
  <si>
    <t>Investidores entram com arbitragem e querem indenização de Lemann e sócios na Americanas (AMER3)
#ações #Americanas #AoVivo
https://t.co/pOGd0hvrfP</t>
  </si>
  <si>
    <t>Day trade na B3: Saiba como lucrar até 5% com ações da Alliar (AALR3) hoje
#ações #AoVivo #bolsa
https://t.co/F0DMvWklLt</t>
  </si>
  <si>
    <t>BB Seguridade (BBSE3) é uma das poucas ações que resistem ao “furacão” do Copom na B3, mas Goldman Sachs vê pouco espaço para alta
#ações #AoVivo #BancodoBrasil
https://t.co/5k3jaGDC24</t>
  </si>
  <si>
    <t>Day trade na B3: Saiba como lucrar até 13% com ações da JHSF (JHSF3) hoje
#ações #AoVivo #bolsa
https://t.co/0VJPtBy8pu</t>
  </si>
  <si>
    <t>BTG vê oportunidade de curto prazo nas ações da XP e eleva preço-alvo de novo, mas não muda recomendação; confira
#ações #AoVivo #BTGPactual
https://t.co/UcqqRebJkt</t>
  </si>
  <si>
    <t>Maior alta do Ibovespa hoje, ação da Yduqs (YDUQ3) dobrou de valor em 2023 — e ainda tem espaço para novo rali, segundo o BofA
#ações #AoVivo #BankofAmericaMerrillLynch
https://t.co/NkDMXukx1c</t>
  </si>
  <si>
    <t>Mais um a subir na plataforma! Goldman Sachs eleva Petrobras (PETR3; PETR4) para compra – mas ainda prefere a ação de outra petroleira
#ações #AoVivo #Estatais
https://t.co/yT7qDNOQoT</t>
  </si>
  <si>
    <t>Vamos (VAMO3) lança oferta de ações bilionária para expandir frota; controlador quer aproveitar para embolsar R$ 500 milhões
#ações #AoVivo #MercadodeCapitais
https://t.co/pt28wyUsca</t>
  </si>
  <si>
    <t>Day trade na B3: Saiba como lucrar até 10% com ações da Helbor (HBOR3) hoje
#ações #Agronegócio #AoVivo
https://t.co/cQQlbha40T</t>
  </si>
  <si>
    <t>Uma forcinha da Selic: BTG (BPAC11) entra para a lista de preferências do Itaú BBA e pode subir mais 27% este ano
#ações #AoVivo #bancos
https://t.co/T0Uh54vQuf</t>
  </si>
  <si>
    <t>A Cosan (CSAN3) ficou esquecida no meio do rali da bolsa, mas o BTG vê potencial de alta de 96%; ação lidera Ibovespa hoje
#ações #AoVivo #Cosan
https://t.co/hInH9H63t8</t>
  </si>
  <si>
    <t>IRB (IRBR3): dinheiro de acordo com autoridades nos EUA por fake news com Buffett será usado para compensar investidores; veja quem tem direito
#ações #AoVivo #BerkshireHathaway
https://t.co/sOl7doSfY9</t>
  </si>
  <si>
    <t>Chegou a hora de vender a renda fixa e migrar todo o seu patrimônio para as ações?
#ações #bolsa #Ibovespa
https://t.co/nnM5vSvqg7</t>
  </si>
  <si>
    <t>Chegou a hora do Magazine Luiza? O que a Empiricus viu para incluir as ações MGLU3 na carteira de junho
#ações #AoVivo #MagazineLuiza
https://t.co/Xm7QZxus7W</t>
  </si>
  <si>
    <t>Day trade na B3: Como lucrar até 9,2% com ação da Gerdau (GGBR4) hoje? Confira a recomendação
#ações #AoVivo #BolsadeValores
https://t.co/MBvKtqmqa8</t>
  </si>
  <si>
    <t>Até ano que vem: Méliuz (CASH3) deixa Ibovespa nesta segunda-feira (4)
#ações #bolsa #BolsadeValores
https://t.co/t8PA8KzOoE</t>
  </si>
  <si>
    <t>Grupo árabe assume controle da rede de academias Bluefit — operação movimenta mais de R$ 460 milhões
#ações #bolsa #BolsadeValores
https://t.co/BqQa59ry7E</t>
  </si>
  <si>
    <t>Dividendos em risco? Governo publica projeto de lei que acaba com juros sob capital próprio (JCP); entenda o impacto para os bancos na B3
#ações #AoVivo #bancos
https://t.co/EtNMt5Upwq</t>
  </si>
  <si>
    <t>Os mestres das small caps? Confira 5 ensinamentos sobre as pequenas notáveis da bolsa dos grandes gestores de ações
#ações #AoVivo #bolsa
https://t.co/5wLQP8wTEt</t>
  </si>
  <si>
    <t>CVC (CVCB3) despenca 8%, enquanto Prio (PRIO3), Vibra (VBBR3) e 3R Petroleum (RRRP3) avançam; confira o que mexe com as ações hoje
#3RPetroleum #ações #AoVivo
https://t.co/d8PiZeVfjI</t>
  </si>
  <si>
    <t>Mais empresas no Ibovespa? Saiba quais são as duas que vão entrar e qual vai ficar de fora da próxima carteira
#ações #AoVivo #Ibovespa
https://t.co/YfaQjOy830</t>
  </si>
  <si>
    <t>Day trade na B3: Ação da Lojas Quero-Quero (LJQQ3) pode render lucro de 9,8% hoje; veja a recomendação para o pregão
#ações #AoVivo #BolsadeValores
https://t.co/xc4ESYBV21</t>
  </si>
  <si>
    <t>Por que o Mercado Livre está vindo com tudo para cima do ‘território’ de Magazine Luiza (MGLU3) e Via (VIIA3) e o que esperar de MELI34 — é hora de comprar? 
#ações #MagazineLuiza #MercadoLivre
https://t.co/449cgw9JqX</t>
  </si>
  <si>
    <t>Petrobras (PETR4) vai para escanteio na preferência dos analistas; Empiricus corta recomendação e ações caem mais de 2% com queda no lucro e dividendos
#ações #AoVivo #balanços
https://t.co/x1jlwHsRv4</t>
  </si>
  <si>
    <t>Day trade na B3: Compra dos papéis da Braskem (BRKM5) pode render ganhos de 4,5% hoje; veja recomendação para o pregão do dia
#ações #AoVivo #BolsadeValores
https://t.co/4Kn8MXMC92</t>
  </si>
  <si>
    <t>A Selic começou a cair, e agora? A estratégia de dividendos capaz de superar qualquer cenário, inclusive de juros baixos
#ações #bolsa #Dividendos
https://t.co/SEFVnCNxGG</t>
  </si>
  <si>
    <t>JP Morgan rebaixa Alpargatas e derruba ALPA4 na bolsa. Por que o banco está pessimista com as ações?
#ações #Alpargatas #AoVivo
https://t.co/qoknOx8pF1</t>
  </si>
  <si>
    <t>Day trade na B3: Compra dos papéis da JBS (JBSS3) pode render ganhos de 9% hoje; veja recomendação para o pregão
#ações #AoVivo #BolsadeValores
https://t.co/wnEMmsY0Py</t>
  </si>
  <si>
    <t>A ação de banco que já disparou 43% este ano, superou o Ibovespa e pode subir mais, segundo o Bank of America
#ações #AoVivo #BTGPactual
https://t.co/dqnAW29oKv</t>
  </si>
  <si>
    <t>Day trade na B3: Por que a compra dos papéis da Vale (VALE3) hoje pode lhe render ganhos de 8,4%? Entenda recomendação do dia
#ações #AoVivo #BolsadeValores
https://t.co/jsxcZ5MFPU</t>
  </si>
  <si>
    <t>Weg: o que Elon Musk tem a ver com a alta das ações hoje? WEGE3 lidera ganhos do Ibovespa; saiba o que há por trás desse salto
#ações #AoVivo #ElonMusk
https://t.co/Ysoolp43op</t>
  </si>
  <si>
    <t>MRV (MRVE3) e Direcional (DIRR3): o que este analista viu para elevar o preço-alvo dessas ações?
#ações #AoVivo #DirecionalEngenharia
https://t.co/WpBcmkSrjX</t>
  </si>
  <si>
    <t>Ações do IRB (IRBR3) derretem 14% após empresa reportar prejuízo de R$ 10 milhões; como BTG, Citi e JP Morgan enxergam futuro da resseguradora?
#ações #AoVivo #BTGPactual
https://t.co/qnIDHLdS9i</t>
  </si>
  <si>
    <t>Day trade na B3: Oportunidade de ganhos de até 5,3% com compra da Metalúrgica Gerdau (GOAU4); entenda
#ações #AoVivo #BolsadeValores
https://t.co/luI5QSY90d</t>
  </si>
  <si>
    <t>Onde investir no segundo semestre de 2023: veja melhores investimentos neste guia gratuito
#ações #ondeinvestir
https://t.co/hBUQIudytR</t>
  </si>
  <si>
    <t>Barbie e Oppenheimer: quais ações podem pegar carona nas estreias da semana nos cinemas?
#ações #AoVivo #bolsa
https://t.co/7PQ1RvdzoY</t>
  </si>
  <si>
    <t>Depois da disparada de Petrobras (PETR4), é hora de voltar a comprar as petroleiras “juniors” na B3, diz XP
#3RPetroleum #ações #AoVivo
https://t.co/A6iMlXPzio</t>
  </si>
  <si>
    <t>Petrobras (PETR4) aproveita melhora externa e lança captação em dólar
#ações #AoVivo #dívidaexterna
https://t.co/igWha0GRI4</t>
  </si>
  <si>
    <t>Day trade na B3: Saiba como lucrar até 8% com ações da Cyrela (CYRE3) hoje
#ações #AoVivo #bolsa
https://t.co/myLR5Y1uOz</t>
  </si>
  <si>
    <t>IRB Brasil (IRBR3) lidera os ganhos com resultado mensal e CVC (CVCB3) despenca — veja o que foi destaque na bolsa na semana
#ações #AjusteFiscal #commodities
https://t.co/G0ASZemKhp</t>
  </si>
  <si>
    <t>Yduqs subiu demais? JP Morgan deixa de recomendar a compra de YDUQ3 — ações lideram perdas no Ibovespa hoje
#ações #AnimaInvestimentos #AoVivo
https://t.co/gXReo6I7CF</t>
  </si>
  <si>
    <t>Terra preciosa: SLC (SLCE3) brilha no Ibovespa após reavaliação bilionária de ativos
#ações #AoVivo #B3
https://t.co/TZAyfdBJoO</t>
  </si>
  <si>
    <t>Medo da concorrência? Apollo e da ADNOC reforçam proposta para comprar a Braskem (BRKM5)
#ações #AoVivo #BolsadeValores
https://t.co/uITxzgvByb</t>
  </si>
  <si>
    <t>Day trade na B3: Saiba como lucrar até 7% com ações da JBS (JBSS3) hoje
#ações #AoVivo #bolsa
https://t.co/QPUKLuPCci</t>
  </si>
  <si>
    <t>Apostas na queda do S&amp;amp;P 500, principal índice de ações americano, estão no maior nível desde 2007, diz levantamento
#ações #BolsadeValores #Nasdaq
https://t.co/8bj4hxCisj</t>
  </si>
  <si>
    <t>Eletrobras (ELET3) decepciona e cai 15% na B3 um ano depois da privatização; o que deu errado e o que fazer com as ações agora?
#ações #Eletrobras #EspeciaisSD
https://t.co/qoIXHtjev0</t>
  </si>
  <si>
    <t>Itaú Top 5 é a melhor carteira recomendada de ações de maio, batendo o Ibovespa com folga; veja o ranking completo
#ações #Itaú
https://t.co/EVAsR4PIpb</t>
  </si>
  <si>
    <t>Perdi metade do que tinha quando a ação do Inter deixou a bolsa brasileira. E agora, Dinheirista?
#ações #BancoInter #BolsadeValores
https://t.co/6KGmDl50l7</t>
  </si>
  <si>
    <t>Via (VIIA3): assembleia para avaliar aumento de capital que permitirá oferta de ações tem nova data
#ações #AoVivo #bolsa
https://t.co/QV5ERPi4lj</t>
  </si>
  <si>
    <t>Por que a Via (VIIA3) corre risco de viver o dilema do IRB (IRBR3) em oferta de ações
#ações #Ofertadeações #varejo
https://t.co/pF0iusNOKx</t>
  </si>
  <si>
    <t>Que horas ele volta? CEO da XP diz por que a pessoa física ainda deve levar algum tempo para investir na bolsa novamente
#ações #BolsadeValores #investimentos
https://t.co/v7jrTJKgtd</t>
  </si>
  <si>
    <t>Fundador da Squadra, gestora que revelou fraude no IRB, conta por que mantém distância de small caps e estatais como a Petrobras (PETR4)
#ações #AoVivo #BolsadeValores
https://t.co/7oU78oZMWz</t>
  </si>
  <si>
    <t>De olho no novo Fies, JP Morgan indica compra de ação do setor de educação; papel dispara 12% na B3
#ações #AoVivo #JPMorgan
https://t.co/SMybPViROI</t>
  </si>
  <si>
    <t>Acordo entre sócios: oferta de ações entra no radar do BR Partners (BRPR11); saiba como a operação pode mexer com os investidores
#ações #bancos #follow-on
https://t.co/IxBSfE4iH7</t>
  </si>
  <si>
    <t>Varejo em apuros? Por que as ações do setor reagiram mal à nova regra de crédito fiscal do governo
#ações #AjusteFiscal #Impostos
https://t.co/JIdv6i4mGT</t>
  </si>
  <si>
    <t>Rodolfo Amstalden: Vista seu boné vermelho e entre na floresta
#ações
https://t.co/geU9u5otGj</t>
  </si>
  <si>
    <t>Day trade na B3: Como lucrar até 6,8% com ação da SLC Agrícola (SLCE3) hoje? Veja a recomendação para o pregão
#ações #AoVivo #BolsadeValores
https://t.co/VTqTqv2in0</t>
  </si>
  <si>
    <t>Descubra as oportunidades em ações brasileiras que se abrem com as quedas do Ibovespa em agosto
#ações #bolsa #BolsadeValores
https://t.co/q0mzBrIepM</t>
  </si>
  <si>
    <t>Day trade na B3: Ação da Equatorial (EQTL3) pode render lucro de 6% hoje; veja a recomendação para o pregão
#ações #AoVivo #BolsadeValores
https://t.co/BwVSeb2878</t>
  </si>
  <si>
    <t>O sonho acabou? Estrangeiros saem em debandada da bolsa brasileira com aversão ao risco e ‘concorrência’ de investimentos nos EUA 
#ações #bolsa #investimentos
https://t.co/crpBZt4MJv</t>
  </si>
  <si>
    <t>Por que o Ibovespa caiu tanto? Índice emplacou sequência inédita de 13 quedas e já acumula perda de mais de 5% no mês; fim da linha ou oportunidade para a bolsa?
#ações #BolsadeValores #Ibovespa
https://t.co/ykCZ5slVQs</t>
  </si>
  <si>
    <t>Ação pagou dividendos, mas eles não aparecem na minha conta; corretora sumiu com meu dinheiro?
#ações #Corretoras #DireitodoConsumidor
https://t.co/Zi36G3sBQe</t>
  </si>
  <si>
    <t>Por que as ações deveriam subir quando a Selic cai? Esses 5 fatores são os principais responsáveis; entenda
#ações #ConteúdoEmpiricus #Selic
https://t.co/rtFc33RGIp</t>
  </si>
  <si>
    <t>Inter (INBR32) tem maior lucro desde o IPO no 2T23, mas segue longe da meta de rentabilidade
#ações #AoVivo #balanços
https://t.co/1PUb0axbMI</t>
  </si>
  <si>
    <t>Day trade na B3: Ação da Randon (RAPT4) pode render lucro de 7,9% hoje; veja a recomendação para o pregão
#ações #AoVivo #BolsadeValores
https://t.co/taxqhbGFBY</t>
  </si>
  <si>
    <t>Xô, covid! China suspende proibição de viagens em grupo para 70 destinos e ações de turismo disparam
#ações #AoVivo #BolsadeValores
https://t.co/XFmGCdIrsG</t>
  </si>
  <si>
    <t>Day trade na B3: Ação da Embraer (EMBR3) pode render lucro de 7% hoje; veja a recomendação para o pregão
#ações #AoVivo #BolsadeValores
https://t.co/H79cYZl4wq</t>
  </si>
  <si>
    <t>Ué, mas o e-commerce da Amazon não valia zero? O que esperar das ações da big tech após a disparada recente
#ações #Amazon #bigtechs
https://t.co/ev3IOXWg3x</t>
  </si>
  <si>
    <t>Por que a bolsa só cai em agosto mesmo com a queda da Selic? Confira 4 motivos para a queda do Ibovespa no mês — e o que esperar agora
#ações #AoVivo #bolsa
https://t.co/a4xxueDxSh</t>
  </si>
  <si>
    <t>Petrobras (PETR4) pagou mais dividendos aos acionistas do que Exxon, Chevron, BP e Shell no primeiro semestre
#ações #BP #Chevron
https://t.co/ENjIAw5sKf</t>
  </si>
  <si>
    <t>Petrobras (PETR4) “toca Lulu” com nova política de dividendos; porque as ações sobem apesar do corte nos proventos aos acionistas
#ações #combustíveis #Dividendos
https://t.co/82EcMQmmO5</t>
  </si>
  <si>
    <t>Day trade na B3: Compra das ações Aes Brasil (AESB3) pode render at 4% de lucro; veja recomendação para o pregão de hoje
#ações #AESTietê #AoVivo
https://t.co/dEkxA44N98</t>
  </si>
  <si>
    <t>Além da renda: este gráfico mostra como você pode usar os dividendos para fazer seu patrimônio crescer mais rápido
#ações #BolsadeValores #Dividendos
https://t.co/ukfdZlCRwk</t>
  </si>
  <si>
    <t>3R Petroleum (RRRP3): produção dispara em junho e ações acompanham na B3 — analista diz que é hora de comprar
#3r #ações #AoVivo
https://t.co/wtf5SdStEw</t>
  </si>
  <si>
    <t>Caixa Seguridade salta 30% na bolsa no primeiro semestre e fica acima do preço do IPO; o que impulsiona as ações CXSE3?
#ações #bolsa #CaixaSeguridade
https://t.co/b1rTlibnlw</t>
  </si>
  <si>
    <t>BR Properties (BRPR3) vai distribuir R$ 732 milhões aos acionistas com nova redução de capital e aprova grupamento de ações
#ações #BRProperties
https://t.co/U6Hr9hkH15</t>
  </si>
  <si>
    <t>Gol (GOLL4) dispara 60% no mês e anota maior alta do Ibovespa; Méliuz (CASH3) e Magazine Luiza (MGLU3) recuam forte e aparecem entre as maiores quedas de junho
#Gol #Ações #Ibovespa #MagazineLuiza
https://t.co/DUeA8HfWV4</t>
  </si>
  <si>
    <t>Leilão de transmissão: Eletrobras, Engie, e Cteep vencem, mas quem não levou também sai ganhando
#ações #Eletrobras #energia
https://t.co/DZnI2a1oNC</t>
  </si>
  <si>
    <t>MRV (MRVE3) “made in USA”: ações disparam na B3 após nova venda milionária em dólar — e pode vir mais por aí
#ações #AoVivo #ConstruçãoCivil
https://t.co/yV4YhJZGbc</t>
  </si>
  <si>
    <t>Apple (AAPL34) é a primeira empresa do mundo a atingir US$ 3 trilhões em valor de mercado
#ações #AoVivo #Apple
https://t.co/Z7JDFMeBAW</t>
  </si>
  <si>
    <t>Direcional (DIRR3) sai com desconto de 4,2% em oferta de ações e incorporadora capta R$ 429 milhões
#ações #AoVivo #DirecionalEngenharia
https://t.co/KQmnzYisPN</t>
  </si>
  <si>
    <t>Day trade na B3: Saiba como lucrar até 11% com ações da Dexco (DXCO3) hoje
#ações #AMBP3 #AoVivo
https://t.co/D7FvPqAP1i</t>
  </si>
  <si>
    <t>Conta dos investidores vendidos nas ações da Via (VIIA3) indica Ebitda negativo e necessidade bilionária de capital
#ações #AoVivo #balanços
https://t.co/b7GfdUvSzs</t>
  </si>
  <si>
    <t>Copel (CPLE3): vale a pena se antecipar à privatização e comprar as ações antes? Este banco acha que sim
#ações #AoVivo #BankofAmericaMerrillLynch
https://t.co/5pRXp7z9yI</t>
  </si>
  <si>
    <t>Inter sai das mínimas e dobra de valor em dólar em três meses. Agora o JP Morgan quer ver o banco entregar o que prometeu
#ações #AoVivo #BancoInter
https://t.co/b5B9NamqRU</t>
  </si>
  <si>
    <t>Pista cheia de oportunidades? JP Morgan prevê alta de 53% para ações da Marcopolo (POMO4) — já a Metal Leve sai do radar
#ações #AoVivo #BolsadeValores
https://t.co/hlyAVxjJrJ</t>
  </si>
  <si>
    <t>Petrobras: a história dos dividendos ainda não acabou e ação tem espaço para subir mais, diz Morgan Stanley
#ações #ADRs #AoVivo
https://t.co/VdXVKWNcU1</t>
  </si>
  <si>
    <t>Itaúsa (ITSA4) vai embolsar mais de R$ 1 bilhão com venda de fatia na XP
#ações #AoVivo #BolsadeValores
https://t.co/HkVUw0sXDG</t>
  </si>
  <si>
    <t>Day trade na B3: Saiba como lucrar até 11% com ações da Camil (CAML3) hoje
#ações #AoVivo #bolsa
https://t.co/YTlRpqHaOC</t>
  </si>
  <si>
    <t>Day trade na B3: Saiba como você pode lucrar até 6% com ações do Banco ABC Brasil (ABCB4) hoje
#ações #AoVivo #bolsa
https://t.co/wK2qwhR87g</t>
  </si>
  <si>
    <t>Para além dos ruídos do mercado financeiro: Confira 6 motivos para ficar otimista com ações
#ações #AoVivo #bolsa
https://t.co/L30Jp856bL</t>
  </si>
  <si>
    <t>O melhor investimento para a Cosan (CSAN3) é nela mesma. Por que a empresa prefere recompra de ações a outros investimentos e vê IPOs só a partir de 2024
#ações #Cosan #IPO
https://t.co/v2kQSFxQW3</t>
  </si>
  <si>
    <t>Vale (VALE3): por que as ações voltaram a ser “queridinhas” dos analistas mesmo depois da queda de 24% no ano e o que ainda pode dar errado para a empresa
#ações #Economia #Vale
https://t.co/QdMLIODmdS</t>
  </si>
  <si>
    <t>Fórmula mágica para ganhar dinheiro com ações na bolsa? Ela existe — mas poucos investidores conseguem “vencer” o mercado
#ações #AoVivo #bolsa
https://t.co/kDDNUtOVfJ</t>
  </si>
  <si>
    <t>Via (VIIA3): taxa para operar vendido na ação na B3 chega a quase 100% na véspera da definição de oferta de ações
#ações #AoVivo #bolsa
https://t.co/27JuGWVi0d</t>
  </si>
  <si>
    <t>Day trade na B3: Como lucrar até 8.5% com ações da JHSF (JHSF3) hoje
#ações #AoVivo #bolsa
https://t.co/AnTABxNMgc</t>
  </si>
  <si>
    <t>Oncoclínicas (ONCO3) fecha acordo milionário com Unimed Recife; entenda a operação
#ações #AoVivo #BolsadeValores
https://t.co/tBLoanjdFF</t>
  </si>
  <si>
    <t>Esta ação fora do radar já disparou 190% desde o ‘re-IPO’ e ainda há espaço para mais — papel foi recomendado por um dos maiores bancos de investimento do mundo; veja 
#ações #BolsadeValores #Economia
https://t.co/CdzwrYGlFw</t>
  </si>
  <si>
    <t>Copel (CPLE6) e Eletrobras (ELET3) estão entre as apostas desse gestor “trader”, mas outras duas privatizações estão no radar; entenda
#ações #BolsadeValores #Copasa
https://t.co/ceO0Wbd09c</t>
  </si>
  <si>
    <t>Mickey Mouse de presente? O megainvestidor Warren Buffett tem uma “Disney” em caixa
#ações #bolsa #BolsadeValores
https://t.co/6nn4iyEY9v</t>
  </si>
  <si>
    <t>O que falta para a retomada de IPOs na bolsa?
#ações #bolsa #BolsadeValores
https://t.co/WGA32l9CDj</t>
  </si>
  <si>
    <t>Braskem (BRKM5) lidera os ganhos e Magazine Luiza (MGLU3) despenca — veja o que foi destaque na bolsa na semana
#ações #AjusteFiscal #commodities
https://t.co/0xcbP2bji4</t>
  </si>
  <si>
    <t>Quanto vale a CNova? Pão de Açúcar (PCAR3) abre negociação com controlador por participação em empresa de comércio eletrônico
#ações #AoVivo #Casino
https://t.co/USfiXNT7vi</t>
  </si>
  <si>
    <t>Vamos (VAMO3) compra frota da Petrópolis e vai alugar caminhões para dona da cerveja Itaipava
#ações #AoVivo #GrupoPetrópolis
https://t.co/nQ2f58WYtg</t>
  </si>
  <si>
    <t>Para obter retornos extraordinários com ações, é preciso procurar longe dos holofotes; veja o exemplo de um papel “desconhecido” que já subiu 190%
#ações #Smallcaps
https://t.co/wJvK07gatK</t>
  </si>
  <si>
    <t>O que fez as ações de Magazine Luiza (MGLU3), Alpargatas (ALPA4) e outras caírem na B3
#ações #Alpargatas #bolsa
https://t.co/d8U7JKADgD</t>
  </si>
  <si>
    <t>A Copel (CPLE6) corre o risco de virar uma nova Eletrobras (ELET6)? Saiba o que esperar das ações da ex-estatal na B3 após a privatização
#ações #AoVivo #BolsadeValores
https://t.co/kdTfD3VkHA</t>
  </si>
  <si>
    <t>Por que a empresa de educação à distância vai trocar a Nasdaq pela B3 em decisão inédita no mercado de ações brasileiro
#ações #B3 #Educação
https://t.co/YYOgnIfj88</t>
  </si>
  <si>
    <t>Light (LIGT3) desiste de recuperação judicial e negocia direto com credores, dizem veículos de imprensa
#ações #energia #Light
https://t.co/7f2f1V2LHt</t>
  </si>
  <si>
    <t>As melhores – ou menos piores – carteiras recomendadas de ações em agosto: em mês difícil para a bolsa, apenas duas superaram o Ibovespa
#ações #BolsadeValores #Ibovespa
https://t.co/wXgmLH8pjp</t>
  </si>
  <si>
    <t>A Valid (VLID3) é uma anomalia na B3? Saiba como usar o fluxo ao seu favor para encontrar oportunidades na bolsa
#ações #AoVivo #bolsa
https://t.co/n9g7yX23vt</t>
  </si>
  <si>
    <t>É o fim dos dividendos robustos das elétricas? Saiba o que esperar dos proventos da Taesa (TAEE11) e outras duas empresas do setor
#ações #ALUP11 #Alupar
https://t.co/aOpeaJtdiW</t>
  </si>
  <si>
    <t>Fusão à vista? Ações da Mobly (MBLY3) disparam mais de 16% com possível união de negócios com a Tok&amp;amp;Stok
#ações #AoVivo #Mercados
https://t.co/lAc6aec7M1</t>
  </si>
  <si>
    <t>Via (VIIA3) lança “promoção” para tentar captar cerca de R$ 1 bilhão em oferta de ações
#ações #AoVivo #bolsa
https://t.co/9AEYVlA5On</t>
  </si>
  <si>
    <t>A Cemig está mal avaliada? Ações CMIG4 estão entre as maiores altas do Ibovespa e este analista diz se chegou a hora de comprar
#*compra #ações #Alupar
https://t.co/UfyJIkPC1p</t>
  </si>
  <si>
    <t>Day trade na B3: Como lucrar até 7,4% com ação do Banco Pan (BPAN4) hoje? Confira a recomendação
#ações #AoVivo #BancoPan
https://t.co/CI5UkFhALw</t>
  </si>
  <si>
    <t>JP Morgan aumenta a aposta e amplia participação no C6 Bank após banco digital amargar prejuízo bilionário em 2022
#ações #AoVivo #C6Bank
https://t.co/7l4WHNZHsg</t>
  </si>
  <si>
    <t>Vale a pena abandonar as ações da Tupy (TUPY3) após troca de executivos na empresa? Saiba o que esperar dos papéis
#ações #AoVivo #bolsa
https://t.co/B0iCrrGlA8</t>
  </si>
  <si>
    <t>Day trade na B3: Como lucrar até 8% com ação da Eztec (EZTC3) hoje? Veja a recomendação
#ações #AoVivo #BolsadeValores
https://t.co/ouT7MXXDjd</t>
  </si>
  <si>
    <t>Evergrande: ações da incorporadora mais endividada do mundo despencam mais de 80% e colocam a China em apuros
#ações #China
https://t.co/DjWkrskiXU</t>
  </si>
  <si>
    <t>Minerva (BEEF3) e Petz (PETZ3) lideram ponta alta do Ibovespa; de Pão de Açúcar (PCAR3) e Via (VIIA3) operam em queda — saiba o que mexe com as ações hoje
#ações #AoVivo #Mercados
https://t.co/NfL7pmbFiv</t>
  </si>
  <si>
    <t>A nova ação favorita do JP Morgan no setor de educação tem potencial de alta de quase 80% na B3
#ações #AnimaInvestimentos #AoVivo
https://t.co/PwcrjrWVNI</t>
  </si>
  <si>
    <t>Trocou e caiu: Ações da Tupy (TUPY3) recuam 3% após governo indicar dois ministros para o alto escalão da companhia 
#ações #AoVivo #bolsa
https://t.co/OPBGlQ0Ecy</t>
  </si>
  <si>
    <t>Nubank (NUBR33): prazo para escolher conversão ou venda dos BDRs terminou nesta sexta (11); saiba o que acontece agora
#ações #bancos #BDRs
https://t.co/3s9xA9TJ2w</t>
  </si>
  <si>
    <t>Cyrela (CYRE3) define a data de pagamento de R$ 192 milhões em dividendos anunciados em abril; Yduqs (YDUQ3) antecipa proventos
#ações #Cyrela #Dividendos
https://t.co/nfuTh5h9kU</t>
  </si>
  <si>
    <t>Petrobras (PETR4) entra no jogo e desembolsará R$ 323 bilhões para o novo PAC, diz governo federal; veja como irá funcionar
#ações #energiasrenováveis #PETR3
https://t.co/sb5Qe9E5Xo</t>
  </si>
  <si>
    <t>Selic está só começando a cair: o que não te contaram sobre o futuro da taxa de juros no Brasil e o que esperar do dólar, renda fixa e bolsa agora
#ações #Dólar #Ibovespa
https://t.co/55KvP2HS0y</t>
  </si>
  <si>
    <t>Petrobras (PETR4): a razão para o UBS BB deixar de recomendar a venda das ações da estatal e elevar o preço-alvo
#ações #AoVivo #BancoUBS
https://t.co/3iuAFmZd5p</t>
  </si>
  <si>
    <t>Via (VIIA3) quer dinheiro da Faria Lima para financiar o crediário das Casas Bahia; ações reagem em alta ao plano de reestruturação
#ações #AoVivo #fundosdeinvestimento
https://t.co/3uCpQCsMgL</t>
  </si>
  <si>
    <t>Day trade na B3: Ação da Natura (NTCO3) pode render lucro de 7,5% hoje; veja a recomendação para o pregão
#ações #AoVivo #BolsadeValores
https://t.co/rtoHEYOef4</t>
  </si>
  <si>
    <t>Por que tiramos as ações da Petrobras (PETR4) da nossa carteira de dividendos?
#ações #Dividendos #Empiricus
https://t.co/G5uO20bY1A</t>
  </si>
  <si>
    <t>Não se preocupe com a queda do Ibovespa: uma onda de alta das ações na B3 pode estar prestes a começar — veja os 10 papéis que podem decolar agora
#ações #B3 #BolsadeValores
https://t.co/52C18GgO1g</t>
  </si>
  <si>
    <t>Ação da Vibra (VBBR3) vale menos de R$ 1? É o que sugere o diretor da Petrobras (PETR4) em encontro com analistas, diz site
#ações #Braskem #investimentos
https://t.co/JFruTZW6vH</t>
  </si>
  <si>
    <t>Gol (GOLL4) perde altitude e lidera quedas do Ibovespa após este analista achar que as ações já subiram demais
#ações #AoVivo #Azul
https://t.co/g4lQQizuNt</t>
  </si>
  <si>
    <t>3R Petroleum: O mercado ficou pessimista com a ação. Ainda vale a pena ter RRRP3 na carteira?
#3r #3RPetroleum #ações
https://t.co/qDLh5reaEF</t>
  </si>
  <si>
    <t>Os cortes não param: Microsoft demite dezenas de funcionários nos Estados Unidos; entenda o movimento
#ações #AoVivo #bigtechs
https://t.co/MRjCC74IMx</t>
  </si>
  <si>
    <t>Day trade na B3: Como lucrar até 8% com ações da Metalúrgica Gerdau (GOAU4) hoje
#ações #AoVivo #BolsadeValores
https://t.co/RyaLG04V51</t>
  </si>
  <si>
    <t>Itaúsa (ITSA4) anuncia saída do conselho de administração da XP; entenda a operação
#ações #AoVivo #BolsadeValores
https://t.co/Pc1O7m5QiW</t>
  </si>
  <si>
    <t>Day trade na B3: Como lucrar até 8% com ações da Lojas Quero-Quero (LJQQ3) hoje
#ações #AoVivo #bolsa
https://t.co/FfM43BHSrr</t>
  </si>
  <si>
    <t>Sobe e desce da semana: Braskem (BRKM5) dispara 17% e comanda rali do Ibovespa; Renner (LREN3) e Magalu (MGLU3) lideram perdas
#ações #B3 #bolsa
https://t.co/VaIHOxtCgC</t>
  </si>
  <si>
    <t>Via (VIIA3) capta R$ 1,1 bilhão com debêntures para rolar dívida de curto prazo, mas a custo alto
#ações #Crédito #Debêntures
https://t.co/YSf9QnsAGr</t>
  </si>
  <si>
    <t>Essa small cap tem potencial de valorização de 50% e é a nova queridinha do Itaú BBA; entenda o otimismo com as ações
#ações #AoVivo #JSL
https://t.co/xtxS9TZh9r</t>
  </si>
  <si>
    <t>Culpa do Lula? UBS BB corta preço-alvo da ação da Eletrobras (ELET6)
#ações #AoVivo #Eletrobras
https://t.co/K80c9W1R44</t>
  </si>
  <si>
    <t>Day trade na B3: Saiba como lucrar até 7% com ações da Randon (RAPT4) hoje
#ações #AoVivo #bolsa
https://t.co/VLoqVzjYbo</t>
  </si>
  <si>
    <t>Na Petrobras (PETR4), o efeito “Maria vai com as outras” já está ocorrendo na bolsa — e você pode se aproveitar para lucrar
#ações #bolsa #PETR3
https://t.co/N5z3ZQXVNL</t>
  </si>
  <si>
    <t>Dividendos e JCP: Bradesco (BBDC4) aprova R$ 2 bilhões em proventos; veja até quando é possível receber
#ações #Bradesco #Dividendos
https://t.co/5nZB3L3FSG</t>
  </si>
  <si>
    <t>Santander eleva preço-alvo das ações da Natura para R$ 18 — é hora de colocar NTCO3 na sacola de compras?
#ações #AoVivo #Mercados
https://t.co/06WBPsq6ks</t>
  </si>
  <si>
    <t>MRV (MRVE3) divulga “prévia da prévia” do segundo trimestre e anima analistas; saiba se é hora de comprar as ações
#ações #AoVivo #ConstruçãoCivil
https://t.co/jV1pQsYJNV</t>
  </si>
  <si>
    <t>A Faria Lima é um condado provinciano — e é por isso que os brasileiros não surfaram o rali da bolsa
#ações #AoVivo #bolsa
https://t.co/F86tCFTb0o</t>
  </si>
  <si>
    <t>Saiu o “pacote” da CVC (CVCB3): empresa lança oferta de ações para aliviar situação financeira; veja as condições
#ações #AoVivo #CVC
https://t.co/E3lSRdw8NQ</t>
  </si>
  <si>
    <t>Day trade na B3: Saiba como lucrar até 8% com ações da Aliansce Sonae (ALSO3) hoje
#ações #AliansceSonae #ALSO3
https://t.co/YtypNBAkcd</t>
  </si>
  <si>
    <t>Hapvida está fora de perigo? Citi melhora classificação de HAPV3 e eleva preço-alvo para R$ 6
#ações #Citibank #Hapvida
https://t.co/fCHD3iRp8l</t>
  </si>
  <si>
    <t>Por que os minoritários da Braskem (BRKM5) deveriam torcer contra a Petrobras na disputa pela fatia da Novonor
#ações #bolsa #Braskem
https://t.co/hX8YkcGlaS</t>
  </si>
  <si>
    <t>Day trade na B3: Saiba como lucrar até 6% com ações da Direcional (DIRR3) hoje
#ações #AoVivo #bolsa
https://t.co/4dLz4tcoFi</t>
  </si>
  <si>
    <t>Copel (CPLE6) vence Eletrobras e se torna a ação de energia favorita do BTG Pactual. O que esperar dos papéis?
#ações #AoVivo #BolsadeValores
https://t.co/nScTBO9Ey9</t>
  </si>
  <si>
    <t>Day trade na B3: Como lucrar até 11.4% com ações da Qualicorp (QUAL3) e da TOTVS (TOTS3) hoje
#ações #AoVivo #bolsa
https://t.co/1ZOFI1dyIE</t>
  </si>
  <si>
    <t>Esqueça os dividendos ‘gordos’ da Petrobras: aqui está o motivo pelo qual você deve fugir de PETR4 agora —  “é uma uma questão de risco e retorno”, enxerga analista
#ações #Economia #Petrobras
https://t.co/cshNYugZ28</t>
  </si>
  <si>
    <t>Nubank vs. Itaú: o brasileiro elegeu seu banco preferido, mas o vencedor pode colocar tudo a perder — entenda por quê
#ações #B3 #BolsadeValores
https://t.co/9s2qVZoqZz</t>
  </si>
  <si>
    <t>O que a Cosan (CSAN3) espera com a fatia que comprou da Vale (VALE3) afinal? Empresa deixa em aberto venda ou compra de mais ações, mas deixa pistas; entenda
#ações #Cosan #Vale
https://t.co/kaZMUlf5c2</t>
  </si>
  <si>
    <t>Prepare o bolso: saiba quanto vai custar o novo iPhone 15 e a nova geração de Apple Watch no Brasil
#ações #Apple #TimCook
https://t.co/Ki8DuoWYjC</t>
  </si>
  <si>
    <t>Por que a XP considera “perigoso” comprar ações da Braskem (BRKM5) com aposta na venda da fatia da ex-Odebrecht
#ações #AoVivo #Braskem
https://t.co/Ha1N32t3rp</t>
  </si>
  <si>
    <t>Nubank passa Itaú e se torna o principal banco de 1 em cada 4 brasileiros; ação pode subir até 30%, diz JP Morgan
#ações #AoVivo #bancos
https://t.co/maWBW8MMDD</t>
  </si>
  <si>
    <t>Americanas (AMER3) apresenta três supostas provas contra ex-CEO após executivo falar que sócio e filho de Lemann sabiam de fraude
#ações #Americanas #AoVivo
https://t.co/yZ7kCkXNwC</t>
  </si>
  <si>
    <t>Day trade na B3: Como lucrar até 6% com ações da 3R Petroleum (RRRP3) hoje
#ações #AoVivo #bolsa
https://t.co/UarPeuiJjr</t>
  </si>
  <si>
    <t>É hora de voltar a investir na Vale (VALE3)? O que está fazendo a visão sobre a mineradora melhorar e o que ainda pode dar errado após a queda de 25% das ações no ano
#ações #AoVivo #bolsa
https://t.co/NHpBy0lYce</t>
  </si>
  <si>
    <t>China afrouxa regras para seguradoras investirem em ações, em novo estímulo à economia
#ações #BolsadeValores #China
https://t.co/44wLhv8Imm</t>
  </si>
  <si>
    <t>Apple banida na China? Ações da gigante caem com restrições ao uso do iPhone
#ações #Apple #bolsa
https://t.co/YsRqygIqQ4</t>
  </si>
  <si>
    <t>Você quer pagar ou lucrar com pedágio? Analistas elevam projeção e indicam compra de ações de CCR e EcoRodovias
#ações #AoVivo #bolsa
https://t.co/DFKyLHY8Qc</t>
  </si>
  <si>
    <t>Um ano após buscar dinheiro com acionistas, Infracommerce (IFCM3) pretende captar até R$ 277 milhões em oferta de ações com demanda “quase” garantida
#ações #AoVivo #BolsadeValores
https://t.co/GfMxbaoW79</t>
  </si>
  <si>
    <t>Day trade na B3: Como lucrar até 6% com ação da da MRV (MRVE3) hoje? Confira a recomendação
#ações #AoVivo #BolsadeValores
https://t.co/pfuPWd3ISR</t>
  </si>
  <si>
    <t>Day trade na B3: Como lucrar até 6% com ação da Hidrovias do Brasil (HBSA3) hoje? Confira a recomendação
#ações #AoVivo #BolsadeValores
https://t.co/4KCypBMSNH</t>
  </si>
  <si>
    <t>As ações da Localiza (RENT3) ainda valem a pena? Banco conta por que segue otimista com a locadora de veículos mesmo após piora no último trimestre
#ações #alugueldecarros #ItaúBBA
https://t.co/skjYBMEhlL</t>
  </si>
  <si>
    <t>JBS (JBSS3) propõe mudança na estrutura da dupla listagem das ações em NY e na B3 — o que muda para o investidor? 
#ações #ADRs #AoVivo
https://t.co/E6nOM5Hbss</t>
  </si>
  <si>
    <t>Bradesco (BBDC4) ultrapassa Banco do Brasil (BBAS3) e se torna o favorito de ‘Warren Buffett de Londrina’
#ações #AoVivo #BancodoBrasil
https://t.co/oZHXx6jeKH</t>
  </si>
  <si>
    <t>Culpa do Bolsonaro? Por que a Rolex derrubou as ações de uma varejista de luxo na Suíça — papéis derreteram quase 30% hoje
#ações #AoVivo #bolsa
https://t.co/yK6T9iyJni</t>
  </si>
  <si>
    <t>Mercado Livre (MELI34) é a maior aposta da Encore Asset. Descubra quais ações estão na carteira da gestora
#ações #AoVivo #BolsadeValores
https://t.co/kxBz3aqt4A</t>
  </si>
  <si>
    <t>Chegou a hora de comprar ações da XP, recomenda analista do principal concorrente; potencial de alta é de quase  40%
#ações #AoVivo #BTGPactual
https://t.co/xCZ1a2FF0W</t>
  </si>
  <si>
    <t>O erro do trader que opera pelas manchetes
#ações #AoVivo #bolsa
https://t.co/xQgqH9H9y0</t>
  </si>
  <si>
    <t>Day trade na B3: Ação da Tim (TIMS3) pode render lucro de 4,6% hoje; veja a recomendação para o pregão
#ações #AoVivo #BolsadeValores
https://t.co/4G2P04bPea</t>
  </si>
  <si>
    <t>Stone (STOC31): ações levam um tombo após lucro subir quase 500% no 2T23 — quem é o vilão dessa queda?
#ações #AoVivo #balanços
https://t.co/5HLxR4ODZa</t>
  </si>
  <si>
    <t>Bank of America eleva o preço-alvo do Inter antes do balanço. O que o banco americano viu nos papéis INBR32?
#ações #AoVivo #balanços
https://t.co/xLFohgGg5W</t>
  </si>
  <si>
    <t>Day trade na B3: Ação da Cosan (CSAN3) pode render lucro de 4,8% hoje; veja a recomendação para o pregão
#ações #AoVivo #BolsadeValores
https://t.co/InH9bVdz7e</t>
  </si>
  <si>
    <t>BTG Pactual (BPAC11) tem lucro recorde no 2T23 e supera Itaú em rentabilidade
#ações #AoVivo #balanços
https://t.co/cjWbzDXffJ</t>
  </si>
  <si>
    <t>Acionistas do Grupo Pão de Açúcar (PCAR3) vão receber BDRs do Êxito no dia 22 de agosto; veja como vai funcionar
#ações #ADRs #BDRs
https://t.co/WrrDPiP9Zb</t>
  </si>
  <si>
    <t>CVC (CVCB3) segue no vermelho: o que levou a operadora de turismo a ter prejuízo 76% maior no 2T23
#ações #balanços #CVC
https://t.co/YEyATaIt87</t>
  </si>
  <si>
    <t>Eletrobras (ELET3) tem melhor balanço desde a privatização, afirma Santander. Entenda o que o mercado gostou no resultado
#ações #AoVivo #B3
https://t.co/Ss32FWFx5x</t>
  </si>
  <si>
    <t>Locaweb: Bank of America melhora recomendação e ações chegam a liderar a alta do Ibovespa. Por que o banco está tão otimista com LWSA3?
#ações #AoVivo #BankofAmericaMerrillLynch
https://t.co/aJnngpOGEP</t>
  </si>
  <si>
    <t>Fundo Verde aposta na queda do dólar apesar da Selic menor e bolsa em alta. Mas um convidado pode estragar a festa
#ações #Dólar #Fundosmultimercados
https://t.co/fCoLx67vuM</t>
  </si>
  <si>
    <t>Onde o calo aperta: Com balanço mais fraco que o esperado, ação da Centauro (SBFG3) despenca 23% na B3
#ações #AoVivo #B3
https://t.co/pTeMzuzMxJ</t>
  </si>
  <si>
    <t>Day trade na B3: Compra das ações da NeoEnergia (NEOE3) pode render lucro de 7,8% hoje; veja a recomendação para o pregão
#ações #AoVivo #BolsadeValores
https://t.co/QtHoKQtebe</t>
  </si>
  <si>
    <t>Felipe Miranda: Ibovespa a 200 mil pontos, é possível?
#ações #bolsa #ExileonWallStreet
https://t.co/1dcEwR97Sw</t>
  </si>
  <si>
    <t>Selic mais baixa ajudou? Bank of America melhora recomendação para Assaí (ASAI3) e ação sobe na B3
#ações #AoVivo #Assaí
https://t.co/ecg84XtVb3</t>
  </si>
  <si>
    <t>BB Seguridade (BBSE3): a ação defensiva com potencial de crescimento e dividendos gordos — só em agosto serão pagos R$ 3,2 bilhões
#ações #AoVivo #BBSeguridade
https://t.co/vSE2nfDXob</t>
  </si>
  <si>
    <t>Day trade na B3: Como lucrar até 7% com ações da Construtora Tenda (TEND3) hoje
#ações #AoVivo #bolsa
https://t.co/eABORtdswP</t>
  </si>
  <si>
    <t>Por que um dos melhores investimentos até aqui tem bons motivos para ser um dos melhores do segundo semestre também
#ações #bolsa #investimentos
https://t.co/jIr5pgyxjJ</t>
  </si>
  <si>
    <t>Klabin (KLBN11) perde para a Suzano (SUZB3) na preferência do Itaú BBA; sabia por quê
#ações #AoVivo #ItaúBBA
https://t.co/oAMWgHdNNH</t>
  </si>
  <si>
    <t>Gol (GOLL4) recua 7% e arrasta Azul (AZUL4), mas não é (apenas) culpa do dólar — o que está por trás da queda das companhias aéreas?
#ações #AoVivo #Azul
https://t.co/YwKNTAOY2U</t>
  </si>
  <si>
    <t>O número que faz o dólar tocar os R$ 4,95, derruba as bolsas mundo afora e não poupa nem o petróleo
#ações #AoVivo #EstadosUnidos(EUA)
https://t.co/pTJ4ZRQUPn</t>
  </si>
  <si>
    <t>É o fim do varejo? Magazine Luiza (MGLU3) e Via (VIIA3) estão ‘tecnicamente quebradas’ — e a culpa não é da Americanas
#ações #AMER3 #Americanas
https://t.co/PNFFdUWNNF</t>
  </si>
  <si>
    <t>Day trade na B3: Como lucrar até 6% com ações da São Martinho (SMTO3) hoje
#ações #AoVivo #bolsa
https://t.co/xLFUGR93F3</t>
  </si>
  <si>
    <t>Onde investir em tecnologia no segundo semestre de 2023 após a disparada do Nasdaq
#ações #bigtechs #bolsa
https://t.co/i2H4vWldmx</t>
  </si>
  <si>
    <t>Ibovespa em bull market, 10 ações para julho e um FII com potencial para render 18%; saiba mais
#ações #ConteúdoEmpiricus #Fundosimobiliários
https://t.co/sDQ499E4DF</t>
  </si>
  <si>
    <t>Nem Vale (VALE3) nem CSN Mineração (CMIN3). Por que a XP segue cautelosa com as ações apesar da queda na B3
#ações #AoVivo #CSN
https://t.co/y848U4CQDx</t>
  </si>
  <si>
    <t>Gerdau (GGBR4) ou CSN (CSNA3)? XP recomenda a compra das duas ações, mas escolhe uma favorita
#ações #AoVivo #CSN
https://t.co/G4MSj7G8cg</t>
  </si>
  <si>
    <t>Day trade na B3: Como lucrar até 5% com ações da Enauta (ENAT3) hoje
#ações #AoVivo #bolsa
https://t.co/o2jmLsq7yK</t>
  </si>
  <si>
    <t>Onde investir: 16 ações recomendadas para surfar a alta esperada da bolsa no segundo semestre
#ações #bolsa #BolsadeValores
https://t.co/bp0ikKWGPu</t>
  </si>
  <si>
    <t>Uma salvação para o Pão de Açúcar? Por que as ações PCAR3 subiram 10% e reinaram no Ibovespa hoje
#ações #Casino #PãodeAçúcar
https://t.co/oKvq1eI1aN</t>
  </si>
  <si>
    <t>Bolsa barata e queda de juros? Entenda por que não baixar a guarda mesmo com o cenário mais otimista para o mercado financeiro
#ações #bolsa #BolsadeValores
https://t.co/s1JgCnlnGW</t>
  </si>
  <si>
    <t>É fraude! Americanas (AMER3) enfim revela como a diretoria anterior provocou o rombo contábil bilionário — e dá nome aos bois
#ações #Americanas #AoVivo
https://t.co/0xaTQkw3Tm</t>
  </si>
  <si>
    <t>Santander (SANB11) pode ter que refazer provisão bilionária que engordou o balanço do primeiro trimestre
#ações #AoVivo #bancos
https://t.co/cLBJCE7MMj</t>
  </si>
  <si>
    <t>Day trade na B3: Saiba como lucrar até 9% com ações da Sanepar (SAPR4) hoje
#ações #AoVivo #bolsa
https://t.co/8ueOMZ5CIW</t>
  </si>
  <si>
    <t>Felipe Miranda: no mercado de ações, mentiras sinceras me interessam
#ações #bolsa #ExileonWallStreet
https://t.co/keA52TT7Dv</t>
  </si>
  <si>
    <t>Petroleira que cresceu às sombras da Petrobras é a nova queridinha dos analistas para junho – um ‘bancão’ que disparou na bolsa em maio também entrou na lista; confira as apostas dos analistas
#ações #Açõesdomês #B3
https://t.co/sBu3sht6Aj</t>
  </si>
  <si>
    <t>JP Morgan também se rende à Petrobras (PETR4). Por que o banco se juntou à lista dos que recomendam a compra das ações da estatal
#ações #AoVivo #Dividendos
https://t.co/3k5dIYpLYK</t>
  </si>
  <si>
    <t>Rodolfo Amstalden: commodities e bolsa — ou quando o problema é a solução, e vice-versa
#ações #bolsa #commodities
https://t.co/uvTBOqayMB</t>
  </si>
  <si>
    <t>Com corte da Selic no segundo semestre, ações da B3 (B3SA3) podem subir mais de 30%, projeta BofA
#ações #AoVivo #B3
https://t.co/3nKk10WBLG</t>
  </si>
  <si>
    <t>Taesa (TAEE11) recebe aval para operar novo trecho em linha de transmissão no RS; operação adiciona milhões em receita
#ações #AoVivo #BolsadeValores
https://t.co/YSJTdkjbzm</t>
  </si>
  <si>
    <t>Netflix tenta reconquistar fãs com novas temporadas de Black Mirror e The Witcher; veja todos os lançamentos de junho
#ações #AoVivo #Cinema
https://t.co/oYYb5OS8rP</t>
  </si>
  <si>
    <t>SLC Agrícola (SLCE3) mira biocombustíveis e startups para crescer, mas sem deixar de engordar a conta dos acionistas com dividendos
#ações #EspeciaisSD #Mercados
https://t.co/66yIUHaPKh</t>
  </si>
  <si>
    <t>O poker dos investimentos: saiba o risco que você quer correr
#ações #bolsa #BolsadeValores
https://t.co/plYbSIdHvi</t>
  </si>
  <si>
    <t>Felipe Miranda: café com Warren Buffett e Elon Musk
#ações #BerkshireHathaway #bolsa
https://t.co/E2UUUCHxmK</t>
  </si>
  <si>
    <t>A CVM julga a polêmica: Petrobras (PETR4) distribuiu dividendos além da conta?
#ações #AoVivo #CVM
https://t.co/PZtYldZDhU</t>
  </si>
  <si>
    <t>Movida (MOVI3) recalcula a rota e muda suas projeções para os próximos anos — veja o que mudou
#ações #AoVivo #Mercados
https://t.co/cuIXsVNK6W</t>
  </si>
  <si>
    <t>O BLACK PINK vai acabar? Risco preocupa investidores, e ações da YG Entertainment derretem na bolsa de Seul
#BLACKPINK #YGENTERTAIMENT #ações
https://t.co/aSgiNDAP1m</t>
  </si>
  <si>
    <t>Vale a pena: para JP Morgan, chegou a hora de comprar VALE3, mas ações sobem por outros motivos; descubra quais
#ações #AoVivo #China
https://t.co/ow4jW3w4nI</t>
  </si>
  <si>
    <t>Day trade na B3: Como lucrar até 15,5% com ação do Helbor (HBOR3) hoje? Confira a recomendação
#ações #AoVivo #BolsadeValores
https://t.co/0QL6XTvqeK</t>
  </si>
  <si>
    <t>Vale (VALE3) e a síndrome do “vendedor sincero”. Por que você deve comprar as ações da mineradora apesar do “risco China”
#ações #China #SextoucomoRuy
https://t.co/yV5FgmtLdJ</t>
  </si>
  <si>
    <t>Day trade na B3: Como lucrar até 11,3% com ação da Copasa (CSMG3) hoje? Veja a recomendação para o pregão
#ações #AoVivo #BolsadeValores
https://t.co/21LaTE9ubo</t>
  </si>
  <si>
    <t>Day trade na B3: Ação da Copasa (CSMG3) pode render lucro de 7,8% hoje; veja a recomendação para o pregão
#ações #AoVivo #BolsadeValores
https://t.co/o9HKtR1FsP</t>
  </si>
  <si>
    <t>O Duolingo já vale mais que o Magazine Luíza. Você deveria investir nas ações?
#ações #MagazineLuiza #tecnologia
https://t.co/3BYIYC9S38</t>
  </si>
  <si>
    <t>Sabesp (SBSP3) dá passo crucial rumo à privatização e ações respondem com salto de 7% na B3; entenda o que está em jogo
#ações #AoVivo #Estatais
https://t.co/5A0K5iIoBZ</t>
  </si>
  <si>
    <t>Conheça a história da VinFast, a problemática montadora vietnamita que superou a Ford e a BMW em valor de mercado
#ações #AoVivo #Automóveis
https://t.co/tBw2s0zUTX</t>
  </si>
  <si>
    <t>IRB (IRBR3) dispara 13% e lidera os ganhos do Ibovespa após nova recomendação do Citi. O que fez os analistas mudarem de opinião sobre as ações?
#ações #AoVivo #B3
https://t.co/rBodIrq3Dc</t>
  </si>
  <si>
    <t>Itaú (ITUB4) fora do ar? Aplicativo do banco registra instabilidade pela manhã
#ações #AoVivo #bancos
https://t.co/nDbxLLknkH</t>
  </si>
  <si>
    <t>Entre os bancões privados, o Itaú (ITUB4) segue destoando do resto: lucro deve crescer 12% no 2T23, com rentabilidade acima de 20%
#ações #AoVivo #balanços
https://t.co/qH5tNern94</t>
  </si>
  <si>
    <t>Day trade na B3: Compra dos papéis da Qualicorp (QUAL3) pode render lucro de 7,7% hoje; veja recomendação para o pregão
#ações #AoVivo #BolsadeValores
https://t.co/fcC3GXAQbs</t>
  </si>
  <si>
    <t>Ibovespa subiu forte, mas quatro bancos superaram a performance do índice em julho com carteiras recomendadas de ações; veja quais
#ações #Ibovespa
https://t.co/deNoj5BCMb</t>
  </si>
  <si>
    <t>Via (VIIA3) despenca 12% mesmo após corte na Selic e registra maior queda do Ibovespa na semana; confira as maiores altas do índice
#ações #bolsa #Bradesco
https://t.co/RcCGPNsaiu</t>
  </si>
  <si>
    <t>Méliuz (CASH3) lidera pelotão dos ganhos do Ibovespa e IRB (IRBR3) vai na direção oposta — veja o que foi destaque na bolsa na semana
#ações #bolsa #Ibovespa
https://t.co/sawN4XSdAK</t>
  </si>
  <si>
    <t>Usiminas: é hora de vender USIM5? Ações lideram perdas do Ibovespa após balanço do 2T23
#ações #AoVivo #Mercados
https://t.co/djdHzm9axd</t>
  </si>
  <si>
    <t>Day trade na B3: Compra das ações da EcoRodovias (ECOR3) pode render mais de 7% ao investidor; veja recomendação de hoje
#ações #AoVivo #BolsadeValores
https://t.co/jqNVifkEA1</t>
  </si>
  <si>
    <t>O que o ótimo resultado da Vivo (VIVT3) significa para os futuros dividendos da companhia?
#ações #balanços #bolsa
https://t.co/O1F8jrYFs7</t>
  </si>
  <si>
    <t>Assaí: Lucro cai à metade, mas ações lideram a ponta positiva do Ibovespa — vale encher o carrinho com ASAI3?
#ações #AoVivo #Assaí
https://t.co/XxWFOD2EQs</t>
  </si>
  <si>
    <t>Day trade na B3: Compra das ações da Cielo (CIEL3) e CSN Mineração (CMIN3) pode render mais de 5% ao investidor; veja recomendação do dia
#ações #AoVivo #BolsadeValores
https://t.co/Oou5dAODeO</t>
  </si>
  <si>
    <t>Ações da Netflix têm queda de 8% logo após os resultados do segundo trimestre. E agora, é hora de comprar?
#ações #balanços #bolsa
https://t.co/k3gL62eOYk</t>
  </si>
  <si>
    <t>Itaú passa a oferecer carteira automatizada de ações com base nas recomendações da Itaú Top 5 e da Carteira Dividendos
#ações #bancos #Itaú
https://t.co/HfM9DUIH0A</t>
  </si>
  <si>
    <t>Ações da Copel (CPLE3; CPLE6) avançam mais de 2% com lançamento da oferta pública que privatizará a companhia e deve movimentar até R$ 5 bilhões
#ações #AoVivo #Copel
https://t.co/Ys2hb1VPeJ</t>
  </si>
  <si>
    <t>Vale (VALE3) está prestes a concluir venda de operações de metais básicos para fundo saudita por US$ 25 bilhões
#ações #AoVivo #ArábiaSaudita
https://t.co/OTlUUNmsXf</t>
  </si>
  <si>
    <t>Day trade na B3: Oportunidade de compra das ações Telefônica Brasil (VIVT3); veja chance de ganhar mais de 5% com a recomendação do dia
#ações #AoVivo #BolsadeValores
https://t.co/uoOUepnzSQ</t>
  </si>
  <si>
    <t>Vamos (VAMO3) define preço de oferta de ações para expansão de frota, que movimentará R$ 1,3 bilhão
#ações #bolsa #follow-on
https://t.co/QXga1pd6bu</t>
  </si>
  <si>
    <t>Day trade na B3: Saiba como lucrar até 6% com ações da Ambipar (AMBP3) hoje
#ações #Ambipar #AMBP3
https://t.co/dD8okTeFlQ</t>
  </si>
  <si>
    <t>Me permita mudar de ideia: existe um cenário em que você pode obter retorno com esta ação
#ações #Fintech #tecnologia
https://t.co/ZBz9e8qghK</t>
  </si>
  <si>
    <t>CVM dá sinal verde para Nubank fechar capital no Brasil — como ficam os investidores e NuSócios?
#ações #BDRs #Nubank
https://t.co/xFkU4nJOrR</t>
  </si>
  <si>
    <t>Destaques da B3: BRF (BRFS3) e Vale (VALE3) lideram perdas do Ibovespa; saiba o que derruba as ações hoje
#ações #AoVivo #BRF
https://t.co/UqPHQ5QNws</t>
  </si>
  <si>
    <t>Esquadrilha da fumaça: Embraer voa junto com Gol e Azul — por que setor aéreo dá rasante na B3 hoje?
#ações #AoVivo #Azul
https://t.co/01fCW6raRa</t>
  </si>
  <si>
    <t>Day trade na B3: Saiba como lucrar até 12% com ações da Embraer (EMBR3) hoje
#ações #AoVivo #bolsa
https://t.co/VD8F8m3n3J</t>
  </si>
  <si>
    <t>Mais viva do que nunca: empresa na B3 pode pagar até 30% mais dividendos nos próximos anos, diz UBS BB
#ações #AoVivo #Dividendos
https://t.co/xskFVwI4RC</t>
  </si>
  <si>
    <t>Sr. Mercado, Margem de Segurança e ROIC: os 3 pilares da análise fundamentalista de ações
#ações #bolsa #BolsadeValores
https://t.co/gNDh2RSGyb</t>
  </si>
  <si>
    <t>Petrobras (PETR4) aproveita a onda positiva nos mercados e capta US$ 1,25 bilhão com títulos de dívida em dólar
#ações #AoVivo #BolsadeValores
https://t.co/LhbDl7gMgI</t>
  </si>
  <si>
    <t>Day trade na B3: Saiba como lucrar até 7% com ações da Metalúrgica Gerdau (GOAU4) hoje
#ações #AoVivo #bolsa
https://t.co/SR9KEE5dq4</t>
  </si>
  <si>
    <t>Cielo (CIEL3) pode perder a liderança da corrida das maquininhas no 2T23 — e uma rival está pronta para ‘roubar’ a posição, diz JP Morgan
#ações #AoVivo #BolsadeValores
https://t.co/qVu9op73Mw</t>
  </si>
  <si>
    <t>Essa ação teve 67% de retorno em 2023 e ainda continua barata. Descubra a empresa que está fora do radar dos grandes investidores
#ações #bolsa #BolsadeValores
https://t.co/bNDGwNkCG4</t>
  </si>
  <si>
    <t>Luiz Barsi aumenta participação em empresa de energia na B3
#ações #AESTietê #AoVivo
https://t.co/MEG3XQSUEP</t>
  </si>
  <si>
    <t>Day trade na B3: Saiba como lucrar até 15% com ações da Ânima Educação (ANIM3) hoje
#ações #AoVivo #bolsa
https://t.co/UEW1uxGqHt</t>
  </si>
  <si>
    <t>Investiu o FGTS na Eletrobras? Com 1 ano de privatização, saiba como resgatá-lo ou migrá-lo para um fundo diversificado de ações
#ações #BolsadeValores #Eletrobras
https://t.co/V2WnfSBesh</t>
  </si>
  <si>
    <t>Felipe Miranda: a farsa de Jair Pereira
#ações #bolsa #ExileonWallStreet
https://t.co/hbmPKJsJXm</t>
  </si>
  <si>
    <t>A Eneva ficou no escuro: ENEV3 lidera perdas do Ibovepa depois de mudança feita pelo UBS BB
#ações #AoVivo #Eneva
https://t.co/3QOqBnyT8n</t>
  </si>
  <si>
    <t>‘Homem-Aranha: Através do Aranhaverso’ vence nas bilheterias e supera ‘Vingadores: Ultimato’ nas críticas do público
#ações #AoVivo #Cinema
https://t.co/v6tmcoOzh8</t>
  </si>
  <si>
    <t>A Azul registrou prejuízo líquido no primeiro trimestre de 2023; veja os resultados
#Azul #balanco #lucroazul #CVM #acoes #aviacao #aviao #companhiaaerea #transporte
https://t.co/oXpR6ecfYP</t>
  </si>
  <si>
    <t>O sucesso na carteira de ações geralmente está relacionado à diversificação, então este pode ser um bom momento para reduzir a exposição à Petrobras.
#petr #petroleo #ações #investimentos #rendavariavel #finanças #investir #petrobras #dividendos https://t.co/NtAXyB4dIl</t>
  </si>
  <si>
    <t>Com o cenário voltando-se a um ciclo de queda na taxa de juros e aceleração da #economia, a renda variável volta aos olhos dos investidores pequenos e médios.
#investimentos #financas #dinheiro #investir #acoes https://t.co/ogrtjJUOLe</t>
  </si>
  <si>
    <t>Não é uma recomendação, mais á movida poderia estar sendo mais falada 
#Ibovespa #Ações https://t.co/w9m6jnTWB6</t>
  </si>
  <si>
    <t>Essas são as barras que chamamos de lateralidade, pois não tem deslocamento relevante e assim mostra indecisão, como também são barras corretivas e barras de sinal dentro de cada contexto .
#b3 #mercadofinanceiro #bolsadevalores #Candles #tendência #lateralidade #setup #ações https://t.co/Mg8V8PNUpb</t>
  </si>
  <si>
    <t>Quando chamamos barras de tendência, são essas barras grandes que tem relevância no gráfico e dependendo do contexto pode ser uma boa opção de entrada em uma operação.
#b3 #mercadofinanceiro #bolsadevalores #Candles #tendência #lateralidade #setup #ações #criptomoedas #albrooks https://t.co/p0Z0tJ7Kn1</t>
  </si>
  <si>
    <t>Mercado de #ações dos #EUA oscila após alerta de Janet Yellen sobre falta de dinheiro do governo; investidores aguardam decisão do #Fed.
#moneymarkets https://t.co/35hvsPnhh8</t>
  </si>
  <si>
    <t>📢 #WarrenBuffett vende US$13 bilhões em #ações e faz mudanças surpreendentes em seu portfólio em 2023.
Descubra tudo 🎯  https://t.co/yYO0hegMHs 
#MoneyMarkets #Investimentos https://t.co/3P83RBp6BZ</t>
  </si>
  <si>
    <t>📢 Previsão de Preço #SP500 – Mercados de Ações Continuam com Momento de Alta. 📈 
O $SP500 mantém seu momento de alta, enquanto os mercados de #ações retornam após o feriado do Memorial Day.
#moneymarkets
Saiba mais 👇 https://t.co/8NW8MFn7Q3</t>
  </si>
  <si>
    <t>#WallStreet tem maior ganho em meses
#Ações dos EUA fecham em alta com resultados empresariais animadores, e os rendimentos do #Tesouro retomam a subida.
#MoneyMarkets https://t.co/56sREg0VSN</t>
  </si>
  <si>
    <t>📢 Guia sobre investimento em #ações pagadoras de #dividendos. 💰 
Saiba tudo 🎯 https://t.co/s0YDBP87x2 
#moneymarkets #investimentos https://t.co/Z2h8K79lSQ</t>
  </si>
  <si>
    <t>📢 Quatro #ações transformam $10.000 em $50.000 em quatro meses 🚀 
Abril se revelou um ótimo mês para a maioria dos investidores do #SP500. No entanto, foi espetacular para aqueles que escolheram as melhores ações.
Descubra tudo 🎯 https://t.co/cgP7jTJCxD 
#moneymarkets</t>
  </si>
  <si>
    <t>As #ações globais atingiram uma alta de um mês na sexta-feira, refletindo o otimismo dos #investidores com as negociações entre #democratas e #republicanos sobre o limite da dívida dos #EUA. 
Saiba mais 🎯 https://t.co/O2bNXR2Uaj 
#moneymarkets</t>
  </si>
  <si>
    <t>Veja 5 ações que pagam dividendos acima da Selic a 13,25% ao ano
#ações #dividendos #selic
https://t.co/lXjKeQa46Q</t>
  </si>
  <si>
    <t>Essas foram as ações do Ibovespa que mais valorizaram e desvalorizaram no mês de maio/2023.
E aí, tem alguma delas em sua carteira?
#ações #bolsadevalores #daytrade #ibovespa #investimentos #investidor #dividendos https://t.co/7RmM7fUsvz</t>
  </si>
  <si>
    <t>Oportunidades sempre aparecem, com o aumento da vol gerou uma distorção nas opções da viia3. Muitos shortearam o papel, compraram call e venderam Put. #bolsadevalores #ações #VIIA3 #opções #gregas</t>
  </si>
  <si>
    <t>#Ações falam mais alto que palavras. Votar na pauta é uma ação concreta em defesa dos aposentados.
Vote 👇👇
https://t.co/lpscy8ZxBu
#BrasilVote https://t.co/S6YHWAFuDP</t>
  </si>
  <si>
    <t>PRIO (PRIO3) reduz custo, mas resultado deve cair no 2º trimestre 
#prio #prio3 #empresas #ações @AnaliseEnergia 
https://t.co/sjGsgdSNJC</t>
  </si>
  <si>
    <t>➡️⬇️As #Ações #Indenizatórias foram
movidas por #Mutuários #da #CDHU
em reação a #COSESP, que #era a Seguradora
dos Imóveis da #CDHU, e não se sabe por
que foi #EXTINTA no Curso desse Processo.
No Comando de Absolutamente Tudo, Sempre
#Deus ☝️🙏</t>
  </si>
  <si>
    <t>#CPIAmericanas   
Sistema LEMMANN : empurrar pro máximo futuro prazo pagamento
corrupção dinheiro privado MAIOR ROUBO NO BRASIL
ESQUEMA CONTÁBIL FRAUDULENTO 
MAIOR CORRUPÇÃO SISTEMA INVESTIMENTOS AÇÕES NO BRASIL. BANCOS OU FUNCIONÁRIOS ENVOLVIDOS? #BolsaValores #acoes</t>
  </si>
  <si>
    <t>Bom dia! Nada melhor que começar o dia ganhando dividendos! 🤑💰#investir #acoes #fiis #rendapassiva https://t.co/WA5WZ1mxTo</t>
  </si>
  <si>
    <t>Uma especialista do Reino Unido ensina quatro hábitos simples para ter uma vida mais feliz. São ações para colocar na sua rotina diária e trazer felicidade para o dia a dia.
https://t.co/RxIbXD2v9R
#felicidade #serfeliz #dicas #acoes #diaadia #pets #amigos #caminhar #gratidão</t>
  </si>
  <si>
    <t>Estudo feito pela #B3 demonstra quem são e como investem as pessoas físicas na Bolsa do Brasil!
Se você é um investidor ou se deseja se tornar um vale muito a pena conhecer esse estudo e entender o perfil dos investidores!
#Mercadofianceiro #bolsadevalores #rendavariavel #acoes https://t.co/TMqCCo0O8X</t>
  </si>
  <si>
    <t>Um filme ou uma estratégia de negócios para reviver uma lenda?
A Mattel já fez muito lucro com a boneca Barbie e agora com o lançamento do novo filme promete reviver tempos áureos!
#mercadofinanceiro #mattel #bolsadevalores #ações https://t.co/DQ3WARRkOE</t>
  </si>
  <si>
    <t>Quando dois gigantes se juntam fica difícil os pequenos ganharem, isso é o que aconteceu quando Rússia e Arabia Saudita resolveram por conta própria cortar suas linhas de produção de petróleo para jogar o preço para cima!💪
#petr4 #bolsadevalores #acoes #swingtrade https://t.co/ZoNhNpOJIQ</t>
  </si>
  <si>
    <t>E agora Petrobras interferência nos preços e a voltas da turminha!
E viva a Odebrecht!
#petr4 #acoes #MercadoDeCapitais https://t.co/5AMiCLmVDm</t>
  </si>
  <si>
    <t>Empresas de Turismo e aviação devem ser beneficiadas com o novo programa de passagem a R$200,00
#bolsadevalores #analisetecnica #ações https://t.co/TUAwOg85G2</t>
  </si>
  <si>
    <t>ELETROBRAS (#elet6) divulgou o seu balanço do 2Trimestre e trouxe um resultado que mostra se valeu a pena ou não a privatização! 
Qual a sua opnião?
#mercadofinanceiro #bolsadevalores #eletrobras #swingtrade #ações https://t.co/DsRS4PfGpS</t>
  </si>
  <si>
    <t>Será o fim do JCP?
E agora o que será dos investidores? PAra tudo tem solução, assista o vídeo e veja o que está acontecendo!
#mercadofinanceiro #bolsadevalores #ações #swingtrade #dividendos https://t.co/VNUKCjqcI1</t>
  </si>
  <si>
    <t>A Ambev divulgou seus resultados financeiros do segundo trimestre de 2023. Registrou uma receita líquida de R$ 18 bi, um aumento de 5,1%. O lucro líquido da empresa foi de R$ 2,597 bilhões, uma queda de 15,2% em relação período anterior! #abev #acoes https://t.co/3oSnT8eiTh</t>
  </si>
  <si>
    <t>Investir, mesmo que pouco todos os meses pode representar a diferença entre ter uma vida sofrida, dependendo somente da CLT e tendo que contar moedas no final do mês ou então ter uma vida tranquila
#swingtrade #ações #fiis #rendavariável #fundosdeinvestimentos #bolsasdevalores https://t.co/VqTjVRkdOF</t>
  </si>
  <si>
    <t>Ta com prejuízo na Oi? Na IRBR? Ou em outra ação e acha que não vai ter mais jeito?
Calma, para tudo tem uma solução! 
Se liga nesse vídeo e entenda como você pode sair da ação e ainda recuperar o prejuízo!
#mercadofinanceiro #bolsadevalores #ações #swingtrade https://t.co/NKOOjyoJvr</t>
  </si>
  <si>
    <t>URGENTE 
Braskem com alta de 30% hoje.
Estatal árabe acaba de oferecer incríveis R$47,00 por ação. 
#BRKM3 #BRKM5 #Braskem #ações #mercadofinanceiro</t>
  </si>
  <si>
    <t>Vamos juntos rumo à liberdade financeira! [6/6]
#Investimentos #Criptomoedas #Ações #RendaVariável #LiberdadeFinanceira</t>
  </si>
  <si>
    <t>Enquanto tem influencer e casa de análise dando compra de MGLU3...
Estamos vendidos e ganhando mais de 13%..
e anota aí... alvo da queda é entre R$1,00 e R$0,50...
e o melhor que foi enviado o call para todos os clientes
#MGLU3
#ações
#trading 
#b3 https://t.co/pVSFpoLNaJ</t>
  </si>
  <si>
    <t>Conheça nossa estrutura externa e segura para as operações do seu Piloto de Reserva, conheça nossas Salas de Contingência!
.
.
.
.
#segurança #finanças #açoes #tecnologia https://t.co/q3w6ck9XmV</t>
  </si>
  <si>
    <t>Portaria foi publicada no Diário Oficial #JornalDaki #AssistênciaSocial #DireitosHumanos #PlanoBrasilSemFome #Ações #PessoasemSituaçãodeRua #Gestantes #Sistemas #SUAS #Sus #Sisan 
https://t.co/iweTMJKt9H</t>
  </si>
  <si>
    <t>Operação na Cracolândia na noite desse sábado foi um sucesso. Inteligência e estratégia da @SegurancaSP para prender 16 bandidos em flagrante por associação ao tráfico e mais dois capturados que eram foragidos da Justiça. É preciso separar o bandido da vítima para enfrentar o…</t>
  </si>
  <si>
    <t>[#RioGrandedoSul] O encontro teve como objetivo reunir a governança para tratar dos próximos passos que o estado dará na reconstrução das áreas atingidas pelo ciclone extratropical que afetou dezenas de municípios.
#PIXTV #PixNasRedes #Ciclone #Ações
https://t.co/5iYizvk8Iz</t>
  </si>
  <si>
    <t>De sexta a domingo, Meio Ambiente de Cotia realizará ações de doação de mudas e coleta de lixo eletrônico
https://t.co/LwgIYBWDXK
#cotia #granjaviana #granjavianna #caucaiadoalto #ações #doação #mudas #coleta #lixoeletronico #eletronico #meioambiente @prefdecotia #granjanews https://t.co/pVXQyre5qB</t>
  </si>
  <si>
    <t>Zoonoses de Cotia fará duas ações de vacinação antirrábica até o fim do mês
https://t.co/b9JBfru0MD
#cotia #granjaviana #granjavianna #caucaiadoalto #ações #vacinação #antirrabica #pet #pets #cães #cão #gatos #gato #granjanews @prefdecotia #zoonoses https://t.co/bbYAv21iMg</t>
  </si>
  <si>
    <t>Agosto Dourado: Saúde de Jandira realiza ações em prol da campanha
https://t.co/vt8TZvFVUV
#jandira #saude #agosto #dourado #campanha #prol #ações #prefeituradejandira #granjanews #aleitamento #materno #leite #bebê https://t.co/rBPyYwMLkj</t>
  </si>
  <si>
    <t>Prefeitura de Carapicuíba realiza ações de segurança contra a utilização de linhas cortantes para soltar pipa
https://t.co/l0m24okABy
#carapicuiba #prefeituradecarapicuiba #ações #segurança #pipa #linhas #linha #cortante #cerol #contra #granjanews #crianças #adolescentes #adulto https://t.co/eEXAJcRQOK</t>
  </si>
  <si>
    <t>📉 @MarketWatch: Apesar de um forte dia de mercado, as #ações de $BBY caíram 1,22% para $73,04, com desempenho inferior aos concorrentes.
📊 A #BestBuy agora está em $20,28, abaixo de sua alta de 52 semanas.
Ganhe dinheiro negociando ações com Exnova 👉 https://t.co/HgEtcho1aS https://t.co/jEtO1kXP9S</t>
  </si>
  <si>
    <t>🚀 @MicroStrategy planeja arrecadar $750M através de uma venda de #ações, com intenção de comprar mais #Bitcoin!
👀 O preço do #BTC salta 2% com a notícia. As ações da MSTR já subiram 200% este ano.
⏰ ~1 hora antes do #halving de @litecoin!
_
#Exnova #Crypto #Litecoin #Web3</t>
  </si>
  <si>
    <t>🏄‍♂️ Próximos #Eventos de Mercado:
🗓️ 18.07:
🇦🇺 Ata de reunião do @RBAInfo 
🇺🇸 Vendas no varejo MoM
🇨🇦 Taxa de inflação anual
🗓️ 19.07:
🇬🇧 Taxa de #Inflação anual
🇺🇸 Permissões de construção preliminares
🗓️ 20.07:
🇯🇵 Balança comercial
_
#Exnova #Negociação #Forex #Ações #News</t>
  </si>
  <si>
    <t>💼 Aumente seu portfólio em #cripto, #ações, #etfs, #índices, #forex, #opções e #commodities com a #Exnova!
Siga o link e comece a negociar conosco gratuitamente 👉 https://t.co/gKExyKfke8 https://t.co/TNJgV33j87</t>
  </si>
  <si>
    <t>👀 Não perca esses relatórios de ganhos se você negocia ações!
🗓️ 09.14:
Adobe Inc.
P. - 3.40 EPS, F. - 3.97 EPS 📈
🗓️ 09.21:
Darden Restaurants, Inc.
P. - 1.56 EPS, F. - 1.72 EPS 📈
(P. - Resultado anterior, F. - Previsão)
_
#Exnova #Ações #Negociação #LucrosEmAções #Mercados</t>
  </si>
  <si>
    <t>👀 Não perca esses relatórios de ganhos para lucrar com #ações:
🗓️ 09.21:
🔹 Darden Restaurants, Inc.
P - 1.56 , F - 1.73 📈
🗓️ 09.26:
🔹 Costco Wholesale Corporation
P - 4.20, F - 4.79 📈
🔹 Cintas Corporation
P - 3.39, F - 3.66 📈
P - Anterior, F - Previsão (EPS)
#Noticias</t>
  </si>
  <si>
    <t>👀 Não perca estes relatórios de ganhos se você negocia #ações:
🗓️ 08.22:
🔸 Medtronic PLC.
P. - 1.13, F. - 1.11
🗓️ 08.23:
🔸 Autodesk, Inc.
P. - 1.65, F. - 1.73
🔸 Nvidia Corporation
P. - 0.51, F. - 2.07
Feliz negociação com #Exnova!
👉 https://t.co/BpzWfvAYtu.
_
#Negociação</t>
  </si>
  <si>
    <t>🏆 As melhores ações da Exnova na última semana 🏆
🤑 +1971% para o portfólio!
🥇 Canopy Growth Corporation +40.56%
🥈 Cronos Group Inc. +10.02%
🥉 Telecom Italia S.p.A. +5.15%
🔸 Eli Lilly and Company +5.05%
🔸 Coinbase Global, Inc. +4.95%
_
#Ações #Trading #MercadoDeAções</t>
  </si>
  <si>
    <t>🏛️ Próximos relatórios de lucros do mercado de ações:
🔸 13.07:
Cintas Corporation
Delta Airlines, Inc.
🔸 14.07:
Citigroup, Inc.
JPMorgan Chase &amp;amp; Co
Wells Fargo &amp;amp; Company
🔸 18.07:
Bank of America Corporation
Morgan Stanley
_
#Exnova #Trading #Ações #MercadoDeAções #Mercados</t>
  </si>
  <si>
    <t>📎 A Siemens é um conglomerado multinacional alemão que opera em diversos setores, incluindo energia, saúde, transporte e manufatura. 
_
#exnova #ações #mercado #mercadodeações #ativos #negociação</t>
  </si>
  <si>
    <t>🍏 Gráfico da Apple ($AAPL) no momento.
🤔 Você ficaria #vendido ou #comprado aqui? Compartilhe seu sentimento nas respostas abaixo! 👇
_
#Exnova #Trading #MercadoDeAções #Ações #Apple #GráficoDeNegociação #NegociaçãoDeAções #Bullish #Bearish https://t.co/Iv5aQtugBq</t>
  </si>
  <si>
    <t>🏦 Ganhos desta semana:
🗓️10/05
Walt #Disney Company. Previsão: 0,96, Anterior: 1,08.
E. OM SE. Previsão: 0,30, Anterior: 0,34.
🗓️11/05
Merck KGAA. Previsão: 2.28, Anterior: 2.41.
Telefonica SA. Previsão: 0,10, Anterior: 0,34.
Negocie #ações conosco 👉 https://t.co/NUxhZUsHfk https://t.co/3Aw9rH1fXf</t>
  </si>
  <si>
    <t>E há quem diga que não vale a pena investir em #Bolsa (#Ações)... https://t.co/o9mbR3nvUk</t>
  </si>
  <si>
    <t>Quando pensamos nas mais diversas formas de montarmos uma carteira de #ações, além de buscar os melhores #ativos e mais descontados, devemos levar em consideração outros fatores.
Não é uma #receita de bolo, mas uma base a ser usada</t>
  </si>
  <si>
    <t>#ações que mais caíram hoje! 21/06/2023 https://t.co/3aXAmF0JKn</t>
  </si>
  <si>
    <t>#ações que mais subiram hoje! 21/06/2023 https://t.co/SJVN6vn4kH</t>
  </si>
  <si>
    <t>As projeções incluem iniciativas para o trânsito, transporte e infraestrutura. #IMMU #Manaus #Ações https://t.co/VDgVXTsYNg</t>
  </si>
  <si>
    <t>Comprei 4 ações na #bolsadevalores americana. 
$PG     $UPS    $CASS    $BRT
Nesse post explico porque coloquei esses ativos na minha carteira de #ações 
https://t.co/fZLnhWYgIh https://t.co/1rmT9ffg4D</t>
  </si>
  <si>
    <t>Samuel Benner foi um fazendeiro em 1800 que conseguiu entender como os ciclos do mercado funcionava. 
Em 1875 ele publicou um livro sobre o preço das #ações e #Commodities 
Ele identificou anos de pânicos, de bons tempos e tempos difíceis 😲 acaba logo 2023 https://t.co/Ijj9GJ4Wxr</t>
  </si>
  <si>
    <t>Identificamos pedaladas no balanço de um dos principais #REIT do mercado americano, confira neste post o que está preocupando os investidores do REALTY INCOME $O 
Siga-nos para saber mais sobre investimento no exterior em #ações na bolsa de valores
https://t.co/RZZ22iW63F https://t.co/36fVvfamkn</t>
  </si>
  <si>
    <t>Temos uma carteira de membros onde coloco as minhas compras e vendas das Top Picks de #ações e #REIT 
Esse foi o melhor mês do ano com +18% de retorno anual contra um #SP500 (já considerando reinvestimento de dividendos) rendendo 12%
https://t.co/4v9PSQgckX
Cola em nois 🥳🚀 https://t.co/trB8vY6eN3</t>
  </si>
  <si>
    <t>Coronel Campos falando sobre a segurança da região da Serra do Teixeira. #RevistaEstadual @radiotabajara @princesafm92.5  @luizhenriqueparahyb
#segurancapublica #policiamilitapb #princesaisabel #serradoteixeirapb #radio #FM #Paraíba #ODEstadual #GovPb #Obras #ações #serviços https://t.co/Ejp3feWO41</t>
  </si>
  <si>
    <t>Como transformar #estratégias em #ações na loja a partir de insights práticos
O fato de o #consumidor frequentar cerca de nove canais diferentes para fazer suas #compras e o desejo que ele tem de ser atendido em necessidades muitos…https://t.co/dQiFnGL5z2 https://t.co/D3CUQqAj4X</t>
  </si>
  <si>
    <t>O fraco desempenho do mercado de ações da Bird afeta toda a indústria de e-scooters #Notícias #ações #afeta #Bird #desempenho  https://t.co/22OFz7eCQ2</t>
  </si>
  <si>
    <t>As ações da Zomato despencam depois que a Invesco cortou a avaliação do rival Swiggy #Notícias #ações #avaliação #cortou #depois  https://t.co/Eb5krmAnro</t>
  </si>
  <si>
    <t>O novo fone de ouvido da Apple não empolga os investidores, mas faz as ações da Unity dispararem #Notícias #ações #Apple #dispararem #empolga  https://t.co/Pzlo1UlJ0c</t>
  </si>
  <si>
    <t>Carvana nirvana? Ações vendidas sobem 56% com empresa prevendo lucros recordes #Notícias #ações #Carvana #empresa #lucros  https://t.co/sGSbHna1Fc</t>
  </si>
  <si>
    <t>A oferta de Nikola para aumentar as ações para depois de não conseguir obter acionistas suficientes para votar #Notícias #acionistas #ações #aumentar #conseguir  https://t.co/YoSveL3v43</t>
  </si>
  <si>
    <t>A ThoughtSpot adquire a Mode Analytics, uma plataforma de BI, por US$ 200 milhões em dinheiro e ações #Notícias #ações #adquire #Analytics #Dinheiro  https://t.co/9GWOEAh9fZ</t>
  </si>
  <si>
    <t>Fabricante de caminhões EV Nikola falha novamente em garantir apoio de acionistas suficiente para emitir mais ações #Notícias #acionistas #ações #apoio #caminhões  https://t.co/F8vnzCY4gd</t>
  </si>
  <si>
    <t>A SellerX adquire a Elevate Brands, rival de comércio eletrônico dos EUA, em um acordo de ações e arrecada mais de US$ 64 milhões #Notícias #ações #acordo #adquire #arrecada  https://t.co/2Hvn3Qrd3A</t>
  </si>
  <si>
    <t>O mouse MX Anywhere 3S da Logitech recebe sensor 8K e ações inteligentes #Comofazer #ações #inteligentes #Logitech #mouse  https://t.co/VeOo7HLZHI</t>
  </si>
  <si>
    <t>O que os investidores do mercado de ações buscam em IPOs? #Notícias #ações #buscam #investidores #IPOs  https://t.co/vVG0efO5r9</t>
  </si>
  <si>
    <t>LEGITIMIDADE E COMPETÊNCIA ... | ...
Para ler na íntegra, acesse https://t.co/8zRLrKTlYQ
ou busque no portal com link na bio
.
Imagem: Pixabay
.
#portaljuristec #legitimitade #medicamento #ações https://t.co/JhletaJJka</t>
  </si>
  <si>
    <t>MINISTROS DO TSE RECEBEM VOTO  ... | ...
Para ler na íntegra, acesse https://t.co/e4C51QF1im
FONTE: Coluna de Carolina Brígido (UOL)| FOTO: Gustavo Lima
#portaljuristec #ações #Bolsonaro #TSE https://t.co/JAMRlu1PRS</t>
  </si>
  <si>
    <t>TOFFOLI DETERMINA ENVIO DE CÓPIAS AO STF  ... | ...
Para ler na íntegra, acesse https://t.co/STg4zk40hA
.
FONTE: CNN Brasil | FOTO: Reprodução
#portaljuristec #ações  #Tacladuran  #Toffoli https://t.co/F1IEkp7If8</t>
  </si>
  <si>
    <t>SEIS MIL AÇÕES POR MÊS SOBRE ASSÉDIO  ... | ...
Para ler na íntegra, acesse https://t.co/jWb26kpgf0
FONTE: TST | FOTO: Reprodução Internet
#PortalJuristec #assédio #justiçadotrabalho #ações https://t.co/3itexOKV3Y</t>
  </si>
  <si>
    <t>BANCO DEVE SER RESSARCIDO  ... | ...
Para ler na íntegra, acesse https://t.co/3tdHr5FA6C
FONTE: STJ | FOTO: Freepik
#portaljuristec #Santander #ações #vítima https://t.co/jd3UXanBg0</t>
  </si>
  <si>
    <t>TSE REJEITA OBRIGAÇÃO DE INCLUIR DIRIGENTES  ... | ...
Para ler na íntegra, acesse https://t.co/j6fyZzmfaX
FONTE: Conjur| FOTO: Alejandro Zambrana/Secom/TSE
#portaljuristec #eleições #ações #mulheres https://t.co/6Wdhc9Di7K</t>
  </si>
  <si>
    <t>@HRHMBNSALMAAN @HRHMBNSALMAAN do q adianta um País livre + o cabeça a aprisionado dentro de si mesmo!
Quer ser REI + ainda é príncipe!
 A culpa é sua,pq ainda não tem a #mente de 1 REI ,Os #sentimentos de 1 REI,E #ações de 1 REI =príncipe e limitado!
na casa🇧🇷 de outra? Ela👩‍👧manda!
AMÉM🇧🇷✍️👩‍👧🌹</t>
  </si>
  <si>
    <t>RT @estrelladigital: 👉🏾👧🏾El caso ha sido archivado por la Fiscalía de menores de Badajoz debido a  la edad de los agresores. La escuela se…</t>
  </si>
  <si>
    <t>3 Ações com Potencial Alta de Dividendos!
.
.
.
#dividendos #investidores #ações https://t.co/CLA4qZE64N</t>
  </si>
  <si>
    <t>Liderar não é ciência. 🧬 
Também não é arte. 🖼️
👉 Na verdade, é uma atitude, que depende de pensamentos, comportamentos e emoções.
Que táticas ou exemplos tens que te inspiram a ser um melhor líder? 🫡
#lider #lideranca #realestate #atitude #pensamentos #acoes https://t.co/CzBaF1Akxf</t>
  </si>
  <si>
    <t>Em um fato inédito e inusitado na Câmara de São Mateus, a bancada de apoio ao prefeito Daniel Santana, o Daniel da Açaí (sem partido) rejeitou diversas indicações dos vereadores de oposição na sessão ordinária realizada na terça-feira (9/05). #ações
https://t.co/P0rwxFzlnl https://t.co/18mWKVGOEb</t>
  </si>
  <si>
    <t>Quando nos tornamos uma #pessoamelhor, mudamos não somente as nossas #ações, mudamos a nossa #mentalidade e com isso, mudamos também os nossos #corações.
#BneiBaruchBrasil</t>
  </si>
  <si>
    <t>KLBN4 vs. SUZB3: Duelo das Gigantes da Celulose! Analisando as ações da KLBN4 (Klabin) e SUZB3 (Suzano).
Líderes da indústria de celulose: produção e inovação em destaque. Receita, estratégias e impactos no setor em análise.
#Investimentos #Ações #Mercadofinanceiro #Finanças https://t.co/iWeTSbX8rg</t>
  </si>
  <si>
    <t>3 Ações por menos de 10 reais
#açoes #acoesgaratemofuturo
#acoesdabolsa
#copel #klabin #sanepar #luizbarsi #louisebarsi https://t.co/9wcSKAI3g6</t>
  </si>
  <si>
    <t>Top5 #dividendos 
#acoes #petr4 #cmin3 #rendavariavel #economia #investimentos https://t.co/N7MGy1ZPCY</t>
  </si>
  <si>
    <t>BRF obtém R$ 5,4 bi na maior oferta pública do ano no Brasil
Saiba mais detalhes sobre a oferta, lendo essa #notícia LexLatin
https://t.co/7XzWIyTnB2
#mercadodecapitais #oferta #ações #alimentos #carnes</t>
  </si>
  <si>
    <t>#Trabalho #protecao #Saúde #ações #terapia #assédio  #saudemental #relacionamento  #gestão #recursos  #gestordesucesso #equilíbrio  #qualificação  #terapiacomportamentaldialetica</t>
  </si>
  <si>
    <t>Pra quem é focado em dividendos segue um mapa de dividendos para receber todos os meses.
#Investimentos #acoes #dividendos #patrimonio https://t.co/kVcGrwPoZN</t>
  </si>
  <si>
    <t>Aprenda a selecionar ações em apenas 5 etapas. 
#ações #investimento #dinheiro https://t.co/ECYbkr1RY5</t>
  </si>
  <si>
    <t>Sell in may and go away??
#finanças #ações #Economia</t>
  </si>
  <si>
    <t>Resultado da Petrobras - 1T23
Lucro e Dividendos
#dividendos #Petrobras #acoes https://t.co/FPJ4lufPi5</t>
  </si>
  <si>
    <t>Dividendos da semana!!
Estes são os FIIs e Ações que pagaram dividendos na semana.
Vai pingar aí?
#dividendos #fii #acoes #investimentos https://t.co/o8DorTkWLP</t>
  </si>
  <si>
    <t>👉Quer saber mais sobre as ferramentas Comdinheiro e conhecer uma solução completa para análise confiável do mercado de #ações, #fundos, renda fixa e consolidação de ativos?
Solicite agora a demonstração da ferramenta e teste todas as funções do ranking.
https://t.co/xGzYIKGN0l</t>
  </si>
  <si>
    <t>#TuesdayTalk 📢 23.05.2023
#paporeto #paposério #tellingitlikeitis #decircómoes 
"5 grandes segredos sobre #investimentos em #ações (que você teria que gastar alguns milhões de dólares em análise e gerir bilhões de dólares para descobrir sozinho/a)"
https://t.co/nJgMVj2bzj</t>
  </si>
  <si>
    <t>A famosa figura “cup and handle”! 🤗
#analisetecnica #acoes #rendavariavel</t>
  </si>
  <si>
    <t>@danimontori_at Brasil quase não tem insider dani!!!!!!! https://t.co/AtVQSR7tdG</t>
  </si>
  <si>
    <t>Queria muito te contar que o gráfico pode te mostrar o que está acontecendo com a empresa. Mas você vai precisar ter a experiência de estudá-lo para acreditar em mim! 
#analisetecnica #rendavariavel #acoes #enauta #enat3</t>
  </si>
  <si>
    <t>@danimontori_at Temos 3 verdades difíceis de engolir:
1- Olhando só fundamentos você vai sempre comprar muito cedo ou muito tarde.
2- Nós míseros sardinhas, sempre saberemos dos FR depois dos grandões. Por isso estaremos sempre em desvantagem.
3- Análise tecnica não pode ser negligenciada.</t>
  </si>
  <si>
    <t>“A análise técnica não pode ser negligenciada.” 👏🏻👏🏻
#analisetecnica
#acoes
#rendavariavel
#ibov</t>
  </si>
  <si>
    <t>Andei falando essa semana sobre diminuição de volume, na formação da figura, antes dos rompimentos.
#analisetecnica #acoes #investimento</t>
  </si>
  <si>
    <t>3 candles se formando hoje (dia, semana e mês)!
Típico dia interessante de olhar o "after market". 🤔
#ibov #rendavariavel #ações #investimentos #análisetécnica</t>
  </si>
  <si>
    <t>A análise técnica não funciona com viés.
Ela se baseia em padrões e indicadores objetivos.
Você avança muito quando deixa de “prever” aquilo que você “quer” que aconteça.
Apenas siga o gráfico! 😉
#Ações
#RendaVariável
#AnáliseTécnica
#Gráficos
#Investimentos
#ibov
#Trader… https://t.co/giM1nyLRCj</t>
  </si>
  <si>
    <t>A otimização na escolha dos ativos, para trade (ou investimento), está relacionada com o espaço que cada um deles tem no gráfico.
Entendem isso?
#AnáliseTécnica
#Gráficos
#RendaVariável
#Ações
#Trades 
#Trader 
#Trading 
#TradeSystem
#Investimento</t>
  </si>
  <si>
    <t>Hoje é dia de vencimento de opções séries E e Q. 👀
#ibov #bovespa #opcoes #acoes</t>
  </si>
  <si>
    <t>Todo podcast que assisto, atualmente, tem as frases...
"Ganhar dinheiro é fácil no mercado. O problema é aprender a perder."
Não acho fácil ganhar, mas concordo que perder é inevitável e como você lida com isso faz toda diferença.
Fica a reflexão! Boa sexta, pessoal!
#ações…</t>
  </si>
  <si>
    <t>Hoje é dia de vencimento de opções séries F e R. 👀
#opções #ações #bovespa #ibov</t>
  </si>
  <si>
    <t>A vida muda quando você entende que não precisa comprar na mínima e vender na máxima.
Foque em entender a tendência. 😉
Estamos em um bom momento para aprender sobre isso.
#AnáliseTécnica
#MédiasMóveis
#Tendência
#RendaVariável
#Investimentos
#Ações</t>
  </si>
  <si>
    <t>Hoje acordo sem ver minhas ações da vale3 na nuinvest, mais alguem com o mesmo problema?
#nuinvest #acoes #b3 #vale3</t>
  </si>
  <si>
    <t>👉🏾👧🏾El caso ha sido archivado por la Fiscalía de menores de Badajoz debido a  la edad de los agresores. La escuela se negó a estudiar el suceso por  falta de tiempo #ACOES #Cáceres #Montijo #agresiónsexual #Sucesos 
https://t.co/zNcEHAOrWJ</t>
  </si>
  <si>
    <t>#AcademiaDoDinheiro #açafrãodaterra   #acessoriospvc #acoes #açougue
https://t.co/II4SI3BvIs https://t.co/8ZGaxWscZE</t>
  </si>
  <si>
    <t>Mais flexíveis que fundos de #ações, os #longbiased alcançaram ganhos de quase 30% em um ano volátil como 2022. O ano de 2023 começou com o pé na porta.
Entenda como eles funcionam.
https://t.co/WclrXCi8da https://t.co/Psopb05qQC</t>
  </si>
  <si>
    <t>#rendavariavel #investimentos #acoes https://t.co/eJnKLhRujI</t>
  </si>
  <si>
    <t>Piauí terá protocolo para uso de aeronaves em ações de emergência
#pensarpiaui #notíciasdopiauí #notícias #aeronave #emergencia #ações  
https://t.co/Pkj1dpWtqu</t>
  </si>
  <si>
    <t>Para o Goldman, Hering é icônica como post-it 
#SOMA3 #varejo #moda #acoes
https://t.co/qqgLUrR1Sn</t>
  </si>
  <si>
    <t>Por que a Polo está vendida em Oncoclínicas #ONCO3 #short #saude #acoes #rendavariavel
https://t.co/VUgJkXVVba</t>
  </si>
  <si>
    <t>Santander passa a recomendar compra da Fras-le #frasle #acoes
https://t.co/ahp7aQTTkg</t>
  </si>
  <si>
    <t>Momentos de #inflexão são frequentemente precedidos de diversas #ações. Estas, empilhadas no tempo, produzem o potencial necessário para desencadear #grandesmudanças. É algo parecido com o #potencialdeação no processo da #sinapse neuronal.</t>
  </si>
  <si>
    <t>🚨 NOTÍCIA: #FiquePorDentro: o governo britânico planeja reformular o sistema de ISAs para incentivar a propriedade de ações e tornar o investimento financeiro acessível a todos.
#Investimento #Ações #ReformaFinanceira
Fonte: France 24.</t>
  </si>
  <si>
    <t>Conglomerado do Oráculo de Omaha recupera dos prejuízos de há um ano e apresenta resultados operacionais positivos de 10 mil milhões de dólares https://t.co/uos8TMN4Zv</t>
  </si>
  <si>
    <t>Se há coisa que aprendemos com Warren Buffet é não perca dinheiro e esteja no mercado em vez de tentar apanhar o melhor momento. #investir #ações #finançaspessoais</t>
  </si>
  <si>
    <t>História interessante que demonstra que investir é o caminho a seguir. Felizmente também estiveram com sorte devido à falta de diversificação, terem entrado cedo e a empresa possuir um mote forte 💪 #investir #cocacola #açoes</t>
  </si>
  <si>
    <t>Organizar ações, FIIs e outros ativos com Ion Finances
Baixe o Ion Finances: https://t.co/Lxl4jL55Xu
Aprenda isso e muito mais no Insights!
#finanças #dinheiro #ações #FII 
https://t.co/t9gknSL82H</t>
  </si>
  <si>
    <t>Lista de compras com Ion Finances
Baixe o Ion Finances: https://t.co/Lxl4jL5DN2
Aprenda isso e muito mais no Insights!
#finanças #dinheiro #ações #FII
https://t.co/CAEzHNOOuN</t>
  </si>
  <si>
    <t>Declarar Imposto de Renda (IRPF) como MEI
Baixe o Ion Finances: https://t.co/Lxl4jL55Xu
Aprenda isso e muito mais no Insights! 
#finanças #dinheiro #ações #FII
https://t.co/dtOABPa73u</t>
  </si>
  <si>
    <t>O que são dividendos?
Baixe o Ion Finances: https://t.co/Lxl4jL55Xu
Aprenda isso e muito mais no Insights!
#finanças #dinheiro #ações #FII
https://t.co/9bvRcf6Dd3</t>
  </si>
  <si>
    <t>Renda Fixa e renda variável
Baixe o Ion Finances: https://t.co/Lxl4jL55Xu
Aprenda isso e muito mais no Insights!
#finanças #dinheiro #ações #fii 
https://t.co/YmmLXgOWPx</t>
  </si>
  <si>
    <t>Guardar dinheiro com Ion Finances
Baixe o Ion Finances: https://t.co/Lxl4jL55Xu
Aprenda isso e muito mais no Insights!
#finanças #dinheiro #ações #FII
https://t.co/3R1QLk9VwE</t>
  </si>
  <si>
    <t>Converter juros mensal para anual
Baixe o Ion Finances: https://t.co/Lxl4jL55Xu
Aprenda isso e muito mais no Insights!
#finanças #dinheiro #ações #FII
https://t.co/UDzJSiVFEH</t>
  </si>
  <si>
    <t>O que é carteira de investimentos e como criar uma
Baixe o Ion Finances: https://t.co/Lxl4jL55Xu
Aprenda isso e muito mais no Insights!
#finanças #dinheiro #ações #FII
https://t.co/GUJxYS6p5k</t>
  </si>
  <si>
    <t>Calcular preço-teto de ações
Baixe o Ion Finances: https://t.co/Lxl4jL55Xu
Aprenda isso e muito mais no Insights!
#finanças #dinheiro #ações #fii 
https://t.co/f5s6ZNV3V2</t>
  </si>
  <si>
    <t>Como usar tags no Ion Finances
#finanças #dinheiro #ações #fii #irpf https://t.co/MJ9Sl3CfjF</t>
  </si>
  <si>
    <t>A Tesla continua a ser a ação mais "shortada" entre as grandes empresas dos EUA. Elon Musk acredita que Bill Gates ainda está a apostar contra a empresa. Apesar dos lucros da Tesla terem feito muitos "shorts" recuarem, parece que o interesse está a renascer. 
#Tesla #Ações…</t>
  </si>
  <si>
    <t>Retorno na carteira de global em julho desde o início.
RF Invest: 50,50%
CDI: 29%
#investimentos #rendavariavel #rendafixa #bolsadevalores #b3 #ibov #acoes #fintwitt https://t.co/NxWmlxhnwM</t>
  </si>
  <si>
    <t>Retorno na carteira de renda variável em julho de 2023:
RF Invest: 32,5%
IBOV: 11,1%
#investimentos #rendavariavel #bolsadevalores #b3 #ibov #acoes #fintwitt https://t.co/mMJS1ceABh</t>
  </si>
  <si>
    <t>#Atrio #AtrioInvestimentos #Ações #Criptomoedas #EducaçãoFinanceira #FinançasPessoais #Investimentos https://t.co/M8epzi0HAj</t>
  </si>
  <si>
    <t>#Atrio #AtrioInvestimentos #Ações #Criptomoedas #EducaçãoFinanceira #FinançasPessoais #Investimentos https://t.co/ytUJ5VFsx9</t>
  </si>
  <si>
    <t>#Atrio #AtrioInvestimentos #Ações #Criptomoedas #EducaçãoFinanceira #FinançasPessoais #Investimentos https://t.co/fg5Bg5eIzc</t>
  </si>
  <si>
    <t>#Atrio #AtrioInvestimentos #Ações #Criptomoedas #EducaçãoFinanceira #FinançasPessoais #Investimentos https://t.co/68L1ChqnZb</t>
  </si>
  <si>
    <t>#Atrio #AtrioInvestimentos #Ações #Criptomoedas #EducaçãoFinanceira #FinançasPessoais #Investimentos https://t.co/ceZgbM3FLZ</t>
  </si>
  <si>
    <t>#Atrio #AtrioInvestimentos #Ações #Criptomoedas #EducaçãoFinanceira #FinançasPessoais #Investimentos https://t.co/TIF3kRVDtC</t>
  </si>
  <si>
    <t>#Atrio #AtrioInvestimentos #Ações #Criptomoedas #EducaçãoFinanceira #FinançasPessoais #Investimentos https://t.co/rUjRMD0R7h</t>
  </si>
  <si>
    <t>#Atrio #AtrioInvestimentos #Ações #Criptomoedas #EducaçãoFinanceira #FinançasPessoais #investimentoglobal https://t.co/PjqFHjeLDK</t>
  </si>
  <si>
    <t>#Atrio #AtrioInvestimentos #Ações #Criptomoedas #EducaçãoFinanceira #FinançasPessoais #investimentoglobal https://t.co/qOpXuaeSN6</t>
  </si>
  <si>
    <t>#Atrio #AtrioInvestimentos #Ações #Criptomoedas #EducaçãoFinanceira #FinançasPessoais #investimentoglobal https://t.co/NlBIcah3L5</t>
  </si>
  <si>
    <t>#Atrio #AtrioInvestimentos #Ações #Criptomoedas #EducaçãoFinanceira #FinançasPessoais #investimentoglobal https://t.co/ufJiNQxbiC</t>
  </si>
  <si>
    <t>#Atrio #AtrioInvestimentos #Ações #Criptomoedas #EducaçãoFinanceira #FinançasPessoais #investimentoglobal https://t.co/N1knwtR6p1</t>
  </si>
  <si>
    <t>#Atrio #AtrioInvestimentos #Ações #Criptomoedas #EducaçãoFinanceira #FinançasPessoais #investimentoglobal https://t.co/nt4T6RdvCo</t>
  </si>
  <si>
    <t>#Atrio #AtrioInvestimentos #Ações #Criptomoedas #EducaçãoFinanceira #FinançasPessoais #investimentoglobal https://t.co/y9Dub6Nbcs</t>
  </si>
  <si>
    <t>#Atrio #AtrioInvestimentos #Ações #Criptomoedas #EducaçãoFinanceira #FinançasPessoais #Investimentos https://t.co/4mjgthDGDh</t>
  </si>
  <si>
    <t>#Atrio #AtrioInvestimentos #Ações #Criptomoedas #EducaçãoFinanceira #FinançasPessoais #Investimentos https://t.co/jjXTtVcoEJ</t>
  </si>
  <si>
    <t>#Atrio #AtrioInvestimentos #Ações #Criptomoedas #EducaçãoFinanceira #FinançasPessoais #Investimentos https://t.co/dd8QBSv1Tj</t>
  </si>
  <si>
    <t>#Atrio #AtrioInvestimentos #Ações #Criptomoedas #EducaçãoFinanceira #FinançasPessoais #investimentoglobal https://t.co/eujYJY0t93</t>
  </si>
  <si>
    <t>#investimentos #bolsadevalores #finanças #ações #rendafixa #educaçãofinanceira #trader #mercadofinanceiro #longoprazo #dividendos #atrio #atrioinvestimentos #xpinvestimentos https://t.co/MjKA7oYV4A</t>
  </si>
  <si>
    <t>#Atrio #AtrioInvestimentos #Ações #Criptomoedas #EducaçãoFinanceira #FinançasPessoais #investimentoglobal https://t.co/RKL5vBS9xq</t>
  </si>
  <si>
    <t>#Atrio #AtrioInvestimentos #Ações #Criptomoedas #EducaçãoFinanceira #FinançasPessoais #investimentoglobal https://t.co/FBnqkA4QZS</t>
  </si>
  <si>
    <t>#Atrio #AtrioInvestimentos #Ações #Criptomoedas #EducaçãoFinanceira #FinançasPessoais #investimentoglobal https://t.co/FXWk2uzd8c</t>
  </si>
  <si>
    <t>#Atrio #AtrioInvestimentos #Ações #Criptomoedas #EducaçãoFinanceira #FinançasPessoais #Investimentos https://t.co/zNleLzMzsW</t>
  </si>
  <si>
    <t>#Atrio #AtrioInvestimentos #Ações #Criptomoedas #EducaçãoFinanceira #FinançasPessoais #Investimentos https://t.co/3629AUMvXz</t>
  </si>
  <si>
    <t>#Atrio #AtrioInvestimentos #Ações #Criptomoedas #EducaçãoFinanceira #FinançasPessoais #Investimentos https://t.co/Fweenpp9B2</t>
  </si>
  <si>
    <t>#Atrio #AtrioInvestimentos #Ações #Criptomoedas #EducaçãoFinanceira #FinançasPessoais #Investimentos https://t.co/HuMryW3c51</t>
  </si>
  <si>
    <t>#Atrio #AtrioInvestimentos #Ações #Criptomoedas #EducaçãoFinanceira #FinançasPessoais #investimentoglobal https://t.co/7rVgcZ6xCY</t>
  </si>
  <si>
    <t>#Atrio #AtrioInvestimentos #Ações #Criptomoedas #EducaçãoFinanceira #FinançasPessoais #Investimentos https://t.co/zuzmiocNmi</t>
  </si>
  <si>
    <t>#Atrio #AtrioInvestimentos #Ações #Criptomoedas #EducaçãoFinanceira #FinançasPessoais #investimentoglobal https://t.co/qwdcuAmXYK</t>
  </si>
  <si>
    <t>#Atrio #AtrioInvestimentos #Ações #Criptomoedas #EducaçãoFinanceira #FinançasPessoais #Investimentos https://t.co/L7v6t9Nh0I</t>
  </si>
  <si>
    <t>#Atrio #AtrioInvestimentos #Ações #Criptomoedas #EducaçãoFinanceira #FinançasPessoais #Investimentos https://t.co/wgJdV5syyV</t>
  </si>
  <si>
    <t>#Atrio #GrupoAtrio #AtrioInvestimentos #AtrioCorporate #AtrGestão #Ações #BolsaDeValores #Economia #Finanças
#Investimentos #MercadoAcionário #MercadoFinanceiro #RendaFixa #StartUp #Trading #RendaVariável #NotasCompromissadas #Derivativos #FundosDeInvestimentos https://t.co/TflYgUAzXR</t>
  </si>
  <si>
    <t>#Atrio #GrupoAtrio #AtrioInvestimentos #AtrioCorporate #AtrGestão #Ações #BolsaDeValores #Economia #Finanças
#Investimentos #MercadoAcionário #MercadoFinanceiro #RendaFixa #StartUp #Trading #RendaVariável #NotasCompromissadas #Derivativos #FundosDeInvestimentos https://t.co/j7yqzxDM73</t>
  </si>
  <si>
    <t>#Atrio #AtrioInvestimentos #Ações #Criptomoedas #EducaçãoFinanceira #FinançasPessoais #Investimentos https://t.co/SCKv8skUPp</t>
  </si>
  <si>
    <t>#Atrio #AtrioInvestimentos #Ações #Criptomoedas #EducaçãoFinanceira #FinançasPessoais #Investimentos https://t.co/l3O9RvAyej</t>
  </si>
  <si>
    <t>#Atrio #AtrioInvestimentos #Ações #Criptomoedas #EducaçãoFinanceira #FinançasPessoais #Investimentos https://t.co/pVKvJlquoY</t>
  </si>
  <si>
    <t>#Atrio #AtrioInvestimentos #Ações #Criptomoedas #EducaçãoFinanceira #FinançasPessoais #investimentoglobal https://t.co/rtWYTlf3Pg</t>
  </si>
  <si>
    <t>#Atrio #AtrioInvestimentos #Ações #Criptomoedas #EducaçãoFinanceira #FinançasPessoais #investimentoglobal https://t.co/jm3JyKRhzs</t>
  </si>
  <si>
    <t>#Atrio #AtrioInvestimentos #Ações #Criptomoedas #EducaçãoFinanceira #FinançasPessoais #investimentoglobal https://t.co/Xvv0GWZN9u</t>
  </si>
  <si>
    <t>#Atrio #AtrioInvestimentos #Ações #Criptomoedas #EducaçãoFinanceira #FinançasPessoais #investimentoglobal https://t.co/XljYc6DLq1</t>
  </si>
  <si>
    <t>#Atrio #AtrioInvestimentos #Ações #Criptomoedas #EducaçãoFinanceira #FinançasPessoais #Investimentos https://t.co/OwCxUISoqS</t>
  </si>
  <si>
    <t>#Atrio #AtrioInvestimentos #Ações #Criptomoedas #EducaçãoFinanceira #FinançasPessoais #Investimentos https://t.co/OlGiOh3Mt6</t>
  </si>
  <si>
    <t>#Atrio #AtrioInvestimentos #Ações #Criptomoedas #EducaçãoFinanceira #FinançasPessoais #Investimentos https://t.co/lNvwkKMgW9</t>
  </si>
  <si>
    <t>#Atrio #AtrioInvestimentos #Ações #Criptomoedas #EducaçãoFinanceira #FinançasPessoais #Investimentos https://t.co/Ce74biMv8F</t>
  </si>
  <si>
    <t>#Atrio #AtrioInvestimentos #Ações #Criptomoedas #EducaçãoFinanceira #FinançasPessoais #Investimentos https://t.co/KEna3KS2jH</t>
  </si>
  <si>
    <t>#Atrio #AtrioInvestimentos #Ações #Criptomoedas #EducaçãoFinanceira #FinançasPessoais #Investimentos https://t.co/P4PwkCcP52</t>
  </si>
  <si>
    <t>#Atrio #AtrioInvestimentos #Ações #Criptomoedas #EducaçãoFinanceira #FinançasPessoais #investimentoglobal https://t.co/apqGfeeYyC</t>
  </si>
  <si>
    <t>#Atrio #AtrioInvestimentos #Ações #Criptomoedas #EducaçãoFinanceira #FinançasPessoais #investimentoglobal https://t.co/hGpuuHz2hc</t>
  </si>
  <si>
    <t>#Atrio #AtrioInvestimentos #Ações #Criptomoedas #EducaçãoFinanceira #FinançasPessoais #investimentoglobal https://t.co/jGRpvHwr1y</t>
  </si>
  <si>
    <t>#Atrio #AtrioInvestimentos #Ações #Criptomoedas #EducaçãoFinanceira #FinançasPessoais #Investimentos https://t.co/9sGqAQzwMa</t>
  </si>
  <si>
    <t>#Atrio #AtrioInvestimentos #Ações #Criptomoedas #EducaçãoFinanceira #FinançasPessoais #Investimentos https://t.co/RFx4gAQ0GI</t>
  </si>
  <si>
    <t>#Atrio #AtrioInvestimentos #Ações #Criptomoedas #EducaçãoFinanceira #FinançasPessoais #investimentoglobal https://t.co/DeQwnuOuvO</t>
  </si>
  <si>
    <t>#Atrio #AtrioInvestimentos #Ações #Criptomoedas #EducaçãoFinanceira #FinançasPessoais #investimentoglobal https://t.co/mWoQnQS3rn</t>
  </si>
  <si>
    <t>#Atrio #AtrioInvestimentos #Ações #Criptomoedas #EducaçãoFinanceira #FinançasPessoais #investimentoglobal https://t.co/v5JYo7WGma</t>
  </si>
  <si>
    <t>#Atrio #AtrioInvestimentos #Ações #Criptomoedas #EducaçãoFinanceira #FinançasPessoais #Investimentos https://t.co/TJU0Z64Anh</t>
  </si>
  <si>
    <t>#Atrio #AtrioInvestimentos #Ações #Criptomoedas #EducaçãoFinanceira #FinançasPessoais #Investimentos https://t.co/RnzqMYnK1V</t>
  </si>
  <si>
    <t>#Atrio #AtrioInvestimentos #Ações #Criptomoedas #EducaçãoFinanceira #FinançasPessoais #Investimentos https://t.co/dIMDcKWksX</t>
  </si>
  <si>
    <t>#Atrio #AtrioInvestimentos #Ações #Criptomoedas #EducaçãoFinanceira #FinançasPessoais #Investimentos https://t.co/ufUCHBEh0o</t>
  </si>
  <si>
    <t>#Atrio #AtrioInvestimentos #Ações #Criptomoedas #EducaçãoFinanceira #FinançasPessoais #Investimentos https://t.co/er5KQBhF0q</t>
  </si>
  <si>
    <t>#Atrio #AtrioInvestimentos #Ações #Criptomoedas #EducaçãoFinanceira #FinançasPessoais #Investimentos https://t.co/9ASR4eILOc</t>
  </si>
  <si>
    <t>#Atrio #AtrioInvestimentos #Ações #Criptomoedas #EducaçãoFinanceira #FinançasPessoais #investimentoglobal https://t.co/jBLqxfaKoZ</t>
  </si>
  <si>
    <t>#Atrio #AtrioInvestimentos #Ações #Criptomoedas #EducaçãoFinanceira #FinançasPessoais #Investimentos https://t.co/3WSeJ8D1zn</t>
  </si>
  <si>
    <t>#Atrio #AtrioInvestimentos #Ações #Criptomoedas #EducaçãoFinanceira #FinançasPessoais #Investimentos https://t.co/sW5fYVI7jT</t>
  </si>
  <si>
    <t>#Atrio #AtrioInvestimentos #Ações #Criptomoedas #EducaçãoFinanceira #FinançasPessoais #Investimentos https://t.co/CYeoE4yldf</t>
  </si>
  <si>
    <t>#Atrio #AtrioInvestimentos #Ações #Criptomoedas #EducaçãoFinanceira #FinançasPessoais #Investimentos https://t.co/MNeDVWPW65</t>
  </si>
  <si>
    <t>#Atrio #AtrioInvestimentos #Ações #Criptomoedas #EducaçãoFinanceira #FinançasPessoais #investimentoglobal https://t.co/UkMxtmo0GQ</t>
  </si>
  <si>
    <t>#Atrio #AtrioInvestimentos #Ações #Criptomoedas #EducaçãoFinanceira #FinançasPessoais #investimentoglobal https://t.co/DQttnibT9p</t>
  </si>
  <si>
    <t>#Atrio #AtrioInvestimentos #Ações #Criptomoedas #EducaçãoFinanceira #FinançasPessoais #investimentoglobal https://t.co/5DVy6MtVhN</t>
  </si>
  <si>
    <t>#ITUB4 com potencial de alta
Veja analise completa em https://t.co/mGc5QU9K2Z
#b3 #itau #acoes #SwingTrading https://t.co/uvJ8utYH4x</t>
  </si>
  <si>
    <t>📣 New Podcast! "Sua marca com Alta Performance em Eventos com Lucy Deccache" on @Spreaker #acoes #corporativo #deccache #especiais #event #eventos #events #experiencia #livemarketing #lucy #produzir #producao #professora #rh https://t.co/bpzTjI8fDO</t>
  </si>
  <si>
    <t>Publicação do CNMP detalha ações coordenadas do Ministério Público brasileiro no combate à covid-19
https://t.co/HEBXWamDRj
#CNMP #Covid #Coronavírus #Ações https://t.co/HhR27F5DtL</t>
  </si>
  <si>
    <t>Torcer pra ação DESPENCAR: Faz sentido? #ações #shorts https://t.co/Gd9HxheiCM via @YouTube</t>
  </si>
  <si>
    <t>Quantas ações ter na carteira? #ações #shorts #skininthegame https://t.co/QFItC73ADp</t>
  </si>
  <si>
    <t>Pra terminar as análises fundamentalistas de uma empresa, chegou a hora de ver quantas dívidas e se a empresa possui liquidez e não está em falência eminente. Link do vídeo na BIO.
#investimento
#dinheiro
#dividas
#acoes https://t.co/J06UnfSF5J</t>
  </si>
  <si>
    <t>No vídeo dessa semana eu explico o que são esses 2 termos muito utilizados no mercado de ações e como eles influenciam na dinâmica e preço das ações. Link do vídeo na BIO.
#sardinhas
#tubaroes
#acoes
#investimentos
#dinheiro https://t.co/MIDkr6XP3g</t>
  </si>
  <si>
    <t>Dividendos e Juros sobre Capital Próprio são os meios que uma empresa tem de remunerar seus acionistas, mas possuem algumas diferenças.
#dividendos
#JCP
#investimento
#dinheiro
#acoes https://t.co/x6HaA2ancO</t>
  </si>
  <si>
    <t>Você sabe o que são fundos de investimento? Quais as taxas e incentivos que existem pra um gestor de fundo, tudo explicado no vídeo dessa semana.
#fundosdeinvestimento
#investimento
#dinheiro
#acoes https://t.co/Kbs5JZKQoE</t>
  </si>
  <si>
    <t>Essa semana eu explico como que funciona a subscrição, e como você pode aproveitar essa oportunidade para comprar ações com desconto.
#subscricao
#acoes
#investimento
#dinheiro https://t.co/V0etxvmzZt</t>
  </si>
  <si>
    <t>Não é o preço da ação que conta, empresas com ações muito baratas também podem ser gigantes do mercado, entenda melhor no vídeo dessa semana na BIO.
#marketcap
#ev
#acoes
#investimento
#dinheiro https://t.co/DrKRK0RfzC</t>
  </si>
  <si>
    <t>No vídeo dessa semana, explico como investir em ações dos EUA, o maior mercado financeiro do mundo e ter uma exposição ao dólar de maneira simples e sem sair do país. LINK DO VIDEO NA BIO.
#avenue
#stocks
#investimento
#acoes
#dinheiro https://t.co/w3QG4iydcz</t>
  </si>
  <si>
    <t>Mercado não é vídeo game! 
#ibov #bolsa  #ações https://t.co/rwF2VPV4La</t>
  </si>
  <si>
    <t>#PAYROLL: DADOS DE EMPREGO NOS #EUA SÃO FOCO DO #MERCADO NESTA SEXTA; #PETROBRAS DIVULGA SEUS RESULTADOS
@bmcnewstv #mercadofuturo #b3 #acoes
🖱️💻📉📈⤵️
https://t.co/WbmLtppQZq</t>
  </si>
  <si>
    <t>Sala ao vivo I #Trading Americas | Kaique Amorim e Frank William. #Nyse #b3 #acoes #futuros #windfut #WDO #blackarrow #profit #tryd #ninjatrader #mt5
@modalmais @ActivTrades @Activtrades_pt 
🖱️💻📉📈⤵️
https://t.co/iX1q8eLW0c</t>
  </si>
  <si>
    <t>#DAYTRADE AO VIVO: Mini #índice, mini #dólar, e #ações - CM Capital (31/07/23) 
@cmcapitaleplus #pedrocanto
🖱️💻📉📈⤵️
https://t.co/AM9htXi6Oc</t>
  </si>
  <si>
    <t>Eletrobrás
O Conselho de Administração da A Eletrobras (ELET3) aprovou a sua 4ª emissão de debêntures simples, não conversíveis em ações, para o público geral. O capital será destinado à gestão dos negócios, assim como o reembolso de gastos com investimentos.
#trader #ações</t>
  </si>
  <si>
    <t>💰 Dividendos do dia - Ações
🛢️ PETR3 e PETR4 - Pagará hoje R$ 0,27 por ação e R$ 0,66 de JCP
💰 Dividendos do dia - FII's
MORE11 - Pagará R$0,60 por cota
#DeTraderParaTrader #investimentos #mercadofinanceiro #economia #dividendos #açoes #fiis</t>
  </si>
  <si>
    <t>💰 Dividendos do dia - FII's
CPFF11 - R$0,70 por cota
HCTR11 - R$0,50 por cota
IRDM11 - R$0,80 por cota
MGFF11 - R$0,55 por cota
RBRF11 - R$0,63 por cota
RBRR11 - R$0,70 por cota
RBRY11 - R$1,20 por cota
#DeTraderParaTrader  #investimentos #mercadofinanceiro #açoes #dividendos</t>
  </si>
  <si>
    <t>💰 Dividendos do dia - Ações
🏦 SANB11 - Pagará hoje R$ 0,40 de JCP por ação
⚙️ WEGE3 - Pagará hoje R$ 0,11 de JCP por ação
⚙️ WEGE3 - Pagará hoje R$ 0,14 por ação
#DeTraderParaTrader #Trader #investimentos #noticias #mercadofinanceiro #economia #açoes #b3 #dividendos</t>
  </si>
  <si>
    <t>A nossa sala ao vivo com o analista CNPI Rafael Lage já está no ar.
https://t.co/QLpL4EcLCm
Ótimos negócios a todos. 🚀💚
#DeTraderParaTrader #Trader #investimentos #noticias #mercadofinanceiro #economia #açoes #b3</t>
  </si>
  <si>
    <t>Bom dia pessoal, nosso boletim diário já está no ar.
https://t.co/r7pu9eke9i
#DeTraderParaTrader #Trader #investimentos #noticias #mercadofinanceiro #economia #açoes #b3</t>
  </si>
  <si>
    <t>Em breve, estará no ar o nosso boletim de fechamento. 😊
https://t.co/AnRUG9G6I4
#DeTraderParaTrader #Trader #investimentos #noticias #mercadofinanceiro #economia #açoes #b3</t>
  </si>
  <si>
    <t>🛢️ Estoques de petróleo recuam 5,96 milhões de barris na semana; previsão -1,7 milhão.
#DeTraderParaTrader #Trader #investimentos #noticias #mercadofinanceiro #economia #açoes</t>
  </si>
  <si>
    <t>🇺🇸 Abertura de Mercado - EUA
🟢 Dow Jones +0,01% (34.950,62);
🔴 S&amp;amp;P -0,13% (4.432,69);
🔴 Nasdaq cai -0,37% (13.577,82)
#DeTraderParaTrader #Trader #investimentos #noticias #mercadofinanceiro #economia #açoes #b3 #dividendos</t>
  </si>
  <si>
    <t>Morning Call – Monitor do PIB aponta expansão de 0,2% na atividade econômica
Seguem os principais highlights para o dia de hoje 16/08/2023:
https://t.co/B6KZttUdwZ
#DeTraderParaTrader #Trader #investimentos #noticias #mercadofinanceiro #economia #açoes #b3 #dividendos</t>
  </si>
  <si>
    <t>A nossa sala ao vivo com o analista CNPI Rafael Lage já está no ar.
https://t.co/gHIZDpVa9i
Ótimos negócios a todos. 🚀💚
#DeTraderParaTrader #Trader #investimentos #noticias #mercadofinanceiro #economia #açoes</t>
  </si>
  <si>
    <t>Bom dia pessoal, nosso boletim diário já está no ar.
https://t.co/zc8ESfh6jp
#DeTraderParaTrader #Trader #investimentos #noticias #mercadofinanceiro #economia #açoes</t>
  </si>
  <si>
    <t>Daqui a pouco começará o nosso fechamento de mercado com o nosso analista CNPI-Pleno Rafael Lage.
https://t.co/hGzNYvxG6n
#DeTraderParaTrader #Trader #investimentos #noticias #mercadofinanceiro #economia #açoes</t>
  </si>
  <si>
    <t>Em breve, estará no ar o nosso boletim de fechamento. 😊
https://t.co/yAoySMpwGX
#DeTraderParaTrader #Trader #investimentos #noticias #mercadofinanceiro #economia #açoes</t>
  </si>
  <si>
    <t>🇪🇺 Fechamento de Mercado - Europa
🟢🇩🇪 Frankfurt +0,14%;
🔴🏴󠁧󠁢󠁥󠁮󠁧󠁿 Londres -0,44%;
🔴🇫🇷 Paris -0,10%;
🟢🇪🇸 Madri +0,04%;
🔴🇪🇺 Stoxx 600 -0,06% (455,29)
#DeTraderParaTrader #Trader #investimentos #noticias #mercadofinanceiro #economia #açoes</t>
  </si>
  <si>
    <t>💰 Dividendos do dia - Ações
💳 CIEL3 - Pagará hoje R$ 0,07 por ação
#DeTraderParaTrader #investimentos #mercadofinanceiro #economia #ações #dividendos</t>
  </si>
  <si>
    <t>💰 Dividendos do dia - Ações
🏦 BPAC11 - Pagará hoje R$ 0,40 de JCP por ação
🪵 KLBN11 - Pagará hoje R$ 0,24 por ação
⚡ SMTO3 - Pagará hoje R$ 0,24 por ação
#DeTraderParaTrader #Trader #investimentos #noticias #mercadofinanceiro #economia #açoes #b3</t>
  </si>
  <si>
    <t>#Análisefundamentalista de #Ações: aprenda o que é e saiba como usar
Aprenda todos os principais conceitos da análise #fundamentalista.
Leitura: 11 min. @modalmais 
🖱️💻📉📈⤵️
https://t.co/OJDmzhn2Zz</t>
  </si>
  <si>
    <t>#Análisefundamentalista de #Ações: aprenda o que é e saiba como usar
Aprenda todos os principais conceitos da análise fundamentalista.
Leitura: 11 min. @modalmais #vemsermodalmais
🖱️💻📉📈⤵️
https://t.co/OJDmzhn2Zz</t>
  </si>
  <si>
    <t>BLOG #MODALMAIS
S&amp;amp;P 500: Entenda índice do Standard &amp;amp; Poor’s 500
Ele pode ser entendido como uma carteira teórica com #ações das 500 maiores empresas listadas nas bolsas de valores norte-americanas: a #NYSE e a #NASDAQ.
#vemser @modalmais
💻🖱️📉📈⤵️
https://t.co/tydzkQWbM9</t>
  </si>
  <si>
    <t>#Imersão GG e Capita Rolando ... Sinal Liberado para você! 
#ligadostraders #b3 #wdo #wind #acoes #bolsadevalores #mercadofinanceiro
💻🖱️📉📈⤵️
https://t.co/QmNjfGl6xi</t>
  </si>
  <si>
    <t>Acabo de comprar #VAMO3 
Preço alvo 🎯 R$19,75
#B3 
#ações 
#vamo3 
#Rico https://t.co/umpzaahd3L</t>
  </si>
  <si>
    <t>Cotia: Bazar das ONGs acontece no dia 21/5 em frente à Prefeitura. Objetivo é fortalecer as ações das entidades e suas causas. Saiba mais em https://t.co/p4m9ic07me #bazar #ongs #cotia #portalviva #social #ações #entidades #terceirosetor https://t.co/QtVxdNQ5zl</t>
  </si>
  <si>
    <t>Acompanhamento psicossocial foi uma das propostas na audiência pública
#alerj #acoes #combateaviolencianasecolas #escolas #violencia #violenciaescolar #bullying #estadodorio #governodorio #deputados #regiaodoslagos https://t.co/x894qayNJM</t>
  </si>
  <si>
    <t>Manter o otimismo é o que nos leva a ter mais qualidade de vida. 
𝗖𝗼𝗺𝗽𝗮𝗿𝘁𝗶𝗹𝗵𝗲!!! 👨🏻👩🏻⁉️💭
📸 @freepik
➡️ Saiba mais no perfil da #Exxcede https://t.co/CU7dpdgZXX
#DeBemComAVida
#Otimismo
#VoceSabia #Controle
#Emoções #Ações 
#PensamentosPositivos
#HabitosSaudaveis https://t.co/FtQwzxFYQX</t>
  </si>
  <si>
    <t>. 
𝗖𝗼𝗺𝗽𝗮𝗿𝘁𝗶𝗹𝗵𝗲!!! 👨🏻👩🏻⁉️💭
O importante para ter uma vida saudável, próspera e feliz é se conhecer e se ouvir. 
📸 @freepik
➡️ Saiba mais no perfil da #Exxcede https://t.co/CU7dpdgZXX
#AjudarASeOuvir
#VidaProspera #Feliz
#DeBemComAVida
#Otimismo #Ações 
#Querer #Poder https://t.co/kGFEYtVJVv</t>
  </si>
  <si>
    <t>Confira a íntegra do episódio no canal do YouTube do ItaúViews: https://t.co/4ceMEJJi7J (também disponível nas principais plataformas de podcast).
(3/3)
#Truxt #TruxtInvestimentos #Bolsa #Equity #Ações</t>
  </si>
  <si>
    <t>Bruno Garcia, CIO da Truxt, participou do podcast ItaúViews dessa semana: "Bastidores da Itaú BBA LatAm CEO Conference".
(1/3)
#Truxt #TruxtInvestimentos #Bolsa #Equity #Ações https://t.co/ADlIlsasF4</t>
  </si>
  <si>
    <t>Bing Chat AI para obter ações, plugins, histórico, recursos de vídeo #Notícias #ações #Bing #Chat #histórico  https://t.co/t6NtvrhpHz</t>
  </si>
  <si>
    <t>Três principais ações para comprar e manter em 2023 #Notícias #ações #comprar #manter #para  https://t.co/lM0SYo31XF</t>
  </si>
  <si>
    <t>Tencent adquire a maioria das ações da Techland, desenvolvedora de Dying Light #Notícias #ações #adquire #das #desenvolvedora  https://t.co/cvIc1vElcI</t>
  </si>
  <si>
    <t>https://t.co/XfupvCOGzH
#Ibovespa #ações</t>
  </si>
  <si>
    <t>Descubra como investir em ações com sucesso em nosso curso online! Aprenda estratégias comprovadas e maximize seus lucros. Matricule-se agora! #investimentos #ações #cursodeinvestimentos #Ibovespa
Saiba mais ➡️https://t.co/eMe0Fcdox7 https://t.co/7UYz2XNPLm</t>
  </si>
  <si>
    <t>Descubra como investir em ações com sucesso em nosso curso online! Aprenda estratégias comprovadas e maximize seus lucros. Matricule-se agora! #investimentos #ações #cursodeinvestimentos #Ibovespa
Saiba mais ➡️https://t.co/eMe0FccQHz https://t.co/OtSJQDD1Vc</t>
  </si>
  <si>
    <t>Descubra como investir em ações com sucesso em nosso curso online! Aprenda estratégias comprovadas e maximize seus lucros. Matricule-se agora! #investimentos #ações #cursodeinvestimentos #Ibovespa
Saiba mais ➡️https://t.co/eMe0FccQHz https://t.co/pPA0yC1QEC</t>
  </si>
  <si>
    <t>Descubra como investir em ações com sucesso em nosso curso online! Aprenda estratégias comprovadas e maximize seus lucros. Matricule-se agora! #investimentos #ações #cursodeinvestimentos #Ibovespa
Saiba mais ➡️https://t.co/eMe0Fcdox7 https://t.co/tZ31ZLJU7R</t>
  </si>
  <si>
    <t>Descubra como investir em ações com sucesso em nosso curso online! Aprenda estratégias comprovadas e maximize seus lucros. Matricule-se agora! #investimentos #ações #cursodeinvestimentos #Ibovespa
Saiba mais ➡️https://t.co/eMe0Fcdox7 https://t.co/Sx7gDOJICS</t>
  </si>
  <si>
    <t>Cansado de ler notícias e depender de "analistas" e ainda perder dinheiro no mercado financeiro? Venha aprender tudo sobre investimentos no longo prazo em ações. #Investimentos #ações #BolsaDeValores #MercadoDeCapitais #Ibovespa
Saiba mais ➡️ https://t.co/eMe0FccQHz https://t.co/ZxYJn1L7Mj</t>
  </si>
  <si>
    <t>Descubra como investir em ações com sucesso em nosso curso online! Aprenda estratégias comprovadas e maximize seus lucros. Matricule-se agora! #investimentos #ações #cursodeinvestimentos #Ibovespa
Saiba mais ➡️https://t.co/eMe0FccQHz https://t.co/xx9B56HgZb</t>
  </si>
  <si>
    <t>Descubra como investir em ações com sucesso em nosso curso online! Aprenda estratégias comprovadas e maximize seus lucros. Matricule-se agora! #investimentos #ações #cursodeinvestimentos #Ibovespa
Saiba mais ➡️https://t.co/eMe0FccQHz https://t.co/uX8MJVaLVA</t>
  </si>
  <si>
    <t>Descubra como investir em ações com sucesso em nosso curso online! Aprenda estratégias comprovadas e maximize seus lucros. Matricule-se agora! #investimentos #ações #cursodeinvestimentos #Ibovespa
Saiba mais ➡️https://t.co/eMe0FccQHz https://t.co/xIV7dnGeik</t>
  </si>
  <si>
    <t>Descubra como investir em ações com sucesso em nosso curso online! Aprenda estratégias comprovadas e maximize seus lucros. Matricule-se agora! #investimentos #ações #cursodeinvestimentos #Ibovespa
Saiba mais ➡️https://t.co/eMe0FccQHz https://t.co/h5T88vZKlJ</t>
  </si>
  <si>
    <t>Cansado de ler notícias e depender de "analistas" e ainda perder dinheiro no mercado financeiro? Venha aprender tudo sobre investimentos no longo prazo em ações. #Investimentos #ações #BolsaDeValores #MercadoDeCapitais #Ibovespa
Saiba mais ➡️ https://t.co/eMe0FccQHz https://t.co/gD9KGeyDO0</t>
  </si>
  <si>
    <t>Boa tarde!
Procurar Fred Quintanilha (Contador &amp;amp; Calculista Judicial) para obter mais detalhes: https://t.co/aJHATe7Ynd
#cálculos #calculostrabalhistas #calculosprevidenciarios #trabalhista #previdenciario #contador #calculista #advogados #contabilidade #parcerias #ações #tjrj https://t.co/qAEXptrI32</t>
  </si>
  <si>
    <t>Ações Hoje
PETR4 (Petrobras) -6,97%
VALE3 (Vale) -6,53%
BBAS3 (Banco do Brasil) -5,93%
ITUB4 (Itaú Unibanco) -5,87%
WEGE3 (Weg) -5,76%
GMEL3 (Gerdau) -5,65%
LREN3 (Lojas Renner) -5,58%
AZUL4 (Linhas Aéreas) -5,47%
CIEL3 (Hering)-5,42%
MGLU3 (Revista Luiza) -5,36%
#ações #ibovespa</t>
  </si>
  <si>
    <t>Quais os melhores investimentos na bolsa brasileira vocês observam hoje?
Lembrando: melhor investimento não é melhor empresa, é maior ASSIMETRIA. 
Ou seja, maior chance de retorno em cima de você trocar o seu dinheiro suado pela a ação da empresa.
#fintwit #ações #bolsa</t>
  </si>
  <si>
    <t>Depoimentos que nos enchem de orgulho 😍
Trabalhamos para fornecer o melhor serviço possível aos nossos Subscritores e os resultados são evidentes!
Não fique para trás, faça já a sua subscrição: https://t.co/cxJLwPraOb
#investimento #poupança #ações #investir #finanças https://t.co/Tfy4kknT7G</t>
  </si>
  <si>
    <t>Toda a gente comete erros, mas quando se trata de finanças, estes podem ser muito perigosos.
Hoje trazemos-lhe as 6️⃣ armadilhas financeiras mais comuns para que possa estar atento e as evitar.
Já cometeu algum destes? 👇🏻
#investimento #poupança #ações #investir #finanças https://t.co/pBMZDHvHfM</t>
  </si>
  <si>
    <t>Aprenda enquanto descansa com o filme The Big Short (2015).
Este filme, dirigido por Adam McKay e vencedor de um Óscar, segue a história de três profissionais financeiros que previram e lucraram do colapso da bolha financeira dos anos 2000.
#investimento #poupança #ações https://t.co/nZlNmqwIEA</t>
  </si>
  <si>
    <t>Investidor, empresário e filantropo. Warren Buffett é considerado um dos investidores mais prudentes e bem-sucedidos do mundo.
Seja como Warren Buffett, seja prudente. 💭
#investimento #poupança #ações #investir #finanças #comoinvestir #warrenbuffett https://t.co/lylaMvLoBi</t>
  </si>
  <si>
    <t>O Banco de Portugal vai aliviar a taxa de esforço para aumentar o acesso ao crédito à habitação! 🏡
O que acha desta medida? 🤔
#investimento #poupança #ações #investir #finanças #comoinvestir #investidorprudente #independenciafinanceira #financeiramenteindependente https://t.co/bOhYMbRFRi</t>
  </si>
  <si>
    <t>O peso médio dos juros sobre a prestação da casa ultrapassou os 50% em Junho, quando há um ano representava apenas 16% do total! 🤯
#investimento #poupança #ações #investir #finanças #comoinvestir #euribor #juro #alojamento #alojamentolocal https://t.co/JPGXTHOnEY</t>
  </si>
  <si>
    <t>E a melhor ação do mês para investimento é… 🥁🥁
Faça a sua subscrição e receba a nossa sugestão de investimento para Agosto. Aproveite a oferta especial até 2 de setembro:  https://t.co/HLMNlnyZDV
#investimento #poupança #ações #investir #finanças https://t.co/sp993jS3Fe</t>
  </si>
  <si>
    <t>Já conhece a série documental “Explained” da Netflix? 🤔
Desde o mercado de valores, criptomoedas e finanças, a música, desporto e alimentação, esta série tem assuntos para todos os gostos.
#investimento #poupança #ações #investir #finanças #comoinvestir #investidorprudente https://t.co/DSIuCiYoP4</t>
  </si>
  <si>
    <t>O calor e a praia pedem sempre um bom livro e haverá melhor do que descansar e aprender ao mesmo tempo? ☀️📚
Se ainda não leu, adicione à sua lista. Se já leu, conte-nos o que achou nos comentários!
#investimento #poupança #ações #investir #finanças #comoinvestir https://t.co/iT90rOSCNa</t>
  </si>
  <si>
    <t>Conheça as 5 #ações que mais pagaram #dividendos em 2023 https://t.co/wClpBP59X3</t>
  </si>
  <si>
    <t>💰Preço do #minériodeferro recua 1,04% na Ásia, oscilação negativa que movimenta #ações de mineradoras e siderúrgicas.
💰Bancos da China cortarão taxas sobre hipotecas, os contratos imobiliários.
💰Índice #Gfk de confiança do consumidor da Alemanha para setembro fica em -25,5.</t>
  </si>
  <si>
    <t>#gestãoativa #activeshare #investimentos #investimentosemempresas #bolsadevalores #ações https://t.co/PcWrGHwZWV</t>
  </si>
  <si>
    <t>1 . Você sabe qual a quantidade ideal de empresas que se deve investir para gerar alpha? Trouxemos aqui um estudo muito interessante sobre esse tema!
E para ler o conteúdo completo, acesse nossa carta de gestão do 1T23 pelo link: https://t.co/YtToRGUcma
#ações #fintwit #SFA https://t.co/7F1Q9vMrn8</t>
  </si>
  <si>
    <t>2. Para sabe mais, leia nossa carta de gestão do 1T23 no link a seguir: https://t.co/YtToRGUcma
#investimentos #warrenbuffett #ações #apple #alpha #SFA #fintwit https://t.co/BpZM7agazM</t>
  </si>
  <si>
    <t>2. Para ver o estudo completo e de outros grandes investidores, acesse nossa carta trimestral pelo link: https://t.co/YtToRGUcma
#warrenbuffet #investimentos #ações #SFA #fintwit https://t.co/LJqCJRLGRZ</t>
  </si>
  <si>
    <t>Inspired by @BrianFeroldi 
TODO INVESTIDOR DEVERIA CONHECER ESSES GRÁFICOS! #AÇÕES #STOCKS #BOLSADEVALORES
No vídeo de hoje separei 15 imagens com gráficos que TODO investidor deveria conhecer!
https://t.co/qesGzFVKGJ https://t.co/wmgvVaoUer</t>
  </si>
  <si>
    <t>RESULTADOS 2T23: MA (MASTERCARD) | INTB3 (INTELBRAS) - #MA #MSCD34 #INTB3 #AÇÕES #STOCKS
Na live comentamos os resultados escolhidos pelos inscritos: MASTERCARD e INTELBRAS.
#MA
#MSCD34
#INTB3
https://t.co/uZ9k4kE51W https://t.co/gmycIYjmW5</t>
  </si>
  <si>
    <t>RESULTADOS 2T23: #PRIO3 (PRIO) | #KLBN11 (KLABIN) | #VULC3 (VULCABRAS) - #AÇÕES
Na live de hoje comentaremos rapidamente os resultados do 2T23 da PRIO3 e KLBN11 e olharemos mais a fundo o case da VULC3.
Começa às 19:10
#PRIO3
#KLBN11
#VULC3
https://t.co/UgGzmrraru https://t.co/CVWQZlt7g1</t>
  </si>
  <si>
    <t>LIVE RESULTADOS 2T23: ARZZ3, SOMA3, GRND3, COGN3, YDUQ3 E MDIA3 - #AÇÕES (JOGO RÁPIDO)
#ARZZ3 - AREZZO
#SOMA3 - GRUPO SOMA
#GRND3 - GRENDENE
#COGN3 - COGNA
#YDUQ3 - YDUQS
#MDIA3 - M DIAS BRANCO
https://t.co/dxK5fOwGwL https://t.co/AnPSFVAnNB</t>
  </si>
  <si>
    <t>LIVE RESULTADOS 2T23: MGLU3, MLAS3, LJQQ3 E GMAT3 - #AÇÕES
Na live de hoje vamos comentar os resultados recentes das empresas:
#MGLU3 - MAGALU
#MLAS3 - MULTI
#LJQQ3 - LOJAS QUERO QUERO
#GMAT3 - GRUPO MATEUS
https://t.co/AheObE99vC https://t.co/RIGzKwa3Ai</t>
  </si>
  <si>
    <t>LIVE RESULTADOS 2T23: PAGUE MENOS E RAIA DROGASIL - #PGMN3 #RADL3 #AÇÕES
Na live de hoje vamos olhar mais a fundo o case de Pague Menos e analisar rapidamente os resultados de sua principal concorrente, a Raia Drogasil.
Começa às 18:05
#PGMN3
#RADL3
https://t.co/CAkWNp5rvx https://t.co/RG8GtK82lG</t>
  </si>
  <si>
    <t>😉Gostaram? Curtam, compartilhem e nos sigam para ficarem por dentro das curiosidade e notícias sobre a CPTM.  
#cptm #trem #ferrovia #transporte #sp #resumo #notícias #ações #balanço #melhorias #abril #melhoriascptm</t>
  </si>
  <si>
    <t>#CPTM #Balanço #InfoCPTM #Junho2023 #Ações #SP #Reinauguração #CampanhaSocial #Sustentabilidade #Doação #ResponsabilidadeSocial #TransporteSustentável #CPTMconsciente</t>
  </si>
  <si>
    <t>E no #sicredi além de você ser sócio da cooperativa financeira, você também tem a opção de ter acesso a Home Broker do Sicredi e receber dividendos de suas #ações na  #rendavariável https://t.co/4pYlThHi75</t>
  </si>
  <si>
    <t>A #Carteira Valor do @valoreconomico, reúne as 10 #ações mais indicadas pelas #corretoras participantes
São 19 researches que escolhem mensalmente, 5 ações que elas acreditam que vão se valorizar no mês (o que não faz sentido algum)
PS: Ela PERDE para o #Ibovespa no #LongoPrazo https://t.co/7bzfwz3oaE</t>
  </si>
  <si>
    <t>@FariaLimaElevat Não se preocupe
89.22% (dos #fundos de #ações) delas perdem para o #índice (amplo) do #mercado #brasileiro 
Fonte: https://t.co/luNMSEmB35</t>
  </si>
  <si>
    <t>#PraCegoVer #PraTodosVerem Um vídeo com apresentação de Gaby, uma mulher de cabelos e olhos castanhos, usando uma camiseta verde. Ela conta os principais acontecimentos da terça-feira na B3.
#educacaofinanceira #açoes #rendavariavel</t>
  </si>
  <si>
    <t>De Janeiro de 2022:
Neste #episódio do #podcast TRENDSET Gestão Passiva de #Investimentos, discuto porque não invisto mais #ETFs de #ações #Brasileiras na #bovespa/@B3_Oficial 
https://t.co/aD58LqYNW2</t>
  </si>
  <si>
    <t>Índice Grandes Gurus* do Mercado PERDE pro #ibovespa
*mantido pela @tevaindices, replica a alocação de #carteiras dos melhores/mais consistentes #gestores de #fundos de #ações, selecionando as melhores performances dos últimos 5 anos
SE OS "GURUS" PERDEM, IMAGINE VOCE!
Siga-me https://t.co/ibY7goO8MC</t>
  </si>
  <si>
    <t>@mmakersoficial No #Brasil, nos últimos 10 anos, 89.22% dos #fundos de #ações desempenharam pior que o #índice S&amp;amp;P BMI Brazil (similar ao #ibovespa).
Fonte: https://t.co/luNMSEmB35</t>
  </si>
  <si>
    <t>Sabe a diferença?
Renda passiva = viver dos #dividendos pagos pelas #ações e/ou #fundosimobiliarios
Estratégia passiva de #Investimentos = #investir comprando o #mercado como um todo (ex S&amp;amp;P500)
Saiba tudo sobre a estratégia passiva em https://t.co/HapizhaXBB
Siga-me pra mais</t>
  </si>
  <si>
    <t>Uma imagem que explica porque deixei de #investir em (#ETFs de) #ações #brasileiras https://t.co/phecPIuaXI</t>
  </si>
  <si>
    <t>Falam q #Brasil representa 2 a 3% do mercado global de #ações
Considerando o #ETF mais amplo do mundo, $VT-Vanguard TotalWorld, com 9+ mil empresas de 50 países, desenvolvidos e emergentes,
nosso país representa APENAS 0.70%
Pergunta:
Ter #Reais já não é exposição suficiente? https://t.co/ejQ1OXtG3N</t>
  </si>
  <si>
    <t>#SPIVA atualizado!
90%+ dos #fundos de #ações de grande capitalização nos EUA não superaram S&amp;amp;P 500 no LP (15+ anos)
Escolha índices, não gestores
Mantive versão inglês dados anteriores para comparação: piorou por lá também
Veja os dados mais recentes:
https://t.co/bBMoszcl4G https://t.co/awZbQ5Q2ZG</t>
  </si>
  <si>
    <t>Cite uma #ação, além de Pfizer e Zoom, que teoricamente se beneficiou do #Covid ter acontecido
Quero fazer um estudo aqui
Pode ser? https://t.co/LNAl85tpmu</t>
  </si>
  <si>
    <t>Pra ser justo
os #fundos de #investimentos em #açōes deveriam devolver ao #cotista 20% quando os fundos não batessem o #indice de #mercado 
Seria divertido
e trágico 
para essa “indústria”
Siga-me pra mais conteúdos sobre a #EstrategiaPassiva
#performance
#fintwitbr
 #ibov https://t.co/yimaCfz98L</t>
  </si>
  <si>
    <t>Não tem muito segredo: 
Quanto mais #ações um #ETF tiver, #melhor será seu #desempenho.
#PIBB11 (em verde, com 50 empresas) x #GOVE11 (em amarelo, com 123 #empresas)
Fonte dos dados: @statusInvestBR 
Siga-me para mais conteudos como esse https://t.co/tx8vq9wCsH</t>
  </si>
  <si>
    <t>Agora que a EXPERT XP acabou…
Qual o principal motivo para NÃO #investir em #fundos ativos de #investimentos em #ações?</t>
  </si>
  <si>
    <t>Por que não invisto em (#ETF de) #ações #brasileiras?
Pois já tenho meu patrimônio em #Reais
Veja na imagem que #BRL/USD e #BOVA11 são correlacionados
Então para que ter dupla exposição?
Vou mesmo de 50% #SPXI11 e 50% #IMAB11, e novo aporte no ETF com o menor saldo
Siga-me https://t.co/omzebFuPXk</t>
  </si>
  <si>
    <t>Quem precisa de #ações brasileiras se temos  #TesouroDireto?
Veja os #retornos dos meus títulos (em amarelo) versus o #IBOVESPA (em vermelho) na minha #carteira passiva, nos últimos 5 anos.
Não se esqueça da tal volatilidade!
Fonte: @statusInvestBR
Siga-me para mais conteúdos https://t.co/2Ha1LNCLki</t>
  </si>
  <si>
    <t>Quase 24% dos #fundos BATERAM, nos últimos 12 meses, o (#indice amplo do) #mercado #brasileiro de #ações
Pro #investidor, é dificílimo  antever quem serão tais gestores
Abaixo resultado relatório #SPIVA Jun23
#gestor, antes de criticar os números, veja se VC não está perdendo! https://t.co/SzvErzPcLq</t>
  </si>
  <si>
    <t>Simulei uma #carteira stock-picking com 3 #ações: Zoom, Amazon e Pfizer, potencialmente as vencedoras em um cenário de #COVID e "novo normal", certo?
Note que hoje a carteira estaria tecnicamente empatada com $VOO, #ETF do S&amp;amp;P 500.
Em resumo: vá de #EstratégiaPassiva, e aportes https://t.co/Llvw53Vqym</t>
  </si>
  <si>
    <t>Na #Austrália, nos últimos 3 anos:
57.43% dos #fundos de #ações desempenharam pior que o #índice S&amp;amp;P/ASX 200
5 anos: 80.86%
10 anos: 79.14%
15 anos: 80.89%
Fonte: SPIVA Report mid-2023
Como você acha que estão os gestores no Brasil? 
Pior ou melhor que os australianos?
Comente</t>
  </si>
  <si>
    <t>Quase 8% dos #fundos BATEN, no longo prazo (10+ anos), o (#indice amplo do) #mercado de #ações #brasileiro
Pro #investidor, é dificílimo  antever quem serão tais gestores
Abaixo resultado relatório #SPIVA jun23
#gestor antes de criticar os números, veja se VC não está perdendo https://t.co/QloPDw1yEf</t>
  </si>
  <si>
    <t>Quase 10% dos #gestores de #fundos de #investimentos em #ações BATEM o #índice de mercado no longo prazo
RARO MAS ACONTECE
Siga-me para não depender deles e das exorbitantes taxas que eles cobram.</t>
  </si>
  <si>
    <t>Você não consegue prever quem irá ganhar a #copa do mundo de #futebol feminino mas acha que sabe escolher #ações das #empresas  que vão bombar no #longoprazo
Santa ilusão Batman</t>
  </si>
  <si>
    <t>ABC para perder #dinheiro com #investimentos
A #Acoes individuais
B #Bitcoin e outras cripto
C #CDBs (prefira #TesouroDireto)  
D #DayTrade
E #ETFs setoriais
F #FundosImobiliarios mono-ativo
G Giro de #carteira
Quer a lista ate o Z?
Siga-me para + conteudo como esse
#trendset https://t.co/0QRJXs8MTD</t>
  </si>
  <si>
    <t>Além disso, a empresa também comunicou a implementação de um programa de #recompra de #ações, com a intenção de adquirir até 64.249.172 ações, equivalentes a 9,56% do total em circulação. Isso visa manter as ações em #tesouraria para possível alienação e/ou cancelamento.</t>
  </si>
  <si>
    <t>É a força de #vontade que impulsiona as #ações e mantém a #perseverança, mesmo diante de #desafios e #obstáculos. Ter uma #motivação forte é essencial para superar #dificuldades e alcançar #resultados significativos em qualquer empreendimento.</t>
  </si>
  <si>
    <t>Se você tivesse toda essa grana, como investiria?
#mercadofinanceiro #acoes #fundosimobiliarios #rendafixa</t>
  </si>
  <si>
    <t>Já enviou a boleta de compra?
#dia #pais #diadospais #ações #futuro #longoprazo #investimento #hoje https://t.co/RcuJim53qo</t>
  </si>
  <si>
    <t>#warrenbuffet #empresa #investing #lições #longoprazo #ações #qualidade #especulador #pesquisa #disciplina #sucesso #investimento</t>
  </si>
  <si>
    <t>No 2º tri, a controladora da #Shopee, Sea, lucrou US$ 330,9 mi, revertendo prejuízo de US$ 931,1 mi. Receitas totais: US$ 3,1 bi, +5,2% anual. Shopee: receita de US$ 2,1 bi (+20,6% anual), impulsionada por +10% nos pedidos brutos. #Ações caíram 30% após vendas desapontarem. https://t.co/MX8sVwnS3J</t>
  </si>
  <si>
    <t>1️⃣ O horário de negociação na B3 vai das 10h às 17h. 
2️⃣ A pré-abertura ocorre entre 9h45 e 10h, enquanto o after-market ocorre entre 17h25 e 17h30. 
3️⃣ Já as negociações com o Ibovespa futuro ocorrem entre 9h e 17h55.
#b3 #ações #ibovespa</t>
  </si>
  <si>
    <t>Três Indicadores Cruciais para Investidores Avaliarem na Compra de  #Ações:
1️⃣ Retorno sobre o Capital Investido (ROIC)
2️⃣ Retorno sobre o Patrimônio Líquido (ROE)
3️⃣ Crescimento Anual da Receita e Lucros (CARG)
Segue o 🧶</t>
  </si>
  <si>
    <t>O Banco do Brasil (BBAS3) aprovou, na noite de sexta-feira (25), pagamento de juros sobre capital próprio (JCP) aos seus investidores no valor de R$ 953,72 milhões, equivalentes a R$ 0,33419721437 por ação, com referência ao 3º trimestre de 2023.
#dividendos #ações</t>
  </si>
  <si>
    <t>Feliz dias dos pais e não esqueça de avisar o velho que poupança não é investimento.
Ps: Diga a ele também que apostar no jogo do bicho e jogar baralho, não investimento.
#dia #pais #diadospais #economia #mercadofinanceiro #ações #tesouro #finanças #futuro #longoprazo #hoje https://t.co/5C5fnrt9aS</t>
  </si>
  <si>
    <t>🚨URGENTE: Acabou de sair uma nota…
- “De acordo com os dados analisados, podemos concluir que investir na derrota do Vasco está sendo um opção de investimento na renda fixa mais seguro que até mesmo o Tesouro Selic”.
#Investimentos #rendafixa #acoes https://t.co/rhDT09IERL</t>
  </si>
  <si>
    <t>Você acredita em uma recuperação gradual das ações do Bradesco?
#acoes #investimento #bradesco https://t.co/SihiKS2kOU</t>
  </si>
  <si>
    <t>Impostos, e + impostos.
.
#impostos #governo #ações #criptomonedas #humor https://t.co/lR5rDxWNxp</t>
  </si>
  <si>
    <t>E você, já recebeu os dividendos?
.
#dividendos #acoes #rendapassiva #investimentos #liberdade #bolsadevalores #estratégia https://t.co/FqGg04DR2k</t>
  </si>
  <si>
    <t>#Ações
Igarassu promove campanha do MAIO AMARELO para reforçar segurança viária
#portaldeprefeitura #igarassu #maioamarelo #segurançaviaria https://t.co/20aVWFELjB</t>
  </si>
  <si>
    <t>#Compromisso
BELO JARDIM: Gilvandro Estrela assina termo de comprometimento em ações preventivas sobre a Análise de Emissões de Gases de Efeito Estufa
#portaldeprefeitura #BeloJardim #GilvandroEstrela #termo #comprometimento #ações #prevenção #análise… https://t.co/Phu6YfnPYV</t>
  </si>
  <si>
    <t>#Iniciativas
RAQUEL LYRA apresenta ações para MELHORAR SITUAÇÃO econômica e social de PERNAMBUCO durante evento EM BRASÍLIA
#portaldeprefeitura #raquellyra #ações #melhorarsituação #economia 
https://t.co/o3StTIX1Af</t>
  </si>
  <si>
    <t>#Levantamento
Ações policias em FAVELAS causam PREJUÍZO de R$ 14 MILHÕES por ANO, segundo dados de PESQUISA INÉDITA
#PortaldePrefeitura #Ações #Policiais #Favelas #Prejuízo #14Milhões #Comunidade #Pesquisa 
https://t.co/a8qzyRVDU3</t>
  </si>
  <si>
    <t>Se você tem interesse em investir em fundos imobiliários e ações. Conheça meus E-Books..
https://t.co/bl1jbQJSmV
#açao #açoes #fiis #FII #investimento #investimentos #selic #ipca #rendavariavel #banco</t>
  </si>
  <si>
    <t>Adquiri os melhores e-books de investimento em Fundos Imobiliários e ações.
E-books ⬇️
https://t.co/pr9tT3f05f
#açao #b3 #finanças #finance #FII #fundosimobiliarios #fundoimobiliario #ações #investir #investidor #fiis #brasil #rendavariavel #açoes #rendafixa #investimento</t>
  </si>
  <si>
    <t>Já passou da hora das corretoras permitir comprar ações e fundos imobiliários com o cartão de crédito 
#açoes #açao #b3 #fiis #fundosimobiliarios #Brasil</t>
  </si>
  <si>
    <t>Ações do setor financeiro e commodities estão pressionando o Ibovespa, que se recupera da mínima do dia, mas ainda enfrenta quedas. O mercado global mais fraco e os possíveis aumentos de juros em economias avançadas afetam as empresas brasileiras. #Ibovespa #Ações</t>
  </si>
  <si>
    <t>Na B3, destaque para as ações da Raízen, que registram alta de mais de 2%, enquanto a Vibra sofre uma queda superior a 3%. Movimentação no mercado de ações! #B3 #Ações #Raízen #Vibra
84% dos negociadores de retalho perdem dinheiro.</t>
  </si>
  <si>
    <t>Investidores preocupados com a Petrobras após notícias de possível mudança na política de preços de combustíveis e direcionamento de investimentos. Ações caem -2.82%. #Petrobras #investidores #ações
84% dos negociadores de retalho perdem dinheiro. https://t.co/fBcMTTDXWl</t>
  </si>
  <si>
    <t>📢 BTG recomenda compra de ações SUZB3 da Suzano com preço-alvo de R$ 71. Espera-se estabilização dos custos no 2º trimestre e queda a partir do 2º semestre. 💼📈 #investimentos #ações
84% dos negociadores de retalho perdem dinheiro.</t>
  </si>
  <si>
    <t>📈 As ações do Fleury, empresa de saúde, sobem 2,70% e estão entre as maiores altas do Ibovespa! A aprovação do aumento de capital e o bom desempenho operacional impulsionaram os ganhos. #Fleury #Ibovespa #Ações
84% dos negociadores de retalho perdem dinheiro.</t>
  </si>
  <si>
    <t>Coinbase se recupera parcialmente após queda causada por processo da SEC. Ações da Tesla e Netflix em alta no pré-mercado, impulsionadas por anúncios positivos. #Criptomoedas #Tecnologia #Ações
84% dos negociadores de retalho perdem dinheiro.</t>
  </si>
  <si>
    <t>Petrobras lidera o avanço das ações na Bolsa brasileira, com ganhos médios de 0,50%, acompanhando a alta do petróleo no exterior. #Petrobrás #Ações #Investimentos
84% dos negociadores de retalho perdem dinheiro.</t>
  </si>
  <si>
    <t>Confiança das ações de empresas locais impulsiona bolsa de Tóquio. Toyota e Sony registram ganhos. #BolsaDeTóquio #Ações #Mercados
84% dos negociadores de retalho perdem dinheiro.</t>
  </si>
  <si>
    <t>O Ibovespa renovou a mínima, mas enfrenta resistência em sua tentativa de subir para renovar a máxima. A influência negativa de Nova York e a queda das ações da Vale, Petrobras e bancos limitam o movimento. #Ibovespa #Ações
84% dos negociadores de retalho perdem dinheiro.</t>
  </si>
  <si>
    <t>⚠️ Atenção investidores! Hoje, o vencimento do mercado de opções sobre ações pode trazer alguma instabilidade para as blue chips. Fiquem atentos aos movimentos do mercado! #Ações #Investimentos
84% dos negociadores de retalho perdem dinheiro.</t>
  </si>
  <si>
    <t>Preços do minério de ferro caem, afetando ações da Vale e empresas de mineração. Volatilidade nos papéis da Petrobras devido à queda dos preços do petróleo. #Commodities #Ações
84% dos negociadores de retalho perdem dinheiro. https://t.co/DoJuTWGTFh</t>
  </si>
  <si>
    <t>Ibovespa sobe e tenta manter marca de 110 mil pontos, mesmo com queda nos índices futuros em NY. Destaque para a Petrobras, com alta acima de 3%, apesar da mudança na política de preços. #investimentos #ações #Ibovespa</t>
  </si>
  <si>
    <t>Ibovespa atinge 121.442,02 pontos apesar de desempenho negativo da Petrobras e Bradesco. Índice segue em alta de 0,55%, acumulando ganho de 0,88% na semana. #Ibovespa #MercadoFinanceiro #Ações 
84% dos negociadores de retalho perdem dinheiro.</t>
  </si>
  <si>
    <t>Ações da Vale e Petrobras sofrem queda enquanto o mercado reage às turbulências. #Vale #Petrobras #Ações
84% dos negociadores de retalho perdem dinheiro.</t>
  </si>
  <si>
    <t>📊 Ações da Vale e Petrobras em destaque! Vale registra aumento de 2,50% e Petrobras avança quase 1% no Ibovespa. Setor de mineração e petróleo impulsiona o mercado brasileiro. #Ações #MercadoBrasileiro
84% dos negociadores de retalho perdem dinheiro.</t>
  </si>
  <si>
    <t>Ibovespa abre com alta de até 0,50%, mas perde fôlego em meio à queda de ações da Vale, siderúrgicas e Petrobras devido à instabilidade no mercado externo. Cautela prevalece com semana de balanços e foco na política monetária brasileira e incentivos da China. #Ibovespa #Ações</t>
  </si>
  <si>
    <t>Resultados da Petrobras e Vale impactam Ibovespa, com papéis da mineradora em baixa. #Petrobras #Vale #Ações 
84% dos negociadores de retalho perdem dinheiro.</t>
  </si>
  <si>
    <t>Ibovespa registra queda renovando mínima, perdendo os 122 mil pontos, pressionado por ações de commodities. #Ibovespa #Ações #Commodities 
84% dos negociadores de retalho perdem dinheiro.</t>
  </si>
  <si>
    <t>Papéis da Apple batem recorde hoje! 🚀📈 Valor chegou a USS 182,94! Investidores estão animados com o lançamento de um fone de ouvido de 'realidade mista' em breve! #Apple #Ações #Recorde
84% dos negociadores de retalho perdem dinheiro.</t>
  </si>
  <si>
    <t>Copel lança oferta de ações que devem ir à Bolsa de Valores
A Companhia Paranaense de Energia (Copel) lançou nesta quarta-feira (26) a oferta pública de ações que deve resultar na transformação da estatal em corporação sem acionista control...
#ações ...
https://t.co/PtXrKs6Re3</t>
  </si>
  <si>
    <t>Plamev Pet e BEE4 são destaques na Bloomberg News!
Acesse o link abaixo e confira na íntegra a matéria sobre o crescimento da Plamev no mercado de ações.
https://t.co/Qbl1qi6GJy
#plamevpet #investimento #bee4 #acoes #mercado #mercadopet #bolsadevalores https://t.co/yozc4OeNxW</t>
  </si>
  <si>
    <t>Surpreendeu Bill Gates? Microsoft bate recorde de valor de mercado com IA - Olhar Digital https://t.co/YN05ZvZrjq #ações #Microsoft #valor de mercado via @OlharDigital</t>
  </si>
  <si>
    <t>E tem gente que acredita que está tudo bem 👀 #Economia #bolsadevalores #acoes #bvsp https://t.co/B2dDatQYaL</t>
  </si>
  <si>
    <t>Siga-nos também nas nossas outras redes sociais.
#CSF #CultivarSeuFuturo #investimento #investimentos #educacao_financeira #educacaofinanceira #desenvolvimento_pessoal #desenvolvimentopessoal #rendapassiva #dividendos #ações #acoes #investimentoparainiciantes #futuro https://t.co/LUFLplyX2U</t>
  </si>
  <si>
    <t>Como rentabilizar sua carteira de ações sem depender da valorização das cotações?
#rentabilidade #CSF #CultivarSeuFuturo
#investimento #investimentos #educaçãofinanceira #desenvolvimentopessoal #renda #rendapassiva #dividendos #ações #acoes
https://t.co/VIVHfiiKdV https://t.co/a9M6QKNToc</t>
  </si>
  <si>
    <t>Seis estratégias para investir em ações.
Você já definiu a sua estratégia para os seus investimentos?
#estrategia #buyandhold #valueinvesting #dividendos #growth #growth #momentum #indexinvesting  #CSF #CultivarSeuFuturo #investimento #acoes
https://t.co/1PZ48O7xbX</t>
  </si>
  <si>
    <t>Na sequência do aumento de preços da @DEGIRO no passado 15 de Maio, publiquei uma atualização no blogue à minha análise das melhores corretoras disponíveis para investidores passivos
#corretoras #dinheiro #investimentos #finançaspessoais #ações #ouro
https://t.co/0PbjLVskFC</t>
  </si>
  <si>
    <t>Portfólios Modelo Investidor Frugal atualizados com dados a 31 de Maio de 2023. Bons investimentos  #PortfoliosModelo #ETFs #FinançasPessoais #investimentos #Ações #Obrigações #Ouro #Investir #dinheiro #riqueza #portefolio #bolsadevalores https://t.co/063oSUpI7M</t>
  </si>
  <si>
    <t>É um pouco paradoxal, mas para um investidor de longo-prazo cuja fase de acumulação ainda irá durar alguns anos ou décadas, o ideal é o mercado descer.
#investir #investimentos #longoprazo #ações #bolsadevalores #obrigações #dinheiro #riqueza #patrimonio https://t.co/e1LqjCtOa9</t>
  </si>
  <si>
    <t>Portfólios Modelo Investidor Frugal atualizados com dados a 30 de Abril de 2023. Bons investimentos 
#PortfoliosModelo #ETFs #FinançasPessoais #investimentos #Ações #Obrigações #Ouro #Investir #dinheiro #riqueza #portefolio #bolsadevalores https://t.co/tcjazyJUha</t>
  </si>
  <si>
    <t>Morreu Harry Markowitz, o pai da Teoria Moderna do Portfólio. Se hoje compramos ETFs e dizemos "VWCE and chill", muito o devemos a Markowitz.
Descansa em Paz Markowitz!
#investimentos #investir #diversificação #portfólios #ações #obrigações #dinheiro #riqueza https://t.co/Xjbavg1w2D</t>
  </si>
  <si>
    <t>Portfólios Modelo Investidor Frugal atualizados com dados a 30 de Junho de 2023. Bons investimentos  
#PortfoliosModelo #ETFs #FinançasPessoais #investimentos #Ações #Obrigações #Ouro #Investir #dinheiro #riqueza #portefolio #bolsadevalores https://t.co/4IovlWI5iA</t>
  </si>
  <si>
    <t>No meu mais recente artigo, analisei os Fundos de Investimento Mobiliário de Ações vendidos pelos bancos e expliquei porque existem alternativas melhores para os investidores privados
#investimentos #investir #ações #dinheiro #riqueza #finançaspessoais
https://t.co/GzKRCnj9ch</t>
  </si>
  <si>
    <t>Portfólios Modelo Investidor Frugal atualizados com dados a 31 de Julho de 2023. Bons investimentos    
#PortfoliosModelo #ETFs #FinançasPessoais #investimentos #Ações #Obrigações #Ouro #Investir #dinheiro #riqueza #portefolio #bolsadevalores https://t.co/dyBzfMGrKa</t>
  </si>
  <si>
    <t>No meu mais recente artigo, explico o que é market timing, quanto afeta negativamente o crescimento do nosso portfólio e o que podemos fazer para evitar os seus custos
https://t.co/n3CKd1MyI2
#finançaspessoais #investimentos #dinheiro #riqueza #bolsadevalores #investir #ações</t>
  </si>
  <si>
    <t>Portfólios Modelo Investidor Frugal atualizados com dados a 31 de Agosto de 2023. Bons investimentos     #PortfoliosModelo #ETFs #FinançasPessoais #investimentos #Ações #Obrigações #Ouro #Investir #dinheiro #riqueza #portefolio #bolsadevalores https://t.co/CxmxbmV7pn</t>
  </si>
  <si>
    <t>No meu mais recente artigo, explico porque comprar ações individuais vira as probabilidades de sucesso contra o investidor.
#investimentos #ações #finançaspessoais #bolsadevalores #dinheiro #riqueza #investir #EducaçãoFinanceira
https://t.co/oGJyC4JbQw</t>
  </si>
  <si>
    <t>#DiaNacionaldoVoluntariado
Dia de lembrar e celebrar as #ações daquelas #pessoas q #doam seu tempo p/realizar trabalhos em prol #próximo
#Voluntário #Voluntária #Voluntariado #doar #ajudar #Amar  
#amor #solidariedade #28Agos #28agosto #DiadoVoluntariado
https://t.co/KwjVa48caQ https://t.co/MKnkZ1qGRt</t>
  </si>
  <si>
    <t>Gente, olha o email que eu recebi da #nordresearch hoje! em pleno junho de 2023! É sério? Isso que eu chamo de bater no defunto exumado... #oibr3 #vivt3 #stocks #ações https://t.co/yEKKk1dbM2</t>
  </si>
  <si>
    <t>Cambuci (CAMB3), dona da Penalty, dispara 9% após resultado 
#empresas #ações #cambuci #economia 
https://t.co/cbBzYSGpGS</t>
  </si>
  <si>
    <t>Comece a semana se informando sobre o que vai acontecer no mercado! 
Quer acompanhar de perto cada um desses acontecimentos? Acesse: https://t.co/DlwkmBRNEB
#agendademercado #agendasemanal #mercado #b3 #ações #mercadofinanceiro #finanças #flj https://t.co/tO6mrteHNP</t>
  </si>
  <si>
    <t>BRF (BRFS3) movimenta R$5,4 bilhões em oferta de ações https://t.co/cazytmKttM 
#empresas #BRF #BRFS3 #ações</t>
  </si>
  <si>
    <t>Ibovespa opera estável em dia de feriado nos EUA https://t.co/NabZ2WJOSD 
#ibovespa #ações #investimentos</t>
  </si>
  <si>
    <t>Unipar (UNIP6) ofereceu R$36,50 por ação da Braskem (BRKM5) https://t.co/IDEPFIXFY2 
#braskem #brkm5 #empresas #ações #investimentos #unipar #unip6</t>
  </si>
  <si>
    <t>Oncoclínicas (ONCO3): Conselho de administração aprova oferta de ações https://t.co/VpgARaEyFP 
#oncoclinicas #empresas #ações</t>
  </si>
  <si>
    <t>Ibovespa sobe após dados do PIB acima das expectativas https://t.co/jDoGaSGXoq 
#ibovespa #ações #investimentos</t>
  </si>
  <si>
    <t>Veja 10 small caps para poder lucrar em junho, segundo a Guide https://t.co/ZsYadwhNMx 
#ações #investimentos #smallcaps</t>
  </si>
  <si>
    <t>Comece a semana se informando sobre o que vai acontecer no mercado! 
Confira a agenda com os principais acontecimentos que estão no radar do mercado nesta semana.
#agendademercado #agendasemanal #mercado #b3 #ações #mercadofinanceiro #finanças #flj https://t.co/E6O22YQrS0</t>
  </si>
  <si>
    <t>📢 O resultado da Azul (#AZUL4) não foi muito animador para o mercado, disse o CEO da BOX Asset Management, Fabrício Gonçalvez, nesta segunda-feira (15).
Para os analistas, o investidor deve saber que... https://t.co/0gQ7pqRJ9j
#azul #ações #investimentos #empresas #azul4 https://t.co/sO6aa2Y9Of</t>
  </si>
  <si>
    <t>Vivo (VIVT3) e outras 9 ações para lucrar com dividendos em maio https://t.co/PfOZtND4I2 
#ações #investimentos #santander #dividendos #vivt3</t>
  </si>
  <si>
    <t>Americanas (AMER3): Assembleia é suspensa com tensões entre acionistas https://t.co/HmpOYX0mnm 
#americanas #amer3 #ações #empresas</t>
  </si>
  <si>
    <t>Comece a semana se informando sobre o que vai acontecer no mercado! 
Quer acompanhar de perto cada um desses acontecimentos? Acompanhe o FLJ ao longo da semana. Acesse: https://t.co/DlwkmBRfP3
#agendademercado #agendasemanal #mercado #b3 #ações #mercadofinanceiro #finanças https://t.co/hL1lkHuxjk</t>
  </si>
  <si>
    <t>EMPRESAS | Em rota de correção, Alpargatas vai revisar portfólio #ALPA4 #Ações
https://t.co/tBssYHxkzO</t>
  </si>
  <si>
    <t>Mercados operam sem direção com foco em resultados trimestrais 
#mercados #ações #investimentos #economia 
https://t.co/ufw1IcWS9t</t>
  </si>
  <si>
    <t>JBS (JBSS3): Listagem nos EUA será positiva para o investidor? https://t.co/yB4kjE2Akt 
#jbs #jbsss3 #empresas #ações #economia #mercados #investimentos</t>
  </si>
  <si>
    <t>Mercados sobem antes de dados da inflação dos EUA https://t.co/59063jb0zY 
#mercados #ações #internacionais</t>
  </si>
  <si>
    <t>Vale (VALE3) começa a operar barragem em Brucutu https://t.co/NXbkZQ9uD9 
#Vale #VALE3 #empresas #ações #mineração</t>
  </si>
  <si>
    <t>Mercado já vê inflação abaixo de 5% e Selic a 12% no fim do ano https://t.co/j4Ig46tYzm 
#mercados #ações #investimentos #economia</t>
  </si>
  <si>
    <t>Ibovespa recua e ensaia movimento de ajuste https://t.co/cO1A298c7W 
#ações #ibovespa #mercados #investimentos</t>
  </si>
  <si>
    <t>#JBSS3 | JBS pagará R$ 2,2 bilhões em dividendos; data de corte termina nesta semana
#JBS #Dividendos #Ações</t>
  </si>
  <si>
    <t>Aura Minerals (AURA33) vai pagar US$ 10 milhões em dividendos https://t.co/kBzGsMtLFA 
#aura33 #empresas #ações #dividendos</t>
  </si>
  <si>
    <t>Mercado faz ajuste após máxima do S&amp;amp;P 500; minério de ferro sobe https://t.co/LLtdjWEqp3 
#ações #investimentos #ibovespa</t>
  </si>
  <si>
    <t>CVC (CVCB3) contrata Citi e Itaú BBA para fazer oferta de ações https://t.co/2utgPXB0BT 
#CVC #CVCB3 #ações #investimentos</t>
  </si>
  <si>
    <t>Azul (AZUL4) e Gol (GOLL4) devem decolar após isenção de impostos? https://t.co/IZw1gwRmAE 
#azul #azul4 #ações #investimentos #economia</t>
  </si>
  <si>
    <t>Vivo: VIVT3 é a ação favorita do Santander do setor de telecomunicação https://t.co/1ALsTh3uUt 
#vivo #vivt3 #tim #tims3 #santander #investimentos #ações</t>
  </si>
  <si>
    <t>Credit Suisse rebaixa recomendação da CSN (CSNA3) para neutra https://t.co/R8tDiFap0u 
#creditsuisse #ações #empresas #mercados #csn #csna3</t>
  </si>
  <si>
    <t>Renúncia de CEO da CVC (CVCB3) deve atrasar a recuperação da empresa https://t.co/CudPZSW2IB 
#CVC #CVCB3 #ações #empresas #turismo #LeonelAndrade</t>
  </si>
  <si>
    <t>Aliados do governo articulam tirar poder de ministério de Marina Silva https://t.co/UzKtgWCRc9 
#marinasilva #economia #política #mercados #ações</t>
  </si>
  <si>
    <t>Comece a semana se informando sobre o que vai acontecer no mercado!
Acompanhe o FLJ ao longo da semana. Acesse: https://t.co/DlwkmBRfP3
#agendademercado #agendasemanal #mercado #b3 #ações #mercadofinanceiro #finanças #flj https://t.co/pFbpqKwaJG</t>
  </si>
  <si>
    <t>DE OLHO NOS MERCADOS | Ibovespa sobe em dia de vencimento de opções, DIs caem em linha com yields no exterior e dólar recua #Ibovespa #Ações 
https://t.co/1QTFsJb6MM</t>
  </si>
  <si>
    <t>CVC (CVCB3): Ações caem 5% após prejuízo aumentar ainda mais no 2T23 
#cvc #cvcb3 #ações #empresas 
https://t.co/fCXGAZVLzD</t>
  </si>
  <si>
    <t>Gerdau (GGBR4): Cinco motivos para comprar as ações após o resultado 
#gerdau #ggbr4 #ações #investimentos #economia 
https://t.co/bGmGyZBodA</t>
  </si>
  <si>
    <t>Fundo Verde, de Luis Stuhlberger, reduz alocação em bolsa brasileira 
#ações #investimentos #economia #mercados 
https://t.co/WcHIrzV7FG</t>
  </si>
  <si>
    <t>Dados fracos na China derrubam bolsas e apreciam dólar
#mercados #dolar #ações #investimentos 
 https://t.co/kuyvGyPNsf</t>
  </si>
  <si>
    <t>Ação da Eletrobras sobe após balanço do 2º tri 
#ações #elet3 #mercados 
https://t.co/i0AyvFBKYU</t>
  </si>
  <si>
    <t>Mercados caem com dados fracos na China e cenário de aversão ao risco 
#mercados #ações #investimentos 
https://t.co/j4MnJKLXtL</t>
  </si>
  <si>
    <t>Resultado da BB Seguridade agrada maioria, mas ainda existem riscos 
#bbseguridade #bbse3 #ações #investimentos 
https://t.co/7CnvfVE2oh</t>
  </si>
  <si>
    <t>BB Seguridade e Assaí lideram altas no Ibovespa nesta segunda-feira 
#bbseguridade #assai #ações #bbse3 #asai3 
https://t.co/6sOhHDzbnW</t>
  </si>
  <si>
    <t>Ibovespa opera sem direção definida à espera por ata do Copom 
#ibovespa #ações #investimentos #economia 
https://t.co/EFNFA0wAcI</t>
  </si>
  <si>
    <t>Ações da 3R Petrolleum (RRRP3) disparam após dados de produção https://t.co/7JAFAxB4SU 
#3rpetrolleum #rrrp3 #ações</t>
  </si>
  <si>
    <t>Mercado internacional recua antes de dados do emprego https://t.co/0oIVjbUL6z 
#mercados #investimentos #economia #ações</t>
  </si>
  <si>
    <t>Ibovespa cai pressionado por commodites após dados da China https://t.co/gYFPHZK1V1 
#ibovespa #ações #investimentos</t>
  </si>
  <si>
    <t>BRF (BRFS3) recebe compromisso de investimento da Salic e Marfrig https://t.co/kI6Nox7NMG 
#brf  #brfs3 #ações #marfrig #mrfg3</t>
  </si>
  <si>
    <t>Camil (CAML3) aprova pagamento de R$ 25 milhões em proventos https://t.co/zLJlMiPbTM 
#camil #ações #investimentos #economia #caml3</t>
  </si>
  <si>
    <t>Smart Fit (SMFT3): Pátria precifica ações da companhia a R$ 18,15 https://t.co/zpL4bnxrWG 
#smartfit #ações #empresas #investimentos</t>
  </si>
  <si>
    <t>Ibovespa fecha em queda em dia de volume reduzido com feriado nos EUA https://t.co/qOnt2UD1pb 
#ibovespa #investimentos #ações</t>
  </si>
  <si>
    <t>Cemig (CMIG4): Descubra os motivos que podem fazer a ação cair https://t.co/ymd5aa8DwS 
#cemig #cmig4 #ações #investimetos #economia</t>
  </si>
  <si>
    <t>Ibovespa oscila pouco na abertura em dia com feriado nos EUA https://t.co/f2TD3RlAE9 
#ibovespa #ações #investimentos</t>
  </si>
  <si>
    <t>3R Petroleum (RRRP3) retoma operação de Polo Papa Terra https://t.co/Ttnu9ILMx4 
#3R #RRRP3 #empresas #ações #investimentos</t>
  </si>
  <si>
    <t>Petrobras e Vibra; Ânima; Stone; 3R Petroleum; GPA https://t.co/PBoLyF8L2p 
#PETR3 #PETR4 #ANIM3 #VBBR3 #DestaquesCorporativos #Ações #investimentos</t>
  </si>
  <si>
    <t>Mercados sobem de olho em juros e com China no radar 
#mercados #ações #investimentos #economia 
https://t.co/UScDN2c6Ze</t>
  </si>
  <si>
    <t>EMPRESAS | IRB: Após alta de 71% em 2023, investidores se dividem entre otimismo e cautela #IRBR3 #Ações 
https://t.co/ukNHJy6OAS</t>
  </si>
  <si>
    <t>Por que Yduqs (YDUQ3) desaba 12% nesta segunda-feira?
#yduqs #YDUQ3 #ações #empresas #ações 
 https://t.co/nx3hreM3j2</t>
  </si>
  <si>
    <t>Petrobras: É hora de comprar as ações após mudança nos dividendos? 
#petrobras #petr4 #economia #ações 
https://t.co/QOxBZD7KRA</t>
  </si>
  <si>
    <t>Acompanhe o FLJ ao longo da semana. Acesse: https://t.co/DlwkmBRfP3
#agendademercado #agendasemanal #mercado #b3 #ações #mercadofinanceiro #finanças #flj https://t.co/fsEwWrNJip</t>
  </si>
  <si>
    <t>Confira a agenda com os principais acontecimentos que estão no radar do mercado nesta semana.
Acompanhe o FLJ ao longo da semana. Acesse: https://t.co/DlwkmBRNEB
#agendademercado #agendasemanal #mercado #b3 #ações #mercadofinanceiro #finanças #flj https://t.co/tte7w0D9mR</t>
  </si>
  <si>
    <t>BlackRock vende ações da Usiminas (USIM5) https://t.co/66ExMSDua0 
#blackrock #empresas #ações #usiminas #usim5</t>
  </si>
  <si>
    <t>Oi (OIBR3): Credores desembolsam parcela de US$200 milhões https://t.co/lYmP74PqpP 
#Oi #OIBR3 #empresas #ações</t>
  </si>
  <si>
    <t>Copel (CPLE6) tem novo avanço em proposta de privatização https://t.co/0eaZkRtwR6 
#copel #empresas #cple6 #ações</t>
  </si>
  <si>
    <t>Itaú Unibanco (ITUB4) define data de pagamento de dois JCPs; saiba mais
#ITUB4 #Itaú #Ações 
https://t.co/cKLiclsi25</t>
  </si>
  <si>
    <t>Itaúsa (ITSA4) vende cerca de R$ 1 bilhão em ações da XP https://t.co/YupyGeHoBk 
#itaúsa #itsa4 #ações #investimentos</t>
  </si>
  <si>
    <t>Fed: Alta de juros não será necessária se economia for como o esperado https://t.co/9gD4Ll0zMc 
#mercados #ações #investimentos #economia</t>
  </si>
  <si>
    <t>B3 (B3SA3) altera requisitos econômicos e cria figura de controlador https://t.co/LN6mgg0Cxb 
#b3 #b3sa3 #ações #investimetos</t>
  </si>
  <si>
    <t>Ações da Suzano sobem após empresa elevar preço da celulose na Ásia https://t.co/ri2Y5P3LNd 
#suzano #suzb3 #ações</t>
  </si>
  <si>
    <t>Oi (OIBR3): O que fazer com a ação após prejuízo de R$19,2 bi em 2022? https://t.co/wUvT6CQJXB 
#oi #oibr3 #ações #investimentos #prejuízo #oibr3prejuízo</t>
  </si>
  <si>
    <t>Oi (OIBR3) entra em recuperação judicial, e ação sobe; como explicar? https://t.co/3IFDjlQxjY 
#oi #oibr3 #ações #empresas</t>
  </si>
  <si>
    <t>Comece a semana se informando sobre o que vai acontecer no mercado! 
Confira a agenda com os principais acontecimentos que estão no radar do mercado nesta semana.
#agendademercado #agendasemanal #mercado #b3 #ações #mercadofinanceiro #finanças #flj https://t.co/iretMU1TYJ</t>
  </si>
  <si>
    <t>Ibovespa fecha em alta puxada por Petrobras (PETR4) e bancos https://t.co/qu4y90uDXv 
#ibovespa #ações #mercados #investimetos</t>
  </si>
  <si>
    <t>Ibovespa sobe após decisões do Copom e Fed https://t.co/9UbQ7HD2x9 
#ibovespa #ibov #ações</t>
  </si>
  <si>
    <t>Embraer (EMBR3): Por que as ações caem forte nesta quinta? https://t.co/H1hyXw8HvM 
#ações #embr3 #embraer #investimentos #balanços</t>
  </si>
  <si>
    <t>Dólar oscila perto da estabilidade de olho em “Super Quarta” 
#dólar #mercados #ações #investimentos 
https://t.co/lQd9sprQki</t>
  </si>
  <si>
    <t>Via (VIIA3) contrata bancos para potencial oferta de ações de R$1 bi 
#empresas #via #ações #viia3 
https://t.co/a1CEqXWeaf</t>
  </si>
  <si>
    <t>Etanol da Raízen é certificado como Combustível Sustentável de Aviação 
#raízen #raiz4 #ações #economia 
https://t.co/GDcNRtrI1v</t>
  </si>
  <si>
    <t>Ação da Petrobras (PETR4) dispara após alta de combustíveis
#petrobras #petr4 #ações #investimentos 
 https://t.co/vjTVuvXSqr</t>
  </si>
  <si>
    <t>IRB (IRBR3) reverte prejuízo e tem lucro de R$20,1 milhões no 2T23 
#irb #ações #empresas #economia #irbr3 #balanço 
https://t.co/U3dF1lXzRs</t>
  </si>
  <si>
    <t>Cielo (CIEL3): Por que as ações derretem 8% nesta quarta-feira? 
#cielo #ciel3 #ações #empresas #mercados 
https://t.co/ENvtzJqsxA</t>
  </si>
  <si>
    <t>Veja as 5 ações que pagaram dividendos acima da Selic
#selic #ações #dividendos #economia 
 https://t.co/tp7qZdA0gg</t>
  </si>
  <si>
    <t>Ibovespa tem leve baixa de olho em balanços e inflação mais fraca 
#ibovespa #mercados #ações 
https://t.co/i7oB9Ic3CR</t>
  </si>
  <si>
    <t>EMPRESAS | WEG (WEGE3) aprova recompra de ações às vésperas de balanço -- #WEGE3 #Ações #RecompraDeAções 
https://t.co/OM7vcqQo3d</t>
  </si>
  <si>
    <t>Quer acompanhar de perto cada um desses acontecimentos? Acompanhe o FLJ ao longo da semana. Acesse: https://t.co/DlwkmBRNEB
#agendademercado #agendasemanal #mercado #b3 #ações #mercadofinanceiro #finanças #flj https://t.co/LYpxTNdOPO</t>
  </si>
  <si>
    <t>CVC (CVCB3) precifica oferta de ações em R$ 3,30 e movimenta R$ 550 mi https://t.co/fjNPNl6TDy 
#CVC #CVCB3 #empresas #ações</t>
  </si>
  <si>
    <t>Ibovespa pode ter dia turbulento após Copom mais duro que o esperado https://t.co/7tJqQH02JU 
#ibovespa #mercados #ações #investimentos</t>
  </si>
  <si>
    <t>Ações da JBS (JBSS3) saltam após empresa aprovar dividendo gordo https://t.co/ZwUC0K3xlz 
#ações #jbss3 #investimetos</t>
  </si>
  <si>
    <t>Ibovespa sobe mais de 2% com Vale (VALE3) e Petrobras (PETR4) https://t.co/smcZKUK2i2 
#petrobras #petr4 #vale #vale3 #ações #ibovespa</t>
  </si>
  <si>
    <t>11 ações para comprar agora e superar o Ibovespa, segundo o Santander https://t.co/VoOGqmH6Xp 
#ações #investimentos #carteirarecomendada #bolsadevalores #investirnabolsa</t>
  </si>
  <si>
    <t>Ibovespa sobe impulsionado por mineradoras e siderúrgicas https://t.co/l8Skh6S9pL 
#ibovespa #ibov #ações #investimentos</t>
  </si>
  <si>
    <t>BB Seguridade (BBSE3) lucra R$ 1,8 bilhão no 1º tri, salto de 51,5% https://t.co/IwPMlOVdCi 
#bbse3 #empresas #ações #investimentos</t>
  </si>
  <si>
    <t>Cogna (COGN3): Investidor deve comprar as ações após balanço? https://t.co/khJzNPr5Y3 
#cogna #cogn3 #ações #investimentos</t>
  </si>
  <si>
    <t>Light (LIGT3): Ações desabam 15% após pedido de recuperação judicial https://t.co/hSYlnbcb0q 
#light #empresas #ações #ligt3</t>
  </si>
  <si>
    <t>Comece a semana se informando sobre o que vai acontecer no mercado! 
Acompanhe o FLJ ao longo da semana. Acesse: https://t.co/DlwkmBRNEB
#agendademercado #agendasemanal #mercado #b3 #ações #mercadofinanceiro #finanças https://t.co/LgtBp6Mymn</t>
  </si>
  <si>
    <t>Confira a agenda com os principais acontecimentos que estão no radar do mercado nesta semana.
Quer acompanhar de perto cada um desses acontecimentos? Acompanhe o FLJ ao longo da semana. Acesse: https://t.co/DlwkmBRfP3
#agendademercado #mercado #b3 #ações #mercadofinanceiro https://t.co/M5gENPl80T</t>
  </si>
  <si>
    <t>OLHO NOS MERCADOS | Ibovespa sobe e dólar cai com PIB mais forte no Brasil e Payroll nos EUA; DIs seguem sem direção única #Ibovespa #Ações #BolsaDeValores
https://t.co/b6qb8ANY7N</t>
  </si>
  <si>
    <t>Mercados sobem à espera de Powell, em Jackson Hole 
#mercados #ações #investimentos #economia 
https://t.co/cKFUWBJhqh</t>
  </si>
  <si>
    <t>Itaú (ITUB4) vende operações na Argentina por R$250 milhões
#itaú #itub4 #empresas #ações #investimentos 
 https://t.co/ycLDgLGc8Q</t>
  </si>
  <si>
    <t>Nubank teve bom resultado, mas analistas não recomendam comprar a ação 
#nubank #ações #investimentos #mercados #economia #bancos #roxo34 #nu 
https://t.co/1gzkI0cr65</t>
  </si>
  <si>
    <t>Mercados operam sem direção única, de olho em indicadores e balanços 
#mercados #ações #investimentos #economia 
https://t.co/3AvdWsZ6DS</t>
  </si>
  <si>
    <t>Comece a semana se informando sobre o que vai acontecer no mercado! 
Acompanhe o FLJ ao longo da semana. Acesse: https://t.co/DlwkmBRNEB
#agendademercado #agendasemanal #mercado #b3 #ações #mercadofinanceiro #finanças #flj https://t.co/QJQ5SY145F</t>
  </si>
  <si>
    <t>#INTB3 | Ação da Intelbras despenca após resultado do 2T23; Itaú BBA corta projeções #Ibovespa #Ações
https://t.co/hPdrSGXJsz</t>
  </si>
  <si>
    <t>Vale (VALE3) e Usiminas (USIM5) têm queda no lucro; qual ação comprar? 
#vale #vale3 #usim5 #empresas #ações #investimentos 
https://t.co/vrr3IvPjhC</t>
  </si>
  <si>
    <t>Americanas (AMER3) demite 236 funcionários em uma semana https://t.co/N0cQq8jxcm 
#Americanas #amer3 #ações #investimentos</t>
  </si>
  <si>
    <t>MERCADOS GLOBAIS | Bolsas asiáticas sobem e minério de ferro dispara 4%
Veja como opera as outras bolsas 👇
https://t.co/eddkowLBFR
#Petr4 #Bolsa #b3 #ações</t>
  </si>
  <si>
    <t>Localiza (RENT3) movimenta R$ 4,5 bilhões em oferta de ações https://t.co/kPBgHvJBB1 
#localiza #ações #rent3 #investimentos</t>
  </si>
  <si>
    <t>Bolsas asiáticas sobem e minério de ferro dispara 4% https://t.co/eddkowLBFR 
#ações #ásia #minériodeferro #mercados</t>
  </si>
  <si>
    <t>Confira a agenda com os principais acontecimentos que estão no radar do mercado nesta semana.
Acesse: https://t.co/DlwkmBRNEB
#agendademercado #agendasemanal #mercado #b3 #ações #mercadofinanceiro #finanças #flj https://t.co/SfYfidYOzU</t>
  </si>
  <si>
    <t>Ibovespa sobe pela quarta semana seguida com Campos Neto no Radar https://t.co/347eEQ3KhO 
#ibovespa #ações #investimentos</t>
  </si>
  <si>
    <t>Oncoclínicas sobe após acordo com Unimed-Rio https://t.co/ioQBneGrvq 
#Oncoclínicas  #empresas #ações #investimentos</t>
  </si>
  <si>
    <t>Vale (VALE3): O que esperar da venda da divisão de metais básicos? https://t.co/5uartrpKBo 
#vale #vale3 #empresas #ações</t>
  </si>
  <si>
    <t>Eucatex (EUCA4) dispara após oferta de empresa de Paulo Maluf https://t.co/lXqjbHEgHJ 
#eucatex #euca4 #ações #investimentos</t>
  </si>
  <si>
    <t>Ibovespa sobe com expectativas sobre arcabouço fiscal https://t.co/WnvXc24x18 
#ibovespa #mercados #ações #investimentos</t>
  </si>
  <si>
    <t>Ibovespa cai pressionado por Vale (VALE3) e Petrobras (PETR4) 
#ibovespa #mercados #ações 
https://t.co/bF8fEcWSCm</t>
  </si>
  <si>
    <t>Renda fixa continua atrativa ou investidor deve migrar para ações? 
#mercados #investimentos #economia #ações #redafixa #cdi 
https://t.co/50B41AI7on</t>
  </si>
  <si>
    <t>Ibovespa cai puxado por Vale, com preocupações sobre a China 
#ibovespa #china #vale #mercado #invetimentos #ações #economia 
https://t.co/eCZgxcjqwX</t>
  </si>
  <si>
    <t>Comece a semana se informando sobre o que vai acontecer no mercado! 
Acompanhe o FLJ ao longo da semana. Acesse: https://t.co/DlwkmBRfP3
#agendademercado #agendasemanal #mercado #b3 #ações #mercadofinanceiro #finanças #flj https://t.co/zWVlQT1g6E</t>
  </si>
  <si>
    <t>Mercados sobem de olho em PMIs e à espera de balanço da Nvidia 
#mercados #ações #investimentos #economia 
https://t.co/PGAZHXJsB3</t>
  </si>
  <si>
    <t>Ibovespa tem leve alta à espera de ata do Fomc 
#ibovespa #ações #investimentos 
https://t.co/EhJFg2JPpF</t>
  </si>
  <si>
    <t>Mercados operam sem direção única à espera de ata do Fed
#ações #economia #mercados 
 https://t.co/f8ZHJTVGtI</t>
  </si>
  <si>
    <t>Tenda (TEND3) dispara 9% após resultado, mas analistas estimam queda 
#tend3 #ações #tenda 
https://t.co/bF9D5KoJNu</t>
  </si>
  <si>
    <t>PRIO (PROI3): Ação pode subir 21,5% após resultados de qualidade 
#prio #prio3 #empresas #ações #investimentos 
https://t.co/Ujxa128HrQ</t>
  </si>
  <si>
    <t>👀 NOS MERCADOS | Bolsas sobem com expectativa para decisão de juros nos EUA e Europa #Ibovespa #Ações #IBOV 
https://t.co/q1DMDS6YUp</t>
  </si>
  <si>
    <t>Comprar ações: Saiba porque é importante investir no mercado
Descubra os segredos do mercado, clique aqui:  https://t.co/B2wk4NnhDJ
#Ações #bolsadevalors #b3 #mercadofinanceiro</t>
  </si>
  <si>
    <t>Confira a agenda com os principais acontecimentos que estão no radar do mercado nesta semana.
Acompanhe o FLJ ao longo da semana. Acesse: https://t.co/DlwkmBRfP3
#agendademercado #agendasemanal #mercado #b3 #ações #mercadofinanceiro #finanças #flj https://t.co/ibIPzApog1</t>
  </si>
  <si>
    <t>Ibovespa abre em alta em dia de vencimento de opções 
#ibovespa #ações #mercados #investimentos 
https://t.co/OILZopFJDe</t>
  </si>
  <si>
    <t>Yduqs (YDUQ3) cai 8% após JPMorgan deixar de recomendar compra https://t.co/txjGZQaYRQ 
#yduqs #yduq3 #empresas #ações #investimentos</t>
  </si>
  <si>
    <t>Confira a agenda com os principais acontecimentos que estão no radar do mercado nesta semana.
Acompanhe o FLJ ao longo da semana. Acesse: https://t.co/DlwkmBRfP3
#agendademercado #agendasemanal #mercado #b3 #ações #mercadofinanceiro #finanças #flj https://t.co/lEeTG5K2wA</t>
  </si>
  <si>
    <t>PRIO (PRIO3) ou 3R (RRRP3): Quem sofre com a política da Petrobras? https://t.co/uYw3T1Yyx4 
#empresas #petr4 #prio3 #ações #investimentos #rrrp3 #recv3</t>
  </si>
  <si>
    <t>Carrefour (CRFB3): Ação caiu muito e investidor pode comprar, diz Citi https://t.co/gXce7Wog4m 
#carrefour #crfb3 #ações #investimetos</t>
  </si>
  <si>
    <t>Ibovespa sobe com Vale (VALE) enquanto mercado acompanha arcabouço https://t.co/KxpBe2SHsg 
#ibovespa #ações #investimentos #economia</t>
  </si>
  <si>
    <t>Petrobras (PETR4): Quem sai ganhando com a nova política de preços? https://t.co/1xARASU1Yh 
#petrobras #petr4 #ações #investimentos R$8,97 #gasolina #gásdecozinha #diesel</t>
  </si>
  <si>
    <t>BB-BI eleva preço-alvo e recomendação para Natura (NTCO3) 
#natura #ntco3 #ações #investimentos 
https://t.co/iDgcruMavN</t>
  </si>
  <si>
    <t>Oi (OIBR3) levanta US$300 milhões com BTG (BPAC11)
#Oi #oibr3 #empresa #ações #investimentos 
 https://t.co/aO0VExBuGQ</t>
  </si>
  <si>
    <t>Dólar ronda estabilidade e abre cotado a R$ 4,87 com China no radar 
#dólar #mercados #ações #investimentos 
https://t.co/bfdSYMOBd5</t>
  </si>
  <si>
    <t>Oncoclínicas fecha acordo para coordenar clínicas da Unimed Recife 
#oncoclinicas #empresas #ações #investimentos #onco3 
https://t.co/bdNOyFNByP</t>
  </si>
  <si>
    <t>OLHO NOS MERCADOS | Ibovespa cai pós-feriado pressionado por Vale; dólar oscila e DIs caem de olho em política monetária #Ibovespa #IBOV #Ações
https://t.co/QmBLVL5a6T</t>
  </si>
  <si>
    <t>Mercados caem com risco generalizado de deflação 
#mercados #internacional #ações 
https://t.co/d0Y9HtJl5u</t>
  </si>
  <si>
    <t>Tenda (TEND3) movimenta R$ 234,3 milhões em oferta de ações
#tenda #tend3 #empresas #ações 
 https://t.co/rQVmW2pGij</t>
  </si>
  <si>
    <t>Mercados sobem à espera de dados econômicos nos EUA
#mercados #ações #eua #internacional 
 https://t.co/2RKNUDUrDA</t>
  </si>
  <si>
    <t>Ibovespa ameaça nova alta com exterior e Campos Neto no radar 
#ibovespa #mercados #ações #investimentos 
https://t.co/uTttir4CW3</t>
  </si>
  <si>
    <t>Comece a semana se informando sobre o que vai acontecer no mercado!
Quer acompanhar de perto cada um desses acontecimentos? Acompanhe o FLJ ao longo da semana. Acesse: https://t.co/DlwkmBRfP3
#agendademercado #agendasemanal #mercado #b3 #ações #mercadofinanceiro #finanças #flj https://t.co/MnQRmizPrG</t>
  </si>
  <si>
    <t>Light (LIGT3) reverte prejuízo e tem lucro de R$ 109,4 milhões no 2T23 
#light #ligt3 #empresas #ações #balanços 
https://t.co/vtrbivf2VG</t>
  </si>
  <si>
    <t>Petrobras (PETR4) atropelou a Unipar e vai comprar a Braskem (BRKM5)? https://t.co/zYksZVB7dO 
#petrobras #petr4 #economia #política #ações #investimentos #braskem #BRKM5</t>
  </si>
  <si>
    <t>Mercados globais ficam em alerta com dados da China https://t.co/zvPkHaKEFI 
#mercados #ações #investimetos</t>
  </si>
  <si>
    <t>Confira a agenda com os principais acontecimentos que estão no radar do mercado nesta semana.
Quer acompanhar de perto cada um desses acontecimentos? Acesse: https://t.co/DlwkmBRfP3
#agendademercado #agendasemanal #mercado #b3 #ações #mercadofinanceiro #finanças #flj https://t.co/GETe7WkfYI</t>
  </si>
  <si>
    <t>Ibovespa renova máximas desde 2022 com apoio externo após S&amp;amp;P https://t.co/Nqh0s6DDHH 
#ibovespa #ações #investimentos</t>
  </si>
  <si>
    <t>Oi (OIBR3) tem prejuízo de R$1,26 bilhão no 1º trimestre https://t.co/IJHIfOUFxT 
#oi #oibr3 #ações #investimentos</t>
  </si>
  <si>
    <t>Decisão do STF deve engolir 21% do lucro do Santander (SANB11) https://t.co/jf1OEbvwvI 
#santander #sanb11 #ações #investimentos</t>
  </si>
  <si>
    <t>Ibovespa cai pressionado por Vale com IPCA e arcabouço no radar https://t.co/H6VkFqohHT 
#ibovespa #mercados #ações #investimentos</t>
  </si>
  <si>
    <t>Magazine Luiza (MGLU3) receberá R$ 1 bilhão em acordo com BNP Paribas https://t.co/L9wXYdy7Jc 
#magazineluiza #mglu3 #ações #varejo</t>
  </si>
  <si>
    <t>IRB (IRBR3): A nova decisão da SEC após a empresa mentir sobre Buffett https://t.co/f9jikNqHXS 
#irb #irbr3 #ações #investimentos #sec #eua</t>
  </si>
  <si>
    <t>Yduqs (YDUQ3): Ações disparam 19% após resultado; o que fazer agora? https://t.co/8SMSTF0qda 
#ações #investimentos #yduqs #empresas #yduq3</t>
  </si>
  <si>
    <t>RT @LeiaFLJ: Oi (OIBR3) levanta US$300 milhões com BTG (BPAC11)
#Oi #oibr3 #empresa #ações #investimentos 
 https://t.co/aO0VExBuGQ</t>
  </si>
  <si>
    <t>BOM DIA A TODOS !
não compre ações e fundos imobiliários antes de assistir esse vídeo até o final #parte2_Final
#acoes
#fiis
#fundosimobiliarios #investing
#investidor Confira o vídeo de Tu Pods ! Cortes! #TikTok https://t.co/OVXyWd07eG https://t.co/xo5ln2j4tQ</t>
  </si>
  <si>
    <t>BOM DIA !
Não compre ações e fundos imobiliários antes de assistir esse vídeo até o final
#Investimentos
#investidor #acoes
#fiis #123milhas #hotmilhas
Confira o vídeo de Tu Pods ! Cortes! #TikTok https://t.co/cUnedBrkd9 https://t.co/FP0zHJO380</t>
  </si>
  <si>
    <t>O SEGREDO DO SUCESSO 💵💵💰
#sucesso #bilionario
#acoes #mercado #Economia
 #TikTok #itausa #bancodobrasil
Video completo no link abaixo 👇👇👇👇👇👇👇👇👇👇👇👇https://t.co/Gsrh5xDJdm https://t.co/w9SeUjHu3j</t>
  </si>
  <si>
    <t>BOM DIA 😃
BILIONÁRIO BARSI não aconselha
Comprar setor de Varejo
#varejo #investimento
#luizbarsi #acoes #Economia
#b3 #bolsa  #TikTok
Vídeo completo no link abaixo 👇👇👇👇👇👇👇👇👇👇👇https://t.co/4rhvwV9M5N https://t.co/TgKexCjMPx</t>
  </si>
  <si>
    <t>Confira o vídeo de Tu Pods ! Cortes! #TikTok #Top10 #acoes https://t.co/P7WEXQsZDj</t>
  </si>
  <si>
    <t>BOM DIA ! 
TOP 10 AÇÕES PARA SETEMBRO
ATUALIZADO 🔥🔥🔥💵💵💵💰💰💰#TikTok #acoes #bolsa #ibovespa #b3 #Top10 #petrobras
Video completo no Link abaixo 👇👇👇👇👇👇👇👇👇👇👇👇👇https://t.co/X7qokNjX1n https://t.co/kM8WQQpU2c</t>
  </si>
  <si>
    <t>PERFEITA COLOCAÇÃO!!!
#investimentos
#acoes
#bolsa #b3 #dividendos
Confira o vídeo de Tu Pods ! Cortes! #TikTok https://t.co/e0zKsz4Kdz</t>
  </si>
  <si>
    <t>BILIONÁRIO BARSI REVELA
OS SETORES QUE NÃO INVESTE
#economia
#cripto #acoes
#investir #investidor
Confira o vídeo de Tu Pods ! Cortes! #TikTok https://t.co/E7ifhPJknv</t>
  </si>
  <si>
    <t>ALERTA AOS INICIANTES NA BOLSA #BOLSA #acoes
👇👇👇👇👇👇👇👇👇 #TikTok https://t.co/swof99K9LV</t>
  </si>
  <si>
    <t>TUDO SOBRE DIVIDENDOS EM MENOS DE 2 MINUTOS 😎💵💰
#dividend #dividendos
#rendapassiva #acoes
#FIIs #empreender
Confira o vídeo de Tu Pods ! Cortes! #TikTok https://t.co/AGLQpsY9Ny</t>
  </si>
  <si>
    <t>O SEGREDO DO SUCESSO
💰💰💰💵💵💵💵
#acoes #investimento
#investir #b3 #empreender
#luizbarsi
Confira o vídeo de Tu Pods ! Cortes! #TikTok https://t.co/l7uoiwLAIW</t>
  </si>
  <si>
    <t>05 FUNDOS IMOBILIÁRIOS QUE ESTÃO COM DESCONTO
#fiis #investidor
#acoes #rendapassiva
#Flamengo #Semifinal
#corinthians #saopaulo
👇👇👇👇👇👇👇😎
Confira o vídeo de Tu Pods ! Cortes! #TikTok https://t.co/aVlTGadt56</t>
  </si>
  <si>
    <t>VEJA O VÍDEO: Análise de Ações ao vivo 07/07/23 - #Ações #Opções #Criptos #criptomoedas
Fique por dentro das notícias! Siga @inCriptomoedas. Atualizações diárias.
#bitcoin #btc #cripto #moedadigital...
 Link da notícia: https://t.co/3lRXCYRz4w</t>
  </si>
  <si>
    <t>A #carteira compilada pela Bloomberg Línea reúne as recomendações de 13 #corretoras ou #bancos de #investimento e é composta por dez #ações (ou mais em caso de empate, caso deste mês). A carteira aponta novamente a #Vale como a preferida para #investir este mês. https://t.co/AHhsLa6hRT</t>
  </si>
  <si>
    <t>(12/06) Para mais informações, assine o AFTER HOURS, a newsletter de fechamento de mercado da Bloomberg Línea: https://t.co/IjuIvuIcQZ
#AfterHours #mercados #VerdeAsset #ações https://t.co/0cfTeKM1P1</t>
  </si>
  <si>
    <t>Segundo informações de #mercado, a #ArábiaSaudita está disposta a pagar US$ 400 milhões por ano a #LionelMessi para levá-lo ao time Al-Hilal. E essa é apenas a mais recente de uma série de #ações dos #governantes sauditas para exportar a #imagem do país. https://t.co/50yTyhLhre</t>
  </si>
  <si>
    <t>(30/05) Para mais informações, assine o AFTER HOURS, a newsletter de fechamento de mercado da Bloomberg Línea: https://t.co/IjuIvuIcQZ
#AfterHours #mercados #JBS #ações #investimentos #CVM https://t.co/YmzlhztxMa</t>
  </si>
  <si>
    <t>#Ações de #educação, aviação e indústria lideraram os ganhos na #AméricaLatina em maio. O maior desempenho na região foi da #Yduqs, #holding #brasileira de capital aberto com foco no ensino superior, com um #rendimento de 73,2% no mês. https://t.co/snwLigNgjr</t>
  </si>
  <si>
    <t>(25/07) Para mais informações, assine o AFTER HOURS, a newsletter de fechamento de mercado da Bloomberg Línea: https://t.co/IjuIvuIcQZ
#AfterHours #mercados #Copel #oferta #ações #privatização #Paraná #energia https://t.co/c9TcqZ5Ose</t>
  </si>
  <si>
    <t>(24/07) Para mais informações, assine o AFTER HOURS, a newsletter de fechamento de mercado da Bloomberg Línea: https://t.co/IjuIvuIcQZ
#AfterHours #mercados #WEG #ações #Tesla https://t.co/WNT8L7vMrM</t>
  </si>
  <si>
    <t>(28/08) Para mais informações, assine o AFTER HOURS, a newsletter de fechamento de mercado da Bloomberg Línea: https://t.co/IjuIvuIcQZ
#AfterHours #mercados #Brasil #ações #gestor https://t.co/qFJUGZKoB2</t>
  </si>
  <si>
    <t>(10/07) Para mais informações, assine o AFTER HOURS, a newsletter de fechamento de mercado da Bloomberg Línea: https://t.co/IjuIvuIcQZ
#AfterHours #mercados #ações #dívida #VerdeAsset #Brasil https://t.co/cI5WiijSOy</t>
  </si>
  <si>
    <t>A #Petrobras desconsidera fazer uma #oferta para comprar a parte das #ações que ainda não possui da petroquímica #Braskem, segundo fontes familiarizadas com o assunto disseram à Bloomberg News. https://t.co/tlve9fRPwb</t>
  </si>
  <si>
    <t>(15/06) Para mais informações, assine o BREAKFAST, a newsletter de abertura de mercado da Bloomberg Línea: https://t.co/IjuIvuIcQZ
#Breakfast #mercados #Petrobras #ações #Braskem #Brasil https://t.co/zIEDocW0Fm</t>
  </si>
  <si>
    <t>(1/09) Para mais informações, assine o AFTER HOURS, a newsletter de fechamento de mercado da Bloomberg Línea: https://t.co/IjuIvuIKGx
#AfterHours #mercados #ozempic #lvmh #europa #negócios #ações #novonordisk https://t.co/CqNu5ewYev</t>
  </si>
  <si>
    <t>(06/06) Para mais informações, assine o AFTER HOURS, a newsletter de fechamento de mercado da Bloomberg Línea: https://t.co/IjuIvuIcQZ 
#AfterHours #mercados #Apple #investidores #ações https://t.co/sqKuvUD0Tn</t>
  </si>
  <si>
    <t>QUIZ: Qual investimento tem mais retorno hoje em dia?
Siga a Bloomberg Línea para responder mais perguntas sobre economia e negócios.
#quiz #investimentos #mercados #ações #rolex https://t.co/ABkkh3yTVf</t>
  </si>
  <si>
    <t>A #Cambuhy e o fundo #Alpa, ambos veículos de investimento da família #MoreiraSalles, apresentaram uma oferta pública (OPA) para adquirir até 32 milhões de #ações preferenciais da #Alpargatas, dona da #Havaianas, em circulação no mercado, com um preço por ação de R$ 10,50. https://t.co/5tWTLGTX2j</t>
  </si>
  <si>
    <t>Em abril, o #papel da #construtora e #incorporadora #Eztec teve o melhor desempenho do #Ibovespa, com uma valorização de 19,3%. Em compensação, a #ação da Sendas Distribuidora, dona da rede de atacarejo #Assaí, teve uma baixa de 20,9%, a maior entre as #ações #brasileiras. https://t.co/wqECqFdQTH</t>
  </si>
  <si>
    <t>(04/05) Para conferir a matéria completa e receber mais informações, assine o BREAKFAST, a newsletter de abertura de mercado da Bloomberg Línea: https://t.co/HnwjgpqhqK 
#Breakfast #mercados #ações #bolsa #empresas #maio https://t.co/lfjzgpPJeY</t>
  </si>
  <si>
    <t>Ibovespa bateu os 110mil pontos nesta manhã!
Enquanto o governo não atrapalhar o índice vai subir. Importante observar que a expectativa para crescimento do PIB brasileiro tem crescido semana após semana.
#investimentos #ações #economia https://t.co/9Y7oBkMVUE</t>
  </si>
  <si>
    <t>Ibovespa bateu os 109 mil pontos, mesmo com a Petrobras recuando 2%.
E, ao menos até o dia 11, não eram os investidores estrangeiros comprando. Mas apostaria que entraram de 6a para cá, mas ainda deve ter sido pouco.
#investimentos #ações https://t.co/tPoBdVZt3g</t>
  </si>
  <si>
    <t>O VIX está se aproximando de 1 desvio padrão para baixo. Sinal de que o mercado está calmo. Deve continuar assim por mais um tempo, mas segundo semestre tem boa chance de vermos um solavanco no SP500.
#investimentos #multifamilyoffice #familyoffice #ações #SP500 #vix https://t.co/zShZWY7G0b</t>
  </si>
  <si>
    <t>Ações protegem contra inflação?
Na Argentina parece ter protegido, pois o ETF das ações "de los hermanos" negociado em NY sobe tanto quanto o SP500 nos últimos 5 anos.
IPCA será confiável?
Alternativa: reduza ipca e aumente bolsa na sua carteira.
 #ipca #inflação #ações https://t.co/VqrNlNP9Mh</t>
  </si>
  <si>
    <t>Nos últimos 5 anos os principais indicadores apresentaram bons rendimentos, mas nada como emprestar dinheiro para o governo, principalmente se for vinculado à inflação (IMA-B).
#CDI #IMAgeral #rendafixa #ifix #fundosimobiliarios
#investimentos #multifamilyoffice #ações #Ibov https://t.co/duNRptxraA</t>
  </si>
  <si>
    <t>Ingresso para entrar na Disney continua caro, mas suas ações...
#DIS #Ações #Investimentos https://t.co/wpZ9tL80vV</t>
  </si>
  <si>
    <t>Até o dia 22 os investidores estrangeiros retiraram R$ 10,8 bilhões da bolsa brasileira. Isso é muito próximo os recordes históricos para um mês.
E a bolsa se segurou bem. Investidores individuais que bancaram as compras. 
#ibov #investimentos #ações #familyoffice https://t.co/vQYn8m0XH0</t>
  </si>
  <si>
    <t>Neste domingo publicarei um artigo com o valor justo atualizado para o Ibovespa e S&amp;amp;P500. O "valuation" do índice brasileiro explodiu!
Afinal, as taxas prefixadas despencaram e fizeram o custo do Capital recuar bastante.
Aguarde!!!
#ações #ibov #ibovespa #multifamilyoffice https://t.co/yIBZiv5Xh5</t>
  </si>
  <si>
    <t>Investidores estrangeiros colocaram mais de R$ 10 bilhões na bolsa brasileira em junho.
Enquanto isso, os brasileiros venderam seus papeis?
Quem ganhará essa "aposta"?
#investimentos #multifamilyoffice #familyoffice #ações #ibovespa #investidorestrangeiro https://t.co/lgOBJvkOUj</t>
  </si>
  <si>
    <t>🔵 Navegar pela turbulência
🔷 Andrew Harmstone e Jim Caron falam da sua exposição aos bancos da área #euro, às #ações do Japão🇯🇵 e dos mercados #emergentes. Comentário patrocinado pela Morgan Stanley IM.
#FundsPeopleOpinião
https://t.co/Eu6FQY2WTS</t>
  </si>
  <si>
    <t>🔵 É possível encontrar empresas com baixa risco e rentabilidade atrativa
🔷 Claus Vorm fala do pouco interesse dos investidores por #ações de baixo risco. Comentário patrocinado pela Nordea AM.
#FundsPeopleOpinião
https://t.co/DVnDs5Dk0B</t>
  </si>
  <si>
    <t>📌 Fundos mais subscritos de maio: fundos de ações mantêm predominância
➡️ Os fundos de #ações mantêm a predominância nos mais subscritos. No entanto, também há lugar para fundos #multiativos e de #obrigações.
#FundsPeoplePerspetivas
https://t.co/EtIzVcFWWU</t>
  </si>
  <si>
    <t>🔶 A guerra de preços terminou: TER dos ETF estabelece um mínimo
👉 No que diz respeito aos #ETF de #ações, o TER médio dos produtos tem sido plano nos últimos três anos. O mesmo se aplica às #obrigações.
#FundsPeoplePerspetivas
https://t.co/846thm1seo</t>
  </si>
  <si>
    <t>🔎 Os 10 fundos de ações que mais captaram no último ano
🔷 Conheça o Top 10 de fundos de #ações que mais captaram desde julho de 2022. O destaque vai para um fundo já habituado a estas andanças.
#FundsPeoplePerspetivas
https://t.co/N1xKHrFiM2</t>
  </si>
  <si>
    <t>📉 Carteira de investimentos da Fundação Champalimaud terminou 2022 com queda de 10,2%
➡️ Os #investimentos da entidade tiveram vários detratores em 2022, mas as #ações foram o grande impulsionador das quedas. 
#FundsPeoplePerspetivas
https://t.co/0hoOBTTSgO</t>
  </si>
  <si>
    <t>🔎 A nossa estratégia de investimento para o segundo semestre de 2023
➡️ Kevin Thozet afirma que "dado o abrandamento da conjuntura económica, privilegiamos as #ações e os setores defensivos". Comentário patrocinado pela Carmignac.
#FundsPeopleOpinião
https://t.co/MJEAgMJTi1</t>
  </si>
  <si>
    <t>📌 Fund manager survey: gestores já não estão pessimistas, mas ainda não estão otimistas
🔷 A expectativa de uma aterragem suave e o fim das subidas da Fed empurram os investidores para as #ações dos EUA. 
#FundsPeoplePerspetivas
https://t.co/StRsny9Rzg</t>
  </si>
  <si>
    <t>📌 Mais rentáveis de ações a 5️⃣ anos: large caps globais dominam, mas Península Ibérica continua a aparecer
➡️ Nos últimos cinco anos, os fundos de #ações foram dos que entregaram melhores #retornos. Que categorias sobressaem?
#FundsPeoplePerspetivas
https://t.co/dLKcgOLF4z</t>
  </si>
  <si>
    <t>🔎 Fund Manager Survey de agosto, o menos negativo desde fevereiro de 2022
🔶 Os níveis de caixa caíram para o seu mínimo de 21 meses: de 5,3% em julho para 4,8% em agosto. Uma #liquidez que foi utilizada para regressar às #ações
#FundsPeoplePerspetivas
https://t.co/p8QxcV8Uwx</t>
  </si>
  <si>
    <t>🔎 As ações preferidas dos fundos de investimento nacionais 
🔷 Após atualizarmos a lista de empresas mais representadas nos fundos nacionais de #ações globais, os EUA🇺🇸 voltam a ganhar força para a segunda metade de 2023.
#FundsPeoplePerspetivas
https://t.co/AOPdlDjvY3</t>
  </si>
  <si>
    <t>📱 Da Microsoft à Apple: uma volta ao futuro na tecnologia
➡️ Num encontro promovido pela DNB AM percebeu-se quais as perspetivas para as #ações nos próximos tempos, focando na #tecnologia como barómetro.
#FundsPeoplePerspetivas
https://t.co/URpu2xiAbM</t>
  </si>
  <si>
    <t>🔷 O que explica a disparidade de comportamento entre os vários índices de #ações
🔵 A concentração da #rentabilidade reduz a profundidade do mercado. "Isto traduz-se num posicionamento de #mercado que pode mudar rapidamente".
#FundsPeoplePerspetivas
https://t.co/XZ6Z91JFiO</t>
  </si>
  <si>
    <t>🔶 Os 20 fundos mais rentáveis nos últimos cinco anos
🥇 Neste Top 20, o grande destaque vai para um fundo de #ações da Caixa Gestão de Ativos, por ter alcançado o primeiro lugar do ranking.
#FundsPeoplePerspetivas
https://t.co/bfB7vJYsmb</t>
  </si>
  <si>
    <t>🔶 Boas perspetivas para os mercados nórdicos de #ações e #obrigações
👉 Mikko Ripatti fala das vantagens competitivas dos mercados nórdicos e as boas perspetivas que apresentam. Comentário patrocinado pela DNB Asset Management.
#FundsPeopleOpinião
https://t.co/5JuaxQiqul</t>
  </si>
  <si>
    <t>📌 Os 2️⃣0️⃣ fundos de #ações mais rentáveis nos últimos cinco anos
🔵 Neste ranking o destaque vai para #fundos da BPI GA, da Caixa GA e da IMGA, que apresentam todos um #retorno anualizado a cinco anos superior a 11%.
#FundsPeoplePerspetivas
https://t.co/BDRU0tCoac</t>
  </si>
  <si>
    <t>🇯🇵 Semelhanças e diferenças entre o GS Japan Equity Portfolio e o GS Japan Equity Partners Portfolio
🔷 Ichiro Kosuge explica aos seus clientes porque é que agora é o momento de investir em #ações japonesas.
#FundsPeoplePerspetivas
https://t.co/VAvI6oMhdd</t>
  </si>
  <si>
    <t>📌 PGIM cria a divisão PGIM Private Alternatives
🔵 A oferta inclui soluções em #crédito privado, #ações e dívida #imobiliária, private equity, infraestruturas e agricultura.
#FundsPeopleNegócio
https://t.co/iz5wjRrGns</t>
  </si>
  <si>
    <t>🔎 Sébastien Page (T. Rowe Price): “Atentos aos dados macroeconómicos sem deixar de diversificar”
🔵 Embora o ruído persista, o diretor de Investimentos encontra ideias tanto em #obrigações como em #ações.
#FundsPeoplePerspetivas
https://t.co/w9yxHOxcuZ</t>
  </si>
  <si>
    <t>📌 Fundo da Caixa GA em destaque nos fundos de #ações que mais captaram nos últimos três anos
➡️ Em termos de entidade, o destaque vai para a IM GA e a BPI GA. Ambas conseguiram colocar cinco fundos neste ranking.
#FundsPeoplePerspetivas
https://t.co/xbC7078xUE</t>
  </si>
  <si>
    <t>🌱 As futuras oportunidades #ESG na Europa
🔶 René Petersen e Frederik Weber, gestores, falam da filosofia e objetivos da estratégia European STARS Equity e abordam o tema das #ações europeias. Comentário patrocinado pela Nordea AM.
#FundsPeopleOpinião
https://t.co/dqDdnU0jbF</t>
  </si>
  <si>
    <t>🏆 Prémios APFIPP 2023: melhor fundo de #ações nacionais
➡️ A APFIPP entregou o prémio de melhor fundo nacional ao BPI Portugal. O fundo da BPI Gestão de Ativos leva, outra vez, este prémio para casa.
#FundsPeoplePerspetivas
https://t.co/9W4Up3TiYn</t>
  </si>
  <si>
    <t>🔶 Equities Swiss Small and Mid Cap: uma classe de ativos com um track record invejável
👉 Daniele Scilingo fala das vantagens de investir no mercado de #ações suíço🇨🇭. Comentário patrocinado pela Mirabaud AM.
#FundsPeopleOpinião
https://t.co/Ig3PInyCTA</t>
  </si>
  <si>
    <t>Meu mantra de vida será: por mais #ações e menos #falas. Pq falar é fácil, agora, dar a cara a tapa é o que separa os adultos das crianças.</t>
  </si>
  <si>
    <t>É importante estudar e analisar bem antes de investir. #ações #fundosimobiliários #investimentos #educaçãofinanceira
#economia
#econovisão</t>
  </si>
  <si>
    <t>#Ações
S&amp;amp;P 500 4.273,53 ( -1,47% )
DJIA 33.618,88 ( -1,14% )
NASDAQ 14.545,83 ( -1,51% )
VIX 18,94 ( 12,07% )
* Preços em 27 de setembro, 12h20 UTC</t>
  </si>
  <si>
    <t>Nesta segunda 19/06/23 as ações da China e de Hong Kong tiveram queda, uma vez que a falta de detalhes concretos sobre estímulo na reunião do Conselho de Estado chinês desapontou os investidores. #mercados #acoes #b3 #mercadofinanceiroBR https://t.co/NOz4etqZgp</t>
  </si>
  <si>
    <t>Na última sexta 16/06/23 a Localiza (RENT3) anunciou que pagará R$ 368,4 milhões em JCP em agosto. 
O valor dos proventos será correspondente a R$ 0,373054817 por ação ordinária. O pagamento ocorrerá no dia 14 de agosto de 2023. #acoes #dividendos #mercadofinanceiroBR https://t.co/WbcqrAMegU</t>
  </si>
  <si>
    <t>MULT3, FESA4 e RDNI3 Pagam Dividendos e JCP Nesta Semana
Terça-feira (20/06): MULT3.
Quinta-feira (22/06): FESA3 e FESA4.
Sexta-feira (23/06): HBTS5 e RDNI3.
#mercadofinanceiroBR #dividendos #b3 #acoes https://t.co/xXeWXmD8QZ</t>
  </si>
  <si>
    <t>Itaúsa (ITSA4) Pagará JCP de R$ 0,1917 por Ação em Agosto
O pagamento ocorrerá no dia 25 de agosto de 2023.
#acoes #b3 #dividendos #mercadofinanceiroBR https://t.co/77nkVR6djf</t>
  </si>
  <si>
    <t>🚀💼 O novo pedido do ETF de Bitcoin da BlackRock impulsionou a Coinbase (COIN). As ações da Coinbase dispararam 12%, atingindo quase US$ 80 no pregão de segunda-feira. 📈💰 Feriado de 4 de julho nos EUA sem pregão. #Bitcoin #ETF #Coinbase #Ações https://t.co/qJj8attOxr</t>
  </si>
  <si>
    <t>"🔴 Copel (CPLE6) planeja privatização! A companhia elétrica paranaense informou sobre a oferta de ações que pode levantar até R$ 5 bilhões. #dolar #privatização #ações #mercado #investimentos" https://t.co/WcWnAWdWgV</t>
  </si>
  <si>
    <t>"💰💡💥 Neoenergia (NEOE3) vai distribuir R$ 387,1 milhões em juros sobre capital próprio! 🎉⚡ quem tiver ações até 30/06/23 garan essa bolada 💰✨ Valor por ação: R$ 0,3193050597 💸😮 Receba o pagamento em dezembro de 2023, sem atualização monetária! #dividendos #acoes https://t.co/Z5z2jTGxgq</t>
  </si>
  <si>
    <t>📢💰 JHSF (JHSF3) anunciou dividendos para acionistas em 2023! Serão R$90 milhões distribuídos em 3 parcelas iguais. A primeira, R$30 milhões, será paga em 02/08, base 26/07. Aproveite o rendimento! 💸🤑 #JHSF #Dividendos #Ações #Investimentos https://t.co/YOVibjU86K</t>
  </si>
  <si>
    <t>O que será que teremos de novidade esse ano?
#Apple #AAPL #Stocks #Ações #rendavariável #nasdaq #mercado #economia #negócios #iphone #ios #ipad #macbook https://t.co/cBVNEZ0anS</t>
  </si>
  <si>
    <t>Deputado vê problemas na Segurança do Estado e cobra ações mais efetivas para combater a criminalidade
Leia mais em https://t.co/SYi25GW0B3
#Deputado #Segurança #Amazonas #ações #Delegado #Criminalidade https://t.co/xxIm8XH84F</t>
  </si>
  <si>
    <t>David destaca ações da Prefeitura para atender autistas
Leia mais no #BlogDoHielLevy  https://t.co/vsiMElRiVH
#autistas #PrefeituraDeManaus #DavidAlmeida #ações #TEA</t>
  </si>
  <si>
    <t>Amazonas Energia investe na preservação da fauna e promove ações na Semana do Meio Ambiente
Leia mais em https://t.co/9ZPrZRqlmm
#AmazonasEnergia #investimento #preservação #meioambiente #ações https://t.co/Ln4AVWJKrx</t>
  </si>
  <si>
    <t>Em Presidente Figueiredo, comunidades do Rio Uatumã recebem mutirão de ações com emissão de documentos e atendimento odontológico
Leia mais em https://t.co/2neYFIpFzZ
#PresidenteFigueiredo #comunidades #mutirão #ações #RioUatumã https://t.co/HTsFZYp2rC</t>
  </si>
  <si>
    <t>Soberania da Amazônia está sob ameaça por causa da ação de facções, aponta Fórum Brasileiro de Segurança Pública
Leia mais em https://t.co/Rmm2ps6chn
#Amazônia #ações #facções #Fórum #Segurança #Pública https://t.co/xGE6KH3JUx</t>
  </si>
  <si>
    <t>Deputado amazonense se reúne em Brasília com Bolsonaro para alinhar ações
Leia mais em https://t.co/YnrrmmvJou
#Deputado #Amazonas #reunião #Bolsonaro #ações https://t.co/fAVOwEAVvm</t>
  </si>
  <si>
    <t>Wall Street Week Ahead: Preocupações com a recessão fervilham sob o rali do mercado de ações dos EUA #Internacional #ações #ahead #dos #EUA  https://t.co/egxyISiN4h</t>
  </si>
  <si>
    <t>Ações da AMD caem com falha de previsão enquanto o mercado de PCs continua fraco #News #ações #AMD #AMDmarketshare #caem  https://t.co/7ajZvRWCqx</t>
  </si>
  <si>
    <t>Ações do supermercado on-line do Reino Unido Ocado sobem com rumores de interesse em oferta da Amazon #Internacional #ações #Amazon #interesse #Ocado  https://t.co/AhHJp6xxAz</t>
  </si>
  <si>
    <t>MEME: #Ações  https://t.co/CDZ8XSfXlW</t>
  </si>
  <si>
    <t>#educacaofinanceira #aprendervalor #bc #organizze</t>
  </si>
  <si>
    <t>Marmelópolis mais uma vez está no Mapa do Turismo Brasileiro 2023
https://t.co/GOnNHqK3A7
#marmelópolis #mapadoturismobrasileiro2023 #ações #promoção #turismo #notícias #jornalpanorama #jornalpanoramajp #panorama</t>
  </si>
  <si>
    <t>Prefeitura da Campanha realiza ações de melhoria nas comunidades do município
https://t.co/PxrQa8XqWm
#jornalpanoramajp #jornalpanorama #panorama #Campanha #Açoes #Melhoria #municipio #minasgerais #brasil</t>
  </si>
  <si>
    <t>Semana do Meio Ambiente em Nazareno conta com diversas ações importantes
https://t.co/kRTH8FsMQs
#jornalpanoramajp #jornalpanorama #panorama #nazreno #meioambiente #açoes #importantes #crianças #minasgerais</t>
  </si>
  <si>
    <t>Contas públicas têm déficit de R$ 14,182 bilhões em março
https://t.co/iquOlLdQin
#deficit #dinheiro #ações #contas</t>
  </si>
  <si>
    <t>Em Moções de Aplauso, Câmara da Campanha reconhece ações dos cidadãos
https://t.co/qX5edtjq6F
#jornalpanoramajp #jornalpanorama #panorama #campanha #Reconhece #minasgerais #brasil #Ações</t>
  </si>
  <si>
    <t>Ataques cibernéticos derrubam valor das ações.
Saiba mais: https://t.co/c8OHaec4Ul
#neotel #ciberseguranca #segurancadigital #gocryptwithneotel #gosafecloudwithneotel #cybersecurity #acoes #bolsadevalores https://t.co/nCIPuvKJew</t>
  </si>
  <si>
    <t>O mercado financeiro brasileiro apresentou um panorama positivo nesta quinta-feira (29), com o Ibovespa, principal índice da Bolsa de Valores brasileira (B3), encerrando o dia com valorização de 1,46%, aos 118.382,65 pontos. #ações #CMN #Dólar
https://t.co/rp9L3QcqEn https://t.co/etMuz8gUp4</t>
  </si>
  <si>
    <t>A Iguatemi (IGTI11), conhecida por seus significativos empreendimentos comerciais, anunciou na última sexta-feira (23) que a BlackRock Investimentos ampliou sua participação nas ações da empresa para 5,006%. #ações #BlackRock #EconomicNewsBrasil
https://t.co/SuQjIJ9Icq</t>
  </si>
  <si>
    <t>Em um comunicado importante aos acionistas, a Vivara (VIVA3) anunciou na sexta-feira, 19/05, a antecipação do pagamento dos dividendos relacionados ao exercício social de 2022, encerrado em 31 de dezembro. #ações #BolsadeValores #dividendos
https://t.co/i2drZgTX8T https://t.co/odO83nkYGJ</t>
  </si>
  <si>
    <t>Em um comunicado importante aos acionistas, a Vivara (VIVA3) anunciou na sexta-feira, 19/05, a antecipação do pagamento dos dividendos relacionados ao exercício social de 2022, encerrado em 31 de dezembro. #ações #BolsadeValores #dividendos
https://t.co/i2drZgTX8T https://t.co/NQvbVLn1Wy</t>
  </si>
  <si>
    <t>Em meio à agitada temporada de balanços, a M. Dias Branco (BVMF:MDIA3), um dos grandes nomes do setor alimentício, prepara-se para divulgar seus dados referentes ao segundo trimestre.#Ações #B3 #Bovespa #EconomicNewsBrasil #Investimento #Lucro #Negócio
https://t.co/ylnRq09ZAF https://t.co/7yAGbBLlh0</t>
  </si>
  <si>
    <t>No mercado financeiro nesta sexta-feira (04/08), o dólar comercial fechou em queda de 0,48%, sendo cotado a R$ 4,876.#Ações #B3 #Dólar #Economia #EconomicNewsBrasil #Ibovespa #investimento #MercadoFinanceiro #Noticias
https://t.co/1AOuYX6IFA https://t.co/WhYyRV1IWR</t>
  </si>
  <si>
    <t>O mercado financeiro viu uma série de movimentações significativas nesta quarta-feira, 12/07. O dólar comercial fechou o dia em queda de 0,9%, cotado a R$ 4,818, enquanto outros indicadores também apresentaram alterações. #ações #Dólar #Economia
https://t.co/Hc2tOl6UGY https://t.co/PtyNUmdIRB</t>
  </si>
  <si>
    <t>A XP Investimentos está mirando alto quando se trata da empresa M. Dias Branco. A corretora elevou o preço-alvo da companhia e reiterou sua recomendação de compra em um relatório otimista. De acordo com a XP, a M. #ações #Alimentos #EconomicNewsBrasil
https://t.co/xMfMdelzW6 https://t.co/Ick6HBv9qG</t>
  </si>
  <si>
    <t>O mercado financeiro encerrou a sexta-feira, 9 de junho de 2023, com notícias significativas que moldaram o cenário financeiro local e global. O dólar comercial fechou em queda de 0,98%, cotado a R$ 4,8761, acumulando uma baixa semanal de 1,56%. #ações
https://t.co/1g5QKffrZy https://t.co/9m0jKO1txs</t>
  </si>
  <si>
    <t>Nesta quinta-feira (25/01), o dólar comercial encerrou o dia em alta de 1,65%, atingindo o valor de R$ 5,036. É a primeira vez desde o dia 8 deste mês que a moeda ultrapassa a marca dos R$ 5, chegando a R$ 5,0115. #ações #Dólar #Economia
https://t.co/tgJv4SYfBC https://t.co/CTHmFiGy5U</t>
  </si>
  <si>
    <t>Nesta quinta-feira (14/09), o mercado financeiro se destacou por várias movimentações significativas, desde flutuações cambiais até importantes recomendações de bancos renomados.#Ações #B3 #Dólar #EconomicNewsBrasil #Ibovespa #Inflação #Investimento
https://t.co/0jM5zTrxpM</t>
  </si>
  <si>
    <t>A semana não começou bem para o Grupo Casas Bahia (VIIA3), anteriormente conhecido como Via. Na abertura do pregão desta quinta-feira (14),#Ações #BolsadeValores #EconomicNewsBrasil #GestãoFinanceira #Investimento #Notícias #Varejo
https://t.co/dWtjcmjFqz</t>
  </si>
  <si>
    <t>Na tarde da sexta-feira (8), o GPA (PCAR3) informou que está em negociação para vender sua participação na empresa CNova.#Ações #Aquisição #ComércioEletrônico #ecommerce #EconomicNewsBrasil #Notícias #Varejo #VendasOnline
https://t.co/25Dxl4QnQy</t>
  </si>
  <si>
    <t>O banco de investimentos Goldman Sachs aumentou a recomendação para as ações da empresa de planos de saúde Hapvida nesta quarta-feira (6), passando de neutro para compra. Além disso, elevou o preço-alvo de R$ 5,50 para R$ 6 por ação. #Ações #Economia
https://t.co/Sv7B5n7OjJ https://t.co/jvq7Ibud16</t>
  </si>
  <si>
    <t>No mercado financeiro nesta segunda-feira (04/08), o Dólar Comercial encerrou a sessão com uma queda de 0,12%, sendo cotado a R$ 4,935.#Ações #B3 #clima #Dólar #Economia #EconomicNewsBrasil #EUA #IBGE #Ibovespa #Inovação #Investimento #IPCA #Notícias
https://t.co/wUB7VneDWW https://t.co/G2AQq8mAIJ</t>
  </si>
  <si>
    <t>No mercado financeiro nesta segunda-feira (04/08), o Dólar Comercial encerrou a sessão com uma queda de 0,12%, sendo cotado a R$ 4,935.#Ações #B3 #clima #Dólar #Economia #EconomicNewsBrasil #EUA #IBGE #Ibovespa #Inovação #Investimento #IPCA #Notícias
https://t.co/smSTKUdJO6 https://t.co/Bpjt2faqRX</t>
  </si>
  <si>
    <t>No cenário de investimentos de Wall Street, uma categoria famosa por identificar problemas em empresas e apostar contra elas, conhecida como short sellers, está enfrentando um dos anos mais desafiadores em mais de uma década. #Ações #economicnewsbrasil
https://t.co/Qn4a3bSYZ5 https://t.co/DGz9idSmVZ</t>
  </si>
  <si>
    <t>O Itaú Unibanco (ITUB4), maior banco da América Latina em termos de ativos, anunciou um robusto lucro líquido de R$ 8,74 bilhões no segundo trimestre de 2023, representando uma alta de 13,9% em comparação com o mesmo período do ano anterior. #Ações
https://t.co/BqNNqL94U8 https://t.co/Fh71FV9LdK</t>
  </si>
  <si>
    <t>O dólar comercial encerrou em alta de 0,47% nesta segunda-feira, cotado a R$ 5,012 na venda, começando a semana com uma valorização de 0,48%. Por outro lado, o principal índice da Bolsa de Valores brasileira (B3), #ações #Economia #EconomicNewsBrasil
https://t.co/AldYmnzWdW https://t.co/NHV9HHLF64</t>
  </si>
  <si>
    <t>O Banco Central (BC) anunciou nesta quarta-feira, 20, um novo corte na Selic, levando a taxa básica de juros para 12,75%. Essa mudança traz ativos fora da renda fixa novamente para o foco dos investidores. #Ações #BolsadeValores #economicnewsbrasil
https://t.co/j7ljSVzOYg https://t.co/7rAFAOLmIJ</t>
  </si>
  <si>
    <t>Nesta terça-feira (19), a BRF anunciou que a Marfrig adquiriu direta e indiretamente 601.890.861 ações, entre ordinárias e American Depositary Receipts (ADR’s), representando agora 35,7742% do total das ações emitidas pela empresa. #Ações #BRF
https://t.co/lvHk0r4lF8</t>
  </si>
  <si>
    <t>No mercado financeiro nesta terça-feira (22/08), o Ibovespa, principal referência da Bolsa de Valores brasileira (B3), apresentou um expressivo crescimento de 1,51%, fechando a 116.156,01 pontos.#Ações #B3 #Dólar #Economia #EconomiaNewsBrasil #Ibovespa
https://t.co/yiTyN4K3Ye https://t.co/8W8gzqqWkT</t>
  </si>
  <si>
    <t>A CSN Mineração (CMIN3) divulgou em seu relatório na quarta-feira (02/08) um lucro líquido de R$ 494,2 milhões no segundo trimestre de 2023 (2T23).#Ações #EconomicNewsBrasil #investimento #Lucro #mineração #Negócios
https://t.co/Q0Jcbqp01b https://t.co/RSZPYJxExw</t>
  </si>
  <si>
    <t>A Ambev, gigante brasileira de bebidas e proprietária das marcas Brahma, Skol e Antarctica, divulgou nesta quinta-feira (03/08) seus resultados financeiros para o segundo trimestre de 2023.#Ações #Ambev #EconomicNewsBrasil #GestãoFinanceira
https://t.co/g4R4gzmvUv https://t.co/KC0ohXyQPm</t>
  </si>
  <si>
    <t>O Grupo Casino, uma grande empresa de varejo da França, informou nesta segunda-feira ao GPA e ao Éxito que seus ativos poderiam ser vendidos como parte de um plano de três anos de venda de ativos. Essa informação foi divulgada através de uma #ações
https://t.co/aaBsEqoLOM https://t.co/nWPO9zN8r7</t>
  </si>
  <si>
    <t>Desde a venda de suas ações ordinárias e parte das ações preferenciais da Petrobras em 2020, o BNDES (Banco Nacional de Desenvolvimento Econômico e Social) deixou de receber R$ 20,45 bilhões em dividendos da empresa. #ações #BNDES #dividendos
https://t.co/RBZScHeXeK https://t.co/XuVkbj9cFl</t>
  </si>
  <si>
    <t>Nesta quarta-feira (17/5), a bolsa brasileira (B3) viu o índice Ibovespa avançar 1,17%, finalizando o dia a 109.459,95 pontos. Enquanto isso, o dólar comercial encerrou com uma queda de 0,168%, cotado a R$ 4,93. #ações #B3 #Dólar #EconomicNewsBrasil
https://t.co/UpIqCBOHMy https://t.co/MXnENEntU4</t>
  </si>
  <si>
    <t>As ações do Magazine Luiza sofreram uma queda de 22% nesta terça-feira, após a empresa divulgar um resultado trimestral muito abaixo das projeções do mercado e sem apresentar perspectivas otimistas para o futuro. #ações #BolsadeValores #despesas #Difal
https://t.co/thaGhqNjW5 https://t.co/pAukO6neUK</t>
  </si>
  <si>
    <t>Em busca de alternativas de investimento que tragam retornos sólidos e, ao mesmo tempo, estejam alinhadas com princípios de sustentabilidade? Neste guia, apresentamos cinco ativos recomendados por especialistas que combinam rentabilidade com #Ações
https://t.co/uo65VxycJ0 https://t.co/m89nYcdKuV</t>
  </si>
  <si>
    <t>No mercado financeiro, nesta terça-feira (19/09), foi um dia de significativas movimentações no mercado financeiro brasileiro.#Ações #B3 #Dólar #Economia #EconomicNewsBrasil #Empresas #Ibovespa #Inflação #Investimento #moedas #Negócios #Notícias
https://t.co/nlMdEKpML0</t>
  </si>
  <si>
    <t>A Itaúsa (ITSA4) consolidou uma nova fase em sua estratégia de investimentos, ao concretizar, nesta quinta-feira (14), a venda de uma parcela significativa de suas ações na XP Inc.#Ações #EconomicNewsBrasil #fatorelevante #Investimento #Negócios
https://t.co/KC231PHVU6</t>
  </si>
  <si>
    <t>A semana começou com uma notícia bombástica no mundo dos negócios: a Natura está considerando vender a The Body Shop. A decisão vem após a venda da Aesop para a L'Oréal há alguns meses.#Ações #Aquisição #Beleza #cosméticos #EconomicNewsBrasil #Negócios
https://t.co/8n1oJBzSpF https://t.co/a9kwMMLS21</t>
  </si>
  <si>
    <t>As ações da Apple enfrentaram uma queda de 2,9% nesta quinta-feira, 7 de setembro, em resposta a relatos de que a China está planejando estender a proibição do uso de iPhones para agências governamentais e empresas apoiadas pelo governo. #Ações #Apple
https://t.co/XQJYnwtA3b</t>
  </si>
  <si>
    <t>Nesta terça-feira (29/08), o mercado financeiro apresentou movimentações significativas, com destaque para a queda do Dólar comercial em 0,43%, fechando a R$ 4,855.#Ações #B3 #Dólar #Economia #EconomicNewsBrasil #Investimento #MercadoFinanceiro
https://t.co/1KH4IF3nYc</t>
  </si>
  <si>
    <t>Os analistas do Barclays divulgaram uma nota aos clientes em que elevam o preço-alvo das ações da Netflix de US$ 250 para US$ 375. A classificação atribuída ao papel permanece como "equal-weight" (na média). #ações #Barclays #EconomicNewsBrasil
https://t.co/dVeuKv2Wmc https://t.co/lRjQjDLLR9</t>
  </si>
  <si>
    <t>As ações da renomada empresa de veículos elétricos, Tesla, apresentaram ganhos no pregão desta quarta-feira (14) em Nova York, aumentando a possibilidade de estabelecerem uma sequência impressionante de 14 dias consecutivos de avanços. #ações
https://t.co/vZ9vyzC5zv https://t.co/AL0i7I1tS1</t>
  </si>
  <si>
    <t>No ano de desvalorização das bolsas de valores em todo o mundo, as empresas de capital aberto realizaram recompras de ações em níveis nunca antes vistos. De acordo com dados da gestora Janus Henderson, as companhias gastaram US$ 1,31 trilhão (R$ #ações
https://t.co/ohBEoz5RtW https://t.co/tNRaJkLBTt</t>
  </si>
  <si>
    <t>O prazo para que acionistas da companhia aérea exerçam seu direito de subscrição dos bônus da companhia se encerra nesta terça-feira (26). Desde o anúncio da operação em 15 de agosto, as ações da Gol sofreram uma queda de cerca de 40%. #Ações
https://t.co/qMT70ICpwW</t>
  </si>
  <si>
    <t>No mercado financeiro hoje, a segunda-feira (18/09) iniciou com diminuição do valor da moeda norte-americana.#Ações #BoletimFocus #Câmbio #Copom #Dólar #EconomicNewsBrasil #Inflação #Investimentos #MercadoFinanceiro #Negócios #Notícias #Selic
https://t.co/zZp5egSjjh https://t.co/PaljRWB6TA</t>
  </si>
  <si>
    <t>No mercado financeiro de quarta-feira (30/08), o Dólar Comercial fechou em alta de 0,30%, sendo cotado a R$ 4,869. O Dólar Turismo teve uma leve elevação de 0,02%, alcançando R$ 5,063.#Ações #B3 #Bovespa #Economia #EconomicNewsBrasil #Investimento
https://t.co/whu90NDiIX</t>
  </si>
  <si>
    <t>No mercado financeiro nesta terça-feira (01/08), o Dólar Comercial registrou alta de 1,269%, encerrando a sessão cotada a R$ 4,789.#Ações #Dólar #Economia #EconomicNewsBrasil #Ibovespa #investimento #MercadoFinanceiro #Negócios #Noticias #selic
https://t.co/mkA87SOv8p</t>
  </si>
  <si>
    <t>No mercado financeiro nesta terça-feira (01/08), o Dólar Comercial registrou alta de 1,269%, encerrando a sessão cotada a R$ 4,789.#Ações #Dólar #Economia #EconomicNewsBrasil #Ibovespa #investimento #MercadoFinanceiro #Negócios #Noticias #selic
https://t.co/mkA87SOv8p https://t.co/GAlGigzLfT</t>
  </si>
  <si>
    <t>#povobrasileironaoconheceseuPoder
Só o #povo #poderá #gerar #mudanças 
 #açoes #movimenta uma #nação um #dragaoadormecido https://t.co/VBh9Zts7DY</t>
  </si>
  <si>
    <t>Exclusive: India regulator seeks curbs to limit retail investors' derivatives risk -sources https://t.co/nSZQvMCZuK https://t.co/fqwSaJkoyS</t>
  </si>
  <si>
    <t>🇮🇳 Com os preços das #ações indianas perto de recordes, atraindo maior interesse do investidor de varejo, o regulador está preocupado que os pequenos players possam sofrer perdas em derivativos se os mercados se tornarem voláteis.</t>
  </si>
  <si>
    <t>RT @ocriptomestre: O mercado está bem otimista 🫣
Esse Domingo farei uma live no Discord explicando o que está pegando na economia.
#acoes…</t>
  </si>
  <si>
    <t>O mercado está bem otimista 🫣
Esse Domingo farei uma live no Discord explicando o que está pegando na economia.
#acoes #bolsadevalores #investimentos https://t.co/KMD3AqpB1c</t>
  </si>
  <si>
    <t>O que faz um Perito Econômico?
A Perito Econômico atua com a missão de oferecer cálculos precisos e com demonstração clara através de pareceres e ou laudos tecnicamente fundamentados nas melhores técnicas econômico-financeiras  #PeritoEconomico #PeritoFinanceiro #Perito #Ações https://t.co/dKePnkK9J5</t>
  </si>
  <si>
    <t>Aulão de Investimentos 1 - Qual corretora é melhor pra você? (Guia defin... https://t.co/SE7qoWSkBK via @YouTube 
#começarainvestir #investimento #ações #fundosdeinvestimento #educaçãofinanceira #corretoras #taxas #corretagem #custódia #operações</t>
  </si>
  <si>
    <t>6 Coisas que Você Precisa SABER ANTES DE INVESTIR https://t.co/DrvfrKRUKE via @YouTube 
#investir #investimento #educaçãofinanceira #darf #taxasdecorretagem #ações #FII #ETF #dinheiro #mercadofinanceiro #bolsadevalores #economia</t>
  </si>
  <si>
    <t>Juros Compostos (8° Maravilha do Mundo) https://t.co/FBLUJta27Q via @YouTube  #investir #taxadejuros #jurossimples #juroscompostos #ações #FII #dividendos #educaçãofinanceira #finanças #economia #ativos</t>
  </si>
  <si>
    <t>Fim da alta da TAXA SELIC https://t.co/mo4n24pviL via @YouTube #inflação #juros #economia #taxaselic #tesourodireto #ações #fundosdeinvestimento #ativos #títulos #educaçãofinanceira #mercadofinanceiro</t>
  </si>
  <si>
    <t>Metas de vida para os 40 anos! https://t.co/vzvbxkx1Su via @YouTube #estilodevida #dinheiro #finanças #educaçãofinanceira #objeitvos #rendapassiva #rendaextra #reservadeemergência #saúde #investimentos #investir #empreendedorismo #negócios #ações #fundosdeinvestimento #economia</t>
  </si>
  <si>
    <t>Reserva de Emergência (Pé-de-Meia) https://t.co/7EKb4BHHwK via @YouTube 
#reservademergência #dinheiro #poupar #economia #economizar #gastos #emergência #estilodevida #ações #fii #poupança</t>
  </si>
  <si>
    <t>Quer aprender na prática como fazer seu primeiro investimento? então é só assistir o Aulão 3 - Aprenda na PRÁTICA como comprar sua primeira ação https://t.co/SPn0w7xoNk  #investir #investimento #ações #mercadofinanceiro #ativos #renda #educaçãofinanceira</t>
  </si>
  <si>
    <t>Invista 99R$ e se Aposente com  574 354,18 (MELHOR QUE A PREVIDÊNCIA) https://t.co/ASwNZMPAyk via @YouTube #aposentadoria #investimento #rendapassiva #INSS #tetodoINSS #educaçãofinanceira #ações #fundosdeinvestimentoimobiliário #FII</t>
  </si>
  <si>
    <t>Aulão de Investimentos 2  - Como escolher suas ações (Análise Fundamenta... https://t.co/f6KsKBhbeH via @YouTube #ações #investir #investimento #sociedade #analisefundamentalista #análisetécncia #bolsadevalores #educaçãofinanceira</t>
  </si>
  <si>
    <t>No vídeo de hoje eu falo com você pode receber dividendos o ano todo, tendo poucas ações encarteiradas, quer aprender também? acessa lá! https://t.co/NoGmEW72Sm #dinheiro #economia #investimentos #ativos #ações #educaçãofinanceira #rendapassiva #mercadofinanceiro #bolsadevalores</t>
  </si>
  <si>
    <t>MERCADO FUTURO #ações #b3 #daytrader #mercado #bolsadevalores https://t.co/OA91iCtSGI via @YouTube</t>
  </si>
  <si>
    <t>A queda das ações da Braskem é um sinal de alerta para os investidores.
A companhia enfrenta desafios no curto prazo e pode levar tempo para se recuperar.
Eu só invisto na Brasken de um jeito: de jeito nehum.
#Braskem #ações #mercadofinanceiro</t>
  </si>
  <si>
    <t>O Morgan Stanley rebaixou a BBSE3  (BB Seguridade) e recomendou venda dela em função de 3 motivos que eu explico no vídeo e apresento meus contrapontos. Clica no link e confere o vídeo.
https://t.co/OthkoCxz5o
#BBSE3 #ações https://t.co/4SCGP0xy4P</t>
  </si>
  <si>
    <t>Cidade é a sexta em Minas melhor para se viver e Prefeito destaca ações e parcerias #correiodeminas
#lafaiete #cidade #6cidade #minas #minasgerais #melhorcidadeparaviver #ações #parcerias #correiodeminasonline
https://t.co/CaeZOORTk8</t>
  </si>
  <si>
    <t>“Desenrola” deve beneficiar bancos e varejistas, apontam analistas: quais ações devem ganhar com programa? #correiodeminas
#desenrola #beneficio #bancos #varejistas #analistas #ações #programa #correiodeminasonline
https://t.co/kNGW1CgvNF https://t.co/FFS6EfSQ1r</t>
  </si>
  <si>
    <t>KLABIN URGENTE | KLBN4 POR R$ 4,09 ESTÁ CARA? | KLABIN VAI CAIR MAIS? NÃ... https://t.co/88dfc1RpWk via @YouTube 
VÍDEO NOVO no Canal LIPE INVESTE no YOUTUBE
#klabin #klbn #celulose #klbn11 #klbn4 #suzano #ações #preço #lipeinveste #analise #dividendos #pib #rendapassiva #b3</t>
  </si>
  <si>
    <t>TOP 10 AÇÕES EM 2023 | LOUISE BARSI REVELA AS MELHORES OPORTUNIDADES DA ... https://t.co/6kTVADS6Do via @YouTube 
VÍDEO NOVO no canal LIPE INVESTE no Youtube
#melhoresações #Top10 #ações #dividendos #louisebarsi #agf #acoesgarantem #rendapassiva #feliperuiz #fabiobaroni #b3</t>
  </si>
  <si>
    <t>KLABIN | KLBN4 POR R$4,35 ESTÁ CARA? | VALE A PENA COMPRAR KLABIN POR ES... https://t.co/XgQC4dM5Pa via @YouTube 
VÍDEO NOVO no canal LIPE INVESTE no Youtube
#klabin #klbn11 #klbn4 #klbn3 #celulose #papel #papelao #suzano #dividendos #investimentos #ações #b3 #renda #proventos</t>
  </si>
  <si>
    <t>TAESA PERDE LEILÃO DE TRANSMISSÃO | TRPL VENCE E PODE VALORIZAR MUITO | ... https://t.co/U9XmOdmn0Q via @YouTube 
#taesa #trpl #trpl4 #taee11 #energia #luizbarsi #dividendos #leilao #transmissao #investimento #investir #bolsadevalores #ações #b3</t>
  </si>
  <si>
    <t>KLABIN | "SE TIVESSE APENAS UMA AÇÃO NA MINHA CARTEIRA, SERIA KLBN" | A ... https://t.co/fJHn3Sam1G via @YouTube 
VÍDEO NOVO no canal LIPE INVESTE no Youtube
#klabin #klbn #klbn11 #klbn4 #klbn3 #celulose #papel #papelao #papelcartao #suzano #suzb3 #ações #dividendos #investir</t>
  </si>
  <si>
    <t>Marisa Lojas reformula comitês e traça meta de economia de R$50 mi por ano - https://t.co/DnrGL178Uu #AMAR3 #ações</t>
  </si>
  <si>
    <t>Ações: Alpargatas, Renner e Braskem têm piores quedas do Ibovespa; índice cai - https://t.co/rv5IFOo1JB  #Ações</t>
  </si>
  <si>
    <t>#beef3 vingou 4% nelas, vendidas semana passada!! @Minerva_BEEF3 😍 #pas #bolsadevalores #açoes #mercadofinanceiro</t>
  </si>
  <si>
    <t>Como está a sua carteira de ações? Tá melhor ou pior que o IBOV e SMLL?
#b3 #ibovespa #rendavariavel #acoes https://t.co/Tw3NSCmzmH</t>
  </si>
  <si>
    <t>Será que sobe ainda?
#nucoin #nubank #açoes #Criptomonedas https://t.co/aVamFWS6cp</t>
  </si>
  <si>
    <t>É POSSÍVEL VIVER DE AÇÕES?👇
👉 Veja mais artigos, dicas e informações em meu site. Lá sempre posto conteúdo atualizado. 👉 https://t.co/FQSUHgglqZ  [link na bio]
#acoes #wagnergeremia #ondeinvestir #comoinvestir #investimento #educaçãofinanceira #investimentos https://t.co/zLeFLZTqVe</t>
  </si>
  <si>
    <t>A ARMADILHA DOS DIVIDENDOS👇
👉 Veja mais artigos, dicas e informações em meu site. Lá sempre posto conteúdo atualizado. 👉 https://t.co/FQSUHgglqZ  [link na bio]
#acoes #wagnergeremia #ondeinvestir #comoinvestir #investimento #educaçãofinanceira #investimentos #DIVIDENDOS https://t.co/ymV4R4lEio</t>
  </si>
  <si>
    <t>JUROS DO BRASIL E MUNDO VÃO MUDAR! VEJA COMO GANHAR DINHEIRO
Veja mais 👇
https://t.co/wlaxudWtHT 
#mercadofinanceiro #mercadoamericano #mercadobrasileiro #wagnergeremia #investimento #valuation #AÇÕES #fundosinvestimentos #tesourodireto #rendafixa #rendimentos https://t.co/f4foroqEDk</t>
  </si>
  <si>
    <t>🤩COMO ENCONTRAR INVESTIMENTOS MAIS RENTÁVEIS DENTRO DO SEU BANCO? 🚨PARA AVANÇADOS OU INICIANTES!
Veja mais 👇
https://t.co/iS872kEnjf 
#mercadofinanceiro #mercadoamericano #mercadobrasileiro #wagnergeremia #investimento #valuation #AÇÕES #fundosinvestimentos https://t.co/OAAFP2WLf4</t>
  </si>
  <si>
    <t>É POSSÍVEL INVESTIR COM POUCO DINHEIRO?👇
👉 Veja mais artigos, dicas e informações em meu site. Lá sempre posto conteúdo atualizado. 👉 https://t.co/FQSUHgglqZ  [link na bio]
#acoes #wagnergeremia #ondeinvestir #comoinvestir #investimento #educaçãofinanceira #investimentos https://t.co/1AXqOzfm3V</t>
  </si>
  <si>
    <t>🚀 QUAL INVESTIMENTO RENDE MAIS? QUAIS PAGAM MAIS?
Veja mais 👇
https://t.co/0xyOpa5827 
#mercadofinanceiro #mercadoamericano #mercadobrasileiro #wagnergeremia #investimento #valuation #AÇÕES #fundosinvestimentos https://t.co/nYHwUJgnC8</t>
  </si>
  <si>
    <t>QUAL O RISCO DO TESOURO DIRETO?👇
👉 Veja mais artigos, dicas e informações em meu site. Lá sempre posto conteúdo atualizado. 👉 https://t.co/FQSUHgglqZ  [link na bio]
#acoes #wagnergeremia #ondeinvestir #comoinvestir #educaçãofinanceira #investimentos #TESOURODIRETO https://t.co/OHkfI68NJ3</t>
  </si>
  <si>
    <t>QUAL O PASSO A PASSO ESCOLHER AÇÕES?👇
👉 Veja mais artigos, dicas e informações em meu site. Lá sempre posto conteúdo atualizado. 👉 https://t.co/FQSUHgglqZ  [link na bio]
#acoes #wagnergeremia #ondeinvestir #comoinvestir #investimento #educaçãofinanceira #investimentos https://t.co/JMEYvMRL4k</t>
  </si>
  <si>
    <t>QUAIS AÇÕES RECOMENDADAS INICIANTES?👇
👉 Veja mais artigos, dicas e informações em meu site. Lá sempre posto conteúdo atualizado. 👉 https://t.co/FQSUHgglqZ  [link na bio]
#acoes #wagnergeremia #ondeinvestir #comoinvestir #investimento #educaçãofinanceira #investimentos https://t.co/2FMkHTTNyD</t>
  </si>
  <si>
    <t>COMO COMEÇAR A INVESTIR EM AÇÕES?👇
👉 Veja mais artigos, dicas e informações em meu site. Lá sempre posto conteúdo atualizado. 👉 https://t.co/FQSUHgglqZ  [link na bio]
#ACOES #wagnergeremia #ondeinvestir #comoinvestir #investimento #educaçãofinanceira #investimentos https://t.co/gRrGhaHx3e</t>
  </si>
  <si>
    <t>QUANTO RENDE R$ 1.000 NO TESOURO DIRETO?👇
👉 Veja mais artigos, dicas e informações em meu site. Lá sempre posto conteúdo atualizado. 👉 https://t.co/FQSUHgglqZ  [link na bio]
#ACOES #wagnergeremia #ondeinvestir #comoinvestir #investimento #educaçãofinanceira #investimentos https://t.co/GNN3zHtSpx</t>
  </si>
  <si>
    <t>🚨QUAL O MELHOR INVESTIMENTO DO MERCADO HOJE?  Veja mais👇
https://t.co/DPhOZ6MKWE
#mercadofinanceiro #mercadoamericano #mercadobrasileiro #wagnergeremia #investimento #valuation #AÇÕES #fundosinvestimentos https://t.co/aEgQWDqKz8</t>
  </si>
  <si>
    <t>Em 2023 pode ser um péssimo ano para se investir em ações da #Netflix
#B3
#BolsaDeValores
#Ações</t>
  </si>
  <si>
    <t>Pare de sofrer por amor, nós podemos te ajudar! ❤
Saiba como em: https://t.co/Ev04oZYham
#EspacoRecomecar #EspiitualistaMaiconPaiva #ChicoXavier #Espiritualidade #Ações #Resiliencia #PazdeEspirito #Recomeco #Recomecar https://t.co/0Q0n9hnLG4</t>
  </si>
  <si>
    <t>😌Meus amigos, mais um resultado satisfatório. Foco no longo prazo.
Que venha setembro.
#investimento #ações #opções #rendafixa https://t.co/B3IKQ8lUY7</t>
  </si>
  <si>
    <t>Mantenho no 30 % positivo e espero algo melhorar ou vendo e realizo e vou ser feliz ? #zamp3 #Finance #ações https://t.co/9MO5ShDQge</t>
  </si>
  <si>
    <t>#Ações de bancos nos #EUA caem depois de declaração do CEO do JPMorgan Chase.
Jamie Dimon alertou que as taxas de juros podem precisar subir ainda mais para conter a inflação.</t>
  </si>
  <si>
    <t>@getthejb @Viniciu06354450 Faz o seguinte, olha no site da @B3 que está tudo lá. A @nubank sempre tem bugs bizarros. Triste demais!
#nubank #ações</t>
  </si>
  <si>
    <t>@FeAntonioli21 @Viniciu06354450 Faz o seguinte, olha no site da @B3 que está tudo lá. A @nubank sempre tem bugs bizarros. Triste demais!
#nubank #ações</t>
  </si>
  <si>
    <t>Estou vivendo uma bizarrice na @nubank. Minhas ações da Vale sumiram da minha carteira. O que é isso?
#VALE #ações #b3</t>
  </si>
  <si>
    <t>Alguém sabe como funciona a demonstração do Valor PRO? 
#acoes #b3</t>
  </si>
  <si>
    <t>Alguém aqui acredita na recuperação das Lojas Americanas (AMER3)? 
#ações #MercadoFinanceiro https://t.co/5KBoxxST49</t>
  </si>
  <si>
    <t>Dino #voltará à #Câmara #por #ações do #MST e #atacar #imunidade #parlamentar Depois de ser acusado de fugir da ... Saiba mais sobre ese conteúdo no site Brasil em Pauta Noticias.
Clique no Link: https://t.co/0A61mdLczl #economia #política https://t.co/Tp25VM3vGx</t>
  </si>
  <si>
    <t>Vani #Queiroz #assume #SAAD #Sudeste I e #destaca #ações #prioritárias A fonoaudióloga #Vani ... Saiba mais sobre ese conteúdo no site Brasil em Pauta Noticias.
Clique no Link: https://t.co/oDCxWodXOb #brasil #nordeste #piauí #teresinapi https://t.co/8zJ8sCux4E</t>
  </si>
  <si>
    <t>#Sem #clareza #sobre #nova #política de preços, #ações da #Petrobras #caem 
As ações da Petrobras tiveram um dia ... Saiba mais sobre ese conteúdo no site Brasil em Pauta Noticias.
Clique no Link: https://t.co/As0QyUpTCF #brasil #economia https://t.co/V4NqNQprj1</t>
  </si>
  <si>
    <t>Detran #realiza #ações #nas #avenidas #mais #perigosas de Teresina 
Seis avenidas de Teresina terão ... Saiba mais sobre ese conteúdo no site Brasil em Pauta Noticias.
Clique no Link: https://t.co/ky9szllrdb #brasil #nordeste #teresinapi https://t.co/MAiFHoToVf</t>
  </si>
  <si>
    <t>Governo #repete #erros de #Dilma e #altera política, #derrubando #ações a #Petrobras O #governo Lula 3 resolveu assumir ... Saiba mais sobre ese conteúdo no site Brasil em Pauta Noticias.
Clique no Link: https://t.co/L4rN3Bz5C5 #brasil #economia https://t.co/5mIycabj3S</t>
  </si>
  <si>
    <t>Governo #repete #erros de Dilma, #altera #política de #preços e #afeta #ações da #Petrobras O #governo Lula 3 resolveu ... Saiba mais sobre ese conteúdo no site Brasil em Pauta Noticias.
Clique no Link: https://t.co/jrZG5ruzJa #brasil #economia https://t.co/EyxUoSu1q3</t>
  </si>
  <si>
    <t>Toffoli #manda #suspender e #enviar ao #STF #ações #sobre #Tacla #Duran 
O ministro Dias Toffoli, do Supremo ... Saiba mais sobre ese conteúdo no site Brasil em Pauta Noticias.
Clique no Link: https://t.co/16d7H9mUQ4 #brasil #economia #política https://t.co/NI5xpNsQH6</t>
  </si>
  <si>
    <t>Volatilidade do mercado de #ações e estratégias de investimento https://t.co/UFFUBRQi0K #investimentos</t>
  </si>
  <si>
    <t>Quais são as melhores #ações para #investir em junho?
#live em minutos com os especialistas do BTG Pactual
https://t.co/lpE2SEyMua</t>
  </si>
  <si>
    <t>Quer entender mais sobre a resiliência do mercado de #ações nos EUA e perspectivas?
E ainda aprender como navegar nesse período, o papel da inteligência artificial #IA e os benefícios da alocação de recursos no exterior?
Assista: Offshore Connection
https://t.co/DL1Sjf70zG</t>
  </si>
  <si>
    <t>Melhores #ações para Maio de 2023: Veja a carteira recomendada do BTG
No vídeo, os especialistas trazem o panorama macro, de RV e discutem as escolhas do mês. 
https://t.co/43UZzYcISZ</t>
  </si>
  <si>
    <t>O head de Research do BTG Pactual, Carlos Sequeira, CFA, revela no #RadarDaSemana que a perspectiva está mais positiva para a #Bolsa brasileira, além de detalhar sobre onde investir em #ações em julho. 
Spotify https://t.co/nnBq2OJuXq
Mais plataformas: https://t.co/aJvHk8k99i</t>
  </si>
  <si>
    <t>A partir das 12h, em instantes, começa a live: Melhores #ações para julho de 2023
https://t.co/gqanssjdyd</t>
  </si>
  <si>
    <t>📊 Peter Lynch sobre Queda das Ações
#PeterLynch #Acoes #Investimentos https://t.co/zx6FRiK0KX</t>
  </si>
  <si>
    <t>Quando smartphones ficam 20% mais baratos, todo mundo corre para a loja para comprá-los.
Quando as #ações ficam 20% mais baratas, todos correm para a saída.
Faça o oposto.
O #investimento em valor envolve se aproveitar de discrepâncias do preço e valor.</t>
  </si>
  <si>
    <t>📊 Resultado intraday da Carteira SEI Ações: As ações de ATAQUE estão garantindo um resultado positivo até o momento! 💪 #SEIAções #Investimentos #Ações https://t.co/uHi8AWfMcv</t>
  </si>
  <si>
    <t>O GIC, fundo soberano de Singapura, está entre os investidores que compraram ações da Copel na oferta pública de R$ 5,2 bilhões que teve preço fixado nesta terça-feira. #energia #mercado #ações  Por @andradevini3 e Cristiane Lucchesi
https://t.co/a35PE2L1TX</t>
  </si>
  <si>
    <t>#mercadofinanceiro #finanças #ações #b3 #bovespa #índice #real #moeda #Brasil #história #LulaPresidentedoPovo #LulaEstadistaDoPlaneta</t>
  </si>
  <si>
    <t>@magalu Se #preocupe com o #rombo na sua #empresa e faça suas #ações voltarem a subir. #Obrigado.  #MGLU3</t>
  </si>
  <si>
    <t>@magalu Suas #ações na alta, hoje em dia está uma #desgraça com seu #prejuízo recorde. #MGLU3 #bolsadevalores #b3 #stocks</t>
  </si>
  <si>
    <t>@magalu Porque se você fosse falar das #ações.  Kkkkkk. #mglu3</t>
  </si>
  <si>
    <t>#Dividendos extraordinários do Banco do Brasil e da #Petrobras, que continuem assim, se juntando com os outros dividendos mensais que só crescem por aqui. #FIIS #bancodobrasil #alemartuchelli #investimentos #acoes #fundosimobiliarios #bolsadevalores #rendimentomensal</t>
  </si>
  <si>
    <t>E a sexta-feira está sendo bem #produtiva com a alta das #ações, afinal, ontem tivemos uma queda e hoje teve o chamado repique! Quem #vendeu ontem no #desespero perdeu #dinheiro!!! #investimento #finanças</t>
  </si>
  <si>
    <t>A única parte ruim dos feriados são que a Bolsa de Valores não funciona nesses dias… #b3 #bolsadevalores #stocks #acoes</t>
  </si>
  <si>
    <t>Dividendos desse mês veio do jeito que eu queria…. #dividendos #PETR4 #ITUB4 #JPPA11 #VGHF11 entre outros mais…. #FIIs #acoes #stocks</t>
  </si>
  <si>
    <t>Fechamento dia 14/09/2023 - #Ações
🟢 Maiores Altas ↑
• #BRAP4: R$23,61 (+5,16%)
• #VALE3: R$70,12 (+4,09%)
• #CSNA3: R$12,49 (+3,65%)
🔴 Maiores Baixas ↓
• #VIIA3: R$0,90 (-18,91%)
• #AZUL4: R$13,10 (-4,30%)
• #PCAR3: R$4,58 (-3,17%)
https://t.co/mD5mbdsg08</t>
  </si>
  <si>
    <t>Ranking #B3 do dia 14/09/2023.
Empresas com maior percentual de ações alugadas: 
• #CVCB3: 25.6610%
• #MOVI3: 24.7409%
• #VIIA3: 24.1442%
• #RRRP3: 22.5755%
• #MRFG3: 20.4776%
↓ Visualizar Mercado de #Ações
https://t.co/u1Uo9yygQV</t>
  </si>
  <si>
    <t>A relação preço/lucro do #Ibovespa desde o dia 01/01/2023 até o dia 05/09/2023.
#Investimento #Ações #MercadoFinanceiro #BolsaDeValores https://t.co/oQCEVyEOsO</t>
  </si>
  <si>
    <t>Fechamento dia 20/09/2023 - #Ações
🟢 Maiores Altas ↑
• #AZUL4: R$15,11 (+11,67%)
• #CVCB3: R$2,40 (+7,62%)
• #GOLL4: R$6,79 (+6,09%)
🔴 Maiores Baixas ↓
• #PCAR3: R$3,81 (-5,92%)
• #BRKM5: R$22,13 (-4,11%)
• #RECV3: R$21,77 (-2,37%)
https://t.co/mD5mbdsNPG</t>
  </si>
  <si>
    <t>Ranking #B3 do dia 18/09/2023.
Empresas com volume financeiro de ações termadas: 
• #ENGI11: 595,62M
• #VALE3: 518,74M
• #VBBR3: 399,09M
• #BBAS3: 250,23M
• #PETR4: 191,15M
↓ Visualizar Mercado de #Ações
https://t.co/qgjaqk8jwo</t>
  </si>
  <si>
    <t>Ranking #B3 do dia 21/09/2023.
Empresas com maior percentual de ações alugadas: 
• #CVCB3: 27.6860%
• #MOVI3: 24.8013%
• #RRRP3: 22.9688%
• #ALPA4: 22.9571%
• #EZTC3: 22.0347%
↓ Visualizar Mercado de #Ações
https://t.co/ulNmwgkE1d</t>
  </si>
  <si>
    <t>Ranking #B3 do dia 21/09/2023.
Empresas com volume financeiro de ações termadas: 
• #VALE3: 494,57M
• #ENGI11: 451,73M
• #VBBR3: 405,15M
• #PETR4: 217,48M
• #BBAS3: 192,52M
↓ Visualizar Mercado de #Ações
https://t.co/qgjaqk8jwo</t>
  </si>
  <si>
    <t>Ranking #B3 do dia 20/09/2023.
Empresas com maior percentual de ações alugadas: 
• #VIIA3: 27.4140%
• #CVCB3: 27.0932%
• #MOVI3: 25.3726%
• #ALPA4: 24.0057%
• #RRRP3: 22.6102%
↓ Visualizar Mercado de #Ações
https://t.co/ulNmwgkE1d</t>
  </si>
  <si>
    <t>Ranking #B3 do dia 19/09/2023.
Empresas com maior percentual de ações alugadas: 
• #VIIA3: 28.0092%
• #CVCB3: 27.1333%
• #MOVI3: 25.7528%
• #RRRP3: 22.5029%
• #ALPA4: 21.6771%
↓ Visualizar Mercado de #Ações
https://t.co/ulNmwgkE1d</t>
  </si>
  <si>
    <t>Ranking #B3 do dia 27/09/2023.
Empresas com volume financeiro de ações termadas: 
• #VALE3: 491,99M
• #ENGI11: 451,73M
• #VBBR3: 351,55M
• #PETR4: 254,84M
• #BBAS3: 190,54M
↓ Visualizar Mercado de #Ações
https://t.co/qgjaqk8jwo</t>
  </si>
  <si>
    <t>Fechamento dia 21/09/2023 - #Ações
🟢 Maiores Altas ↑
• #SUZB3: R$56,01 (+2,04%)
• #SBSP3: R$61,69 (+2,03%)
• #NTCO3: R$16,24 (+1,94%)
🔴 Maiores Baixas ↓
• #MGLU3: R$2,35 (-6,74%)
• #SOMA3: R$6,81 (-6,71%)
• #ARZZ3: R$64,91 (-5,70%)
https://t.co/mD5mbdsg08</t>
  </si>
  <si>
    <t>Fechamento dia 19/09/2023 - #Ações
🟢 Maiores Altas ↑
• #MRFG3: R$7,42 (+4,06%)
• #VIIA3: R$0,75 (+2,73%)
• #HAPV3: R$4,50 (+1,80%)
🔴 Maiores Baixas ↓
• #PCAR3: R$4,05 (-6,89%)
• #LREN3: R$14,60 (-5,37%)
• #TOTS3: R$26,90 (-4,91%)
https://t.co/mD5mbdsg08</t>
  </si>
  <si>
    <t>Fechamento dia 15/09/2023 - #Ações
🟢 Maiores Altas ↑
• #ENGI11: R$50,95 (+4,90%)
• #AZUL4: R$13,54 (+3,35%)
• #SMTO3: R$40,54 (+2,99%)
🔴 Maiores Baixas ↓
• #VIIA3: R$0,76 (-15,55%)
• #IRBR3: R$40,50 (-7,23%)
• #CRFB3: R$9,91 (-7,03%)
https://t.co/mD5mbdsg08</t>
  </si>
  <si>
    <t>Ranking #B3 do dia 15/09/2023.
Empresas com volume financeiro de ações termadas: 
• #VALE3: 523,24M
• #ENGI11: 439,89M
• #VBBR3: 345,47M
• #BBAS3: 250,69M
• #PETR4: 189,57M
↓ Visualizar Mercado de #Ações
https://t.co/qgjaqk8jwo</t>
  </si>
  <si>
    <t>Ranking #B3 do dia 15/09/2023.
Empresas com maior percentual de ações alugadas: 
• #CVCB3: 25.1482%
• #VIIA3: 24.8602%
• #MOVI3: 24.5389%
• #RRRP3: 22.0956%
• #PETZ3: 20.1853%
↓ Visualizar Mercado de #Ações
https://t.co/ulNmwgkE1d</t>
  </si>
  <si>
    <t>Fechamento dia 13/09/2023 - #Ações 
🔴 Maiores Baixas ↓
• #VIIA3: R$ 1,11 (-5,12%)
• #UGPA3: R$ 18,33 (-4,08%)
• #RECV3: R$ 21,58 (-2,17%)
 ↓ Detalhes do Mercado: 
 https://t.co/ghhrkHNfUJ</t>
  </si>
  <si>
    <t>Fechamento dia 13/09/2023 - #Ações 
🟢 Maiores Altas ↑
• #CRFB3: R$ 10,75 (+3,96%)
• #BPAC11: R$ 32,84 (+3,75%)
• #WEGE3: R$ 36,93 (+3,59%)
 ↓ Detalhes do Mercado: 
 https://t.co/ghhrkHNfUJ</t>
  </si>
  <si>
    <t>Fechamento dia 27/09/2023 - #Ações
🟢 Maiores Altas ↑
• #GOLL4: R$6,56 (+7,18%)
• #RECV3: R$20,18 (+4,61%)
• #PETR3: R$37,70 (+3,71%)
🔴 Maiores Baixas ↓
• #PCAR3: R$3,25 (-2,98%)
• #CPLE6: R$8,72 (-2,89%)
• #MGLU3: R$2,04 (-2,85%)
https://t.co/mD5mbdsg08</t>
  </si>
  <si>
    <t>Fechamento dia 25/09/2023 - #Ações
🟢 Maiores Altas ↑
• #CVCB3: R$2,39 (+5,75%)
• #WEGE3: R$36,13 (+4,60%)
• #IRBR3: R$41,44 (+2,34%)
🔴 Maiores Baixas ↓
• #MGLU3: R$2,15 (-4,01%)
• #GOLL4: R$6,20 (-3,57%)
• #AZUL4: R$13,98 (-2,84%)
https://t.co/mD5mbdsg08</t>
  </si>
  <si>
    <t>Fechamento dia 22/09/2023 - #Ações
🟢 Maiores Altas ↑
• #BRFS3: R$9,66 (+3,20%)
• #CRFB3: R$9,15 (+2,80%)
• #RADL3: R$27,43 (+2,12%)
🔴 Maiores Baixas ↓
• #MGLU3: R$2,24 (-4,68%)
• #VAMO3: R$9,70 (-3,96%)
• #GOLL4: R$6,43 (-3,88%)
https://t.co/mD5mbdsg08</t>
  </si>
  <si>
    <t>Fechamento dia 18/09/2023 - #Ações
🟢 Maiores Altas ↑
• #BRKM5: R$23,21 (+5,83%)
• #YDUQ3: R$21,21 (+4,74%)
• #BRFS3: R$9,35 (+4,35%)
🔴 Maiores Baixas ↓
• #VAMO3: R$10,00 (-5,66%)
• #TOTS3: R$28,29 (-4,10%)
• #VIIA3: R$0,73 (-3,94%)
https://t.co/mD5mbdsg08</t>
  </si>
  <si>
    <t>A B3 passou a negociar três novos BDRs (Brazilian Depositary Receipts) de empresas brasileiras listadas no exterior.
Clique no link abaixo e saiba mais!
#ações #ibovespa #indústria #investimento #lítio
https://t.co/mBN5RjBPw3</t>
  </si>
  <si>
    <t>As ações da Petrobras subiam nesta segunda-feira após a companhia divulgar sua nova política de dividendos.
Leia mais no site do Diário do Comércio!
#petrobras #ações #alta #política
https://t.co/ptSLtWPYVQ</t>
  </si>
  <si>
    <t>Quem tiver interesse cola la no grupo
https://t.co/2sL8qXtLLc
#ibovespa #ibov #ações #smallcap https://t.co/RlgqTUzTBn</t>
  </si>
  <si>
    <t>Diálogos #ABMGeo: "FORTALECENDO #POLÍTICAS E #AÇÕES PRÓ-EQUIDADE: O papel da ABMGeo na construção de um mundo #sustentável" 
#mulheres #geociencias #geologiasalvavidas #ODS #SDG #defesacivil #equidade #diversidade https://t.co/D0rKkq0F3w</t>
  </si>
  <si>
    <t>👉A Sociedade Ponto Verde e a Universidade NOVA de Lisboa, desenvolveram um conjunto de ações de proximidade para a receção aos novos alunos. 
Sabe mais, aqui!👇
#maiseducativa #ações #reciclar #sensibilização
https://t.co/dQATcDSI3v</t>
  </si>
  <si>
    <t>"As verdades do mercado costumam ser simples, se não forem simples não são verdades."
Dow
#Ações
#Investimentos
#finanças
#b3
#ibov
#Trader
#Trading https://t.co/ntKRblPB4D</t>
  </si>
  <si>
    <t>vencedores não precisam de palavras vazias para vencer na vida, suas ações falam mais alto que qualquer crítica. #vencedores #vencer #vida #ações https://t.co/xVWRDxYEeS</t>
  </si>
  <si>
    <t>#ATITUDES  #AÇÕES   #VIVER https://t.co/q2lzx6s97h</t>
  </si>
  <si>
    <t>A small town in Florida was once the richest town per capita all because one man convinced the entire city to invest in coca-cola stock. 
Quincy, Florida is a very small town that has a population of 7,000 people, but it won’t take very long for you to find a coca-cola… https://t.co/DjjowBSj8q</t>
  </si>
  <si>
    <t>Agir corretamente é sempre mais eficiente do que perder tempo falando sobre quem faz errado.
Foque suas energias em fazer a diferença com suas ações e escolhas. 💪
.
.
.
.
.
.
.
.
#MarquinhoDaPipa #FaçaOCerto #Exemplo #Ética #Respeito #Bondade #Ações #Eficiência #SejaAMudança https://t.co/8uace0ZhXh</t>
  </si>
  <si>
    <t>Abril foi um mês que prometeu muito, mas acabou entregando menos em relação ao Ibovespa, principal índice acionário da bolsa.
acesse o site:
https://t.co/DiX9w4dFhZ
#onjornal #bolsas #ações #índice #IPCA #queda #juros</t>
  </si>
  <si>
    <t>ONJORNAL | Bolsas &amp;amp; Ações
No fechamento, as #ações ordinárias do #GPA subiram 9,94%, cotadas a R$ 20,35, liderando os ganhos do #Ibovespa. 
https://t.co/fqqMExyP8G https://t.co/HGmQzhQ3Xo</t>
  </si>
  <si>
    <t>ONJORNAL | Bolsas &amp;amp; Ações
As #ações da petroleira #3R #Petroleum passaram o dia entre as maiores altas do #Ibovespa, após a #empresa divulgar crescimento de 68% na sua #produção de junho em relação ao mês de maio. 
https://t.co/VHjqy22scm https://t.co/DIj5bvOYBy</t>
  </si>
  <si>
    <t>ONJORNAL | Polí­tica
Nesta sexta-feira (14), o Tribunal Superior Eleitoral (#TSE) deu continuidade ao andamento de duas #ações que solicitam a #inelegibilidade do ex-presidente Jair #Bolsonaro (PL).
https://t.co/4rp4W5ydnl https://t.co/sh3TOxtgnK</t>
  </si>
  <si>
    <t>ONJORNAL | Municípios
O município de #Uarini acaba de receber um importante reforço para fortalecer as #ações de #saúde básica nas #comunidades rurais. 
https://t.co/VjLMpvZuwY https://t.co/8bwEYlvGQ5</t>
  </si>
  <si>
    <t>ONJORNAL | Bolsas &amp;amp; Ações
As #bolsas asiáticas fecharam em forte alta nesta sexta-feira (9), com destaque para as #ações no #Japão, cuja bolsa disparou quase 2%.
https://t.co/e1v81lQcdM https://t.co/fM12wuGMwm</t>
  </si>
  <si>
    <t>ONJORNAL | Bolsas &amp;amp; Ações
As #ações da #Tuppeware dispararam nas últimas semanas na #bolsadevalores de #NovaYork.
https://t.co/s7QSLOfuFr https://t.co/C7nHXST0uR</t>
  </si>
  <si>
    <t>ONJORNAL | Negócios
O valor de #mercado da #Apple saltou para US$ 3 trilhões nesta sexta-feira, 30, com as #ações da companhia saltando pouco mais de 1% na #Nasdaq. 
https://t.co/k6uIpGQnmc https://t.co/yY0b1egLgS</t>
  </si>
  <si>
    <t>A bolsa de valores brasileira ofereceu ganhos no fechamento da semana. 
acesse o site:
https://t.co/keWRLKM7s0
#bolsadevalores #Brasil #ações</t>
  </si>
  <si>
    <t>ONJORNAL | Bolsas &amp;amp; Ações
As #ações da #C&amp;amp;A (CEAB3) operaram em forte alta durante o pregão de hoje (11) na B3, com #investidores repercutindo positivamente os #números do segundo trimestre, divulgados ontem, após o fechamento do #mercado.
https://t.co/3mPURcqCM6 https://t.co/0X4XQGTnVt</t>
  </si>
  <si>
    <t>ONJORNAL | Bolsas &amp;amp; Ações
#Ações e esperança de investidores de fintechs caem com juros altos nos #EUA.
Acesse:
https://t.co/jqx0wvc4ma https://t.co/gcavaoKZd5</t>
  </si>
  <si>
    <t>Audio noticia 05/JULHO, informações sobre mundo financeiro, brasil, mund... https://t.co/1CDVDl86T5 via @YouTube #ações
#BolsaDeValores #Indices</t>
  </si>
  <si>
    <t>Ações conjunta da Scania com a Compagas visam demonstrar a tecnologia dos veículos.
https://t.co/gfhCijYxVX
#sobratema #revistamt #revista_mt
#brasil #Ações #Scania #Compagas #tecnologia #veículos #rotas #ônibus #caminhões #gásNaturalVeicular #GNV #biometano https://t.co/L0SUngxVp9</t>
  </si>
  <si>
    <t>O desafio do ICL no segmento de lubrificantes inclui o desenvolvimento de ações contra as irregularidades e ilicitudes que afetam esse setor.  https://t.co/TUsqU4NMZC
#sobratema #revistamt #revista_mt
#brasil #desafio #ICL #lubrificantes #desenvolvimento #ações #irregularidades https://t.co/xju4JgRBM3</t>
  </si>
  <si>
    <t>RT @revistamt1: O desafio do ICL no segmento de lubrificantes inclui o desenvolvimento de ações contra as irregularidades e ilicitudes que…</t>
  </si>
  <si>
    <t>ENTENDA a DIFERENÇA ENTRE AS AÇÕES 3, 4, 5, 6 e 11 🤑📈🚀
#ações #bolsadevalores #mercadofinanceiro #investidoriniciante #educacaofinanceira #dinheiro #rendavariavel #rendapassiva #dinheiroonline https://t.co/tConM8axZR</t>
  </si>
  <si>
    <t>Quer saber como investir de forma segura, correndo apenas os riscos necessários?
Entre em contato com a Brava!
#investimentos #riscos #ações #mercadofinanceiro</t>
  </si>
  <si>
    <t>#riscos #mercadofinanceiro #ações #rendafixa</t>
  </si>
  <si>
    <t>Quer saber como é o racional por trás da compra e venda de ações?
Veja tudo isso no artigo no blog Capital Inteligente, o blog da Brava Capital!
Link: https://t.co/KNKa7E6WSF
#riscos #mercadofinanceiro #ações #rendavariável</t>
  </si>
  <si>
    <t>Cenário Atual: Os Riscos Ocultos 
#ibov #Bolsa #Acoes
https://t.co/PozmtZAhel</t>
  </si>
  <si>
    <t>5,2 Bilhões e o governo é o maior acionista!😭 #creator #economia #investimentos #copel #ações #sell
https://t.co/v5AxnvVWf7
Meu maior erro!!!😭🥲😭
Sigam-me no Instagram @hilton.boss7 e @accessories.Boss</t>
  </si>
  <si>
    <t>Situação de emergência em plataforma de petróleo da Petrobras é revelada após decréscimo em ações da estatal: #Cpgvagasenoticias #Acidente #Ações #P31 #Petrobras https://t.co/OS1dwn7wW4</t>
  </si>
  <si>
    <t>Dez melhores ações para investir no mês de julho
Carteira Top 10 Ações do Banco Safra, atualizada automaticamente todos os meses, alcançou valorização de 5,21% no último mês, bem acima do CDI
#acoes #investimentos #cdi
https://t.co/jSY4qYaoSP</t>
  </si>
  <si>
    <t>Carteira sugerida de ações com alto potencial de valorização rende 26,3% desde janeiro
Carteira de Small Caps é composta por ações de empresas com alto potencial de valorização e capitalização de mercado de até R$ 10 bi
#investimentos #acoes #smallcaps
https://t.co/ahvz5Plwyu</t>
  </si>
  <si>
    <t>Sempre há influências espirituais, pode ser uma imagem, um som ou palavras,tudo influência nossa mente.
https://t.co/qvQj70eg62
#mente #coraçao #emoçoes #som #poder #palavras #açoes</t>
  </si>
  <si>
    <t>Ações nos PDVs para o dia dos pais. Promotores (as) Factu Trade Marketing. Confira!
#ações #pdv #factutrademarketing #promotor #promotora #jundiasorvetes #simonetto https://t.co/oH3Mm3X9PS</t>
  </si>
  <si>
    <t>Resultado de algumas operações recente de Ações e opções da mesma.
#analisetecnica #swingtrade #açoes #opçoes #priceaction #b3 #bolsadevalores https://t.co/XpWwHIBFBw</t>
  </si>
  <si>
    <t>#PETR4
Praticamente dois meses da primeira análise (24/07), onde estava previsto essa possível alta, hoje a ação está cerca de 13,80% de alta. A análise fluiu bem, os pontos marcados no gráfico foram bem respeitados.
#swingtrade #ações #petrobras #bolsadevalores #analisetecnica https://t.co/z5wcV6SIx5</t>
  </si>
  <si>
    <t>#TRAD3 
Como previsto na análise 21/07, o papel registra mais de 40% de queda.
#swingtrade #acoes #analisetecnica #bolsadevalores https://t.co/xECvlXyRZh</t>
  </si>
  <si>
    <t>Mais uma planilha para as operações pronta
#bolsadevalores #swingtrade #ações https://t.co/jlaKEOCAQX</t>
  </si>
  <si>
    <t>#Ações falam mais alto que palavras. Votar na pauta é uma ação concreta em defesa dos aposentados. Nos ajudem! Não aguentamos mais esse confisco!
Vote 👇👇
https://t.co/DbqB585WML…
#BrasilVoteBrasilVote 
Com certeza</t>
  </si>
  <si>
    <t>Novo câmbio na Argentina, Fiagro paga dividendos, ‘boi favorito’ do JP e mais: Veja 5 temas no Agro Times
#Ações #AgroTimes #Argentina
https://t.co/JbHFKLuEJV</t>
  </si>
  <si>
    <t>BRF (BRFS3) cai quase 5% após oferta de ações movimentar R$ 5,4 bilhões
#Ações #AgroTimes #BRF
https://t.co/S3o9g3OLia</t>
  </si>
  <si>
    <t>BRF (BRFS3) faz oferta de ações a R$ 9 por papel e levanta R$ 5,4 bilhões
#Ações #AgroTimes #Agronegócio
https://t.co/UJPm9teb8Z</t>
  </si>
  <si>
    <t>O ‘diamante’ da Raízen (RAIZ4), ação com tombo de 19% em 3 meses, negócio da China para o boi e mais: 5 assuntos no Agro Times
#Ações #AgroTimes #Agronegócio
https://t.co/18LBmiGgjV</t>
  </si>
  <si>
    <t>Rabobank: 2023 indica transição no mercado dos fertilizantes; quais ações do agro podem ser impactadas?
#3tentos #Ações #AgroTimes
https://t.co/k1txEFuaQA</t>
  </si>
  <si>
    <t>BRF (BRFS3): Ações despencam após resultados do 1T23; o que preocupa mercado?
#1T23 #Ações #AgroTimes
https://t.co/RsWbmgIGoy</t>
  </si>
  <si>
    <t>Marfrig (MRFG3): Fonte de dividendos secou e ações afundam; o que fazer agora?
#1T23 #Ações #AgroTimes
https://t.co/sr9DkFoAXB</t>
  </si>
  <si>
    <t>SLC Agrícola (SLCE3): XP vê resultados acima do esperado, mesmo com queda de 28% no lucro; ainda é compra?
#1T23 #Ações #AgroTimes
https://t.co/hvp0ByHH3K</t>
  </si>
  <si>
    <t>BRF (BRFS3) anuncia permissão para exportar frango e suínos de Mato Grosso à China 
#Ações #AgroTimes #Agronegócio
https://t.co/sTcT6yy2QM</t>
  </si>
  <si>
    <t>3tentos (TTEN3) mostra lucro de R$ 76,9 milhões no 2T23, queda de 36,5%
#2T23 #3tentos #Ações
https://t.co/PzyM5LSytF</t>
  </si>
  <si>
    <t>JBS (JBSS3) tem prejuízo de R$ 198,1 milhões no 2T23
#2T23 #Ações #AgroTimes
https://t.co/bMqsmPvteN</t>
  </si>
  <si>
    <t>Empiricus Investimentos indica frigorífico na semana; veja 5 ações para superar o Ibovespa
#Ações #Açúcar #AgroTimes
https://t.co/SKAJ0uPuA3</t>
  </si>
  <si>
    <t>LCA e LCI pagam mais de 11% ao ano e sem IR, Minerva (BEEF3) distribui bolada, ‘top pick’ do Santander (SANB11) e mais: veja 5 temas no Agro Times
#Ações #AgroTimes #Boi
https://t.co/ElfF5b9TTM</t>
  </si>
  <si>
    <t>Minerva (BEEF3): CEO está otimista com mercado da China, à medida que suínos e aves perdem espaço
#Ações #AgroTimes #Carnes
https://t.co/6GllcYmq7y</t>
  </si>
  <si>
    <t>AgroGalaxy (AGXY3): CFO renuncia ao cargo a duas semanas dos resultados do 2T23
#Ações #Agricultura #AgroTimes
https://t.co/AowzGHr8rD</t>
  </si>
  <si>
    <t>Klabin (KLBN11) lucra R$ 971 milhões no 2T23 e surpreende apostas do mercado
#2T23 #Ações #AgroTimes
https://t.co/B6G7rdHJF3</t>
  </si>
  <si>
    <t>BBA traça 2T23 dos frigoríficos e recomenda compra de apenas duas ações; saiba em quais ‘bois’ apostar
#2T23 #Ações #AgroTimes
https://t.co/lI5Q4VY6Ka</t>
  </si>
  <si>
    <t>Suzano (SUZB3) ou Klabin (KLAB11)? Genial destaca 5 pontos para cada ação e escolhe ‘top pick’
#Ações #AgroTimes #Commodities
https://t.co/dN1u5sDLLb</t>
  </si>
  <si>
    <t>JBS (JBSS3) dispara quase 9% após proposta de dupla listagem
#Ações #AgroTimes #Comprarouvender?
https://t.co/5UI66vxcp8</t>
  </si>
  <si>
    <t>JBS (JBSS3) propõe dupla listagem de ações no Brasil e nos EUA; entenda
#Ações #AgroTimes #Agronegócio
https://t.co/QYwuVBQO2h</t>
  </si>
  <si>
    <t>M. Dias Branco (MDIA3): Por que janela de oportunidade está se fechando, na visão da XP; vale apostar na tese?
#Ações #AgroTimes #Agronegócio
https://t.co/4Cdbr5Xs39</t>
  </si>
  <si>
    <t>Swing Trade: Suzano (SUZB3) pode subir até 8% hoje e fazer você começar julho com tudo
#Ações #AgroTimes #ColunistaEmpiricus
https://t.co/1J1BTncnqN</t>
  </si>
  <si>
    <t>Swing Trade: Ação da BrasilAgro (AGRO3) pode render até 12,5% hoje (20); veja como
#Ações #AgroTimes #BrasilAgro
https://t.co/TxtkseFTfU</t>
  </si>
  <si>
    <t>JBS (JBSS3) pagará mais de R$ 2 bilhões em dividendos; veja condições para receber parte da bolada
#Ações #AgroTimes #Agronegócio
https://t.co/P1Dtlr2Iwz</t>
  </si>
  <si>
    <t>Suzano (SUZB3) ou Klabin (KLBN11)? Com ‘fator China’, bancão sugere uma ação para comprar e outra para vender
#Ações #AgroTimes #BankofAmerica
https://t.co/fRxH3VVEL5</t>
  </si>
  <si>
    <t>Ação do agronegócio está perdendo suporte; Itaú recomenda venda a descoberto
#Ações #Agricultura #AgroTimes
https://t.co/Z8ziFiroqn</t>
  </si>
  <si>
    <t>Por que RAIZ4 despenca em dia de projeções do Raízen Day? PETR4 pode estar por trás da queda; entenda
#Ações #Açúcar #AgroTimes
https://t.co/O76h8klJ5i</t>
  </si>
  <si>
    <t>AgroGalaxy (AGXY3): Com queda dos fertilizantes, XP prevê resultados fracos no 1T23; vale investir?
#1T23 #Ações #AgroTimes
https://t.co/uwx6AU54lD</t>
  </si>
  <si>
    <t>São Martinho (SMTO3) sobe mais de 3%; BofA vê boas perspectivas para açúcar e etanol
#Ações #AgroTimes #BankofAmerica
https://t.co/La1gfNuLVX</t>
  </si>
  <si>
    <t>M. Dias Branco (MDIA3) cita recorde desde IPO e aponta 2 motivos para apostar na tese
#Ações #Agricultura #AgroTimes
https://t.co/s3Pe1pQ7Xe</t>
  </si>
  <si>
    <t>JBS (JBSS3): Após ‘tempestade perfeita’ no 1S23, XP corta estimativas e preço-alvo; ainda é compra?
#Ações #AgroTimes #Carnes
https://t.co/md2vTXpfDP</t>
  </si>
  <si>
    <t>Raízen (RAIZ4) é a primeira empresa no mundo a receber certificação internacional para produção de SAF
#Ações #AgroTimes #Aviação
https://t.co/8aSJq0mCgH</t>
  </si>
  <si>
    <t>Megatendências, Europa e Ásia: Os pontos de otimismo e atenção para Suzano (SUZB3)
#Ações #AgroTimes #Ásia
https://t.co/52MhNs8io9</t>
  </si>
  <si>
    <t>Raízen (RAIZ4) deve superar fiasco do etanol; desconto nas ações supera 50%
#2T23 #Ações #Açúcar
https://t.co/s7V1n8hGyk</t>
  </si>
  <si>
    <t>BRF (BRFS3): Ações saltam após prejuízo bilionário no 2T23; o que explica a alta?
#2T23 #Ações #AgroTimes
https://t.co/asEbpt9nyM</t>
  </si>
  <si>
    <t>Cosan (CSAN3): Para analistas, Raízen (RAIZ4) dita ritmo do 2T23; o que fazer com as ações?
#2T23 #Ações #AgroTimes
https://t.co/ufBx5uVBfg</t>
  </si>
  <si>
    <t>Marfrig (MRFG3) tem resultados fracos já esperados no 2T23; vale investir agora?
#2T23 #Ações #AgroTimes
https://t.co/anWdZykR70</t>
  </si>
  <si>
    <t>Marfrig (MRFG3) registra prejuízo de R$ 784 milhões no 2T23; entenda motivos
#2T23 #Ações #AgroTimes
https://t.co/CdQ8FiB319</t>
  </si>
  <si>
    <t>Cosan (CSAN3) reverte prejuízo e lucra R$ 145 milhões no 2T23, bem abaixo do esperado
#2T23 #Ações #AgroTimes
https://t.co/mClbuSlFpG</t>
  </si>
  <si>
    <t>BRF (BRFS3) fecha joint venture com empresa de carne halal da Arábia Saudita
#Ações #AgroTimes #ArábiaSaudita
https://t.co/vZpVtYmdmo</t>
  </si>
  <si>
    <t>2 ações fora do radar que podem decolar mais de 100% até 2024, com ciclo de queda da Selic
#Ações #AgroTimes #Agronegócio
https://t.co/3sCaMlPbEc</t>
  </si>
  <si>
    <t>JBS (JBSS3): Ação pode quase dobrar de preço em busca do sonho americano
#Ações #AgroTimes #Agronegócio
https://t.co/fQqtNXfvwa</t>
  </si>
  <si>
    <t>SLC Agrícola (SLCE3) dispara nesta sexta (23) após terras valorizarem 12%
#Ações #AgroTimes #Agronegócio
https://t.co/pazklegw0O</t>
  </si>
  <si>
    <t>JBS (JBSS3), Minerva (BEEF3) e Marfrig (MRFG3): Por que ações caem nos últimos dois dias?
#Ações #AgroTimes #BRF
https://t.co/AeLpK4lcIL</t>
  </si>
  <si>
    <t>Minerva (BEEF3): ‘Boi’ derrete na B3 após justiça condenar frigorífico por maus tratos; entenda
#Ações #AgroTimes #Carnes
https://t.co/Zi56UPozny</t>
  </si>
  <si>
    <t>Etanol do futuro: Ação agro brasileira chama atenção do ‘Tio Sam’
#Ações #AgroTimes #BankofAmerica
https://t.co/8a8CCvITK7</t>
  </si>
  <si>
    <t>Suzano (SUZB3): Ações derretem após anúncio de R$ 1 bilhão em debêntures para o Cerrado; entenda
#Ações #AgroTimes #Agronegócio
https://t.co/37yYKsSEGg</t>
  </si>
  <si>
    <t>Por que o BofA está otimista com a Raízen (RAIZ4)? Ação dispara 5%
#Ações #AgroTimes #BankofAmerica
https://t.co/P2bpIJLHeY</t>
  </si>
  <si>
    <t>Cosan (CSAN3): 4 motivos para comprar a ação, segundo banco gringo
#Ações #Açúcar #AgroTimes
https://t.co/XGothanSg6</t>
  </si>
  <si>
    <t>Irani (RANI3): Por que ações saltam mais de 9% nesta terça (20)?
#Ações #AgroTimes #Agronegócio
https://t.co/ijXbDLwPik</t>
  </si>
  <si>
    <t>São Martinho (SMTO3): XP e banco diferem, com teses ‘amarga’ e ‘doce’, após lucro cair mais de 30%
#Ações #Açúcar #AgroTimes
https://t.co/2oVcpZYh8h</t>
  </si>
  <si>
    <t>Small caps: BTG renova 60% da carteira para junho; ação agro que pode disparar 51% é novidade
#3tentos #Ações #AgroTimes
https://t.co/qeefKLfQ7C</t>
  </si>
  <si>
    <t>Cosan (CSAN3): Entenda os fatores para a disparada nesta sexta (2); hora de comprar?
#Ações #AgroTimes #BTGPactual
https://t.co/cabPDZddW3</t>
  </si>
  <si>
    <t>Previsão de clima seco faz soja e trigo abrirem junho com forte alta; há risco de quebra?
#Ações #Açúcar #AgroTimes
https://t.co/CdFiuGMnqG</t>
  </si>
  <si>
    <t>BRF (BRFS3): Após ‘promessa de bilhões’, BofA eleva recomendação; hora de comprar?
#Ações #AgroTimes #Agronegócio
https://t.co/CPv3jJP159</t>
  </si>
  <si>
    <t>M. Dias Branco (MDIA3) dispara após 1T23; o que fazer com o papel?
#1T23 #Ações #AgroTimes
https://t.co/XvTcpix5pZ</t>
  </si>
  <si>
    <t>Raízen (RAIZ4): Surpresas negativas no 1T23 afundam ações; entenda
#Ações #Açúcar #AgroTimes
https://t.co/UKehXqGAjx</t>
  </si>
  <si>
    <t>São Martinho (SMTO3) desbanca Minerva (BEEF3), boi gordo e ação que pode crescer 100%: veja 5 assuntos no Agro Times
#Ações #Açúcar #AgroTimes
https://t.co/7Q44taMdvK</t>
  </si>
  <si>
    <t>Raízen (RAIZ4) projeta queda de até 11,7% no ebitda ajustado no ano-safra 2023/2024
#Ações #Açúcar #AgroTimes
https://t.co/RObsk3RRpK</t>
  </si>
  <si>
    <t>JBS (JBSS3): Ebitda ajustado do 1T23 fica 48% abaixo da previsão do BTG, que ‘não vê brincadeira’; ações despencam 9%
#Ações #AgroTimes #Agronegócio
https://t.co/DP2SBCmmmM</t>
  </si>
  <si>
    <t>AgroGalaxy (AGXY3) mais que dobra prejuízo a R$ 96,6 milhões no 1T23
#1T23 #Ações #AgroTimes
https://t.co/JhUJnDIvCB</t>
  </si>
  <si>
    <t>Swing Trade: SLC Agrícola (SLCE3) pode render quase 7% nesta segunda (28); veja como
#Ações #AgroTimes #Agronegócio
https://t.co/XGB3AqSCHP</t>
  </si>
  <si>
    <t>Raízen (RAIZ4) diz estar pronta para atender demanda de etanol para produção de SAF
#Ações #AgroTimes #FeedPrincipal
https://t.co/jlJsYpMBdI</t>
  </si>
  <si>
    <t>Por que Minerva (BEEF3) salta nesta terça (22), enquanto frigoríficos derretem na Bolsa?
#Ações #AgroTimes #Agronegócio
https://t.co/x5TwdDBXX4</t>
  </si>
  <si>
    <t>Minerva (BEEF3) ou JBS (JBSS3)? XP elege ‘top pick’ entre frigoríficos após boi ‘saltar do penhasco’
#Ações #AgroTimes #Agronegócio
https://t.co/RuHcdk11YW</t>
  </si>
  <si>
    <t>Raízen (RAIZ4) com desconto, dividendos para SLC (SLCE3) e Boa Safra (SOJA3), Novo PAC e mais: veja 5 temas no Agro Times
#Ações #Agricultura #AgroTimes
https://t.co/Tcb7BMjgCo</t>
  </si>
  <si>
    <t>Grãos, petróleo, açúcar e mais: As commodities mais relevantes para as empresas do agro
#Ações #Agricultura #AgroTimes
https://t.co/dQJJE1zMdD</t>
  </si>
  <si>
    <t>MDIA3: Lucro recua no 2T23 e derruba ‘trigo’ da M. Dias Branco em mais de 5% na Bolsa
#Ações #AgroTimes #Agronegócio
https://t.co/ycKXDSIOfM</t>
  </si>
  <si>
    <t>Raízen (RAIZ4) pela metade do preço? Bank of America recomenda investir na holding
#2T23 #Ações #Açúcar
https://t.co/Wsd58vsNHQ</t>
  </si>
  <si>
    <t>SLC Agrícola (SLCE3) perde na B3 após lucro desabar por soja e algodão; vale comprar?
#2T23 #Ações #Agricultura
https://t.co/lCkpHBNh5p</t>
  </si>
  <si>
    <t>Minerva (BEEF3): Ações dispara após lucro sobre 1T23 e dividendos; BBA projeta forte crescimento
#Ações #AgroTimes #Agronegócio
https://t.co/woZC5ZJ8vH</t>
  </si>
  <si>
    <t>J&amp;amp;F, controladora da JBS (JBSS3), tenta reduzir de R$ 10,3 bilhões por corrupção
#Ações #AgroTimes #Agronegócio
https://t.co/on8fpZagOe</t>
  </si>
  <si>
    <t>Ação do agronegócio fora do radar tem muito a lucrar com diesel barato no 2T23
#Ações #AgroTimes #Agronegócio
https://t.co/zyg0ATLIHg</t>
  </si>
  <si>
    <t>Artificialismo da Petrobras (PETR4) e aumento na gasolina: O que mexe com o etanol?
#Ações #AgroTimes #Agronegócio
https://t.co/Z8zH129KQM</t>
  </si>
  <si>
    <t>BRF (BRFS3), Marfrig (MRFG3) e Minerva (BEEF3) sobem nesta segunda (31); Arábia Saudita está por trás da alta?
#Ações #AgroTimes #BRF
https://t.co/l5iVTshtz3</t>
  </si>
  <si>
    <t>Brasil e Arábia Saudita firmam parceria bilionária para fortalecer agronegócio brasileiro; o que muda?
#Ações #Agricultura #AgroTimes
https://t.co/VPl8dnRZY8</t>
  </si>
  <si>
    <t>Irani (RANI3) lucra R$ 228,7 milhões no 2T23, alta de 170%
#Ações #AgroTimes #Comprarouvender?
https://t.co/qKjBzSJlQi</t>
  </si>
  <si>
    <t>Bancão sobrevive a mudança de carteira do BB; veja as ações escaladas para bater o Ibovespa
#Ações #AgroTimes #Azul
https://t.co/RBW227TT3X</t>
  </si>
  <si>
    <t>JALL3: XP se anima com ‘tese única’ de açúcar e etanol que pode crescer quase 50%
#Ações #Açúcar #AgroTimes
https://t.co/yCFEbOHzRx</t>
  </si>
  <si>
    <t>Empresa de celulose que saltou 30% em 6 meses desbanca Minerva (BEEF3) e São Martinho (SMTO3); confira as ações do agro para julho
#3tentos #Ações #ÁgoraInvestimentos
https://t.co/gkZvYzhL5G</t>
  </si>
  <si>
    <t>Reforma tributária: Conheça as ações do agro que serão impactadas
#Ações #AgroTimes #Agronegócio
https://t.co/p02U1IqV0S</t>
  </si>
  <si>
    <t>Plano Safra recorde, clima derruba lavouras e (JBSS3), enquanto China derrete ‘boi’ da Minerva (BEEF3) e mais: veja 5 temas no Agro Times
#Ações #Agricultura #AgroTimes
https://t.co/mUxyA61ZvK</t>
  </si>
  <si>
    <t>BrasilAgro (AGRO3) sobe após venda de fazenda na Bahia por R$ 122 milhões; o que fazer com as ações?
#Ações #AgroTimes #Agronegócio
https://t.co/teGHhGyEQV</t>
  </si>
  <si>
    <t>AgroGalaxy (AGXY3) anuncia ‘novo velho’ CEO, Welles Pascoal, responsável por IPO em 2021
#Ações #Agricultura #AgroTimes
https://t.co/OyRvsyZ7n4</t>
  </si>
  <si>
    <t>Jalles Machado (JALL3): Ação cai quase 4% após prejuízo de R$ 56 milhões no 4T23
#Ações #Açúcar #AgroTimes
https://t.co/hnRkWFxMgV</t>
  </si>
  <si>
    <t>JBS (JBSS3): Após ‘fundo do poço’, dividendos podem secar em ano de ‘vacas magras’; entenda
#Ações #AgroTimes #Agronegócio
https://t.co/c62D3uZAEz</t>
  </si>
  <si>
    <t>Como a Raízen (RAIZ4) agora vai buscar um retorno ‘brutal’
#Ações #Açúcar #AgroTimes
https://t.co/GPntY4sMzu</t>
  </si>
  <si>
    <t>XP corta preço-alvo da Minerva Foods (BEEF3); entenda se é hora de cair fora
#Ações #AgroTimes #Agronegócio
https://t.co/wqoVirYPI5</t>
  </si>
  <si>
    <t>Raízen (RAIZ4) vive ciclo de investimentos, mas geração de caixa ainda é prioridade máxima, diz CFO
#Ações #Açúcar #AgroTimes
https://t.co/rosyvFtGgy</t>
  </si>
  <si>
    <t>Minerva (BEEF3) amplia exportação de carne para EUA; empresa anuncia habilitação de planta no Mato Grosso
#Ações #AgroTimes #Carnes
https://t.co/MWwMcbeost</t>
  </si>
  <si>
    <t>Suzano (SUZB3) dispara após reajuste da celulose na Ásia; entenda se a farra vai durar
#Ações #AgroTimes #B3
https://t.co/svZNTUm8BX</t>
  </si>
  <si>
    <t>Minerva (BEEF3) pode crescer 143%, tensão na Agrishow e mais: veja 5 assuntos no Agro Times
#Ações #Agricultura #Agrishow
https://t.co/EVHZyJBzAE</t>
  </si>
  <si>
    <t>3tentos (TTEN3): Queda da ação abre ponto de compra? XP e Itaú reforçam posição
#3tentos #Ações #AgroTimes
https://t.co/UpTALmxWvD</t>
  </si>
  <si>
    <t>BrasilAgro (AGRO3): Com queda das commodities, XP prevê resultados fracos no próximo balanço; vale apostar na ação?
#Ações #AgroTimes #Agronegócio
https://t.co/3eFq0TpIC3</t>
  </si>
  <si>
    <t>Camil (CAML3) ou M. Dias Branco (MDIA3): A uma semana dos resultados, qual comprar?
#Ações #AgroTimes #Alimentos
https://t.co/L0mrVrxHGG</t>
  </si>
  <si>
    <t>Boa Safra (SOJA3): XP corta preço-alvo da ação; ainda vale comprar para ‘colher’ lucros?
#Ações #AgroTimes #BoaSafra
https://t.co/mWXnkUFSMw</t>
  </si>
  <si>
    <t>Gestora gringa se desfaz de ações de frigorífico; saiba qual
#Ações #AgroTimes #Agronegócio
https://t.co/DbiOjTybq1</t>
  </si>
  <si>
    <t>Minerva (BEEF3) confirma compra da BPU Meat do Uruguai por R$ 40 milhões
#Ações #AgroTimes #Agronegócio
https://t.co/mxysjtOQUZ</t>
  </si>
  <si>
    <t>Raízen (RAIZ4) lidera altas na B3 e Jalles Machado (JALL3) volta a subir nesta quinta (24) com Índia e ‘super safra’
#Ações #AgroTimes #Etanol
https://t.co/xANfi1ODrh</t>
  </si>
  <si>
    <t>Jalles Machado (JALL3): Acionistas têm data para receber bolada em dividendos; saiba quando
#Ações #AgroTimes #Agronegócio
https://t.co/Hi8XOGzrZV</t>
  </si>
  <si>
    <t>SLC Agrícola (SLCE3): ‘Não devemos fugir da nossa política de dividendos’, diz diretor de RI
#Ações #Agricultura #AgroTimes
https://t.co/lIQnLY2p0d</t>
  </si>
  <si>
    <t>Compre esta ação para aproveitar a disparada de preços do arroz, indica Ágora
#Ações #ÁgoraInvestimentos #Agricultura
https://t.co/wlHAWHigna</t>
  </si>
  <si>
    <t>De olho no boi: China derruba receita do Brasil em US$ 1 bi; JBS (JBSS3), Minerva (BEEF3) e Marfrig (MRFG3) vão brilhar no 2T23?
#Ações #AgroTimes #Boi
https://t.co/87P5UHsvy0</t>
  </si>
  <si>
    <t>BRF (BRFS3) sobe mais de 5% nesta sexta (28); Copom está por trás da alta?
#Ações #AgroTimes #Agronegócio
https://t.co/SnIBGfo1je</t>
  </si>
  <si>
    <t>SLC Agrícola (SLCE3): Por que a ação sobe mais de 4% nesta quinta (27)?
#Ações #AgroTimes #Comprarouvender?
https://t.co/E6nNtuoypn</t>
  </si>
  <si>
    <t>Pilgrim’s Pride, controlada pela JBS (JBSS3), reporta queda de 83% no lucro líquido do 2T23
#Ações #AgroTimes #Comprarouvender?
https://t.co/H7pJ9RcJvX</t>
  </si>
  <si>
    <t>Suzano (SUZB3): Os dois motivos que fizeram a ação subir nesta quarta (26)
#Ações #AgroTimes #Agronegócio
https://t.co/NC4Lw64cgn</t>
  </si>
  <si>
    <t>Cosan (CSAN3): Como investidores enxergam a ação? Bancão prevê salto de quase 50%
#Ações #AgroTimes #BankofAmerica
https://t.co/sQVm2mLXS6</t>
  </si>
  <si>
    <t>Minerva (BEEF3) e São Martinho (SMTO3) disputam pódio com ‘surpresa’ do agro; saiba em quais ações apostar em junho
#Ações #AgroTimes #Agronegócio
https://t.co/EE3O599qiR</t>
  </si>
  <si>
    <t>Suzano (SUZB3): Hora de correr? Analistas reforçam venda após corte de 4% na produção de celulose; entenda
#Ações #AgroTimes #Agronegócio
https://t.co/kndSHjVg3z</t>
  </si>
  <si>
    <t>Gripe aviária: Embargo para BRF (BRFS3) e JBS (JBSS3), com Sul ameaçado; os riscos, segundo BBA
#Ações #AgroTimes #Agronegócio
https://t.co/pJWpth5krb</t>
  </si>
  <si>
    <t>Petrobras (PETR4) ‘vilã’ do etanol, surpresa afunda Raízen (RAIZ4), boi da Minerva (BEEF3), dividendos e mais: veja 5 assuntos no Agro Times
#Ações #Açúcar #AgroTimes
https://t.co/DLICZ7c13u</t>
  </si>
  <si>
    <t>Goldman Sachs eleva recomendação para ação de papel e celulose após 1T23; vale comprar?
#Ações #AgroTimes #Comprarouvender?
https://t.co/OQnpvktTcP</t>
  </si>
  <si>
    <t>Grãos: Commodities afetam duas ações e M. Dias Branco (MDIA3) ‘comemora’; saiba o que plantar na ‘safra’ do 2T23
#Ações #Agricultura #AgroTimes
https://t.co/kP0lKxR6bW</t>
  </si>
  <si>
    <t>Ações do agronegócio voam solo ou ficam na cola das commodities? Saia da dúvida
#Ações #AgroTimes #Agronegócio
https://t.co/wLzIjXRgNj</t>
  </si>
  <si>
    <t>Aliança Global do G20 para biocombustíveis: Os efeitos para as ações da Bolsa, segundo a Warren 
#Ações #AgroTimes #Biocombustível
https://t.co/N5GUarWKJL</t>
  </si>
  <si>
    <t>Rumo (RAIL3) revela como aumentará receitas em 2024; sem “gap” de tarifa de trens
#Ações #AgroTimes #Agronegócio
https://t.co/xd1P91XpkZ</t>
  </si>
  <si>
    <t>Cosan (CSAN3): CEO destaca vantagem competitiva e tiro certo em ‘diamante verde’; entenda
#Ações #AgroTimes #Compass
https://t.co/vxIohbf15a</t>
  </si>
  <si>
    <t>As 3 ações do agro que ‘esfregam as mãos’ com alta do açúcar, segundo corretora
#Ações #Açúcar #AgroTimes
https://t.co/bLWJn4jk44</t>
  </si>
  <si>
    <t>Empresa que mais gera bilionários no agro está listada na B3; ação tem posição comprada forte
#Ações #Agricultura #AgroTimes
https://t.co/sMF2BCPdUZ</t>
  </si>
  <si>
    <t>Hidrovias do Brasil (HBSA3) ou Rumo (RAIL3)? Qual é a melhor ação para investir agora
#Ações #AgroTimes #Agronegócio
https://t.co/chJ6piMDuj</t>
  </si>
  <si>
    <t>O motivo por trás das altas para Raízen (RAIZ4) e São Martinho (SMTO3) nesta terça (5)
#Ações #AgroTimes #Commodities
https://t.co/uDV5p77Crb</t>
  </si>
  <si>
    <t>JBS (JBSS3), Minerva (BEEF3) e Marfrig (MRFG3): Banco gringo destaca ciclo positivo para frigoríficos até 2024; o que fazer?
#Ações #AgroTimes #Agronegócio
https://t.co/uOmLYj1gNF</t>
  </si>
  <si>
    <t>Itaú BBA revisa preço-alvo de ação do agro de R$ 3 para R$ 5,50; papel já dispara 5%
#Ações #Agricultura #AgroTimes
https://t.co/wOiD8lMQur</t>
  </si>
  <si>
    <t>Insumos agrícolas: Bradesco BBI destaca 3 pontos do setor e recomenda duas ações
#3tentos #Ações #Agricultura
https://t.co/BfYNbesIbp</t>
  </si>
  <si>
    <t>Camil (CAML3) avança na B3 após JP Morgan mudar recomendação; confira análise
#Ações #AgroTimes #Agronegócio
https://t.co/Py0jkek1o7</t>
  </si>
  <si>
    <t>Marfrig (MRFG3) dispara 10% com venda bilionária; XP vê cópia no perfil da BRF (BRFS3)
#Ações #AgroTimes #Agronegócio
https://t.co/on4lppX3e5</t>
  </si>
  <si>
    <t>Marfrig (MRFG3) ou Minerva (BEEF3)? Qual ação é melhor no curto prazo
#Ações #AgroTimes #Agronegócio
https://t.co/EjfLeSKZ8S</t>
  </si>
  <si>
    <t>Minerva (BEEF3): Banco vê frigorífico desbancando JBS (JBSS3) e em forte posição para 2024; entenda
#Ações #AgroTimes #Agronegócio
https://t.co/49rsCuRCuU</t>
  </si>
  <si>
    <t>Minerva (BEEF3) despenca 15% após compra de 16 plantas da Marfrig (MRFG3) por R$ 7,5 bilhões
#Ações #AgroTimes #Agronegócio
https://t.co/h3sLakFv0X</t>
  </si>
  <si>
    <t>Os 2 motivos para Minerva (BEEF3) liderar altas na B3 nesta segunda (28)
#Ações #AgroTimes #Agronegócio
https://t.co/zqM5bEkX58</t>
  </si>
  <si>
    <t>JBS (JBSS3) emite R$ 1,87 bilhão em dívidas para compra de gado
#Ações #AgroTimes #Carnes
https://t.co/qZ0DWGWBtQ</t>
  </si>
  <si>
    <t>3tentos (TTEN3) atualiza projeções para grãos, biodiesel e novas lojas até 2025; confira
#3tentos #Ações #AgroTimes
https://t.co/gUyg661lVB</t>
  </si>
  <si>
    <t>RAIL3: Ação perde o ‘Rumo’ após os resultados do 2T23 e despenca; confira análise
#Ações #AgroTimes #Agronegócio
https://t.co/ngrCbe9gKX</t>
  </si>
  <si>
    <t>Jalles Machado (JALL3) tem produção recorde de açúcar, mas lucro vem abaixo do esperado
#2T23 #Ações #Açúcar
https://t.co/nDqjhDtYYd</t>
  </si>
  <si>
    <t>Vittia (VITT3) registra prejuízo de R$ 14,6 milhões no 2T23
#Ações #AgroTimes #Agronegócio
https://t.co/zQaYuV7PFc</t>
  </si>
  <si>
    <t>SLC Agrícola (SLCE3) no olho do furacão com El Niño e queda de insumos e commodities? Veja se vale apostar na tese
#Ações #AgroTimes #Comprarouvender?
https://t.co/bX8OJ4nNZd</t>
  </si>
  <si>
    <t>AgroGalaxy (AGXY3) reduz projeção para abertura de novas lojas em 2023
#Ações #AgroTimes #Agrogalaxy
https://t.co/0bLuqOg8ir</t>
  </si>
  <si>
    <t>Cosan (CSAN3): BBA reforça tese por desconto e potencial de subsidiárias; hora de comprar?
#Ações #AgroTimes #Combustíveis
https://t.co/SXOjwExrZD</t>
  </si>
  <si>
    <t>JBS (JBSS3) e Minerva (BEEF3) exportam boi com desconto, FPA aceita Plano Safra 20% menor, vaca milionária e mais: veja 5 assuntos no Agro Times
#Ações #AgroTimes #Agronegócio
https://t.co/QU5LzDpX6i</t>
  </si>
  <si>
    <t>Suzano (SUZB3): Ações sobem quase 3% após anúncio, e Klabin (KLBN11) ‘surfa onda’; entenda as altas
#Ações #AgroTimes #Agronegócio
https://t.co/3wiptKdNXi</t>
  </si>
  <si>
    <t>Ambev (ABEV3) ‘joga água no chopp’ da Suzano (SUZB3) e lidera ranking ESG; veja top 10
#Ações #AgroTimes #Ambev
https://t.co/TSeXR85o6K</t>
  </si>
  <si>
    <t>BrasilAgro (AGRO3): Dividendos devem retomar patamares de anos anteriores, diz diretora de RI
#Ações #Agricultura #AgroTimes
https://t.co/46AwIgclWc</t>
  </si>
  <si>
    <t>Cenário mais provável é que Marfrig eleve sua participação na BRF para 50%, diz BBI
#ações #brf #marfrig #frigoríficos
https://t.co/STLGxtXNWq</t>
  </si>
  <si>
    <t>São Martinho (SMTO3) lidera altas na B3 em ‘agosto vermelho’ do Ibovespa; os 3 fatores que explicam e o que fazer
#Ações #Agricultura #AgroTimes
https://t.co/OlDQMtBPeA</t>
  </si>
  <si>
    <t>Minerva (BEEF3): Hora de fugir ou comprar? XP atualiza tese após aquisição de ativos da Marfrig (MRFG3) por R$ 7,5 bilhões
#Ações #AgroTimes #Carnes
https://t.co/oR0lVldSUP</t>
  </si>
  <si>
    <t>Minerva (BEEF3) desbanca JBS (JBSS3), acordo Brasil e Argentina e mais; veja 5 temas no Agro Times
#Ações #AgroTimes #Agronegócio
https://t.co/B9sRiGCoiO</t>
  </si>
  <si>
    <t>BRF (BRFS3): O que derruba a ação na B3 nesta quinta-feira (31)?
#Ações #AgroTimes #Boi
https://t.co/mOiTpPN42q</t>
  </si>
  <si>
    <t>As 3 ações para ficar de olho e investir com ‘Super El Niño’
#Ações #ÁgoraInvestimentos #AgroTimes
https://t.co/rfffQiD1Gu</t>
  </si>
  <si>
    <t>3tentos (TTEN3): XP se anima com agregação de valor, mesmo após ações ‘tocarem’ teto; vale comprar?
#3tentos #Ações #Agricultura
https://t.co/EvlXNEhSJj</t>
  </si>
  <si>
    <t>Suzano (SUZB3) tem recebido demanda muito forte da China, diz CEO
#Ações #AgroTimes #Agronegócio
https://t.co/DOqLO1DDFJ</t>
  </si>
  <si>
    <t>Os motivos por trás da disparada das ações da Raízen (RAIZ4), São Martinho (SMTO3) e Jalles Machado (JALL3) nesta quarta (23)
#Ações #Açúcar #AgroTimes
https://t.co/UWBeak9F9S</t>
  </si>
  <si>
    <t>Itaú BBA reforça ‘top pick’ do setor de logística ligada à holding do agro; saiba qual
#Ações #AgroTimes #Comprarouvender?
https://t.co/FTRnj42xRj</t>
  </si>
  <si>
    <t>Gestora gringa compra ações de empresa frigorífica
#Ações #AgroTimes #Agronegócio
https://t.co/VYp6NOYaRo</t>
  </si>
  <si>
    <t>Minerva (BEEF3) avança na aquisição de subsidiária da NH Foods no Uruguai
#Ações #AgroTimes #Carnes
https://t.co/Cu46ak3Qz5</t>
  </si>
  <si>
    <t>BRF (BRFS3) dispara mais de 6% e ações da Marfrig (MRFG3) ‘pegam carona’; entenda as altas
#Ações #AgroTimes #BRF
https://t.co/vaXcB7JWBn</t>
  </si>
  <si>
    <t>Suzano (SUZB3) salta com nova planta de celulose e disparada de 2.690% no lucro; o que fazer com as ações?
#2T23 #Ações #Agricultura
https://t.co/m1SFjCZi1J</t>
  </si>
  <si>
    <t>Frigoríficos brigam pelo topo e 4 empresas fecham o pódio; as ações do agro para apostar em mês de resultados do 2T23
#3tentos #Ações #ÁgoraInvestimentos
https://t.co/e8kc1ztB0b</t>
  </si>
  <si>
    <t>Suzano (SUZB3): Projeto Cerrado deve ser lançado no 1º semestre de 2024
#Ações #AgroTimes #Agronegócio
https://t.co/o7hDweCfZS</t>
  </si>
  <si>
    <t>Minerva (BEEF3), JBS (JBSS3) ou Marfrig (MRFG3)? Banco gringo recomenda apenas um frigorífico antes dos resultados do 2T23
#Ações #AgroTimes #Comprarouvender?
https://t.co/mUPeyO0tOR</t>
  </si>
  <si>
    <t>Frigoríficos caem em bloco por clima e guerra; Marfrig (MRFG3) e BRF (BRFS3) puxam quedas
#Ações #AgroTimes #BRF
https://t.co/tuAScwZYGH</t>
  </si>
  <si>
    <t>MDIA3: Tensão no Mar Negro derrete ‘trigo’ da M. Dias Branco e ações tombam na B3
#Ações #AgroTimes #Comprarouvender?
https://t.co/JEM19HYEn4</t>
  </si>
  <si>
    <t>Fim do acordo de grãos, LCAs e LCIs acima de 15% ao ano, embargo para BRF (BRFS3) e mais: leia 5 temas no Agro Times
#Ações #AgroTimes #CDI
https://t.co/5WzsJIClON</t>
  </si>
  <si>
    <t>BBA alerta para ações mais impactadas por disparada do trigo com tensão no Mar Negro
#Ações #AgroTimes #Camil
https://t.co/FXIY6F90C0</t>
  </si>
  <si>
    <t>Guerra na Ucrânia: Impactos (positivos e negativos) nas ações do agro, segundo Terra e XP
#3tentos #Ações #AgroTimes
https://t.co/UavEhBRlhh</t>
  </si>
  <si>
    <t>China derruba Minerva (BEEF3), enquanto El Niño e Rússia pressionam JBS (JBSS3) e Marfrig (MRFG3); ciclo mudou para frigoríficos?
#Ações #AgroTimes #Carnes
https://t.co/Vr0ZVDnRjb</t>
  </si>
  <si>
    <t>Lula vs FPA, JBS (JBSS3) paga dividendos bilionários, gringos se voltam para Raízen (RAIZ4) e mais; veja 5 temas no Agro Times
#Ações #AgroTimes #Agronegócio
https://t.co/62X44Bd2m9</t>
  </si>
  <si>
    <t>Com aquisição, Suzano (SUZB3) lidera setor de papel destinado a lenço e toalha
#Ações #AgroTimes #BusinessTimes
https://t.co/kAf0xEVSIu</t>
  </si>
  <si>
    <t>Bancos negam frigoríficos, que ‘pagam o pato’ com boi China e clima mexe com soja, milho e Klabin (KLBN11): veja 5 assuntos no Agro Times
#Ações #AgroTimes #Agronegócio
https://t.co/RQtDN2vCis</t>
  </si>
  <si>
    <t>Empresa agro paga dividendos adicionais na sexta (9); veja quem recebe
#Ações #Agricultura #AgroTimes
https://t.co/853HJy5cdi</t>
  </si>
  <si>
    <t>BRF (BRFS3) dispara mais de 9% com precatórios; entenda
#Ações #AgroTimes #BRF
https://t.co/0i5HaOyiWu</t>
  </si>
  <si>
    <t>BRF (BRFS3) sobe mais de 3% após notícia sobre venda de precatórios
#Ações #AgroTimes #Agronegócio
https://t.co/hBXYPjug28</t>
  </si>
  <si>
    <t>Corretora destaca pontos positivos para Minerva e JBS, além de 3 pontos de atenção para cada uma das ações
#ações #minerva #jbs
https://t.co/Tt8B1hoSHm</t>
  </si>
  <si>
    <t>Os 5 destaques do BBI sobre ação do agronegócio no curto e longo prazo, que deve crescer em 2024
#Ações #AgroTimes #BradescoBBI
https://t.co/9An0Q3gnV0</t>
  </si>
  <si>
    <t>SLC Agrícola (SLCE3): BBA corta preço-alvo com El Niño no radar; vale comprar a ação?
#Ações #Agricultura #AgroTimes
https://t.co/qwJ1Qlsln1</t>
  </si>
  <si>
    <t>Ação agro desbanca Gerdau (GGBR4) em posições compradas, segundo BTG
#Ações #AgroTimes #Agronegócio
https://t.co/ZOpBUF8Td3</t>
  </si>
  <si>
    <t>Dividendos da BrasilAgro (AGRO3), mercado da soja, fiagros ‘alvos de Lula’ e mais: veja 5 temas no Agro Times
#Ações #AgroTimes #Boi
https://t.co/SXnNU9iS6N</t>
  </si>
  <si>
    <t>Suzano (SUZB3) emitirá R$ 2 bilhões em debêntures para bancar projeto de geração de energia
#Ações #AgroTimes #BusinessTimes
https://t.co/v2Dyv7gJFF</t>
  </si>
  <si>
    <t>Minerva (BEEF3) conclui captação de US$ 900 milhões para pagar Marfrig (MRFG3)
#Ações #AgroTimes #Agronegócio
https://t.co/LdhTqMrXki</t>
  </si>
  <si>
    <t>Ação do agronegócio que levou tombo recente é favorita por 24 analistas para setembro
#Ações #ÁgoraInvestimentos #AgroTimes
https://t.co/rny4rWKf0l</t>
  </si>
  <si>
    <t>BrasilAgro (AGRO3) prevê área plantada 10% maior na safra 2023/2024; soja e milho são destaques
#Ações #Agricultura #AgroTimes
https://t.co/y2uS74JvXa</t>
  </si>
  <si>
    <t>BrasilAgro (AGRO3): Lucro líquido no 4T23 salta 680% em 12 meses
#Ações #Agricultura #AgroTimes
https://t.co/hnsf0HvHtV</t>
  </si>
  <si>
    <t>Preço da carne bovina exportada despenca mais de 1/4 em um ano; qual o frigorífico mais impactado?
#Ações #ÁgoraInvestimentos #AgroTimes
https://t.co/3o3nUFSboS</t>
  </si>
  <si>
    <t>JBS (JBSS3) avança com dupla listagem de ações no Brasil e nos EUA; veja novidade
#Ações #ADR's #AgroTimes
https://t.co/w5HUxalMHG</t>
  </si>
  <si>
    <t>Empiricus Investimentos revela ação que pode saltar 5% na última semana de agosto
#Ações #AgroTimes #Agronegócio
https://t.co/rBaF0VwdIn</t>
  </si>
  <si>
    <t>‘Super El Niño, super retorno’: São Martinho (SMTO3) e Jalles Machado (JALL3) entram no radar do BBI; ações avançam
#Ações #Açúcar #AgroTimes
https://t.co/IH7EhPizjQ</t>
  </si>
  <si>
    <t>Suzano (SUZB3): ‘Não há expectativa para pagamento de dividendos em 2023’, diz diretora de RI
#Ações #Agricultura #AgroTimes
https://t.co/TbWYpeFXVP</t>
  </si>
  <si>
    <t>Dividendos da Boa Safra (SOJA3) vêm aí? CEO fala sobre pagamento a acionistas
#Ações #Agricultura #AgroTimes
https://t.co/7FzeITDQIR</t>
  </si>
  <si>
    <t>São Martinho (SMTO3) fica entre as maiores baixas do Ibovespa; saiba o que fazer
#Ações #Açúcar #AgroTimes
https://t.co/4jD1SVge2b</t>
  </si>
  <si>
    <t>A ‘locomotiva’ que afeta a SLC Agrícola (SLCE3), enquanto clima nos EUA pauta o mercado
#Ações #Agricultura #AgroTimes
https://t.co/2DKRBcQbKo</t>
  </si>
  <si>
    <t>Santander (SANB11) corta preço-alvo, mas recomenda compra de apenas um frigorífico; saiba qual
#Ações #AgroTimes #BRF
https://t.co/J2uzDicYHW</t>
  </si>
  <si>
    <t>Suzano (SUZB3) responde rumores sobre compra de empresa chinesa; veja
#Ações #AgroTimes #China
https://t.co/PRY1toHnam</t>
  </si>
  <si>
    <t>Raízen (RAIZ4) ainda tem espaço para lucrar com açúcar e esquecer fiasco do etanol no 2T23
#2T23 #Ações #Açúcar
https://t.co/R2DeXBv7Bh</t>
  </si>
  <si>
    <t>Suzano (SUZB3): Negócio da China? As vantagens (e incertezas) com possível compra de empresa, segundo BBA
#Ações #AgroTimes #Comprarouvender?
https://t.co/skCXFz9h6g</t>
  </si>
  <si>
    <t>Suzano (SUZB3) ou Klabin (KLBN11)? Demanda por celulose cai no 2S23 e BBA recomenda uma das ações; saiba qual
#Ações #AgroTimes #Commodities
https://t.co/LG6GO4ZKyz</t>
  </si>
  <si>
    <t>SLC (SLCE3) tem safra de boas notícias e ação salta; veja motivos
#Ações #AgroTimes #Algodão
https://t.co/6gKKHkPBQ6</t>
  </si>
  <si>
    <t>BRF (BRFS3) dispara mais de 7% com oferta de ações que pode movimentar R$ 5,34 bilhões
#Ações #AgroTimes #BancoSafra
https://t.co/ESXB3M2moC</t>
  </si>
  <si>
    <t>Boa Safra (SOJA3): Processos denunciam trabalho análogo à escravidão, assédio moral e sexual, diz site
#Ações #AgroTimes #BoaSafra
https://t.co/aInEK9B1qg</t>
  </si>
  <si>
    <t>Raízen (RAIZ4): Ações sobem quase 4% após S&amp;amp;P Global manter rating de crédito
#Ações #AgroTimes #Agronegócio
https://t.co/c2JIQJycfT</t>
  </si>
  <si>
    <t>Minoritários da JBS (JBSS3) pedem devolução de bilhões de reais; entenda o caso
#Ações #AgroTimes #Agronegócio
https://t.co/X0UyxsFbAO</t>
  </si>
  <si>
    <t>BRF (BRFS3): Banco vê queda na rentabilidade e rebaixa preço-alvo em 42%; é hora de correr da ação?
#Ações #AgroTimes #Agronegócio
https://t.co/MmazPvAITX</t>
  </si>
  <si>
    <t>Marfrig (MRFG3) dispara mais de 5% após aumento de capital de até R$ 1,5 bilhão
#Ações #AgroTimes #BRF
https://t.co/1Jq2CFwhjL</t>
  </si>
  <si>
    <t>BRF (BRFS3) salta mais de 14% após fundo Saudita e Marfrig (MRFG3) anunciarem aporte de R$ 4,5 bilhões
#Ações #AgroTimes #Agronegócio
https://t.co/51ktEFmbOT</t>
  </si>
  <si>
    <t>BRF (BRFS3): Marfrig (MRFG3) e fundo saudita com 31% da Minerva (BEEF3) injetam R$ 4,5 bilhões na empresa
#Ações #AgroTimes #ArábiaSaudita
https://t.co/9yGR3D9Vks</t>
  </si>
  <si>
    <t>Marfrig (MRFG3) anuncia aumento de capital de até R$ 1,5 bilhão
#Ações #AgroTimes #ArábiaSaudita
https://t.co/hK8oZh6PfB</t>
  </si>
  <si>
    <t>BRF (BRFS3): Grupo saudita e Marfrig (MRFG3) apresentam compromisso de subscrição de até 500 milhões de ações
#Ações #AgroTimes #ArábiaSaudita
https://t.co/Otl69HH7G0</t>
  </si>
  <si>
    <t>Chove chuva? El Niño bate à porta e Santander acende alerta para empresa do agro
#Ações #AgroTimes #Agronegócio
https://t.co/F5Ontx5NTt</t>
  </si>
  <si>
    <t>Marfrig (MRFG3): Sem China e margens comprimidas nos EUA, XP prevê 1T23 fraco; vale comprar antes dos resultados?
#1T23 #Ações #AgroTimes
https://t.co/ZLYXjICbhE</t>
  </si>
  <si>
    <t>Suzano (SUZB3) manterá estoques de celulose em nível baixo nos próximos meses
#Ações #AgroTimes #Economia
https://t.co/nPg4n76R4Y</t>
  </si>
  <si>
    <t>Suzano (SUZB3): Ativa muda recomendação após resultados do 1T23; ações caem
#1T23 #Ações #AgroTimes
https://t.co/HXAO0YAVqD</t>
  </si>
  <si>
    <t>Queda de 98% no lucro: O que o balanço da Pilgrim’s Pride indica sobre o 1T23 da JBS?
#1T23 #Ações #AgroTimes
https://t.co/QebOFkuyJs</t>
  </si>
  <si>
    <t>RT @leiaagrotimes: Corretora destaca pontos positivos para Minerva e JBS, além de 3 pontos de atenção para cada uma das ações
#ações #miner…</t>
  </si>
  <si>
    <t>As 20 #ações hoje com maior %Free Float #Short e resultado vs PM short:
&amp;lt;-10%: #MRVE3 #IRBR3 #TEND3 #MBLY3
&amp;lt;-5%: #EZTC3 #CYRE3 #CEAB3
Outras: #SEQL3 #MOVI3 #PETZ3 #RRRP3 #USIM5 #TAEE11 #VIIA3 #AESB3 #ARZZ3 #ALPA4 #MRFG3 #TRAD3 #CSNA3
#B3 #Ibovespa #stocks https://t.co/HziBnKgKLU</t>
  </si>
  <si>
    <t>Cientistas, ambientalistas, acadêmicos e líderes comunitários apresentarão carta com propostas na Cúpula da Amazônia 
#ONGs #Colapso #Amazonas #Amazonia #Manaus #Ações #AmazonasAtual
Leia mais 🗞️📰 https://t.co/WHew8K6YpK</t>
  </si>
  <si>
    <t>MPF aciona Justiça para cumprimento de sentença que obriga estado a implantar o Mecanismo Estadual de Prevenção e Combate à Tortura
#MPF #GovernodoAmazonas #Tortura #Amazonas #Ações #Combate #Manaus #AmazonasAtual
Leia mais 🗞️📰 https://t.co/g4y8ckdo7J</t>
  </si>
  <si>
    <t>Prefeito de Manaus, David Almeida relatou ações na educação, saúde e infraestrutura em pronunciamento na Câmara Municipal
#DavidAlmeida #Hospitais #Amazonas #Manaus #Gestão #Ações #AmazonasAtual
Leia mais 🗞️📰 https://t.co/ne1MMzAUHS</t>
  </si>
  <si>
    <t>A vida é um espelho; reflexos dos pensamentos, escolhas e ações.  Nada acontece que não seja consequência de atitudes.
Bom dia!
#vida #espelho #ações #Acredito https://t.co/aTbiIlOVh2</t>
  </si>
  <si>
    <t>#JornaldaCâmara: #Câmara participa de evento sobre #ações de #requalificação do #centro
https://t.co/bSsGfeWlrV</t>
  </si>
  <si>
    <t>➡️ A queda do ouro parece difícil, mesmo com o NFP dos EUA favorecendo os conservadores do Fed;
➡️ Os futuros de ações estão pouco alterados após a melhor semana do S&amp;amp;P 500 desde março;
#Forex #Ouro #CFDs #Ações</t>
  </si>
  <si>
    <t>➡️Criptomoedas agora encaram pânico pré-anúncio do FED após a alta dos preços do Bitcoin e do Ethereum;
➡️Nasdaq e S&amp;amp;P 500 fecham nos níveis mais altos desde agosto com otimismo sobre o projeto de lei do teto da dívida.
#Forex #Cripto #CFDs #ações</t>
  </si>
  <si>
    <t>https://t.co/iidBBvHAxv
#Investimentos #PeterLynch #OneUpOnWallStreet #Ações #MercadoFinanceiro #EstratégiasDeInvestimento #GerenciamentoDeRisco #DicasDeAções #CrescimentoDeEmpresas #Diversificações #TaxasDeCrescimento #DívidasEFalências https://t.co/EtJreYMcnW</t>
  </si>
  <si>
    <t>https://t.co/e0BSfTpfkt
#DojiQuatroPreços #AnáliseTécnica #Candlestick #MercadoFinanceiro #PadrãoDeReversão #GerenciamentoDeRisco #Ações #criptomoedas https://t.co/Z0746ycOkV</t>
  </si>
  <si>
    <t>A cada 10-20 anos surge um setor dominante que supera todos os outros. 
Obviamente tecnologia e começou em 2006/2008 e nem sempre será tecnologia.
Você pode ganhar uma fortuna se escolher aquele que está por vir. 
Ao meu ver será comida e agricultura. #ações #b3 #ibovespa #brasil</t>
  </si>
  <si>
    <t>RT @senhorhidden: A cada 10-20 anos surge um setor dominante que supera todos os outros. 
Obviamente tecnologia e começou em 2006/2008 e ne…</t>
  </si>
  <si>
    <t>Projeto regulamenta compra de ações de empresas por funcionários - https://t.co/9JTNu034eZ - #Projeto - #Ações - #Empresas - #Funcionários</t>
  </si>
  <si>
    <t>Ministro da Agricultura, FPA discute as ações de apoio ao setor leiteiro - https://t.co/uRm69qaoni - #MinistrodaAgricultura - #Ações - #SetorLeiteiro</t>
  </si>
  <si>
    <t>Dicas de Atos de bondade
Como podemos espalhar o amor de Deus para outras pessoas, é através de atos de bondade, porque é através de atitudes que mostramos...
https://t.co/ZOjHvhVEdV
#AtosDeBondade #Ações #MaisNews #Artigo #PrMarcioBatista https://t.co/5HDMC5j984</t>
  </si>
  <si>
    <t>Conheça mais sobre a Minha Corretora de Forex 
👇 
https://t.co/IjddRQ6p47
A Vantage é uma corretora global de vários ativos que oferece aos clientes acesso a um serviço ágil e poderoso para negociar CFDs em #Forex, #Commodities , #Indices , #Ações e #Criptomoedas  
Abrir uma… https://t.co/dpulcNoucS</t>
  </si>
  <si>
    <t>Agora vamos às notícias do dia!  📰
1️⃣ Agosto está sendo um mês difícil para os investidores de #ações americanas. O principal índice da bolsa dos EUA, S&amp;amp;P 500, assegurou pela primeira vez no mês uma alta consecutiva de 2 pregões. 👇</t>
  </si>
  <si>
    <t>Este é só um exemplo que com menos de 10 reais você já pode virar sócio de grandes empresas!
* Isso não é recomendação de compra.
** Os valores podem oscilar de acordo com o dia e momento atual do mercado.
#ações #empresasdabolsa #itausa #copel #klabin #cielo #csn #cogna https://t.co/0TsTm4pqVU</t>
  </si>
  <si>
    <t>Será que a política atual vai manter os dividendos neste patamar?
#petrobras #política #dividendos #rendavariável #ações #investimentos #b3 #bolsadevalores #petr4 #petr3 https://t.co/ws4oAoalCW</t>
  </si>
  <si>
    <t>A Petrobras (PETR4) divulgou uma nova política de precificação para os combustíveis.
E agora? Melhor ou pior? Como ficam os dividendos?
Qual sua opinião?
#petrobras #petr3 #petr4 #dividendos #ações #negócios #commodities #petróleo https://t.co/I7Pp9mwzC6</t>
  </si>
  <si>
    <t>Sabia que é possível investir em uma das maiores empresas do mundo com menos de R$ 50,00 e pegar carona em seu crescimento astronômico?  
Duvida? Assista esse vídeo até o final.
#Apple #AAPL #AAPL34 #Ações #Stocks #Investimentos #iPhone #Negócios #PenseMercado https://t.co/E0JwLXlYvn</t>
  </si>
  <si>
    <t>Quando a gente para de seguir "analista" e carteiras recomendadas e foca em entender das empresas que estamos investindo dá nisso aí.
#investimento #bolsadevalores #b3 #ações #stocks #rendavariável #cdi #ibov #ibovespa #ifix https://t.co/LmCknttpcQ</t>
  </si>
  <si>
    <t>@victordojornal @brunoreisba Quais são essas #ações? Pq facilitar a #abertura de empresas não aumenta os investimentos.
A redução da taxa de #juros, sim, aumenta a circulação do dinheiro, além da criação de linhas de #crédito empresarial.</t>
  </si>
  <si>
    <t>https://t.co/8Kr3wbDzqI #Sanepar #ações</t>
  </si>
  <si>
    <t>📈 Você é acionista de alguma dessas empresa?
 #investimento #investidor #ações #bolsadevalores #cyre3 #azul4 #mglu3 #yduq3 #irbr3 #cogn3 #mercadofinanceiro #statusinvest #pog https://t.co/dSGl42Kjih</t>
  </si>
  <si>
    <t>🌇FII | https://t.co/uSPyhxY6PE 
Alocar em CDB ou em FIIs? #fiifacil #investimentos #rendaextra #fiis  #renda #b3 #ações #rendafixa
FII FACIL | fundosimobiliarios fiis</t>
  </si>
  <si>
    <t>🌇FII | https://t.co/LI4FWtR0wi 
Subida súbita XPML #fiifacil #investimentos #rendaextra #rendapassiva #b3 #ações #fiis #xpml11 #fii
FII FACIL | fundosimobiliarios fiis</t>
  </si>
  <si>
    <t>🌇FII | https://t.co/TiU0KX7lB9 
Recuperação do hectare? #fiifacil #investimentos #b3 #rendaextra #fiis #renda #ações #ibovespa #fii
FII FACIL | fundosimobiliarios fiis</t>
  </si>
  <si>
    <t>🌇FII | https://t.co/1f7s5g554c 
FIIs de Lajes ainda valem a pena? #fiifacil #investimentos #rendaextra #b3 #ações #fiis #ibovespa
FII FACIL | fundosimobiliarios fiis</t>
  </si>
  <si>
    <t>🌇FII | https://t.co/Bbi0j0Fd2K 
Gestão passiva no HGPO atrapalha? #fiifacil #investimentos #rendaextra #b3 #ações #rendapassiva#fiis
FII FACIL | fundosimobiliarios fiis</t>
  </si>
  <si>
    <t>🌇FII | https://t.co/FUfrVOm9Uc 
P/VP de FII de papel importa?2 #fiifacil #investimentos #rendaextra #renda #fiis #b3 #ações #ibov
FII FACIL | fundosimobiliarios fiis</t>
  </si>
  <si>
    <t>🌇FII | https://t.co/gpyP5FSLx2 
Estratégia do rztr11 #fiifacil #investimentos #rendaextra #b3 #ações #renda #fiis #ibov #investir
FII FACIL | fundosimobiliarios fiis</t>
  </si>
  <si>
    <t>🌇FII | https://t.co/DJ6V7UirF6 
Estratégias do CPTS, IRDM e HGCR #fiifacil #investimentos #rendaextra #ações #fiis #b3 #renda
FII FACIL | fundosimobiliarios fiis</t>
  </si>
  <si>
    <t>🌇FII | https://t.co/ROIo7nRilR 
Classificação BDIF, XPID, Juro #fiifacil #investimentos #rendaextra #rendapassiva #fiis #ações
FII FACIL | fundosimobiliarios fiis</t>
  </si>
  <si>
    <t>🌇FII | https://t.co/se9HUh0Ydw 
ALZR P/VP maior que 1 importa? #fiifacil #investimentos #rendaextra #ações #b3 #dinheiro #fiis #ifix
FII FACIL | fundosimobiliarios fiis</t>
  </si>
  <si>
    <t>🌇FII | https://t.co/DNnffiPwyH 
Carteira cvbi11 #fiifacil #investimentos #rendaextra #renda #b3 #ações #fiis #ifix #dinheiro
FII FACIL | fundosimobiliarios fiis</t>
  </si>
  <si>
    <t>🌇FII | https://t.co/Qtfrl3M5Ta 
pvbi11 para longo prazo? #fiifacil #investimentos #rendaextra #ações #b3 #rendapassiva #renda #fiis
FII FACIL | fundosimobiliarios fiis</t>
  </si>
  <si>
    <t>🍕Como comprar ações fracionadas? https://t.co/07p5oLZ32g  #acoes #acoesfracionadas #bolsadevalores</t>
  </si>
  <si>
    <t>O que fazer com o pouco de dinheiro que tem na atual condição do Brasil?
Investir? Em que? 
Comprar? O que? 
Casa? Tem risco?
Terras? E as invasões?
Guardar no colchão?
Quais as perspectivas?
#investimento #ganhos #acoes #ações #dinheiro #Economia #Reserva #financeira #finanças</t>
  </si>
  <si>
    <t>#editorial🗞️📰 @fiinewspaper 
🤖Você já consegue associar notícia de #Ações com seu #FII?
#RBRX11 8,4% alocado em ações de shopping (67% ALSO3 + 33% #IGTI11)
🔗 https://t.co/GJHmclrG1o
#ItaúBBA enxerga upside de 20%-40% para shoppings; #ALSO3 é top pick.
https://t.co/ZCVQVJsqsb https://t.co/3BTe0yz6hd</t>
  </si>
  <si>
    <t>O plugin de hoje do #Chatgpt é o DAIZY. Esse é mais pra quem opera na #bolsadevalores com #ações . Se você insere uma mensagem simples como "Me mostre como estão as ações da Copel" ele te mostra alguns resultados interessantes. Segue o fio! (1/9) https://t.co/Dt1Y2tALET</t>
  </si>
  <si>
    <t>mais saúde, mais água e mais segurança para nossa gente. É assim, com muito trabalho, que nosso estado vai mudar para melhor.
#Investimentos #Ações #Pernambuco #EstadoDeMudança #RaquelLyra</t>
  </si>
  <si>
    <t>@renetous Isso me faz pensar também se o que eu destaquei não possa ser um pensamento de primeiro nível, igual Howard Marks dizia “simplista e superficial” e talvez já esteja embutido no preço e por isso nem tenha tanto upside assim como eu vejo. 🤔🤔🤔</t>
  </si>
  <si>
    <t>#KEPL3 #Ibovespa #Ações #resultados</t>
  </si>
  <si>
    <t>#AÇÕES #TRPL #ISA #ISACTEEP 
🧶🧵- Acabei de assistir o ISA CTEEP DAY, obviamente que números passados não são garantia de números futuros, mas é incrível como a empresa cresceu nessa última década com bastante eficiência, se tornando até mesmo um benchmark do setor +++</t>
  </si>
  <si>
    <t>Ações da Microsoft despencam antes do relatório de ganhos do quarto trimestre
https://t.co/IayrajaF0O
#Microsoft #EarningsReport #Ações https://t.co/CQDeZwigD8</t>
  </si>
  <si>
    <t>Ações da MSFT: Fundamental vs. Análise Técnica
https://t.co/k8gxekf5sP
Nesta semana, 166 empresas que representam 33% do índice S&amp;amp;P 500 publicarão seus relatórios do segundo trimestre. Entre elas, a segunda maior empresa do índice, a Microsoft.
#Microsoft #Ações https://t.co/xDVsG7J4xP</t>
  </si>
  <si>
    <t>Análise de mercado: as ações dos EUA continuam subindo
https://t.co/FTOM8BvLAP
O índice E-mini S&amp;amp;P 500 parece otimista, estando próximo das máximas do ano
#Ações #AnáliseDeMercado #Índice #SP500 https://t.co/FEsNhcXDSt</t>
  </si>
  <si>
    <t>Principais ações a serem consideradas em julho de 2023
https://t.co/OsmCDo3onU
#FXOpenBlog #Ações #Stocks https://t.co/v9t0RxUFOD</t>
  </si>
  <si>
    <t>Análise de Mercado: o pico da NVIDIA mostra que há mais do que apenas mineração. Será de curta duração?
https://t.co/cipssgC1Ps
#NVIDIA #Acoes https://t.co/I2jtC7cenP</t>
  </si>
  <si>
    <t>NFLX Stock Outlook: Netflix Surges on UK Subscription Increase. What Will the End of August Bring?
https://t.co/Z5HSPNxQLg
Após uma queda, a NFLX se recupera, atingindo US$ 438,97 por ação
#NetflixStock #StreamingWars #Açoes https://t.co/lYbkTgS8h4</t>
  </si>
  <si>
    <t>Ação, criptomoedas, titulos, fundos imobiliários etc. Qual? Na minha visão todos, quanto mas verticificar uma carteira de investimento, mais seguro de baixas eu estou! 
#investimento #ações #Criptomonedas</t>
  </si>
  <si>
    <t>Mercados nesta segunda, minério, petróleo, notícias de empresas da Bolsa e outros destaques - Finance News 
https://t.co/YbTxlruch5
#ações</t>
  </si>
  <si>
    <t>Eventos que podem impactar a Bolsa nesta semana - Finance News 
https://t.co/Pn9jmeUxBU
#ações #Bolsa #Ibovespa</t>
  </si>
  <si>
    <t>Desempenho das ADRs brasileiras em NY e outros destaques - Finance News 
https://t.co/DtUhqSvoGI
#ações #Bolsas</t>
  </si>
  <si>
    <t>Mercados nesta sexta, minério, petróleo, proventos de várias companhias e outros destaques - Finance News 
https://t.co/SW4eHYaOtk
#ações #Ibovespa</t>
  </si>
  <si>
    <t>Eventos que podem impactar a Bolsa na semana - Finance News https://t.co/VmIo8ana19 
#ações #Bolsa</t>
  </si>
  <si>
    <t>Estudo de ações da Bolsa e notícias corporativas - Finance News 
https://t.co/HKYX7z5Esv
#ações #bolsa</t>
  </si>
  <si>
    <t>Agenda de dividendo da semana - Finance News 
https://t.co/h3hrmjDHYC
#dividendo #ações</t>
  </si>
  <si>
    <t>Mercados nesta terça, minério, petróleo e notícias corporativas - Finance News 
https://t.co/XMj8bJeaRi
#ações</t>
  </si>
  <si>
    <t>Companhias que divulgaram informações sobre dividendos e JCP na semana - Finance News https://t.co/IeKSJyREG0 
#provento #ações</t>
  </si>
  <si>
    <t>6 companhias divulgaram informações sobre proventos. Confira os detalhes: - Finance News https://t.co/VGm4tx5oRQ 
#provento #dividendo #ações</t>
  </si>
  <si>
    <t>Mercados nesta sexta, minério, petróleo, JCP do Bradesco e outros destaques corporativos - Finance News 
https://t.co/kRq3Bw7wj5
#ações #Bolsa #BBDC4</t>
  </si>
  <si>
    <t>Mercados nesta quarta, minério, petróleo, juros nos EUA no radar e notícias corporativas - Finance News 
https://t.co/84vXeDkYKw
#ações #Bolsa</t>
  </si>
  <si>
    <t>Eventos que podem impactar a Bolsa nesta semana - Finance News 
https://t.co/8jQLSarZGR
#ações #Copom #Copel</t>
  </si>
  <si>
    <t>Agenda de dividendo da semana - Finance News https://t.co/qRVRq3X1wq 
#dividendo #ações</t>
  </si>
  <si>
    <t>Agenda de dividendos da semana - Finance News 
https://t.co/eno7kUeV72
#dividendo #provento #ações</t>
  </si>
  <si>
    <t>Companhias que divulgaram informações sobre dividendos e JCP na semana - Finance News 
https://t.co/KLDhAHjx8T
#TAEE11 #TGMA3 #VULC3 #RANI3 #dividendo #provento #ações</t>
  </si>
  <si>
    <t>Mercados nesta segunda, minério, petróleo, notícias corporativas e outros destaques - Finance News 
https://t.co/muSmaH3LLC
#petróleo #minério #ações</t>
  </si>
  <si>
    <t>Agenda de dividendos da semana - Finance News 
https://t.co/Hp7tAQJSWa
#dividendo #ações</t>
  </si>
  <si>
    <t>Mercados nesta sexta, minério, petróleo e notícias de empresas da Bolsa - Finance News 
https://t.co/ZsitfD5e00
#ações #Bolsa #CVCB3</t>
  </si>
  <si>
    <t>5 companhias pagam provento nesta terça, 15; outras 2 tem 'data com' hoje: confira - Finance News https://t.co/us0nlPab7h 
#ações #provento</t>
  </si>
  <si>
    <t>Companhias que divulgaram informações sobre dividendos e JCP na semana - Finance News https://t.co/faxOXAMHaT 
#dividendos #ações</t>
  </si>
  <si>
    <t>Companhias que divulgaram informações sobre dividendos e JCP na semana - Finance News 
https://t.co/wiJYTuEqmg
#dividendo #ações #provento</t>
  </si>
  <si>
    <t>Agenda de dividendo da semana - Finance News https://t.co/eIZdnkaRZO 
#dividendo #provento #ações</t>
  </si>
  <si>
    <t>Companhias que divulgaram informações sobre dividendos e JCP na semana - Finance News https://t.co/QPSYkBg3f4 
#dividendo #ações</t>
  </si>
  <si>
    <t>Agenda de dividendo desta semana - Finance News https://t.co/vw09rmgZfs 
#dividendo #ações</t>
  </si>
  <si>
    <t>Companhias que divulgaram informações sobre dividendos e JCP na semana - Finance News https://t.co/1bLlmDscuU 
#dividendo #provento #ações</t>
  </si>
  <si>
    <t>Mercados nesta segunda, minério, petróleo, notícias corporativas e outros destaques - Finance News https://t.co/pMxAzbZabk 
#ações</t>
  </si>
  <si>
    <t>Agenda de dividendos da semana - Finance News https://t.co/meEXhN4Qb9 
#ações #dividendo #provento #BBAS3 #CMIG4</t>
  </si>
  <si>
    <t>Companhias que divulgaram informações sobre dividendos e JCP na semana - Finance News https://t.co/Thazg3KDAa 
#dividendo #ações #provento</t>
  </si>
  <si>
    <t>Mercados nesta segunda, minério, petróleo, notícias de empresas da Bolsa e outros destaques - Finance News 
https://t.co/nKAd4CHzvj
#ações #Ibovespa</t>
  </si>
  <si>
    <t>Eventos que podem impactar a Bolsa na semana - Finance News 
https://t.co/zV8y680vpo
#ações #Ibovespa #Bolsa</t>
  </si>
  <si>
    <t>Estudo de ações da Bolsa, notícia da CVC, Suzano, Vittia e de outras companhias - Finance News 
https://t.co/Mc3pKQnylM
#ações #Bolsa</t>
  </si>
  <si>
    <t>Companhias que divulgaram informações sobre dividendos e JCP na semana - Finance News 
https://t.co/q9NmBZq0G7
#ações #provento #dividendo</t>
  </si>
  <si>
    <t>COMO COMPRAR SUA PRIMEIRA AÇÃO? #b3 #ações #investimentos https://t.co/3NxadfuKbV via @YouTube https://t.co/PPPGhXaViw</t>
  </si>
  <si>
    <t>Quanto ganhei alugando minhas ações? 
#newblogpost #investimentos #btc #ações #Bolsadevalores https://t.co/RKMoWrPgTC</t>
  </si>
  <si>
    <t>- APORTE DE MAIO | COMPRANDO ATIVOS | RUMO AO MILAO 5
- Confere Lá: https://t.co/zcwYHfoxPl 
.
.
.
 #investimento #ações #fundosimobiliarios via @YouTube https://t.co/XjEsaAUWDw</t>
  </si>
  <si>
    <t>Nossa 🫨 #nada #nyse #acoes https://t.co/kC1dJmMb3O</t>
  </si>
  <si>
    <t>A #Rússia de #Putin está usando o #Brasil para suas #ações de #espionagem #internacional?
https://t.co/a2w4K7tnRv -
#AllandosSantos 
#povo #caminhoneiros</t>
  </si>
  <si>
    <t>Análise Ibov semanal e diário pela metodologia phicube.
#ibov 
#phicube
#ações https://t.co/7qRKTOKaoQ</t>
  </si>
  <si>
    <t>A cidade de Duas Estradas, na região da grande Guarabira, é administrada pela competente gestora Joyce Renally, desde 2017 e ao longo de quase sete anos de governo é possível constar o desenvolvimento que o pequeno município vem apresentando. #ações
https://t.co/5bUFzYpx0C https://t.co/8tr4eWVQQY</t>
  </si>
  <si>
    <t>A cidade de Duas Estradas, na região da grande Guarabira, é administrada pela competente gestora Joyce Renally, desde 2017 e ao longo de quase sete anos de governo é possível constar o desenvolvimento que o pequeno município vem apresentando. #ações
https://t.co/kZGGgpvtdp https://t.co/ql3Ry9iYE6</t>
  </si>
  <si>
    <t>Análise de Mercado: S&amp;amp;P500, Bitcoin e Melhores e Piores Desempenhos de Criptomoedas e Ações
---
Adquira nosso Ebook Gratuito e comece a dominar o gráfico
https://t.co/xW8AXdSLK6
---
#AnáliseDeMercado #S&amp;amp;P500 #Bitcoin #Criptomoedas #Ações #Investimentos #DesempenhoFinanceiro https://t.co/oMi25Lm1YB</t>
  </si>
  <si>
    <t>Descubra o segredo para interpretar os gráficos a seu favor com o nosso ebook. nele você aprenderá as técnicas e estratégias essenciais para lucrar no mercado financeiro ou nas #criptomoedas . #btc #bitcoin #ETH #XRP #Crypto #ações #mercadofinanceiro 
---
https://t.co/xW8AXdSLK6 https://t.co/fK9DRvsFRV</t>
  </si>
  <si>
    <t>Qual a sua opinião? Muitos investidores vão vender #PETR4?
👉 SIGA @dicadehoje_7 para mais conteúdos como esse!
#ibovespa #ibov #educacaofinanceira #bolsadevalores #dividendos #rendapassiva #acoes #dinheiro #rendaextra https://t.co/Ed0HBmhSrd</t>
  </si>
  <si>
    <t>#IBOV a B3 divulgou a 3ª Prévia da Carteira teórica do Ibovespa, a qual entrará em vigor no próximo quadrimestre.
#b3 #acoes #vale3 #itub4 #petr4 https://t.co/LI8eV6n9ZC</t>
  </si>
  <si>
    <t>📈Confira os fundos de ações mais investidos em maio. Faça o download do estudo completo. Link na BIO.
#ações #fundosdeinvestimentos #investimentos https://t.co/mzQ0Sijs1f</t>
  </si>
  <si>
    <t>Confira como ficou a distribuição média das carteiras da nossa base de dados em Abril/23. Quer acessar quais ativos foram os mais indicados pelos profissionais no mês? Baixe o estudo completo. Link: https://t.co/E7MmEbpduV
#rendafixa #multimercado #acoes https://t.co/S06otVKlBL</t>
  </si>
  <si>
    <t>📈Confira os fundos de ações mais investidos em abril. Faça o download do estudo completo. Link: https://t.co/E7MmEbpduV
#ações #fundosdeinvestimentos #investimentos #mercadofinanceiro https://t.co/nh9HxktG2f</t>
  </si>
  <si>
    <t>"Das atuais 5,3 milhões de pessoas que investem em renda variável na B3, 49% têm entre 25 e 39 anos. Essa também é a faixa etária em que 45% dos novos investidores entraram no mercado de equities”, informou a B3.
#rendavariavel #ações #b3 https://t.co/z2fUocg6KI</t>
  </si>
  <si>
    <t>O Ibovespa teve seu melhor desempenho do ano no mês de junho. A alta de 9% do principal índice da bolsa animou os investidores, que vêm adotando posturas cada vez mais arrojadas. 
📥 Baixe o estudo completo:https://t.co/E7MmEbpduV
#economia #bigdata #investimentos #ações https://t.co/prmMy96R7Y</t>
  </si>
  <si>
    <t>💡As Ações mais investidas de maio. Baixe o estudo completo. Link na BIO.
#ações #rendavariável #viva3 #vale3 #bbdc4 #taee11 #itub4 https://t.co/c5dhuSDyG2</t>
  </si>
  <si>
    <t>Confira como ficou a distribuição média das carteiras da nossa base de dados em Maio/23. Quer acessar quais ativos foram os mais indicados pelos profissionais no mês? Baixe o estudo completo. Link na BIO.
#rendafixa #multimercado #acoes https://t.co/wLEwZ2kQgf</t>
  </si>
  <si>
    <t>No primeiro trimestre deste ano, apenas dois dos 26 principais índices da bolsa tiveram alta, o Ibovespa por exemplo, perdeu mais de 7% nesse começo de ano. Porém, em maio, dos 26 índices pesquisados, todos os índices fecharam em alta. #acoes #bolsadevalores https://t.co/XVrsOyDM3T</t>
  </si>
  <si>
    <t>Segundo o relatório da BCG, apesar de incertezas no cenário econômico, a inovação é prioridade para 79% das companhias. O levantamento também aponta as 50 empresas mais inovadoras de 2023, com a Apple na liderança, listamos aqui as 10 primeiras.
#tecnologia #apple #ações https://t.co/yYl9PKz0nU</t>
  </si>
  <si>
    <t>Engie, EDP e Taesa são algumas das líderes do setor energético e apresentaram desempenhos distintos, veja no gráfico feito pelo comparador da Smartbrain.
#engie3 #enbr3 #taee11 #energia #ações https://t.co/RAZyGpo5Om</t>
  </si>
  <si>
    <t>💡As Ações mais investidas de abril. Baixe o estudo completo. Link: https://t.co/E7MmEbpduV
#ações #rendavariável #bpac11 #vale3 #bbse3 #verz34 #pssa3 https://t.co/gkzU68NtsP</t>
  </si>
  <si>
    <t>O valor de mercado da Petrobras registrou uma queda de R$ 84,8 bilhões desde a eleição de Luiz Inácio Lula da Silva para a Presidência da República, de acordo com um cálculo divulgado pelo site Poder360 nesta terça-feira (16). #Ações #Lula #Petrobras
https://t.co/L4EI4hpx2d https://t.co/IKW4tcT5mz</t>
  </si>
  <si>
    <t>Através do Setor em Foco, exploramos as tendências, oportunidades e desafios que moldam os mercados globais. Fiquem ligados para mais insights e análises! 💼🌟
Fonte: CNN
🇮🇳💫🇧🇷
#MercadoFinanceiro #Ações #Investimentos #Índia</t>
  </si>
  <si>
    <t>📈💻🤑📉 Será que a AI pode mudar a tendência de setembro? Descubra no artigo completo! #inteligênciaartificial #setembro #ações #investimentos 
🔗 https://t.co/ulPwF4jLKT 👈 https://t.co/zOh6LtthIp</t>
  </si>
  <si>
    <t>Bolsas da Ásia: inflação na China e sinais sobre juros no Japão direcionam o mercado
#economia #investimentos #negócios #investidor #ibovespa #ações #mercadofinaceiro 
https://t.co/qbicRM2P7Z</t>
  </si>
  <si>
    <t>Mercados nesta sexta, minério, petróleo e notícias de empresas da Bolsa
#economia #investimentos #negócios #investidor #ibovespa #ações #mercadofinaceiro 
https://t.co/d9QloePLVN</t>
  </si>
  <si>
    <t>Maio foi ruim para o Bitcoin; é hora de ‘cair’ fora? Ao contrário do que se imagina, uma ‘brecha’ foi aberta e há 5 boas maneiras de aproveitá-la
#economia #investimentos #negócios #investidor #ibovespa #ações #mercadofinaceiro 
https://t.co/mCOIvHzvma</t>
  </si>
  <si>
    <t>Itaú (ITUB4) compra parte de eólica da Engie (EGIE3), Allied (ALLD3) aprova pagamento de JCP e mais
#economia #investimentos #negócios #investidor #ibovespa #ações #mercadofinaceiro 
https://t.co/4SF7exN6mH</t>
  </si>
  <si>
    <t>Futuros de NY caem à medida que investidores avaliam perspectivas de juros; inflação na China e mais destaques
#economia #investimentos #negócios #investidor #ibovespa #ações #mercadofinaceiro 
https://t.co/1NDomuiPh4</t>
  </si>
  <si>
    <t>Ibovespa e dólar hoje: juros nos EUA e na Europa, dados da China e volta do Corpus Christi
#economia #investimentos #negócios #investidor #ibovespa #ações #mercadofinaceiro 
https://t.co/oazCxcqK9L</t>
  </si>
  <si>
    <t>Gatilho que fez Ibovespa triplicar entre 2016 e 2019 pode se repetir em agosto, defende analista
#economia #investimentos #negócios #investidor #ibovespa #ações #mercadofinaceiro 
https://t.co/efNCeX05Zt</t>
  </si>
  <si>
    <t>Dinheiro ‘esquecido’: brasileiros ainda não sacaram R$ 7,08 bi de valores a receber
#economia #investimentos #negócios #investidor #ibovespa #ações #mercadofinaceiro 
https://t.co/g7p8TAKPhd</t>
  </si>
  <si>
    <t>Estratégia 60/40 vale para brasileiro investir no exterior? Confira proporção indicada de ações e renda fixa
#economia #investimentos #negócios #investidor #ibovespa #ações #mercadofinaceiro 
https://t.co/V295fFDG23</t>
  </si>
  <si>
    <t>Vale (VALE3) precifica US$ 1,5 bilhão em bonds com vencimento em 2033
#economia #investimentos #negócios #investidor #ibovespa #ações #mercadofinaceiro 
https://t.co/BkB6F9gdEs</t>
  </si>
  <si>
    <t>Copel (CPLE6): acionistas aprovam mudança no estatuto e privatização avança
#economia #investimentos #negócios #investidor #ibovespa #ações #mercadofinaceiro 
https://t.co/fH6cIrwzzV</t>
  </si>
  <si>
    <t>Como a nova era dos bancos conseguiu movimentar R$ 2 bilhões
#economia #investimentos #negócios #investidor #ibovespa #ações #mercadofinaceiro 
https://t.co/Wf5Bx8NriD</t>
  </si>
  <si>
    <t>Oi (OIBR3) recebe alívio de US$ 200 milhões; entenda
#economia #investimentos #negócios #investidor #ibovespa #ações #mercadofinaceiro 
https://t.co/zmiuYGmpPl</t>
  </si>
  <si>
    <t>Azul (AZUL4): reporta alta de 8,3% no tráfego consolidado de passageiros em maio
#economia #investimentos #negócios #investidor #ibovespa #ações #mercadofinaceiro 
https://t.co/xP1YW1KT86</t>
  </si>
  <si>
    <t>Itaú (ITUB4) vai investir R$ 1 bi em projeto de energia eólica da Engie (EGIE3)
#economia #investimentos #negócios #investidor #ibovespa #ações #mercadofinaceiro 
https://t.co/JLN5Mo3R24</t>
  </si>
  <si>
    <t>Petrobras (PETR4) não construirá plataformas inteiras no Brasil, diz diretor
#economia #investimentos #negócios #investidor #ibovespa #ações #mercadofinaceiro 
https://t.co/d5DHs23b6q</t>
  </si>
  <si>
    <t>Balanço do Itaú (ITUB4) deixa investidores otimistas; entenda
#economia #investimentos #negócios #investidor #ibovespa #ações #mercadofinaceiro 
https://t.co/7RFjJdN8V4</t>
  </si>
  <si>
    <t>Braskem (BRKM5): Novonor nega proposta para aquisição de controle após rumores de Adnoc e Apollo
#economia #investimentos #negócios #investidor #ibovespa #ações #mercadofinaceiro 
https://t.co/ZUATQvcZA7</t>
  </si>
  <si>
    <t>Produção industrial na Alemanha recua 3,4% em março ante fevereiro
#economia #investimentos #negócios #investidor #ibovespa #ações #mercadofinaceiro 
https://t.co/5TWDysNnFn</t>
  </si>
  <si>
    <t>Petrobras (PETR4): FPSO Anna Nery extrai 1º óleo em Marlim, parte da revitalização da bacia de Campos
#economia #investimentos #negócios #investidor #ibovespa #ações #mercadofinaceiro 
https://t.co/HejB7pcokw</t>
  </si>
  <si>
    <t>Índice Sentix de confiança na zona do euro cai 4,4 pontos em maio, para -13,1 pontos
#economia #investimentos #negócios #investidor #ibovespa #ações #mercadofinaceiro 
https://t.co/sZMmOmQdBB</t>
  </si>
  <si>
    <t>Argentina: ministro da Economia anuncia maior isenção do Imposto de Renda por alta da inflação
#economia #investimentos #negócios #investidor #ibovespa #ações #mercadofinaceiro 
https://t.co/ra14xH9TFT</t>
  </si>
  <si>
    <t>PMI de serviços do Japão avança para patamar recorde de 55,4 em abril, diz S&amp;amp;P Global
#economia #investimentos #negócios #investidor #ibovespa #ações #mercadofinaceiro 
https://t.co/tHGLfCkgr5</t>
  </si>
  <si>
    <t>Itaú (ITUB4) tem lucro líquido gerencial de R$ 8,43 bilhões no 1º trimestre, alta de 14,6% em um ano
#economia #investimentos #negócios #investidor #ibovespa #ações #mercadofinaceiro 
https://t.co/6YmSkb15YL</t>
  </si>
  <si>
    <t>Dividendos: último dia para ter acesso a R$ 1,455 bilhão de Engie (EGIE3)
#economia #investimentos #negócios #investidor #ibovespa #ações #mercadofinaceiro 
https://t.co/ZkOIc2O5ka</t>
  </si>
  <si>
    <t>JCP: Vittia (VITT3) passa a negociar ações ex-direitos a R$ 13,4 milhões
#economia #investimentos #negócios #investidor #ibovespa #ações #mercadofinaceiro 
https://t.co/tYuVq4U83u</t>
  </si>
  <si>
    <t>Silvia Massruhá é confirmada a primeira mulher a presidir a Embrapa
#economia #investimentos #negócios #investidor #ibovespa #ações #mercadofinaceiro 
https://t.co/jeagdJiHZA</t>
  </si>
  <si>
    <t>Como corretoras estão preparando os portfólios para possível corte nos juros
#economia #investimentos #negócios #investidor #ibovespa #ações #mercadofinaceiro 
https://t.co/kBAMWxtopI</t>
  </si>
  <si>
    <t>Para maior segurança, cheques terão mudanças a partir de 2 de outubro
#economia #investimentos #negócios #investidor #ibovespa #ações #mercadofinaceiro 
https://t.co/L9iZxbPrX4</t>
  </si>
  <si>
    <t>Compras de Treasuries indicam que Buffett não acredita em possível calote nos EUA, diz especialista
#economia #investimentos #negócios #investidor #ibovespa #ações #mercadofinaceiro 
https://t.co/lC2e3FhXBY</t>
  </si>
  <si>
    <t>US$ 100 trilhões e um objetivo: a descarbonização da economia global
#economia #investimentos #negócios #investidor #ibovespa #ações #mercadofinaceiro 
https://t.co/QETrr0tmCC</t>
  </si>
  <si>
    <t>A nova era da inteligência artificial e uma pausa para recalcular a rota
#economia #investimentos #negócios #investidor #ibovespa #ações #mercadofinaceiro 
https://t.co/Hyb36HMCEa</t>
  </si>
  <si>
    <t>As melhores ações para ganhar dividendos em maio de 2023, com 16 carteiras
#economia #investimentos #negócios #investidor #ibovespa #ações #mercadofinaceiro 
https://t.co/75VoHAaqtx</t>
  </si>
  <si>
    <t>IPCA de 6,02% e Selic de 12,50%: Veja projeções do Boletim Focus
#economia #investimentos #negócios #investidor #ibovespa #ações #mercadofinaceiro 
https://t.co/jM7kPACe39</t>
  </si>
  <si>
    <t>IGP-DI de abril tem deflação de 1,01%, ante queda de 0,34% em março, diz FGV
#economia #investimentos #negócios #investidor #ibovespa #ações #mercadofinaceiro 
https://t.co/anPpKLaZys</t>
  </si>
  <si>
    <t>Bolsas da Ásia acompanham rali em Wall Street e reagem a empego nos EUA e balanço da Apple
#economia #investimentos #negócios #investidor #ibovespa #ações #mercadofinaceiro 
https://t.co/5OIqNrrva3</t>
  </si>
  <si>
    <t>Com isenção de IR: possível queda de juros favorece alocação em fundos de debêntures incentivadas, afirma XP
#economia #investimentos #negócios #investidor #ibovespa #ações #mercadofinaceiro 
https://t.co/zvsXWqGecd</t>
  </si>
  <si>
    <t>Balanços do 1º tri: BTG (BPAC11), Inter (INBR32), Itaú (ITUB4), Vivara (VIVA3) e mais
#economia #investimentos #negócios #investidor #ibovespa #ações #mercadofinaceiro 
https://t.co/m8uG4S3l0e</t>
  </si>
  <si>
    <t>Bolsas mundiais têm leve alta, em início de semana marcada por dados de inflação no Brasil, nos EUA e na China
#economia #investimentos #negócios #investidor #ibovespa #ações #mercadofinaceiro 
https://t.co/e0HUZBF2iB</t>
  </si>
  <si>
    <t>Dividendos: Wilson Sons (PORT3) paga R$ 137,2 milhões hoje
#economia #investimentos #negócios #investidor #ibovespa #ações #mercadofinaceiro 
https://t.co/UK9b1KopoQ</t>
  </si>
  <si>
    <t>Ibovespa e dólar hoje (8): balanços no Brasil e nos EUA, Focus, diretorias do BC e mais
#economia #investimentos #negócios #investidor #ibovespa #ações #mercadofinaceiro 
https://t.co/15C3YzY6YB</t>
  </si>
  <si>
    <t>Calendário Econômico: IPCA de Abril e Inflação dos EUA
#economia #investimentos #negócios #investidor #ibovespa #ações #mercadofinaceiro 
https://t.co/W8wPL9Zrcu</t>
  </si>
  <si>
    <t>Ultrapar (UGPA3): chegou a hora de comprar, segundo Goldman Sachs
#economia #investimentos #negócios #investidor #ibovespa #ações #mercadofinaceiro 
https://t.co/5H0huwow6O</t>
  </si>
  <si>
    <t>Buffett e Munger são céticos sobre “hype” da inteligência artificial, mas discordam sobre futuro do value investing
#economia #investimentos #negócios #investidor #ibovespa #ações #mercadofinaceiro 
https://t.co/vt2H5ynaj2</t>
  </si>
  <si>
    <t>A saga do difícil processo de ajuste fiscal brasileiro
#economia #investimentos #negócios #investidor #ibovespa #ações #mercadofinaceiro 
https://t.co/EhhoyohnYv</t>
  </si>
  <si>
    <t>Haddad, Tebet e Campos Neto debatem juros e inflação; veja o que está em jogo
#economia #investimentos #negócios #investidor #ibovespa #ações #mercadofinaceiro 
https://t.co/d6VJS6zyHS</t>
  </si>
  <si>
    <t>Bolsas da Ásia: expectativa por juros no Japão e feito inédito na guerra da Ucrânia ofusca temor com bancos dos EUA
#economia #investimentos #negócios #investidor #ibovespa #ações #mercadofinaceiro 
https://t.co/8BhESBKjVQ</t>
  </si>
  <si>
    <t>Haddad e Tebet debatem 'Juros, Inflação e Crescimento' com Campos Neto nesta quinta
#economia #investimentos #negócios #investidor #ibovespa #ações #mercadofinaceiro 
https://t.co/UC2VuymqNR</t>
  </si>
  <si>
    <t>Kepler Weber (KEPL3): ações têm valuation atrativo e podem disparar mais de 90%, dizem analistas
#economia #investimentos #negócios #investidor #ibovespa #ações #mercadofinaceiro 
https://t.co/NyhIPnk3hz</t>
  </si>
  <si>
    <t>Dividendos e JCP: Tupy (TUPY3) altera valores por ação, do total de R$ 41,36 milhões
#economia #investimentos #negócios #investidor #ibovespa #ações #mercadofinaceiro 
https://t.co/0TUI97sQQA</t>
  </si>
  <si>
    <t>ADRs da Vale mostram que dia não será fácil; como investir nesta quinta-feira (27)
#economia #investimentos #negócios #investidor #ibovespa #ações #mercadofinaceiro 
https://t.co/k954jlz76i</t>
  </si>
  <si>
    <t>Petrobras (PETR4) anuncia alteração em estrutura organizacional e deve eleger Conselho nesta 5ª; confira no que ficar de olho
#economia #investimentos #negócios #investidor #ibovespa #ações #mercadofinaceiro 
https://t.co/uEgFLK9pMo</t>
  </si>
  <si>
    <t>Bolsas sobem após resultados da Meta e antes do PIB dos EUA; serviços no Brasil, debate sobre juros no Senado e mais destaques
#economia #investimentos #negócios #investidor #ibovespa #ações #mercadofinaceiro 
https://t.co/AqqsOx6VOQ</t>
  </si>
  <si>
    <t>Os Futuros de Ouro subiram durante a sessão asiática
#economia #investimentos #negócios #investidor #ibovespa #ações #mercadofinaceiro 
https://t.co/Od5qlD89ki</t>
  </si>
  <si>
    <t>Os Futuros do Petróleo subiram durante a sessão asiática
#economia #investimentos #negócios #investidor #ibovespa #ações #mercadofinaceiro 
https://t.co/jixBDDKSpB</t>
  </si>
  <si>
    <t>Bolsas Asiáticas: Ações da China e Hong Kong fecham quase estáveis enquanto investidores se preparam para novos dados
#economia #investimentos #negócios #investidor #ibovespa #ações #mercadofinaceiro 
https://t.co/YmzVe7YPV5</t>
  </si>
  <si>
    <t>Morre ex-primeiro-ministro italiano Silvio Berlusconi; veja o que movimenta a segunda (12)
#economia #investimentos #negócios #investidor #ibovespa #ações #mercadofinaceiro 
https://t.co/QHEuXXArzm</t>
  </si>
  <si>
    <t>Julgamento do Santander (SANB11) no STF é destaque nos jornais nesta segunda-feira (12)
#economia #investimentos #negócios #investidor #ibovespa #ações #mercadofinaceiro 
https://t.co/vKQ9W4Lq6Q</t>
  </si>
  <si>
    <t>Localiza (RENT3) diz que MP para carros afetará as vendas do 2º tri e 3R (RRRP3) homologa aumento de capital; JCP do Banrisul (BRSR6) e mais
#economia #investimentos #negócios #investidor #ibovespa #ações #mercadofinaceiro 
https://t.co/0KJ5xtxBk6</t>
  </si>
  <si>
    <t>IPC-Fipe desacelera para 0,11% na 1ª quadrissemana de junho, após subir 0,20% em maio
#economia #investimentos #negócios #investidor #ibovespa #ações #mercadofinaceiro 
https://t.co/raNKkFhlIx</t>
  </si>
  <si>
    <t>BBAS3, PETR4, CAML3 e mais ações pagam dividendos nesta semana
#economia #investimentos #negócios #investidor #ibovespa #ações #mercadofinaceiro 
https://t.co/wPpkZwWgAA</t>
  </si>
  <si>
    <t>União Europeia anuncia plano de desenvolvimento dos Bálcãs e acena para possível adesão de países
#economia #investimentos #negócios #investidor #ibovespa #ações #mercadofinaceiro 
https://t.co/FqlQsdQPv5</t>
  </si>
  <si>
    <t>Retorno com FIIs de “tijolo” pode chegar a 30% em 12 meses, projeta gestor da XP Asset
#economia #investimentos #negócios #investidor #ibovespa #ações #mercadofinaceiro 
https://t.co/7GTDLyDMA9</t>
  </si>
  <si>
    <t>Febre da inteligência artificial vs. Medo de calote da dívida: Você entendeu o mês de maio nos mercados?
#economia #investimentos #negócios #investidor #ibovespa #ações #mercadofinaceiro 
https://t.co/9eQguZ3r27</t>
  </si>
  <si>
    <t>Vale (VALE3) tem uma das piores performances do Ibovespa em maio; o que fazer com a ação agora?
#economia #investimentos #negócios #investidor #ibovespa #ações #mercadofinaceiro 
https://t.co/0F4Bg2TlNs</t>
  </si>
  <si>
    <t>1ª página: as notícias dos principais jornais brasileiros nesta quinta-feira (1º)
#economia #investimentos #negócios #investidor #ibovespa #ações #mercadofinaceiro 
https://t.co/4RsaXpRVkY</t>
  </si>
  <si>
    <t>Dividendos: Melnick (MELK3) paga R$ 23 milhões hoje (1º)
#economia #investimentos #negócios #investidor #ibovespa #ações #mercadofinaceiro 
https://t.co/MNZkZ0Jv8D</t>
  </si>
  <si>
    <t>As ações recomendadas para investir em junho, segundo 10 corretoras
#economia #investimentos #negócios #investidor #ibovespa #ações #mercadofinaceiro 
https://t.co/WwB45Y2vTg</t>
  </si>
  <si>
    <t>Porto (PSSA3): Paulo Kakinoff será o novo CEO
#economia #investimentos #negócios #investidor #ibovespa #ações #mercadofinaceiro 
https://t.co/2FSHrFj1XL</t>
  </si>
  <si>
    <t>Radar corporativo traz Petrobras (PETR4), Americanas (AMER3), Oi (OIBR3), e mais
#economia #investimentos #negócios #investidor #ibovespa #ações #mercadofinaceiro 
https://t.co/EUaID2HLxY</t>
  </si>
  <si>
    <t>Radar: Telefônica Brasil (VIVT3) eleva valor de JCP, banco sobe preço-alvo de B3 (B3SA3) e Nubank (NUBR33) vira o 2º maior banco do Brasil
#economia #investimentos #negócios #investidor #ibovespa #ações #mercadofinaceiro 
https://t.co/iZU0NPFru7</t>
  </si>
  <si>
    <t>Melnick (MELK3) lucra R$ 20,1 mi no primeiro trimestre, queda de 9,30% na base anual
#economia #investimentos #negócios #investidor #ibovespa #ações #mercadofinaceiro 
https://t.co/GTETxSycjr</t>
  </si>
  <si>
    <t>Em recuperação judicial, Saraiva (SLED4) tem prejuízo ajustado 16,9% menor no 1º trimestre
#economia #investimentos #negócios #investidor #ibovespa #ações #mercadofinaceiro 
https://t.co/n2HzCHqf2r</t>
  </si>
  <si>
    <t>Ânima (ANIM3) reduz prejuízo líquido em 50,4% no 1º tri, para R$ 41,3 milhões
#economia #investimentos #negócios #investidor #ibovespa #ações #mercadofinaceiro 
https://t.co/jul9uuHKvs</t>
  </si>
  <si>
    <t>BRF (BRFS3) reporta prejuízo de R$ 1,02 bi no 1T23
#economia #investimentos #negócios #investidor #ibovespa #ações #mercadofinaceiro 
https://t.co/tVC60v4OfK</t>
  </si>
  <si>
    <t>Localiza tem lucro líquido ajustado de R$ 604,6 mi no 1º trimestre
#economia #investimentos #negócios #investidor #ibovespa #ações #mercadofinaceiro 
https://t.co/DMYdJNc8By</t>
  </si>
  <si>
    <t>Taurus (TASA4): Lucro tomba 82%, a R$ 35,4 milhões, no 1T23
#economia #investimentos #negócios #investidor #ibovespa #ações #mercadofinaceiro 
https://t.co/yQIzugWXLY</t>
  </si>
  <si>
    <t>Tempo Real: Ibovespa pode ter acomodação nesta terça-feira (16), após disparar 7%
#economia #investimentos #negócios #investidor #ibovespa #ações #mercadofinaceiro 
https://t.co/bSh1I7Mgb0</t>
  </si>
  <si>
    <t>Os Futuros de Ouro caíram durante a sessão asiática
#economia #investimentos #negócios #investidor #ibovespa #ações #mercadofinaceiro 
https://t.co/UKrG30Ns9L</t>
  </si>
  <si>
    <t>Os Futuros do Petróleo subiram durante a sessão asiática
#economia #investimentos #negócios #investidor #ibovespa #ações #mercadofinaceiro 
https://t.co/aYnAzk8Cg4</t>
  </si>
  <si>
    <t>Projeções de crescimento do PIB da UE sobem ligeiramente, tanto para 2023 como para 2024
#economia #investimentos #negócios #investidor #ibovespa #ações #mercadofinaceiro 
https://t.co/Izo6U19FHy</t>
  </si>
  <si>
    <t>Produção industrial na zona do euro recua 4,1% em março ante fevereiro
#economia #investimentos #negócios #investidor #ibovespa #ações #mercadofinaceiro 
https://t.co/BoahTRTuOO</t>
  </si>
  <si>
    <t>Tanure não é o único investidor interessado na Light, diz BeeCap
#economia #investimentos #negócios #investidor #ibovespa #ações #mercadofinaceiro 
https://t.co/HiBllyzJ5p</t>
  </si>
  <si>
    <t>Há uma saída para a Light (LIGT3)? Veja o que fazer com as ações
#economia #investimentos #negócios #investidor #ibovespa #ações #mercadofinaceiro 
https://t.co/7lWjLu9lIY</t>
  </si>
  <si>
    <t>Por que credores devem questionar recuperação judicial da Light (LIGT3)?
#economia #investimentos #negócios #investidor #ibovespa #ações #mercadofinaceiro 
https://t.co/hfE33C6e6b</t>
  </si>
  <si>
    <t>China emite sinal de alerta: mundo está em desaceleração; será que o Brasil escapa?
#economia #investimentos #negócios #investidor #ibovespa #ações #mercadofinaceiro 
https://t.co/ayuan9UIEy</t>
  </si>
  <si>
    <t>Quem é a substituta de Elon Musk como presidente do Twitter?
#economia #investimentos #negócios #investidor #ibovespa #ações #mercadofinaceiro 
https://t.co/M6lvrOstsT</t>
  </si>
  <si>
    <t>No Cade, Copagaz inflama debate sobre acordo entre Ultragaz e Supergasbras
#economia #investimentos #negócios #investidor #ibovespa #ações #mercadofinaceiro 
https://t.co/afJraE3Sra</t>
  </si>
  <si>
    <t>Vendas varejistas na Alemanha recuam 2,4% em março; estimativa era de alta de 0,4%
#economia #investimentos #negócios #investidor #ibovespa #ações #mercadofinaceiro 
https://t.co/9siFkZLUjI</t>
  </si>
  <si>
    <t>Sem Jean Paul Prates, Petrobras (PETR4) vai “vender” Brasil como líder global em eólica offshore na OTC
#economia #investimentos #negócios #investidor #ibovespa #ações #mercadofinaceiro 
https://t.co/RoRvgxV8D0</t>
  </si>
  <si>
    <t>PMI industrial da Alemanha cai para 44,5 em abril, mas fica acima da prévia, diz S&amp;amp;P Global
#economia #investimentos #negócios #investidor #ibovespa #ações #mercadofinaceiro 
https://t.co/ni3vjv8ZNu</t>
  </si>
  <si>
    <t>Inflação ao consumidor na zona do euro atinge 7,0% em abril, dentro do esperado
#economia #investimentos #negócios #investidor #ibovespa #ações #mercadofinaceiro 
https://t.co/H6PHLkyV81</t>
  </si>
  <si>
    <t>BC da Austrália retoma ciclo de alta e eleva taxa básica de juros em 0,25 ponto, para 3,85% ao ano
#economia #investimentos #negócios #investidor #ibovespa #ações #mercadofinaceiro 
https://t.co/msi48CI067</t>
  </si>
  <si>
    <t>Dividendos e JCP: CSN (CSNA3) vai pagar R$ 2,34 bilhões
#economia #investimentos #negócios #investidor #ibovespa #ações #mercadofinaceiro 
https://t.co/OVC7QUpYrq</t>
  </si>
  <si>
    <t>O retrato da inadimplência no Brasil: da Geração Z aos Baby Boomers
#economia #investimentos #negócios #investidor #ibovespa #ações #mercadofinaceiro 
https://t.co/bmZg8mVY0O</t>
  </si>
  <si>
    <t>Meta planeja levantar US$ 7 bilhões em ofertas de títulos; Cortes foram anunciados para este mês
#economia #investimentos #negócios #investidor #ibovespa #ações #mercadofinaceiro 
https://t.co/Qu3APkUYUb</t>
  </si>
  <si>
    <t>Biden pede que republicanos tirem default de dívida pública sob risco de aumento de juros
#economia #investimentos #negócios #investidor #ibovespa #ações #mercadofinaceiro 
https://t.co/LGLbn8AHW7</t>
  </si>
  <si>
    <t>GM demite centenas em Detroit, no mais recente movimento de corte de custos
#economia #investimentos #negócios #investidor #ibovespa #ações #mercadofinaceiro 
https://t.co/JOZDcqb2OE</t>
  </si>
  <si>
    <t>FDIC revê regras em seguros de depósitos bancários para lidar com possíveis crises
#economia #investimentos #negócios #investidor #ibovespa #ações #mercadofinaceiro 
https://t.co/HkZIekX8Ms</t>
  </si>
  <si>
    <t>Ações de elétrica podem disparar 55% em maio; Veja as small caps para ter no mês, segundo Órama
#economia #investimentos #negócios #investidor #ibovespa #ações #mercadofinaceiro 
https://t.co/YWZGPFQCIE</t>
  </si>
  <si>
    <t>Após quebra de bancos nos EUA, reguladores propõem reforma em seguro de depósitos
#economia #investimentos #negócios #investidor #ibovespa #ações #mercadofinaceiro 
https://t.co/Yto5iY5fc6</t>
  </si>
  <si>
    <t>Shein é ameaça para varejo brasileiro? Veja o que está por trás do sucesso da chinesa no Brasil
#economia #investimentos #negócios #investidor #ibovespa #ações #mercadofinaceiro 
https://t.co/Z4wdFfqHm8</t>
  </si>
  <si>
    <t>Contribuição dos microempreendedores sobe de R$ 65,10 para R$ 66
#economia #investimentos #negócios #investidor #ibovespa #ações #mercadofinaceiro 
https://t.co/xIoBGLyt2G</t>
  </si>
  <si>
    <t>Após forte turbulência no sistema financeiro, CEO do J.P. Morgan defende que “essa parte” da crise acabou
#economia #investimentos #negócios #investidor #ibovespa #ações #mercadofinaceiro 
https://t.co/KJuMP422Z0</t>
  </si>
  <si>
    <t>José Timotheo de Barros, diretor afastado da Americanas, pede renúncia
#economia #investimentos #negócios #investidor #ibovespa #ações #mercadofinaceiro 
https://t.co/FGOWIv4uiH</t>
  </si>
  <si>
    <t>Informalidade e maior tempo de contribuição dificultam aposentadoria
#economia #investimentos #negócios #investidor #ibovespa #ações #mercadofinaceiro 
https://t.co/miUrIFsMO7</t>
  </si>
  <si>
    <t>Mercado hoje: compra de banco problemático, dólar e dado de inflação da FGV são destaques após o feriado
#economia #investimentos #negócios #investidor #ibovespa #ações #mercadofinaceiro 
https://t.co/52vQqFMOgd</t>
  </si>
  <si>
    <t>Bolsas da Ásia: surpresa do BC derruba mercado da Austrália; HSBC impulsiona Hong Kong
#economia #investimentos #negócios #investidor #ibovespa #ações #mercadofinaceiro 
https://t.co/IMoBMAbB4E</t>
  </si>
  <si>
    <t>Por que ainda confio na Vale (VALE3) mesmo após balanço fraco
#economia #investimentos #negócios #investidor #ibovespa #ações #mercadofinaceiro 
https://t.co/BEzJljiYJN</t>
  </si>
  <si>
    <t>Mercados nesta terça, minério, petróleo e notícias corporativas
#economia #investimentos #negócios #investidor #ibovespa #ações #mercadofinaceiro 
https://t.co/FfCp2LJBbk</t>
  </si>
  <si>
    <t>Ibovespa vai subir neste início de maio? Veja o que indica ETF brasileiro listado nos EUA
#economia #investimentos #negócios #investidor #ibovespa #ações #mercadofinaceiro 
https://t.co/y5qkAJl845</t>
  </si>
  <si>
    <t>Maio chegou, confira os 3 fatores que irão balançar o Ibovespa no mês
#economia #investimentos #negócios #investidor #ibovespa #ações #mercadofinaceiro 
https://t.co/iEv0Lf2C4Q</t>
  </si>
  <si>
    <t>Futuros de NY operam mistos às vésperas do Fed; dados de emprego JOLTs nos EUA, reação aos ADRs na volta do feriado e mais destaques
#economia #investimentos #negócios #investidor #ibovespa #ações #mercadofinaceiro 
https://t.co/9uuwg9a1n2</t>
  </si>
  <si>
    <t>Os Futuros do Petróleo subiram durante a sessão asiática
#economia #investimentos #negócios #investidor #ibovespa #ações #mercadofinaceiro 
https://t.co/VS8rz0M72X</t>
  </si>
  <si>
    <t>Ibovespa em dólar (EWZ) recua e Wall Street tem dia morno, antes de ‘Super Quarta’
#economia #investimentos #negócios #investidor #ibovespa #ações #mercadofinaceiro 
https://t.co/NnZiER86FI</t>
  </si>
  <si>
    <t>Braskem (BRKM5) assina contrato para comprar matéria-prima da Vitol
#economia #investimentos #negócios #investidor #ibovespa #ações #mercadofinaceiro 
https://t.co/oeC29FOeqb</t>
  </si>
  <si>
    <t>FII de “papel” IRDM11 vai pagar menor dividendo desde a deflação de 2022
#economia #investimentos #negócios #investidor #ibovespa #ações #mercadofinaceiro 
https://t.co/rfw2wS2GyP</t>
  </si>
  <si>
    <t>Governo dos EUA divulga déficit fiscal de US$ 240 bilhões para maio
#economia #investimentos #negócios #investidor #ibovespa #ações #mercadofinaceiro 
https://t.co/oAzIVvl65s</t>
  </si>
  <si>
    <t>Cemig (CMIG4) vai pagar quase R$ 1 bilhão em proventos; veja data da primeira parcela
#economia #investimentos #negócios #investidor #ibovespa #ações #mercadofinaceiro 
https://t.co/ekpHGscfQz</t>
  </si>
  <si>
    <t>Gestora com R$ 6 bi na carteira compra bolsa enquanto vê corte da Selic em agosto
#economia #investimentos #negócios #investidor #ibovespa #ações #mercadofinaceiro 
https://t.co/VV8No9LIHA</t>
  </si>
  <si>
    <t>Dólar: Os pontos cruciais que levam a moeda às mínimas em um ano
#economia #investimentos #negócios #investidor #ibovespa #ações #mercadofinaceiro 
https://t.co/mimqX4cYlD</t>
  </si>
  <si>
    <t>Nubank (NUBR33) ou Inter (INBR32)? Apenas um está valendo compra agora, segundo XP
#economia #investimentos #negócios #investidor #ibovespa #ações #mercadofinaceiro 
https://t.co/Cs07XUuIYf</t>
  </si>
  <si>
    <t>Carros populares: A perda milionária de Localiza (RENT3) e Movida (MOVI3) com medida de Lula
#economia #investimentos #negócios #investidor #ibovespa #ações #mercadofinaceiro 
https://t.co/7leZAVECAF</t>
  </si>
  <si>
    <t>VALE3, CMIN3, USIM5 ou CSNA3? BofA rebaixa 2 ações; veja o que vale a pena no setor
#economia #investimentos #negócios #investidor #ibovespa #ações #mercadofinaceiro 
https://t.co/wIOXFDtY21</t>
  </si>
  <si>
    <t>Bolsas da Ásia: Tóquio rompe marca não vista há 33 anos; otimismo toma conta dos mercados
#economia #investimentos #negócios #investidor #ibovespa #ações #mercadofinaceiro 
https://t.co/2f3tLT1dRR</t>
  </si>
  <si>
    <t>Mercados nesta terça, minério, petróleo, provento da Cemig, Multiplan, Tim e outros destaques
#economia #investimentos #negócios #investidor #ibovespa #ações #mercadofinaceiro 
https://t.co/ak1vEldZy7</t>
  </si>
  <si>
    <t>Banco Central não tem pressa em reduzir juros, mas já dá sinais de cortes futuros; veja o que movimenta a terça (13)
#economia #investimentos #negócios #investidor #ibovespa #ações #mercadofinaceiro 
https://t.co/B3VD6fc1cj</t>
  </si>
  <si>
    <t>Tempo Real: Ibovespa pode arriscar mais uma alta nesta terça-feira (13)
#economia #investimentos #negócios #investidor #ibovespa #ações #mercadofinaceiro 
https://t.co/kcmriXoaxz</t>
  </si>
  <si>
    <t>OWHL realiza análise que envolve seus investimentos na Wilson Sons (PORT3)
#economia #investimentos #negócios #investidor #ibovespa #ações #mercadofinaceiro 
https://t.co/aKQain8UIl</t>
  </si>
  <si>
    <t>TIM (TIMS3), Multiplan (MULT3) e Cemig (CMIG4) informam sobre pagamento de dividendos e JCP; mais destaques no radar
#economia #investimentos #negócios #investidor #ibovespa #ações #mercadofinaceiro 
https://t.co/HvUpksehYL</t>
  </si>
  <si>
    <t>Inflação nos EUA: IPC deve desaquecer em maio, com núcleo pressionado
#economia #investimentos #negócios #investidor #ibovespa #ações #mercadofinaceiro 
https://t.co/gyRWOmjGk6</t>
  </si>
  <si>
    <t>JCP: Romi (ROMI3) vai pagar R$ 18,6 milhões, com data de corte hoje
#economia #investimentos #negócios #investidor #ibovespa #ações #mercadofinaceiro 
https://t.co/pWvkshSM0c</t>
  </si>
  <si>
    <t>Swing Trade: Ágora recomenda ações de Hapvida ON (HAPV3) para hoje
#economia #investimentos #negócios #investidor #ibovespa #ações #mercadofinaceiro 
https://t.co/dlxTcFoarW</t>
  </si>
  <si>
    <t>Bitcoin hoje: possibilidade de alta da taxa de juros nos EUA derruba preço do BTC
#economia #investimentos #negócios #investidor #ibovespa #ações #mercadofinaceiro 
https://t.co/gyhlT0lcBp</t>
  </si>
  <si>
    <t>CCR (CCRO3) fará recompra de ações, Eletrobras (ELET3) nega rumor sobre negociação de vagas no conselho, Tegma (TGMA3) sofre ataque cibernético e mais
#economia #investimentos #negócios #investidor #ibovespa #ações #mercadofinaceiro 
https://t.co/cJCHRt2WOf</t>
  </si>
  <si>
    <t>Bolsas caem após dados fracos da China e antes da votação do teto da dívida dos EUA; emprego no Brasil e mais
#economia #investimentos #negócios #investidor #ibovespa #ações #mercadofinaceiro 
https://t.co/z7IiEnO0oL</t>
  </si>
  <si>
    <t>Dividendos: BR Partners (BRBI11) paga R$ 12,5 milhões hoje
#economia #investimentos #negócios #investidor #ibovespa #ações #mercadofinaceiro 
https://t.co/UEXNyWCllg</t>
  </si>
  <si>
    <t>Chinesa Great Wall adia início da produção de carros no Brasil
#economia #investimentos #negócios #investidor #ibovespa #ações #mercadofinaceiro 
https://t.co/S6IjaCWY5B</t>
  </si>
  <si>
    <t>Receita da Exxon Mobil cai, mas supera expectativa do mercado
#economia #investimentos #negócios #investidor #ibovespa #ações #mercadofinaceiro 
https://t.co/peS6y8dycz</t>
  </si>
  <si>
    <t>Dividendos e JCP: Banrisul (BRSR6) vai pagar R$ 14,8 milhões
#economia #investimentos #negócios #investidor #ibovespa #ações #mercadofinaceiro 
https://t.co/9eNOnQV1KO</t>
  </si>
  <si>
    <t>Dividendos e JCP: Assaí (ASAI3) vai pagar R$ 67,5 milhões
#economia #investimentos #negócios #investidor #ibovespa #ações #mercadofinaceiro 
https://t.co/ToiFbIcUZV</t>
  </si>
  <si>
    <t>Dividendos e JCP: Metal Leve (LEVE3) vai pagar R$ 451,94 milhões
#economia #investimentos #negócios #investidor #ibovespa #ações #mercadofinaceiro 
https://t.co/9YzFnaknr8</t>
  </si>
  <si>
    <t>Irani (RANI3) lucra R$ 82,9 milhões no primeiro trimestre, queda de 26%
#economia #investimentos #negócios #investidor #ibovespa #ações #mercadofinaceiro 
https://t.co/Uk0E4Vf2cs</t>
  </si>
  <si>
    <t>Ação da 3R Petroleum (RRRP3) decolou mais de 11% após resultados do 1T23; hora de comprar?
#economia #investimentos #negócios #investidor #ibovespa #ações #mercadofinaceiro 
https://t.co/6nZinapEAZ</t>
  </si>
  <si>
    <t>PIB da Alemanha fica estagnado no 1° trimestre (0,0%), ante projeção de crescimento de 0,2%
#economia #investimentos #negócios #investidor #ibovespa #ações #mercadofinaceiro 
https://t.co/1dChwdiURr</t>
  </si>
  <si>
    <t>PIB da Espanha cresce 0,5% no 1º trimestre e supera expectativas
#economia #investimentos #negócios #investidor #ibovespa #ações #mercadofinaceiro 
https://t.co/dgIwudr5Yy</t>
  </si>
  <si>
    <t>PIB da zona do euro cresce 0,1% no 1° trimestre, abaixo da previsão
#economia #investimentos #negócios #investidor #ibovespa #ações #mercadofinaceiro 
https://t.co/foHMehkyHg</t>
  </si>
  <si>
    <t>Banco do Japão mantém taxa de juros inalterada e reduz expectativa de mudança no curto prazo
#economia #investimentos #negócios #investidor #ibovespa #ações #mercadofinaceiro 
https://t.co/HycXyRrrWa</t>
  </si>
  <si>
    <t>Mexicana Clara, fintech que quer acabar com a papelada nos reembolsos, levanta mais US$ 60 milhões
#economia #investimentos #negócios #investidor #ibovespa #ações #mercadofinaceiro 
https://t.co/zCo4dpIuWz</t>
  </si>
  <si>
    <t>Intel diz que margens vão se recuperar no 2º semestre de 2023
#economia #investimentos #negócios #investidor #ibovespa #ações #mercadofinaceiro 
https://t.co/6kAlqj8Mlf</t>
  </si>
  <si>
    <t>Estas 15 empresas pagarão dividendos e JCP aos acionistas; confira a lista
#economia #investimentos #negócios #investidor #ibovespa #ações #mercadofinaceiro 
https://t.co/lUPC51jak4</t>
  </si>
  <si>
    <t>Novo Conselho de Administração da Petrobras (PETR4) é eleito com 3 membros considerados “inelegíveis”
#economia #investimentos #negócios #investidor #ibovespa #ações #mercadofinaceiro 
https://t.co/rPxBTtnRbs</t>
  </si>
  <si>
    <t>Multiplan (MULT3) lucra R$ 207,2 milhões no 1º trimestre, alta de 20,8% na base anual
#economia #investimentos #negócios #investidor #ibovespa #ações #mercadofinaceiro 
https://t.co/xLYuciFLeN</t>
  </si>
  <si>
    <t>CEO da Alpargatas (ALPA4) renuncia ao cargo
#economia #investimentos #negócios #investidor #ibovespa #ações #mercadofinaceiro 
https://t.co/RAwH8WWxcj</t>
  </si>
  <si>
    <t>Petrobras (PETR4) anuncia pagamento de dividendos em 3 parcelas
#economia #investimentos #negócios #investidor #ibovespa #ações #mercadofinaceiro 
https://t.co/DK2FMFyUel</t>
  </si>
  <si>
    <t>Cielo (CIEL3) lucra R$ 441 milhões no 1º tri de 2023, alta anual de 139%; empresa pagará R$ 196,2 mi em JCP
#economia #investimentos #negócios #investidor #ibovespa #ações #mercadofinaceiro 
https://t.co/i27iKhDxXW</t>
  </si>
  <si>
    <t>3R Petroleum (RRRP3) quer iniciar operação do Polo Potiguar em junho
#economia #investimentos #negócios #investidor #ibovespa #ações #mercadofinaceiro 
https://t.co/wJGMMxYCEj</t>
  </si>
  <si>
    <t>Intel tem pior resultado da história, com prejuízo de US$ 2,8 bi no 1º trimestre
#economia #investimentos #negócios #investidor #ibovespa #ações #mercadofinaceiro 
https://t.co/gpeCttIfIi</t>
  </si>
  <si>
    <t>Amazon reverte prejuízo e lucra US$ 3,2 bilhões no 1º trimestre; receitas superam expectativas
#economia #investimentos #negócios #investidor #ibovespa #ações #mercadofinaceiro 
https://t.co/GlRpGxqVyq</t>
  </si>
  <si>
    <t>Bolsas da Europa caem, pressionadas por ações de bancos e dados fracos
#economia #investimentos #negócios #investidor #ibovespa #ações #mercadofinaceiro 
https://t.co/ZYO6D8R92D</t>
  </si>
  <si>
    <t>O que é deflação e por que ela preocupa tanto o governo e economistas?
#economia #investimentos #negócios #investidor #ibovespa #ações #mercadofinaceiro 
https://t.co/wCHf0Uk55S</t>
  </si>
  <si>
    <t>Mercado hoje: IBC-Br, balanços de Suzano e Cielo e queda no exterior são destaques
#economia #investimentos #negócios #investidor #ibovespa #ações #mercadofinaceiro 
https://t.co/9lovJgjfrz</t>
  </si>
  <si>
    <t>Bolsas da Ásia fecham em alta, após BoJ manter política
#economia #investimentos #negócios #investidor #ibovespa #ações #mercadofinaceiro 
https://t.co/jMCuZI5wBe</t>
  </si>
  <si>
    <t>Os Futuros do Gás Natural caíram durante a sessão europeia
#economia #investimentos #negócios #investidor #ibovespa #ações #mercadofinaceiro 
https://t.co/lyv3UJDVRh</t>
  </si>
  <si>
    <t>Ação de rede social derrete 18% em NY após resultados; como investir nesta sexta-feira (28)
#economia #investimentos #negócios #investidor #ibovespa #ações #mercadofinaceiro 
https://t.co/C3AXOty9IN</t>
  </si>
  <si>
    <t>Empresas cripto dos EUA têm nova estratégia para fisgar clientes
#economia #investimentos #negócios #investidor #ibovespa #ações #mercadofinaceiro 
https://t.co/Yu9gAbzPUn</t>
  </si>
  <si>
    <t>Ibovespa e dólar hoje (28), com PNAD Contínua, IBC-Br, dados fiscais, balanços e Europa no radar
#economia #investimentos #negócios #investidor #ibovespa #ações #mercadofinaceiro 
https://t.co/BvAXnBO3C4</t>
  </si>
  <si>
    <t>Os Futuros de Ouro caíram durante a sessão asiática
#economia #investimentos #negócios #investidor #ibovespa #ações #mercadofinaceiro 
https://t.co/FZk2wHzwec</t>
  </si>
  <si>
    <t>Os Futuros do Petróleo subiram durante a sessão asiática
#economia #investimentos #negócios #investidor #ibovespa #ações #mercadofinaceiro 
https://t.co/tJpruvVGFi</t>
  </si>
  <si>
    <t>Primeiro trimestre registra menos valores mobiliários emitidos no Brasil
#economia #investimentos #negócios #investidor #ibovespa #ações #mercadofinaceiro 
https://t.co/coH5Oq0Djw</t>
  </si>
  <si>
    <t>Petrobras (PETR4)(PETR3): Conselho aprova acordo com ANP sobre royalties de Jubarte
#economia #investimentos #negócios #investidor #ibovespa #ações #mercadofinaceiro 
https://t.co/vMeduAULJj</t>
  </si>
  <si>
    <t>Assembleia da Bradespar (BRAP4) aprova dividendo; JCP será pago em 15/05
#economia #investimentos #negócios #investidor #ibovespa #ações #mercadofinaceiro 
https://t.co/1A1z6Y8tMN</t>
  </si>
  <si>
    <t>Consumo dos lares brasileiros cresce 1,98% no 1º tri, aponta Abras
#economia #investimentos #negócios #investidor #ibovespa #ações #mercadofinaceiro 
https://t.co/v1U0WiFpn0</t>
  </si>
  <si>
    <t>WEG (WEGE3) pode entregar margens melhores este ano, mas cenário macro exige cautela, diz diretor
#economia #investimentos #negócios #investidor #ibovespa #ações #mercadofinaceiro 
https://t.co/a5r215hUeI</t>
  </si>
  <si>
    <t>Cargill quer aumentar investimento em soja e biodiesel no Brasil
#economia #investimentos #negócios #investidor #ibovespa #ações #mercadofinaceiro 
https://t.co/WG1hoTPxVB</t>
  </si>
  <si>
    <t>Economia dos EUA perde tração, mas consumo forte ainda sugere Fed restritivo, dizem analistas
#economia #investimentos #negócios #investidor #ibovespa #ações #mercadofinaceiro 
https://t.co/Pat2DbuQ6y</t>
  </si>
  <si>
    <t>Fundos imobiliários: Justiça suspende recuperação judicial das empresas do grupo Gramado Parks
#economia #investimentos #negócios #investidor #ibovespa #ações #mercadofinaceiro 
https://t.co/o96rWWnvxv</t>
  </si>
  <si>
    <t>Meta supera expectativas de lucro e receita; confira
#economia #investimentos #negócios #investidor #ibovespa #ações #mercadofinaceiro 
https://t.co/ujSbbNENd0</t>
  </si>
  <si>
    <t>Por que os balanços de Itaú, Bradesco e BB geram tanta expectativa?
#economia #investimentos #negócios #investidor #ibovespa #ações #mercadofinaceiro 
https://t.co/4HPKbt7MXn</t>
  </si>
  <si>
    <t>Unilever (ULEV34) supera expectativas de faturamento no 1º trimestre
#economia #investimentos #negócios #investidor #ibovespa #ações #mercadofinaceiro 
https://t.co/7hLe77LkTw</t>
  </si>
  <si>
    <t>Deutsche Bank tem receita recorde; veja
#economia #investimentos #negócios #investidor #ibovespa #ações #mercadofinaceiro 
https://t.co/C3bQrhF8Rj</t>
  </si>
  <si>
    <t>B3 deixa EcoRodovias e mais 2 empresas fora da prévia de carteira do Ibov
#economia #investimentos #negócios #investidor #ibovespa #ações #mercadofinaceiro 
https://t.co/LPjQyuH0xQ</t>
  </si>
  <si>
    <t>ecoterra é a melhor cripto para adquirir à medida que créditos de carbono podem atingir US$ 50 mi?
#economia #investimentos #negócios #investidor #ibovespa #ações #mercadofinaceiro 
https://t.co/fjq7n9xEvF</t>
  </si>
  <si>
    <t>Fleury (FLRY3) vai voltar à normalidade após Copa e sazonalidade do fim de ano, diz Genial
#economia #investimentos #negócios #investidor #ibovespa #ações #mercadofinaceiro 
https://t.co/IVwyIygv3v</t>
  </si>
  <si>
    <t>Grupo Soma (SOMA3) ou Arezzo (ARZZ3): Qual a preferida do setor?
#economia #investimentos #negócios #investidor #ibovespa #ações #mercadofinaceiro 
https://t.co/4KevMXoISQ</t>
  </si>
  <si>
    <t>Raia Drogasil (RADL3): UBS BB eleva preço-alvo, mas mantém recomendação; veja qual
#economia #investimentos #negócios #investidor #ibovespa #ações #mercadofinaceiro 
https://t.co/HcCoreKm58</t>
  </si>
  <si>
    <t>JBS (JBSS3) mostra sinais de melhora nos números do 1º tri de 2023, diz Itaú BBA
#economia #investimentos #negócios #investidor #ibovespa #ações #mercadofinaceiro 
https://t.co/jxDlo7ZOzz</t>
  </si>
  <si>
    <t>Hora da virada? Fundos de crédito recuperam retorno após maré de notícias negativas; veja dados de abril
#economia #investimentos #negócios #investidor #ibovespa #ações #mercadofinaceiro 
https://t.co/DG4c6DuO21</t>
  </si>
  <si>
    <t>BBAS3: Com alta superior a 25% em 2023, tendência de ações do Banco do Brasil segue de alta, aponta análise técnica
#economia #investimentos #negócios #investidor #ibovespa #ações #mercadofinaceiro 
https://t.co/VLR6ubeyMF</t>
  </si>
  <si>
    <t>Pedidos de auxílio-desemprego nos EUA caem para 230 mil na semana; estimativa era de 248 mil
#economia #investimentos #negócios #investidor #ibovespa #ações #mercadofinaceiro 
https://t.co/8EivwbTgqh</t>
  </si>
  <si>
    <t>PIB dos EUA cresceu 1,1% no 1º trimestre, abaixo das projeções
#economia #investimentos #negócios #investidor #ibovespa #ações #mercadofinaceiro 
https://t.co/FwnznOagCJ</t>
  </si>
  <si>
    <t>Setor de serviços cresce 1,1% em fevereiro ante janeiro, bem acima das projeções, diz IBGE
#economia #investimentos #negócios #investidor #ibovespa #ações #mercadofinaceiro 
https://t.co/NUSi3qgG5G</t>
  </si>
  <si>
    <t>Setor bancário alivia bolsas europeias na quinta-feira
#economia #investimentos #negócios #investidor #ibovespa #ações #mercadofinaceiro 
https://t.co/xTmPYoa2IY</t>
  </si>
  <si>
    <t>Tesouro Direto: juros aprofundam queda com debate de BC e governo; teto entre títulos de inflação é de 6%
#economia #investimentos #negócios #investidor #ibovespa #ações #mercadofinaceiro 
https://t.co/RjjpCg6sq8</t>
  </si>
  <si>
    <t>BlackRock despeja ações da Casas Bahia (BHIA3), ex-VIIA3, no mercado
#economia #investimentos #negócios #investidor #ibovespa #ações #mercadofinaceiro 
https://t.co/Xrcgy6xTaW</t>
  </si>
  <si>
    <t>Selic a 12,75%: Por que o Copom repetiu a dose com outro corte de 0,50 pp? Veja o comunicado na íntegra
#economia #investimentos #negócios #investidor #ibovespa #ações #mercadofinaceiro 
https://t.co/fzRAZANcpD</t>
  </si>
  <si>
    <t>7 ações com dividendos acima da Selic de 12,75% ao ano
#economia #investimentos #negócios #investidor #ibovespa #ações #mercadofinaceiro 
https://t.co/oYkqEMivZh</t>
  </si>
  <si>
    <t>Bradesco (BBDC4) está uma pechincha, vê UBS-BB
#economia #investimentos #negócios #investidor #ibovespa #ações #mercadofinaceiro 
https://t.co/9j3XMiiJjw</t>
  </si>
  <si>
    <t>Mercados nesta quarta, minério, petróleo, juros nos EUA no radar e notícias corporativas
#economia #investimentos #negócios #investidor #ibovespa #ações #mercadofinaceiro 
https://t.co/3JfqzZL9cc</t>
  </si>
  <si>
    <t>Federal Reserve pode interromper alta nos juros; veja o que movimenta a quarta (14)
#economia #investimentos #negócios #investidor #ibovespa #ações #mercadofinaceiro 
https://t.co/yXXuBvlR6X</t>
  </si>
  <si>
    <t>Solução para programa de carros populares é destaque nos jornais nesta quarta-feira (14)
#economia #investimentos #negócios #investidor #ibovespa #ações #mercadofinaceiro 
https://t.co/3VX969O6AW</t>
  </si>
  <si>
    <t>Carros populares: A solução para Localiza (RENT3) diante da medida que barateia Onix, HB20 e outros
#economia #investimentos #negócios #investidor #ibovespa #ações #mercadofinaceiro 
https://t.co/ZHEWADZ5ko</t>
  </si>
  <si>
    <t>Tempo Real: Ibovespa tenta se recuperar nesta quarta-feira (14)
#economia #investimentos #negócios #investidor #ibovespa #ações #mercadofinaceiro 
https://t.co/p5qZYRSZCN</t>
  </si>
  <si>
    <t>Bitcoin e Ethereum recuam antes da decisão de juros do Fed; BNB dispara 5%
#economia #investimentos #negócios #investidor #ibovespa #ações #mercadofinaceiro 
https://t.co/AbWfpLDQzm</t>
  </si>
  <si>
    <t>Futuros de NY operam sem direção definida antes da decisão de juros do Fed; dados do varejo brasileiro e mais
#economia #investimentos #negócios #investidor #ibovespa #ações #mercadofinaceiro 
https://t.co/4fuTLEfir8</t>
  </si>
  <si>
    <t>Dólar abaixo dos R$ 5: o que está fazendo o câmbio cair?
#economia #investimentos #negócios #investidor #ibovespa #ações #mercadofinaceiro 
https://t.co/4jBb6igzP6</t>
  </si>
  <si>
    <t>Banco Modal (MODL3) diz que BC aprovou venda à XP (XPBR31)
#economia #investimentos #negócios #investidor #ibovespa #ações #mercadofinaceiro 
https://t.co/0Iv8p1FGWw</t>
  </si>
  <si>
    <t>Índice ZEW de Sentimento Econômico na zona do euro tem ligeira queda em junho
#economia #investimentos #negócios #investidor #ibovespa #ações #mercadofinaceiro 
https://t.co/9WLMMT4y5l</t>
  </si>
  <si>
    <t>Inflação ao consumidor na Alemanha desacelera para 6,1% em maio, dentro do esperado
#economia #investimentos #negócios #investidor #ibovespa #ações #mercadofinaceiro 
https://t.co/CLfh5wTOu1</t>
  </si>
  <si>
    <t>JCP: BB (BBAS3) passa a negociar ações ex-direitos a R$ 966,3 milhões
#economia #investimentos #negócios #investidor #ibovespa #ações #mercadofinaceiro 
https://t.co/riMuT828XD</t>
  </si>
  <si>
    <t>JCP: Tim (TIMS3) vai pagar R$ 290 milhões
#economia #investimentos #negócios #investidor #ibovespa #ações #mercadofinaceiro 
https://t.co/97ujrte33l</t>
  </si>
  <si>
    <t>JCP: Carrefour (CRFB3) vai pagar R$ 0,08 por ação
#economia #investimentos #negócios #investidor #ibovespa #ações #mercadofinaceiro 
https://t.co/kki05BJIKM</t>
  </si>
  <si>
    <t>IGB Eletrônica (IGBR3) informa o cancelamento de registro de companhia aberta 
#economia #investimentos #negócios #investidor #ibovespa #ações #mercadofinaceiro 
https://t.co/WnqBlsBoTH</t>
  </si>
  <si>
    <t>Disparada dos juros nos EUA leva gigante e tradicional empresa à falência
#economia #investimentos #negócios #investidor #ibovespa #ações #mercadofinaceiro 
https://t.co/nxkrQuSdmA</t>
  </si>
  <si>
    <t>Azul (AZUL4) e Gol (GOLL4): Passagens aéreas estão mais baratas? Saiba se existe risco para salto das ações em 2023
#economia #investimentos #negócios #investidor #ibovespa #ações #mercadofinaceiro 
https://t.co/9aziR3M5PA</t>
  </si>
  <si>
    <t>Brisanet (BRIT3) lucra R$ 25,2 milhões no 1º trimestre, cifra 165% maior que a de um ano antes
#economia #investimentos #negócios #investidor #ibovespa #ações #mercadofinaceiro 
https://t.co/REW88zXT7E</t>
  </si>
  <si>
    <t>TC (TRAD3) tem alta de 57,2% no prejuízo no primeiro trimestre, a R$ 32,1 mi
#economia #investimentos #negócios #investidor #ibovespa #ações #mercadofinaceiro 
https://t.co/Huwnko8qjL</t>
  </si>
  <si>
    <t>RNI (RDNI3) lucra 20% menos no primeiro trimestre, a R$ 2,4 milhões
#economia #investimentos #negócios #investidor #ibovespa #ações #mercadofinaceiro 
https://t.co/4oz225f1KH</t>
  </si>
  <si>
    <t>Unifique (FIQE3) registra lucro 20,2% menor no primeiro trimestre, para R$ 26,2 milhões
#economia #investimentos #negócios #investidor #ibovespa #ações #mercadofinaceiro 
https://t.co/2CRUFs048e</t>
  </si>
  <si>
    <t>Wilson Sons (PORT3) lucra R$ 85,3 milhões no 1º trimestre, baixa anual de 40,6%, com alta da depreciação
#economia #investimentos #negócios #investidor #ibovespa #ações #mercadofinaceiro 
https://t.co/8f4eLtmbYt</t>
  </si>
  <si>
    <t>Rossi (RSID3) reduz prejuízo em 65,3% no primeiro trimestre, para R$ 48,8 mi
#economia #investimentos #negócios #investidor #ibovespa #ações #mercadofinaceiro 
https://t.co/y3LX9Aawnr</t>
  </si>
  <si>
    <t>Caixa Seguridade (CXSE3) tem lucro líquido recorrente de R$ 820,1 milhões no 1º trimestre, alta anual de 47,2%
#economia #investimentos #negócios #investidor #ibovespa #ações #mercadofinaceiro 
https://t.co/tHidooKhX6</t>
  </si>
  <si>
    <t>Ação iô-iô: veja a performance das ações da Eletrobras desde a privatização
#economia #investimentos #negócios #investidor #ibovespa #ações #mercadofinaceiro 
https://t.co/CpI4YcNkts</t>
  </si>
  <si>
    <t>Juros: Inflação menor nos EUA fortalece apostas de corte do Fed e derruba DIs
#economia #investimentos #negócios #investidor #ibovespa #ações #mercadofinaceiro 
https://t.co/x7ITTyw737</t>
  </si>
  <si>
    <t>O que esperar do balanço da Petrobras (PETR3; PETR4) em meio a incertezas sobre dividendos
#economia #investimentos #negócios #investidor #ibovespa #ações #mercadofinaceiro 
https://t.co/crQs6aeLBd</t>
  </si>
  <si>
    <t>Walt Disney tem lucro de US$ 1,27 bilhão e atinge expectativas no 2º tri fiscal
#economia #investimentos #negócios #investidor #ibovespa #ações #mercadofinaceiro 
https://t.co/ngbN68zOZH</t>
  </si>
  <si>
    <t>Mercado hoje: MP que faz governo economizar R$ 23 bilhões e balanço da Petrobras são os destaques desta quinta-feira
#economia #investimentos #negócios #investidor #ibovespa #ações #mercadofinaceiro 
https://t.co/SJAx1Bi8LL</t>
  </si>
  <si>
    <t>Brasil terá aumento de oferta de gás de 50 mi m³ no curto prazo, diz Tolmasquim
#economia #investimentos #negócios #investidor #ibovespa #ações #mercadofinaceiro 
https://t.co/y1RON3CDjB</t>
  </si>
  <si>
    <t>Futuros de NY e Europa sobem à espera do BoE e de inflação ao produtor americano; os destaques do mercado hoje
#economia #investimentos #negócios #investidor #ibovespa #ações #mercadofinaceiro 
https://t.co/rRlJrjNzPu</t>
  </si>
  <si>
    <t>Dividendos: Ouro Fino (OFSA3) paga R$ 10,5 milhões hoje
#economia #investimentos #negócios #investidor #ibovespa #ações #mercadofinaceiro 
https://t.co/NKQk0Zz9kp</t>
  </si>
  <si>
    <t>Os Futuros de Ouro subiram durante a sessão asiática
#economia #investimentos #negócios #investidor #ibovespa #ações #mercadofinaceiro 
https://t.co/lUQqJLFlt3</t>
  </si>
  <si>
    <t>Os Futuros do Petróleo subiram durante a sessão asiática
#economia #investimentos #negócios #investidor #ibovespa #ações #mercadofinaceiro 
https://t.co/tQHvFGRK6i</t>
  </si>
  <si>
    <t>Inflação do consumidor na Alemanha sobe 0,4% em abril ante março e desacelera para 7,2% ante abril de 2022
#economia #investimentos #negócios #investidor #ibovespa #ações #mercadofinaceiro 
https://t.co/LZfnUecE6e</t>
  </si>
  <si>
    <t>Infracommerce (IFCM3) amplia prejuízo líquido em 34,1% no primeiro trimestre
#economia #investimentos #negócios #investidor #ibovespa #ações #mercadofinaceiro 
https://t.co/A2afptWePo</t>
  </si>
  <si>
    <t>Log (LOGG3): CFO explica a estratégia de crescimento da Log com seus galpões logísticos
#economia #investimentos #negócios #investidor #ibovespa #ações #mercadofinaceiro 
https://t.co/9tHJxMXZ3w</t>
  </si>
  <si>
    <t>CIEL3: Com quase 100% de valorização em um ano, o que a análise técnica diz das ações da Cielo?
#economia #investimentos #negócios #investidor #ibovespa #ações #mercadofinaceiro 
https://t.co/9SHeXYjKAs</t>
  </si>
  <si>
    <t>Empreendedorismo é um dos caminhos para Brasil sair do mapa da pobreza, diz ministro
#economia #investimentos #negócios #investidor #ibovespa #ações #mercadofinaceiro 
https://t.co/jkwsUqGsj0</t>
  </si>
  <si>
    <t>Valid (VLID3) reverte prejuízo; companhia anuncia JCP
#economia #investimentos #negócios #investidor #ibovespa #ações #mercadofinaceiro 
https://t.co/jJzbFOlLHE</t>
  </si>
  <si>
    <t>Embraer (EMBR3) assina contratos de equity swap de até 19,5 mi de ações
#economia #investimentos #negócios #investidor #ibovespa #ações #mercadofinaceiro 
https://t.co/kD7dvaPlJ2</t>
  </si>
  <si>
    <t>Natura (NTCO3) vai aumentar preços de produtos, após prejuízo milionário no 1T23
#economia #investimentos #negócios #investidor #ibovespa #ações #mercadofinaceiro 
https://t.co/bivKC11R8Y</t>
  </si>
  <si>
    <t>Eternit (ETER3) vê lucro subir 56% no 1T23, a R$ 23 milhões
#economia #investimentos #negócios #investidor #ibovespa #ações #mercadofinaceiro 
https://t.co/OkKo6n1e02</t>
  </si>
  <si>
    <t>Metaverso pode contribuir com até 2,4% do PIB dos EUA até 2035, diz estudo
#economia #investimentos #negócios #investidor #ibovespa #ações #mercadofinaceiro 
https://t.co/gINrFRXzUW</t>
  </si>
  <si>
    <t>Camil (CAML3) tem baixa de 88,9% no lucro no quarto trimestre fiscal de 2022, a R$ 15,9 milhões
#economia #investimentos #negócios #investidor #ibovespa #ações #mercadofinaceiro 
https://t.co/HcvSYCKfq8</t>
  </si>
  <si>
    <t>Eternit (ETER3) lucra R$ 22 milhões no primeiro trimestre, queda anual de 48%; aprova JCP de R$ 4,8 milhões
#economia #investimentos #negócios #investidor #ibovespa #ações #mercadofinaceiro 
https://t.co/g301FkYN38</t>
  </si>
  <si>
    <t>CVC (CVCB3) tem prejuízo líquido de R$ 128 milhões no primeiro trimestre, queda de 23,3% no ano
#economia #investimentos #negócios #investidor #ibovespa #ações #mercadofinaceiro 
https://t.co/laSqs1f73W</t>
  </si>
  <si>
    <t>Armac (ARML3) tem lucro ajustado de R$ 26,2 mi no 1º tri, baixa anual de 6,2%
#economia #investimentos #negócios #investidor #ibovespa #ações #mercadofinaceiro 
https://t.co/hVSInTVhLj</t>
  </si>
  <si>
    <t>EcoRodovias: lucro líquido no 1tri23 vai a R$ 113 mi, ante R$ 11,8 mi do 1tri22
#economia #investimentos #negócios #investidor #ibovespa #ações #mercadofinaceiro 
https://t.co/Kk9Wyc4VEA</t>
  </si>
  <si>
    <t>Telefônica Brasil, dona da Vivo (VIVT3), tem lucro de R$ 835 mi no 1º tri, alta de 11,3% na base anual
#economia #investimentos #negócios #investidor #ibovespa #ações #mercadofinaceiro 
https://t.co/iTQkTsVFzf</t>
  </si>
  <si>
    <t>Aprovação de Biden chega a 40% e norte-americanos estão preocupados com imigração, diz pesquisa Reuters/Ipsos
#economia #investimentos #negócios #investidor #ibovespa #ações #mercadofinaceiro 
https://t.co/qiSyw43ztP</t>
  </si>
  <si>
    <t>Inflação nos EUA: Veja o que esperar do IPC, que será divulgado nesta quarta-feira
#economia #investimentos #negócios #investidor #ibovespa #ações #mercadofinaceiro 
https://t.co/RwtXHUklT2</t>
  </si>
  <si>
    <t>Inflação de abril nos EUA pode decidir fim do ciclo de alta de juros pelo Fed
#economia #investimentos #negócios #investidor #ibovespa #ações #mercadofinaceiro 
https://t.co/9yHKimxbIt</t>
  </si>
  <si>
    <t>Fras-Le (FRAS3) lucra R$ 90,4 mi no primeiro trimestre, alta de 224,4% na base anual
#economia #investimentos #negócios #investidor #ibovespa #ações #mercadofinaceiro 
https://t.co/5cqQO13oFs</t>
  </si>
  <si>
    <t>Oferta pela Braskem: Novonor confirma ter recebido proposta de R$ 47 por ação da Apollo e Adnoc
#economia #investimentos #negócios #investidor #ibovespa #ações #mercadofinaceiro 
https://t.co/NQuQoQhL6e</t>
  </si>
  <si>
    <t>Bolsas da Ásia fecham sob tensão de investidor com pistas sobre juros nos EUA
#economia #investimentos #negócios #investidor #ibovespa #ações #mercadofinaceiro 
https://t.co/97YTcFNOY9</t>
  </si>
  <si>
    <t>Minerva (BEEF3) tem lucro de R$ 114 milhões no 1º trimestre, quase estável na comparação anual
#economia #investimentos #negócios #investidor #ibovespa #ações #mercadofinaceiro 
https://t.co/mEqjI3q1d5</t>
  </si>
  <si>
    <t>Exportações da China crescem 8,5% em abril, mas sofrem perda de ritmo ante março
#economia #investimentos #negócios #investidor #ibovespa #ações #mercadofinaceiro 
https://t.co/cTgJvcWG09</t>
  </si>
  <si>
    <t>Dividendos: Irani (RANI3) vai pagar R$ 20,376 milhões
#economia #investimentos #negócios #investidor #ibovespa #ações #mercadofinaceiro 
https://t.co/2xizIrOmhJ</t>
  </si>
  <si>
    <t>Dividendos: Rumo (RAIL3) vai pagar R$ 122,2 milhões
#economia #investimentos #negócios #investidor #ibovespa #ações #mercadofinaceiro 
https://t.co/pT4kFkugJ6</t>
  </si>
  <si>
    <t>Prio (PRIO3) encontra indícios de óleo no prospecto Maracanã
#economia #investimentos #negócios #investidor #ibovespa #ações #mercadofinaceiro 
https://t.co/GuQoY11b1U</t>
  </si>
  <si>
    <t>Democratas pressionam governo Biden sobre impacto climático da expansão de GNL
#economia #investimentos #negócios #investidor #ibovespa #ações #mercadofinaceiro 
https://t.co/EtTTpCOeOl</t>
  </si>
  <si>
    <t>PRIO (PRIO3) diz ter encontrado indícios de petróleo no prospecto Maracanã, no Campo de Frade
#economia #investimentos #negócios #investidor #ibovespa #ações #mercadofinaceiro 
https://t.co/BY3jz4fIGJ</t>
  </si>
  <si>
    <t>Sinqia (SQIA3) tem lucro recorrente de R$ 13 mi no 1º tri; Ebitda ajustado sobe 21% e atinge recorde
#economia #investimentos #negócios #investidor #ibovespa #ações #mercadofinaceiro 
https://t.co/FSOgIgGZOI</t>
  </si>
  <si>
    <t>EDP conclui deslistagem de bolsa de valores latino-americana;
#economia #investimentos #negócios #investidor #ibovespa #ações #mercadofinaceiro 
https://t.co/B18Ep4mUsz</t>
  </si>
  <si>
    <t>Direcional (DIRR3) tem salto de 120% do lucro líquido no 1º trimestre, para R$ 58,8 milhões
#economia #investimentos #negócios #investidor #ibovespa #ações #mercadofinaceiro 
https://t.co/y5xst8BDOn</t>
  </si>
  <si>
    <t>A Bolsa de valores já deu o primeiro sinal de retomada?
#economia #investimentos #negócios #investidor #ibovespa #ações #mercadofinaceiro 
https://t.co/JJBlWcSgza</t>
  </si>
  <si>
    <t>SBF (SBFG3), dona da Centauro, lucra R$ 1,512 milhão no 1º trimestre, queda anual de 91,2%
#economia #investimentos #negócios #investidor #ibovespa #ações #mercadofinaceiro 
https://t.co/XcgXY1u4i1</t>
  </si>
  <si>
    <t>IPC-Fipe sobe 0,40% na 1ª quadrissemana de maio, perdendo força ante alta de 0,43% em abril
#economia #investimentos #negócios #investidor #ibovespa #ações #mercadofinaceiro 
https://t.co/ZtM8NNsaXr</t>
  </si>
  <si>
    <t>Dividendos: Taurus (TASA4) paga R$ 164 milhões hoje
#economia #investimentos #negócios #investidor #ibovespa #ações #mercadofinaceiro 
https://t.co/DiFzMdGonF</t>
  </si>
  <si>
    <t>JCP: Tim (TIMS3) paga R$ 230 milhões hoje
#economia #investimentos #negócios #investidor #ibovespa #ações #mercadofinaceiro 
https://t.co/ZMBFa5J3qu</t>
  </si>
  <si>
    <t>Ibovespa e dólar hoje - ata do Copom; balanços; dados da China; e dívida e inflação dos EUA
#economia #investimentos #negócios #investidor #ibovespa #ações #mercadofinaceiro 
https://t.co/RZfcOzg7ET</t>
  </si>
  <si>
    <t>Totvs (TOTS3) tem lucro ajustado de R$ 116,7 mi no primeiro trimestre, alta anual de 12,7%
#economia #investimentos #negócios #investidor #ibovespa #ações #mercadofinaceiro 
https://t.co/STVi69osyZ</t>
  </si>
  <si>
    <t>Saiba o que mexe com o dólar hoje
#economia #investimentos #negócios #investidor #ibovespa #ações #mercadofinaceiro 
https://t.co/ZohUx1Geg9</t>
  </si>
  <si>
    <t>Mercado repercute surpresa na decisão monetária do Japão e indicadores de atividade na Europa
#economia #investimentos #negócios #investidor #ibovespa #ações #mercadofinaceiro 
https://t.co/ghtJ1ORXj9</t>
  </si>
  <si>
    <t>Day Trade: Gol (GOLL4), Minerva (BEEF3) e mais ações para vender hoje, por PagBank
#economia #investimentos #negócios #investidor #ibovespa #ações #mercadofinaceiro 
https://t.co/41PAqGHmas</t>
  </si>
  <si>
    <t>Day Trade: CSN Mineração (CMIN3), Engie (EGIE3) e mais ações para comprar hoje, por PagBank
#economia #investimentos #negócios #investidor #ibovespa #ações #mercadofinaceiro 
https://t.co/nvtDKWDHIw</t>
  </si>
  <si>
    <t>JCP: Vivo (VIVT3) vai pagar R$ 200 milhões a quem mantiver ações até hoje (22)
#economia #investimentos #negócios #investidor #ibovespa #ações #mercadofinaceiro 
https://t.co/dKhJ823G5f</t>
  </si>
  <si>
    <t>Weg (WEGE3): múltiplos são "uma história precificada à perfeição", diz XP
#economia #investimentos #negócios #investidor #ibovespa #ações #mercadofinaceiro 
https://t.co/REYTL5mafP</t>
  </si>
  <si>
    <t>Tempo Real: Ibovespa luta para sair de cima do muro nesta terça-feira (6)
#economia #investimentos #negócios #investidor #ibovespa #ações #mercadofinaceiro 
https://t.co/2GBDRZ4PjJ</t>
  </si>
  <si>
    <t>Radar: Ex-CEO da Americanas (AMER3) vira réu pela CVM, Eneva (ENEV3) é rebaixada por analistas e Carrefour (CRFB3) emite debêntures milionários
#economia #investimentos #negócios #investidor #ibovespa #ações #mercadofinaceiro 
https://t.co/fzABuRgzfJ</t>
  </si>
  <si>
    <t>Dia do Meio Ambiente: as 10 ações mais comprometidas com a pauta ambiental
#economia #investimentos #negócios #investidor #ibovespa #ações #mercadofinaceiro 
https://t.co/XHsUaTfZot</t>
  </si>
  <si>
    <t>O mercado bilionário das “bets” e os desafios da regulamentação
#economia #investimentos #negócios #investidor #ibovespa #ações #mercadofinaceiro 
https://t.co/umVPiXB5FX</t>
  </si>
  <si>
    <t>Méliuz (CASH3): quais são os próximos caminhos após operação com BV?
#economia #investimentos #negócios #investidor #ibovespa #ações #mercadofinaceiro 
https://t.co/dLJCsYV7Dn</t>
  </si>
  <si>
    <t>Carrefour (CRFB3) fez emissão de R$ 930 milhões
#economia #investimentos #negócios #investidor #ibovespa #ações #mercadofinaceiro 
https://t.co/N2r38fqeOT</t>
  </si>
  <si>
    <t>CVC (CVCB3) anuncia novo CEO e aporte de R$ 75 milhões de Guilherme Paulus, ex-controlador
#economia #investimentos #negócios #investidor #ibovespa #ações #mercadofinaceiro 
https://t.co/lH9QoaBlW6</t>
  </si>
  <si>
    <t>PIB do 1º tri traz nova leva de alta nas projeções de crescimento, mas economistas fazem alerta
#economia #investimentos #negócios #investidor #ibovespa #ações #mercadofinaceiro 
https://t.co/cLDkOA5aSK</t>
  </si>
  <si>
    <t>Relatório da reforma tributária deverá ser apresentado na terça-feira
#economia #investimentos #negócios #investidor #ibovespa #ações #mercadofinaceiro 
https://t.co/4bQNrQ7p2T</t>
  </si>
  <si>
    <t>Com aquisição, Suzano (SUZB3) lidera setor de papel destinado a lenço e toalha
#economia #investimentos #negócios #investidor #ibovespa #ações #mercadofinaceiro 
https://t.co/drslzLoWn6</t>
  </si>
  <si>
    <t>Small Caps: Santander troca duas ações em carteira de junho para não apanhar mais do SMLL
#economia #investimentos #negócios #investidor #ibovespa #ações #mercadofinaceiro 
https://t.co/boKzpWgjF2</t>
  </si>
  <si>
    <t>ONS: Carga de energia no Brasil deve aumentar 3,5% em junho
#economia #investimentos #negócios #investidor #ibovespa #ações #mercadofinaceiro 
https://t.co/BzqVY5uYPw</t>
  </si>
  <si>
    <t>“Dividendos” em cripto existem e pagaram até 10% em maio; veja riscos e ativos mais rentáveis
#economia #investimentos #negócios #investidor #ibovespa #ações #mercadofinaceiro 
https://t.co/6TS57pnDgL</t>
  </si>
  <si>
    <t>O que o Boletim Focus diz sobre o câmbio?
#economia #investimentos #negócios #investidor #ibovespa #ações #mercadofinaceiro 
https://t.co/Q2vRGixoWY</t>
  </si>
  <si>
    <t>Multi (MLAS3) reforça aposta para além dos eletrônicos
#economia #investimentos #negócios #investidor #ibovespa #ações #mercadofinaceiro 
https://t.co/ddXXcD3mY5</t>
  </si>
  <si>
    <t>Em abril, 63% das negociações salariais tiveram reajustes acima do INPC, diz Fipe
#economia #investimentos #negócios #investidor #ibovespa #ações #mercadofinaceiro 
https://t.co/Li6HOBNX2k</t>
  </si>
  <si>
    <t>XP se associa à SVN e se prepara para disputa sob novas regras da CVM
#economia #investimentos #negócios #investidor #ibovespa #ações #mercadofinaceiro 
https://t.co/0KVs5bHkn6</t>
  </si>
  <si>
    <t>Inflação ao produtor na Alemanha desacelera para 4,1% em abril ante mesmo mês de 2022
#economia #investimentos #negócios #investidor #ibovespa #ações #mercadofinaceiro 
https://t.co/hpM2ewjk8s</t>
  </si>
  <si>
    <t>Dividendos: Mitre (MTRE3) passa a negociar ações ex-direitos a R$ 18 milhões
#economia #investimentos #negócios #investidor #ibovespa #ações #mercadofinaceiro 
https://t.co/DcqFglulVk</t>
  </si>
  <si>
    <t>Dividendos: Cosan (CSAN3) passa a negociar ações ex-direitos a R$ 800 milhões
#economia #investimentos #negócios #investidor #ibovespa #ações #mercadofinaceiro 
https://t.co/djHty4bomD</t>
  </si>
  <si>
    <t>Trisul (TRIS3): quando os dividendos de R$ 12,5 milhões serão pagos?
#economia #investimentos #negócios #investidor #ibovespa #ações #mercadofinaceiro 
https://t.co/caYBeNKS8C</t>
  </si>
  <si>
    <t>Com retorno recorde, veja onde estão as oportunidades em fundos imobiliários
#economia #investimentos #negócios #investidor #ibovespa #ações #mercadofinaceiro 
https://t.co/epxfVOKSzG</t>
  </si>
  <si>
    <t>Vale (VALE3) recebe propostas por fatia da divisão de metais básicos, informa Valor
#economia #investimentos #negócios #investidor #ibovespa #ações #mercadofinaceiro 
https://t.co/uJSayLVl4e</t>
  </si>
  <si>
    <t>Trisul (TRIS3) paga dividendo dia 25/05
#economia #investimentos #negócios #investidor #ibovespa #ações #mercadofinaceiro 
https://t.co/gZXKszyHy0</t>
  </si>
  <si>
    <t>Americanas (AMER3) iniciará processo para prospecção de interessados na aquisição do HNT
#economia #investimentos #negócios #investidor #ibovespa #ações #mercadofinaceiro 
https://t.co/G53hfhLylS</t>
  </si>
  <si>
    <t>Ambev (ABEV3) vai recomprar até 13 milhões de ações 
#economia #investimentos #negócios #investidor #ibovespa #ações #mercadofinaceiro 
https://t.co/QIiKr0qga7</t>
  </si>
  <si>
    <t>BTG Pactual (BPAC11) se manifesta sobre notícia de jornal
#economia #investimentos #negócios #investidor #ibovespa #ações #mercadofinaceiro 
https://t.co/djudxD8c2x</t>
  </si>
  <si>
    <t>Eletrobras (ELET3, ELET6) paga dividendo no dia 25 de maio   
#economia #investimentos #negócios #investidor #ibovespa #ações #mercadofinaceiro 
https://t.co/NMmyxDTKeo</t>
  </si>
  <si>
    <t>De olho em esportes, Banco Master deve investir em gigante do futebol
#economia #investimentos #negócios #investidor #ibovespa #ações #mercadofinaceiro 
https://t.co/2KapvW44wa</t>
  </si>
  <si>
    <t>Oncoclínicas (ONCO3) compra fatias da Unimed-Rio no Ceon e no Hospital Marcos Moraes por R$ 350 mi
#economia #investimentos #negócios #investidor #ibovespa #ações #mercadofinaceiro 
https://t.co/iVBoR0Ai2Q</t>
  </si>
  <si>
    <t>EUA: bancos voltam a aumentar busca por crédito emergencial do Fed
#economia #investimentos #negócios #investidor #ibovespa #ações #mercadofinaceiro 
https://t.co/yn8YIpwMSc</t>
  </si>
  <si>
    <t>IGP-M cai 1,50% na 2ª prévia de maio, ante queda de 0,66% na mesma leitura de abril, diz FGV
#economia #investimentos #negócios #investidor #ibovespa #ações #mercadofinaceiro 
https://t.co/m3j41OBoEb</t>
  </si>
  <si>
    <t>Impasse do teto da dívida dos EUA deve ser resolvido o quanto antes, diz Yellen
#economia #investimentos #negócios #investidor #ibovespa #ações #mercadofinaceiro 
https://t.co/gBo1w29uD1</t>
  </si>
  <si>
    <t>Otimismo sobre acordo para dívida dos EUA vira principal direcionador das Bolsas da Ásia
#economia #investimentos #negócios #investidor #ibovespa #ações #mercadofinaceiro 
https://t.co/r5LVxWCoIp</t>
  </si>
  <si>
    <t>Os Futuros do Gás Natural caíram durante a sessão europeia
#economia #investimentos #negócios #investidor #ibovespa #ações #mercadofinaceiro 
https://t.co/QGzpveoQBA</t>
  </si>
  <si>
    <t>Tanure vai propor injetar US$ 500 mi na Light (LIGT3), diz jornal; Ambev (ABEV3) aprova recompra de ações e mais
#economia #investimentos #negócios #investidor #ibovespa #ações #mercadofinaceiro 
https://t.co/n4ssbBLFyq</t>
  </si>
  <si>
    <t>JCP: Localiza (RENT3) paga R$ 362,8 milhões hoje
#economia #investimentos #negócios #investidor #ibovespa #ações #mercadofinaceiro 
https://t.co/EydI7dfwZ3</t>
  </si>
  <si>
    <t>Ibovespa e dólar hoje: Fernando Haddad, IBC-Br, G7, membros do Fed, teto da dívida dos EUA e mais
#economia #investimentos #negócios #investidor #ibovespa #ações #mercadofinaceiro 
https://t.co/dwdW5gGkNr</t>
  </si>
  <si>
    <t>Os Futuros de Ouro subiram durante a sessão asiática
#economia #investimentos #negócios #investidor #ibovespa #ações #mercadofinaceiro 
https://t.co/mVz75D4Xxt</t>
  </si>
  <si>
    <t>Os Futuros do Petróleo subiram durante a sessão asiática
#economia #investimentos #negócios #investidor #ibovespa #ações #mercadofinaceiro 
https://t.co/NNfhc8kpY2</t>
  </si>
  <si>
    <t>O paradigma da "nova economia” versus a “velha economia"
#economia #investimentos #negócios #investidor #ibovespa #ações #mercadofinaceiro 
https://t.co/Chjb2NIl1l</t>
  </si>
  <si>
    <t>G7 pressionará Rússia e avaliará risco de 'coerção econômica' da China
#economia #investimentos #negócios #investidor #ibovespa #ações #mercadofinaceiro 
https://t.co/KYHNQDmp8x</t>
  </si>
  <si>
    <t>China: corte nas taxas de depósito se tornou uma missão crítica para os bancos chineses
#economia #investimentos #negócios #investidor #ibovespa #ações #mercadofinaceiro 
https://t.co/oUhoIKtaqf</t>
  </si>
  <si>
    <t>Light (LIGT3): Justiça do Rio nega recurso de credores contra recuperação judicial
#economia #investimentos #negócios #investidor #ibovespa #ações #mercadofinaceiro 
https://t.co/8sUCcJfuGR</t>
  </si>
  <si>
    <t>As empresas da B3 estão mais lucrativas do que há uma década?
#economia #investimentos #negócios #investidor #ibovespa #ações #mercadofinaceiro 
https://t.co/gkTyoqYiYY</t>
  </si>
  <si>
    <t>Rodrigo Marvão eleito para o conselho da CVC (CVCB3) 
#economia #investimentos #negócios #investidor #ibovespa #ações #mercadofinaceiro 
https://t.co/hgAXPINkhG</t>
  </si>
  <si>
    <t>BRF (BRFS3) diz que mantém negociações, em caráter não exclusivo, para venda de determinados precatórios
#economia #investimentos #negócios #investidor #ibovespa #ações #mercadofinaceiro 
https://t.co/dOsNsV967Z</t>
  </si>
  <si>
    <t>Randoncorp (RAPT4): Morgan Stanley informa aumento de participação relevante
#economia #investimentos #negócios #investidor #ibovespa #ações #mercadofinaceiro 
https://t.co/y7Q9zE2u3c</t>
  </si>
  <si>
    <t>Localiza (RENT3) paga dia 19/05 JCP anunciado em março
#economia #investimentos #negócios #investidor #ibovespa #ações #mercadofinaceiro 
https://t.co/NEzYAfDqn6</t>
  </si>
  <si>
    <t>Dividendos da Unipar (UNIP6): ‘2022 foi completamente fora da curva’, diz CFO
#economia #investimentos #negócios #investidor #ibovespa #ações #mercadofinaceiro 
https://t.co/GlUv8cBTwl</t>
  </si>
  <si>
    <t>Risco de calote dos EUA já é 50% maior que o da Microsoft e 145% que o da Apple
#economia #investimentos #negócios #investidor #ibovespa #ações #mercadofinaceiro 
https://t.co/TZ4volsCYT</t>
  </si>
  <si>
    <t>Americanas, manipulação no futebol e MST na mira da Câmara dos Deputados; entenda
#economia #investimentos #negócios #investidor #ibovespa #ações #mercadofinaceiro 
https://t.co/0fEEQ9DwEe</t>
  </si>
  <si>
    <t>O apetite ao risco dos ‘gringos’ cresce mais do que nunca no Brasil; por que as startups nacionais chamam atenção?
#economia #investimentos #negócios #investidor #ibovespa #ações #mercadofinaceiro 
https://t.co/Xb8kFC4NDJ</t>
  </si>
  <si>
    <t>Itaú troca estatal federal por estadual em carteira; veja mudanças
#economia #investimentos #negócios #investidor #ibovespa #ações #mercadofinaceiro 
https://t.co/ABLZPGYoro</t>
  </si>
  <si>
    <t>Dívida dos EUA rebaixada? Como o ano de 2011 serve de alerta para a novela do calote
#economia #investimentos #negócios #investidor #ibovespa #ações #mercadofinaceiro 
https://t.co/tXahnLDCrh</t>
  </si>
  <si>
    <t>Day Trade: Prio (PRIO3), B3 (B3SA3) e mais 5 ações para comprar nesta quinta (28) e buscar até 3,2%
#economia #investimentos #negócios #investidor #ibovespa #ações #mercadofinaceiro 
https://t.co/0x0PvniNAP</t>
  </si>
  <si>
    <t>Petrobras (PETR4); Prio (PRIO3); 123Milhas: Veja os destaques das empresas
#economia #investimentos #negócios #investidor #ibovespa #ações #mercadofinaceiro 
https://t.co/reeK69VYmb</t>
  </si>
  <si>
    <t>Governo pode perdoar dívidas de até R$ 20 mil; veja a agenda desta quinta (21)
#economia #investimentos #negócios #investidor #ibovespa #ações #mercadofinaceiro 
https://t.co/bq8PweejnR</t>
  </si>
  <si>
    <t>Banco da Inglaterra mantém os juros em 5,25%, em votação dividida
#economia #investimentos #negócios #investidor #ibovespa #ações #mercadofinaceiro 
https://t.co/z0GVytFRuU</t>
  </si>
  <si>
    <t>JCP: Itaúsa (ITSA4) vai pagar R$ 0,1165 por ação a quem mantiver papéis até hoje
#economia #investimentos #negócios #investidor #ibovespa #ações #mercadofinaceiro 
https://t.co/suf0vk7aep</t>
  </si>
  <si>
    <t>Bitcoin reage mal à projeção de alta de juros nos EUA e perde os US$ 27 mil
#economia #investimentos #negócios #investidor #ibovespa #ações #mercadofinaceiro 
https://t.co/JtbwyCo3lH</t>
  </si>
  <si>
    <t>Track&amp;amp;Field (TFCO4) e Cemig (CMIG4) pagarão JCP, PRIO (PRIO3) inicia produção em poço em Campo e GetNinjas (NINJ3) aprova redução de capital
#economia #investimentos #negócios #investidor #ibovespa #ações #mercadofinaceiro 
https://t.co/Xg0UxETvmi</t>
  </si>
  <si>
    <t>Futuros de NY operam sem direção definida após melhor semana desde março e repercutindo Opep+: os assuntos do mercado hoje
#economia #investimentos #negócios #investidor #ibovespa #ações #mercadofinaceiro 
https://t.co/IsSxih2qdM</t>
  </si>
  <si>
    <t>Tempo Real: Ibovespa pode manter rojão nesta segunda-feira (5); entenda
#economia #investimentos #negócios #investidor #ibovespa #ações #mercadofinaceiro 
https://t.co/fL6iyLh9LR</t>
  </si>
  <si>
    <t>Arábia Saudita anuncia cortes em sua produção de 1 milhão de barris de petróleo por dia
#economia #investimentos #negócios #investidor #ibovespa #ações #mercadofinaceiro 
https://t.co/L84jsF2u8H</t>
  </si>
  <si>
    <t>Santos Brasil (STBP3) consegue unir todo o mercado. O que os analistas veem?
#economia #investimentos #negócios #investidor #ibovespa #ações #mercadofinaceiro 
https://t.co/BAE4EKC1bp</t>
  </si>
  <si>
    <t>“Tombo” da inflação no atacado pode emparedar Banco Central
#economia #investimentos #negócios #investidor #ibovespa #ações #mercadofinaceiro 
https://t.co/IoLAEI678l</t>
  </si>
  <si>
    <t>BRF (BRFS3): acionistas deliberarão sobre aumento de capital
#economia #investimentos #negócios #investidor #ibovespa #ações #mercadofinaceiro 
https://t.co/FUG71FEvPU</t>
  </si>
  <si>
    <t>Quer investir no varejo? Saiba qual é a ação queridinha das corretoras
#economia #investimentos #negócios #investidor #ibovespa #ações #mercadofinaceiro 
https://t.co/bXDVEHevuD</t>
  </si>
  <si>
    <t>Senado dos EUA aprova projeto de lei para aumentar teto da dívida, evitando primeiro calote do país
#economia #investimentos #negócios #investidor #ibovespa #ações #mercadofinaceiro 
https://t.co/ZI8IdKQTj3</t>
  </si>
  <si>
    <t>Elon Musk é acusado de insider trading por investidores
#economia #investimentos #negócios #investidor #ibovespa #ações #mercadofinaceiro 
https://t.co/B8VRP4oYkN</t>
  </si>
  <si>
    <t>BRF (BRFS3) convoca assembleia para 3 de julho
#economia #investimentos #negócios #investidor #ibovespa #ações #mercadofinaceiro 
https://t.co/faMY63OB9x</t>
  </si>
  <si>
    <t>São Carlos (SCAR3) vende imóveis por R$ 51 milhões
#economia #investimentos #negócios #investidor #ibovespa #ações #mercadofinaceiro 
https://t.co/YtuBP7r4SY</t>
  </si>
  <si>
    <t>Paradice reduz participação na Yduqs (YDUQ3)
#economia #investimentos #negócios #investidor #ibovespa #ações #mercadofinaceiro 
https://t.co/ozj97v9wg4</t>
  </si>
  <si>
    <t>Syn Prop e Tech (SYNE) encerra contrato de assessoria para avaliar oportunidades relacionadas a dois shoppings 
#economia #investimentos #negócios #investidor #ibovespa #ações #mercadofinaceiro 
https://t.co/xu4g49EHaQ</t>
  </si>
  <si>
    <t>Equatorial (EQTL3) confirma namoro para comprar ativos da Light (LIGT3)
#economia #investimentos #negócios #investidor #ibovespa #ações #mercadofinaceiro 
https://t.co/hS1U54EgDv</t>
  </si>
  <si>
    <t>Presidente do BofA vê banco de investimento e trading estáveis no 2º tri
#economia #investimentos #negócios #investidor #ibovespa #ações #mercadofinaceiro 
https://t.co/n7PsTkD4vA</t>
  </si>
  <si>
    <t>Tchau, commodities: Mercado volta a olhar para ações domésticas; o que gestores estão comprando?
#economia #investimentos #negócios #investidor #ibovespa #ações #mercadofinaceiro 
https://t.co/iKi6kau0jm</t>
  </si>
  <si>
    <t>Stablecoin Tether bate maior valor de mercado de sua história; saiba quanto
#economia #investimentos #negócios #investidor #ibovespa #ações #mercadofinaceiro 
https://t.co/kUtc52G7CI</t>
  </si>
  <si>
    <t>Shell planeja venda de negócio francês de energia eólica Eolfi
#economia #investimentos #negócios #investidor #ibovespa #ações #mercadofinaceiro 
https://t.co/o1rtK5uKlv</t>
  </si>
  <si>
    <t>Petrobras (PETR4) irá absorver oscilações sem repassar preços imediatamente ao consumidor, diz Prates
#economia #investimentos #negócios #investidor #ibovespa #ações #mercadofinaceiro 
https://t.co/kWVEKko2g9</t>
  </si>
  <si>
    <t>Mercado hoje: Bolsa repercute primeira aprovação do arcabouço fiscal na Câmara e negociações sobre dívida dos EUA
#economia #investimentos #negócios #investidor #ibovespa #ações #mercadofinaceiro 
https://t.co/LHUjNzUC3Q</t>
  </si>
  <si>
    <t>Maior do mercado, FII com mais de 800 mil cotistas aumenta dividendos em 24% no 1º trimestre; por quê?
#economia #investimentos #negócios #investidor #ibovespa #ações #mercadofinaceiro 
https://t.co/1xDUcZTF5A</t>
  </si>
  <si>
    <t>Bolsas da Ásia refletem esperança do investidor sobre acordo para o teto da dívida dos EUA
#economia #investimentos #negócios #investidor #ibovespa #ações #mercadofinaceiro 
https://t.co/bFU0dr66Hy</t>
  </si>
  <si>
    <t>Mercados nesta quinta, minério, petróleo e notícias de empresas da Bolsa
#economia #investimentos #negócios #investidor #ibovespa #ações #mercadofinaceiro 
https://t.co/vGcVyzablZ</t>
  </si>
  <si>
    <t>Meta, dona do Facebook e do Instagram, vai receber multa recorde da UE sobre proteção de dados
#economia #investimentos #negócios #investidor #ibovespa #ações #mercadofinaceiro 
https://t.co/erSmQu8QvA</t>
  </si>
  <si>
    <t>País tem condição de crescer até 2% em 2024 com redução de juros, diz Haddad
#economia #investimentos #negócios #investidor #ibovespa #ações #mercadofinaceiro 
https://t.co/5dgTESicPy</t>
  </si>
  <si>
    <t>JCP: Cielo (CIEL3) paga R$ 196,2 milhões hoje
#economia #investimentos #negócios #investidor #ibovespa #ações #mercadofinaceiro 
https://t.co/iDUZVeEyf3</t>
  </si>
  <si>
    <t>JCP: Localiza (RENT3) vai pagar R$ 362,8 milhões
#economia #investimentos #negócios #investidor #ibovespa #ações #mercadofinaceiro 
https://t.co/FAennbMa1g</t>
  </si>
  <si>
    <t>Ibovespa e dólar hoje: arcabouço fiscal, Petrobras (PETR3)(PETR4), teto da dívida dos EUA e mais
#economia #investimentos #negócios #investidor #ibovespa #ações #mercadofinaceiro 
https://t.co/E3jIvmxY6R</t>
  </si>
  <si>
    <t>Stone (STOC31) tem lucro ajustado de R$ 236,6 milhões no primeiro trimestre, alta anual de 456%
#economia #investimentos #negócios #investidor #ibovespa #ações #mercadofinaceiro 
https://t.co/PZ6PwdQzCr</t>
  </si>
  <si>
    <t>Dominadores do e-commerce brasileiro são destaque nos jornais nesta quinta-feira (18)
#economia #investimentos #negócios #investidor #ibovespa #ações #mercadofinaceiro 
https://t.co/s6CTrM9wS2</t>
  </si>
  <si>
    <t>Os Futuros do Petróleo subiram durante a sessão asiática
#economia #investimentos #negócios #investidor #ibovespa #ações #mercadofinaceiro 
https://t.co/23p13LyvkO</t>
  </si>
  <si>
    <t>Pedidos de hipotecas nos EUA caem 5,7% em uma semana e juro de 6,57% é o mais alto em dois meses
#economia #investimentos #negócios #investidor #ibovespa #ações #mercadofinaceiro 
https://t.co/6UsCo692Bf</t>
  </si>
  <si>
    <t>Petrobras (PETR4) identifica presença de hidrocarbonetos em poço do bloco Aram, no pré-sal da Bacia de Santos
#economia #investimentos #negócios #investidor #ibovespa #ações #mercadofinaceiro 
https://t.co/cqt1Ru5glS</t>
  </si>
  <si>
    <t>Dividendos: Lopes Brasil (LPSB3) vai pagar R$ 2,8 milhões
#economia #investimentos #negócios #investidor #ibovespa #ações #mercadofinaceiro 
https://t.co/fUz3EsKsCp</t>
  </si>
  <si>
    <t>PIB do Japão avança 0,4% no 1° trimestre ante 4° trimestre de 2022, acima da estimativa de 0,1%
#economia #investimentos #negócios #investidor #ibovespa #ações #mercadofinaceiro 
https://t.co/TXlCfdclEY</t>
  </si>
  <si>
    <t>Inflação anual ao consumidor na zona do euro sobe 7,0% em abril, dentro do esperado
#economia #investimentos #negócios #investidor #ibovespa #ações #mercadofinaceiro 
https://t.co/X0vD7LENnz</t>
  </si>
  <si>
    <t>Combustível mais barato vai mesmo aliviar o bolso do brasileiro?
#economia #investimentos #negócios #investidor #ibovespa #ações #mercadofinaceiro 
https://t.co/S21cZ9AqmN</t>
  </si>
  <si>
    <t>ALPA4: Com maior queda do ano, o que a análise técnica aponta sobre as ações de Alpargatas?
#economia #investimentos #negócios #investidor #ibovespa #ações #mercadofinaceiro 
https://t.co/gJ5YFgaGr3</t>
  </si>
  <si>
    <t>Quem é Linda Yaccarino, a escolha de Elon Musk para CEO do Twitter
#economia #investimentos #negócios #investidor #ibovespa #ações #mercadofinaceiro 
https://t.co/B717UdJNCc</t>
  </si>
  <si>
    <t>Moody’s rebaixa rating da Light
#economia #investimentos #negócios #investidor #ibovespa #ações #mercadofinaceiro 
https://t.co/p0VbHf2mAj</t>
  </si>
  <si>
    <t>Atmos Capital reduz participação na Zamp (ZAMP3)
#economia #investimentos #negócios #investidor #ibovespa #ações #mercadofinaceiro 
https://t.co/W1XmOp8FmY</t>
  </si>
  <si>
    <t>Lucro do BNDES tem queda de 28% no primeiro trimestre
#economia #investimentos #negócios #investidor #ibovespa #ações #mercadofinaceiro 
https://t.co/4ced3mL5d1</t>
  </si>
  <si>
    <t>Prates: Petrobras (PETR4) tem concorrência, todas as refinarias do mundo são concorrentes
#economia #investimentos #negócios #investidor #ibovespa #ações #mercadofinaceiro 
https://t.co/rxGiu1mtaB</t>
  </si>
  <si>
    <t>Nova política da Petrobras (PETR4) não vai se afastar dos preços internacionais, diz Prates
#economia #investimentos #negócios #investidor #ibovespa #ações #mercadofinaceiro 
https://t.co/uRe5wJUvQ5</t>
  </si>
  <si>
    <t>Dirigente do Fed em Chicago considera “prematuro” antever cortes de juros este ano nos EUA
#economia #investimentos #negócios #investidor #ibovespa #ações #mercadofinaceiro 
https://t.co/pEtOLzw2iJ</t>
  </si>
  <si>
    <t>Inteligência artificial deixa fundadores do Google mais ricos; veja valores
#economia #investimentos #negócios #investidor #ibovespa #ações #mercadofinaceiro 
https://t.co/LqCJSaym0e</t>
  </si>
  <si>
    <t>Estratégia comercial da Petrobras (PETR4) trará mais desafios quando preços dispararem
#economia #investimentos #negócios #investidor #ibovespa #ações #mercadofinaceiro 
https://t.co/ojcTpGM1eE</t>
  </si>
  <si>
    <t>Argentina: O que acontece com a Bolsa do país com juros beirando 100%?
#economia #investimentos #negócios #investidor #ibovespa #ações #mercadofinaceiro 
https://t.co/x8g3RRSol8</t>
  </si>
  <si>
    <t>Veja quando está o PIB da Zona do euro do primeiro trimestre
#economia #investimentos #negócios #investidor #ibovespa #ações #mercadofinaceiro 
https://t.co/NpuyGZb14v</t>
  </si>
  <si>
    <t>Investidores humanos x inteligência artificial: quem está ganhando?
#economia #investimentos #negócios #investidor #ibovespa #ações #mercadofinaceiro 
https://t.co/ctp6JExQot</t>
  </si>
  <si>
    <t>Dividendos: Melnick (MELK3) vai pagar R$ 23 milhões
#economia #investimentos #negócios #investidor #ibovespa #ações #mercadofinaceiro 
https://t.co/IBDavF5mRR</t>
  </si>
  <si>
    <t>Day Trade: CSN Mineração  (CMIN3), B3 (B3SA3) e mais 5 ações para comprar hoje e lucrar até 3,3%
#economia #investimentos #negócios #investidor #ibovespa #ações #mercadofinaceiro 
https://t.co/6Uhw6h6uNM</t>
  </si>
  <si>
    <t>IRDM11, RBRR11: 9 FIIS que vão pagar proventos hoje; veja quais
#economia #investimentos #negócios #investidor #ibovespa #ações #mercadofinaceiro 
https://t.co/oiMOn4zSlW</t>
  </si>
  <si>
    <t>Itaú Unibanco revisa projeção do IPCA 2023 de 6,0% para 5,8% após corte dos combustíveis
#economia #investimentos #negócios #investidor #ibovespa #ações #mercadofinaceiro 
https://t.co/ovOYbBhiL1</t>
  </si>
  <si>
    <t>Mercados nesta quarta, minério, petróleo e notícias de empresas da Bolsa
#economia #investimentos #negócios #investidor #ibovespa #ações #mercadofinaceiro 
https://t.co/rHPZX4z9Aj</t>
  </si>
  <si>
    <t>PIB da zona do euro cresce 0,1% no 1° trimestre de 2023, dentro do esperado
#economia #investimentos #negócios #investidor #ibovespa #ações #mercadofinaceiro 
https://t.co/8ttjRWOi0Z</t>
  </si>
  <si>
    <t>Bolsas da Ásia se dividem com PIB surpreendente do Japão e risco de calote dos EUA
#economia #investimentos #negócios #investidor #ibovespa #ações #mercadofinaceiro 
https://t.co/wB6T2qGM5K</t>
  </si>
  <si>
    <t>JCP: Itaúsa (ITSA4) vai pagar R$ 0,02 por ação
#economia #investimentos #negócios #investidor #ibovespa #ações #mercadofinaceiro 
https://t.co/qZO3jOu14U</t>
  </si>
  <si>
    <t>Dividendos: CSU Digital (CSUD3) paga R$ 14,586 milhões hoje
#economia #investimentos #negócios #investidor #ibovespa #ações #mercadofinaceiro 
https://t.co/zYSZCV9qTq</t>
  </si>
  <si>
    <t>Dividendos e JCP: BB (BBAS3) vai pagar R$ 2,218 bilhões
#economia #investimentos #negócios #investidor #ibovespa #ações #mercadofinaceiro 
https://t.co/QMHejddK9o</t>
  </si>
  <si>
    <t>JCP: Gerdau (GGBR4) passa a negociar ações ex-direitos a R$ 892 milhões
#economia #investimentos #negócios #investidor #ibovespa #ações #mercadofinaceiro 
https://t.co/ojrzFme591</t>
  </si>
  <si>
    <t>Dividendos e JCP: Metalúrgica Gerdau (GOAU4) passa a negociar ações ex-direitos a R$ 309,6 milhões
#economia #investimentos #negócios #investidor #ibovespa #ações #mercadofinaceiro 
https://t.co/Xm2KuVCynn</t>
  </si>
  <si>
    <t>JCP: Valid (VLID3) passa a negociar ações ex-direitos a R$ 14,4 milhões
#economia #investimentos #negócios #investidor #ibovespa #ações #mercadofinaceiro 
https://t.co/905NCtFnYA</t>
  </si>
  <si>
    <t>Por que o Magazine Luiza (MGLU3) teve o pior prejuízo desde IPO, em 2011
#economia #investimentos #negócios #investidor #ibovespa #ações #mercadofinaceiro 
https://t.co/83jkIuHPv3</t>
  </si>
  <si>
    <t>Marisa (AMAR3) tem prejuízo líquido de R$ 149 milhões no primeiro trimestre, alta de 64,2% no ano
#economia #investimentos #negócios #investidor #ibovespa #ações #mercadofinaceiro 
https://t.co/PTYrL2BbMJ</t>
  </si>
  <si>
    <t>Cruzeiro do Sul (CSED3) tem lucro ajustado de R$ 12,1 mi no primeiro trimestre, alta anual de 10,2%
#economia #investimentos #negócios #investidor #ibovespa #ações #mercadofinaceiro 
https://t.co/ET1AvTpDsU</t>
  </si>
  <si>
    <t>IRB (IRBR3) lucra R$ 8,6 milhões no 1º tri, queda anual de 89,4%, com impacto de acordo nos EUA
#economia #investimentos #negócios #investidor #ibovespa #ações #mercadofinaceiro 
https://t.co/yPuhgBEe1z</t>
  </si>
  <si>
    <t>Berkshire Hathaway aumenta posição em grandes empresas
#economia #investimentos #negócios #investidor #ibovespa #ações #mercadofinaceiro 
https://t.co/7zMG3ztAW2</t>
  </si>
  <si>
    <t>Aliansce Sonae divulga primeiro balanço pós-fusão; veja o lucro líquido
#economia #investimentos #negócios #investidor #ibovespa #ações #mercadofinaceiro 
https://t.co/xwBX1a9XUt</t>
  </si>
  <si>
    <t>Cemig (CMIG4) pode ser responsabilizada por acidente de Marília Mendonça? Entenda
#economia #investimentos #negócios #investidor #ibovespa #ações #mercadofinaceiro 
https://t.co/OXkNKjPyaC</t>
  </si>
  <si>
    <t>Magazine Luiza (MGLU3): Prejuízo líquido chega a R$ 309,4 milhões, pior do que o esperado
#economia #investimentos #negócios #investidor #ibovespa #ações #mercadofinaceiro 
https://t.co/hF5MczNneZ</t>
  </si>
  <si>
    <t>Kora Saúde (KRSA3) tem lucro líquido de R$ 3,2 milhões no primeiro trimestre, queda de 93% no ano
#economia #investimentos #negócios #investidor #ibovespa #ações #mercadofinaceiro 
https://t.co/wA5SJEQv6I</t>
  </si>
  <si>
    <t>Even (EVEN3) tem salto de 263,4% do lucro no primeiro trimestre, para R$ 54,7 milhões
#economia #investimentos #negócios #investidor #ibovespa #ações #mercadofinaceiro 
https://t.co/WwjjJDIM8T</t>
  </si>
  <si>
    <t>Gerdau (GGBR4); Neoenergia (NEOE3); Casas Bahia (BHIA3): Veja os destaques das empresas
#economia #investimentos #negócios #investidor #ibovespa #ações #mercadofinaceiro 
https://t.co/ncN8lP0SmJ</t>
  </si>
  <si>
    <t>PetroReconcavo (RECV3) atualiza informações sobre o escoamento e processamento da produção de gás natural no RN 
#economia #investimentos #negócios #investidor #ibovespa #ações #mercadofinaceiro 
https://t.co/YuaD7RPn9t</t>
  </si>
  <si>
    <t>PetroReconcavo (RECV3) sobre o escoamento de produção de gás natural no RN 
#economia #investimentos #negócios #investidor #ibovespa #ações #mercadofinaceiro 
https://t.co/hL9wupK9Ao</t>
  </si>
  <si>
    <t>Oi (OIBR3): credores financeiros realizam desembolso da 1ª tranche do financiamento DIP 
#economia #investimentos #negócios #investidor #ibovespa #ações #mercadofinaceiro 
https://t.co/0FVxUddUA7</t>
  </si>
  <si>
    <t>Copel (CPLE6) avança rumo à privatização com proposta de reforma do estatuto
#economia #investimentos #negócios #investidor #ibovespa #ações #mercadofinaceiro 
https://t.co/UkDzbbuBoR</t>
  </si>
  <si>
    <t>Maior gestora do mundo vende ação que já entregou ganhos de mais de 40% em 2023
#economia #investimentos #negócios #investidor #ibovespa #ações #mercadofinaceiro 
https://t.co/VSwBJ4hvjp</t>
  </si>
  <si>
    <t>Subsídios da União chegam a R$ 581,49 bilhões em 2022, diz Ministério do Planejamento
#economia #investimentos #negócios #investidor #ibovespa #ações #mercadofinaceiro 
https://t.co/9ntqY46Lqr</t>
  </si>
  <si>
    <t>Itaú (ITUB4) pagará mais uma rodada de juros sobre o capital próprio; veja valores e datas
#economia #investimentos #negócios #investidor #ibovespa #ações #mercadofinaceiro 
https://t.co/PW8ctOfibV</t>
  </si>
  <si>
    <t>Itaú (ITUB4) aprova pagamento de JCP no valor de R$ 0,2663 por ação
#economia #investimentos #negócios #investidor #ibovespa #ações #mercadofinaceiro 
https://t.co/nk2z3xHXJJ</t>
  </si>
  <si>
    <t>Fluxo cambial total no ano até 2 de junho é positivo em US$ 12,780 bi, mostra BC
#economia #investimentos #negócios #investidor #ibovespa #ações #mercadofinaceiro 
https://t.co/eHAJkZi9rQ</t>
  </si>
  <si>
    <t>Calendário Econômico: quarta-feira, 7 de junho
#economia #investimentos #negócios #investidor #ibovespa #ações #mercadofinaceiro 
https://t.co/I1IfJ1wp88</t>
  </si>
  <si>
    <t>Banco Mundial eleva para 1,2% previsão de crescimento do Brasil em 2023
#economia #investimentos #negócios #investidor #ibovespa #ações #mercadofinaceiro 
https://t.co/xrK4jv4SZM</t>
  </si>
  <si>
    <t>Bradesco (BBDC4) espera números melhores no segundo semestre, após primeiro trimestre ‘volátil’
#economia #investimentos #negócios #investidor #ibovespa #ações #mercadofinaceiro 
https://t.co/8kc2twOka1</t>
  </si>
  <si>
    <t>Energia deve ter investimento de R$ 56 bilhões, diz ministro
#economia #investimentos #negócios #investidor #ibovespa #ações #mercadofinaceiro 
https://t.co/g27OebhZn2</t>
  </si>
  <si>
    <t>Lucro líquido da Berkshire Hathaway, de Buffett, salta 536% no 1º tri, para US$ 35,5 bi; ganhos operacionais sobem 12,6%
#economia #investimentos #negócios #investidor #ibovespa #ações #mercadofinaceiro 
https://t.co/YQjEJts7s1</t>
  </si>
  <si>
    <t>Falta de peças ainda é gargalo para indústria de máquinas agrícolas
#economia #investimentos #negócios #investidor #ibovespa #ações #mercadofinaceiro 
https://t.co/DcucGVDST0</t>
  </si>
  <si>
    <t>Veículos elétricos chineses chegam aos mercados globais
#economia #investimentos #negócios #investidor #ibovespa #ações #mercadofinaceiro 
https://t.co/zc69IumJW4</t>
  </si>
  <si>
    <t>Prio (PRIO3) pode disparar mais de 20%, segundo a XP
#economia #investimentos #negócios #investidor #ibovespa #ações #mercadofinaceiro 
https://t.co/rGmB1q30NG</t>
  </si>
  <si>
    <t>Lojas Renner (LREN3): Itaú BBA elogia projeções
#economia #investimentos #negócios #investidor #ibovespa #ações #mercadofinaceiro 
https://t.co/0j6AjicTmY</t>
  </si>
  <si>
    <t>Criptomoedas falsas ligadas a Elon Musk e ChatGPT atraem a ira de reguladores dos EUA
#economia #investimentos #negócios #investidor #ibovespa #ações #mercadofinaceiro 
https://t.co/29LotN2F6Q</t>
  </si>
  <si>
    <t>Bill Ackman: nos bancos regionais dos EUA, ‘dominós estão caindo com grande custo sistêmico e econômico’
#economia #investimentos #negócios #investidor #ibovespa #ações #mercadofinaceiro 
https://t.co/Ph89OUlBXv</t>
  </si>
  <si>
    <t>Prejuízo líquido da HB Realty (HBRE3) recua 72,7% no 1TRI23, para R$ 1,5 mi
#economia #investimentos #negócios #investidor #ibovespa #ações #mercadofinaceiro 
https://t.co/sH30Z64weh</t>
  </si>
  <si>
    <t>Lucro da Vivara (VIVA3) recua 16% no 1TRI23, para R$ 38,5 mi
#economia #investimentos #negócios #investidor #ibovespa #ações #mercadofinaceiro 
https://t.co/WdsrPKHzvi</t>
  </si>
  <si>
    <t>EUA avançam com auxílio de US$ 500 milhões em armamentos para Taiwan, diz Reuters
#economia #investimentos #negócios #investidor #ibovespa #ações #mercadofinaceiro 
https://t.co/9DJ9Davey6</t>
  </si>
  <si>
    <t>Petroleira desbanca Vale (VALE3) e Itaú (ITUB4) e é a ação mais recomendada entre 28 analistas
#economia #investimentos #negócios #investidor #ibovespa #ações #mercadofinaceiro 
https://t.co/uR95aWLJYU</t>
  </si>
  <si>
    <t>AGU pede ao STF que União tenha voto proporcional à sua participação na Eletrobras (ELET3)
#economia #investimentos #negócios #investidor #ibovespa #ações #mercadofinaceiro 
https://t.co/ERioa02BdU</t>
  </si>
  <si>
    <t>Tok&amp;amp;Stok pode estender dívida e receber capitalização de R$ 100 milhões; entenda
#economia #investimentos #negócios #investidor #ibovespa #ações #mercadofinaceiro 
https://t.co/mDtMKROQqa</t>
  </si>
  <si>
    <t>Petrobras (PETR4) tem aval da ANP para retomar produção de mais 9 instalações no Polo Bahia Terra
#economia #investimentos #negócios #investidor #ibovespa #ações #mercadofinaceiro 
https://t.co/boeilw0OIb</t>
  </si>
  <si>
    <t>Petrobras (PETR4) avança em diesel renovável na Repar e vai estender produção para mais 4 refinarias
#economia #investimentos #negócios #investidor #ibovespa #ações #mercadofinaceiro 
https://t.co/CBrq6qH4VJ</t>
  </si>
  <si>
    <t>Ministra da Gestão prevê R$ 1,3 bi para retomada de obras da usina nuclear Angra 3
#economia #investimentos #negócios #investidor #ibovespa #ações #mercadofinaceiro 
https://t.co/RoCaA3GiCT</t>
  </si>
  <si>
    <t>Fundos imobiliários: Sequência inédita em 2023 e proposta milionária para vender imóvel
#economia #investimentos #negócios #investidor #ibovespa #ações #mercadofinaceiro 
https://t.co/EMZpheCct5</t>
  </si>
  <si>
    <t>Selic a 13,75%: qual a melhor opção entre a renda fixa pré e pós-fixada?
#economia #investimentos #negócios #investidor #ibovespa #ações #mercadofinaceiro 
https://t.co/dq4qJqkdLW</t>
  </si>
  <si>
    <t>Títulos da ‘Renda Fixa Especial’ podem pagar IPCA + 8,3% ao ano com isenção de IR; veja lista
#economia #investimentos #negócios #investidor #ibovespa #ações #mercadofinaceiro 
https://t.co/QMboq6CFqZ</t>
  </si>
  <si>
    <t>Ambev (ABEV3): Lucro líquido vai a R$ 3,8 bilhões no 1T23, aumento de 8% no ano
#economia #investimentos #negócios #investidor #ibovespa #ações #mercadofinaceiro 
https://t.co/EROihpieHC</t>
  </si>
  <si>
    <t>Eletrobras (ELET6): Justiça suspende obras e condena Eletronorte a indenizar indígenas em R$ 17 milhões
#economia #investimentos #negócios #investidor #ibovespa #ações #mercadofinaceiro 
https://t.co/xC52XUmIuT</t>
  </si>
  <si>
    <t>PMI industrial da China cai de 50,0 em março para 49,5 em abril; estimativa era de alta, para 50,3
#economia #investimentos #negócios #investidor #ibovespa #ações #mercadofinaceiro 
https://t.co/Q5Metzy9UO</t>
  </si>
  <si>
    <t>Embraer (EMBR3): prejuízo líquido ajustado sobe 13,2% no primeiro trimestre, para R$ 466,9 milhões
#economia #investimentos #negócios #investidor #ibovespa #ações #mercadofinaceiro 
https://t.co/2poIRaab8n</t>
  </si>
  <si>
    <t>PMI de serviços da Alemanha avança para 56,0 em abril e supera projeções
#economia #investimentos #negócios #investidor #ibovespa #ações #mercadofinaceiro 
https://t.co/w1rzRO0lTM</t>
  </si>
  <si>
    <t>Dividendos e JCP: Vittia (VITT3) vai pagar R$ 13,4 milhões
#economia #investimentos #negócios #investidor #ibovespa #ações #mercadofinaceiro 
https://t.co/5eJQ66x5qT</t>
  </si>
  <si>
    <t>Brasil tem maior juro real do mundo. O que isso significa na prática?
#economia #investimentos #negócios #investidor #ibovespa #ações #mercadofinaceiro 
https://t.co/6XBJQRCgFp</t>
  </si>
  <si>
    <t>13 ações para lucrar na Bolsa com a Selic a 13,75% ao ano
#economia #investimentos #negócios #investidor #ibovespa #ações #mercadofinaceiro 
https://t.co/9VBQto5v2I</t>
  </si>
  <si>
    <t>Eletrobras: Justiça suspende obras e condena Eletronorte a indenizar indígenas em R$ 17 mi
#economia #investimentos #negócios #investidor #ibovespa #ações #mercadofinaceiro 
https://t.co/eFIKuHLNK6</t>
  </si>
  <si>
    <t>Tenda (TEND3) tem baixa de 37,8% no prejuízo no 1º trimestre de 2023, para R$ 41,9 mi
#economia #investimentos #negócios #investidor #ibovespa #ações #mercadofinaceiro 
https://t.co/mcGUjcKZVG</t>
  </si>
  <si>
    <t>Analistas acreditam que diminuíram as chances de o Copom iniciar os cortes de juros em junho
#economia #investimentos #negócios #investidor #ibovespa #ações #mercadofinaceiro 
https://t.co/kQFNcXumb0</t>
  </si>
  <si>
    <t>Neogrid (NGRD3) lucra R$ 3,5 milhões no 1º trimestre, baixa anual de 11,7%
#economia #investimentos #negócios #investidor #ibovespa #ações #mercadofinaceiro 
https://t.co/1Qe13smld2</t>
  </si>
  <si>
    <t>Bolsas da Ásia fecham mistas, após Fed elevar juros
#economia #investimentos #negócios #investidor #ibovespa #ações #mercadofinaceiro 
https://t.co/AdRfGH2yQI</t>
  </si>
  <si>
    <t>Balanços do 1º tri: CSN (CSNA3) e GPA (PCAR3) dão prejuízo; Ambev (ABEV3) e Prio (PRIO3) lucram
#economia #investimentos #negócios #investidor #ibovespa #ações #mercadofinaceiro 
https://t.co/O06RlBt1Zw</t>
  </si>
  <si>
    <t>Mercados nesta quinta, minério, petróleo, lucro da Taesa, provento da CSN e CSN Mineração e outras notícias
#economia #investimentos #negócios #investidor #ibovespa #ações #mercadofinaceiro 
https://t.co/NV6RD5gvIQ</t>
  </si>
  <si>
    <t>Por que Ibovespa e ações brasileiras podem surpreender nesta quinta-feira (4)
#economia #investimentos #negócios #investidor #ibovespa #ações #mercadofinaceiro 
https://t.co/yX8eccafuV</t>
  </si>
  <si>
    <t>Petrobras (PETR4) tem baixa de 4,3% na produção total no 1º trimestre
#economia #investimentos #negócios #investidor #ibovespa #ações #mercadofinaceiro 
https://t.co/11xDkhN8TH</t>
  </si>
  <si>
    <t>Ibovespa e dólar hoje (4): day-after de Copom e FOMC, balanços, PacWest, indústria da China e mais
#economia #investimentos #negócios #investidor #ibovespa #ações #mercadofinaceiro 
https://t.co/sLULbjUGYO</t>
  </si>
  <si>
    <t>Os Futuros de Ouro subiram durante a sessão asiática
#economia #investimentos #negócios #investidor #ibovespa #ações #mercadofinaceiro 
https://t.co/T0Rn1tJH5y</t>
  </si>
  <si>
    <t>Bmg e Inter aportam R$ 70 milhões na Granito e contratam novo CEO
#economia #investimentos #negócios #investidor #ibovespa #ações #mercadofinaceiro 
https://t.co/KBgPRVwcRJ</t>
  </si>
  <si>
    <t>Carrefour (CRFB3) deu prejuízo, mas ações podem disparar mais de 80%, dizem analistas
#economia #investimentos #negócios #investidor #ibovespa #ações #mercadofinaceiro 
https://t.co/ydsiSuMsy8</t>
  </si>
  <si>
    <t>Marcopolo (POMO4): Patamar de lucro com alta de 140% no 1T23 é tendência para o ano?
#economia #investimentos #negócios #investidor #ibovespa #ações #mercadofinaceiro 
https://t.co/Ko3L4S8gTm</t>
  </si>
  <si>
    <t>Inflação ao consumidor da Turquia desacelera pelo 6º mês seguido em abril, para 43,7%
#economia #investimentos #negócios #investidor #ibovespa #ações #mercadofinaceiro 
https://t.co/XqOYHTltFR</t>
  </si>
  <si>
    <t>Dividendos e JCP: Grendene (GRND3) passa a negociar ações ex-direitos a R$ 1,114 bilhão
#economia #investimentos #negócios #investidor #ibovespa #ações #mercadofinaceiro 
https://t.co/ZIxnOHVBOA</t>
  </si>
  <si>
    <t>Com MP que taxa os rendimentos, ainda vale a pena investir no exterior?
#economia #investimentos #negócios #investidor #ibovespa #ações #mercadofinaceiro 
https://t.co/aX0L0pobUX</t>
  </si>
  <si>
    <t>Petrobras diz que processo de venda de fatia em bloco na Colômbia foi encerrado em 2020
#economia #investimentos #negócios #investidor #ibovespa #ações #mercadofinaceiro 
https://t.co/CFNfiujtDw</t>
  </si>
  <si>
    <t>Braskem (BRKM5) diz que taxa de utilização das centrais petroquímicas no Brasil foi de 77% no 1º tri
#economia #investimentos #negócios #investidor #ibovespa #ações #mercadofinaceiro 
https://t.co/Y6Q9TQLVhA</t>
  </si>
  <si>
    <t>RD (RADL3), antiga Raia Drogasil, lucra R$ 206,6 milhões no 1º trimestre, alta de 34,5%
#economia #investimentos #negócios #investidor #ibovespa #ações #mercadofinaceiro 
https://t.co/ooUDu3c257</t>
  </si>
  <si>
    <t>Ford supera expectativas de lucro e tem aumento de receita no 1º tri, mas registra perdas com elétricos
#economia #investimentos #negócios #investidor #ibovespa #ações #mercadofinaceiro 
https://t.co/6TmKkcFDBG</t>
  </si>
  <si>
    <t>Intelbras (INTB3) lucra 34% a mais no 1º trimestre, para R$ 132,1 milhões
#economia #investimentos #negócios #investidor #ibovespa #ações #mercadofinaceiro 
https://t.co/MMlfRcEi5Q</t>
  </si>
  <si>
    <t>Sinopec e TotalEnergies negociam com Aramco para investir em projeto de gás na Arábia Saudita
#economia #investimentos #negócios #investidor #ibovespa #ações #mercadofinaceiro 
https://t.co/OptHPx3syV</t>
  </si>
  <si>
    <t>Casa Branca reforça que não pretende aceitar condições para aumento da teto da dívida nos EUA
#economia #investimentos #negócios #investidor #ibovespa #ações #mercadofinaceiro 
https://t.co/2TuDOI5S91</t>
  </si>
  <si>
    <t>Marcopolo (POMO4) lucra R$ 236,3 milhões no primeiro trimestre, alta anual de 141%
#economia #investimentos #negócios #investidor #ibovespa #ações #mercadofinaceiro 
https://t.co/wtbxnD9shE</t>
  </si>
  <si>
    <t>Balanços do 1º tri: Carrefour (CRFB3) tem prejuízo, mas Arezzo (ARZZ3) e Copasa (CSMG3) lucram
#economia #investimentos #negócios #investidor #ibovespa #ações #mercadofinaceiro 
https://t.co/YQuuBDv3x4</t>
  </si>
  <si>
    <t>Mercados nesta quarta, notícia da Taesa, Vale, lucro da Transmissão Paulista, Marcopolo e outros destaques
#economia #investimentos #negócios #investidor #ibovespa #ações #mercadofinaceiro 
https://t.co/ET8dQ0G77N</t>
  </si>
  <si>
    <t>Bolsas da Ásia acompanham mercado em NY à espera de decisão sobre juros nos EUA
#economia #investimentos #negócios #investidor #ibovespa #ações #mercadofinaceiro 
https://t.co/Mey5DeUziO</t>
  </si>
  <si>
    <t>FIIs: Confira as últimas novidades do setor; IFIX tem 4ª alta seguida
#economia #investimentos #negócios #investidor #ibovespa #ações #mercadofinaceiro 
https://t.co/HsyiYCgt8D</t>
  </si>
  <si>
    <t>Quanto o governo espera arrecadar com rendimentos no exterior
#economia #investimentos #negócios #investidor #ibovespa #ações #mercadofinaceiro 
https://t.co/r7xJN1qozx</t>
  </si>
  <si>
    <t>A inteligência artificial pode prever para onde a Bolsa vai?
#economia #investimentos #negócios #investidor #ibovespa #ações #mercadofinaceiro 
https://t.co/5MFi0CxD7K</t>
  </si>
  <si>
    <t>IGP-M tem alta de 0,37% em setembro, diz FGV
#economia #investimentos #negócios #investidor #ibovespa #ações #mercadofinaceiro 
https://t.co/8vAFsAbRKq</t>
  </si>
  <si>
    <t>Bolsas da Ásia fecham em queda com nova crise no setor imobiliário da China
#economia #investimentos #negócios #investidor #ibovespa #ações #mercadofinaceiro 
https://t.co/5A18Kqy9dR</t>
  </si>
  <si>
    <t>Petrobras (PETR3)(PETR4): Moody's diz que nova política de dividendos não afeta crédito da estatal
#economia #investimentos #negócios #investidor #ibovespa #ações #mercadofinaceiro 
https://t.co/6gIGetvTZT</t>
  </si>
  <si>
    <t>Azul (AZUL4): subsidiária vai emitir até R$ 600 milhões em debêntures
#economia #investimentos #negócios #investidor #ibovespa #ações #mercadofinaceiro 
https://t.co/82VyzHXcKN</t>
  </si>
  <si>
    <t>Enauta (ENAT3) convoca assembleia para renovação dos membros do conselho de administração
#economia #investimentos #negócios #investidor #ibovespa #ações #mercadofinaceiro 
https://t.co/lHD1WkVQtK</t>
  </si>
  <si>
    <t>Subsidiária da Azul (AZUL4) emitirá até R$ 600 mi em debêntures
#economia #investimentos #negócios #investidor #ibovespa #ações #mercadofinaceiro 
https://t.co/HXUxc2mXPF</t>
  </si>
  <si>
    <t>Gestora gringa com US$ 3 bi sob gestão vende ação que disparou 70%
#economia #investimentos #negócios #investidor #ibovespa #ações #mercadofinaceiro 
https://t.co/cFv71g0cLp</t>
  </si>
  <si>
    <t>Valor que bancos dos EUA tomaram de créditos emergenciais do Fed avançou na última semana
#economia #investimentos #negócios #investidor #ibovespa #ações #mercadofinaceiro 
https://t.co/FkUDveRlkh</t>
  </si>
  <si>
    <t>Entidades pedem a acionistas da Vibra (VBBR3) destituição de Fabio Schvartsman do Conselho
#economia #investimentos #negócios #investidor #ibovespa #ações #mercadofinaceiro 
https://t.co/kfNyliH8LJ</t>
  </si>
  <si>
    <t>As 7 ações mais indicadas para junho; TOTS3, RENT3 e PETR4 entram na lista e BBAS3 sai
#economia #investimentos #negócios #investidor #ibovespa #ações #mercadofinaceiro 
https://t.co/o2E9EHkNXM</t>
  </si>
  <si>
    <t>Shein dá recado a varejo do Brasil e é destaque nos jornais nesta sexta-feira (2)
#economia #investimentos #negócios #investidor #ibovespa #ações #mercadofinaceiro 
https://t.co/Io5m5rWTOu</t>
  </si>
  <si>
    <t>Petrobras sobre elementos estratégicos do PE 2024-28 
#economia #investimentos #negócios #investidor #ibovespa #ações #mercadofinaceiro 
https://t.co/FLKR41QXPH</t>
  </si>
  <si>
    <t>EUA: Senado aprova aumento do teto da dívida e evita default
#economia #investimentos #negócios #investidor #ibovespa #ações #mercadofinaceiro 
https://t.co/YuAqxHFhZA</t>
  </si>
  <si>
    <t>Mercado Bitcoin é condenado a pagar R$ 300 milhões a cliente em caso de golpe envolvendo ex-sócio
#economia #investimentos #negócios #investidor #ibovespa #ações #mercadofinaceiro 
https://t.co/nt8JdxHM8s</t>
  </si>
  <si>
    <t>MGLU3 ou VIIA3: Vale a pena comprar a companhia mais forte do e-commerce no 1T23?
#economia #investimentos #negócios #investidor #ibovespa #ações #mercadofinaceiro 
https://t.co/PC7PvBBOnf</t>
  </si>
  <si>
    <t>Receita pagou 1º lote da restituição na quarta (31): veja estratégia que pode aumentar em até 55% o valor a receber do Imposto de Renda
#economia #investimentos #negócios #investidor #ibovespa #ações #mercadofinaceiro 
https://t.co/NTjlq6lIki</t>
  </si>
  <si>
    <t>Vale (VALE3): plano de recuperação judicial da Samarco chega a acordo para aprovação de reestruturação de dívidas
#economia #investimentos #negócios #investidor #ibovespa #ações #mercadofinaceiro 
https://t.co/J3CRu5Tn5n</t>
  </si>
  <si>
    <t>Dirigentes indicam que Fed pode não elevar taxas na reunião de junho
#economia #investimentos #negócios #investidor #ibovespa #ações #mercadofinaceiro 
https://t.co/sr9BgkJ3eU</t>
  </si>
  <si>
    <t>Santander impulsiona ações da Marcopolo (POMO4) elevando preço-alvo
#economia #investimentos #negócios #investidor #ibovespa #ações #mercadofinaceiro 
https://t.co/mTaMSooxbt</t>
  </si>
  <si>
    <t>As ações recomendadas para investir em junho, segundo 10 corretoras
#economia #investimentos #negócios #investidor #ibovespa #ações #mercadofinaceiro 
https://t.co/RABcKDaLXL</t>
  </si>
  <si>
    <t>Salesforce registra crescimento de receita trimestral mais lento desde 2010
#economia #investimentos #negócios #investidor #ibovespa #ações #mercadofinaceiro 
https://t.co/wvb3aXd1mH</t>
  </si>
  <si>
    <t>EUA: aumento do teto da dívida para evitar calote passa na Câmara e segue para o Senado
#economia #investimentos #negócios #investidor #ibovespa #ações #mercadofinaceiro 
https://t.co/TWP7t10d03</t>
  </si>
  <si>
    <t>AZUL4 ou GOLL4? Confira a análise das ações e veja qual pode decolar na Bolsa
#economia #investimentos #negócios #investidor #ibovespa #ações #mercadofinaceiro 
https://t.co/ykwzCSRGCd</t>
  </si>
  <si>
    <t>Desinformação alimenta temores sobre a poupança; entenda por que não há mais risco de confiscos
#economia #investimentos #negócios #investidor #ibovespa #ações #mercadofinaceiro 
https://t.co/oyjZ9WNSDB</t>
  </si>
  <si>
    <t>Selic a 97% ao ano na Argentina; país vizinho anuncia pacote para combater inflação de 104%
#economia #investimentos #negócios #investidor #ibovespa #ações #mercadofinaceiro 
https://t.co/1cXPtGqohM</t>
  </si>
  <si>
    <t>Bolsas da Ásia fecham à espera de dados chineses e com moeda japonesa enfraquecida
#economia #investimentos #negócios #investidor #ibovespa #ações #mercadofinaceiro 
https://t.co/8FQ2fm2ng0</t>
  </si>
  <si>
    <t>Investidores do FII NAVT11 terão direito a R$ 0,85 em rendimentos
#economia #investimentos #negócios #investidor #ibovespa #ações #mercadofinaceiro 
https://t.co/BNNTlxYgOH</t>
  </si>
  <si>
    <t>Mercados nesta segunda, minério, petróleo, notícias de empresas da Bolsa e outros destaques
#economia #investimentos #negócios #investidor #ibovespa #ações #mercadofinaceiro 
https://t.co/sWbrMd4OdR</t>
  </si>
  <si>
    <t>Ibovespa engata a 8ª alta consecutiva hoje? Este ETF nos EUA pode dar um spoiler
#economia #investimentos #negócios #investidor #ibovespa #ações #mercadofinaceiro 
https://t.co/xHLdq4pu45</t>
  </si>
  <si>
    <t>Recuperação judicial: Quando a Americanas (AMER3) vai quitar a dívida de R$ 43 bi?
#economia #investimentos #negócios #investidor #ibovespa #ações #mercadofinaceiro 
https://t.co/Pm3yoK4o91</t>
  </si>
  <si>
    <t>JCP: Santander (SANB11) paga R$ 1,5 bilhão hoje
#economia #investimentos #negócios #investidor #ibovespa #ações #mercadofinaceiro 
https://t.co/8irnNLthub</t>
  </si>
  <si>
    <t>Estudo lista os FIIs mais baratos do segmento mais descontado da Bolsa; confira a relação
#economia #investimentos #negócios #investidor #ibovespa #ações #mercadofinaceiro 
https://t.co/c7FXAGVSEw</t>
  </si>
  <si>
    <t>Sabesp (SBSP3) pode elevar previsão de adesões a PDV, inicia conversas sobre modelagem de privatização
#economia #investimentos #negócios #investidor #ibovespa #ações #mercadofinaceiro 
https://t.co/ccCwLrX5hX</t>
  </si>
  <si>
    <t>JBS (JBSS3): É a primeira vez que enfrentamos adversidade em quase todos os países que atuamos, diz CEO
#economia #investimentos #negócios #investidor #ibovespa #ações #mercadofinaceiro 
https://t.co/3vxTaeMU3N</t>
  </si>
  <si>
    <t>Diretora do Fed indica ser a favor de mais elevações de juros nos EUA
#economia #investimentos #negócios #investidor #ibovespa #ações #mercadofinaceiro 
https://t.co/pguz9yCiIr</t>
  </si>
  <si>
    <t>Aneel, sobre Light: atuação administrativa e judicial se dará para preservar serviços
#economia #investimentos #negócios #investidor #ibovespa #ações #mercadofinaceiro 
https://t.co/iJzdH6Rr9D</t>
  </si>
  <si>
    <t>Petrobras vê descarbonização e energias limpas como “único” caminho do setor, diz CEO
#economia #investimentos #negócios #investidor #ibovespa #ações #mercadofinaceiro 
https://t.co/2IdrJzzVRZ</t>
  </si>
  <si>
    <t>Light (LIGT3) entra com pedido de recuperação judicial com dívidas de R$ 11 bilhões
#economia #investimentos #negócios #investidor #ibovespa #ações #mercadofinaceiro 
https://t.co/BgHP6QJHCV</t>
  </si>
  <si>
    <t>PIB do Reino Unido cresce 0,1% no 1° trimestre de 2022, dentro do esperado
#economia #investimentos #negócios #investidor #ibovespa #ações #mercadofinaceiro 
https://t.co/9iLxAEcnyv</t>
  </si>
  <si>
    <t>Light (LIGT3) reverte prejuízo e registra lucro líquido de R$ 107,1 milhões no 1º trimestre
#economia #investimentos #negócios #investidor #ibovespa #ações #mercadofinaceiro 
https://t.co/EBMK1t3a2N</t>
  </si>
  <si>
    <t>Boa Safra (SOJA3): prejuízo sobe 93% no 1º tri, para R$ 13,577 milhões, com efeito de marcação a mercado dos grãos
#economia #investimentos #negócios #investidor #ibovespa #ações #mercadofinaceiro 
https://t.co/hHSXTVhnoq</t>
  </si>
  <si>
    <t>Terra Santa (LAND3) lucra R$ 8,2 mi no primeiro trimestre, alta anual de 2.494%
#economia #investimentos #negócios #investidor #ibovespa #ações #mercadofinaceiro 
https://t.co/dUOKkczkCG</t>
  </si>
  <si>
    <t>Helbor (HBOR3): lucro líquido da controladora soma R$ 6,6 milhões no 1º tri, queda de 39,4%
#economia #investimentos #negócios #investidor #ibovespa #ações #mercadofinaceiro 
https://t.co/GCsvRNGmDf</t>
  </si>
  <si>
    <t>Caixa Econômica tem lucro líquido recorrente de R$ 1,9 bi no 1º trimestre, baixa de 23,9%
#economia #investimentos #negócios #investidor #ibovespa #ações #mercadofinaceiro 
https://t.co/UQgiKDHp1w</t>
  </si>
  <si>
    <t>Eztec (EZTC3): lucro líquido cai 59,6% no 1º trimestre, para R$ 42,2 milhões
#economia #investimentos #negócios #investidor #ibovespa #ações #mercadofinaceiro 
https://t.co/Vi6HoBreUi</t>
  </si>
  <si>
    <t>Mitre (MTRE3) amplia lucro em 16,8% no 1º tri e projeta fim da “queima” de caixa
#economia #investimentos #negócios #investidor #ibovespa #ações #mercadofinaceiro 
https://t.co/3odsSjCWDA</t>
  </si>
  <si>
    <t>B3 (B3SA3) tem lucro líquido recorrente de R$ 1,216 bi no 1ª trimestre, queda anual de 1,9%
#economia #investimentos #negócios #investidor #ibovespa #ações #mercadofinaceiro 
https://t.co/aFsuCC5NQX</t>
  </si>
  <si>
    <t>Zamp (ZAMP3), dona do Burger King, tem alta de 75,8% do prejuízo no 1º tri; receita avança 10,5%
#economia #investimentos #negócios #investidor #ibovespa #ações #mercadofinaceiro 
https://t.co/mscm59rdAe</t>
  </si>
  <si>
    <t>Track &amp;amp; Field (TFCO4) tem lucro líquido de R$ 25 milhões no primeiro trimestre de 2023
#economia #investimentos #negócios #investidor #ibovespa #ações #mercadofinaceiro 
https://t.co/L5o30vFP0I</t>
  </si>
  <si>
    <t>Santos Brasil (STBP3) tem lucro líquido de R$ 45,9 milhões no primeiro trimestre de 2023, queda de 49,4%
#economia #investimentos #negócios #investidor #ibovespa #ações #mercadofinaceiro 
https://t.co/SVzzzYy8Fw</t>
  </si>
  <si>
    <t>Porto (PSSA3) tem lucro líquido de R$ 332,8 milhões no 1º trimestre, alta anual de 90,1%
#economia #investimentos #negócios #investidor #ibovespa #ações #mercadofinaceiro 
https://t.co/zL5UzBPWyf</t>
  </si>
  <si>
    <t>Banco BMG (BMGB4) tem lucro líquido de R$ 23 milhões no primeiro trimestre de 2023
#economia #investimentos #negócios #investidor #ibovespa #ações #mercadofinaceiro 
https://t.co/rQvkN93nAQ</t>
  </si>
  <si>
    <t>CPFL (CPFE3) lucra R$ 1,651 bi no primeiro trimestre, alta anual de 42,1%
#economia #investimentos #negócios #investidor #ibovespa #ações #mercadofinaceiro 
https://t.co/cS5tnLYVsn</t>
  </si>
  <si>
    <t>Sanepar (SAPR4) tem lucro líquido de R$ 319,6 milhões no 1º trimestre, alta anual de 9,5%
#economia #investimentos #negócios #investidor #ibovespa #ações #mercadofinaceiro 
https://t.co/HR09G7vWyO</t>
  </si>
  <si>
    <t>IPCA desacelera novamente em abril, para 0,61%, e inflação fica em 4,18% em 12 meses, acima do esperado
#economia #investimentos #negócios #investidor #ibovespa #ações #mercadofinaceiro 
https://t.co/CnW8O47qx2</t>
  </si>
  <si>
    <t>Bolsas da Ásia sofrem com rumo da China que investidor não quer e mais um sinal de crise bancária nos EUA
#economia #investimentos #negócios #investidor #ibovespa #ações #mercadofinaceiro 
https://t.co/CX8KOnpHMx</t>
  </si>
  <si>
    <t>Dividendos: Mills (MILS3) paga R$ 1,2 milhão amanhã (12)
#economia #investimentos #negócios #investidor #ibovespa #ações #mercadofinaceiro 
https://t.co/WGKSBTXVnO</t>
  </si>
  <si>
    <t>Os Futuros do Gás Natural caíram durante a sessão europeia
#economia #investimentos #negócios #investidor #ibovespa #ações #mercadofinaceiro 
https://t.co/ylc0rS9g8B</t>
  </si>
  <si>
    <t>Fique por dentro das 5 principais notícias do mercado desta sexta-feira
#economia #investimentos #negócios #investidor #ibovespa #ações #mercadofinaceiro 
https://t.co/KYyhK1iDyq</t>
  </si>
  <si>
    <t>Bitcoin ‘falha’ em meio à crise bancária e cai para o nível mais baixo em dois meses
#economia #investimentos #negócios #investidor #ibovespa #ações #mercadofinaceiro 
https://t.co/pTafpagSux</t>
  </si>
  <si>
    <t>Lucro da T4F (SHOW3) dispara 110% no 1T23, com Lollapalooza e Paramore
#economia #investimentos #negócios #investidor #ibovespa #ações #mercadofinaceiro 
https://t.co/VH1BPNT0DH</t>
  </si>
  <si>
    <t>Dividendos: Mills (MILS3) paga R$ 1,2 milhão hoje
#economia #investimentos #negócios #investidor #ibovespa #ações #mercadofinaceiro 
https://t.co/TyGmH9P1e2</t>
  </si>
  <si>
    <t>China tem deflação de 3,6% nos preços ao produtor em abril ante o mesmo mês de 2022
#economia #investimentos #negócios #investidor #ibovespa #ações #mercadofinaceiro 
https://t.co/aKQu69v4xt</t>
  </si>
  <si>
    <t>Inflação ao consumidor na China recua 0,1% em abril ante março; preços ficam 0,1% mais altos que em 2022
#economia #investimentos #negócios #investidor #ibovespa #ações #mercadofinaceiro 
https://t.co/mqA04tCbca</t>
  </si>
  <si>
    <t>Dividendos: Lavvi (LAVV3) vai pagar R$ 6 milhões
#economia #investimentos #negócios #investidor #ibovespa #ações #mercadofinaceiro 
https://t.co/veibtn0IXI</t>
  </si>
  <si>
    <t>Produção industrial sobe 1,1% em março, após dois meses de queda
#economia #investimentos #negócios #investidor #ibovespa #ações #mercadofinaceiro 
https://t.co/ydN0J3HDtT</t>
  </si>
  <si>
    <t>Dexxos Par (DEXP3) tem queda de 20% do lucro líquido no 1º tri, para R$ 54,3 milhões
#economia #investimentos #negócios #investidor #ibovespa #ações #mercadofinaceiro 
https://t.co/I5LAtS9BYt</t>
  </si>
  <si>
    <t>Azul (AZUL4) tem alta de 6,7% na demanda por voos em abril
#economia #investimentos #negócios #investidor #ibovespa #ações #mercadofinaceiro 
https://t.co/yD3R723hYl</t>
  </si>
  <si>
    <t>Alupar (ALUP11) lucro cai 13,6%, a R$ 144 milhões, no 1T23
#economia #investimentos #negócios #investidor #ibovespa #ações #mercadofinaceiro 
https://t.co/22dbNIgriF</t>
  </si>
  <si>
    <t>Receita lança programa de regularização de empresas após decisão do STJ sobre benefícios tributários
#economia #investimentos #negócios #investidor #ibovespa #ações #mercadofinaceiro 
https://t.co/w90pkI5Ja5</t>
  </si>
  <si>
    <t>Sabe quais setores são à prova de crises? Conferira!
#ações #dividendos https://t.co/M4TWSlnJjn</t>
  </si>
  <si>
    <t>Vamos ver o que vai dar...
#ações #bancobrasil #bbas3 https://t.co/E1hG2Tc16K</t>
  </si>
  <si>
    <t>O que será que eles conversaram ?
#ações #bancocentral
Fonte: Money Times https://t.co/ATqle2h3tG</t>
  </si>
  <si>
    <t>Bom dia, mas nem tão bom para as Casas Bahia que entrou em leilão e o Ibovespa não perdoa.
Será que a Magalu vai seguir o caminho?
#CasasBahia #BHIA3 #MGLU3 #ações #ibovespa
Fonte: Suno https://t.co/Zxt95pMzcx</t>
  </si>
  <si>
    <t>A verdade sobre a inflação no Brasil #louisebarsi #ações #investimentos ... https://t.co/v6BF6vvGah via @YouTube</t>
  </si>
  <si>
    <t>🛑A live “A virada da maré na bolsa” está começando!
@ivanbarboza_ , gestor do Ártica Long Term FIA, comentará sobre as perspectivas do #mercado de #ações, alta da #bolsa e se ainda há boas oportunidades de #investimento.
Acesse o link do Youtube: https://t.co/I4pTDpyxlv https://t.co/jV1pruq11A</t>
  </si>
  <si>
    <t>TOP 10 Ações/BDRs - Setembro/23
1. JPMC
2. B3SA
3. IGTI
4. GOAU
5. GOGL
6. ITUB
7. RADL
8. PCAR
9. MELI
10. YDUQ
#ranking #ações #jpmc34 #b3sa3 #igti11 #goau4</t>
  </si>
  <si>
    <t>Foque em boa empresas, *BEST*
B- BANCOS 
E - ENERGIA 
S - SEGURADORAS 
T - TELEFONIA 
#magalu #magazine #ações https://t.co/1eshDQVcUA</t>
  </si>
  <si>
    <t>Boa notícias ao acionistas da BB SEGURIDADE 
.
.
.
.
.
#BBSEGURIDADE #ações #aprendainvestirhoje #rendapassiva https://t.co/cJNHX9NgZI</t>
  </si>
  <si>
    <t>LOUISE BARSI, DIZ QUE NÃO É MILIONÁRIA !
.
.
.
.
.
.
#louisebarsi #ações #investing #investment #InvestRightInvestNow https://t.co/hxGnKaLms1</t>
  </si>
  <si>
    <t>Omid Holdings Inc. ( OMID ) Stock Defies Short Sellers: A Promising Sign for Investors? 
https://t.co/1Rda6pBrjC via @lumluxart
#股票 #acciones #स्टॉक्स #أسهم #ações #স্টক #акции #株式 #ਸਟਾਕ #Aktien #saham #股票 #주식 #actions #azioni #股票</t>
  </si>
  <si>
    <t>Brasil, 3 dias de alta das ações a 1% , no quarto dia ações caem 7% kkkk … são 6 meses com papéis valendo muito pouco… dizem ser oportunidade … mas 6 meses sem ganhar grana é foda 
#investimentos #acoes #bolsa</t>
  </si>
  <si>
    <t>Planilha de Gestão de Investimento para controlar  4 tipos de investimentos diferentes.
Acesse agora, https://t.co/UDuY06oYIm
Digite "Eu quero" nos comentários.
#Excel #investimentos #planilha #rendafixa #rendavariavel #ações #planilhadeações #fundoimobiliario #tesourodireto https://t.co/pLhq0cwK2B</t>
  </si>
  <si>
    <t>🚨E-BOOK GRATUITO POR POUCAS HORAS 🚨
📕 O 101 Perguntas e Respostas é dedicado aos investidores que estão iniciando a sua jornada na Bolsa de Valores e ainda não se sentem 100% seguros.
https://t.co/c0raHGcACc
#ebook #evookgratuito #investidor #INVESTIMENTOS #acoes</t>
  </si>
  <si>
    <t>A armadilha das distrações: Maximize o teu potencial e molda o teu futuro
.
Segue @maniampodcast para mais conteúdo❗️❗️
.
#desenvolvimentopessoal #autoconhecimento #metas #habitos #autoajuda  #sucesso #ações #Mindset #proposito #maniampodcast https://t.co/owTHhnu1G4</t>
  </si>
  <si>
    <t>Cirurgia Plástica e Esteróides: sim ou não?
.
.
Segue aqui 👇🏾
@maniampodcast
.
.
.
#desenvolvimentopessoal #autoconhecimento #metas #objetivos #habitos #autoajuda #determinação #inspiração #transformação #crescimento #sucesso #ações #mindset #goals #proposito #maniampodcast https://t.co/OGljhqKW9I</t>
  </si>
  <si>
    <t>Descobre o poder do orgulho pessoal: sê a melhor versão de ti mesmo
.
👉 CLICA @maniampodcast
.
#desenvolvimentopessoal #autoconhecimento #metas #objetivo #habitos #autoajuda  #inspiração #transformação #crescimento #sucesso #ações #mindset  #proposito #maniampodcast https://t.co/lGtOCl7Sgp</t>
  </si>
  <si>
    <t>Das Palavras à Ação: Transforma a Tua Vida Agora Mesmo
.
.
.
#desenvolvimentopessoal #autoconhecimento #metas #objetivos #habitos #autoajuda #determinação #inspiração #transformação #crescimento #sucesso #ações #mindset #goals #proposito #maniampodcast https://t.co/anOzFEx4i6</t>
  </si>
  <si>
    <t>Excelência masculina: a sinergia da força física e mental
.
Segue @maniampodcast para mais conteúdo❗️❗️
.
.
.
#desenvolvimentopessoal #autoconhecimento #metas  #determinação #inspiração #transformação #crescimento #sucesso #ações #mindset #goals #proposito #maniampodcast https://t.co/8JRHsCc0u7</t>
  </si>
  <si>
    <t>Disciplina e determinação: Os hábitos que moldam homens de sucesso 
.
.
Segue Aqui 👇🏾
@maniampodcast
.
.
.
#desenvolvimentopessoal #autoconhecimento #habitos  #inspiração #transformação #crescimento #sucesso #ações #mindset #goals  #maniampodcast #mindsetcoach 
#masculinidade https://t.co/QjZ2CQ6ib0</t>
  </si>
  <si>
    <t>A tempestade da vida: põe à prova a tua resiliência
.
.
Segue @maniampodcast para mais conteúdo❗️❗️
.
.
#desenvolvimentopessoal #autoconhecimento #metas #objetivos #habitos #autoajuda #determinação #inspiração #transformação #crescimento #sucesso #ações #mindset  #maniampodcast https://t.co/Bv2tm4PULG</t>
  </si>
  <si>
    <t>Um homem tem apenas uma forma de escapar do seu eu antigo: ver um eu diferente 
.
.
 Clica aqui 👇🏾
 @maniampodcast
.
.
.
#desenvolvimentopessoal #autoconhecimento #habitos  #inspiração #transformação #crescimento #sucesso #ações #mindset #goals  #maniampodcast #mindsetcoach https://t.co/TFOV28h2qK</t>
  </si>
  <si>
    <t>Construindo Confiança: A Importância dos Dias de Trabalho Invisíveis 
.
.
.
.
#desenvolvimentopessoal #autoconhecimento #metas #objetivos #habitos #autoajuda #determinação #inspiração #transformação #crescimento #sucesso #ações  #proposito #maniampodcast
#mindset #confiança https://t.co/Grs8NwNOJT</t>
  </si>
  <si>
    <t>Do desafio à recompensa: A jornada gratificante de criar
.
.
Segue Aqui 👇🏾
@maniampodcast
.
.
.
#desenvolvimentopessoal #autoconhecimento #habitos  #inspiração #transformação #crescimento #sucesso #ações #mindset #goals  #maniampodcast #mindsetcoach #superação #liderança https://t.co/iz8FcN37QZ</t>
  </si>
  <si>
    <t>Dominas este super poder? 💥👇🏾💡
.
.
Segue Aqui 👇🏾
@maniampodcast
.
.
.
#desenvolvimentopessoal #autoconhecimento #habitos  #inspiração #transformação #crescimento #sucesso #ações #mindset #goals  #maniampodcast #mindsetcoach #shorts #foco #determicacao #mindset https://t.co/VUXvQFeDRe</t>
  </si>
  <si>
    <t>Quebrar o ciclo: Sê o líder que os teus precisam!
.
Segue @maniampodcast para mais conteúdo❗️❗️
.
#desenvolvimentopessoal #autoconhecimento #metas #objetivos #habitos #autoajuda #determinação #inspiração  #crescimento #sucesso #ações #mindset #goals #proposito #maniampodcast https://t.co/1PW278KwXw</t>
  </si>
  <si>
    <t>🔎 Você considera esses fatores na hora de escolher um Stock de qualidade para longo prazo? Me conta!!!
#ações #stocks #investimento #investimentos #mercadofinanceiro #mercadodeações #rendaextra #rendapassiva #juroscompostos #rendimentos #bolsadevalores #investirnoexterior https://t.co/J45O6naHQY</t>
  </si>
  <si>
    <t>https://t.co/jz0fIIO4vI #Ações</t>
  </si>
  <si>
    <t>O valor de mercado da Petrobras registrou uma queda de R$ 84,8 bilhões desde a eleição de Luiz Inácio Lula da Silva para a Presidência da República, de acordo com um cálculo divulgado pelo site Poder360 nesta terça-feira (16). #Ações #Lula #Petrobras
https://t.co/PfyUMpgxn5 https://t.co/nJ14E75fF7</t>
  </si>
  <si>
    <t>Price and volume https://t.co/QZoA6oSKY7</t>
  </si>
  <si>
    <t>QUAL É O MELHOR INVESTIMENTO PRA MONTAR UMA CARTEIRA | ONDE INVESTIR #fundosimobiliarios #ações https://t.co/9M16osljnD</t>
  </si>
  <si>
    <t>#Acoes 
#Dividendos 
#Renda https://t.co/9qCBV9yqVM</t>
  </si>
  <si>
    <t>#Dividendos 
#Acoes 
Pegue essa dica aqui com ações! https://t.co/QbZEf3WbEH</t>
  </si>
  <si>
    <t>#acoes https://t.co/J68jEKSqhd</t>
  </si>
  <si>
    <t>#dolar 
#acoes 
#ouro 
#tesouro https://t.co/xsbL1D5fXN</t>
  </si>
  <si>
    <t>#Dividendos
#Acoes https://t.co/ZAn86uzVp1</t>
  </si>
  <si>
    <t>#acoes https://t.co/0BGS0v3P3Y</t>
  </si>
  <si>
    <t>Ações levam serviços de saúde gratuitos a diferentes bairros de Limeira %28SP%29, neste sábado %2819%29
#Limeira #ações #saúde #ocanaldalili #ocanaldalilitv https://t.co/XtAB25ia5q</t>
  </si>
  <si>
    <t>https://t.co/5ze8liawLm
Você sabia que a BlackRock, a maior gestora de ativos do mundo, vendeu  ações más não diminuiu sua participação na BHIA3, mas sim a  "transformou" em parte em bônus de subscrição?  #viia3 #bhia3 #blackrock  #acoes #ibov</t>
  </si>
  <si>
    <t>🌱 🌍 🏭 📢 Saiba mais sobre as definições de termos chave do #seguroambiental sites fixos!
Neste post apresentamos a definição de #reclamação presente nos clausulados do seguro ambiental.
Reclamações de #terceiros no âmbito do seguro ambiental se referem, em geral, a #ações… https://t.co/fFZO5OyC3F</t>
  </si>
  <si>
    <t>RT @seguroambiental: 🌱 🌍 🏭 📢 Saiba mais sobre as definições de termos chave do #seguroambiental sites fixos!
Neste post apresentamos a def…</t>
  </si>
  <si>
    <t>🔴 Atualização carteira Top Ações para 2023 | Podcast Genial Analisa https://t.co/q3AONG4vsX via @YouTube 
#carteira #acoes</t>
  </si>
  <si>
    <t>🔴MORNING CALL 10/05/23 BOLSA DA ÁSIA FECHA EM QUEDA, EUROPA E FUTUROS OPERAM EM QUEDA
#2TMOBINVESTING #MERCADOFINANCEIRO #CRIPTOMOEDAS
#BRASIL  #MORNINGCALL #INVESTIMENTOS #NOTICIAS #BRASIL #CAFE #AGRO #B3BRASIL #ACOES #CHINA https://t.co/DVaHdPfKYv</t>
  </si>
  <si>
    <t>🔴MORNING CALL 15/05/23 A SEMANA COMEÇA OTIMISTA NAS BOLSAS COM ALTA NESSA SEGUNDA-FEIRA
#2TMOBINVESTING #MERCADOFINANCEIRO #CRIPTOMOEDAS
#BRASIL  #MORNINGCALL #INVESTIMENTOS #NOTICIAS #BRASIL #CAFE #AGRO #B3BRASIL #ACOES #CHINA https://t.co/1kcCu8pIVN</t>
  </si>
  <si>
    <t>Maiores pagadoras de dividendos tem gigantes, mas líder é uma "intrusa"; veja quais são: https://t.co/gNlL9Jkk4J #investimentos #ações #dividendos</t>
  </si>
  <si>
    <t>Definição do preço da ação ocorrerá em 13 de julho, com início das negociações na B3 no dia 17 e liquidação no dia 18. #mercadofinanceiro #ações #investimentos https://t.co/vpGdebMkmu</t>
  </si>
  <si>
    <t>Presidente do Itaú, Milton Maluhy Filho, disse que não há intenção de reter capital. #Itau #investimentos #ações https://t.co/0rAgUYAk2m</t>
  </si>
  <si>
    <t>Os números divulgados pela Anbima revelam a maior saída de recursos, na primeira metade de um ano, desde o início da série histórica, iniciada em 2002. #ações #investimentos #finanças #economia https://t.co/PkCbLc1CsB</t>
  </si>
  <si>
    <t>A construtora, especializada em imóveis populares, vai direcionar a oferta a acionistas atuais e a investidores profissionais, aqueles que possuem ao menos R$ 10 milhões em ativos financeiros. #investimentos #ações #finanças https://t.co/9AX5Ejbvgu</t>
  </si>
  <si>
    <t>No mês, as ações da Azul acumulam um avanço de 10%. Os papéis da Gol saltam perto de 20%. Já os da CVC se aproximam de 30% de valorização. #sigaIF #InteligenciaFinanceira #ações https://t.co/SRs78hhgQP</t>
  </si>
  <si>
    <t>A maioria das ações que pagam dividendos ou JCPs em agosto tem data-base já vencida. Mas ainda há papéis que podem ser comprados para que o investidor receba algum dinheiro até o final do mês. #investimentos #dividendos #ações https://t.co/VwhXNGq7TC</t>
  </si>
  <si>
    <t>#Ações de montadoras dos EUA no foco dos investidores após greve de trabalhadores do setor https://t.co/qTzJ3WKPTj #InteligênciaFinanceira #SigaIF via @sigaif</t>
  </si>
  <si>
    <t>Uma security é um ativo negociável como obrigações, débitos, debêntures, #ações, garantias ou imóveis. É basicamente ter algo ou parte de algo sem precisar possuir o objeto.</t>
  </si>
  <si>
    <t>Normalmente, os investimentos mais conservadores, como títulos do governo, oferecem retornos mais baixos em comparação com investimentos de maior risco, como #ações.</t>
  </si>
  <si>
    <t>Estava lendo a última carta da gestora Squadra e é realmente uma aula de análise de balanços e resultados. 
Todos deveriam ler e entender os riscos para seus investimentos.
#B3 #investimentos #Squadra #ações</t>
  </si>
  <si>
    <t>O Brasil é pequeno (do ponto de investimentos). Bora investir fora do Brasil? @somosnomos #investimentos #globais #bdr #ações https://t.co/fRTbUYHwJu</t>
  </si>
  <si>
    <t>#DiretoaoPonto 🎯
Rogério Marinho (PL) avaliou o papel do STF desde as eleições até o início do governo Lula (PT)
Segundo no senador: “Eu já ingressei com pelo menos 6 ações contra o STF”
📺 Baixe agora. É grátis: https://t.co/454HXZLVer
#RogérioMarinho #Ações #STF https://t.co/R5zIoNvVTH</t>
  </si>
  <si>
    <t>Descubra o caminho para a consistência no mundo do trading! Neste episódio especial do nosso podcast, mergulhamos fundo e revelamos os 5 erros básicos que todo trader deve evitar em sua jornada rumo ao sucesso.
https://t.co/HXccTITx4e
 #Ibovespa #IBOV #Bitcoin  #trading #ações https://t.co/0hORVGgNaA</t>
  </si>
  <si>
    <t>#FIIs #ações</t>
  </si>
  <si>
    <t>🦺 Nesta quarta-feira (12), o ministro @waldezoficial recebeu mais de 40 prefeitos de cidades do Rio Grande do Sul para coordenar #ações conjuntas com os municípios afetados por desastres, além de reforçar a #assistência à população afetada. ⤵️ Saiba mais: https://t.co/0jA1wVPmRV</t>
  </si>
  <si>
    <t>📢 O MIDR promoveu o 1º Fórum #DesenvolveSudeste em Montes Claros (MG), onde foram apresentadas as principais #ações e projetos da Pasta nas áreas de proteção e defesa civil, segurança hídrica, desenvolvimento regional e territorial, e fundos e investimentos financeiros. Assista! https://t.co/zGntZXFcOS</t>
  </si>
  <si>
    <t>🚨 COMEÇOU! Assista agora ao 1º Fórum Desenvolve #Nordeste, na cidade do #Crato (CE).
O evento faz parte dos Fóruns Estaduais de #Desenvolvimento Regional com o objetivo de apresentar as #ações e programas para a região.
🔗 Acesse o link e participe: https://t.co/po4GLZP6cy</t>
  </si>
  <si>
    <t>🌱 Nesta quinta-feira (15), o MIDR promove o evento em celebração ao Dia Nacional da #Agricultura Irrigada para discutir #ações e programas relacionados à temática.</t>
  </si>
  <si>
    <t>O vídeo sobre 𝐃𝐞𝐦𝐨𝐧𝐬𝐭𝐫𝐚𝐜̧𝐚̃𝐨 𝐝𝐞 𝐄𝐦𝐩𝐫𝐞𝐬𝐚𝐬 já se encontra disponível🎥
Vídeo disponível em https://t.co/rqxPeOEygK
#Descomplica #Finanças #FinançasParaTodos #Dinheiro #YouTube  #Investir #Ações #AvaliarUmaEmpresa #EstruturaSimplesDeUmBalanço https://t.co/pvFSfMfGmA</t>
  </si>
  <si>
    <t>A dica de investimento de hoje pode te render 15 MILHÕES DE DÓLARES em apenas uma operação e sem precisar gastar nem 1 centavo.
.
.Detalhes na imagem👇
.
. Me siga para mais dicas infalíveis.
.
.
#dinheiro #ações #investimentos https://t.co/BcQQeyz13S</t>
  </si>
  <si>
    <t>🚨De graça!!! Inacreditável 
✅Mande pros seus amigos
#investimentos #ações #dividendos https://t.co/EkEKZJHqOT</t>
  </si>
  <si>
    <t>Como podemos pensar nessa diversificação? 
#Ações: Embora as #BlueChips possam resistir melhor às altas taxas de juros, não ignore as #SmallCaps, pois podem ter grande potencial a longo prazo.</t>
  </si>
  <si>
    <t>Valor é o que o cliente leva, preço é o que o cliente deixa.
#investimentos #imovel #imoveis #fii #acoes</t>
  </si>
  <si>
    <t>De olho nos proventos! veja o que você ainda pode aproveitar e ganhar!
Esta publicação fez um compilado de proventos que você ainda pode  receber, uma vez que a data ex não foi atingida ainda! 
#ações #proventos #dividendos #petr4 #grnd3 https://t.co/sjMAnzchIA</t>
  </si>
  <si>
    <t>Ambipar (AMBP3): o mercado exige crescimento | calibrando o preço alvo e upside da ação
#investimentos #ações #ambp3 #ambipar https://t.co/H31VZ23fHi</t>
  </si>
  <si>
    <t>Após a queda, vem a Calmaria? Atualização de Camil %28CAML3%29
#meunovopost #ações #caml3 #camil https://t.co/Qd7GoVvjb5</t>
  </si>
  <si>
    <t>Isso me lembrou algumas atitudes de alguns contolroladores com os minoritários em ações na bolsa 😂😂
#investimentos #acões #ações #b3
https://t.co/dIuYz63u4l</t>
  </si>
  <si>
    <t>VAI TER "NEW" FIES? COMPRE ESTA EDUCACIONAL! NOVA SMALL CAP RECOMENDADA com + de 100% de potencial
#AÇÕES #EDUCAÇÃO #FIES #SMALLCAPS https://t.co/TxjKgaS7cR</t>
  </si>
  <si>
    <t>Anteontem e ontem, soltaram vários vídeos com título parecido a esse a respeito de #mglu3 
Me digam, é esse tipo de vídeo que sai em topos de mercado e pré crash? 
Euforia em topos, pessimismo e depressão em fundos. Let's go! 🚀
#magalu #ações #ibovespa #mglu3 https://t.co/ITD8rK1FYR</t>
  </si>
  <si>
    <t>Se no meio da causa paiarem dúvidas sobre o como prosseguir, volte-se ao motivo da ação.
Porque foi escolhido aquele rito?
Onde chegar com ele?
Por certo direcionará com segurança as etapas seguintes.
Mais ainda em ações nas quais o rito não é muito "engessado".
#ritos
#ações</t>
  </si>
  <si>
    <t>#Prefeitura #avança nas #ações de #combate ao #mosquito #Aedes #aegypti na #capital https://t.co/Ab3YadUbOo</t>
  </si>
  <si>
    <t>#TRF1 #acolhe #recurso do #MPF e #ordena #ações para #melhoria de #trechos da #BR-317, no #Acre https://t.co/xedq801YPA</t>
  </si>
  <si>
    <t>Em 24 dias, operação SSP-GO realiza mais de 15 mil ações de combate à violência contra a mulher
By @diariodegoias
#operacao #shamar #sspgo #realiza #acoes #combate #violenciacontramulher #mjsp #pc #pm #gcm #saoi
https://t.co/lm180shUE8</t>
  </si>
  <si>
    <t>Saúde de Goiás realiza eventos para incentivar a vacinação no estado
By @diariodegoias
#ses #saude #acoes #eventos #incentivar #vacinacao #estado
https://t.co/MBMnq6KAsu</t>
  </si>
  <si>
    <t>Nosso mentor preparou essa dica especial para você que está desejando iniciar sua organização financeira e iniciar a investir.
#keepgrowingmentoria #realização #liberdadefinanceira #educaçãofinanceira #mentoria #inteligenciafinanceira #dinheiro #investir #investimentos #ações https://t.co/OpyboQF0pm</t>
  </si>
  <si>
    <t>nível de proteção diferente, umas protegem mais e outras menos!  
#keepgrowingmentoria #makeyourfuture #desenvolvimentopessoal #realização #liberdadefinanceira #educaçãofinanceira #mentoria #inteligenciafinanceira #dinheiro #investir #investimentos #ações #investidoresiniciantes</t>
  </si>
  <si>
    <t>Programe sua aposentadoria o mais rápido possível.
#keepgrowingmentoria  #realização #liberdadefinanceira #aposentadoria #inteligenciafinanceira #dinheiro #investir #investimentos #ações #inss #dinheiro #velhice #educaçãofinanceira #inteligenciafinanceira https://t.co/of4IUdsHGb</t>
  </si>
  <si>
    <t>Banco Inter reverte prejuízo de R$ 28,8 milhões do 1T22 e reporta lucro líquido de R$ 24,2 milhões no 1T23. O banco afirma que tem reprecificado de forma contínua as carteiras de longa duração, além de ter aumentado a base de depósitos. 
 #INBR32 #rendavariavel #acoes #dinheiro</t>
  </si>
  <si>
    <t>Como começar a investir do zero em ações? #investimentos #ações #finanças https://t.co/FS8tG4T0bR https://t.co/pgVcuNP2ZB</t>
  </si>
  <si>
    <t>Investindo em ações com menos de R$10 #investimentos #ações #econoweek https://t.co/v6zhFF0VlA https://t.co/locMCarfAU</t>
  </si>
  <si>
    <t>Invista em cripto, ações e índices em um só lugar! 📈🚀 Com a Movo, você tem acesso fácil, conteúdos de investimento e suporte humano para ajudá-lo em sua jornada! 🙌📲💰 Junte-se à nossa comunidade e mova seu mundo financeiro! 💸💻
#investimentos #criptomoedas #ações #movo https://t.co/rQsYhTi1rQ</t>
  </si>
  <si>
    <t>Você já conhece a Movo?
🚀#Ações e #criptomoedas no mesmo lugar 
🥰Suporte humanizado 
📚Conteúdo e informação
💰 Bônus para nossos primeiros usuários
Junte-se a nós e comece a escrever o futuro da sua vida financeira!  🥳
Acesse nossa lista de espera: https://t.co/2vph93Gn2B https://t.co/KFeUdysFNy</t>
  </si>
  <si>
    <t>O mercado financeiro oferece diversas possibilidades de investimento e cabe a você estudar e escolher a que melhor se encaixa no seu perfil.  Para saber qual é o melhor para você, sempre traremos conteúdo sobre investimentos aqui! 
Leia mais: https://t.co/MffRmVgg9e
#CFD #Ações https://t.co/PA7OAMyVai</t>
  </si>
  <si>
    <t>Quais são os seus planos de investimento para esta semana? 😁
#cripto #investimento #ações</t>
  </si>
  <si>
    <t>📚O primeiro passo para começar a sua jornada financeira é pesquisar e montar o seu portifólio. 
Você sabe o quão importante isto é? Confira aqui! 👇
#cripto #acoes #portifolio #investimento #airdrop #movo https://t.co/NNLa96XAkr</t>
  </si>
  <si>
    <t>Como você gerencia os riscos da sua carteira? Saca aqui algumas dicas que trouxemos para você cuidar desde suas #ações até das suas #criptos! 👇 https://t.co/vY5HQ54U2U</t>
  </si>
  <si>
    <t>Somos agora uma comunidade de 10 mil usuários 🎊 
Agradecemos a todos que confiam na Movo e estão fazendo parte dessa jornada. Juntos, vamos continuar explorando oportunidades e alcançando o sucesso nos mercados financeiros! 📊✨ 
#cripto #acoes #movo #airdrop https://t.co/IWMVyrP740</t>
  </si>
  <si>
    <t>🌟 Hoje, celebramos você, e seu desejo de crescer financeiramente. 
Seja em criptos ou ações, acreditamos que cada escolha de investimento é uma oportunidade para criar um futuro mais próspero. 
Feliz Dia do Cliente! 🎈🥂
#DiaDoCliente #Investimentos #Criptomoedas #Ações https://t.co/Yns4A2ZDIR</t>
  </si>
  <si>
    <t>Ainda acha que começar a investir é complicado? A Movo chegou para acabar com esse mito. 🎉
Conheça nossa plataforma e aprenda a investir com a gente! De ações a criptomoedas, tudo em um só lugar para TODOS 🫡
Baixe agora, link na bio
#cripto #acoes #investimento https://t.co/hAKBkeMhri</t>
  </si>
  <si>
    <t>📉📈#Trade cripto, ações, índices ou commodities em uma plataforma com um design pensado para te ajudar a se concentrar no que realmente importa: Seu lucro 🤑
😎Baixe a Movo agora e surpreenda-se!
https://t.co/862RzCg82S
#cripto #acoes #airdrop #investimento https://t.co/QTb9zECCIF</t>
  </si>
  <si>
    <t>📈Acompanhar o mercado financeiro e global é essencial para mitigar possíveis percas, quando falamos de investimento. 🌐
Leia: https://t.co/swW9rsNhri
#ações #cripto #resultados #investimentos #movotrade https://t.co/ZZzJyOB8j0</t>
  </si>
  <si>
    <t>A jornada nunca termina, o destino final se torna as #realizações ao longo do caminho.
É um ciclo contínuo e com o passar do tempo o que fica são suas #ações, suas #ideias, suas #conquistas.
Que se transformam em ideias, talvez inspirações que outros passam a seguir.</t>
  </si>
  <si>
    <t>#Copel #CPLE6 #Privatização #Ações #Debêntures #Oferta #TCU</t>
  </si>
  <si>
    <t>#Localiza #Oferta #Debentures #Ações #LocadoraDeVeículos</t>
  </si>
  <si>
    <t>#Nubank #NUBR33 #BolsaDeValores #Ibovespa #Ações #BDR #CVM</t>
  </si>
  <si>
    <t>#Assaí #ASAI3 #Emissão #Debêntures #TrueSecuritizadora #Ações</t>
  </si>
  <si>
    <t>#Sabesp #SBSP3 #Citi #PreçoAlvo #Ações #InternationalFinanceCorporation #IFC</t>
  </si>
  <si>
    <t>#BRF #BRFS3 #GoldmanSachs #Recomendação #Venda #Ações</t>
  </si>
  <si>
    <t>#AESBrasil #AES #AESB3 #Brasil #Basil #LuizBasil #Ações #Participação #CompradorDeAções #CompraAções</t>
  </si>
  <si>
    <t>#Oncoclínicas #ONCO3 #OfertaPublica #Ações</t>
  </si>
  <si>
    <t>#CVC #CVCB3 #Ações #CEO #Ibovespa</t>
  </si>
  <si>
    <t>#CVC #CVCB3 #Aporte #CEO #Ações #GJP</t>
  </si>
  <si>
    <t>#Magalu #MGLU3 #PrejuízoLíquido #Ações #FabrícioLorenz</t>
  </si>
  <si>
    <t>#Alpargatas #ALPA4 #Empiricus #OPA #OfertaPublicaDeAquisicao #Aquisição #Ações #Venda</t>
  </si>
  <si>
    <t>#Petrobras #Petroleira #Ações #Acelen #PreçosDosCombustíveis #MercadoInternacinal #Bahia</t>
  </si>
  <si>
    <t>#B3 #BolsaDeValores #Ações #VolumeFinanceiro #Contrato</t>
  </si>
  <si>
    <t>#Casino #Alerta #Risco #Inadimplência #Ações #Varejista #Negociações #Credores #ProteçãoJudicial</t>
  </si>
  <si>
    <t>#CaixaSeguridade #IPO #PrimeiroSemestre #Ações #BolsaDeValores</t>
  </si>
  <si>
    <t>#Santander #SANB11 #Ações #Empresas #Mineração</t>
  </si>
  <si>
    <t>#CVC #CVCB3 #Aporte #CEO #Ações #GJP #Pauus #GuilhermePaulus</t>
  </si>
  <si>
    <t>#Petrobras #Petroleira #Ações #Ibama #PreçosDosCombustíveis #MercadoInternacinal</t>
  </si>
  <si>
    <t>#CVC #CVCB3 #Ações #Renúncia #CEO #CFO</t>
  </si>
  <si>
    <t>#Braskem #BRKM5 #Petrobras #Ações #Muibadala #Novonor #Adnoc #Odebrecht</t>
  </si>
  <si>
    <t>#Braskem #Brkm5 #4t22 #Ações #Queda #Bolsa</t>
  </si>
  <si>
    <t>#Nubank #NUBR33 #BolsaDeValores #Ibovespa #Ações #BDR #CVM #Acionistas</t>
  </si>
  <si>
    <t>#PãoDeAçúcar #Pcar3 #GPA #Oferta #Ações #Éxito</t>
  </si>
  <si>
    <t>#Suzano #SUZB3 #Ações #Recompra</t>
  </si>
  <si>
    <t>#CVC #CVCB3 #Oferta #Ações #GJP</t>
  </si>
  <si>
    <t>#Petrobras #Braskem #Unipar #Ações #Novonor #Ibovespa #Compra</t>
  </si>
  <si>
    <t>#Méliuz #CASH3 #Mercado #Venda #Ações</t>
  </si>
  <si>
    <t>#Minerva #BEEF3 #economia #mercadodeacoes #acoes #mercadofinanceiro #bpmoney</t>
  </si>
  <si>
    <t>#Eletrobras #Elet3 #Desvalorização #Ações #Lula #FGTS #Privatização</t>
  </si>
  <si>
    <t>#Yduqs #YUDQ3 #Balanço1T23 #Mercado #Balanço #Ações #AltaAções</t>
  </si>
  <si>
    <t>#Braskem #BRKM5 #Petrobras #PETR3 #PETR4 #Ações #Muibadala</t>
  </si>
  <si>
    <t>#Eletrobras #ELET6 #VicePresidente #Venda #Ações</t>
  </si>
  <si>
    <t>#BRF #BRFS3 #Ações #AtivosJudiciais #Precatórios #BlackRock</t>
  </si>
  <si>
    <t>#BTGPactual #BPAC11 #SPXRL #Fundo #CVM #Ações</t>
  </si>
  <si>
    <t>#Pcar3  #GPA #Ibovespa #Ações #Casino #Queda #Ofertas #Aquisição</t>
  </si>
  <si>
    <t>#TC #TRAD3 #Acordo #Ferri #Venda #Ações #Leilão #BolsaDeValores</t>
  </si>
  <si>
    <t>#Localiza #RENT3 #ConselhoDeAdministração #Capital #Ações</t>
  </si>
  <si>
    <t>#Unipar #UNIP6 #Ações #Braskem #BRKM5</t>
  </si>
  <si>
    <t>#Petrobras #PETR3 #PETR4 #Mercado #Dividendos #Ações #Ação</t>
  </si>
  <si>
    <t>#Marfrig #MRFG3 #Capital #Ações #BRF #BRFS3</t>
  </si>
  <si>
    <t>#CCR #Recompra #Ações #PlanoEstratégico #Mudança #Diretoria</t>
  </si>
  <si>
    <t>#Camil #CAML3 #JCP #Ações #AçõesOrdinarias #Pagamento #Dividendos</t>
  </si>
  <si>
    <t>#CVC #CVCB3 #Ações #Ibovespa #Dolar</t>
  </si>
  <si>
    <t>#Taesa #TAEE11 #Mercado #MercadoDeAções #OfertaDeAções #Ações</t>
  </si>
  <si>
    <t>#Desktop #DESK3 #Aquisição #Compra #Venda #OpçãoDeCompra #Ações #Valor</t>
  </si>
  <si>
    <t>#acoes #mercadofinanceiro #mercadodeacoes #ibovespa #dolar #bpmoney</t>
  </si>
  <si>
    <t>#aliexpress #acoes #investimentos #mercadofinanceiro #bpmoney</t>
  </si>
  <si>
    <t>#Light #LIGT3 #RecuperaçãoJudicial #Mercado #Tanure #NelsonTanure #Ações</t>
  </si>
  <si>
    <t>#BRF #BRFS3 #Ações #AtivosJudiciais #Precatórios</t>
  </si>
  <si>
    <t>#Copel #CPLE6 #Privatização #Ações #Debêntures #Oferta #TCU #PT #Julgamento #Processo</t>
  </si>
  <si>
    <t>#SantosBrasil #STBP3 #Dividendos #Ações #Acionistas #B3</t>
  </si>
  <si>
    <t>#Direcional #Construtora #OfertaPublica #Ações #AumentoDeCapital</t>
  </si>
  <si>
    <t>#Copel #CPLE6 #Privatização #Ações #Debêntures</t>
  </si>
  <si>
    <t>#IRB #IRBBrasil #IRBR3 #Mercado #Debentures #Ações</t>
  </si>
  <si>
    <t>#bpmoney #Itaúsa #ITSA4 #Mercado #XP #Ações #Ação #Nasdaq #Holding</t>
  </si>
  <si>
    <t>#Light #Ligt3 #NelsonTenure #Ações</t>
  </si>
  <si>
    <t>#Klabin #KLBN11 #Balanço #1T23 #Lucro #Ebitda #Receita #Mercado #MercadoDeAções #Ações #Dividendos #KLBN3 #KLBN4</t>
  </si>
  <si>
    <t>#Renner #1t23 #JPMorgan #Varejista #Ações</t>
  </si>
  <si>
    <t>#Vale #Vale3 #Ações #Minérios #Chiina #Alta #Ibovespa</t>
  </si>
  <si>
    <t>#Fiagro #SNAG11 #Dividendos #Ações #Cotas</t>
  </si>
  <si>
    <t>#Gol #GOLL4 #2t23 #Ações #Receita #Balanço</t>
  </si>
  <si>
    <t>#PãoDeAçúcar #Pcar3 #GPA #Ibovespa #Ações #Casino</t>
  </si>
  <si>
    <t>#Unipar #UNIP6 #Braskem #BRKM5 #AumentoDeValor #OfertaPublica #Ações #Petrobras #PETR3 #Novonor</t>
  </si>
  <si>
    <t>#Gol #GOLL4 #Títulos #Remuneração #Venda #Ações #Mercado #GLAI #CompanhiaAérea #Emissão</t>
  </si>
  <si>
    <t>#Petrobras #Petroleira #Ações #MercadoInternacinal #PlanoEstratégico #Sustentabilidade</t>
  </si>
  <si>
    <t>#Magalu #MagazineLuiza #MGLU3 #Ações #Queda #Xp #ItaúBba #Itaú #DIFAL</t>
  </si>
  <si>
    <t>#Suzano #SUZB3 #Mercado #Balanço #Ações #BradescoBBI</t>
  </si>
  <si>
    <t>#Taesa #TAEE11 #Ações #Ofertas #1t23 #PrimeiroTrimestre2023 #Expectativa #Projeção</t>
  </si>
  <si>
    <t>#Movida #MOVI3 #TítulosDeDívida #Recompra #Ações #Preço #Transação</t>
  </si>
  <si>
    <t>#XP #XPBR31 #Itaúsa #ITSA4 #Acordo #Acionistas #Ações</t>
  </si>
  <si>
    <t>#Desenrola #Bancos #Ações #Ibovespa #Crédito #NomeLimpo</t>
  </si>
  <si>
    <t>#Vamos #VAMO3 #Oferta #Ações #Simpar #SIMH3 #CVM</t>
  </si>
  <si>
    <t>#Light #LIGT3 #RecuperaçãoJudicial #Aneel #Reajuste #Equatorial #EQTL3 #Ações</t>
  </si>
  <si>
    <t>#Light #LIGT3 #RecuperaçãoJudicial #Equatorial #EQTL3 #Ações</t>
  </si>
  <si>
    <t>#Petrobras #Petroleira #Braskem #Aquisição #EstatalArabe #PresidentePetrobras #Ações</t>
  </si>
  <si>
    <t>#Light #Ligt3 #Rj #Ações #Prejuízo #Renúncia #WNTCapital #NelsonTanure</t>
  </si>
  <si>
    <t>#Light #Ligt3 #Rj #Ações #Papéis #1T23 #RecuperaçãoJudicial</t>
  </si>
  <si>
    <t>CAPES NEWS: 30/05 a 05/06/2023 #capes #PAEInt #programa #apoio #ações #estratégicas #pesquisadores #instituições #ensinosuperior
https://t.co/BATjsWbJZl via @YouTube</t>
  </si>
  <si>
    <t>@DanielaLima_ Baita call de venda que você deu pra galera e ninguém pegou esse trade.
Quem vendeu nesse dia vendeu no topo. 🤣🤣🤣🤣🤣🤣
#daytrade #CNNBrasil #investimento #acoes #swingtrade  #lren3 #cvcb3 #asai3 https://t.co/NOflNcptVn</t>
  </si>
  <si>
    <t>$SPX
Daily chart update     
#tradingstrategies #investing #tradingtips #stocks #StockMarket #OptionsTrading #stockanalysis #BolsadeValores #MercadoFinanceiro #AnáliseTécnica #Ações #stocktrading #daytrading #stockcharts #marketanalysis #technicalanalysis https://t.co/T1dDinCp8l</t>
  </si>
  <si>
    <t>$TSLA
Daily chart update    
#tradingstrategies #investing #tradingtips #stocks #StockMarket #OptionsTrading #stockanalysis #BolsadeValores #MercadoFinanceiro #AnáliseTécnica #Ações #stocktrading #daytrading #stockcharts #marketanalysis #technicalanalysis https://t.co/cdbFXVUScg</t>
  </si>
  <si>
    <t>$AAPL $AMZN
Daily chart update       
#tradingstrategies #investing #tradingtips #stocks #StockMarket #OptionsTrading #stockanalysis #BolsadeValores #MercadoFinanceiro #AnáliseTécnica #Ações #stocktrading #daytrading #stockcharts #marketanalysis #technicalanalysis https://t.co/9BlkiXIVTi</t>
  </si>
  <si>
    <t>$BTC
Daily chart update       
#tradingstrategies #investing #tradingtips #stocks #StockMarket #OptionsTrading #stockanalysis #BolsadeValores #MercadoFinanceiro #AnáliseTécnica #Ações #stocktrading #daytrading #stockcharts #marketanalysis #technicalanalysis #BTC https://t.co/Z1ZY0hUQ4E</t>
  </si>
  <si>
    <t>$SPX
Daily chart update       
#tradingstrategies #investing #tradingtips #stocks #StockMarket #OptionsTrading #stockanalysis #BolsadeValores #MercadoFinanceiro #AnáliseTécnica #Ações #stocktrading #daytrading #stockcharts #marketanalysis #technicalanalysis https://t.co/i3zypu4LvU</t>
  </si>
  <si>
    <t>$NET
Daily chart update      
 #tradingstrategies #investing #tradingtips #stocks #StockMarket #OptionsTrading #stockanalysis #BolsadeValores #MercadoFinanceiro #AnáliseTécnica #Ações #stocktrading #daytrading #stockcharts #marketanalysis https://t.co/WIF9ttvbh8</t>
  </si>
  <si>
    <t>$AMZN
Daily chart update     
 #tradingstrategies #investing #tradingtips #stocks #StockMarket #OptionsTrading #stockanalysis #BolsadeValores #MercadoFinanceiro #AnáliseTécnica #Ações #stocktrading #daytrading #stockcharts #marketanalysis #technicalanalysis https://t.co/3dc3iKVNcs</t>
  </si>
  <si>
    <t>$SPX
Daily chart update   
#tradingstrategies #investing #tradingtips #stocks #StockMarket #OptionsTrading #stockanalysis #BolsadeValores #MercadoFinanceiro #AnáliseTécnica #Ações #stocktrading #daytrading #stockcharts #marketanalysis #technicalanalysis https://t.co/6AKFlGHjHL</t>
  </si>
  <si>
    <t>$NET
Daily chart update     
 #tradingstrategies #investing #tradingtips #stocks #StockMarket #OptionsTrading #stockanalysis #BolsadeValores #MercadoFinanceiro #AnáliseTécnica #Ações #stocktrading #daytrading #stockcharts #marketanalysis #technicalanalysis https://t.co/q9mLUVgSB0</t>
  </si>
  <si>
    <t>$NET
Daily chart update      
#tradingstrategies #investing #tradingtips #stocks #StockMarket #OptionsTrading #stockanalysis #BolsadeValores #MercadoFinanceiro #AnáliseTécnica #Ações #stocktrading #daytrading #stockcharts #marketanalysis #technicalanalysis https://t.co/xD1cYjR2yF</t>
  </si>
  <si>
    <t>$SPX
Daily chart update      
#tradingstrategies #investing #tradingtips #stocks #StockMarket #OptionsTrading #stockanalysis #BolsadeValores #MercadoFinanceiro #AnáliseTécnica #Ações #stocktrading #daytrading #stockcharts #marketanalysis #technicalanalysis https://t.co/K1NlAMIDKQ</t>
  </si>
  <si>
    <t>$BTC
Daily chart update     
#tradingstrategies #investing #tradingtips #stocks #StockMarket #OptionsTrading #stockanalysis #BolsadeValores #MercadoFinanceiro #AnáliseTécnica #Ações #stocktrading #daytrading #stockcharts #marketanalysis #technicalanalysis https://t.co/BL1hRhWXoy</t>
  </si>
  <si>
    <t>$AAPL $AMZN $NET $TSLA 
Daily chart updates
#tradingstrategies #investing #tradingtips #stocks #StockMarket #OptionsTrading #stockanalysis #BolsadeValores #MercadoFinanceiro #priceaction #AnáliseTécnica #Ações #stocktrading #daytrading #stockcharts #marketanalysis… https://t.co/dPnAUskJoN</t>
  </si>
  <si>
    <t>$IBOV  🇧🇷
Zonas de oferta e demanda.
Gráfico Diário.
#tradingstrategies #investing #tradingtips #stocks #StockMarket #OptionsTrading #stockanalysis #BolsadeValores #MercadoFinanceiro #priceaction #AnáliseTécnica #Ações #stocktrading #daytrading #stockcharts #marketanalysis… https://t.co/y5d01WJtE7</t>
  </si>
  <si>
    <t>SPX Second Opening Range Breakout
O DTE 10 contracts.
#tradingstrategies #investing #tradingtips #stocks #StockMarket #OptionsTrading #stockanalysis #BolsadeValores #MercadoFinanceiro #AnáliseTécnica #Ações #stocktrading #daytrading #stockcharts #marketanalysis #technicalanalysis https://t.co/BA0sxiq2Zs</t>
  </si>
  <si>
    <t>SPX Opening Range Breakout
0 DTE 10 Contracts
#tradingstrategies #investing #tradingtips #stocks #StockMarket #OptionsTrading #stockanalysis #BolsadeValores #MercadoFinanceiro #AnáliseTécnica #Ações #stocktrading #daytrading #stockcharts #marketanalysis #technicalanalysis https://t.co/4k0xKNqCgF</t>
  </si>
  <si>
    <t>SPX Opening Range Breakout
#tradingstrategies #investing #tradingtips #stocks #StockMarket #OptionsTrading #stockanalysis #BolsadeValores #MercadoFinanceiro #AnáliseTécnica #Ações #stocktrading #daytrading #stockcharts #marketanalysis #technicalanalysis https://t.co/eDpe4SibKK</t>
  </si>
  <si>
    <t>$BTC
Daily chart update      
#tradingstrategies #investing #tradingtips #stocks #StockMarket #OptionsTrading #stockanalysis #BolsadeValores #MercadoFinanceiro #AnáliseTécnica #Ações #stocktrading #daytrading #stockcharts #marketanalysis #technicalanalysis https://t.co/jbvytvBbBL</t>
  </si>
  <si>
    <t>$NET
Daily chart update       
#tradingstrategies #investing #tradingtips #stocks #StockMarket #OptionsTrading #stockanalysis #BolsadeValores #MercadoFinanceiro #AnáliseTécnica #Ações #stocktrading #daytrading #stockcharts #marketanalysis #technicalanalysis https://t.co/ctVAOuT4Lj</t>
  </si>
  <si>
    <t>Itaú Unibanco vendeu 10 milhões de ações da XP Inc. na segunda-feira, reduzindo sua participação de cerca de 10,5% para cerca de 8,6%. A operação ocorreu por meio de block trade.  #ItauUnibanco #XPInc #blocktrade #ações</t>
  </si>
  <si>
    <t>Magazine Luiza (MGLU3), Petrobras (PETR3) e outras 77 ações integram novo índice da B3; veja
#Ações #B3 #Empresas
https://t.co/MbolcRtzTT</t>
  </si>
  <si>
    <t>Dynamo vende ações de empresa que amargou prejuízo no 2T23
#Ações #Alpargatas #Empresas
https://t.co/dog3Tr8Dvn</t>
  </si>
  <si>
    <t>Ibovespa (IBOV): O principal fator que fez índice marcar a pior sequência de quedas em quase 40 anos nesta segunda (14)
#Ações #Empresas #FeedPrincipal
https://t.co/dQtXJnQhKq</t>
  </si>
  <si>
    <t>BRF (BFSA3) e IRB (IRBR3) agitam semana dos balanços; veja o que esperar do período
#Ações #AliansceSonae #BRF
https://t.co/KvQYDRJQFU</t>
  </si>
  <si>
    <t>Rali das ações nos EUA continua em 2023? Não será fácil agradar investidor com balanços
#2T23 #Ações #Empresas
https://t.co/gDBdAXqevk</t>
  </si>
  <si>
    <t>PagBank renova carteira em 80% para bater o Ibovespa na semana; saiba em quais ações apostar
#Ações #BoaSafra #Chevron
https://t.co/2pTB66W95V</t>
  </si>
  <si>
    <t>Ibovespa: Braskem (BRKM5) dispara; Grupo Soma (SOMA3) despenca
#3RPetroleum #Ações #Azul
https://t.co/yWTzcLDA8z</t>
  </si>
  <si>
    <t>Ibovespa (IBOV) consolida 4º pregão seguido de queda e volta aos 119 mil pontos; veja saldo da semana
#Ações #Empresas #FeedPrincipal
https://t.co/EF8aGBETCZ</t>
  </si>
  <si>
    <t>Goldman Sachs compra ações de petroleira ‘queridinha’ da bolsa brasileira; veja qual
#Ações #Empresas #GoldmanSachs
https://t.co/oshW3XO3aT</t>
  </si>
  <si>
    <t>Ibovespa (IBOV) se segura no azul e fecha acima dos 118 mil pontos; veja destaques desta quinta (20)
#Ações #Empresas #FeedPrincipal
https://t.co/LaHYe5NSrC</t>
  </si>
  <si>
    <t>‘Fraqueza’ do Ibovespa chama a atenção; entenda os motivos e saiba se recuperação corre risco
#Ações #FeedPrincipal #Ibovespa
https://t.co/q9TNE7wkHG</t>
  </si>
  <si>
    <t>Ibovespa: Por que Natura (NTCO3) lidera as altas? Totvs (TOS3) é o destaque negativo
#3RPetroleum #Ações #AliansceSonae
https://t.co/9jU2ye4sKJ</t>
  </si>
  <si>
    <t>Estes dois fatores podem frear o Ibovespa no curto prazo, segundo gestora
#Ações #Empresas #FeedPrincipal
https://t.co/RUYRAdUfSA</t>
  </si>
  <si>
    <t>Ibovespa (IBOV) escapa por pouco da queda com apoio de Wall Street; JBS (JBSS3) salta
#Ações #Empresas #FeedPrincipal
https://t.co/NTW0jEwFf2</t>
  </si>
  <si>
    <t>Erro na B3 (B3SA3): Fechamento do Ibovespa (IBOV) na terça (11) é corrigido
#Ações #B3 #FeedPrincipal
https://t.co/j4p6KrhO1x</t>
  </si>
  <si>
    <t>Ibovespa: O que explica a disparada de JBS (JBSS3)? Dexco (DXCO3) lidera as baixas
#3RPetroleum #Ações #B3
https://t.co/e7tlXqraAI</t>
  </si>
  <si>
    <t>A ‘burrada’ de MGLU3, VIIA3, LREN3, HAPV3 e NTCO3 ajudou a derrubar a bolsa, mas o jogo está prestes a virar, diz gestora
#Ações #Americanas #Empresas
https://t.co/lRbb10vd7n</t>
  </si>
  <si>
    <t>Ibovespa (IBOV): VALE3, PETR4 e Relatório Focus dão gás ao índice nesta segunda (3)
#Ações #Empresas #FeedPrincipal
https://t.co/nQiV4FjPzl</t>
  </si>
  <si>
    <t>Petrobras (PETR3), Bradesco (BBDC3) e mais 42 pagam dividendos de até 11% no 2º semestre; veja a lista
#Ações #BolsadeValores #Dividendos
https://t.co/gBTESaXZtq</t>
  </si>
  <si>
    <t>Partiu feriado: Wall Street fecha com pouca alteração em pregão mais curto; Tesla salta
#Ações #DowJones #EstadosUnidos(EUA)
https://t.co/PoSsGOVxCr</t>
  </si>
  <si>
    <t>Ibovespa: Gerdau (GOAU4) lidera as altas da sessão; Petrobras (PETR4) e Vale (VALE3) avançam
#Ações #Banestes #Bradesco
https://t.co/fSQhXvHRIW</t>
  </si>
  <si>
    <t>Bolsas Asiáticas: Mercado da China fecha em alta com expectativas de suporte
#Ações #BolsasAsiáticas #China
https://t.co/f7WkPd9QTS</t>
  </si>
  <si>
    <t>Vai começar o segundo tempo! Onde investir no 2º semestre, crise da Americanas (AMER3), o substituto de Bolsonaro e outros destaques do dia
#Ações #BolsadeValores #Investimentos
https://t.co/Wz0OHLClK6</t>
  </si>
  <si>
    <t>Petrobras (PETR4) autoriza Odebrecht, Andrade Gutierrez e UTC a disputar obras
#Ações #AndradeGutierrez #BusinessTimes
https://t.co/hdeTKehIFw</t>
  </si>
  <si>
    <t>Ibovespa: BRF (BRFS3) e JBS (JBSS3) lideram as altas, enquanto aéreas e mineradoras caem
#Ações #Azul #BRF
https://t.co/BQf8utf5N9</t>
  </si>
  <si>
    <t>Ações da China e Hong Kong caem com corte de juros, visita de Blinken decepciona
#Ações #Ásia #BolsadeValores
https://t.co/awwemXSCFk</t>
  </si>
  <si>
    <t>Tempo Real: Ibovespa pode arriscar mais uma alta nesta terça-feira (20)
#Ações #Brasil #FeedPrincipal
https://t.co/tq1OfVKgiX</t>
  </si>
  <si>
    <t>Gestora vende ações de empresa do Ibovespa que amarga tombo de dois dígitos
#Ações #Alpargatas #Empresas
https://t.co/46wc3wHkKU</t>
  </si>
  <si>
    <t>Sem Wall Street, Ibovespa (IBOV) dispara e mira os 120 mil pontos; veja o resumo do dia
#Ações #Empresas #FeedPrincipal
https://t.co/uAxOkqWj4n</t>
  </si>
  <si>
    <t>Bolsas Europeias: Ações caem e índice da Alemanha recua ante pico recorde
#Ações #BolsasEuropeias #EstadosUnidos(EUA)
https://t.co/F972V0lJRi</t>
  </si>
  <si>
    <t>Com forte apetite, gringos compram mais de R$ 7 bilhões em ações na B3
#Ações #B3 #Brasil
https://t.co/FPXT7TQmaD</t>
  </si>
  <si>
    <t>Ibovespa: Por que CVC (CVCB3) interrompe altas e lidera as perdas? JBS (JBSS3) dispara 5%
#Ações #Azul #BradescoBBI
https://t.co/Tbz7jyaJKq</t>
  </si>
  <si>
    <t>Como garantir dividendos e JCP na próxima semana? PETR4, BBAS3 e mais 3 têm ‘data com’
#Ações #BancodoBrasil #BolsadeValores
https://t.co/3jyT4BvX0e</t>
  </si>
  <si>
    <t>Cielo (CIEL3): Decisão do STF pode gerar bolada de milhões e maiores dividendos, diz Citi
#Ações #Cielo #Citi
https://t.co/kiGWTwkMSV</t>
  </si>
  <si>
    <t>Ibovespa: Petrobras (PETR4), Vale (VALE3) e os motivos por trás da disparada nesta sexta
#Ações #FeedPrincipal #Ibovespa
https://t.co/ERrB8WzhMf</t>
  </si>
  <si>
    <t>Santander (SANB11) rebaixa duas companhias e tem nova favorita no setor de mineração
#Ações #FeedPrincipal #Mercados
https://t.co/zrQcxzqkbP</t>
  </si>
  <si>
    <t>Messi, Realidade Aumentada e Disney: Apple uma ótima empresa, mas não um ótimo investimento
#Ações #Apple #Colunistas
https://t.co/Wz9ddF8rim</t>
  </si>
  <si>
    <t>Ibovespa: Por que CVC (CVCB3) dispara e Vale (VALE3) e Petrobras (PETR4) sobem nesta sexta?
#Ações #CVC #FeedPrincipal
https://t.co/La0EGaI6yC</t>
  </si>
  <si>
    <t>Swing Trade: Ações da Eneva (ENEV3) podem render 10% nesta sexta (09); veja como
#Ações #ColunistaEmpiricus #Colunistas
https://t.co/PoTdJzhZth</t>
  </si>
  <si>
    <t>Bolsas Asiáticas: Japão dispara quase 2% e ações na China sobem, apesar de dados sombrios
#Ações #Ásia #Austrália
https://t.co/FZvu0jIupY</t>
  </si>
  <si>
    <t>Gringos vendem R$ 2,5 bi em ações na B3 em uma semana e maio volta a ficar no vermelho
#Ações #B3 #FeedPrincipal
https://t.co/zsvtz6df4F</t>
  </si>
  <si>
    <t>Banco do Brasil (BBAS3) vai pagar R$ 966,4 milhões em JCP; veja quem tem direito
#Ações #BancodoBrasil #Bancos
https://t.co/2KPc8UweqI</t>
  </si>
  <si>
    <t>O minério no sapato da bolsa: O que esperar das ações da Vale, cheque especial do Nubank, turbulências na CVC e outros destaques do dia
#Ações #Dividendos #Empresas
https://t.co/1sqHTqD9ph</t>
  </si>
  <si>
    <t>Novo pedido da Petrobras (PETR4), dividendos de elétrica e outros destaques desta sexta (26)
#Ações #Aeris #CVC
https://t.co/tXEfOESoGq</t>
  </si>
  <si>
    <t>Bolsas Asiáticas: Mercado da China fecha estável com tensões sino-americanas em foco
#Ações #BolsasAsiáticas #China
https://t.co/nakxNHIUAq</t>
  </si>
  <si>
    <t>Nvidia cara? Veja três ações que decolaram ‘na cola’ da fabricante
#Ações #EmpiricusResearch #Empresas
https://t.co/Tc05MolWhd</t>
  </si>
  <si>
    <t>Ibovespa (IBOV): O dado positivo que fez índice quebrar sequência de quedas nesta quinta (25)
#Ações #Empresas #FeedPrincipal
https://t.co/x9cbXHaEJj</t>
  </si>
  <si>
    <t>Vai investir na Nvidia? Melhor pensar duas vezes
#Ações #ColunistaEmpiricus #Colunistas
https://t.co/hTnsUF1yqS</t>
  </si>
  <si>
    <t>Ações europeias caem com pessimismo macroeconômico; setor de luxo se recupera
#Ações #Europa #FeedPrincipal
https://t.co/yDsY41ewwq</t>
  </si>
  <si>
    <t>Sequoia dispara quase 5% na Bolsa, após mais um passo na venda de ativos estratégicos
#Ações #BusinessTimes #Empresas
https://t.co/BfBt4FU9lx</t>
  </si>
  <si>
    <t>Ibovespa: Por que AZUL4 e GOLL4 disparam nesta quinta (25)? PETR4 recua no pregão
#Ações #Azul #CVC
https://t.co/fwskxmon5m</t>
  </si>
  <si>
    <t>Próxima penny stock? CEO da CVC (CVCB3) deixa companhia em momento crítico, segundo analistas
#Ações #CEOs #CVC
https://t.co/pJsuzxilLd</t>
  </si>
  <si>
    <t>Gringos repetem em um único dia na B3 o que fizeram nos últimos três; entenda
#Ações #B3 #FeedPrincipal
https://t.co/oC6TTLsiri</t>
  </si>
  <si>
    <t>Dividendos da Vale (VALE3), risco de calote da Oi (OIBR3) e outros destaques desta quinta-feira (25)
#Ações #CVC #Dividendos
https://t.co/QgPPYjYiyK</t>
  </si>
  <si>
    <t>Ibovespa (IBOV) hoje fica refém da Vale (VALE3) e do exterior, mas é outra ação que rouba a cena
#Ações #B3 #BuladoMercado
https://t.co/Owk2Vj56OM</t>
  </si>
  <si>
    <t>Ibovespa (IBOV) tem 3ª derrota seguida, apesar de arcabouço fiscal; VALE3 pressiona índice
#Ações #Empresas #FeedPrincipal
https://t.co/zerPaKl0jU</t>
  </si>
  <si>
    <t>Bolsas asiáticas caem com fraqueza na China; minério de ferro salta 2,4% em Dalian
#Ações #Ásia #Austrália
https://t.co/6Hrf174CPL</t>
  </si>
  <si>
    <t>Ibovespa (IBOV) começa terça-feira (9) agitada por Copom e China
#Ações #BalançaComercial #BuladoMercado
https://t.co/K6aYuhv2cG</t>
  </si>
  <si>
    <t>Por que as ações brasileiras estão ‘baratas’; entenda
#Ações #B3 #Bancos
https://t.co/9vNJrNnNjb</t>
  </si>
  <si>
    <t>Construtoras: O que esperar das preferidas DIRR3, CURY3 e CYRE3 no 1T23?
#1T23 #Ações #BusinessTimes
https://t.co/39uXALNo7s</t>
  </si>
  <si>
    <t>Gringos ampliam venda de ações e saques na B3 superam R$ 2 bi em 3 pregões de maio
#Ações #B3 #Copom
https://t.co/bAwi1Epxli</t>
  </si>
  <si>
    <t>Ibovespa: Vale (VALE3) avança e Eletrobras (ELET3) recua nesta segunda (8); entenda
#Ações #Braskem #Eletrobras
https://t.co/cM0pHeIHxu</t>
  </si>
  <si>
    <t>Por que Petrobras (PETR4) e 3RPetroleum (RRRP3) sobem nesta segunda (8)?
#3RPetroleum #Ações #EntreAltaseBaixas
https://t.co/D2WX2hHbaL</t>
  </si>
  <si>
    <t>Braskem (BRKM5) dispara 20% após Novonor receber proposta de compra
#Ações #Braskem #FeedPrincipal
https://t.co/2g0gJdXDoj</t>
  </si>
  <si>
    <t>Petrobras (PETR3) firma acordos e privatização da Eletrobras (ELET3) sobe no telhado; confira os destaques desta segunda-feira (8)
#Ações #BTGPactual #Eletrobras
https://t.co/XSVo5h10qA</t>
  </si>
  <si>
    <t>Por que Petrobras (PETR4) pode subir hoje; como investir nesta segunda-feira (8)
#Ações #ADR's #Alemanha
https://t.co/hLWgjN7Lrz</t>
  </si>
  <si>
    <t>Ações de bancos levam índice de Xangai a maior ganho diário em 2 meses
#Ações #Ásia #BolsasAsiáticas
https://t.co/at8kdWTBYq</t>
  </si>
  <si>
    <t>Dividendos: Caixa Seguridade (CXSE3), Taurus (TASA4) e mais 7 pagam R$ 2 bi nesta semana; veja quem tem direito
#Ações #CaixaSeguridade #Dividendos
https://t.co/35rWtoqNv4</t>
  </si>
  <si>
    <t>Mercado repete aposta errada de varejista e vê gringos anteciparem férias de verão
#Ações #ArcabouçoFiscal #B3
https://t.co/N4T8xv6kno</t>
  </si>
  <si>
    <t>Vale (VALE3) vende participação na MRN e conclui programa de desinvestimento
#Ações #Empresas #FeedPrincipal
https://t.co/gDEeNSx0QN</t>
  </si>
  <si>
    <t>Meta (META34): ações disparam 15% em NY após inteligência artificial impulsionar balanço do 1T23
#Ações #Empresas #Facebook
https://t.co/3r6yAYIYbd</t>
  </si>
  <si>
    <t>Ibovespa (IBOV) tenta equilibrar VALE3, Campos Neto e Haddad nesta quinta (27); índice abre em estabilidade
#3RPetroleum #Ações #Copom
https://t.co/qKmSFOtvyo</t>
  </si>
  <si>
    <t>IRB (IRBR3) volta ao Ibovespa a partir de maio; confira as mudanças no índice
#Ações #BancoPan #BolsadeValores
https://t.co/UsTYbhrSyU</t>
  </si>
  <si>
    <t>3R Petroleum (RRRP3) reverte prejuízo e tem lucro líquido de R$ 16 milhões no 1T23
#1T23 #3RPetroleum #Ações
https://t.co/3oOGGrbkFZ</t>
  </si>
  <si>
    <t>Gestora Dynamo vende ações de empresa de educação
#Ações #ÂnimaEducação #Educação
https://t.co/wqz9GyCBGp</t>
  </si>
  <si>
    <t>Ibovespa (IBOV) salta com Vale (VALE3) e ronda os 118 mil pontos; o que falta para uma guinada, segundo BBA
#Ações #Empresas #FeedPrincipal
https://t.co/ap8iw5ZlKr</t>
  </si>
  <si>
    <t>Os efeitos da medida do governo Lula que põe fim aos juros sobre capital próprio
#Ações #BolsadeValores #Empresas
https://t.co/fVv6LzpatN</t>
  </si>
  <si>
    <t>Por que o Ibovespa (IBOV) não acompanhou o ânimo em Wall Street nesta quarta (30)
#Ações #Empresas #FeedPrincipal
https://t.co/1OVMQUFErg</t>
  </si>
  <si>
    <t>Ibovespa: IRB (IRBR3) lidera as altas; Gol (GOLL4) e Pão de Açúcar (PCAR3) são destaque negativo
#3RPetroleum #Ações #CCR
https://t.co/gYMPNjfE6d</t>
  </si>
  <si>
    <t>João Braga: conheça o gestor que já trabalhou com Stuhlberger e Benchimol, mas decidiu abrir sua própria gestora
#Ações #BolsadeValores #Entrevista
https://t.co/wb6LqIaXuT</t>
  </si>
  <si>
    <t>Gestora americana vende ações da Vale (VALE3)
#Ações #Commodities #Empresas
https://t.co/noI0VrlACb</t>
  </si>
  <si>
    <t>10 ações para investir no curto prazo, segundo a Mirae Asset
#Ações #B3 #BTGPactual
https://t.co/khV43MvxpG</t>
  </si>
  <si>
    <t>Conheça a estratégia de investimento do gestor que já ganhou 1.500% com small caps
#Ações #Bolsa #BolsadeValores
https://t.co/I3rkz7Q0Gw</t>
  </si>
  <si>
    <t>A provável volta por cima das Small Caps
#Ações #BolsadeValores #ColunadoMarketMakers
https://t.co/1UAZbW3feL</t>
  </si>
  <si>
    <t>Agosto vermelho? Gringos retiram dinheiro da B3 pelo 5º dia; valor chega a R$ 5,5 bilhões
#Ações #B3 #BolsadeValores
https://t.co/gELGT7uNNk</t>
  </si>
  <si>
    <t>Será que o Ibovespa vai subir? Por que a bolsa caiu em agosto, Banco do Brasil além das projeções, taxa do “ponto extra” no Disney Plus e outros destaques do dia
#Ações #BolsadeValores #Ibovespa
https://t.co/JXVh4xr7GP</t>
  </si>
  <si>
    <t>Elétrica candidata a vaca leiteira paga mais uma rodada de dividendos; veja detalhes
#Ações #Alupar #Dividendos
https://t.co/fA82yR34zq</t>
  </si>
  <si>
    <t>Petrobras (PETR4): Nova política de preços traz prejuízo à companhia, diz associação
#Ações #Combustíveis #Empresas
https://t.co/InhoSPeYwA</t>
  </si>
  <si>
    <t>Ultrapar (UGPA3) anuncia R$ 273 milhões em dividendos; saiba quanto o acionista ganhará por ação
#Ações #B3 #Bolsa
https://t.co/0Gs86PnIIz</t>
  </si>
  <si>
    <t>Ibovespa (IBOV) vai para o 7º pregão seguido na zona vermelha; BBAS3 recua antes de resultados
#Ações #Empresas #FeedPrincipal
https://t.co/bHB2SHF9Qo</t>
  </si>
  <si>
    <t>Taurus (TASA4) pode construir fábrica na Arábia Saudita; entenda
#Ações #ArábiaSaudita #Armas
https://t.co/vRNZalNedC</t>
  </si>
  <si>
    <t>Ibovespa: Dexco (DXCO3) dispara junto com Petrobras (PETR3); Méliuz (CASH3) lidera as perdas
#3RPetroleum #Ações #CSN
https://t.co/SKX2n0LuG9</t>
  </si>
  <si>
    <t>Petrobras (PETR4): Gringos enchem os bolsos com nova política de dividendos
#Ações #ADR's #Dividendos
https://t.co/BazhpZtClY</t>
  </si>
  <si>
    <t>Petrobras (PETR4): Nova política de dividendos agrada o mercado?
#Ações #Commodities #Dividendos
https://t.co/Q9k0bA5L9t</t>
  </si>
  <si>
    <t>4 empresas pagam milhões em dividendos e JCP esta semana; POMO4 e STBP3 têm ‘data com’
#Ações #BlauFarmacêutica #Dividendos
https://t.co/sEvMxkNDlv</t>
  </si>
  <si>
    <t>Ant Group: Valores de recompra de ações surpreendem e fecham com forte desconto de 75% em relação a IPO
#Ações #AntGroup #E-commerce
https://t.co/flGEB42A0X</t>
  </si>
  <si>
    <t>Hidrovias do Brasil (HBSA3) anuncia oferta de ações de até R$ 444,6 mi com venda de participação dos principais acionistas
#Ações #Empresas #HidroviasdoBrasil
https://t.co/0aRyRFGkWX</t>
  </si>
  <si>
    <t>Ibovespa (IBOV): Os dois principais fatores que deram um gás ao índice nesta sexta (7)
#Ações #Empresas #FeedPrincipal
https://t.co/2cycx2M8nW</t>
  </si>
  <si>
    <t>Ibovespa: Por que 3R Petroleum (RRRP3) dispara mais de 7% e Petrobras (PETR4) cai?
#3RPetroleum #Ações #Azul
https://t.co/NjxCFuLepc</t>
  </si>
  <si>
    <t>Dividendos e JCP: Bradesco (BBDC4), Itaú (ITUB4) e mais 6 empresas pagam quase R$ 1 bilhão na 1ª semana de julho
#Ações #Alupar #Ambipar
https://t.co/PT1ppukwYE</t>
  </si>
  <si>
    <t>Mobly (MBLY3) comunica que CTM Investimentos atinge 19,91% das ações ordinárias da empresa
#Ações #BusinessTimes #Empresas
https://t.co/r4MORC8Iui</t>
  </si>
  <si>
    <t>Twitter terá limite de leitura de 600 post por dia para usuários sem selo azul
#Ações #BusinessTimes #ElonMusk
https://t.co/GmfW9P9gh0</t>
  </si>
  <si>
    <t>O saldo do Ibovespa (IBOV) nesta sexta (30), na semana e no primeiro semestre do ano
#Ações #Empresas #FeedPrincipal
https://t.co/nxSPyltoNo</t>
  </si>
  <si>
    <t>Gringos fazem pequenos ajustes de compra e venda de ações na B3; confira
#Ações #Economia #FeedPrincipal
https://t.co/ZdcfsXdk5C</t>
  </si>
  <si>
    <t>Campos Neto vai ceder? Juros a 13,50% em agosto pode permitir que essas ações multipliquem por até 5 vezes o dinheiro investido
#Ações #Bolsa #ConteúdoEmpiricus
https://t.co/WjMyYzpsMW</t>
  </si>
  <si>
    <t>Bolsas Europeias: Ações fecham 2° trimestre em alta
#Ações #BancoCentralEuropeu(BCE) #BolsasEuropeias
https://t.co/4f3j97pbHu</t>
  </si>
  <si>
    <t>Ibovespa (IBOV): Por que Petrobras (PETR4) despenca enquanto MRV (MRVE3) dispara? Mineradoras caem
#3RPetroleum #Ações #CSN
https://t.co/ZwI45HGD5c</t>
  </si>
  <si>
    <t>Bolsas Asiáticas: Ações da China sobem após dado fraco de indústria alimentar expectativa de estímulo
#Ações #BolsasAsiáticas #China
https://t.co/PxUOPOe5f1</t>
  </si>
  <si>
    <t>Ibovespa (IBOV) dispara com bom humor renovado sobre corte de juros; PETR4 e VALE3 ajudam
#Ações #Empresas #FeedPrincipal
https://t.co/HiZ4IXZAqE</t>
  </si>
  <si>
    <t>Gringos compram R$ 1 bilhão na B3 Com apetite por ações brasileiras
#Ações #Economia #FeedPrincipal
https://t.co/4FHfQyU1SN</t>
  </si>
  <si>
    <t>Ibovespa: As falas de Roberto Campos Neto que fazem índice disparar
#Ações #BancoCentral #FeedPrincipal
https://t.co/HrM4mt8XOE</t>
  </si>
  <si>
    <t>Gringos compram ações da Petrobras e da Vale negociadas nos EUA neste feriado
#Ações #ADR's #B3
https://t.co/7owucnLhxm</t>
  </si>
  <si>
    <t>Como proteger seus investimentos? Assessora Diná França indica o que fazer em 2023
#Ações #EducaçãoFinanceira #FundosdeInvestimento
https://t.co/j5lCsVK1ZW</t>
  </si>
  <si>
    <t>Maior gestora do mundo vende ação que já entregou ganhos de mais de 40% em 2023
#Ações #BlackRock #Cogna
https://t.co/44wJUZtZyE</t>
  </si>
  <si>
    <t>Sem desacelerar, Ibovespa (IBOV) engata 5º pregão seguido de alta e chega aos 115 mil pontos
#Ações #Empresas #FeedPrincipal
https://t.co/TeKXWQvnLg</t>
  </si>
  <si>
    <t>Inteligência artificial: Os bancos conseguirão evoluir sem perder a humanidade?
#Ações #Bancos #BusinessTimes
https://t.co/kdX7AHNlLx</t>
  </si>
  <si>
    <t>Ibovespa: Por que Magazine Luiza (MGLU3) cai mesmo com queda da inflação?
#Ações #Azul #CSN
https://t.co/hAGjSNjP3w</t>
  </si>
  <si>
    <t>Itaúsa (ITSA4) despeja R$ 1,1 bilhão em ações da XP no mercado
#Ações #Empresas #FeedPrincipal
https://t.co/vRxBP6QfcY</t>
  </si>
  <si>
    <t>IRB (IRBR3) vai emitir R$ 250 mi em debêntures para auxiliar cobertura de provisões
#Ações #Brasil #Debêntures
https://t.co/cF3sLYhoM0</t>
  </si>
  <si>
    <t>Bolsa Asiáticas: Ações blue-chips da China caem com dados fracos de balança comercial
#Ações #Ásia #BolsasAsiáticas
https://t.co/S2L3yfIXH4</t>
  </si>
  <si>
    <t>Imposto de Renda 2023: Como declarar ações, dividendos, CDBs e outros
#Ações #CDB #CRA
https://t.co/robhKsjtfz</t>
  </si>
  <si>
    <t>Gringos vendem quase R$ 1 bi em ações na B3 em 3 dias; confira o saldo no mês
#Ações #B3 #FeedPrincipal
https://t.co/4ech33L4Qf</t>
  </si>
  <si>
    <t>Dividendos brasileiros caem no 1T23, e Vale (VALE3) tem culpa nisso; entenda
#Ações #Commodities #Dividendos
https://t.co/Rul5fuT3qD</t>
  </si>
  <si>
    <t>Bolsas Europeias: Ações têm pior pregão em 2 meses com inflação no Reino Unido e preocupação sobre dívida dos EUA
#Ações #BancodaInglaterra #BolsasEuropeias
https://t.co/jzo4hqWu98</t>
  </si>
  <si>
    <t>Ibovespa: Por que Vale (VALE3) volta a cair nesta quarta (24)?
#Ações #BRF #CSN
https://t.co/EijYyTI7RP</t>
  </si>
  <si>
    <t>Bilionários: Homem mais rico do mundo perde US$ 11 bilhões em um dia; entenda o motivo da queda
#Ações #Bilionários #Empresas
https://t.co/TiP5C1hhfI</t>
  </si>
  <si>
    <t>Por que Petrobras (PETR4) sobe, na contramão do Ibovespa? Novela com Ibama ganha mais um capítulo
#Ações #Commodities #Empresas
https://t.co/KByqKqyRhX</t>
  </si>
  <si>
    <t>Potencial da Petrobras (PETR4), riscos para Oi (OIBR3) e mais destaques desta quarta (24)
#Ações #Copel #Empresas
https://t.co/qDG8TO3ACK</t>
  </si>
  <si>
    <t>Bolsas Asiáticas: Ações da China volta a cair sob peso de ações de consumo e financeiras
#Ações #BolsasAsiáticas #China
https://t.co/8BlSX91A6P</t>
  </si>
  <si>
    <t>Prio (PRIO3): Gestora despeja 31,2 milhões de ações no mercado
#Ações #Empresas #FeedPrincipal
https://t.co/WApS4YqArD</t>
  </si>
  <si>
    <t>O que fez Ibovespa (IBOV) virar para queda nesta terça-feira (23)?
#Ações #Empresas #FeedPrincipal
https://t.co/alLBH0dj5L</t>
  </si>
  <si>
    <t>Ibovespa tem longo caminho para ‘andar’ (antes da Selic cair) e mira os 120 mil pontos
#Ações #B3 #Dólar
https://t.co/9TFZIbc8z5</t>
  </si>
  <si>
    <t>Campeã da Bolsa americana, com BDR na B3, subiu 110% no ano; ainda dá tempo de embarcar?
#Ações #Apple #EstadosUnidos(EUA)
https://t.co/PieF8nlX8n</t>
  </si>
  <si>
    <t>Índices europeus recuam por queda em empresas de luxo e sob peso do Julius Baer
#Ações #BolsasEuropeias #Europa
https://t.co/ccYsrKRsPL</t>
  </si>
  <si>
    <t>Ibovespa: Por que Petrobras (PETR3;PETR4) avança nesta terça (23)?
#Ações #Cemig #Empresas
https://t.co/xueVLPxy90</t>
  </si>
  <si>
    <t>6 motivos para ficar otimista com ações
#Ações #B3 #Bolsa
https://t.co/YCPJ6tiEsj</t>
  </si>
  <si>
    <t>Wall Street cai com preocupações em meio a impasse sobre teto da dívida
#Ações #Dívidas #DowJones
https://t.co/AQaeH2xNB9</t>
  </si>
  <si>
    <t>Ibovespa (IBOV) sobe de olho no arcabouço fiscal, enquanto mineradoras e siderúrgicas pesam; veja os indicadores desta terça (23)
#Ações #ArcabouçoFiscal #Brasil
https://t.co/cOuaCOATcW</t>
  </si>
  <si>
    <t>Ações da Vale (VALE3) caem nesta terça; entenda
#Ações #China #CSN
https://t.co/G3ucvTqosO</t>
  </si>
  <si>
    <t>Ibovespa (IBOV) cai com arcabouço fiscal e teto da dívida nesta terça (23)
#Ações #ArcabouçoFiscal #Economia
https://t.co/dAgatA2Nz1</t>
  </si>
  <si>
    <t>Gringos enfrentam dilema na B3 em maio: ‘buy in May’ ou ‘sell ou May’?
#Ações #B3 #FeedPrincipal
https://t.co/xDwqsR2Wux</t>
  </si>
  <si>
    <t>Bolsas Asiáticas: Ações em Hong Kong batem fundo de dois meses; ambiente é frágil
#Ações #Ásia #Austrália
https://t.co/eiLFKuz5tk</t>
  </si>
  <si>
    <t>Gestora com US$ 2,6 tri sob gestão zera posição em varejista e despeja 9,7 mi de papéis no mercado
#Ações #Empresas #GestorasdeRecursos
https://t.co/OfV0RfNljF</t>
  </si>
  <si>
    <t>Ibovespa (IBOV) abre semana sob peso do arcabouço; estrategista vê correção para próximos dias
#Ações #Empresas #FeedPrincipal
https://t.co/XLL41ZuQu6</t>
  </si>
  <si>
    <t>Ações europeias sobem hoje com energia e HSBC, mas caem pela segunda semana consecutiva
#Ações #BolsasEuropeias #Europa
https://t.co/RGUDxpFqtY</t>
  </si>
  <si>
    <t>Sell in May vem aí? Gringos iniciam maio vendendo mais de R$ 1,5 bi em ações na B3 em 2 dias
#Ações #B3 #Ibovespa
https://t.co/khfupFxF3t</t>
  </si>
  <si>
    <t>Ibovespa: Entenda o que está por trás da alta de VALE3 e PETR4 nesta sexta (5)
#Ações #Alpargatas #Assaí
https://t.co/tVCpSkh7hX</t>
  </si>
  <si>
    <t>Ações da Alpargatas (ALPA4) avançam apesar de resultado fraco
#Ações #Alpargatas #Empresas
https://t.co/Lnss7iNmag</t>
  </si>
  <si>
    <t>Ações de Hong Kong fecham em alta após expansão de serviços na China
#Ações #BolsasAsiáticas #China
https://t.co/pc4JCTZ7P9</t>
  </si>
  <si>
    <t>Petrobras (PETR4) pode cortar dividendos no próximo dia 11, diz Itaú BBA; veja 3 possíveis cenários
#Ações #Dividendos #Empresas
https://t.co/pSPQrGkGF8</t>
  </si>
  <si>
    <t>Ações europeias fecham em baixa após BCE desacelerar alta de juros, mas sinalizar mais à frente
#Ações #BancoCentralEuropeu(BCE) #BolsasEuropeias
https://t.co/BziF2ukIHJ</t>
  </si>
  <si>
    <t>Ibovespa: MGLU3 dispara 5% e VALE3 recua 3% nesta quinta (4); entenda
#Ações #Embraer #FeedPrincipal
https://t.co/9rlYhPJ7of</t>
  </si>
  <si>
    <t>O recado do presidente do conselho do Bradesco (BBDC4) após encontro com Lula,
#Ações #Bancos #Bradesco
https://t.co/EivuZmDHWd</t>
  </si>
  <si>
    <t>Por que ações da VALE3, USIM5 e CSNA3 recuam nesta quinta (4), apesar da alta do Ibovespa?
#Ações #China #CSN
https://t.co/PW1ATso8od</t>
  </si>
  <si>
    <t>Wall Street abre em baixa com temores sobre PacWest superando otimismo pelo Fed
#Ações #DowJones #EstadosUnidos(EUA)
https://t.co/D9XtiJj1ov</t>
  </si>
  <si>
    <t>Por que Ibovespa e ações brasileiras podem surpreender nesta quinta-feira (4)
#Ações #ADR's #Alemanha
https://t.co/EIiA3effvI</t>
  </si>
  <si>
    <t>Dividendos de até 73%: PETR4 e mais 5 ações pagam mais que a Selic de 13,75%
#Ações #BancoCentral #BolsadeValores
https://t.co/n2rTmBy49j</t>
  </si>
  <si>
    <t>Ibovespa: Discurso duro de Powell joga balde de água fria; preâmbulo para Campos Neto?
#Ações #Ibovespa #Mercados
https://t.co/5DH3IPG0EV</t>
  </si>
  <si>
    <t>Gringos vendem ações na B3 em abril e empatam em pregões com compras; veja como fechou a conta no mês
#Ações #B3 #FeedPrincipal
https://t.co/NKHYzvAMOe</t>
  </si>
  <si>
    <t>Luz no fim do túnel: O que explica o salto de 70% das ações da Light (LIGT3) em 6 dias?
#Ações #BlackRock #BolsadeValores
https://t.co/slGfHzup7q</t>
  </si>
  <si>
    <t>Ibovespa: Por que Carrefour (CRFB3) despenca e Klabin (KLBN3) avança nesta quarta (3)?
#Ações #Carrefour #Empresas
https://t.co/XsAmWSTbCq</t>
  </si>
  <si>
    <t>Por que MGLU3, VIIA3 e ALPA4 sobem nesta quarta (3)?
#Ações #Alpargatas #Copom
https://t.co/hgqdPMGuKQ</t>
  </si>
  <si>
    <t>Empiricus Investimentos escala 4 novas ações para comprar em maio; confira
#Ações #BBSeguridade #CarteiraRecomendada
https://t.co/vhlkEovvjM</t>
  </si>
  <si>
    <t>Wall Street abre em alta antes de decisão de política monetária do Fed
#Ações #DowJones #EstadosUnidos(EUA)
https://t.co/iKcLOfwaqB</t>
  </si>
  <si>
    <t>Compra da Vale (VALE3) e lucro recorde no 1T23 são destaques nesta quarta (3)
#1T23 #Ações #Arezzo
https://t.co/bC7beavMOE</t>
  </si>
  <si>
    <t>Ações de Hong Kong interrompem 4 dias de ganhos, com decisão do Fed em foco
#Ações #Ásia #BolsasAsiáticas
https://t.co/ygleNwqgep</t>
  </si>
  <si>
    <t>Via agora é Grupo Casas Bahia; ação terá novo ticker
#Ações #Consumo #E-commerce
https://t.co/SvtFuUywet</t>
  </si>
  <si>
    <t>Ibovespa: Pão de Açúcar (PCAR3) lidera altas, enquanto Petz (PETZ3) é destaque negativo
#3RPetroleum #Ações #Azul
https://t.co/4xNPdqFxF2</t>
  </si>
  <si>
    <t>Ibovespa sobe nesta segunda (11), à espera do IPCA de agosto; confira
#Ações #B3 #FeedPrincipal
https://t.co/XyvHYJlNQx</t>
  </si>
  <si>
    <t>Gringos vendem ações na B3 em semana de feriado; confira histórico
#Ações #B3 #BolsadeValores
https://t.co/ohawOzKjue</t>
  </si>
  <si>
    <t>Light (LIGT3) diz que decisões seguem pautadas no melhor interesse da empresa e de seus stakeholders
#Ações #BusinessTimes #CVM
https://t.co/wQtCkRAQ7z</t>
  </si>
  <si>
    <t>Em dia de feriado no Brasil, como andam Vale e Petrobras em NY? Confira o movimento
#Ações #China #Empresas
https://t.co/uI5xXen190</t>
  </si>
  <si>
    <t>Alliança Saúde (AALR3) se associa à Unimed para criar rede de laboratórios
#Ações #AlliançaSaúde #Alliar
https://t.co/imTZN7V4Uq</t>
  </si>
  <si>
    <t>Ibovespa (IBOV): Clima pesa, e índice perde os 116 mil pontos; confira o fechamento desta quarta (6)
#Ações #Empresas #FeedPrincipal
https://t.co/hgXB2cs7uo</t>
  </si>
  <si>
    <t>Sabesp (SBSP3): Os pontos defendidos pelo governo de SP para a privatização; veja guia
#Ações #Empresas #FeedPrincipal
https://t.co/Uqi6cpktfZ</t>
  </si>
  <si>
    <t>Ibovespa: Petrobras (PETR3) avança, enquanto Prio (PRIO) recua; CVC (CVCB3) lidera baixas
#3RPetroleum #Ações #Braskem
https://t.co/cbPgsSJBTT</t>
  </si>
  <si>
    <t>Infracommerce (IFCM3) desaba 11% após anúncio de potencial oferta de ações
#Ações #Empresas #FeedPrincipal
https://t.co/bKVshdYFlE</t>
  </si>
  <si>
    <t>Light (LIGT3) despenca até 10% com fim da recuperação judicial e concessão em jogo; entenda
#Ações #EmpiricusResearch #FeedPrincipal
https://t.co/FepvRuDrtF</t>
  </si>
  <si>
    <t>Gringos desanimam e vendem ações na B3 depois de entrada bilionária; entenda
#Ações #B3 #BolsadeValores
https://t.co/JvsIK3po0o</t>
  </si>
  <si>
    <t>Small cap dispara 80% no ano e é destaque nos jornais nesta terça-feira (5)
#Ações #FeedPrincipal #Jornais
https://t.co/PwwFTObx3y</t>
  </si>
  <si>
    <t>Vale (VALE3) e BB Seguridade (BBSE3): Confira as ações mais recomendadas da semana
#Ações #BBSeguridade #BTGPactual
https://t.co/4dmCP1cAKm</t>
  </si>
  <si>
    <t>Ibovespa: Locaweb (LWSA3) dispara e lidera as altas; Vale (VALE3) avança e Petrobras (PETR4) cai
#3RPetroleum #Ações #Azul
https://t.co/I5jXAVhFab</t>
  </si>
  <si>
    <t>10 ações para investir em setembro, segundo Mirae Asset
#Ações #B3 #CarteiraRecomendada
https://t.co/Uyr7l2OBjw</t>
  </si>
  <si>
    <t>Pagbank troca ação de Eletrobras (ELET6) por Copel (CPLE6); confira as ações recomendadas
#Ações #CarteiraRecomendada #Copel
https://t.co/Hi4U1ado5v</t>
  </si>
  <si>
    <t>Multiplan (MULT3) e Raízen (RAIZ4) deixam carteira semanal da Mirae; veja nova seleção
#Ações #CarteiraRecomendada #FeedPrincipal
https://t.co/FFiIizaNXn</t>
  </si>
  <si>
    <t>Enauta (ENAT3): Queiroz Galvão transfere 16,2 milhões de ações da petrolífera
#Ações #Empresas #Enauta
https://t.co/J4V4IhBJ6o</t>
  </si>
  <si>
    <t>VALE3, BBAS3, BBSE3 e outras pagam R$ 15,7 bilhões em dividendos esta semana; veja se você recebe
#Ações #BancodoBrasil #BBSeguridade
https://t.co/mWaK34Kjq9</t>
  </si>
  <si>
    <t>Governo estuda lançar títulos públicos para financiar programas sociais
#Ações #BolsaFamília #Clima
https://t.co/7v9HNgRt0A</t>
  </si>
  <si>
    <t>Petrobras (PETR4) conversa com Vibra (VBBR3), mas adia decisão sobre operar postos de novo
#Ações #BusinessTimes #Combustíveis
https://t.co/sRIY7WJ5Zc</t>
  </si>
  <si>
    <t>Eletrobras (ELET3): Governo Lula e grandes acionistas podem se unir para indicar conselheiros
#Ações #BNDES #BusinessTimes
https://t.co/SCiYFyjSA6</t>
  </si>
  <si>
    <t>Americana (AMER3): Ex-CEO teme pela própria vida e aciona polícia na Espanha
#Ações #Americanas #BusinessTimes
https://t.co/2vwjedTiWM</t>
  </si>
  <si>
    <t>Maior gestora do mundo vende ações de estatal
#Ações #BlackRock #Copasa
https://t.co/4uxI905ZCC</t>
  </si>
  <si>
    <t>Ibovespa (IBOV) tem sexta-feira (25) pressionado, mas se salva na semana; confira o fechamento
#Ações #Empresas #FeedPrincipal
https://t.co/wL40woOxy9</t>
  </si>
  <si>
    <t>Ibovespa: CVC (CVCB3) e Yduqs (YDUQ3) despencam; SLC Agrícola (SLCE3) é o destaque positivo
#Ações #CSN #CSNMineração
https://t.co/pEYyo287VG</t>
  </si>
  <si>
    <t>Ibovespa: Powell piora tudo e índice despenca, enquanto dólar vira para alta; veja o que ele disse
#Ações #Economia #FederalReserve
https://t.co/0IMHpi2YI9</t>
  </si>
  <si>
    <t>Tenda (TEND3) lança oferta de ações e pode captar R$ 280 milhões
#Ações #Empresas #FeedPrincipal
https://t.co/eCUgWqHbf2</t>
  </si>
  <si>
    <t>Ibovespa (IBOV) quebra ciclo negativo e tem primeira alta em agosto; o que esperar nas próximas semanas?
#Ações #Empresas #FeedPrincipal
https://t.co/y2wSNnK7zR</t>
  </si>
  <si>
    <t>Ibovespa: Magalu (MGLU3) dispara e WEG (WEGE3) lidera as baixas da sessão
#3RPetroleum #Ações #Copel
https://t.co/vnMEjB6vQG</t>
  </si>
  <si>
    <t>Ibovespa (IBOV) não estanca sangria e renova recorde de sequência de quedas
#Ações #FeedPrincipal #Ibovespa
https://t.co/4IMZLhP2wu</t>
  </si>
  <si>
    <t>Nubank (NU;ROXO34): Por que CEO vendeu 25 milhões de ações?
#2T23 #Ações #Bancos
https://t.co/UfCj7E36fI</t>
  </si>
  <si>
    <t>Ibovespa: Totvs (TOTS3) lidera as altas; Vale (VALE3) e Petrobras (PETR3) avançam
#3RPetroleum #Ações #Alpargatas
https://t.co/X3thVqMa0w</t>
  </si>
  <si>
    <t>WeWork vai quebrar? Ações derretem após empresa afirmar que tem dúvidas sobre o futuro
#Ações #Empresas #EstadosUnidos(EUA)
https://t.co/XSA3FjgraK</t>
  </si>
  <si>
    <t>Ibovespa: Petrobras (PETR3) lidera as altas enquanto Petz (PETZ3) despenca estendendo as perdas
#3RPetroleum #Ações #Azul
https://t.co/fO9QnkjQ3w</t>
  </si>
  <si>
    <t>Gestora Dynamo vende ações da siderúrgica Gerdau (GOAU4); veja o motivo
#Ações #Empresas #FeedPrincipal
https://t.co/isgxFjJIb8</t>
  </si>
  <si>
    <t>Gringos retiram cifra bilionária em ações na B3 desde a decisão de juros
#Ações #B3 #Bolsa
https://t.co/yBuJI34L4Q</t>
  </si>
  <si>
    <t>Já está dando saudade de ver a bolsa subir… O que esperar do Magalu e da Via no 2T23, lucro recorde do BTG Pactual, Copel privatizada e outros destaques
#Ações #B3 #BolsadeValores
https://t.co/sdmXJC4vw3</t>
  </si>
  <si>
    <t>BTG Pactual (BPAC11) tem lucro líquido de R$ 2,6 bilhões no 2T23, salto de 18%
#2T23 #Ações #Bancos
https://t.co/8oWVkpEeW9</t>
  </si>
  <si>
    <t>Ibovespa (IBOV) cai pela 6ª sessão seguida; GGBR4 recua 3%, com mercado à espera dos resultados
#Ações #Empresas #FeedPrincipal
https://t.co/1Y7rDgj7AD</t>
  </si>
  <si>
    <t>A frase que eu mais gosto de ouvir na Faria Lima
#Ações #ColunadoMarketMakers #Opinião
https://t.co/SN72NohxiK</t>
  </si>
  <si>
    <t>Ibovespa: Eletrobras (ELET3) é destaque positivo enquanto Petz (PET3) lidera as baixas
#3RPetroleum #Ações #CSN
https://t.co/tgKAeksYsF</t>
  </si>
  <si>
    <t>Quer dividendos: Faz sentido ter PETR4 e VALE3? Veja como fazer uma carteira lucrativa
#Ações #Dividendos #Empresas
https://t.co/rN4SSku3MU</t>
  </si>
  <si>
    <t>Ibovespa (IBOV) não encontra forças em Wall Street e cai; ITUB4 recua antes de balanço
#Ações #Empresas #FeedPrincipal
https://t.co/uSOeaQkveN</t>
  </si>
  <si>
    <t>Como investir na Bolsa de Valores? Veja guia para começar na renda variável
#Ações #B3 #BolsadeValores
https://t.co/nmRTBsl0KS</t>
  </si>
  <si>
    <t>Ibovespa (IBOV): Méliuz (CASH3) lidera as baixas; Assaí (ASAI3) e BB Seguridade (BBSE3) dividem as altas
#3RPetroleum #Ações #BancodoBrasil
https://t.co/YFAJjotoFH</t>
  </si>
  <si>
    <t>Gringos sacam R$ 1 bilhão depois do Copom; saldo de agosto é negativo
#Ações #B3 #Bolsa
https://t.co/t4ZzLUKCPm</t>
  </si>
  <si>
    <t>Ibovespa (IBOV) derrapa com exterior ruim e reforma tributária no radar; PETR4 e VALE3 caem
#Ações #Empresas #FeedPrincipal
https://t.co/E6VUhp0WeB</t>
  </si>
  <si>
    <t>Gringos invertem a mão e retiram milhões em recursos da B3
#Ações #B3 #FeedPrincipal
https://t.co/BRTgNyEd1j</t>
  </si>
  <si>
    <t>Ibovespa (IBOV): Magazine Luiza (MGLU3) despenca; IRB (IRBR3) lidera as altas
#Ações #AESBrasil #Alupar
https://t.co/vLH0HRlIXS</t>
  </si>
  <si>
    <t>Bolsas Asiáticas: Ações de Hong Kong e da China caem com o Fed agressivo e tensões sino-americanas
#Ações #Ásia #BolsasAsiáticas
https://t.co/1uBiTDPZUV</t>
  </si>
  <si>
    <t>Ibovespa (IBOV) destoa de Wall Street e avança nesta quarta (5), mesmo com fraqueza de PETR4 e VALE3
#Ações #Empresas #FeedPrincipal
https://t.co/ZFV9j8LQqy</t>
  </si>
  <si>
    <t>Gringos entram no 2º semestre com pé direito e compram milhões na B3
#Ações #B3 #FeedPrincipal
https://t.co/rKxMUABIfm</t>
  </si>
  <si>
    <t>Bolsas Europeias: Blue chips da Zona do Euro caem com fraqueza da China e temores sobre juros
#Ações #BolsasEuropeias #China
https://t.co/MMrwrnQGAj</t>
  </si>
  <si>
    <t>Ibovespa: Por que BRF (BRFS3) dispara mais de 6% e lidera as altas? Mineradoras caem
#Ações #ÂnimaEducação #Braskem
https://t.co/01vqooHRfy</t>
  </si>
  <si>
    <t>Bolsas Asiáticas: Ações da China fecham em baixa com expansão fraca de serviços e tensões sino-americanas
#Ações #BolsasAsiáticas #EstadosUnidos(EUA)
https://t.co/vH66ua8weD</t>
  </si>
  <si>
    <t>De ressaca em plena quarta-feira? 16 ações para lucrar no 2º semestre, Marfrig na BRF, turnê da Taylor Swift e outros destaques do dia
#Ações #BolsadeValores #Mercados
https://t.co/Pp5A3hGLDv</t>
  </si>
  <si>
    <t>Gringos compram R$ 17 bilhões em ativos na B3 no 1º semestre
#Ações #B3 #Economia
https://t.co/XRSAi3T7jy</t>
  </si>
  <si>
    <t>Ibovespa (IBOV) cai em dia sem Wall Street; PCAR3 e MRVE3 disparam
#Ações #Empresas #FeedPrincipal
https://t.co/x2UTSSkWXs</t>
  </si>
  <si>
    <t>Ibovespa (IBOV) quebra sequência de altas dos últimos 7 pregões e volta aos 116 mil pontos
#Ações #Empresas #FeedPrincipal
https://t.co/Fs1heImCaF</t>
  </si>
  <si>
    <t>Ibovespa: Entenda o movimento da Vale (VALE3) nesta terça-feira (13)
#Ações #Embraer #Empresas
https://t.co/h5JyCLhvVa</t>
  </si>
  <si>
    <t>Santander (SANB11) anuncia impacto negativo de R$ 4,5 bilhões após decisão desfavorável do STF
#Ações #Bancos #Economia
https://t.co/FOzd34coQi</t>
  </si>
  <si>
    <t>Petrobras (PETR4) anuncia pagamento de dividendos nesta semana
#Ações #Commodities #Dividendos
https://t.co/qHYAm3i4dI</t>
  </si>
  <si>
    <t>Americanas (AMER3) dispara até 12% após novo compromisso de Lemann, Telles e Sicupira; entenda
#Ações #Americanas #BolsadeValores
https://t.co/uzLF7l7CjA</t>
  </si>
  <si>
    <t>Tempo Real: Ibovespa pode arriscar mais uma alta nesta terça-feira (13)
#Ações #BolsadeValores #FeedPrincipal
https://t.co/pOQ2hN77Wt</t>
  </si>
  <si>
    <t>Ibovespa (IBOV) engata 7ª sessão seguida de alta com empurrão de estatais; BBAS3 salta
#Ações #Empresas #FeedPrincipal
https://t.co/4LZRIYcqBY</t>
  </si>
  <si>
    <t>Bolsas Europeias: Índice alemão lidera ganhos na Europa, com foco em reuniões de BCs
#Ações #Adidas #BancoCentraldoJapão(BOJ)
https://t.co/Teo95zplMK</t>
  </si>
  <si>
    <t>Ibovespa (IBOV) cai nesta quarta (31), mas sai vencedor em maio; confira o saldo do mês
#Ações #Empresas #FeedPrincipal
https://t.co/3ycIoiRmoH</t>
  </si>
  <si>
    <t>Giro do Mercado estreia nesta quinta (01) no Money Times, com as melhores dicas de investimentos. Não perca!
#Ações #FeedPrincipal #Investimentos
https://t.co/wRdGdTKZB7</t>
  </si>
  <si>
    <t>Bolsas Europeias: Ações atingem mínima em 2 meses com dados fracos da China e registram queda em maio
#Ações #Alemanha #BolsasEuropeias
https://t.co/3eFE4YKQXu</t>
  </si>
  <si>
    <t>Ibovespa: Por que Petrobras (PETR4) volta a cair? BRF (BRFS3) dispara nesta quarta (31)
#Ações #Azul #BRF
https://t.co/7yonXaGMfn</t>
  </si>
  <si>
    <t>Vale (VALE3) e siderúrgicas sentem novo golpe do minério de ferro com atividade fraca na China
#Ações #B3 #China
https://t.co/fHEMvBEy5e</t>
  </si>
  <si>
    <t>Ibovespa (IBOV) opera em queda no último pregão do mês, com atenção ao exterior
#Ações #China #Dívidas
https://t.co/DqyAIGQ8Nq</t>
  </si>
  <si>
    <t>Gringos fazem pequenos ajustes de compra e venda de ações na B3, mas saldo no mês segue negativo
#Ações #B3 #FeedPrincipal
https://t.co/xudzO1URcb</t>
  </si>
  <si>
    <t>Petrobras (PETR4) e Taesa (TAEE11) anunciam novas frentes de operação; confira os destaques desta quarta (31)
#Ações #AESBrasil #Arezzo
https://t.co/8yYCZzb9FP</t>
  </si>
  <si>
    <t>Bolsas Asiáticas: Ações de Hong Kong têm forte queda e quase entram em “bear market”
#Ações #BolsasAsiáticas #China
https://t.co/g0X3Py0kXV</t>
  </si>
  <si>
    <t>CCR (CCRO3) vai recomprar até 3,2 milhões de ações
#Ações #CCR #Empresas
https://t.co/6DRu1IQ0Yc</t>
  </si>
  <si>
    <t>Ibovespa (IBOV) volta a ficar abaixo dos 109 mil pontos, sob peso de Vale (VALE3), Petrobras (PETR4) e bancos
#Ações #Empresas #FeedPrincipal
https://t.co/TTd2jAW72p</t>
  </si>
  <si>
    <t>Ibovespa: Por que ITUB4, VALE3 e PETR4 recuam nesta terça (30)?
#Ações #Empresas #FeedPrincipal
https://t.co/7FoeRAAnta</t>
  </si>
  <si>
    <t>Ibovespa (IBOV) vira para negativo com commodities pesando; veja os indicadores desta terça (30)
#3RPetroleum #Ações #BolsadeValores
https://t.co/hC29shuqEz</t>
  </si>
  <si>
    <t>Nvidia impulsiona Nasdaq, acordo sobre dívida anima mercado
#Ações #DowJones #FeedPrincipal
https://t.co/300ZTGxft5</t>
  </si>
  <si>
    <t>Copel (CPLE6): O otimismo dos analistas com a privatização e a reação das ações
#Ações #Copel #Empresas
https://t.co/YVZ2lFxqC1</t>
  </si>
  <si>
    <t>Ibovespa (IBOV) tenta alta nesta terça (30), junto com NY
#Ações #BancoCentral #Empresas
https://t.co/Xr0AKM89Ui</t>
  </si>
  <si>
    <t>Vale (VALE3) testa peso no Ibovespa (IBOV), após alta do minério de ferro e antes de dados da China
#Ações #B3 #China
https://t.co/paBN671z8O</t>
  </si>
  <si>
    <t>Ações da China e Hong Kong têm leve alta antes de dados de indústria de maio
#Ações #China #FeedPrincipal
https://t.co/ueVcCVrW1t</t>
  </si>
  <si>
    <t>Privatização da Copel (CPLE3), aquisição do Itaú (ITUB4) e outros destaques desta terça (30)
#Ações #BRF #Copel
https://t.co/UdZjL8fU2p</t>
  </si>
  <si>
    <t>Ibovespa (IBOV) deve ter sessão mais animada nesta terça-feira (30); veja o que esperar para o dia
#Ações #ADR's #BancoCentral
https://t.co/3UU3Ny7BXK</t>
  </si>
  <si>
    <t>Copel (CLPE6) contrata bancos para potencial oferta que selará sua privatização
#Ações #Copel #Empresas
https://t.co/ujzhRHopgN</t>
  </si>
  <si>
    <t>Carro popular de Lula pode ajudar esta ação de commodity; veja qual é
#Ações #FeedPrincipal #GenialInvestimentos
https://t.co/hGCgTgyFfr</t>
  </si>
  <si>
    <t>O que explica a queda do Ibovespa (IBOV) nesta segunda (29), mesmo com acordo sobre teto da dívida dos EUA?
#Ações #Empresas #FeedPrincipal
https://t.co/M1I5zDjN61</t>
  </si>
  <si>
    <t>Ibovespa testa limites em busca de novas marcas; veja o que dizem os gráficos
#Ações #B3 #FeedPrincipal
https://t.co/RTGHgakg83</t>
  </si>
  <si>
    <t>Bolsas Europeias: Ações caem sob peso de tecnologia e bancos; investidores avaliam acordo sobre dívida dos EUA
#Ações #BolsasEuropeias #EstadosUnidos(EUA)
https://t.co/HGaF1Lt7QC</t>
  </si>
  <si>
    <t>Ibovespa: Por que Petrobras (PETR4) e Vibra Energia (VBBR3) recuam nesta segunda (29)?
#Ações #Eletrobras #Empresas
https://t.co/nkizdwXgaG</t>
  </si>
  <si>
    <t>3R Petroleum (RRRP3) retoma produção no Polo Papa Terra
#3RPetroleum #Ações #Commodities
https://t.co/6SiO0xQJB0</t>
  </si>
  <si>
    <t>Ibovespa (IBOV) opera de lado com nova projeção para inflação e sem NY
#Ações #ArcabouçoFiscal #Economia
https://t.co/cHZnroNG11</t>
  </si>
  <si>
    <t>Gringos colocam ‘centavos’ na B3 após venderem mais de R$ 2 bi em ações; entenda
#Ações #B3 #FeedPrincipal
https://t.co/hInBwZ1KuB</t>
  </si>
  <si>
    <t>Bolsas Asiáticas: Ações da China fecham em baixa após dados indicarem queda no lucro industrial
#Ações #BolsasAsiáticas #China
https://t.co/b4GCvTIGyc</t>
  </si>
  <si>
    <t>Mais de R$ 3 bilhões em dividendos, investimento na Petrobras (PETR4) e outros destaques desta segunda (29)
#Ações #BancodoBrasil #Dividendos
https://t.co/G58jTWebj3</t>
  </si>
  <si>
    <t>Ibovespa em dólar (EWZ) sinaliza dia negativo no 1° de maio, investidores aguardam Fed
#Ações #ADR's #China
https://t.co/CSusgyue9a</t>
  </si>
  <si>
    <t>Imposto de Renda entra na reta final: Veja guia completo para te ajudar na declaração; falta menos de 1 mês
#Ações #Brasil #Economia
https://t.co/rwDJdbLNuW</t>
  </si>
  <si>
    <t>Veja como receber quase R$ 380 milhões em dividendos de Aliansce Sonae (ALSO3) e mais três empresas
#Ações #AliansceSonae #Ambipar
https://t.co/KfibjuIL0u</t>
  </si>
  <si>
    <t>Dividendos e JCP: CSN (CSNA3) e CSN Mineração (CMIN3) anunciam bolada; veja como receber
#Ações #CSN #CSNMineração
https://t.co/qiWZ3posli</t>
  </si>
  <si>
    <t>BYD supera VW na China com quase meio milhão de carros no 1º tri
#Ações #AméricaLatina #Ásia
https://t.co/pbRgmzpXH7</t>
  </si>
  <si>
    <t>Como garantir R$ 3 bi em dividendos e JCP na 1ª semana de maio? BBDC4, CIEL3 e mais 3 têm ‘data com’
#Ações #Auren #BolsadeValores
https://t.co/zLhUSlqKVA</t>
  </si>
  <si>
    <t>Auren (AURE3), Sabesp (SBSP3), Copel (CPLE6) e mais 10 empresas vão pagar dividendos e JCP; confira
#Ações #Dividendos #Empresas
https://t.co/TozNN58NKh</t>
  </si>
  <si>
    <t>O saldo do Ibovespa (IBOV) nesta sexta, na semana e em abril
#Ações #Empresas #FeedPrincipal
https://t.co/gmUXWwevhs</t>
  </si>
  <si>
    <t>Gringos vendem mais R$ 1 bi em ações na B3 antes do fim do mês; confira o saldo estrangeiro em abril
#Ações #B3 #FeedPrincipal
https://t.co/PylDIUCNKm</t>
  </si>
  <si>
    <t>Ações europeias fecham abril com ganhos, após impulso de balanços compensar queda de bancos
#Ações #Bancos #BolsasEuropeias
https://t.co/WiwKUEvkv9</t>
  </si>
  <si>
    <t>Ibovespa: GOLL4 e ALPA4 disparam; PETR4 e VALE3 sustentam o índice; entenda
#Ações #Alpargatas #Empresas
https://t.co/nDVt8wiA2T</t>
  </si>
  <si>
    <t>Petrobras (PETR4): Entenda os fatores por trás do movimento das ações nesta sexta (28)
#Ações #ADR's #BTGPactual
https://t.co/nBbzgqhPg3</t>
  </si>
  <si>
    <t>Ibovespa (IBOV) segue ‘sensível’ nesta sexta (28); índice busca fôlego
#Ações #Copom #Economia
https://t.co/mzPKfvIei1</t>
  </si>
  <si>
    <t>Mais de R$ 4 bi de dividendos são anunciados e empresas divulgam 1T23; veja destaques desta sexta (28)
#Ações #Cielo #Dividendos
https://t.co/b1IFDAXESG</t>
  </si>
  <si>
    <t>Mercado da China fecha em alta antes de feriado
#Ações #BolsasAsiáticas #China
https://t.co/1196oxMUFd</t>
  </si>
  <si>
    <t>Ação de rede social derrete 18% em NY após resultados; como investir nesta sexta-feira (28)
#1T23 #Ações #ADR's
https://t.co/AQTeH7HTD9</t>
  </si>
  <si>
    <t>Estas 15 empresas pagarão dividendos e JCP aos acionistas; confira a lista
#Ações #Dividendos #Empresas
https://t.co/lVoJjIjd4h</t>
  </si>
  <si>
    <t>Construtora favorita do mercado pagará R$ 192 milhões em dividendos; Veja como receber
#Ações #BusinessTimes #ConstruçãoCivil
https://t.co/r3x750ITv7</t>
  </si>
  <si>
    <t>Amazon (AMZN) encerra semana das Big Techs em grande estilo; confira a análise dos resultados do 1T23
#1T23 #Ações #Amazon
https://t.co/ZMJUVYxlL3</t>
  </si>
  <si>
    <t>Usiminas (USIM5) paga R$ 383,6 milhões em dividendos; veja se você tem direito
#Ações #Dividendos #Empresas
https://t.co/OWtr3srSmq</t>
  </si>
  <si>
    <t>Ibovespa (IBOV) rompe sequência de quedas; o que explica a alta da Vale (VALE3)?
#Ações #Empresas #FeedPrincipal
https://t.co/8bXqGenMIf</t>
  </si>
  <si>
    <t>Ibovespa (IBOV) continua sob efeito de Super Quarta; índice pode cair muito mais? #MercadoFinanceiro #Ibovespa #B3 #Ações #leiamoneytimes 
https://t.co/n8Sdtp0E8i</t>
  </si>
  <si>
    <t>Para esta semana, a Mirae Asset recomenda o investimento em dez ações.
#MoneyTimes #ações #Vale #petrobras
https://t.co/EftqNqa5YV</t>
  </si>
  <si>
    <t>Day Trade: Gol (GOLL4), Eletrobras (ELET3) e outras 4 ações para vender nesta sexta-feira (22) e buscar até 3,6%
#finanças #mercadofinanceiro #ações #leiamoneytimes
https://t.co/9D31vp6TZc</t>
  </si>
  <si>
    <t>Entrada bilionária dos gringos na B3 em setembro fica para trás; mais ações são vendidas
#ações #B3 #bolsadevalores #MoneyTimes
https://t.co/m4cK9XRio4</t>
  </si>
  <si>
    <t>Azul (AZUL4) ainda pode disparar 121%, diz banco gringo; ações saltam nesta quarta (20) #Ações #MercadoFinanceiro #Ibovespa #Empresas #Azul #leiamoneytimes
https://t.co/6XEop4EiwY</t>
  </si>
  <si>
    <t>Em semana de Super Quarta gringos vendem ações
#ações #B3 #SuperQuarta #MoneyTimes
https://t.co/u3dARn7lVy</t>
  </si>
  <si>
    <t>Acompanhe as movimentações do Ibovespa (IBOV) em Tempo Real.
#Ibovespa #Acoes #VALE3 #MercadoFinanceiro #MoneyTimes
https://t.co/alNkORe81t</t>
  </si>
  <si>
    <t>A Empiricus Investimentos realizou três trocas em sua carteira recomendada semanal, para o período entre 18 e 22 de setembro. Veja as indicações.
#MoneyTimes #açoes #investimento
https://t.co/LvvDIQ2sGT</t>
  </si>
  <si>
    <t>Elétrica favorita do BTG entregou 25% de ganhos em 2023 e segue atrativa; veja qual 
#comprarouvender #eletrica #acoes
https://t.co/Iwo7gCjvsj</t>
  </si>
  <si>
    <t>A Vale (VALE3) disparou nas últimas semanas e diminuiu o tombo que acumula no ano.
#MoneyTimes #vale #açoes
https://t.co/4h9qLY7TFa</t>
  </si>
  <si>
    <t>A Órama Investimentos fez duas alterações em sua carteira recomendada semanal para o período entre 18 e 22 de setembro. Confira as indicações.
#MoneyTimes #açoes #investimento
https://t.co/ehFW6AXcGT</t>
  </si>
  <si>
    <t>A Terra Investimentos realizou apenas uma troca em sua carteira recomendada semanal de ações para o período entre 15 e 22 de setembro. Confira as indicações.
#MoneyTimes #açoes #investimentos
https://t.co/F2cq6EQvVV</t>
  </si>
  <si>
    <t>O banco que é ‘uma opção acima das demais’; atrativa, ação ainda pode subir 30%, diz BBI #Ações #MercadoFinanceiro #Bancos #Empresas
https://t.co/0IwEGzLDob</t>
  </si>
  <si>
    <t>Casas Bahia (VIIA3) desaba 35% na Bolsa em semana agitada; veja resumo e recomendação para ações #Ações #MercadoFinanceiro #Ibovespa #CasasBahia #Varejo
https://t.co/f9AFr0TzaJ</t>
  </si>
  <si>
    <t>Dividendos e JCP: Itaú (ITUB4), Vivo (VIVT3) e mais 2 têm ‘data com’ na 3ª semana do mês; veja #Dividendos #Ações #MercadoFinanceiro #Empresas #B3
https://t.co/71t3jkPpve</t>
  </si>
  <si>
    <t>Carteira semanal: Nenhuma ação sobrevive à atualização do BB; veja as 5 novas recomendações #Ações #MercadoFinanceiro #Empresas #Ibovespa #B3
https://t.co/vlQ1FotTyZ</t>
  </si>
  <si>
    <t>Nova pagadora de dividendos na área? Veja os destaques em Comprar ou Vender #Ações #MercadoFinanceiro #Empresas #Dividendos
https://t.co/a2lhqyaJUe</t>
  </si>
  <si>
    <t>Eletrobras (ELET3), Weg (WEGE3) e outras ações para investir em setembro, segundo MyCap
#3RPetroleum #Ações #CarteiraRecomendada
https://t.co/gU9Hj5Aie0</t>
  </si>
  <si>
    <t>Guide retira Totvs (TOTS3) e Vamos (VAMO3) da carteira mensal; veja 10 indicações
#Ações #BancodoBrasil #CarteiraRecomendada
https://t.co/M4IWrzRTvs</t>
  </si>
  <si>
    <t>Ibovespa (IBOV) tropeça nesta quinta (24), seguindo exterior; ainda dá para ficar otimista?
#Ações #Empresas #FeedPrincipal
https://t.co/OWGgcgN2Ju</t>
  </si>
  <si>
    <t>Ibovespa: Azul (AZUL4) e Gol (GOLL4) lideram as baixas; Eletrobras (ELET6) é o destaque positivo
#Ações #Alpargatas #Americanas
https://t.co/jHjWNNFUD0</t>
  </si>
  <si>
    <t>JBS (JBSS3) responde por 2,1% do PIB e 2,73% dos empregos criados no Brasil, diz estudo
#Ações #Agricultura #Agronegócio
https://t.co/T3DMgdjaGW</t>
  </si>
  <si>
    <t>Maior gestora do mundo se desfaz de milhões de ações da Cogna (COGN3)
#Ações #BlackRock #Cogna
https://t.co/7Ggt842aw4</t>
  </si>
  <si>
    <t>PGR dá parecer a favor de governo ter voto proporcional à participação na Eletrobras (ELET3)
#Ações #Eletrobras #Empresas
https://t.co/GR8tgc9JOM</t>
  </si>
  <si>
    <t>Ibovespa (IBOV): Ata do Fed leva índice a atingir feito nunca visto antes na Bolsa
#Ações #Empresas #FeedPrincipal
https://t.co/4jFwolExaC</t>
  </si>
  <si>
    <t>Sabesp (SBSP3) sobe 5% com decreto do governo de SP; entenda
#Ações #Empresas #FeedPrincipal
https://t.co/5RvEOmwYGO</t>
  </si>
  <si>
    <t>Méliuz (CASH3) está a um passo de sair do Ibovespa; entenda
#Ações #B3 #Empresas
https://t.co/88fs7jgUDz</t>
  </si>
  <si>
    <t>Ibovespa: Por que Petrobras (PETR3) avança? IRB (IRBR3) lidera as altas e Natura (NTCO3) é destaque negativo
#3RPetroleum #Ações #Empresas
https://t.co/hbucrLse3t</t>
  </si>
  <si>
    <t>BB Investimentos retira Petrobras (PETR4) e Aliansce (ALSO3) de sua carteira; confira as ações
#Ações #BBInvestimentos #CarteiraRecomendada
https://t.co/2Y0HL38ecG</t>
  </si>
  <si>
    <t>Taesa (TAEE11) e Cielo (CIEL3) têm ‘data com’ para dividendos de meio bilhão esta semana; Banco Pine (PINE4) paga JCP
#Ações #Cielo #Dividendos
https://t.co/QLPG4G3OKP</t>
  </si>
  <si>
    <t>Vale (VALE3): 6 motivos por que é quase impossível Lula eleger Mantega como CEO
#Ações #Economia #Empresas
https://t.co/kRUXXzeC9O</t>
  </si>
  <si>
    <t>Ibovespa (IBOV) escapa de queda nesta sexta (28), mesmo com derrocada de VALE3; veja resumo
#Ações #FeedPrincipal #Ibovespa
https://t.co/Yuhmw0vfEA</t>
  </si>
  <si>
    <t>Ibovespa: Usiminas (USIM5) lidera as quedas, enquanto Petrobras (PETR4) avança; veja destaques
#3RPetroleum #Ações #Carrefour
https://t.co/tF5ShtMRp3</t>
  </si>
  <si>
    <t>Vale (VALE3): Por que ação cai 2% após balanço e venda bilionária?
#Ações #Bolsa #BolsadeValores
https://t.co/crlBGnmCk3</t>
  </si>
  <si>
    <t>Ibovespa: VALE3 cai junto com CSNA3 e CMIN3; ASAI3 dispara
#3RPetroleum #Ações #Assaí
https://t.co/64aeX8MSbA</t>
  </si>
  <si>
    <t>Buffet aproveita queda do petróleo para investir; veja empresas favoritas do megainvestidor
#Ações #BerkshireHathaway #Commodities
https://t.co/X9httVnmzU</t>
  </si>
  <si>
    <t>Ibovespa: CRFB3 lidera junto com CASH3 e CPLE6; MRV3 é o destaque negativo
#3RPetroleum #Ações #Azul
https://t.co/sVj0rCMTcr</t>
  </si>
  <si>
    <t>Copel (CPLE6): O risco envolvendo a privatização da empresa
#Ações #Copel #Empresas
https://t.co/KDuN0gqLo4</t>
  </si>
  <si>
    <t>Ibovespa (IBOV) sobe com ajuda de Vale (VALE3) e atinge maior patamar desde agosto de 2021
#Ações #Empresas #FeedPrincipal
https://t.co/gYVAlYSZez</t>
  </si>
  <si>
    <t>Entenda por que a alavancagem é tão arriscada na Bolsa de Valores
#Ações #BolsadeValores #MarketMakers
https://t.co/MA9I94xu8M</t>
  </si>
  <si>
    <t>Bolsas Asiáticas: Ações da China caem por recuperação fraca e falta de estímulo forte
#Ações #BolsasAsiáticas #China
https://t.co/FjdxwN1mRW</t>
  </si>
  <si>
    <t>Swing Trade: Ação da Ambipar (AMBP3) pode render quase 7% nesta quinta; veja como
#Ações #Ambipar #ColunistaEmpiricus
https://t.co/ctMiunw25s</t>
  </si>
  <si>
    <t>Ibovespa (IBOV): Vale (VALE3) pressiona, e índice crava 3º pregão seguido de queda
#Ações #Empresas #FeedPrincipal
https://t.co/k5loylsgJR</t>
  </si>
  <si>
    <t>Bolsas Europeias: Ações sobem após dados dos EUA e com rali de papéis de chips
#Ações #BancoCentralEuropeu(BCE) #BolsasEuropeias
https://t.co/BTYBkgtwKB</t>
  </si>
  <si>
    <t>Ibovespa (IBOV): Vale (VALE3) e BRF (BRFS3) pressionam índice; MRV (MRVE3) lidera altas
#Ações #Azul #Bradespar
https://t.co/BwntoEgbs1</t>
  </si>
  <si>
    <t>Gringos compram milhões em papéis pelo 2º dia consecutivo na B3
#Ações #B3 #Bolsa
https://t.co/Rk7OgbC5FN</t>
  </si>
  <si>
    <t>Bolsas Asiáticas: Ações da China e de Hong Kong ficam estáveis ​​com queda nos lucros industriais
#Ações #BolsasAsiáticas #China
https://t.co/qre9rI2RW1</t>
  </si>
  <si>
    <t>Elétrica aprova pagamento de quase R$ 400 milhões em JCP
#Ações #Dividendos #Empresas
https://t.co/3QjiAWOU7Q</t>
  </si>
  <si>
    <t>Ibovespa (IBOV) vive mais um dia ruim; Petrobras (PETR4), IPCA-15 e ata do Copom ditam humor
#Ações #Empresas #FeedPrincipal
https://t.co/kO7VyydzYv</t>
  </si>
  <si>
    <t>Gringos vão às compras e embolsam milhões em papéis na B3
#Ações #B3 #Economia
https://t.co/MXUNWA3Tem</t>
  </si>
  <si>
    <t>Musk vs. Zuckerberg: Quem leva melhor na bolsa de valores?
#Ações #ElonMusk #FederalReserve
https://t.co/07VubolJQq</t>
  </si>
  <si>
    <t>Ibovespa (IBOV): Dexco (DXCO3) e Vibra (VBBR3) despencam; Vale (VALE3) avança
#Ações #BBSeguridade #Bradespar
https://t.co/xoqplfwm9R</t>
  </si>
  <si>
    <t>Dividendos: Positivo (POSI3) detecta inconsistência e corrige valor por ação
#Ações #Dividendos #Empresas
https://t.co/xGSD5tVCjj</t>
  </si>
  <si>
    <t>De olho no rali: Ibovespa (IBOV) goleia nesta terça (6) e engata 4ª sessão seguida no azul
#Ações #Empresas #FeedPrincipal
https://t.co/NToRztHREZ</t>
  </si>
  <si>
    <t>Light (LIGT3): 3 pontos explicam a disparada de 14% das ações nesta terça (6)
#Ações #Benndorf #BolsadeValores
https://t.co/CFaTd78A1t</t>
  </si>
  <si>
    <t>Ibovespa: Por que Azul (AZUL4) dispara 9% e Goll (GOLL4) avança 7% nesta terça (6)?
#3RPetroleum #Ações #Azul
https://t.co/EagVqvuFkt</t>
  </si>
  <si>
    <t>Oportunidade na Bolsa: Descubra a ‘microcap’ que já subiu de 67% em 2023 e ainda continua barata
#Ações #ColunadoMarketMakers #MarketMakers
https://t.co/sd4EuDuTNm</t>
  </si>
  <si>
    <t>Gol (GOLL4): Oferta por voos cresce 14% e demanda aumenta em 13% em maio
#Ações #Aviação #Empresas
https://t.co/w2XzV9jFSb</t>
  </si>
  <si>
    <t>Oncoclínicas (ONCO3) avalia oferta pública primária e secundária de ações
#Ações #Empresas #FeedPrincipal
https://t.co/sA7ft4jw1u</t>
  </si>
  <si>
    <t>Petrobras (PETR4): Cade vai rever acordo com refinarias? Estatal responde
#Ações #Cade #Empresas
https://t.co/WmBuNJXLti</t>
  </si>
  <si>
    <t>Ibovespa (IBOV): Queda de VALE3 apaga euforia com ganhos de PETR4, e índice perde força; veja o resumo do dia
#Ações #Empresas #FeedPrincipal
https://t.co/IT2psMpzcf</t>
  </si>
  <si>
    <t>Bolsas Europeias: Ações recuam após dados fracos dos EUA alimentarem temores com crescimento
#Ações #BancoCentralEuropeu(BCE) #BolsasEuropeias
https://t.co/6ITPnlYwoF</t>
  </si>
  <si>
    <t>Vale (VALE3) irá retomar altas? Ação ainda é a campeã de indicações esta semana, ao lado de Itaú (ITUB4); confira
#Ações #BBInvestimentos #CarteiraRecomendada
https://t.co/kNzh5MXTf9</t>
  </si>
  <si>
    <t>Por que Vale (VALE3) cai nesta segunda (5), apesar da alta do minério de ferro?
#Aço #Ações #China
https://t.co/oLyL6vjkRB</t>
  </si>
  <si>
    <t>Ibovespa: Por que a CVC (CVCB3) lidera altas do dia? Petrobras (PETR4) avança
#3RPetroleum #Ações #Braskem
https://t.co/l1ySLVL7lY</t>
  </si>
  <si>
    <t>Passado para trás: Lemann perde posição no ranking de bilionários, após crescimento do Facebook
#Ações #Bilionários #EduardoSaverin
https://t.co/DZLxqpPdhP</t>
  </si>
  <si>
    <t>Ações europeias ficam estáveis em meio a temores sobre teto da dívida dos EUA
#Ações #BolsasEuropeias #Economia
https://t.co/aSlE29niew</t>
  </si>
  <si>
    <t>Gringos vendem ações na B3 pela segunda vez em dez pregões
#Ações #B3 #FeedPrincipal
https://t.co/I1VMYQBnLd</t>
  </si>
  <si>
    <t>Ibovespa: Por que Azul (AZUL4) avança 11% e Alpargatas (ALPA4) sobe 14% nesta segunda (22)?
#Ações #Alpargatas #Azul
https://t.co/uZpCyMB1LU</t>
  </si>
  <si>
    <t>BB Investimentos renova carteira de ações para superar o Ibovespa na semana; confira o portfólio
#Ações #Ambev #BBInvestimentos
https://t.co/cG0xzDt8kF</t>
  </si>
  <si>
    <t>Alpargatas (ALPA4): MS Alpa propõe oferta pública para comprar até 32 milhões de ações
#Ações #Empresas #FeedPrincipal
https://t.co/mFDYh8qvce</t>
  </si>
  <si>
    <t>Bolsas Asiáticas: Ações da China fecham em alta com esperança de melhora nas relações sino-americanas
#Ações #BolsasAsiáticas #China
https://t.co/fThDbWL5Wk</t>
  </si>
  <si>
    <t>Vale (VALE3) e Petrobras (PETR4) somam R$ 21 bilhões em isenções fiscais e outros destaques da segunda (22)
#Ações #Dividendos #Eletronorte
https://t.co/64LW0F9EMv</t>
  </si>
  <si>
    <t>Dividendos e JCP: LEVE3, LWSA3 e mais 9 empresas pagam R$ 376 mi esta semana; GRND3 tem ‘data com’
#Ações #AliansceSonae #Banestes
https://t.co/VHfaYkQTGu</t>
  </si>
  <si>
    <t>Empresa que ação dispara 250% em 2023 encerra recuperação judicial; veja qual
#Ações #B3 #CVM
https://t.co/pcGqj4Mttp</t>
  </si>
  <si>
    <t>Ibovespa: Os fatores que movem a PETR4 e a PRIO3 nesta sexta (19)
#Ações #Braskem #Empresas
https://t.co/jhyOfIa7Fi</t>
  </si>
  <si>
    <t>Gringos adotam o ‘buy in May’ na semana e saldo na B3 no mês sai do vermelho
#Ações #B3 #BolsadeValores
https://t.co/A69SevEpzt</t>
  </si>
  <si>
    <t>Venda da Vale (VALE3), alerta da Petrobras (PETR4) e outros destaques desta sexta (19)
#Ações #Eletrobras #Empresas
https://t.co/WkvwmsiKwx</t>
  </si>
  <si>
    <t>É cliente do Nubank (NUBR33)? Veja quais são os planos da fintech nos próximos 10 anos
#Ações #BDR's #BusinessTimes
https://t.co/Acoq7PsDeT</t>
  </si>
  <si>
    <t>Nubank (NUBR33): Brasil pode não ser a galinha dos ovos de ouro (e sim outro país latino)
#Ações #Bancos #BDR's
https://t.co/GU3nCrKzKD</t>
  </si>
  <si>
    <t>Magazine Luiza (MGLU3) está nas mínimas do ano; entenda o que abala a ação e veja recomendações #Ações #MercadoFinanceiro #Empresas #MagazineLuiza #Varejo #leiamoneytimes 
https://t.co/MFbu3xPTnE</t>
  </si>
  <si>
    <t>A MyCap alterou três ações em sua carteira semanal para superar o Ibovespa nos próximos dias; Confira:
#MoneyTimes #Ações #Economia
https://t.co/C0AnUvG6KX</t>
  </si>
  <si>
    <t>A Terra Investimentos não realizou nenhuma troca em sua carteira recomendada semanal, para o período entre 22 e 29 de setembro. Confira.
#MoneyTimes #açoes #investimentos
https://t.co/5QrvrIfqiS</t>
  </si>
  <si>
    <t>💸 Gringos vendem bilhões em ações na B3; veja histórico
#b3 #ações #investidorestrangeiro #MoneyTimes
https://t.co/WTQqjjK4o6</t>
  </si>
  <si>
    <t>Confira as ações para apostar na última semana de setembro
#ações #agro #swingtrade 
https://t.co/3bQggcWSKb</t>
  </si>
  <si>
    <t>Vale (VALE3), CSN Mineração (CMIN3) e o caminho do minério de ferro daqui para frente, segundo analistas #Ações #MercadoFinanceiro #VALE3 #CMIN3 #Mineração #leiamoneytimes
https://t.co/chviNSXXdu</t>
  </si>
  <si>
    <t>Localiza (RENT3) anuncia R$ 428,8 milhões em JCP e aumento de capital; saiba mais #Ações #Empresas #Localiza #Carros #JCP #leiamoneytimes
https://t.co/UdNpiXBtGc</t>
  </si>
  <si>
    <t>Day Trade: Taesa (TAEE11), Azul (AZUL4) e mais 6 ações para comprar nesta terça (19) e buscar até 3,5%
#ações #bolsadevalores #mercado #leiamoneytimes
https://t.co/oe0IL4q3eK</t>
  </si>
  <si>
    <t>Acompanhe as movimentações do Ibovespa (IBOV) em Tempo Real.
#Ibovespa #Acoes #MercadoFinanceiro #MoneyTimes
https://t.co/rmqQMu8SWk</t>
  </si>
  <si>
    <t>O funcionário e a dançarina na bolsa: A ação favorita para setembro, Lemann perde posto de pessoa mais rica do Brasil e outros destaques do dia
#Ações #B3 #BolsadeValores
https://t.co/RCY8EyXRsM</t>
  </si>
  <si>
    <t>Marisa (AMAR3) aprova grupamento de ações na proporção de 5 a 1 para atender regras da B3
#Ações #B3 #Consumo
https://t.co/5SY7MjwoFR</t>
  </si>
  <si>
    <t>Ibovespa (IBOV) cai forte nesta quinta (31) e crava queda em agosto; confira o fechamento do dia e do mês
#Ações #Empresas #FeedPrincipal
https://t.co/5u9lJNxYyG</t>
  </si>
  <si>
    <t>Ibovespa: Vamos (VAMO3) e PetroRecôncavo (RECV3) entram, Méliuz (CASH3) sai; confira
#Ações #Bolsa #BolsadeValores
https://t.co/QofCLefgrl</t>
  </si>
  <si>
    <t>Ibovespa: Petrobras (PETR4) cai, enquanto Prio (RRRP3) e 3R Petroleum (RRRP3) lideram as altas; CVC (CVCB3) derrete
#3RPetroleum #Ações #Cemig
https://t.co/QxkHMirGzz</t>
  </si>
  <si>
    <t>O jogo virou? Ibovespa (IBOV) engata novo pregão de forte alta; PETR3 e PETR4 disparam
#Ações #Empresas #FeedPrincipal
https://t.co/VHdZhIrmfO</t>
  </si>
  <si>
    <t>Ibovespa: Petrobras (PETR3) dispara; Pão de Açúcar (PCAR3) derrete
#3RPetroleum #Ações #Alpargatas
https://t.co/JItwMhxtgi</t>
  </si>
  <si>
    <t>S&amp;amp;P faz ‘devassa’ e rebaixa nota de múltiplos bancos nos EUA
#Ações #Empresas #EstadosUnidos(EUA)
https://t.co/HpniJ1KK8a</t>
  </si>
  <si>
    <t>Ibovespa (IBOV) ganha pontos nesta terça (22), de volta aos 116 mil pontos; BBI vê espaço para repique
#Ações #Empresas #FeedPrincipal
https://t.co/WEMHn0nAdZ</t>
  </si>
  <si>
    <t>O que o Preço/Lucro nos diz sobre uma ação
#Ações #BolsadeValores #ColunadoMarketMakers
https://t.co/Qte40GrQZc</t>
  </si>
  <si>
    <t>Vivo (VIVT3) pagará R$ 265 milhões em JCP aos acionistas; veja condições
#Ações #Dividendos #Empresas
https://t.co/qQf4wbPIcU</t>
  </si>
  <si>
    <t>Ibovespa (IBOV) e o 11º pregão seguido de queda; veja o resumo desta terça (15)
#Ações #Empresas #FeedPrincipal
https://t.co/nOXXcbJcBP</t>
  </si>
  <si>
    <t>Conheça Werner Roger, o pioneiro das small caps que tem estratégia única de investimento
#Ações #Smallcaps
https://t.co/Tnz4kaXdfL</t>
  </si>
  <si>
    <t>Petrobras (PETR4): Além dos dividendos, a outra medida benéfica anunciada
#Ações #Empresas #FeedPrincipal
https://t.co/S9tQIA34yi</t>
  </si>
  <si>
    <t>“Modelo da XP está prestes a implodir”, diz Edwin Dorsey, do The Bear Cave
#Ações #BusinessTimes #CVM
https://t.co/A280PLSZF6</t>
  </si>
  <si>
    <t>Ibovespa (IBOV): Mercado deixa corte da Selic de lado e repercute exterior negativo; entenda o fechamento desta quinta (3)
#Ações #Empresas #FeedPrincipal
https://t.co/tZ6fNr0bMs</t>
  </si>
  <si>
    <t>Prêmio iBest 2023: Money Times é um dos 10 finalistas na categoria melhor canal de investimentos; vote e ajude a definir os 3 melhores
#Ações #FeedPrincipal #Investimentos
https://t.co/stGMLgYIc3</t>
  </si>
  <si>
    <t>Ibovespa: Cadê a euforia com a Selic? Os fatores que impendem o índice de disparar hoje
#Ações #FeedPrincipal #Ibovespa
https://t.co/gebA4ksKYA</t>
  </si>
  <si>
    <t>Ibovespa: Suzano (SUZB3) dispara e lidera as altas enquanto Alpargatas (ALPA4) é o destaque negativo
#3RPetroleum #Ações #Alpargatas
https://t.co/V27NEAWhUe</t>
  </si>
  <si>
    <t>Ibovespa: Magalu (MGLU3) dispara e é destaque positivo; Gol (GOLL4) e Azul (AZULL4) lideram baixas
#3RPetroleum #Ações #Azul
https://t.co/gIPdPupXz2</t>
  </si>
  <si>
    <t>Ibovespa (IBOV) atinge maior patamar em 15 meses
#Ações #Empresas #FeedPrincipal
https://t.co/nnzvKRCuQ8</t>
  </si>
  <si>
    <t>Mobly (MBLY3) despenca mais de 10% sob acusação de manipulação por gestora
#Ações #Empresas #GestorasdeRecursos
https://t.co/kqLngkp6DZ</t>
  </si>
  <si>
    <t>CTM, Mobly (MBLY3) e a crônica de uma tragédia anunciada, por Vladimir Timerman
#Ações #Artigo #CVM
https://t.co/lULEbDtpHc</t>
  </si>
  <si>
    <t>Investidor acusa gestora CTM de manipulação de mercado, e a Mobly (MBLY3) é a bola da vez
#Ações #Energisa #Equatorial
https://t.co/aygKXZ6Aqw</t>
  </si>
  <si>
    <t>Ibovespa (IBOV) em 120 mil pontos: Arrancada nesta sexta (21) fez índice subir na semana? Veja o desempenho
#Ações #Empresas #FeedPrincipal
https://t.co/1MLNAMoc99</t>
  </si>
  <si>
    <t>Ibovespa: Gol (GOLL4) e Azul (AZUL4) disparam; Gerdau (GGBR4) é destaque negativo
#3RPetroleum #Ações #Azul
https://t.co/16cKDuVEcn</t>
  </si>
  <si>
    <t>Na mira de Haddad: Entenda o que são os fundos dos super-ricos e como deve ser a taxação
#Ações #Brasil #Economia
https://t.co/j9p8AT2hcw</t>
  </si>
  <si>
    <t>Sinqia (SQIA3) paga R$ 4,7 milhões em juros sobre capital próprio; veja quem tem direito
#Ações #Empresas #FeedPrincipal
https://t.co/rFmdfhA8LB</t>
  </si>
  <si>
    <t>Porto (PSSA3) anuncia R$ 377,8 milhões em JCP aos acionistas; confira datas
#Ações #Dividendos #Empresas
https://t.co/svTXJ5lH0W</t>
  </si>
  <si>
    <t>Ganha-ganha: Empresa vai pagar juros sobre o capital próprio e recomprar ações
#Ações #BusinessTimes #Dividendos
https://t.co/enugObrB0B</t>
  </si>
  <si>
    <t>Ibovespa (IBOV) tem segunda (26) fraca, apesar de empurrão da Petrobras (PETR4)
#Ações #Empresas #FeedPrincipal
https://t.co/SLnISGFvqv</t>
  </si>
  <si>
    <t>A revolução Black – Scholes na precificação de derivativos
#Ações #ColunadoVicenteGuimarães #Colunistas
https://t.co/jk7978lurH</t>
  </si>
  <si>
    <t>Bolsas Europeias: Ações de saúde pesam no STOXX 600, papéis de defesa caem
#Ações #BolsasEuropeias #Europa
https://t.co/H4dW266b46</t>
  </si>
  <si>
    <t>10 ações para investir no curto prazo, segundo Mirae
#Ações #B3 #CarteiraRecomendada
https://t.co/MTlD9iorVZ</t>
  </si>
  <si>
    <t>Ibovespa: Por que Locaweb (LWSA3) despenca quase 10%? Petrobras (PETR3;PETR4) avança
#Ações #Assaí #BRF
https://t.co/wqpnmEHIuX</t>
  </si>
  <si>
    <t>Fila dos bilhões: acionistas de empresa com mais de R$ 100 bi ‘travados’ começam a receber parte da bolada; você ainda pode ter direito
#Ações #ConteúdoEmpiricus #Dividendos
https://t.co/oxE8IE5M5W</t>
  </si>
  <si>
    <t>Petrobras (PETR4): A nova emissão de títulos que pode chegar a US$ 1,5 bilhão
#Ações #Dívidas #Dólar
https://t.co/xG6uJWoHfi</t>
  </si>
  <si>
    <t>Gringos retiram milhões em recursos da B3 pelo 4º dia consecutivo
#Ações #B3 #BolsadeValores
https://t.co/TI4d4NjrSl</t>
  </si>
  <si>
    <t>Bolsas Asiáticas: Ações da China fecham em baixa pela 4ª sessão com dados fracos do turismo no feriado
#Ações #BolsasAsiáticas #China
https://t.co/MqKqx9497N</t>
  </si>
  <si>
    <t>Como garantir R$ 79 milhões em dividendos e JCP de BBDC4, ITUB4 e mais 4 empresas nesta semana?
#Ações #Banestes #BlauFarmacêutica
https://t.co/6Xz9rdUjwh</t>
  </si>
  <si>
    <t>Dividendos: Banco do Brasil (BBAS3), Usiminas (USIM5) e mais 12 pagam R$ 8 bilhões; veja quem tem direito
#Ações #Dividendos #Empresas
https://t.co/rVrnu36YyF</t>
  </si>
  <si>
    <t>Ibovespa (IBOV) supera Copom e, por pouco, não fecha a semana no vermelho; veja resumo
#Ações #Empresas #FeedPrincipal
https://t.co/JComm8jhI0</t>
  </si>
  <si>
    <t>Bolsas Europeias: Ações registram pior semana em 3 meses e Siemens Energy cai
#Ações #BancodaInglaterra #BolsasEuropeias
https://t.co/sJPywxV99R</t>
  </si>
  <si>
    <t>Bye bye, Brasil: Gringos sacam milhões em recursos da B3 pelo 3º dia consecutivo
#Ações #B3 #Brasil
https://t.co/hTCBi2QkuM</t>
  </si>
  <si>
    <t>Ibovespa (IBOV) busca fôlego nesta segunda (5) com dados de inflação e petróleo
#Ações #BancoCentral #Empresas
https://t.co/7frcyn7b0g</t>
  </si>
  <si>
    <t>Bolsas Asiáticas: Índice de blue chips da China cai e ações de Hong Kong após dados de serviços
#Ações #ArábiaSaudita #BolsasAsiáticas
https://t.co/FIuitqR8uS</t>
  </si>
  <si>
    <t>Dividendos para receber e preços da Shein no Brasil; confira os destaques desta segunda (5)
#Ações #Americanas #CVC
https://t.co/7b7QbBYwt9</t>
  </si>
  <si>
    <t>Dividendos: 3 empresas pagam meio bilhão esta semana; EMAE4 tem ‘data com’
#Ações #BolsadeValores #Dividendos
https://t.co/xU0NzrImmn</t>
  </si>
  <si>
    <t>Ibovespa (IBOV) tem espaço para andar em junho e aguarda ‘empurrãozinho’ do Copom, mas ajuda pode vir antes
#Ações #Copom #EmpiricusInvestimentos
https://t.co/N1k5pQbS4M</t>
  </si>
  <si>
    <t>Como Americanas (AMER3) e Light (LIGT3) colocam em cheque a indústria de fundos
#Ações #Americanas #ColunadoFernandoLuiz
https://t.co/VL9sXsd93U</t>
  </si>
  <si>
    <t>Nasdaq avança com ações de crescimento e otimismo sobre teto da dívida
#Ações #EstadosUnidos(EUA) #FeedPrincipal
https://t.co/2i3bG6Usai</t>
  </si>
  <si>
    <t>Por que Petrobras (PETR4) recua e Light (LIGT3) avança nesta quinta (18)?
#3RPetroleum #Ações #Braskem
https://t.co/WpHGoccg2A</t>
  </si>
  <si>
    <t>Wall Street: Dow Jones abre em baixa com perdas da Cisco ofuscando previsão otimista do Walmart
#Ações #Cisco #DowJones
https://t.co/2RcmPn2uzy</t>
  </si>
  <si>
    <t>Liderança no e-commerce brasileiro e dividendos da UNIP6 são destaques nesta quinta (18)
#Ações #Dividendos #E-commerce
https://t.co/8HAtoVFohp</t>
  </si>
  <si>
    <t>Swing Trading: Ação da Embraer (EMBR3) pode decolar até 8,8% nesta quinta (18)
#Ações #ColunistaEmpiricus #Colunistas
https://t.co/QunaLXX1F6</t>
  </si>
  <si>
    <t>Bolsas Asiáticas: Índice de blue-chips da China caem em meio a tropeço da recuperação
#Ações #BolsasAsiáticas #China
https://t.co/hU5JYtXjFT</t>
  </si>
  <si>
    <t>5 passos para declarar ações no Imposto de Renda 2023 nesta reta final do calendário
#Ações #Dividendos #Economia
https://t.co/cEgiev0XJI</t>
  </si>
  <si>
    <t>Como a Petrobras (PETR4) impulsiona as ações de Azul (AZUL4) e Gol (GOLL4)
#Ações #Azul #Benndorf
https://t.co/ptcgI4mrKo</t>
  </si>
  <si>
    <t>Bolsas Europeias: Ações fecham em queda com temores sobre teto da dívida dos EUA
#Ações #BolsasEuropeias #EstadosUnidos(EUA)
https://t.co/lBYQT8aeZe</t>
  </si>
  <si>
    <t>Ibovespa: AZUL4 dispara 12% e VALE3 avança 3% nesta quarta (17); entenda
#Ações #Azul #BRF
https://t.co/JeqzNDrpus</t>
  </si>
  <si>
    <t>VALE3, CSNA3 e USIM5: Por que ações avançam nesta quarta (17)?
#Ações #CSN #CSNMineração
https://t.co/KXdMx9zSwh</t>
  </si>
  <si>
    <t>Ibovespa (IBOV) aguarda arcabouço fiscal e abre em alta nesta quarta (17)
#Ações #ArcabouçoFiscal #Dívidas
https://t.co/mZazVE588c</t>
  </si>
  <si>
    <t>Day Trade: Prio (PRIO3), B3 (B3SA3) e mais 5 ações para comprar nesta quinta (28) e buscar até 3,2%
#daytrader #bolsadevalores #ações #leiamoneytimes
https://t.co/7XOTvcWNy7</t>
  </si>
  <si>
    <t>Por que Petrobras (PETR4), Prio (PRIO3) e demais petroleiras sobem na contramão do Ibovespa (IBOV)?
#ações #ibovespa #mercado #leiamoneytimes
https://t.co/gnQI6dNrUU</t>
  </si>
  <si>
    <t>BBSE3, CXSE3 ou PSSA3: Uma destas seguradoras é a ‘rainha dos dividendos’, segundo analistas #Ações #MercadoFinanceiro #Seguros #Empresas #leiamoneytimes 
https://t.co/PEBS2gyOUe</t>
  </si>
  <si>
    <t>A Empiricus Investimentos manteve sua carteira recomendada para o período entre 25 e 29 de setembro inalterada. Veja as indicações.
#MoneyTimes #açoes #investimentos
https://t.co/GZsiKPspns</t>
  </si>
  <si>
    <t>3R Petroleum (RRRP3): BTG Pactual embolsa milhares de ações e eleva participação a 5,83%
#ações #bolsadevalores #leiamoneytimes
https://t.co/Rv898U5Gfh</t>
  </si>
  <si>
    <t>Day Trade: Petrobras (PETR4), Cielo (CIEL3) e mais 7 ações para comprar hoje (25) e buscar até 3,3%
#daytrader #ações #leiamoneytimes
https://t.co/LGSpAbjVG7</t>
  </si>
  <si>
    <t>PagBank aposta em PETR4, BBSE3, CMIN3 e mais 2 ações para bater o Ibovespa na semana; veja
#ações #bolsadevalores #mercado #leiamoneytimes
https://t.co/kcBESmcTfQ</t>
  </si>
  <si>
    <t>TAEE11, PRIO3 e mais 3 ações para buscar até 14% na última semana de setembro, segundo BB Investimentos
#ações #ibovespa #leiamoneytimes
https://t.co/oLBC0R47C7</t>
  </si>
  <si>
    <t>Quer dividendos? Copel (CPLE6), Itaú (ITUB4) e mais 8 têm ‘data com’ para R$ 2 bilhões na última semana do mês
#ações #dividendos #bolsadevalores #leiamoneytimes
https://t.co/eyhYbUDHcs</t>
  </si>
  <si>
    <t>Gestora bilionária compra ações da CVC (CVCB3)
#empresas #ações #mercado #leiamoneytimes
https://t.co/WHHfHFyv4Q</t>
  </si>
  <si>
    <t>Magazine Luiza (MGLU3) com recuo de Casas Bahia (BHIA3), dividendos extras e outros destaques em Comprar ou Vender
#ações #empresas #mercado #leiamoneytimes
https://t.co/DR4FFKkv2a</t>
  </si>
  <si>
    <t>Itaú BBA troca varejista por construtora que salta quase 70% na Bolsa em 2023; veja as 5 ações do momento #Ações #MercadoFinanceiro #Empresas #B3 #leiamoneytimes
https://t.co/xeKb2hukCj</t>
  </si>
  <si>
    <t>Lojas Renner aprova R$ 171,7 milhões em JCP; saiba como receber parte do dinheiro #Empresas #Ações #Varejo #Renner #JCP #leiamoneytimes
https://t.co/UC8k5FpIKn</t>
  </si>
  <si>
    <t>Varejista aprova pagamento de milhões em juros sobre capital próprio; veja
#ações #empresas #mercado #leiamoneytimes
https://t.co/PV5OfGlwnC</t>
  </si>
  <si>
    <t>Ibovespa (IBOV) sobe nesta quinta (21)? Por que corte na Selic pode não segurar alta do índice, segundo especialistas #MercadoFinanceiro #Ações #Selic #Copom #leiamoneytimes #Juros
https://t.co/FZI8YBex8G</t>
  </si>
  <si>
    <t>Copel (CPLE6) distribuirá mais de R$ 900 milhões em JCP aos acionistas; confira as datas #Ações #JCP #Copel #MercadoFinanceiro #leiamoneytimes
https://t.co/efa8Dqvwx1</t>
  </si>
  <si>
    <t>Potencial de alta de 45%: Com posições vendidas em nível recorde, ação desta varejista vale compra, defende XP #Ações #MercadoFinanceiro #Empresas #Varejo #B3
https://t.co/qBV3Q48dk4</t>
  </si>
  <si>
    <t>Confira as 5 ações mais recomendadas entre 9 corretoras, para bater o Ibovespa na semana.
#MoneyTimes #Economia #Ações
https://t.co/oMck78PDKq</t>
  </si>
  <si>
    <t>O PagBank trocou 80% de sua carteira recomendada semanal, para o período entre 15 e 22 de setembro. Veja as indicações.
#MoneyTimes #açoes #Investimentos 
https://t.co/YK3kbVyQKs</t>
  </si>
  <si>
    <t>Saiba em qual "boi" apostar nesta segunda 🐂
#ações #frigoríficos #carnes 
https://t.co/ELQ3Icj8WW</t>
  </si>
  <si>
    <t>Voltaram de vez? Gringos compram R$ 790 milhões em ações na B3
#fluxodecapital #B3 #ações 
https://t.co/XWQfotXvCK</t>
  </si>
  <si>
    <t>Guide recomenda 5 ações pra semana, visando papéis que se beneficiam com a queda dos juros. Confira:
#MoneyTimes #Ações #Investimento
https://t.co/5AElrev6Nm</t>
  </si>
  <si>
    <t>Day Trade: JBS (JBSS3), Lojas Renner (LREN3) e mais 7 ações para comprar hoje (18) e buscar até 4,2%
#ações #mercadofinanceiro #leiamoneytimes
https://t.co/ZcRWb2sh9e</t>
  </si>
  <si>
    <t>Sanepar (SAPR11) compra 60% da CS Bioenergia por R$ 17,4 milhões
#Ações #Empresas #FusõeseAquisições
https://t.co/WvBri98lM2</t>
  </si>
  <si>
    <t>5 ações para investir e superar o Ibovespa na próxima semana, segundo a MyCap
#Ações #FeedPrincipal #Mercados
https://t.co/X9hybLeFWl</t>
  </si>
  <si>
    <t>BB reformula carteira de ações para primeira semana de setembro; confira
#Ações #BBInvestimentos #CarteiraRecomendada
https://t.co/BzUex7ArWN</t>
  </si>
  <si>
    <t>Vale (VALE3) inicia testes com carga da 1ª planta de briquete de minério de ferro
#Aço #Ações #CEOs
https://t.co/GQpOH4lw90</t>
  </si>
  <si>
    <t>Engie Brasil (EGIE3) define data de pagamento de R$ 1,45 bilhão em dividendos complementares; confira
#Ações #Dividendos #Empresas
https://t.co/VwsZ1KAS3M</t>
  </si>
  <si>
    <t>Ibovespa (IBOV) em 114 mil pontos: Trégua dura pouco e índice volta a fechar no vermelho
#Ações #Empresas #FeedPrincipal
https://t.co/pzLUGsa64c</t>
  </si>
  <si>
    <t>Ibovespa: Alpargatas (ALPA4) despenca e lidera as baixas; Vale (VALE3) avança
#3RPetroleum #Ações #Alpargatas
https://t.co/0MkXyizQvP</t>
  </si>
  <si>
    <t>Ibovespa: Petrobras (PETR4) é destaque positivo; Gol (GOLL4) e Magalu (MGLU3) derretem
#3RPetroleum #Ações #Azul
https://t.co/wc64KJB7td</t>
  </si>
  <si>
    <t>Dividendos de até 43%: PETR4 e mais 4 ações pagam mais que a nova Selic a 13,25%
#Ações #BancoCentral #CSN
https://t.co/8v1ZQlZQ8H</t>
  </si>
  <si>
    <t>Ibovespa (IBOV): Desânimo em Wall Street pressiona, mas todas as atenções estão no Copom
#Ações #Empresas #FeedPrincipal
https://t.co/ZrPcgIC9gl</t>
  </si>
  <si>
    <t>Ibovespa: Cielo (CIEL3) despenca e lidera as baixas; Magalu (MGLU3) e Via (VIIA3) também recuam
#Ações #Ambev #Cielo
https://t.co/wSwzgt8sK9</t>
  </si>
  <si>
    <t>Fitch corta nota dos EUA: Veja as 6 razões para rating baixar de AAA para AA+(e um alento)
#Ações #AçõesAmericanas #DívidaPública
https://t.co/TTKi9SXZY6</t>
  </si>
  <si>
    <t>Ibovespa (IBOV) tropeça antes de Copom, sob pressão de Vale (VALE3) e Petrobras (PETR4)
#Ações #Empresas #FeedPrincipal
https://t.co/lA3iInCXip</t>
  </si>
  <si>
    <t>Petrobras (PETR3), Bradesco (BBDC3), Itaúsa (ITSA3) e mais 16 pagam dividendos de até 5% em agosto; veja a lista
#Ações #BolsadeValores #Bradesco
https://t.co/wqs2pp1RDm</t>
  </si>
  <si>
    <t>Ibovespa (IBOV) contraria Wall Street e recua pelo segundo dia seguido; WEGE3 dispara e VALE3 cai
#Ações #Empresas #FeedPrincipal
https://t.co/Wghfq5lKs4</t>
  </si>
  <si>
    <t>Ibovespa: Pão de Açúcar (PCAR3) despenca e Cielo (CIEL3) lidera as altas; entenda o movimento
#3RPetroleum #Ações #Braskem
https://t.co/T8TbAhSzjZ</t>
  </si>
  <si>
    <t>WEG (WEGE3): Dividendos milionários valem a pena? Analistas têm ‘pulga atrás da orelha’
#2T23 #Ações #FeedPrincipal
https://t.co/duPKvWvCtN</t>
  </si>
  <si>
    <t>Itaúsa (ITSA4) despacha mais uma leva de ações da XP
#Ações #Empresas #FeedPrincipal
https://t.co/H7LCgd4LXn</t>
  </si>
  <si>
    <t>Valid (VLID3) vai pagar R$ 16 milhões em juros sobre capital (e você ainda pode aproveitar)
#Ações #Dividendos #Empresas
https://t.co/a7tLPuHfZE</t>
  </si>
  <si>
    <t>Unidade do Bradesco (BBDC4) em NY tem dados vazados
#Ações #Bancos #Bradesco
https://t.co/8sOG3vliFB</t>
  </si>
  <si>
    <t>Ibovespa (IBOV): Wall Street não anima, e índice cai sob peso de blue chips; dados de Vale (VALE3) em foco
#Ações #Empresas #FeedPrincipal
https://t.co/0Hw8uTP1b0</t>
  </si>
  <si>
    <t>Ibovespa: PETR4 cai enquanto PRIO3 opera entre as maiores altas; CPLE6 lidera as baixas
#3RPetroleum #Ações #BancodoBrasil
https://t.co/rYdJMqsla1</t>
  </si>
  <si>
    <t>Vale (VALE3): Relatório de produção e vendas do 2T23 sai nesta terça; saiba o que esperar
#Ações #Commodities #Empresas
https://t.co/8Z49APWVmR</t>
  </si>
  <si>
    <t>Marisa (AMAR3): Abaixo de R$ 1, ação ganha alívio nesta segunda (17) e salta 9%; entenda o caso da varejista
#Ações #Consumo #Dívidas
https://t.co/hnarZxv2Z5</t>
  </si>
  <si>
    <t>É hora de comprar Itaú (ITUB4)? Banco volta a ser campeão de indicações da semana
#3RPetroleum #Ações #BBInvestimentos
https://t.co/UIc37PUkkI</t>
  </si>
  <si>
    <t>Desenrola Brasil: ação ‘inimiga’ do SPC e Serasa pode decolar com ajuda do programa limpa nome
#Ações #ConteúdoEmpiricus #Serasa
https://t.co/R6j1B37OvT</t>
  </si>
  <si>
    <t>Ibovespa: Petrobras (PETR4) e Vale (VALE3) caem; Raízen (RAIZ4) lidera as altas
#3RPetroleum #Ações #CCR
https://t.co/ys8k5cTY6P</t>
  </si>
  <si>
    <t>Dividendos e JCP: Vivo (VIVT3), Marcopolo (POMO4) e mais 2 pagam R$ 900 mi esta semana; veja quem recebe
#Ações #Banestes #BolsadeValores
https://t.co/W7YCN6x8v6</t>
  </si>
  <si>
    <t>CVC (CVCB3) precifica oferta, empresas pagam quase R$ 1 bi em dividendos e JCP e outros destaques desta sexta-feira (23)
#Ações #B3 #CVC
https://t.co/MjJxsoT0C6</t>
  </si>
  <si>
    <t>Varejista pagará R$ 172,1 milhões em JCP a acionistas; saiba como aproveitar
#Ações #Consumo #Dividendos
https://t.co/Iup6NCkDMR</t>
  </si>
  <si>
    <t>IRB (IRBR3) tem dia amargo, mas ‘ponto de virada está próximo’, dizem analistas
#Ações #FeedPrincipal #Ibovespa
https://t.co/AcGT3qbPNk</t>
  </si>
  <si>
    <t>Ibovespa (IBOV) protagoniza sessão amarga após surpresa ruim com comunicado do Copom
#Ações #Empresas #FeedPrincipal
https://t.co/kIFekYFiCP</t>
  </si>
  <si>
    <t>Bolsas Europeias: Ações europeias caem com nervosismo sobre juros após decisão do Banco da Inglaterra
#Ações #BancodaInglaterra #BolsasEuropeias
https://t.co/NMB8iNUKuh</t>
  </si>
  <si>
    <t>Ibovespa: Magalu (MGLU3) e Minerva (BEEF3) despencam, enquanto BB Seguridade (BBSE3) tenta manter alta
#Ações #BBSeguridade #Cogna
https://t.co/vyc0IC02dZ</t>
  </si>
  <si>
    <t>Gringos sacam milhões em recursos da B3 pelo 2º dia consecutivo
#Ações #B3 #FeedPrincipal
https://t.co/wh9hu5a0fb</t>
  </si>
  <si>
    <t>Bolsas Asiáticas: Índice japonês Nikkei recua com perda de força de ações de chips
#Ações #Ásia #BolsasAsiáticas
https://t.co/WVI7uOltMc</t>
  </si>
  <si>
    <t>Dividendos de até 54%: PETR4 e mais 4 ações pagam mais que a Selic de 13,75%
#Ações #CSN #CSNMineração
https://t.co/Yl7sYlkSLt</t>
  </si>
  <si>
    <t>Ibovespa (IBOV) chega a maior patamar desde abril de 2022 em dia de Copom; PETR4 dispara
#Ações #Empresas #FeedPrincipal
https://t.co/ZBWLperVdo</t>
  </si>
  <si>
    <t>Ibovespa: Por que Yduqs (YDUQ3) dispara? Petrobras (PETR4) avança e mineradoras caem
#3RPetroleum #Ações #Azul
https://t.co/v7KldTzNab</t>
  </si>
  <si>
    <t>Gringos invertem a mão e sacam milhões em recursos da B3
#Ações #B3 #Economia
https://t.co/TboXWxPVao</t>
  </si>
  <si>
    <t>Bolsas Asiáticas: Ações da China têm maior queda em 2 meses por preocupações geopolíticas e com estímulo
#Ações #BolsasAsiáticas #China
https://t.co/dEQ3xph3w6</t>
  </si>
  <si>
    <t>Sem Vale (VALE3) para ajudar, Ibovespa (IBOV) se distancia dos 120 mil pontos
#Ações #Empresas #FeedPrincipal
https://t.co/DAY26sJDnd</t>
  </si>
  <si>
    <t>Gringos já compraram mais na B3 em junho do que no resto do ano; confira
#Ações #B3 #FeedPrincipal
https://t.co/uqxvfr2AFq</t>
  </si>
  <si>
    <t>Disparou de novo: Ibovespa (IBOV) engata nova sessão de forte alta e abocanha os 112 mil pontos
#Ações #Empresas #FeedPrincipal
https://t.co/qnzSWqBjbp</t>
  </si>
  <si>
    <t>Ações europeias registram melhor dia em dois meses
#Ações #BolsasEuropeias #Europa
https://t.co/nUYBq4tSaq</t>
  </si>
  <si>
    <t>Ibovespa: Por que MGLU3 e VIIA3 recuam nesta sexta (2), na contramão do índice?
#Ações #Cosan #CVC
https://t.co/Ny1bNTDyxQ</t>
  </si>
  <si>
    <t>Gringos vendem R$ 2,5 bi em ações em um único dia e vão embora da B3 em maio
#Ações #B3 #FeedPrincipal
https://t.co/8hehpoRj3n</t>
  </si>
  <si>
    <t>VALE3, CSNA3 e GGBR4 disparam nesta sexta (2) com otimismo vindo do exterior
#Aço #Ações #China
https://t.co/lV5czUIx0L</t>
  </si>
  <si>
    <t>CVC (CVCB3) dispara 11% após notícias de follow-on de R$ 300 milhões
#Ações #BolsadeValores #CVC
https://t.co/OEWf3vazK7</t>
  </si>
  <si>
    <t>EUA e China animam Ibovespa (IBOV) nesta sexta (2); índice abre em alta
#Ações #China #Economia
https://t.co/xfl0s5WuwJ</t>
  </si>
  <si>
    <t>Onda de IA atrai fluxos recordes para tecnologia, diz BofA
#Ações #Bancos #BankofAmerica
https://t.co/EXOUEYHJgD</t>
  </si>
  <si>
    <t>10 ações para bater o Ibovespa em junho, segundo a Terra Investimentos
#Ações #Bradesco #CarteiraRecomendada
https://t.co/sUpq8Xch1f</t>
  </si>
  <si>
    <t>ADRs da Vale disparam 4% no pré-mercado em NY com notícias da China; vem estímulo aí?
#Ações #China #Ibovespa
https://t.co/2u8p2ott0Y</t>
  </si>
  <si>
    <t>Valores da Shein, venda de ações da Prio (PRIO3) e outros destaques desta sexta (2)
#Ações #Azul #Empresas
https://t.co/ZCNKc164CV</t>
  </si>
  <si>
    <t>Bolsas Asiáticas: Mercado de Hong Kong registra maior ganho diário em 3 meses; Ações da China também sobem
#Ações #BolsasAsiáticas #China
https://t.co/YASZP5raBK</t>
  </si>
  <si>
    <t>Wall Street sobe mirando pausa nas altas de juros do Federal Reserve
#Ações #DowJones #FederalReserve
https://t.co/6QKU6RS6xF</t>
  </si>
  <si>
    <t>Ibovespa (IBOV) começa junho no azul; por que índice disparou nesta quinta?
#Ações #Empresas #FeedPrincipal
https://t.co/JdrWfXnO9L</t>
  </si>
  <si>
    <t>Por que a Petrobras (PETR4) recua nesta segunda (15), apesar da alta do petróleo?
#Ações #Combustíveis #EmpiricusResearch
https://t.co/CXCLaU2lj9</t>
  </si>
  <si>
    <t>Ibovespa (IBOV) busca mais uma semana positiva e abre em alta, em linha com NY
#Ações #ArcabouçoFiscal #China
https://t.co/J0LtVabv8g</t>
  </si>
  <si>
    <t>Azul (AZUL4) tem prejuízo de R$ 727,6 milhões no 1T23
#1T23 #Ações #Azul
https://t.co/ZRvGCFwlu0</t>
  </si>
  <si>
    <t>Ibovespa engata a 8ª alta consecutiva hoje? Este ETF nos EUA pode dar um spoiler
#Ações #ADR's #Alemanha
https://t.co/sItEym814a</t>
  </si>
  <si>
    <t>Ibovespa (IBOV) despede-se da temporada de resultados hoje e espera dados de atividade na semana
#Ações #Agenda #B3
https://t.co/9xeOnwDSvg</t>
  </si>
  <si>
    <t>Ações da China sobem com expectativa de afrouxamento monetário e impulso da Tencent
#Ações #BolsasAsiáticas #China
https://t.co/X4eS6bWfTq</t>
  </si>
  <si>
    <t>Petrobras (PETR4) e mais 2 empresas pagam dividendos esta semana; JHSF (JHSF3) tem ‘data com’
#Ações #CSUCardsystem #Dividendos
https://t.co/jv5HBjarwn</t>
  </si>
  <si>
    <t>Por que credores devem questionar recuperação judicial da Light (LIGT3)?
#Ações #Dívidas #Empresas
https://t.co/w9XW89rFkP</t>
  </si>
  <si>
    <t>China emite sinal de alerta: mundo está em desaceleração; será que o Brasil escapa?
#Ações #B3 #BalançaComercial
https://t.co/sq4wKlTTO5</t>
  </si>
  <si>
    <t>Crise de crédito nos EUA vai gerar impacto nos mercados? Talvez não; entenda
#Ações #B3 #Bancos
https://t.co/ajA44qgvrD</t>
  </si>
  <si>
    <t>Eletrobras (ELET6): Para empresa, pressão de Lula para reverter privatização não dará em nada
#Ações #AGU #AlexandreSilveira
https://t.co/SB3lpLjEcg</t>
  </si>
  <si>
    <t>Wall Street: índices recuam com queda de ações de tecnologia e piora da confiança do consumidor
#Ações #DowJones #FeedPrincipal
https://t.co/vmFGFrpIzZ</t>
  </si>
  <si>
    <t>Light (LIGT3): Como a elétrica acabou em recuperação judicial
#Ações #Dívidas #Empresas
https://t.co/AYi1OZrPta</t>
  </si>
  <si>
    <t>Ações europeias sobem com impulso do balanço da Richemont e alta de papéis de energia
#Ações #BolsasEuropeias #Europa
https://t.co/RQa5BWFFiq</t>
  </si>
  <si>
    <t>Light (LGT3): O recado do governo federal após pedido de recuperação judicial
#Ações #Aneel #Empresas
https://t.co/xbxBoVuL9k</t>
  </si>
  <si>
    <t>Ibovespa: Por que Petrobras (PETR3) dispara 5% nesta sexta (12), apesar de queda nos lucros do 1T23?
#Ações #Cogna #Embraer
https://t.co/1pa0jwbgyx</t>
  </si>
  <si>
    <t>Marisa (AMAR3): Reação do mercado após notícias de falência é negativa
#Ações #Empresas #FeedPrincipal
https://t.co/Qtab9wW607</t>
  </si>
  <si>
    <t>Ações da Light (LIGT3) despencam 15% após recuperação judicial
#Ações #Empresas #EnergiaElétrica
https://t.co/tNWk9FnMde</t>
  </si>
  <si>
    <t>Ibovespa (IBOV) abre espaço para realização de lucros; índice recua na abertura
#Ações #Empresas #FeedPrincipal
https://t.co/lZpykDlII5</t>
  </si>
  <si>
    <t>Equatorial (EQTL3) registra lucro de R$ 288 milhões no 1T23, abaixo do esperado
#1T23 #Ações #BusinessTimes
https://t.co/7kfp8pT5fY</t>
  </si>
  <si>
    <t>Mercado da China cai pelo 4º dia consecutivo por preocupações econômicas
#Ações #BolsasAsiáticas #China
https://t.co/o9RQXHEFT7</t>
  </si>
  <si>
    <t>Day Trade: Itaú (ITUB4), Eletrobras (ELET6) e outras 7 ações para vender hoje (27) e buscar até 3,4%
#ações #bolsadevalores #leiamoneytimes
https://t.co/fKQQtLoBJy</t>
  </si>
  <si>
    <t>Ibovespa (IBOV) em queda livre: Mercado está cético com a Bolsa? Veja apostas para o fim do ano #Ações #Ibovespa #MercadoFinanceiro #B3 #leiamoneytimes 
https://t.co/YkI4HqJsnY</t>
  </si>
  <si>
    <t>Day Trade: Copel (CPLE6), WEG (WEGE3) e mais 6 ações para comprar em dia de IPCA-15 e buscar até 3,5%
#ações #finanças #bolsadevalores #leiamoneytimes
https://t.co/eP2Sj20sJU</t>
  </si>
  <si>
    <t>Casas Bahia (BHIA3): Por que ação da ex-Via (VIIA3) desaba 20% em 4 dias?
#ações #ibovespa #mercado #leiamoneytimes
https://t.co/791Ev6aEKd</t>
  </si>
  <si>
    <t>Elétrica praticamente no zero a zero em 2023 vai deslanchar? BB atualiza potencial da ação #Ações #MercadoFinanceiro #Empresas #Energia #leiamoneytimes 
https://t.co/TW4Ar0Aoyg</t>
  </si>
  <si>
    <t>Em busca de bater o Ibovespa na semana, Guide Investimentos realiza três trocas de ações em sua carteira semanal; Confira:
#MoneyTimes #Ações #Economia
https://t.co/7x4xxEWYCt</t>
  </si>
  <si>
    <t>A Órama Investimentos fez duas alterações em sua carteira recomendada semanal para o período entre 25 e 29 de setembro. Veja as indicações.
#MoneyTimes #açoes #investimento
https://t.co/GkuVpGXYrB</t>
  </si>
  <si>
    <t>Gestora bilionária se desfaz de milhares de ações da 3R Petroleum (RRRP3)
#ações #mercado #finanças #leiamoneytimes
https://t.co/XGe1OOXORo</t>
  </si>
  <si>
    <t>BlackRock despeja ações da Casas Bahia (BHIA3), ex-VIIA3, no mercado
#ações #mercado #empresas #leiamoneytimes
https://t.co/L3ABAfHizh</t>
  </si>
  <si>
    <t>Copel (CPLE6), Cemig (CMIG4) e mais 2 distribuirão R$ 1,3 bilhão em JCP; veja as datas
#empresas #ações #bolsadevalores #leiamoneytimes
https://t.co/YQlEzgTIJ8</t>
  </si>
  <si>
    <t>Confira as principais notícias dos jornais e comece o dia bem informado. Ações brasileiras não param em pé mesmo com queda da Selic.
#Jornais #Noticias #Acoes #Ibovespa #Selic #LeiaMoneyTimes
https://t.co/WeNWMAQ04d</t>
  </si>
  <si>
    <t>A 2W Ecobank informou que engajou bancos para avaliar a viabilidade e estruturar uma potencial oferta pública inicial de ações #Ações #MercadoFinanceiro #Energia #leiamoneytimes
https://t.co/h7MqWu3s4B</t>
  </si>
  <si>
    <t>Vale (VALE3) ou CSN Mineração (CMIN3)? A ação para comprar, segundo Genial #Ações #MercadoFinanceiro #Vale #CSN #Mineração
https://t.co/OTa7Qz8Jpa</t>
  </si>
  <si>
    <t>Esta empresa pode pagar dividendos superiores a 100% nos próximos anos, diz BofA
#empresas #bolsadevalores #ações #leiamoneytimes
https://t.co/8daDGu7OfI</t>
  </si>
  <si>
    <t>BTG está com uma nova elétrica favorita; entenda o potencial da ação #Empresas #MercadoFinanceiro #Energia #Ações
https://t.co/pfVazyvuDv</t>
  </si>
  <si>
    <t>Copasa (CSMG3) aprova bolada em JCP a acionistas; confira valor e datas #Ações #Empresas #JCP #Copasa #MercadoFinanceiro 
https://t.co/q4k3wGysu1</t>
  </si>
  <si>
    <t>Ibovespa (IBOV) perde força com Wall Street, mas marca semana positiva; confira o fechamento #MercadoFinanceiro #Ações #B3 #Ibovespa 
https://t.co/0cNZKwgMnf</t>
  </si>
  <si>
    <t>Vale (VALE3) ou CSN Mineração (CMIN3)? Quem ganha mais com nova alta do minério de ferro?
#ações #mercado #leiamoneytimes
https://t.co/0X6Mb5dens</t>
  </si>
  <si>
    <t>Ibovespa: WEG (WEGE3) dispara mas Petrobras (PETR4) cai; Ultrapar (UGPA3) lidera as baixas
#3RPetroleum #Ações #Arezzo
https://t.co/XpCvy9n4wn</t>
  </si>
  <si>
    <t>Ibovespa (IBOV) supera Wall Street e engata nova alta nesta terça (12) com IPCA; veja o fechamento
#Ações #Empresas #FeedPrincipal
https://t.co/Cbc3Cak5cv</t>
  </si>
  <si>
    <t>Braskem (BRKM5) assina contrato para comprar matéria-prima da Vitol
#Ações #Braskem #BusinessTimes
https://t.co/Nx2nlt8khq</t>
  </si>
  <si>
    <t>Empresa listada na B3 nega que fará follow-on de R$ 250 milhões; cada ação vale cerca de R$ 1
#Ações #Aeris #B3
https://t.co/JYXbBiFMiT</t>
  </si>
  <si>
    <t>Oncoclínicas (ONCO3) busca firmar acordo de 30 anos com a Unimed Recife; veja detalhes
#Ações #Cade #Empresas
https://t.co/HG5mud5vbv</t>
  </si>
  <si>
    <t>Ibovespa para cima, juros e dólar para baixo: As notícias na China que fizeram os mercados festejarem
#Ações #Ibovespa #Mercados
https://t.co/TaCIzKU1an</t>
  </si>
  <si>
    <t>Mais tempo pra negociar: B3 (B3SA3) quer expandir horário de funcionamento em até duas horas
#Ações #B3 #BDR's
https://t.co/BNJ7hCdpD7</t>
  </si>
  <si>
    <t>Banco do Brasil (BBAS3) tem ‘data com’ para proventos de quase R$ 1 bilhão na semana; Camil (CAML3) e mais 3 pagam dividendos
#Ações #BancodoBrasil #BolsadeValores
https://t.co/tPHZQHJIWS</t>
  </si>
  <si>
    <t>Ações de empresa detentora dos direitos autorais dos Beatles disparam após oferta de compra
#Ações #Bolsa #BolsadeValores
https://t.co/X91q3hvNI8</t>
  </si>
  <si>
    <t>Ibovespa: Petz (PETZ3) lidera altas, enquanto Embraer (EMBR3) é o destaque negativo; confira
#Ações #Azul #Braskem
https://t.co/mznbER9umW</t>
  </si>
  <si>
    <t>Cautela pré-feriado: O que esperar da Copel após a privatização, o sinal verde do Desenrola e outros destaques
#Ações #BolsadeValores #Copel
https://t.co/UnZWSfBYCW</t>
  </si>
  <si>
    <t>Goldman Sachs compra ações de petroleira brasileira
#Ações #Commodities #Empresas
https://t.co/dBmWnHzEfN</t>
  </si>
  <si>
    <t>Investidores nacionais, aí vamos nós: Empresa abandona Nasdaq e quer voltar para Brasil
#Ações #BusinessTimes #Educação
https://t.co/VEpG4lihWe</t>
  </si>
  <si>
    <t>Ibovespa (IBOV) não reage, apesar de impulso da Petrobras (PETR4); entenda o movimento do índice
#Ações #Empresas #FeedPrincipal
https://t.co/pYoc12P97c</t>
  </si>
  <si>
    <t>Ibovespa: Queda recente é exagerada, defende BofA; carteira tem mudanças com Petrobras (PETR4) e techs
#Ações #BankofAmerica #Empresas
https://t.co/qjtVGGEARR</t>
  </si>
  <si>
    <t>Ibovespa: PRIO3 e PETR3 figuram as maiores alta; RECV3 lidera as baixas
#3RPetroleum #Ações #Assaí
https://t.co/hahw4K4BVQ</t>
  </si>
  <si>
    <t>Tenda (TEND3): Oferta sai a R$ 12,50 por papel e soma R$ 234,3 milhões
#Ações #ConstruçãoCivil #Empresas
https://t.co/mUPgu50zm1</t>
  </si>
  <si>
    <t>Ibovespa: Alpargatas (ALPA4) e Via Varejo (VIIA3) recuam; CVC (CVCB3) dispara
#3RPetroleum #Ações #Alpargatas
https://t.co/3exIZCqkJV</t>
  </si>
  <si>
    <t>Globo compra mais ações de empresa da Bolsa
#Ações #Eletromidia #Empresas
https://t.co/qFgMPKT6Bi</t>
  </si>
  <si>
    <t>Ibovespa (IBOV) é contagiado por bom humor no exterior; Marfrig (MRFG3) dispara e Vale (VALE3) ajuda
#Ações #Empresas #FeedPrincipal
https://t.co/PRiCJyaPNf</t>
  </si>
  <si>
    <t>Ibovespa: Vale (VALE3) sobe enquanto Petrobras (PETR4) recua; Minerva (BEEF3) despenca
#3RPetroleum #Ações #Braskem
https://t.co/yT7ZkLx3zc</t>
  </si>
  <si>
    <t>Petrobras (PETR4) busca dinheiro de bancos chineses para projetos de baixo carbono
#Ações #BusinessTimes #China
https://t.co/60ZIvMI4O0</t>
  </si>
  <si>
    <t>Ibovespa (IBOV) volta a respirar aliviado nesta segunda (28) com ajuda do exterior; reversão de tendência?
#Ações #Empresas #FeedPrincipal
https://t.co/f3nOSljRyi</t>
  </si>
  <si>
    <t>Ibovespa: Via (VIIA3) despenca e lidera baixas com Pão de Açúcar (PCAR3); Minerva (BEEF3) é destaque positivo
#Ações #Alpargatas #CSN
https://t.co/DtHXeFlY59</t>
  </si>
  <si>
    <t>5 ações diversificadas para obter ganhos na semana, segundo a Guide
#Ações #AliansceSonae #CarteiraRecomendada
https://t.co/8yFwdmviJx</t>
  </si>
  <si>
    <t>5 ações para superar o Ibovespa; confira recomendações do BB Investimentos
#Ações #BBInvestimentos #CarteiraRecomendada
https://t.co/PIaw3GuSI8</t>
  </si>
  <si>
    <t>Como garantir R$ 4,6 bilhões em dividendos na 3ª semana do mês? BBSE3, GGBR4, GOUA4 e mais 7 têm ‘data com’
#Ações #BolsadeValores #Dividendos
https://t.co/FRQSfxo8l9</t>
  </si>
  <si>
    <t>Conheça Rafael Maisonnave, o gestor da Tarpon que já lucrou 1.200% com small caps
#Ações #BolsadeValores #ColunadoMarketMakers
https://t.co/FGoCrMM8mJ</t>
  </si>
  <si>
    <t>Ibovespa: Yduqs (YDUQ3) dispara junto com Via (VIIA3); Locaweb (LWSA3) é o destaque negativo
#Ações #Azul #Empresas
https://t.co/IXGAIiwGnF</t>
  </si>
  <si>
    <t>8 empresas anunciam mais de R$ 2 bilhões em dividendos e JCP; veja quem tem direito
#Ações #BolsadeValores #Dividendos
https://t.co/b7slMn9i5w</t>
  </si>
  <si>
    <t>Nubank (NUBR33): Prazo para investidor decidir o que fazer com BDRs acaba nesta sexta-feira (11); veja as opções
#Ações #BDR's #BolsadeValores
https://t.co/llOu2WdxMd</t>
  </si>
  <si>
    <t>Ibovespa (IBOV) sem alta em agosto até agora; veja o fechamento desta quinta (10)
#Ações #Empresas #FeedPrincipal
https://t.co/UUvC2yT1rh</t>
  </si>
  <si>
    <t>Vale (VALE3) desperta interesse do mercado e é destaque dos jornais nesta quarta-feira (12)
#Ações #FeedPrincipal #Jornais
https://t.co/K3qmZy2zqJ</t>
  </si>
  <si>
    <t>Maior gestora do mundo eleva exposição à petroleira júnior brasileira
#3RPetroleum #Ações #BlackRock
https://t.co/CD9DAFDxW0</t>
  </si>
  <si>
    <t>Ibovespa (IBOV) evita dia desastroso com salto de Vale (VALE3); veja resumo desta terça (11)
#Ações #Empresas #FeedPrincipal
https://t.co/mNeHJRb8Gi</t>
  </si>
  <si>
    <t>Ibovespa: Por que Gol (GOLL4) despenca? IRB (IRBR3) lidera as altas da sessão
#3RPetroleum #Ações #Azul
https://t.co/5YKANkCg8c</t>
  </si>
  <si>
    <t>Nubank (NUBR33) divulga datas para o plano de descontinuação de BDRs na Bolsa brasileira
#Ações #B3 #BDR's
https://t.co/jnwy09KD9A</t>
  </si>
  <si>
    <t>Dividendos e JCP: Tim (TIMS3) antecipa pagamento, Unifique (FIQE3) anuncia distribuição e Melnick (MELK3) define data; veja
#Ações #Dividendos #Empresas
https://t.co/gvK3iX2zsa</t>
  </si>
  <si>
    <t>Ibovespa (IBOV): O que azedou o humor do índice nesta segunda (10)
#Ações #Empresas #FeedPrincipal
https://t.co/LDrYCl5nqG</t>
  </si>
  <si>
    <t>Ibovespa: CSN (CSNA3) derrapa junto com CSN Mineração (CMIN3) e Vale (VALE3); entenda
#Ações #Ambev #AuraMinerals
https://t.co/5qrud4qcsX</t>
  </si>
  <si>
    <t>Dividendos e JCP: 3 empresas pagam R$ 325 milhões esta semana; ITUB4, TIMS3 e JHSF3 têm ‘data com’
#Ações #Dexco #Dividendos
https://t.co/JwHzCesi3X</t>
  </si>
  <si>
    <t>Chegou a hora de apostar nas small caps?
#Ações #B3 #BolsadeValores
https://t.co/bfRzp02MoH</t>
  </si>
  <si>
    <t>Copasa (CSMG3) anuncia mais de R$ 120 milhões em JCP; quem pode receber?
#Ações #Copasa #Dividendos
https://t.co/CCX18bD41b</t>
  </si>
  <si>
    <t>Ibovespa (IBOV) desanima nesta sexta (16), mas fecha semana com ganhos; veja resumo
#Ações #Empresas #FeedPrincipal
https://t.co/q8ecVyfzft</t>
  </si>
  <si>
    <t>Gringos compram quase R$ 7 bilhões em ações na B3 em junho; quantia representa mais de 50% de saldo de capital externo neste ano
#Ações #B3 #BolsadeValores
https://t.co/Dz6YTYilLE</t>
  </si>
  <si>
    <t>Ibovespa: CVC (CVCB3) sobe 4% e Localiza (RENT3) recua nesta sexta (16); entenda
#Ações #Assaí #Azul
https://t.co/OfdK7tq0ce</t>
  </si>
  <si>
    <t>Americanas (AMER3) é campeã em desigualdade? Executivos eram beneficiados antes da fraude; entenda
#Ações #Americanas #B3
https://t.co/a6syoKChK4</t>
  </si>
  <si>
    <t>Localiza (RENT3) anuncia oferta que pode movimentar até R$ 4,5 bilhões
#Ações #Empresas #FeedPrincipal
https://t.co/M5rQBTVVu6</t>
  </si>
  <si>
    <t>Privatização da Sabesp (SBSP3), disputa da Ambev (ABEV3) e outros destaques desta sexta-feira (16)
#Ações #Ambev #Americanas
https://t.co/S8EGlxCcLe</t>
  </si>
  <si>
    <t>Sextou com direito a edredom: Clima quente nos mercados, negociações da Oi, lucro com Banco do Brasil e outros destaques do dia
#Ações #BancoCentraldoJapão(BOJ) #BolsadeValores
https://t.co/eMOoLpRnUg</t>
  </si>
  <si>
    <t>Bolsas Asiáticas: Ações da China e Hong Kong sobem com expectativa de estímulo e têm mehor semana em 5 meses
#Ações #Ásia #BolsasAsiáticas
https://t.co/GF5wxMzzks</t>
  </si>
  <si>
    <t>Tempo Real: Ibovespa pode encerrar a semana com mais uma alta nesta sexta-feira (16)
#Ações #BolsadeValores #Brasil
https://t.co/5rj8T04SvA</t>
  </si>
  <si>
    <t>Ibovespa (IBOV) segue nos 119 mil pontos, apesar da queda da Petrobras (PETR4)
#Ações #Empresas #FeedPrincipal
https://t.co/xPBbmFx2md</t>
  </si>
  <si>
    <t>Bolsas Europeias: Ações caem após alta de juros do BCE
#Ações #BancoCentralEuropeu(BCE) #BolsasEuropeias
https://t.co/T4u2XqGpOc</t>
  </si>
  <si>
    <t>Ibovespa: Braskem (BRKM5) e Petrobras (PETR4) avançam nesta quinta (15); entenda
#Ações #B3 #Braskem
https://t.co/SkWknoGKRF</t>
  </si>
  <si>
    <t>Gringos compram mais de R$ 6 bilhões em ações na B3 em junho
#Ações #B3 #Bolsa
https://t.co/TmWxBCZsmB</t>
  </si>
  <si>
    <t>CVC (CVCB3) salta 5% após oferta que pode movimentar R$ 315 milhões
#Ações #BolsadeValores #CVC
https://t.co/cfL3wVirDi</t>
  </si>
  <si>
    <t>Bolsas Asiáticas: Ações da China sobem com corte nas taxas de empréstimo de médio prazo e expectativa de estímulo
#Ações #BolsasAsiáticas #China
https://t.co/jKA3ndvcUL</t>
  </si>
  <si>
    <t>Tempo Real: Ibovespa pode arriscar nova alta nesta quinta-feira (15)
#Ações #BolsadeValores #Brasil
https://t.co/YsXKSykWnk</t>
  </si>
  <si>
    <t>Ibovespa (IBOV) supera ‘susto’ com Fed e atinge melhor patamar desde outubro de 2022; entenda
#Ações #Empresas #FeedPrincipal
https://t.co/jvjlTTmgpf</t>
  </si>
  <si>
    <t>Americanas (AMER3) divulga nova lista de credores, após rombo aumentar em R$ 25 bilhões
#Ações #Americanas #BusinessTimes
https://t.co/T7wXhhurrh</t>
  </si>
  <si>
    <t>De novo CEO a Taylor Swift: O que explica a disparada de 90% da T4F (SHOW3)
#Ações #B3 #Brasil
https://t.co/yctn5ZDFci</t>
  </si>
  <si>
    <t>Bolsas Europeias: Ações sobem com expectativa de pausa pelo Fed
#Ações #BolsasEuropeias #FederalReserve
https://t.co/qGfmhIVjvy</t>
  </si>
  <si>
    <t>Rival da Intelbras (INTB3)? Positivo (POSI3) salta na Bolsa com entrada em novo mercado
#Ações #Empresas #FeedPrincipal
https://t.co/nKjtojqKLa</t>
  </si>
  <si>
    <t>Ibovespa: O que anima VALE3, GGBR4 e CSNA3 nesta quarta-feira (14)?
#Ações #CSN #Empresas
https://t.co/pYnnykoIai</t>
  </si>
  <si>
    <t>Ibovespa (IBOV) tem impulso positivo antes de decisão do Fed nesta quarta-feira (14)
#Ações #Empresas #FederalReserve
https://t.co/6lqma3Onw9</t>
  </si>
  <si>
    <t>Resposta da Petrobras (PETR4), dados da 3R Petroleum (RRRP3) e outros destaques desta quarta (14)
#3RPetroleum #Ações #Azul
https://t.co/VIDAJKaBb8</t>
  </si>
  <si>
    <t>Bolsas Asiáticas: Mercado acionário da China recua antes de dados de atividade e com expectativa de estímulo
#Ações #Ásia #BolsasAsiáticas
https://t.co/FY0eTbrqN0</t>
  </si>
  <si>
    <t>Tempo Real: Ibovespa tenta se recuperar nesta quarta-feira (14)
#Ações #BolsadeValores #Brasil
https://t.co/p7G2B2g7M4</t>
  </si>
  <si>
    <t>Ibovespa: O empurrãozinho de Jean Paul Prates que ajudou índice a bater em 108 mil pontos
#Ações #FeedPrincipal #Ibovespa
https://t.co/aU8QWG7Mzn</t>
  </si>
  <si>
    <t>Petrobras (PETR4) pagará R$ 1,89 por ação em dividendos
#Ações #Commodities #Dividendos
https://t.co/4f49wAAhPu</t>
  </si>
  <si>
    <t>Petrobras (PETR4): B3 suspende negociação das ações.
#Ações #Dividendos #FeedPrincipal
https://t.co/w7rtTrCdas</t>
  </si>
  <si>
    <t>Dow e S&amp;amp;P 500 caem pressionados por Disney; PacWest lidera perdas em bancos regionais
#Ações #Disney #DowJones
https://t.co/hgEZLATvfn</t>
  </si>
  <si>
    <t>Gringos compram R$ 1 bi em ações na B3 em 3 dias e reduzem déficit no mês
#Ações #B3 #FeedPrincipal
https://t.co/6mlGg4IDuI</t>
  </si>
  <si>
    <t>Ibovespa: Por que Petrobras (PETR4) e Vale (VALE3) recuam nesta quinta (11)?
#Ações #Alpargatas #Azul
https://t.co/6R1UHo1Lxq</t>
  </si>
  <si>
    <t>Magazine Luiza (MGLU3) fecha acordo de R$ 1 bilhão com seguradora Cardif; ações sobem
#Ações #Empresas #FeedPrincipal
https://t.co/3Td7DT6clC</t>
  </si>
  <si>
    <t>Novos investimentos da Petrobras (PETR4), empresa de Lemann recompra ações e outros destaques de quinta (11)
#Ações #Alupar #Azul
https://t.co/xfcklnnwec</t>
  </si>
  <si>
    <t>Dividendos x recompras: Empresas quase igualam valores e afetam remuneração do acionista; entenda
#Ações #Dividendos #Empresas
https://t.co/APBzLEkwzY</t>
  </si>
  <si>
    <t>Fundo dos Emirados Árabes aposta bilhões contra ações dos EUA
#Ações #Bloomberg #EmiradosÁrabesUnidos
https://t.co/fdELJkE7VE</t>
  </si>
  <si>
    <t>Airbnb sofre tombo recorde com perspectiva de viagens fraca
#Ações #Airbnb #Bloomberg
https://t.co/q3ffiYY6hn</t>
  </si>
  <si>
    <t>Ibovespa: Por que MGLU3 e VIIA3 voltam a subir? VALE3 recua nesta quarta (10)
#Ações #CSN #CVC
https://t.co/ji5ySjh3Kf</t>
  </si>
  <si>
    <t>Braskem (BRKM5) abre o jogo e confirma interessado na aquisição; confira
#Ações #Braskem #Empresas
https://t.co/2FxaCCqaWD</t>
  </si>
  <si>
    <t>A fala da ministra de Lula que fez o Ibovespa disparar (e levou MGLU3 e VIIA3 juntos)
#Ações #AoVivo #Ibovespa
https://t.co/ru3y759kiK</t>
  </si>
  <si>
    <t>PacWest retoma fôlego após liderar perdas em ações de bancos regionais nos EUA
#Ações #Bancos #EstadosUnidos(EUA)
https://t.co/PIruoA9cri</t>
  </si>
  <si>
    <t>Gringos fazem primeira compra de ações na B3 no mês; confira saldo parcial de maio
#Ações #B3 #Bolsa
https://t.co/2Uq7GR705P</t>
  </si>
  <si>
    <t>Ações europeias caem com balanços pessimistas, SBB atinge mínima em cinco anos
#Ações #BolsasEuropeias #EstadosUnidos(EUA)
https://t.co/MVm5WAQoAS</t>
  </si>
  <si>
    <t>Ibovespa: MGLU3 dispara 9% e TIMS3 recua 4,5% nesta terça (9); entenda
#Ações #Empresas #FeedPrincipal
https://t.co/0SSbAEQq7V</t>
  </si>
  <si>
    <t>Wall Street cai com previsões fracas de empresas e à espera de negociações sobre teto da dívida nos EUA
#Ações #DowJones #Empresas
https://t.co/ah6pOsDPgf</t>
  </si>
  <si>
    <t>Braskem (BRKM5) abre a boca sobre potencial venda de participação
#Ações #Braskem #Empresas
https://t.co/tPBqoqVZNe</t>
  </si>
  <si>
    <t>O movimento do Magazine Luiza (MGLU3), as descobertas da Prio (PRIO3) e outros destaques desta terça (9)
#Ações #Braskem #Cemig
https://t.co/fwUgRZwagi</t>
  </si>
  <si>
    <t>A Ágora Investimentos realizou apenas uma alteração em sua carteira recomendada para outubro. Veja as indicações.
#MoneyTimes #açoes #investimento
https://t.co/SLrqJB5aNi</t>
  </si>
  <si>
    <t>PT busca cargos no comando da Petrobras (PETR4) e indica assessor de deputada
#Ações #Biocombustível #Combustíveis
https://t.co/kirSTFtfWW</t>
  </si>
  <si>
    <t>Ibovespa: Bradesco (BBDC4) e Petrobras (PETR3) despencam e Lojas Renner (LREN3) dispara
#3RPetroleum #Ações #Bradesco
https://t.co/7MLroYiNV2</t>
  </si>
  <si>
    <t>Seth Klarman: Dez lições de uma lenda do mercado financeiro
#Ações #ColunadoMarketMakers #Investimentos
https://t.co/lqCkJWGtGP</t>
  </si>
  <si>
    <t>Ibovespa: Por que Sabesp (SBSP3) despenca hoje? Minerva (BEEF3) dispara e lidera as altas
#3RPetroleum #Ações #BRF
https://t.co/1VGmMIQs7F</t>
  </si>
  <si>
    <t>Weg (WEGE3) desembolsa mais de R$ 80 milhões para expandir operações em Santa Catarina
#Ações #BusinessTimes #Empresas
https://t.co/VKx0nvlllY</t>
  </si>
  <si>
    <t>Ibovespa (IBOV) aproveita salto de Petrobras (PETR3;PETR4) nesta segunda (31); mercado entra em ‘modo Copom’
#Ações #Empresas #FeedPrincipal
https://t.co/s3REWYXrGV</t>
  </si>
  <si>
    <t>4 ações pagadoras de dividendos que são ‘chamariz’ de bilionários
#Ações #Bilionários #Dividendos
https://t.co/63iOoYL95c</t>
  </si>
  <si>
    <t>Kabum x Magalu: Fundadores entram com pedido de arbitragem para reverter negócio com varejista
#Ações #BusinessTimes #Consumo
https://t.co/k7RqujVeb6</t>
  </si>
  <si>
    <t>Ibovespa (IBOV) tomba com varejo e marca semana de queda; veja o fechamento desta sexta (14)
#Ações #Empresas #FeedPrincipal
https://t.co/M0n6WSkWfD</t>
  </si>
  <si>
    <t>Follow-on da MRV (MRVE3) ‘bomba’ e levanta uma bolada, diz jornal; veja preço da ação
#Ações #ConstruçãoCivil #Empresas
https://t.co/BVbgGCHmbf</t>
  </si>
  <si>
    <t>Ibovespa (IBOV) marca pontos novamente com empurrão de Wall Street; VALE3 e PETR4 ajudam
#Ações #Empresas #FeedPrincipal
https://t.co/t9REiPuUpN</t>
  </si>
  <si>
    <t>Ibovespa: Por que Vale (VALE3) e Petrobras (PETR4) sobem? Cyrela (CYRE3) dispara; entenda
#3RPetroleum #Ações #Braskem
https://t.co/tx2ntLpm6B</t>
  </si>
  <si>
    <t>BlackRock: Maior gestora do mundo compra ações de ‘vencedora’ da Bolsa brasileira
#Ações #BlackRock #Empresas
https://t.co/sKIlUO7CVt</t>
  </si>
  <si>
    <t>Ibovespa: Braskem (BRKM5) lidera as altas enquanto Azul (AZUL4) recua; entenda
#Ações #Azul #BancodoBrasil
https://t.co/y6ofy9uBj6</t>
  </si>
  <si>
    <t>Casino recebe ofertas para fortalecer base de capital; em Paris, ação salta 16%
#Ações #Casino #Empresas
https://t.co/M6ZgnGpqou</t>
  </si>
  <si>
    <t>Vale (VALE3), Itaú (ITUB4) e mais 3 ações para lucrar com dividendos este mês, segundo a Empiricus Research
#Ações #Alupar #CarteiraRecomendada
https://t.co/WhnbAp1e1r</t>
  </si>
  <si>
    <t>Por que a Light (LIGT3) despenca 11% nesta segunda-feira (19)?
#Ações #BolsadeValores #FeedPrincipal
https://t.co/qqkCnOekmV</t>
  </si>
  <si>
    <t>Bolsas Asiáticas: Ações da China caem enquanto mercados aguardam mais estímulos
#Ações #Ásia #BolsasAsiáticas
https://t.co/MZNotTevPS</t>
  </si>
  <si>
    <t>Tempo Real: Ibovespa tenta recuperação nesta segunda-feira (19) com Copom à vista
#Ações #BolsadeValores #Brasil
https://t.co/sF2NH2CHTH</t>
  </si>
  <si>
    <t>Vale (VALE3) e outras ações ligadas ao minério de ferro enfrentam dia difícil na Bolsa; banco faz alerta
#Aço #Ações #Commodities
https://t.co/aPVz7XWfSl</t>
  </si>
  <si>
    <t>Empresa que pode ser comprada dispara nesta segunda — e não é a Braskem (BRKM5)
#Ações #Empresas #Mercados
https://t.co/90xXBXpK2Y</t>
  </si>
  <si>
    <t>3R Petroleum (RRRP3): Dois fatores que pesam sobre as ações nesta segunda (12)
#3RPetroleum #Ações #Commodities
https://t.co/jvWVFC2oo5</t>
  </si>
  <si>
    <t>Proposta de compra da Braskem (BRKM5), dividendos da semana e mais destaques desta segunda (12)
#Ações #Braskem #Dividendos
https://t.co/n4uuS8i3eT</t>
  </si>
  <si>
    <t>Bolsas Asiáticas: Ações da China e Hong Kong fecham quase estáveis enquanto investidores se preparam para novos dados
#Ações #BolsasAsiáticas #China
https://t.co/F3kFMloylk</t>
  </si>
  <si>
    <t>Tempo Real: Ibovespa perder força nesta segunda-feira (12)
#Ações #Ibovespa #Mercados
https://t.co/51s5qU5S7O</t>
  </si>
  <si>
    <t>Dividendos: Petrobras (PETR4), Banco do Brasil (BBAS3) e mais 6 pagam R$ 2,4 bi esta semana; veja quem tem direito
#Ações #BancodeBrasília #BancodoBrasil
https://t.co/PoZaWJAvqK</t>
  </si>
  <si>
    <t>Ibovespa: Méliuz (CASH3) lidera as quedas e Yduqs (YDUQ3) dispara nesta quinta (1); entenda
#Ações #BRF #Empresas
https://t.co/SqGVUdpc14</t>
  </si>
  <si>
    <t>Ações da Europa estão mais atraentes que dos EUA, diz Bernstein
#Ações #Bernstein #Bloomberg
https://t.co/IVOVBgXNku</t>
  </si>
  <si>
    <t>Ibovespa: O ‘grande risco’ para a Bolsa em junho, segundo o BTG
#Ações #Bolsa #BolsadeValores
https://t.co/1eZJlfDLvf</t>
  </si>
  <si>
    <t>Ibovespa (IBOV) busca fôlego para abrir junho no azul, digerindo dados do PIB brasileiro
#Ações #ArcabouçoFiscal #Economia
https://t.co/wyZIY7sxff</t>
  </si>
  <si>
    <t>Gringos compram ações na B3, mas aportes não devem ‘salvar’ maio; entenda
#Ações #B3 #FeedPrincipal
https://t.co/EyGPN51n4T</t>
  </si>
  <si>
    <t>VALE3 anuncia acordo da Samarco e PETR4 inicia produção; confira os destaques desta quinta (1)
#Ações #Americanas #Copel
https://t.co/fKLZoUulKw</t>
  </si>
  <si>
    <t>Bolsas Asiáticas: Ações da China devolvem ganhos e fica mistas apesar de crescimento da atividade industrial
#Ações #BolsasAsiáticas #China
https://t.co/L8KlgQ9n4R</t>
  </si>
  <si>
    <t>Empresa de Lemann compra ações e vende bens, mas fortuna do bilionário é ultrapassada; entenda
#Ações #Bilionários #BillionTimes
https://t.co/et1WsAVsDI</t>
  </si>
  <si>
    <t>Dividendos e JCP: Bradesco (BBDC4), Itaú (ITUB4) e mais 10 empresas pagam R$ 909,4 mi na próxima semana
#Ações #Dividendos #Empresas
https://t.co/dX9cLDDNE0</t>
  </si>
  <si>
    <t>Ibovespa (IBOV) se livra de pregão ruim com ajuda do exterior; Vale (VALE3) quebra sequência de quedas
#Ações #Empresas #FeedPrincipal
https://t.co/Mgk59DpBMO</t>
  </si>
  <si>
    <t>Shein: Consumidores mandam recado e analista vê tendência que pode afetar empresa
#Ações #C&amp;amp;A #Empresas
https://t.co/MS12DQxxms</t>
  </si>
  <si>
    <t>Ações da Ford sobem 7% após acordo com Tesla sobre carregadores para carros elétricos
#Ações #Empresas #FeedPrincipal
https://t.co/pkpOPyVLgo</t>
  </si>
  <si>
    <t>Bolsas Europeias: Ações registram melhor dia em 2 meses com tecnologia, mas têm perdas semanais
#Ações #BolsasEuropeias #Empresas
https://t.co/yqs8xLqL80</t>
  </si>
  <si>
    <t>Petrobras (PETR4): Valor de mercado cai R$ 92,4 bi desde as eleições; quem saiu perdendo?
#Ações #Dividendos #Empresas
https://t.co/8qg4hgVW2s</t>
  </si>
  <si>
    <t>Mercado acionário europeu tem queda com Embracer na lanterna
#Ações #Empresas #Europa
https://t.co/rilJY1XQmM</t>
  </si>
  <si>
    <t>Por que a RRRP3 vai na contramão da PETR4 e despenca 6% nesta terça (16)?
#3RPetroleum #Ações #Empresas
https://t.co/Nxh4XUcWP7</t>
  </si>
  <si>
    <t>Ibovespa: O que está por trás da queda de 15% do MGLU3 e da disparada de 10% de HAPV3
#3RPetroleum #Ações #BRF
https://t.co/bqvfLbwRfm</t>
  </si>
  <si>
    <t>Wall Street cai com previsão da Home Depot e dados de vendas no varejo
#Ações #DowJones #FeedPrincipal
https://t.co/QF3opIlsP6</t>
  </si>
  <si>
    <t>Gringos compram R$ 1,5 bi em ações na B3 em uma semana e interrompem ‘sell in May’
#Ações #B3 #FeedPrincipal
https://t.co/Ig4eWeZo7Y</t>
  </si>
  <si>
    <t>Petrobras (PETR3;PETR4) dispara nesta terça (16) após nova política de preços
#Ações #Combustíveis #Empresas
https://t.co/f80qmCthA4</t>
  </si>
  <si>
    <t>Ações e títulos em dólar da Turquia caem com Erdogan na liderança para o 2ºturno de eleições
#Ações #Eleições #Internacional
https://t.co/OZRv5ZbZeS</t>
  </si>
  <si>
    <t>Taurus (TASA4): Lucro tomba 82%, a R$ 35,4 milhões, no 1T23
#1T23 #Ações #BusinessTimes
https://t.co/67AYT6DA4a</t>
  </si>
  <si>
    <t>Dividendos: Construtora vai pagar milhões após lucro derreter no 1T23; Veja como receber
#1T23 #Ações #BusinessTimes
https://t.co/CF8DMazfrM</t>
  </si>
  <si>
    <t>Gringos voltam a vender ações na B3 e elevem déficit no mês; veja quem compra
#Ações #B3 #Empresas
https://t.co/LhEHFEKvwv</t>
  </si>
  <si>
    <t>Bolsas Europeias: Ações sobem com investidores avaliando política e dados econômicos
#Ações #BolsasEuropeias #EstadosUnidos(EUA)
https://t.co/9GgXyNWonO</t>
  </si>
  <si>
    <t>Ibovespa: PETR4 recua e MGLU3 avança nesta segunda (15); entenda
#Ações #Azul #BBSeguridade
https://t.co/yVkde6y8mK</t>
  </si>
  <si>
    <t>Petróleo afunda 2% e bolsas de valores em cima do muro nesta Super Quarta
#Ações #ADR's #Alemanha
https://t.co/YvO12DtXED</t>
  </si>
  <si>
    <t>CIEL3, CSAN3 e mais 5 empresas pagam R$ 3,3 bi em dividendos e JCP — ainda dá para aproveitar; veja como
#Ações #Auren #Cielo
https://t.co/GwKC0yeBA1</t>
  </si>
  <si>
    <t>Nos EUA, NYSE suspende negociações do First Republic e cancelará listagem do banco
#Ações #Bancos #EstadãoConteúdo
https://t.co/McKaH5JgdM</t>
  </si>
  <si>
    <t>Ações europeias fecham em mínima em 1 mês com queda do petróleo; Pearson despenca
#Ações #BancoCentralEuropeu(BCE) #BolsasEuropeias
https://t.co/wWnhBsNiEn</t>
  </si>
  <si>
    <t>PETR4, RRRP3 e PRIO3: Os fatores por trás da queda das ações das petroleiras nesta terça (2)
#3RPetroleum #Ações #FeedPrincipal
https://t.co/18Dva3PNYg</t>
  </si>
  <si>
    <t>Enauta (ENAT3) regista maior produção do ano em abril, mas ações caem 3%; entenda
#Ações #Empresas #Enauta
https://t.co/IXgnykxQyd</t>
  </si>
  <si>
    <t>Ibovespa (IBOV) opera de olho na ‘Super Quarta’; índice abre em queda nesta terça (2)
#Ações #BancoCentral #Copom
https://t.co/GVWUVv0U3V</t>
  </si>
  <si>
    <t>Ibovespa vai subir neste início de maio? Veja o que indica ETF brasileiro listado nos EUA
#Ações #ADR's #Alemanha
https://t.co/sjDXwzluaX</t>
  </si>
  <si>
    <t>CEO da Americanas (AMER3) renuncia ao cargo
#Ações #Americanas #BusinessTimes
https://t.co/IFdTcQnMzP</t>
  </si>
  <si>
    <t>RT @leiamoneytimes: Quer dividendos? Copel (CPLE6), Itaú (ITUB4) e mais 8 têm ‘data com’ para R$ 2 bilhões na última semana do mês
#ações #…</t>
  </si>
  <si>
    <t>Prefeitura inicia ações da Campanha Maio Laranja
https://t.co/GA2MHJWl1W
#jiparana #maiolaranja #acoes #semasf #combate #denuncia #vulneraveis https://t.co/DxzzXkbWYT</t>
  </si>
  <si>
    <t>As recompras de ações atingiram um novo recorde no Brasil em 2022: US$ 6,7 bilhões, crescimento de 18,5% em relação a 2021. #ações #recompra #recorde  https://t.co/jYkdTZt1wp</t>
  </si>
  <si>
    <t>🔝 #TOP5: Confira os ativos que tiveram melhor desempenho em Junho. Você já investe em algum desses ativos da lista? Responda nos comentários. 👇
#ações #ibov #mercadofinanceiro #cma #b3 #bolsadevalores #investimentos https://t.co/YSZusqcTNU</t>
  </si>
  <si>
    <t>🔝 #TOP5: Confira os ativos que tiveram melhor desempenho em Junho. Você já investe em algum desses ativos da lista? Responda nos comentários. 👇
#ações #ibov #mercadofinanceiro #cma #b3 #bolsadevalores #investimentos https://t.co/Ew1bTwHjsl</t>
  </si>
  <si>
    <t>https://t.co/YUkyBI8B0i
E a saga continua... Agora querem mexer com nossos investimentos no exterior, parece que a intenção é não deixar você se proteger, mas não vamos nos precipitar! Dolar em queda, ibovespa subindo, as blusinha tão liberada.    #viverderenda #dividendos #ações</t>
  </si>
  <si>
    <t>Alguns dividendos  e JCP anunciados essa semana...
ITSA4 = 0,16
B3sa3 = 0,10
SMTO3 = 0,38
#ações  #dividendos
#itsa4 #bolsadevalores https://t.co/AMM6hvgw0T</t>
  </si>
  <si>
    <t>AÇÕES | Kinross renova programa de emissão NCIB | Brasil Mineral
#Kinross #ações #ouro 
https://t.co/a6TxkeN9vV</t>
  </si>
  <si>
    <t>Explore o potencial do mercado de ações em Palmas e amplie seus horizontes financeiros. Descubra oportunidades de investimento que podem impulsionar seus ganhos. 📈💼 #Investimentos #Ações #Palmas https://t.co/wOtKL8arT6</t>
  </si>
  <si>
    <t>Fica esperto
Leia o post
#dinheiro #finanças #investimento #poupar #renda #economia #economizar #rico #rica #ações #duduhrosa13 https://t.co/6FmANV65Rx</t>
  </si>
  <si>
    <t>Efeito Lula: Ibovespa tem 9 altas semanais consecutivas pela primeira vez na história, apesar de BC https://t.co/NR5yWcuLHw</t>
  </si>
  <si>
    <t>O famoso efeito da bola de neve é gerado por pequenas ações ao longo do tempo, levando a grandes resultados.
#investimentosbrasileexterior
#investimentobrasil
#investimentoexterior
#FII #fundoimobiliario #ações 
#stocks #etf #reit #cripto #longoprazo #primeiropasso #boladeneve https://t.co/qqrHIMfdtZ</t>
  </si>
  <si>
    <t>Você não irá conseguir se nunca tentar. O primeiro passo é o mais importante. 
#investimentosbrasileexterior #investimentobrasil
#investimentoexterior
#FII #fundoimobiliario #ações 
#stocks #etf #reit #cripto
#btc #eth #dinheiro #financas
#fazer #tentar #começar https://t.co/mPoudklrTQ</t>
  </si>
  <si>
    <t>Se você tivesse investido US$ 1.000,00 na Apple há 10 anos. 
#investimentosbrasileexterior #investimentobrasil
#investimentoexterior
#FII #fundoimobiliario #ações 
#stocks #etf #reit #cripto
#btc #eth #dinheiro #financas
#aapl #apple #us https://t.co/g9dBpOA7HK</t>
  </si>
  <si>
    <t>*RENTABILIDADE PASSADA NÃO REPRESENTA GARANTIA DE RENTABILIDADE FUTURA.
#investimentosbrasileexterior #investimentobrasil #investimentoexterior #rendavariável #bolsadevalores #longoprazo #comoinvestir #liberdadefinanceira #ações #dividendos #lucroconstante #lucrosconstantes</t>
  </si>
  <si>
    <t>Os 15 sites mais visitados do Brasil.
#investimentosbrasileexterior #investimentobrasil
#investimentoexterior
#FII #fundoimobiliario #ações 
#stocks #etf #reit #cripto
#btc #eth #dinheiro #financas https://t.co/jSKu5kSCvM</t>
  </si>
  <si>
    <t>O Federal Reserve (FED - Banco Central dos Estados Unidos) decidiu manter a taxa de juros nos atuais 5,25%, durante essa semana.
#investimentosbrasileexterior #investimentobrasil
#investimentoexterior
#FII #fundoimobiliario #ações 
#stocks #etf #reit #cripto
#btc #eth #dinheiro https://t.co/Hg192D6VYN</t>
  </si>
  <si>
    <t>A linha de chegada de cada um é diferente. Você não está competindo com ninguém.
#investimentosbrasileexterior #investimentobrasil
#investimentoexterior
#FII #fundoimobiliario #ações 
#stocks #etf #reit #cripto
#btc #eth #dinheiro #financas https://t.co/piyEFX1Gxl</t>
  </si>
  <si>
    <t>Se você tivesse investido US$ 1000,00 há 10 anos nos ETFs SPY ou MCHI.
#investimentosbrasileexterior #investimentobrasil
#investimentoexterior
#FII #fundoimobiliario #ações 
#stocks #etf #reit #cripto
#btc #eth #dinheiro #financas #spy #mchi #sp500 https://t.co/Yes2l3pC3s</t>
  </si>
  <si>
    <t>Maiores empresas do mundo por receita.
#investimentosbrasileexterior #investimentobrasil
#investimentoexterior
#FII #fundoimobiliario #ações 
#stocks #etf #reit #cripto
#btc #eth #dinheiro #financas #receita #bluechip https://t.co/s5hOW682Pb</t>
  </si>
  <si>
    <t>associados em todo o mundo — quase 1,6 milhão apenas nos EUA.
*No longo prazo a cotação segue o lucro.
#investimentosbrasileexterior #investimentobrasil #investimentoexterior #stock #stocks #brasil #eua #ações #dividendos #buyandhold #longoprazo #lucro #sócio #EUA</t>
  </si>
  <si>
    <t>#tbt O que mais evoluiu nesse tempo?
#investimentosbrasileexterior #investimentobrasil
#investimentoexterior
#FII #fundoimobiliario #ações 
#stocks #etf #reit #cripto
#btc #eth #dinheiro #financas https://t.co/01xdAv8Yrm</t>
  </si>
  <si>
    <t>Você é do time GM ou FORD?
Se você tivesse investido US$ 1.000,00 em cada uma em 2011.
#investimentosbrasileexterior #investimentobrasil
#investimentoexterior
#FII #fundoimobiliario #ações 
#stocks #etf #reit #cripto
#btc #eth #dinheiro #financas https://t.co/lYyVLrWHju</t>
  </si>
  <si>
    <t>No longo prazo, a cotação segue o lucro.
#investimentosbrasileexterior #investimentobrasil
#investimentoexterior
#FII #fundoimobiliario #ações 
#stocks #etf #reit #cripto
#btc #eth #dinheiro #financas https://t.co/f8AIF17ulx</t>
  </si>
  <si>
    <t>Comparação entre os juros reais, a taxa SELIC e inflação, com dados atualizados do 🇧🇷.
#investimentosbrasileexterior #investimentobrasil
#investimentoexterior
#FII #fundoimobiliario #ações 
#stocks #etf #reit #cripto
#btc #eth #dinheiro #financas https://t.co/5cWiTIe8QW</t>
  </si>
  <si>
    <t>Participação no mercado de semicondutores por receita. 🖥️ 
#investimentosbrasileexterior #investimentobrasil
#investimentoexterior
#FII #fundoimobiliario #ações 
#stocks #etf #reit #cripto
#btc #eth #dinheiro #financas
#semiconductor https://t.co/M75dHqGWIt</t>
  </si>
  <si>
    <t>Uma não é oposta a outra. Cada uma tem a sua importância, mas nos investimentos a consistência é fundamental. 
Você faz aportes periódicos?
#investimentosbrasileexterior #investimentobrasil
#investimentoexterior
#FII #ações 
 #dinheiro #financas #consistency #intensidade https://t.co/UCBFLfZFXf</t>
  </si>
  <si>
    <t>Maior valorização: SMTO3 +15,19%
Maior desvalorização: WEGE3 -8,54%
#investimentosbrasileexterior #investimentobrasil
#investimentoexterior
#FII #fundoimobiliario #ações 
#stocks #etf #reit #cripto
#btc #eth #dinheiro #financas #constancia https://t.co/HHBT2wUfft</t>
  </si>
  <si>
    <t>Semana passada foi realizado o  terceiro aporte na carteira do canal. 
Mais R$ 1000,00 foram aplicados.
Segue a composição atual.
#investimentosbrasileexterior #investimentobrasil
#investimentoexterior
#FII #fundoimobiliario #ações 
#stocks #etf #reit #cripto
#btc #eth #bnb https://t.co/8JLagabeqJ</t>
  </si>
  <si>
    <t>Feliz dia dos pais!
Já comprou o presente do seu pai?
#investimentosbrasileexterior #investimentobrasil
#investimentoexterior
#FII #fundoimobiliario #ações 
#stocks #etf #reit #cripto
#btc #eth #dinheiro #financas https://t.co/FV3iJhsAfZ</t>
  </si>
  <si>
    <t>Dividendos recebidos em junho na carteira pessoal.
Quem adivinha qual empresa pagou em 01/06? 😅
Os dividendos recebidos em dólar, foram convertidos pelo aplicativo. 
#investimentosbrasileexterior #investimentobrasil
#investimentoexterior
#FII #fundoimobiliario #ações 
#stocks https://t.co/0lTsVSlraV</t>
  </si>
  <si>
    <t>Os criadores foram visionários. 
Os Jetsons é uma série animada de televisão produzida pela Hanna-Barbera, exibida originalmente na ABC entre 1962 e 1963.
#investimentosbrasileexterior #investimentobrasil
#investimentoexterior
#FII #fundoimobiliario #ações 
#stocks #etf #reit https://t.co/rIXhfvWmwA</t>
  </si>
  <si>
    <t>Qual foi a última vez que você fez algo pela primeira vez?
#investimentosbrasileexterior #investimentobrasil
#investimentoexterior
#FII #fundoimobiliario #ações 
#stocks #etf #reit #cripto
#btc #eth #dinheiro #financas https://t.co/OyflVlFVBx</t>
  </si>
  <si>
    <t>Qual seu meio de pagamento preferido?!
👇🏻👇🏻💳💵🏦
#investimentosbrasileexterior #investimentobrasil
#investimentoexterior
#FII #fundoimobiliario #ações 
#stocks #etf #reit #cripto
#btc #eth #dinheiro #financas #pix #cartao https://t.co/r4lJDNi6Vu</t>
  </si>
  <si>
    <t>com os outros. É um lembrete importante de que a autorreflexão e a humildade são cruciais para o crescimento pessoal e profissional.
#investimentosbrasileexterior #investimentobrasil
#investimentoexterior
#FII #fundoimobiliario #ações 
#stocks #etf #reit #cripto
#btc #eth</t>
  </si>
  <si>
    <t>Principalmente os da Itaúsa. Kkk
#investimentosbrasileexterior #investimentobrasil
#investimentoexterior
#FII #fundoimobiliario #ações 
#stocks #etf #reit #cripto
#btc #eth #dinheiro #financas https://t.co/2b9jqbipIN</t>
  </si>
  <si>
    <t>Você sabia dessa informação?
#investimentosbrasileexterior #investimentobrasil
#investimentoexterior
#FII #fundoimobiliario #ações 
#stocks #etf #reit #cripto
#btc #eth #dinheiro #financas #relogio #joia #retorno https://t.co/OUCYtpomb5</t>
  </si>
  <si>
    <t>Warren Buffett x SP500.
Muita consistência. 👏🏼🚀
#investimentosbrasileexterior #investimentobrasil
#investimentoexterior
#FII #fundoimobiliario #ações 
#stocks #etf #reit #cripto
#btc #eth #dinheiro #financas #warrent #buffet https://t.co/kH1wHxrOTi</t>
  </si>
  <si>
    <t>Oracle fornece uma pilha completa de tecnologia tanto na nuvem quanto no data center. 
*No longo prazo a cotação segue o lucro.
#investimentosbrasileexterior #investimentobrasil #investimentoexterior #stock #stocks #brasil #eua #ações #dividendos #buyandhold #longoprazo #lucro</t>
  </si>
  <si>
    <t>Caiuuuu…
Fiquei na dúvida se é bom ou ruim. 😅
#investimentosbrasileexterior #investimentobrasil
#investimentoexterior
#FII #fundoimobiliario #ações 
#stocks #etf #reit #cripto
#btc #eth #dinheiro #financas https://t.co/W5ClJRFzyU</t>
  </si>
  <si>
    <t>Você está em qual fase?
#investimentosbrasileexterior #investimentobrasil
#investimentoexterior
#FII #fundoimobiliario #ações 
#stocks #etf #reit #cripto
#btc #eth #dinheiro #financas https://t.co/TzA557BzIu</t>
  </si>
  <si>
    <t>médico-hospitalares; e a Optum, focada em serviços de saúde integrados à tecnologia da informação. 
*No longo prazo a cotação segue o lucro.
#investimentosbrasileexterior #investimentobrasil #investimentoexterior #stock #stocks #brasil #eua #ações #dividendos #buyandhold</t>
  </si>
  <si>
    <t>Os desafios fazem você sair da zona de conforto e evoluir.
#investimentosbrasileexterior #investimentobrasil
#investimentoexterior
#FII #fundoimobiliario #ações 
#stocks #etf #reit #cripto
#btc #eth #dinheiro #financas https://t.co/xLCvkZdqNg</t>
  </si>
  <si>
    <t>Como está a divisão dos investimentos da sua carteira?
Não esqueça de incluir alguns investimentos importantes. 
#investimentosbrasileexterior #investimentobrasil
#investimentoexterior
#FII #fundoimobiliario #ações 
#stocks #etf #reit #cripto
#btc #eth #dinheiro #financas https://t.co/dpBdNZJpqB</t>
  </si>
  <si>
    <t>e proporcionar tranquilidade às famílias em todo o país. 
Possui quase 59.000 propriedades unifamiliares nas regiões Sudeste, Centro-Oeste, Sudoeste e Mountain West dos Estados Unidos.
#investimentosbrasileexterior #investimentobrasil #investimentoexterior #reits #ações</t>
  </si>
  <si>
    <t>O poder de reinvestir os dividendos.
#investimentosbrasileexterior #investimentobrasil
#investimentoexterior
#FII #fundoimobiliario #ações 
#stocks #etf #reit #cripto
#btc #eth #dinheiro #financas https://t.co/ASTZqY6Bmg</t>
  </si>
  <si>
    <t>Começando a semana.
Vai deixar para um dia ou vai iniciar algo que está pendente?
#investimentosbrasileexterior #investimentobrasil
#investimentoexterior
#FII #fundoimobiliario #ações 
#stocks #etf #reit #cripto
#btc #eth #dinheiro #financas https://t.co/qQ5xcZmGu6</t>
  </si>
  <si>
    <t>Vendas de Veiculos elétricos por país.
#investimentosbrasileexterior #investimentobrasil
#investimentoexterior
#FII #fundoimobiliario #ações 
#stocks #etf #reit #cripto
#btc #eth #dinheiro #financas #veiculo #carro #eletrico https://t.co/1Vz4yziaZ2</t>
  </si>
  <si>
    <t>Você está investindo no seu EU do futuro?
#investimentosbrasileexterior #investimentobrasil
#investimentoexterior
#FII #fundoimobiliario #ações 
#stocks #etf #reit #cripto
#btc #eth #dinheiro #financas #futuro #planejamento https://t.co/fGfVCSszS9</t>
  </si>
  <si>
    <t>Você iria nesse local? 😅
#investimentosbrasileexterior #investimentobrasil
#investimentoexterior
#FII #fundoimobiliario #ações 
#stocks #etf #reit #cripto
#btc #eth #dinheiro #financas https://t.co/7F0nAjXUwY</t>
  </si>
  <si>
    <t>localizadas em todos os 48 estados continentais e contendo aproximadamente 40,1 milhões de pés quadrados de espaço bruto para venda.
#investimentosbrasileexterior #investimentobrasil #investimentoexterior #reits #ações #longoprazo #liberdadefinanceira #planejamentofinanceiro</t>
  </si>
  <si>
    <t>Setor defensivo da bolsa ( utilidade pública).
#investimentosbrasileexterior #investimentobrasil
#investimentoexterior
#FII #fundoimobiliario #ações 
#stocks #etf #reit #cripto
#btc #eth #dinheiro #financas #eletrica #utilidadepublica https://t.co/01iHHkGtDk</t>
  </si>
  <si>
    <t>Dois fatores determinantes: A economia americana e o reinvestimento dos dividendos.
#investimentosbrasileexterior #investimentobrasil
#investimentoexterior
#FII #fundoimobiliario #ações 
#stocks #etf #reit #cripto
#btc #eth #dinheiro #financas #sp500 https://t.co/eue5ftoEl3</t>
  </si>
  <si>
    <t>O que mais você já ouviu por aí?
#investimentosbrasileexterior #investimentobrasil
#investimentoexterior
#FII #fundoimobiliario #ações 
#stocks #etf #reit #cripto
#btc #eth #dinheiro #financas https://t.co/1Uq2390CX3</t>
  </si>
  <si>
    <t>A ação leva ao progresso, aprendizado, crescimento, autoconfiança e motivação. 
Além da criação de hábitos e disciplina, podem aparecer oportunidades ocultas.
#investimentosbrasileexterior #investimentobrasil
#investimentoexterior
#FII #fundoimobiliario #ações 
#stocks #etf https://t.co/B77qKMATMn</t>
  </si>
  <si>
    <t>A #NVIDIA alcançou o valor de mercado de 1 trilhão de dólares. 
No gráfico está a comparação com a #Intel. 
#investimentosbrasileexterior #investimentobrasil
#investimentoexterior
#FII #fundoimobiliario #ações 
#stocks #etf #reit #cripto
#btc #eth #dinheiro #financas https://t.co/aAuVhAiyuG</t>
  </si>
  <si>
    <t>serviços de todas as franquias que combinam conhecimento especializado com posições de liderança. 
*No longo prazo a cotação segue o lucro.
#investimentosbrasileexterior #investimentobrasil #investimentoexterior #stock #stocks #brasil #eua #ações #dividendos #buyandhold</t>
  </si>
  <si>
    <t>Mais uma prova da ciência.
Ainda tem muita gente que acredita que os atalhos levam mais rápido ao seu objetivo. 
#investimentosbrasileexterior #investimentobrasil
#investimentoexterior
#FII #fundoimobiliario #ações 
#stocks #etf #reit #cripto
#btc #eth #dinheiro #financas https://t.co/tMR9zWgtg8</t>
  </si>
  <si>
    <t>Crescimento da dívida pública dos Estados Unidos.
#dividapublica #investimentosbrasileexterior #investimentobrasil
#investimentoexterior
#FII #fundoimobiliario #ações 
#stocks #etf #reit #cripto
#btc #eth #dinheiro #financas #eua #us #estadosunidos🇺🇸 #memorialday https://t.co/18l6F3xUTq</t>
  </si>
  <si>
    <t>5 maiores REITs do setor. Você investe em algum?
O gráfico mostra a rentabilidade total. 🚀💰
#investimentosbrasileexterior #investimentobrasil
#investimentoexterior
#FII #fundoimobiliario #ações 
#stocks #etf #reit #cripto
#btc #eth #bnb #dot #dinheiro #financas #specialty https://t.co/1Uf2bhwblO</t>
  </si>
  <si>
    <t>Os países do G20 que produzem a maior parte de sua eletricidade a partir da energia nuclear.
#investimentosbrasileexterior #investimentobrasil
#investimentoexterior
#FII #fundoimobiliario #ações 
#stocks #etf #reit #cripto
#btc #eth #bnb #dot #dinheiro #financas
#nuclear #energy https://t.co/YJJrW1dw25</t>
  </si>
  <si>
    <t>Descubra por que é mais importante investir com base em fundamentos do que se preocupar com quantas ações ou empresas ter em seu portfólio. #empresas #ações #investimento https://t.co/J6C0WRIb3f</t>
  </si>
  <si>
    <t>Aprenda como investir na Bolsa de Valores Brasileira com esse guia completo para iniciantes. Descubra o passo a passo. #bolsadevalores #ações #investimento #mercadodecapitais https://t.co/TZCgL466c4</t>
  </si>
  <si>
    <t>Saiba se ações são seguras e entenda a segurança desse tipo de investimento. Conheça a importância de escolher uma corretora regularizada e declarar as suas posições no imposto de renda. #ações #empresas #investimento #mercadodecapitais 
https://t.co/pBAIJYrU3Y</t>
  </si>
  <si>
    <t>Posição de compra em KLBN3-
Postei a um tempo atrás no meu canal do youtube.
Ação já paga 12.67%
Payoff já pago de 2 pra 1.
#bmf #ações #daytrade #trading #ibovespa #miniindice #minidolar #forex #forextrading #scalping https://t.co/8KCUOu5HWF</t>
  </si>
  <si>
    <t>Brooklyn Beckham e Nicola Peltz resolvem ações judiciais após suposto drama de casamento #FAMOSOS #ações #após #Beckham #BrooklinBeckham  https://t.co/De5zmeGpHD</t>
  </si>
  <si>
    <t>O rapper Travis Scott é questionado em depoimento sobre o aumento mortal de multidões no festival do Texas em meio a uma onda de ações judiciais #FAMOSOS #ações #Astromundo #aumento #depoimento  https://t.co/GCMiXgOT4Q</t>
  </si>
  <si>
    <t>Mariana Lestelle explodiu contra Aníbal Lotocki e desmascarou suas ações: “O advogado dele me ameaçou” #FAMOSOS #ações #advogado #ameaçou #Aníbal  https://t.co/FX8XQxrkWo</t>
  </si>
  <si>
    <t>A estranha opinião de Pampita sobre a prisão do cunhado por dirigir embriagado: “Não posso responder pelas ações dos outros” #FAMOSOS #ações #cunhado #dirigir #dos  https://t.co/4n5RG6w6HU</t>
  </si>
  <si>
    <t>‘Isso pode aliviar as pessoas da responsabilidade por suas ações’: Christopher Nolan cai na real sobre a maior ameaça representada pela IA #FilmeseSéries #ações #aliviar #ameaça #cai  https://t.co/GYGP7m8Y3f</t>
  </si>
  <si>
    <t>Os investidores no geral estão com grandes expectativas sobre a próxima reunião do FED (Banco Central Americano), que pode dar um freio na alta dos juros, e dar um norte a economia americana. 
#ibovespa #investimentos #ações #negócios https://t.co/QJgl68UjtJ</t>
  </si>
  <si>
    <t>Os mais de cinco mil visitantes do evento puderam ter contato com os produtos da marca, receber atendimento personalizado de especialistas e participar de dinâmicas 🤩 #cãesegatos #CBA #premierpet #stand #ações #veterinários #congresso #feiradenegócios 
https://t.co/95kUwoCM04</t>
  </si>
  <si>
    <t>Dia de análise semanal para avaliar as operações Trade
#trade #trading #mercadofinanceiro #acoes #Indices #FTMO https://t.co/fPKtKQazxi</t>
  </si>
  <si>
    <t>O Aprender Valor leva educação financeira para escolas públicas de ensino fundamental em todo país e é uma parceria do Banco Central, do #FDD, do #Caed/UFJF, do @fgc_br, da @undimenacional e do @consedbr.
#aprendervalor #educacaofinanceira #cidadaniafinanceira</t>
  </si>
  <si>
    <t>Nessa iniciativa, o Banco Central conta com a parceria do #FDD, do #Caed / UFJF, do #FGC, da #Undime e do #consed.
#aprendervalor #educacaofinanceira #cidadaniafinanceira #bancocentraldobrasil #educacaobasica #educacaofinanceiranasescolas #ensinofundamental #escolaspublicas</t>
  </si>
  <si>
    <t>#aprendervalor #educacaofinanceira #cidadaniafinanceira #bancocentraldobrasil #educacaobasica #educacaofinanceiranasescolas #ensinofundamental #escolaspublicas #financas #financasparacriancas #economiaparacriancas #undime #consed</t>
  </si>
  <si>
    <t>🏆Poderia ser o Oscar, mas é muito mais importante pra nós!  Confira como foi a premiação do Programa Aprender Valor ciclo 2022, que reconheceu os melhores projetos desenvolvidos em escolas de todo o Brasil! #aprendervalor #cidadaniafinanceira https://t.co/2ClObq1DwE</t>
  </si>
  <si>
    <t>“Falar que educação financeira tem o poder de multiplicar sonhos não é um clichê sem sentido. Quem sabe lidar bem com dinheiro pode se permitir sonhar e muito alto” diretor do BC, Maurício Moura, destacou a importância do Aprender Valor na Cerimônia de Premiação, hoje. https://t.co/PK5UViHY24</t>
  </si>
  <si>
    <t>O Aprender Valor já está em mais de 22 mil escolas, chegando a 5,6 milhões de estudantes em mais de 3 mil municípios.
#aprendervalor #educacaofinanceira #cidadaniafinanceira #bancocentraldobrasil #educacaobasica #educacaofinanceiranasescolas #ensinofundamental</t>
  </si>
  <si>
    <t>#Universidades de #Curitiba #oferecem #ações #gratuitas #sobre #declaração de #imposto de #renda https://t.co/QDweVh6T1a</t>
  </si>
  <si>
    <t>Já se perguntou como algumas pessoas conseguem multiplicar seu dinheiro enquanto outras lutam para pagar as contas?
A resposta é simples: INVESTIMENTO EM AÇÕES.
https://t.co/GvrBh8Xgev
#ações #investimentos #bolsa #dividendos #renda #wealth #strategy #profit #risk #return https://t.co/vFtZC4kvLo</t>
  </si>
  <si>
    <t>Um #dolar do ano de 1800 vale pouco mais de US$ 0,04 hoje, mas esse mesmo dólar investido em #ações valeria US$ 2,3Mi hoje, após 223 anos.
Era só saber que a #moeda e o mercado financeiro seriam absurdamente manipulados para chegarem nessa cifra, simples assim! https://t.co/D0GEpOqelm</t>
  </si>
  <si>
    <t>Encontrei mais gente explanando o #golpe da carteira automatizada de #ações e #FIIs. Fujam dessa armadilha! @xpinvestimentos
https://t.co/g402v8EMGM
@nathfinancas #investimentos</t>
  </si>
  <si>
    <t>Encontrei mais gente explanando o #golpe da carteira automatizada de #ações e #FIIs. Fujam dessa armadilha! @xpinvestimentos
https://t.co/mrMexYdkOe
@nathfinancas #investimentos</t>
  </si>
  <si>
    <t>As #planilhas de #Análise de #FIIs e #ações estão de graça durante período de testes - 2023
Planilha com todos os ativos do #mercado, opções de filtros e aba para comparação mês à mês. #b3 #investimentos #rendaextra https://t.co/kMGJp6pAzI</t>
  </si>
  <si>
    <t>📈
#seahorse #stonks #value #money #cavalomarinho #ações #bolsadevalores #dinheiro #AIart  #ai #aiartgenerator  #generativeart #InteligenciaArtificial  #ArtificialIntelligence  #photo #Bing  #bingimagecreator #aiartcommunity #AIArtwork 
https://t.co/LSmcd32tLy</t>
  </si>
  <si>
    <t>Existem diversas formas de ganhar dinheiro online, e a escolha depende dos seus interesses, habilidades e disposição para trabalhar.
#FinançasPessoais #Investimentos #EducaçãoFinanceira #TesouroDireto #FundosdeInvestimento #Ações #RendaFixa #Diversificação #PlanejamentoFinanceiro https://t.co/bkp5XXHbvw</t>
  </si>
  <si>
    <t>#Jeová #Deus #Jesus #Cristo #Jesus_Cristo #ensino #madureza #perfeição #bíblia #justiça #lealtade #modéstia #cristãos 
A #Congregação de #Éfeso: #Conheço as suas #ações, o seu #trabalho_árduo e a sua #perseverança (#Apocalipse 2:1-7) (Ler em Facebook)
https://t.co/xd6oFuxI8k https://t.co/8ZrIJ89RRZ</t>
  </si>
  <si>
    <t>#Jeová #Deus #Jesus #Cristo #Jesus_Cristo #ensino #madureza #perfeição #bíblia #justiça #lealtade #modéstia #cristãos 
A #Congregação de #Éfeso: #Conheço as suas #ações, o seu #trabalho_árduo e a sua #perseverança (#Apocalipse 2:1-7) (Ler em Linkedin)
https://t.co/icYzqpB13v</t>
  </si>
  <si>
    <t>Estou animado para compartilhar com vocês um código Python que criei para analisar o desempenho de algumas ações do mercado financeiro!
Link para o código no Github: [https://t.co/pLbC7GSxuD]
#Python #MercadoFinanceiro #Ações #AnáliseDeDados 🚀📈</t>
  </si>
  <si>
    <t>Conheça ETFs para momentos de crise em: https://t.co/69Jn57S1Rm
#ações #bolsasdevalores #proteçãodecarteira</t>
  </si>
  <si>
    <t>Pesquisa foi feita com 800 moradores de dois complexos no Rio.
#PortaliG #Ações #Policiais 
https://t.co/ZCXNqUBKMa</t>
  </si>
  <si>
    <t>#investimentos #investimento #bolsadevalores #bovespa #rendavariavel #ações #mercadofinanceiro #liberdadefinanceira #finanças #planejamentofinanceiro #trader #stocks  #dinheiro #henleinvestimentos #economia #dividendos #ibovespa #agro #agronegocio #soja #milho #keplerweber https://t.co/6OtaOVbeb4</t>
  </si>
  <si>
    <t>O GIC, fundo soberano de Singapura, está entre os investidores que compraram ações da Copel na oferta pública de R$ 5,2 bilhões que teve preço fixado nesta terça-feira. #energia #mercado #ações  Por
@andradevini3 e Cristiane Lucchesi. 
https://t.co/9TakxpaZlH</t>
  </si>
  <si>
    <t>SELIC X AÇÕES📈 Ainda que os analistas discordem do patamar dos juros no final desse ano, a expectativa é de uma flexibilização monetária gradual.  Os futuros cortes nos juros podem impulsionar mais quais ativos? - https://t.co/NqvvsSNAv8
#selic #juros #ações #mercados</t>
  </si>
  <si>
    <t>IBOV 📈 Para os próximos seis meses, levando em conta a tendência de diminuição na Selic, as projeções são mais otimistas para o Ibovespa. O que pode motivar o índice? 
https://t.co/u3UiL1bkAp
#ibovespa #ibov #selic #ações #investimentos</t>
  </si>
  <si>
    <t>WEBINAR 🔍A bolsa brasileira tem ações escondidas prontas para brilhar após a flexibilização monetária.  
Como encontrá-las?  É o que detalha Thomas Monteiro, do https://t.co/fb2r6QRh8Z EUA!  
Inscreva-se em https://t.co/v2CBehDzI0
#webinar #investimentos #ações #investing https://t.co/Z4oLWuxH0K</t>
  </si>
  <si>
    <t>WEBINAR 🔍A bolsa brasileira tem ações escondidas prontas para brilhar após a flexibilização monetária.    Como encontrá-las?  É o que detalha Thomas Monteiro, do https://t.co/fb2r6QRh8Z EUA!   
Inscreva-se em https://t.co/v2CBehDzI0… 
#webinar #investimentos #ações #investing https://t.co/fH4b2QPh1C</t>
  </si>
  <si>
    <t>CHARGE 🎨 Até quanto mais alto as 7 ações "Maravilhas" podem ir?
Confira as cotações das ações https://t.co/ILvGQP8Oy3
#ações #investimentos #mercados https://t.co/d19b32BcQe</t>
  </si>
  <si>
    <t>Pesquisa XP com assessores mostra baixa alocação de clientes em ações - https://t.co/nq78jua15m</t>
  </si>
  <si>
    <t>Como será que o time de assessoria vai se comportar?
Vou mostrar aqui na reunião de alocação...
#investimentos #ações #Ibovespa</t>
  </si>
  <si>
    <t>Ações do First Republic Bank caem 60% em dois dias. O que está acontecendo? #FirstRepublicBank #acoes
https://t.co/13ev0KfAuo</t>
  </si>
  <si>
    <t>Motivacional 22
"56 Segundos de Poder"
#atitudes #ações #oração #perseverança #isso #mudatudo https://t.co/35Spw5bLSt</t>
  </si>
  <si>
    <t>bolsa ações ibovespa</t>
  </si>
  <si>
    <t>ações petr4 alup11 mtre3 rani3 grnd3</t>
  </si>
  <si>
    <t>dividendo ações</t>
  </si>
  <si>
    <t>dividendo jcp ações</t>
  </si>
  <si>
    <t>dividendo provento ações</t>
  </si>
  <si>
    <t>dividendo ações provento taee11</t>
  </si>
  <si>
    <t>pdgr3 notícias ações</t>
  </si>
  <si>
    <t>noticia bolsadevalores ações</t>
  </si>
  <si>
    <t>bolsadevalores b3 acoes</t>
  </si>
  <si>
    <t>seer3 noticia ações</t>
  </si>
  <si>
    <t>posi3 positivo noticia ações</t>
  </si>
  <si>
    <t>ações bancos breakingnews criptomoedas finance inflation bolsadevalores</t>
  </si>
  <si>
    <t>ações</t>
  </si>
  <si>
    <t>ifcm3 ações bolsadevalores</t>
  </si>
  <si>
    <t>zamp3 ações</t>
  </si>
  <si>
    <t>ações bolsadevalores</t>
  </si>
  <si>
    <t>notícias finance ações</t>
  </si>
  <si>
    <t>acoesbr ações</t>
  </si>
  <si>
    <t>acoesimportam ações compradeacoes investimento b3 rendavariavel</t>
  </si>
  <si>
    <t>unipar acoesimportam luizbarsi luizbarsifilho agf acoesgarantem acoesgarantemfuturo louisebarsi ações unip5</t>
  </si>
  <si>
    <t>ibovespa economia investimento ibov acoesimportam ações fiis fundosimobiliários</t>
  </si>
  <si>
    <t>ações acoesimportam rect11 fiis fundosimobiliários nchb11 mxrf11 recr11</t>
  </si>
  <si>
    <t>ibovespa economia investimento ibov acoesimportam ações fiis fundosimobiliários b3 petr3 petr4 bbas3 cple6 yduq3</t>
  </si>
  <si>
    <t>ibovespa economia investimento ibov acoesimportam ações fiis fundosimobiliários b3 hglg11 rec11 mrve3</t>
  </si>
  <si>
    <t>acoesimportam ações fiis fundosimobiliários dividendos datacom hfof11 vino11 xplg11 vilg11 visc11</t>
  </si>
  <si>
    <t>acoesimportam acoes investimento b3</t>
  </si>
  <si>
    <t>ibovespa economia investimento ibov acoesimportam ações fiis fundosimobiliários b3 hapv3 viia3 lwsa3 lren3 mrve3</t>
  </si>
  <si>
    <t>acoesimportam enbr3 opa ações setoreletrico transmissãodeenergia</t>
  </si>
  <si>
    <t>acoesimportam fiis ações fundosimobiliários</t>
  </si>
  <si>
    <t>deva11 deva fiis fundosimobiliários acoesimportam ações</t>
  </si>
  <si>
    <t>ibov ibovespa upside acoesimportam ações investimento</t>
  </si>
  <si>
    <t>ações acoesimportam jcp dividendos vale vale3 commodities</t>
  </si>
  <si>
    <t>acoes</t>
  </si>
  <si>
    <t>acoesimportam ações investimento italyinvest dinheirosumiu</t>
  </si>
  <si>
    <t>acoesimportam acoes b3 b3sa3 rendavariavel fii fundosimobiliários</t>
  </si>
  <si>
    <t>acoesimportam ações fundosimobiliários vale vale3 commodities b3</t>
  </si>
  <si>
    <t>acoesimportam luizbarsi barsi investimento acoes açõesgarantemfuturo</t>
  </si>
  <si>
    <t>acoes kepl3</t>
  </si>
  <si>
    <t>stockmarkets stocks acoes</t>
  </si>
  <si>
    <t>economia mercadofinanceiro ações economatica</t>
  </si>
  <si>
    <t>nativenewscarajás nnc ações segurança amazônialegal reforçonasegurança</t>
  </si>
  <si>
    <t>blackrock economy acões negocios bussiness obrigações bolsa investment</t>
  </si>
  <si>
    <t>economia bolsadevalores acoes ibovespa economiabrasileira</t>
  </si>
  <si>
    <t>açoes acoes fundosdeinvestimentos warrenbuffet microsoft billgates</t>
  </si>
  <si>
    <t>fundosdeinvestimentos acoes açoes</t>
  </si>
  <si>
    <t>ibovespa açoes acoes educacaofinanceira rendavariavel</t>
  </si>
  <si>
    <t>ibovespa açoes acoes educaçãofinanceira bolsadevalores</t>
  </si>
  <si>
    <t>ibovespa açoes acoes educacaofinanceira bolsadevalores</t>
  </si>
  <si>
    <t>tesourodireto fundos ações</t>
  </si>
  <si>
    <t>bolsadevalores ações b3 rendaextra rendavariavel dinheiro educaçãofinanceira</t>
  </si>
  <si>
    <t>criptomoedas ações</t>
  </si>
  <si>
    <t>bancodobrasil acoes</t>
  </si>
  <si>
    <t>negócios fintwit ações gestão oportunidades</t>
  </si>
  <si>
    <t>nucoin dividendos ações</t>
  </si>
  <si>
    <t>multiplicar roleta cassino roleta investimentoimobiliário acoes vidafinanceira daytraders roletapremiada</t>
  </si>
  <si>
    <t>multiplicar roleta cassino roleta investimentoimobiliário acoes vidafinanceira daytraders roletapremiada vidasaudavel roletapremiada premios</t>
  </si>
  <si>
    <t>webitcoin cryptonews notíiciascripto bitcoin btc tendênciadealta correçãobtc ações mercadocripto criptomoedas crypto cripto criptomoedas tecnologia</t>
  </si>
  <si>
    <t>webtcoin cryptonews notíciascripto microstrategy bitcoin investimento btc michaelsaylor ações moedadigital cryptocurrency</t>
  </si>
  <si>
    <t>diariodovale diario jornalismo digital voltaredonda csn poluição prefeito reunião ações</t>
  </si>
  <si>
    <t>ações brasil brasilsemfome lula</t>
  </si>
  <si>
    <t>ibov ibovespa miniindice minidolar b3 bolsabrasileira winfut wdofut dolar indice acoes mercadofuturo</t>
  </si>
  <si>
    <t>ações petr3 petr4</t>
  </si>
  <si>
    <t>ações investir</t>
  </si>
  <si>
    <t>bolsa b3 ações investimentos</t>
  </si>
  <si>
    <t>ibov bolsa acoes</t>
  </si>
  <si>
    <t>brsr6 b3 banrisul investimento bolsadevalores acoes</t>
  </si>
  <si>
    <t>cripto btc acoes</t>
  </si>
  <si>
    <t>dividendos investimentos ações rendapassiva investidores finançaspessoais bolsadevalores independênciafinanceira mercadofinanceiro educaçãofinanceira</t>
  </si>
  <si>
    <t>justiça ações decisões coragem</t>
  </si>
  <si>
    <t>ações computação</t>
  </si>
  <si>
    <t>investimentointeligente ações rendavariavel rendafixa dinheiro conhecimento investidor finanças b3 lucro contabilidade professor</t>
  </si>
  <si>
    <t>pensamentos motivacao habitos resultados ações</t>
  </si>
  <si>
    <t>ações sqia3 mrve3</t>
  </si>
  <si>
    <t>linhadefrente brasil notícia informação conselho ações senadores</t>
  </si>
  <si>
    <t>jpbusiness tupperware bolsadevalores ações</t>
  </si>
  <si>
    <t>jornaljp notícia informação rj mortes ações polícia reciclagem</t>
  </si>
  <si>
    <t>jornaljp brasil notícia informação bolsonaro ações multas</t>
  </si>
  <si>
    <t>mxrf11 fundosimobiliarios açoes</t>
  </si>
  <si>
    <t>pf ações operações giranotícias</t>
  </si>
  <si>
    <t>criptomoedas acoes commodities</t>
  </si>
  <si>
    <t>petrobras balanço ações preços</t>
  </si>
  <si>
    <t>grupobovespa botinhao bovespa acoes analisegrafica mercado</t>
  </si>
  <si>
    <t>ações investimentos mercadofinanceiro economia</t>
  </si>
  <si>
    <t>dividendos estatal ações petr3 petr4</t>
  </si>
  <si>
    <t>vale3 ações mineradoras</t>
  </si>
  <si>
    <t>mercadofinanceiro ibovespa ações</t>
  </si>
  <si>
    <t>mercadofinanceiro investimento ações ibov</t>
  </si>
  <si>
    <t>ibovespa bova11 mercadofinanceiro investimentos ações lucrocomações</t>
  </si>
  <si>
    <t>mercadofinanceiro ibovespa ações rendavariavel</t>
  </si>
  <si>
    <t>mercadofinanceiro economia ações</t>
  </si>
  <si>
    <t>mercadofinanceiro opções ações bbas3 egie3 itub4</t>
  </si>
  <si>
    <t>investimentos custodia corretoras ações mercadofinanceiro</t>
  </si>
  <si>
    <t>cvcb3 cvc resultado ações</t>
  </si>
  <si>
    <t>pensamentos palavras acoes habitos carater destino</t>
  </si>
  <si>
    <t>ações ações</t>
  </si>
  <si>
    <t>ações análisefundamentalista</t>
  </si>
  <si>
    <t>ações analisefundamentalista</t>
  </si>
  <si>
    <t>mercadofinanceiro cnpi ações swingtrading investimentos analistacnpi analisetecnicaclassica analisetecnica</t>
  </si>
  <si>
    <t>perspective investimentos mercadofinanceiro investir investimento fortuna força dinheiro crescimento bolsadevalores ações btg</t>
  </si>
  <si>
    <t>aai perspective investimentos mercadofinanceiro investir investimento fortuna força dinheiro crescimento bolsadevalores ações btg</t>
  </si>
  <si>
    <t>perspective investimentos crescimento bolsadevalores ações btg</t>
  </si>
  <si>
    <t>136kgdedrogas 62prisões ações dracco facçãocriminosa homicídios</t>
  </si>
  <si>
    <t>disney stockmarket mercado ibov ibovespa ações economia economy</t>
  </si>
  <si>
    <t>nvidia stock economia ibovespa mercado açoes</t>
  </si>
  <si>
    <t>nvidia ações stock mercado economia bolsadevelores</t>
  </si>
  <si>
    <t>nvidia açoes ibovespa nvidiastock stockmarket economia mercado</t>
  </si>
  <si>
    <t>drex bancocentral robertocamposneto robertocampos economia mercado ações real</t>
  </si>
  <si>
    <t>elonmusk tesla billgates stockmarkets ações mercado mercadofinanceiro ibovespa</t>
  </si>
  <si>
    <t>spx crypto bitcoin apple acoes ethereum</t>
  </si>
  <si>
    <t>exchange bitcoin titulos açoes sxidiomas solutionxidiomas inglês</t>
  </si>
  <si>
    <t>ações dividendos fiis louisebarsi warrenbuffett</t>
  </si>
  <si>
    <t>ações itaú itsa4 subscrição</t>
  </si>
  <si>
    <t>ações economia investimentos lucro rendimento</t>
  </si>
  <si>
    <t>ações dólar economia investimentos mercadofinanceiro</t>
  </si>
  <si>
    <t>ações bolsadevalores corretoras investimentos mercadofinanceiro</t>
  </si>
  <si>
    <t>ações economia investimentos mercadofinanceiro rendafixa</t>
  </si>
  <si>
    <t>coordinadordebienestar acoes acosoescolar verguenza</t>
  </si>
  <si>
    <t>gorilaflow mercadofinanceiro notícias ações</t>
  </si>
  <si>
    <t>ações fundosimobiliários mercadofinanceiro investimentos</t>
  </si>
  <si>
    <t>ações mercadofinanceiro economia inflação</t>
  </si>
  <si>
    <t>ações mercadofinanceiro economia</t>
  </si>
  <si>
    <t>investimentos mercadofinanceiro ações rendafixa</t>
  </si>
  <si>
    <t>b3 investimentos acoes bolsadevalores ganhos diversificacao estrategia</t>
  </si>
  <si>
    <t>arcaboucofiscal abev3 marisa amar3 ppi petr4 dividendos ações</t>
  </si>
  <si>
    <t>petr3 petr4 dividendos ações b3</t>
  </si>
  <si>
    <t>brasi aesb3 ações investir investimentos beest b3</t>
  </si>
  <si>
    <t>ibov smallcaps açōes selic</t>
  </si>
  <si>
    <t>investimentos ações bolsadevalores intelbras intb3 economia mercadofinanceiro ibovespa analisedeações</t>
  </si>
  <si>
    <t>ibovespa bovespa ações dinheiro rendafixa consultoria rendavariavel assessoria</t>
  </si>
  <si>
    <t>ibovespa ações dinheiro rendavariavel rendafixa consultoria assessori</t>
  </si>
  <si>
    <t>ibovespa bovespa dinheiro fundodi fundoimobiliario fundorendafixa ações aplicaçõesfinanceiras investimento investimentofinanceiro consultoriafinanceira</t>
  </si>
  <si>
    <t>ibovespa bovespa dinheiro ações rendafixa consultoria assessoriafinanceira rendavariavel finanças finanças investimento economia</t>
  </si>
  <si>
    <t>ibovespa bovespa dinheiro rendafixa rendavariavel finanças consultoria assessoria ações economia</t>
  </si>
  <si>
    <t>ibovespa bovespa dinheiro ações rendafixa consultoria assessoriafinanceira rendavariavel finanças educaçãofinanceira economia</t>
  </si>
  <si>
    <t>ibovespa bovespa ações fdi dinheiro economia rendafixa rendavariavel finanças consultoria poupança</t>
  </si>
  <si>
    <t>ibovespa bovespa ações sp500 dinheiro economia rendafixa rendavariavel finanças consultoria assessoriafinanceira finançaspessoais educaçãofinanceira</t>
  </si>
  <si>
    <t>ibovespa bovespa dinheiro ações rendafixa consultoria assessoriafinanceira rendavariavel finanças educaçãofinanceira</t>
  </si>
  <si>
    <t>ibovespa bovespa dinheiro ações rendafixa consultoria assessoria bolsadevalores rendavariavel finanças finanças</t>
  </si>
  <si>
    <t>ibovespa bovespa dinheiro ações rendafixa rendavariavel finanças consultoria assessoria bolsadevalores</t>
  </si>
  <si>
    <t>ibovespa bovespa dinheiro ações rendafixa consultoria assessoriafinanceira rendavariavel finanças educaçãofinanceira fundoimobiliario imóvel fundodi fundomultimercado economia dolar bitcoin</t>
  </si>
  <si>
    <t>ibovespa bovespa ações sp500 dinheiro economia rendafixa rendavariavel finanças consultoria assessoriafinanceira finanças educaçãofinanceira</t>
  </si>
  <si>
    <t>ibovespa bovespa dinheiro ações rendafixa rendavariavel finanças consultoria assessoriafinanceira educaçãofinanceira</t>
  </si>
  <si>
    <t>ibovespa bovespa dinheiro ações rendafixa consultoria assessoria rendavariavel finanças educaçãofinanceira</t>
  </si>
  <si>
    <t>ibovespa bovespa dinheiro fundodi aplicaçõesfinanceiras dolar economia rendafixa rendavariavel finanças consultoria assessoriafinanceira ações fundodi fundoimobiliario fundomultimercado finançaspessoais educaçãofinanceira</t>
  </si>
  <si>
    <t>ibovespa bovespa dinheiro rendafixa rendavariavel finanças consultoria assessoria ações economia finançaspessoais educaçãofinanceira</t>
  </si>
  <si>
    <t>ibovespa bovespa dinheiro rendafixa consultoria rendavariavel ações finanças</t>
  </si>
  <si>
    <t>ibovespa bovespa dinheiro rendafixa rendavariavel finanças consultoria assessoria ações economia finançaspessoais educaçãofinanceira fdi poupança fundoimobiliario</t>
  </si>
  <si>
    <t>ibovespa bovespa dinheiro fundodi ações economia finanças consultoria assessoriafinanceira finançaspessoais educaçãofinanceira fdi poupança fundoimobiliario fundomultimercado</t>
  </si>
  <si>
    <t>bovespa ibovespa ações dinheiro rendafixa rendavariavel fdi</t>
  </si>
  <si>
    <t>ibovespa bovespa dinheiro rendafixa consultoria rendavariavel fundomultimercado fundoimobiliario finanças economia ações finançaspessoais economia</t>
  </si>
  <si>
    <t>ibovespa bovespa dinheiro fundodi aplicaçõesfinanceiras ações economia finanças educaçãofinanceira rendafixa rendavariavel finanças consultoria assessoriafinanceira finançaspessoais</t>
  </si>
  <si>
    <t>ibovespa bovespa ações sp500 dinheiro economia finanças consultoria dolar bitcoin euro ouro imovel</t>
  </si>
  <si>
    <t>ibovespa bovespa ações sp500 dinheiro economia fundoimobiliario fundomultimercado rendafixa rendavariavel finanças consultoria assessoriafinanceira</t>
  </si>
  <si>
    <t>ibovespa bovespa ações sp500 dinheiro economia rendafixa rendavariavel finanças consultoria assessoriafinanceira educaçãofinanceira fundoimobiliario fundomultimercado finançaspessoais dolar bitcoin poupança</t>
  </si>
  <si>
    <t>ibovespa bovespa ações sp500 dinheiro economia investimento rendafixa rendavariavel finanças assessoriafinanceira fundoimobiliario fundomultimercado</t>
  </si>
  <si>
    <t>ibovespa bovespa ações sp500 dinheiro economia rendafixa rendavariavel finanças consultoria assessoriafinanceira investimento educaçãofinanceira</t>
  </si>
  <si>
    <t>ibovespa bovespa ações fdi dinheiro economia rendafixa rendavariavel finanças poupança multimercado</t>
  </si>
  <si>
    <t>ibovespa bovespa ações multimercado poupança economia dolar bitcoin imovel euro ouro</t>
  </si>
  <si>
    <t>ibovespa bovespa ações multimercado poupança economia dolar bitcoin imovel euro ouro fundo</t>
  </si>
  <si>
    <t>ibovespa ações</t>
  </si>
  <si>
    <t>federalreserve mercadofinanceiro investing money economia economy stocks ações trading bitcoin ibovespa nasdaq</t>
  </si>
  <si>
    <t>padrealvaro acoes</t>
  </si>
  <si>
    <t>institutoecovida coletivoecovida ong penhasc santacatarina piçarras barravelha navegantes trabalho ações luta juntosimpactamosvidas</t>
  </si>
  <si>
    <t>padtec mercadofinanceiro acoes</t>
  </si>
  <si>
    <t>ações governope pernambuco estadodemudança</t>
  </si>
  <si>
    <t>blogdojuares bjnews policiacivil pessoaidosa acoes violencia portoalegre</t>
  </si>
  <si>
    <t>infermeria acoes</t>
  </si>
  <si>
    <t>acoes infermeria simulacio</t>
  </si>
  <si>
    <t>lula governo brasil consolidação aperfeiçoamento proteção proteçãoambiental energialimpa ações novosprojetos relaçõesinternacionais cop2023 g20</t>
  </si>
  <si>
    <t>lula mercadofinanceiro bolsadevalores ações foralula taxar impostos</t>
  </si>
  <si>
    <t>investimento investir ações bolsadevalores mercadofinanceiro finanças comoinvestir inteligenciafinanceira</t>
  </si>
  <si>
    <t>inteligenciaartificial bdr etf bolsadevalores ações tecnologia ai investimentos comoinvestir financas educaçãofinanceira</t>
  </si>
  <si>
    <t>dividendos proventos lucro investir bolsadevalores investimentos comoinvestir finanças ações educaçãofinanceira</t>
  </si>
  <si>
    <t>investimento comoinvestir educaçãofinanceira poupança inteligenciafinanceira dividendos investir dicasfinanceiras finançaspessoais riqueza ações</t>
  </si>
  <si>
    <t>dividendos proventos lucro bonificação investir bolsadevalores investimentos comoinvestir finanças ações educaçãofinanceira</t>
  </si>
  <si>
    <t>lula podcast novo tvpt presidente ações</t>
  </si>
  <si>
    <t>positivo foco bonspensamentos ações resultados excelencia determinação</t>
  </si>
  <si>
    <t>carteira investimentos fii ações</t>
  </si>
  <si>
    <t>fiis fiagro ações investimentos</t>
  </si>
  <si>
    <t>enquete investimentos ações mercadofinanceiro</t>
  </si>
  <si>
    <t>braskem brkm5 b3 acoes stock</t>
  </si>
  <si>
    <t>gbpjpy daytrader investimento trading mercado ações indices estratégias conhecimento aprendizado retorno curtoprazo volatilidade disciplina planejamento especialistaseminvestimentos</t>
  </si>
  <si>
    <t>ações cessem</t>
  </si>
  <si>
    <t>agostolilás violênciacontraamulher ações</t>
  </si>
  <si>
    <t>totvs tots3 ações</t>
  </si>
  <si>
    <t>ações bolsadevalores ibovespa mglu3</t>
  </si>
  <si>
    <t>ciel3 cielo ações</t>
  </si>
  <si>
    <t>acoes bovespa bdr nubr3 investidoraanalfabeta socorro</t>
  </si>
  <si>
    <t>maissuperior missão ações ensinosuperior politécnico</t>
  </si>
  <si>
    <t>volévida mercado mercafofinanceiro ações</t>
  </si>
  <si>
    <t>selic opcoes opcoescall mercadofinanceiro acoes viainvestimento</t>
  </si>
  <si>
    <t>mercado ativos açoes carrefour trader bolsa</t>
  </si>
  <si>
    <t>energia mercado bolsa aesbrasil acoes trader</t>
  </si>
  <si>
    <t>funnybet funnybetbrasil bet brasil slots jogo win bigwin chellenge aces casino casinoonline betting lucros casinò rendaextra jogosonline palpites brasil independenciafinanceira ações rendafixa dinheiro</t>
  </si>
  <si>
    <t>funnybet funnybetbrasil bet brasil slots jogo win bigwin chellenge aces casino casinoonline betting lucros casinò rendaextra jogosonline palpites brasil independenciafinanceira ações rendafixa</t>
  </si>
  <si>
    <t>funnybet funnybetbrasil bet brasil slots jogo win bigwin chellenge aces casino casinoonline betting lucros casinò rendaextra jogosonline palpites brasil independenciafinanceira ações rendafixa dinheiro milionário aposta roboinvestidor dinheiroextra</t>
  </si>
  <si>
    <t>informação resumo destaque mensal ações</t>
  </si>
  <si>
    <t>proventos ações fiis mercadodeações educaçãofinanceira controledeinvestimentos</t>
  </si>
  <si>
    <t>investimentos bullmarket fiis ações planejamentofinanceiro moprify mercadofinanceiro controledeinvestimentos</t>
  </si>
  <si>
    <t>investimentos fiis acoes yoc irpf</t>
  </si>
  <si>
    <t>samirnews bolhadev warren buffet vende todas as suas ações da tsmc</t>
  </si>
  <si>
    <t>samirnews bolhadev ações que podem fazer o carregador aquecer além do normal</t>
  </si>
  <si>
    <t>smashup smashupbrasil smashupbet smash bet brasil slots jogo win bigwin chellenge aces casino casinoonline betting lucros casinò rendaextra jogosonline palpites brasil independenciafinanceira ações rendafixa dinheiro milionário aposta roboinvestidor</t>
  </si>
  <si>
    <t>smashup smashupbrasil smashupbet smash bet brasil slots jogo win bigwin chellenge aces casino casinoonline betting lucros casinò rendaextra jogosonline palpites brasil independenciafinanceira ações rendafixa</t>
  </si>
  <si>
    <t>smashup smashupbrasil smashupbet smash bet brasil slots jogo win bigwin chellenge aces casino casinoonline betting lucros casinò rendaextra jogosonline palpites brasil independenciafinanceira ações rendafixa dinheiro milionário</t>
  </si>
  <si>
    <t>smashup smashupbrasil smashupbet smash bet brasil slots jogo win bigwin chellenge aces casino casinoonline betting lucros casinò rendaextra jogosonline palpites brasil independenciafinanceira ações rendafixa dinheiro</t>
  </si>
  <si>
    <t>smashup smashupbrasil smashupbet smash bet brasil slots jogo win bigwin chellenge aces casino casinoonline betting lucros casinò rendaextra jogosonline palpites brasil independenciafinanceira ações</t>
  </si>
  <si>
    <t>smashup smashupbrasil smashupbet smash bet brasil slots jogo win bigwin chellenge aces casino casinoonline betting lucros casinò rendaextra jogosonline palpites brasil independenciafinanceira ações rendafixa dinheiro milionário aposta roboinvestidor231</t>
  </si>
  <si>
    <t>money ações desempenho</t>
  </si>
  <si>
    <t>investimentos vale forbes ações investir</t>
  </si>
  <si>
    <t>bilionários ações</t>
  </si>
  <si>
    <t>ações empresas</t>
  </si>
  <si>
    <t>investimento poupança ações investir finanças comoinvestir borjaonstocks independenciafinanceira financeiramenteindependente</t>
  </si>
  <si>
    <t>investimento poupança ações investir finanças comoinvestir borjaonstocks</t>
  </si>
  <si>
    <t>disney ações</t>
  </si>
  <si>
    <t>investimento emprendedor ações</t>
  </si>
  <si>
    <t>carteirasemanal investimentos sonartrade oportunidades ações</t>
  </si>
  <si>
    <t>mercadofinanceiro ações criptomoedas bitcoin antifragil investimentos</t>
  </si>
  <si>
    <t>opcoes b3 acoes bolsadevalores</t>
  </si>
  <si>
    <t>mercadofinanceiro acoes opcoes</t>
  </si>
  <si>
    <t>netfliix streaming empresas acoes wallstreet mercado empregos twitter redessociais</t>
  </si>
  <si>
    <t>futebol finanças negócios saf ações</t>
  </si>
  <si>
    <t>multiplicar roleta cassino roleta investimentoimobiliário acoes vidafinanceira daytraders</t>
  </si>
  <si>
    <t>investimentos rendavariavel fll fiagros acoes agro imovel</t>
  </si>
  <si>
    <t>ações autofala</t>
  </si>
  <si>
    <t>btc ethereum mercado ações inflation</t>
  </si>
  <si>
    <t>leandroamaraljornalista tarcisiogovernador tarcisio cracolandia prejuizo centro sp acoes</t>
  </si>
  <si>
    <t>estudantes defender climática ações temática</t>
  </si>
  <si>
    <t>carteira acoes renda</t>
  </si>
  <si>
    <t>simh3 simpar acoes</t>
  </si>
  <si>
    <t>investir dinheiro ações investimento</t>
  </si>
  <si>
    <t>ações investir investimentos dolar</t>
  </si>
  <si>
    <t>investir ações dolar exterior</t>
  </si>
  <si>
    <t>ações investir dinheiro investimento</t>
  </si>
  <si>
    <t>investir ações dinheiro investimento</t>
  </si>
  <si>
    <t>ações investir investimento dinheiro</t>
  </si>
  <si>
    <t>investir dinheiro ações investimentos</t>
  </si>
  <si>
    <t>investir ações bolsadevalores dolar</t>
  </si>
  <si>
    <t>ações investir dinheiro</t>
  </si>
  <si>
    <t>investir ações investimento dinheiro</t>
  </si>
  <si>
    <t>ações superquant</t>
  </si>
  <si>
    <t>política politicos bolsonaro ações justiça</t>
  </si>
  <si>
    <t>impostoderenda irpf acoes criptomoedas</t>
  </si>
  <si>
    <t>empresas ações mercado leiamoneytimes</t>
  </si>
  <si>
    <t>shortselling acoes bolsadevalores daytrading</t>
  </si>
  <si>
    <t>andrecharao andrecharão conhecimento ações entidades mobilização advertência prevenção fofoqueiros falador menriroso cuidadasuavida</t>
  </si>
  <si>
    <t>ibovespa opções ações</t>
  </si>
  <si>
    <t>tecnologia ações</t>
  </si>
  <si>
    <t>tecnobarca bailique acoes meioambiente</t>
  </si>
  <si>
    <t>2mv nelogica finanças dinheiro ações investimentos renda daytrade</t>
  </si>
  <si>
    <t>2mv nelogica daytrade finanças dinheiro ações investimentos negócios renda</t>
  </si>
  <si>
    <t>2mv nelogica daytrade finanças dinheiro ações</t>
  </si>
  <si>
    <t>ações activision activision blizzard microsoft sony</t>
  </si>
  <si>
    <t>ações criptoativos criptomoedas</t>
  </si>
  <si>
    <t>ações brf marfrig frigoríficos</t>
  </si>
  <si>
    <t>ações investimentos barsi luizbarsi</t>
  </si>
  <si>
    <t>acoes fiis bolsa bolsadevalores dividendos investimentos ativo rendapassiva renda corretora b3 educacaofinanceira milhas rendavariavel jcp proventos bbdc4 bbdc3 bradesco</t>
  </si>
  <si>
    <t>açao b3 finanças finance fii fundosimobiliarios fundoimobiliario ações investir investidor fiis brasil rendavariavel açoes rendafixa investimento</t>
  </si>
  <si>
    <t>investimentos investing ações stocks fiis</t>
  </si>
  <si>
    <t>deveres direitos ações comoumtodo</t>
  </si>
  <si>
    <t>acoes diadasmaes endomarketing dicas institutoexito</t>
  </si>
  <si>
    <t>fronteiras sindifisconacional ações</t>
  </si>
  <si>
    <t>ações violência semanas cabeças ruas segurança joalheria explosivos dezenas pessoas assassinato diretor hospital</t>
  </si>
  <si>
    <t>fbi investigação juanguaidó leopoldolópez partido extrema_direita voluntadpopular laranjas ações citgo venda</t>
  </si>
  <si>
    <t>bolsonaristas mira justiçaeleitoral ações candidaturas_laranjas bolsonaristas mandato legislação candidaturas reservadas mulheres</t>
  </si>
  <si>
    <t>ibovespa ações b3</t>
  </si>
  <si>
    <t>ibovespa mercado ações</t>
  </si>
  <si>
    <t>ibovespa b3 ações</t>
  </si>
  <si>
    <t>investimentos ações mercadodeações diversificação estratégia financeiro bolsadevalores sucessofinanceiro</t>
  </si>
  <si>
    <t>investimentos ações estratégia diversificação rnainvest</t>
  </si>
  <si>
    <t>investimentos ações</t>
  </si>
  <si>
    <t>investimentos ações finanças rnainvest</t>
  </si>
  <si>
    <t>investimentos ações xpinvestimentos longoprazo</t>
  </si>
  <si>
    <t>investimentos ações sucessofinanceiro rnainvest guiadeinvestimentos</t>
  </si>
  <si>
    <t>ufpe erer relaçõesétinicoraciais etnia racial diversidade iniciativas ações núcleos estudo universidade</t>
  </si>
  <si>
    <t>ufpe núcleos universidade lgbti nlgbt diversidade união iniciativas ações orgulho mesdoorgulho</t>
  </si>
  <si>
    <t>investir investimento acoes criptomoneda btc eth</t>
  </si>
  <si>
    <t>omvestimemtps acoes criptomonedas btcusd</t>
  </si>
  <si>
    <t>proventos fiis ações</t>
  </si>
  <si>
    <t>ações cogn3 oi</t>
  </si>
  <si>
    <t>proventos ações fiis</t>
  </si>
  <si>
    <t>acoes fiis</t>
  </si>
  <si>
    <t>mercadodecapitais debêntures ações cras</t>
  </si>
  <si>
    <t>luizbarsi acoes dividendos</t>
  </si>
  <si>
    <t>cdi acoes fiis proventos</t>
  </si>
  <si>
    <t>aporte ações fiis proventos</t>
  </si>
  <si>
    <t>aporte acoes fiis fiagro proventos</t>
  </si>
  <si>
    <t>acoes dividendos</t>
  </si>
  <si>
    <t>análisegráfica ações</t>
  </si>
  <si>
    <t>ações bolsa</t>
  </si>
  <si>
    <t>bolsa b3 açoes fiis etfs europa beasil</t>
  </si>
  <si>
    <t>obras araquari ações saúde</t>
  </si>
  <si>
    <t>maiofurtacor acoes campanha</t>
  </si>
  <si>
    <t>acoes educacaofinanceira palestras</t>
  </si>
  <si>
    <t>meioambiente preservacao acoes conservacao</t>
  </si>
  <si>
    <t>turismo acoes estimulo desenvolvimento</t>
  </si>
  <si>
    <t>maiolaranja acoes combateaviolencia</t>
  </si>
  <si>
    <t>acoes projetos tramites politica</t>
  </si>
  <si>
    <t>campanha maiofurtacor acoes</t>
  </si>
  <si>
    <t>parquedasaves acoes pegadaecologica fozdoiguacu animais</t>
  </si>
  <si>
    <t>acoes implantacao centrodeconvivencia idoso</t>
  </si>
  <si>
    <t>enioverri acoes socioambientais aulamagna unifoz educacao fozdoiguacu parana</t>
  </si>
  <si>
    <t>projetorondon academicos rondonia parana acoes</t>
  </si>
  <si>
    <t>meioambiente diamundial acoes junhoverde</t>
  </si>
  <si>
    <t>feiraodoimposto acoes tributos</t>
  </si>
  <si>
    <t>acoes agostoazul assischateaubriand parana saude</t>
  </si>
  <si>
    <t>inverno assistenciasocial acoes casadepassagem toledo</t>
  </si>
  <si>
    <t>reflexo ações falas</t>
  </si>
  <si>
    <t>investment investimentos ações</t>
  </si>
  <si>
    <t>investimentos ações finanças guiacompleto</t>
  </si>
  <si>
    <t>ações investimento</t>
  </si>
  <si>
    <t>petr4 petrobras dividendos ações petr4</t>
  </si>
  <si>
    <t>bolsadevalores ações ibovespa investir</t>
  </si>
  <si>
    <t>btc correlação cripto ações</t>
  </si>
  <si>
    <t>pgema agendapge justiçaesegurançapública ações investimentosma</t>
  </si>
  <si>
    <t>mercadofinanceiro ações fundosimobiliários investir rendapassiva</t>
  </si>
  <si>
    <t>finanças ações ouro</t>
  </si>
  <si>
    <t>nubank nucoin nucoins ações nuinvest investimentos rendavariavel</t>
  </si>
  <si>
    <t>mrfg3 ações</t>
  </si>
  <si>
    <t>fundosimobiliários investimento ações analisefundamentalista 1t23 tasa3 mxrf11 fii</t>
  </si>
  <si>
    <t>fundosimobiliários ações analisefundamentalista vvcr11</t>
  </si>
  <si>
    <t>fundosimobiliários ações analisefundamentalista hglg11 fii</t>
  </si>
  <si>
    <t>fundosimobiliários ações analisefundamentalista hslg11 fii</t>
  </si>
  <si>
    <t>fundosimobiliários ações analisefundamentalista hgbs11 fiis</t>
  </si>
  <si>
    <t>fundosimobiliários ações analisefundamentalista galg11 fiis</t>
  </si>
  <si>
    <t>fundosimobiliários ações analisefundamentalista xpml11 fii</t>
  </si>
  <si>
    <t>cash3 ações meliuz</t>
  </si>
  <si>
    <t>tasa3 ações</t>
  </si>
  <si>
    <t>fundosimobiliários ações analisefundamentalista visc11</t>
  </si>
  <si>
    <t>fundosimobiliários ações analisefundamentalista mxrf11 deva11</t>
  </si>
  <si>
    <t>fundosimobiliários ações analisefundamentalista aiec11 fii</t>
  </si>
  <si>
    <t>fundosimobiliários ações analisefundamentalista rzak11 fii</t>
  </si>
  <si>
    <t>fundosimobiliários investimento ações analisefundamentalista bbfi11b fii</t>
  </si>
  <si>
    <t>fundosimobiliários investimento ações analisefundamentalista 1t23 aiec11 fiis</t>
  </si>
  <si>
    <t>mlas3 ações</t>
  </si>
  <si>
    <t>fundosimobiliários ações analisefundamentalista trxf11</t>
  </si>
  <si>
    <t>fundosimobiliários ações analisefundamentalista xpml11</t>
  </si>
  <si>
    <t>fundosimobiliários ações analisefundamentalista deva11 fii</t>
  </si>
  <si>
    <t>fundosimobiliários ações analisefundamentalista hglg11 fiis</t>
  </si>
  <si>
    <t>fundosimobiliários investimento ações analisefundamentalista 1t23 tasa3 vslh11 fii</t>
  </si>
  <si>
    <t>sapr4 ações</t>
  </si>
  <si>
    <t>fundosimobiliários ações analisefundamentalista jppa11 fii</t>
  </si>
  <si>
    <t>fundosimobiliários ações analisefundamentalista klbn11</t>
  </si>
  <si>
    <t>fundosimobiliários ações analisefundamentalista knri11 fii</t>
  </si>
  <si>
    <t>fundosimobiliários ações analisefundamentalista</t>
  </si>
  <si>
    <t>fundosimobiliários ações analisefundamentalista mxrf11</t>
  </si>
  <si>
    <t>fundosimobiliários ações analisefundamentalista aiec11</t>
  </si>
  <si>
    <t>fundosimobiliários ações analisefundamentalista visc11 fii</t>
  </si>
  <si>
    <t>cash3 ações oracle orcl orcl34</t>
  </si>
  <si>
    <t>fundosimobiliários ações analisefundamentalista bbas3</t>
  </si>
  <si>
    <t>ações bolsadevalores ibovespa vale3</t>
  </si>
  <si>
    <t>fundosimobiliários ações analisefundamentalista facilitandooinvestidor</t>
  </si>
  <si>
    <t>lwsa3 ações</t>
  </si>
  <si>
    <t>fundosimobiliários ações analisefundamentalista kepl3</t>
  </si>
  <si>
    <t>fundosimobiliários ações analisefundamentalista bbfi11b</t>
  </si>
  <si>
    <t>fundosimobiliários ações analisefundamentalista cprt11 fiis</t>
  </si>
  <si>
    <t>fundosimobiliários investimento ações analisefundamentalista rdpd11 fii</t>
  </si>
  <si>
    <t>fundosimobiliários investimento ações analisefundamentalista 1t23 galg11 fii</t>
  </si>
  <si>
    <t>msft msft34 ações</t>
  </si>
  <si>
    <t>mglu3 ações</t>
  </si>
  <si>
    <t>petr4 petr3 ações</t>
  </si>
  <si>
    <t>fundosimobiliários ações analisefundamentalista galg11 fii</t>
  </si>
  <si>
    <t>fundosimobiliários ações analisefundamentalista vvcr11 fii</t>
  </si>
  <si>
    <t>fundosimobiliários ações analisefundamentalista hctr11 fii</t>
  </si>
  <si>
    <t>fundosimobiliários ações analisefundamentalista bbfi11b fii</t>
  </si>
  <si>
    <t>unip6 ações</t>
  </si>
  <si>
    <t>fundosimobiliários investimento ações analisefundamentalista 1t23 kisu11</t>
  </si>
  <si>
    <t>papofácil netsecurity segurança informação proteção serviços gerenciados soc ações prevenção ameaças lgpd iso27001 integração</t>
  </si>
  <si>
    <t>morningshow ações bolsonaro tse</t>
  </si>
  <si>
    <t>saopaulo cracolandia humanidade ações inteligencia</t>
  </si>
  <si>
    <t>mesdejulho ações fazendoacontecer</t>
  </si>
  <si>
    <t>objetivos foco oportunidades ações sonhos</t>
  </si>
  <si>
    <t>bees3 valeapenacomprar acoes bolsadevalores</t>
  </si>
  <si>
    <t>acoes cielo mercado</t>
  </si>
  <si>
    <t>sergipe sergipeéaqui serviços ações governo</t>
  </si>
  <si>
    <t>pacientes regional marabá ações educativas dolcarajas</t>
  </si>
  <si>
    <t>dinheiro economia finanças financeiro b3 ibovespa rendavariavel rendafixa ações ativos</t>
  </si>
  <si>
    <t>investimentos santanderbrasil bolsadevalores equities acoes</t>
  </si>
  <si>
    <t>diáriodetrades pomo4</t>
  </si>
  <si>
    <t>pomo4 tradeencerrado ações marcopolo</t>
  </si>
  <si>
    <t>ações cartãodecrédito federalreserve inflação mercados wallstreet</t>
  </si>
  <si>
    <t>ações cvcbrasil ibovespa mercados</t>
  </si>
  <si>
    <t>ações amazon arm empresas ipo mercados softbank</t>
  </si>
  <si>
    <t>investimentos ações selic</t>
  </si>
  <si>
    <t>ações alphabet apple empresas eua facebook intel mercados meta microsoft</t>
  </si>
  <si>
    <t>ações dowjones mercados nasdaq sp500 tecnologia wallstreet</t>
  </si>
  <si>
    <t>ações ibovespa mercados</t>
  </si>
  <si>
    <t>ações bancocentraleuropeu europa mercados tecnologia</t>
  </si>
  <si>
    <t>ações empresas mercados xp</t>
  </si>
  <si>
    <t>ações empresas itaúunibanco itaúsa mercados</t>
  </si>
  <si>
    <t>investimentos ações genial</t>
  </si>
  <si>
    <t>mercados ações ibovespa</t>
  </si>
  <si>
    <t>ações cripto robinhood</t>
  </si>
  <si>
    <t>bolsas europa ações</t>
  </si>
  <si>
    <t>mercados ações china</t>
  </si>
  <si>
    <t>mercados petrobras dividendos bankofamerica ações</t>
  </si>
  <si>
    <t>mercados ações stockoptions</t>
  </si>
  <si>
    <t>ações china mercados</t>
  </si>
  <si>
    <t>ações bancocentral copom eletrobras ibovespa itaúunibanco mercados</t>
  </si>
  <si>
    <t>ações dowjones mercados nasdaq sp500 wallstreet</t>
  </si>
  <si>
    <t>ações bbseguridade copom ibovespa mercados</t>
  </si>
  <si>
    <t>ações china</t>
  </si>
  <si>
    <t>ações europa mercados</t>
  </si>
  <si>
    <t>ações ibovespa mercados petrobras</t>
  </si>
  <si>
    <t>ações empresas europa mercados roche</t>
  </si>
  <si>
    <t>ações ibovespa mercados vale</t>
  </si>
  <si>
    <t>ações eua mercados wallstreet</t>
  </si>
  <si>
    <t>ações eletrobras ibovespa mercados petrobras</t>
  </si>
  <si>
    <t>ações bradesco eua ibovespa mercados petrobras</t>
  </si>
  <si>
    <t>mercados ações</t>
  </si>
  <si>
    <t>2wecobank ações btgpactual ipo itaúbba mercados santander</t>
  </si>
  <si>
    <t>ações federalreserve mercados wallstreet</t>
  </si>
  <si>
    <t>acoes mercados</t>
  </si>
  <si>
    <t>ações arm empresas mercados</t>
  </si>
  <si>
    <t>ações casabahia</t>
  </si>
  <si>
    <t>alibaba ações ceo ipo</t>
  </si>
  <si>
    <t>bancos ubs ações</t>
  </si>
  <si>
    <t>apple ações mercados</t>
  </si>
  <si>
    <t>ações b3 empresas nasdaq</t>
  </si>
  <si>
    <t>ações bradescobbi btgpactual construçãocivil empresa plano setorimobiliário xpinvestimentos</t>
  </si>
  <si>
    <t>ações dowjones mercados nasdaq sp wallstreet</t>
  </si>
  <si>
    <t>ações azul gruposoma hapvida ibovespa mercados rededor vale</t>
  </si>
  <si>
    <t>acoes açougue acre acupuntura acupunturista adamantina adubacao aeromoca aes agenda agilidade agricultura</t>
  </si>
  <si>
    <t>ações investidor mercadofinanceiro</t>
  </si>
  <si>
    <t>ações mercadofinanceiro dinheiro pobreza</t>
  </si>
  <si>
    <t>ações mercadofinanceiro</t>
  </si>
  <si>
    <t>ações fomc fed</t>
  </si>
  <si>
    <t>binance investimento investidor finanças mercado ações bolsadevalores investir dinheiro renda negócios</t>
  </si>
  <si>
    <t>economia investimentos dinheiro mercadofinanceiro frasedodia pensamentos financas educaçãofinanceira comportamento bolsadevalores acoes xp finanças peterlynch</t>
  </si>
  <si>
    <t>ciel3 asai3 rrrp3 acoes</t>
  </si>
  <si>
    <t>cvcb3 goll4 dxco3 acoes</t>
  </si>
  <si>
    <t>brkm5 bbse3 raiz4 acoes</t>
  </si>
  <si>
    <t>eztc3 klbn11 goll4 acoes</t>
  </si>
  <si>
    <t>vbbr3 petz3 bpan4 acoes</t>
  </si>
  <si>
    <t>suzb3 radl3 hapv3 acoes</t>
  </si>
  <si>
    <t>ações crfb3 bbdc4 embr3</t>
  </si>
  <si>
    <t>ações dxco3 brfs3 lren3</t>
  </si>
  <si>
    <t>igti11 dxco3 rrrp3 acoes</t>
  </si>
  <si>
    <t>cvcb3 goll4 petr4 acoes</t>
  </si>
  <si>
    <t>cvcb3 dxco3 brfs3 acoes</t>
  </si>
  <si>
    <t>petz3 cash3 bbse3 acoes</t>
  </si>
  <si>
    <t>slce3 igti11 jbss3 acoes</t>
  </si>
  <si>
    <t>alpa4 crfb3 brfs3 acoes</t>
  </si>
  <si>
    <t>b3 mrfg3 movi3 viia3 cvcb3 eztc3 ações</t>
  </si>
  <si>
    <t>ações viia3 irbr3 alpa4</t>
  </si>
  <si>
    <t>ações cvcb3 dxco3 cmin3</t>
  </si>
  <si>
    <t>ações rdor3 wege3 arzz3</t>
  </si>
  <si>
    <t>ações mglu3 crfb3 petz3</t>
  </si>
  <si>
    <t>ações cvcb3 petz3 azul4</t>
  </si>
  <si>
    <t>ações viia3 smto3 rail3</t>
  </si>
  <si>
    <t>irbr3 azul4 cmin3 acoes</t>
  </si>
  <si>
    <t>enev3 yduq3 crfb3 acoes</t>
  </si>
  <si>
    <t>prio3 ciel3 smto3 acoes</t>
  </si>
  <si>
    <t>asai3 crfb3 azul4 acoes</t>
  </si>
  <si>
    <t>ciel3 mrve3 brkm5 acoes</t>
  </si>
  <si>
    <t>alpa4 azul4 cogn3 acoes</t>
  </si>
  <si>
    <t>asai3 embr3 cmig4 acoes</t>
  </si>
  <si>
    <t>brkm5 petz3 alpa4 acoes</t>
  </si>
  <si>
    <t>embr3 csna3 crfb3 acoes</t>
  </si>
  <si>
    <t>ugpa3 dxco3 mglu3 acoes</t>
  </si>
  <si>
    <t>crfb3 irbr3 arzz3 acoes</t>
  </si>
  <si>
    <t>goll4 dxco3 azul4 acoes</t>
  </si>
  <si>
    <t>b3 movi3 cvcb3 mrfg3 viia3 rrrp3 ações</t>
  </si>
  <si>
    <t>ações vamo3 cvcb3 irbr3</t>
  </si>
  <si>
    <t>ações brkm5 viia3 yduq3</t>
  </si>
  <si>
    <t>b3 movi3 mrfg3 cvcb3 viia3 rrrp3 ações</t>
  </si>
  <si>
    <t>ações mglu3 yduq3 viia3</t>
  </si>
  <si>
    <t>ações beef3 cash3 irbr3</t>
  </si>
  <si>
    <t>b3 mrfg3 movi3 cvcb3 viia3 eztc3 ações</t>
  </si>
  <si>
    <t>ações pcar3 cvcb3 mrve3</t>
  </si>
  <si>
    <t>ações smto3 slce3 raiz4</t>
  </si>
  <si>
    <t>ações viia3 smto3 mglu3</t>
  </si>
  <si>
    <t>ações ciel3 elet3 beef3</t>
  </si>
  <si>
    <t>ações petz3 dxco3 cash3</t>
  </si>
  <si>
    <t>ações hapv3 yduq3 alpa4</t>
  </si>
  <si>
    <t>ações enbr3 bbse3 embr3</t>
  </si>
  <si>
    <t>prio3 sanb11 hapv3 acoes</t>
  </si>
  <si>
    <t>brkm5 asai3 lren3 acoes</t>
  </si>
  <si>
    <t>asai3 tims3 cpfe3 acoes</t>
  </si>
  <si>
    <t>cvcb3 brfs3 mrfg3 acoes</t>
  </si>
  <si>
    <t>cvcb3 csna3 petz3 acoes</t>
  </si>
  <si>
    <t>irbr3 hapv3 raiz4 acoes</t>
  </si>
  <si>
    <t>vbbr3 brfs3 flry3 acoes</t>
  </si>
  <si>
    <t>cvcb3 cogn3 eztc3 acoes</t>
  </si>
  <si>
    <t>elet6 lwsa3 sbsp3 acoes</t>
  </si>
  <si>
    <t>goll4 brfs3 hapv3 acoes</t>
  </si>
  <si>
    <t>petz3 pcar3 sbsp3 acoes</t>
  </si>
  <si>
    <t>rrrp3 mrve3 soma3 acoes</t>
  </si>
  <si>
    <t>ações azul4 cvcb3 goll4</t>
  </si>
  <si>
    <t>ações cash3 irbr3 mrfg3</t>
  </si>
  <si>
    <t>ações irbr3 crfb3 yduq3</t>
  </si>
  <si>
    <t>ações petz3 mglu3 cmig4</t>
  </si>
  <si>
    <t>ações yduq3 viia3 petz3</t>
  </si>
  <si>
    <t>ações alpa4 suzb3 cpfe3</t>
  </si>
  <si>
    <t>engi11 jbss3 tims3 acoes</t>
  </si>
  <si>
    <t>lwsa3 cvcb3 b3sa3 acoes</t>
  </si>
  <si>
    <t>jbss3 eztc3 brkm5 acoes</t>
  </si>
  <si>
    <t>lwsa3 sbsp3 petr3 acoes</t>
  </si>
  <si>
    <t>ações suzb3 sbsp3 ntco3</t>
  </si>
  <si>
    <t>ações mrfg3 viia3 hapv3</t>
  </si>
  <si>
    <t>fiis fiagros ações bdrs etfs</t>
  </si>
  <si>
    <t>b3 cvcb3 movi3 viia3 rrrp3 mrfg3 ações</t>
  </si>
  <si>
    <t>b3 movi3 cvcb3 petz3 mrfg3 rrrp3 ações</t>
  </si>
  <si>
    <t>ações brkm5 petz3 mrfg3</t>
  </si>
  <si>
    <t>ações eztc3 pcar3 cmin3</t>
  </si>
  <si>
    <t>b3 movi3 cvcb3 viia3 mrfg3 rrrp3 ações</t>
  </si>
  <si>
    <t>ações viia3 cvcb3 recv3</t>
  </si>
  <si>
    <t>ações petr3 asai3 raiz4</t>
  </si>
  <si>
    <t>ações beef3 pcar3 petz3</t>
  </si>
  <si>
    <t>ações mrfg3 cvcb3 lwsa3</t>
  </si>
  <si>
    <t>ações pcar3 viia3 cash3</t>
  </si>
  <si>
    <t>ações beef3 mrfg3 itub4</t>
  </si>
  <si>
    <t>ações lwsa3 soma3 azul4</t>
  </si>
  <si>
    <t>ações soma3 rrrp3 rdor3</t>
  </si>
  <si>
    <t>ações azul4 brkm5 goll4</t>
  </si>
  <si>
    <t>cmin3 alpa4 lren3 acoes</t>
  </si>
  <si>
    <t>yduq3 brfs3 azul4 acoes</t>
  </si>
  <si>
    <t>ciel3 ggbr4 jbss3 acoes</t>
  </si>
  <si>
    <t>yduq3 cogn3 mrve3 acoes</t>
  </si>
  <si>
    <t>raiz4 yduq3 tims3 acoes</t>
  </si>
  <si>
    <t>ntco3 mglu3 irbr3 acoes</t>
  </si>
  <si>
    <t>ações cvcb3 wege3 irbr3</t>
  </si>
  <si>
    <t>ações brfs3 crfb3 radl3</t>
  </si>
  <si>
    <t>ações brkm5 yduq3 brfs3</t>
  </si>
  <si>
    <t>ações mrfg3 petz3 crfb3</t>
  </si>
  <si>
    <t>ações irbr3 vbbr3 eztc3</t>
  </si>
  <si>
    <t>ações goll4 azul4 petz3</t>
  </si>
  <si>
    <t>ações vbbr3 brfs3 ntco3</t>
  </si>
  <si>
    <t>viia3 mglu3 tots3 acoes</t>
  </si>
  <si>
    <t>csan3 csna3 cmin3 acoes</t>
  </si>
  <si>
    <t>irbr3 beef3 petr4 acoes</t>
  </si>
  <si>
    <t>azul4 lren3 goll4 acoes</t>
  </si>
  <si>
    <t>mglu3 brfs3 rrrp3 acoes</t>
  </si>
  <si>
    <t>hapv3 rdor3 raiz4 acoes</t>
  </si>
  <si>
    <t>ações goll4 recv3 petr3</t>
  </si>
  <si>
    <t>b3 vale3 engi11</t>
  </si>
  <si>
    <t>b3 cvcb3 movi3</t>
  </si>
  <si>
    <t>b3 viia3 cvcb3</t>
  </si>
  <si>
    <t>ações azul4 goll4 soma3</t>
  </si>
  <si>
    <t>ações raiz4 alpa4 irbr3</t>
  </si>
  <si>
    <t>ações pcar3 viia3 brfs3</t>
  </si>
  <si>
    <t>ações smto3 elet3 elet6</t>
  </si>
  <si>
    <t>ações ntco3 hapv3 alpa4</t>
  </si>
  <si>
    <t>ações irbr3 mglu3 viia3</t>
  </si>
  <si>
    <t>enev3 asai3 pcar3 acoes</t>
  </si>
  <si>
    <t>cvcb3 yduq3 ntco3 acoes</t>
  </si>
  <si>
    <t>cogn3 azul4 goll4 acoes</t>
  </si>
  <si>
    <t>mrve3 raiz4 mrfg3 acoes</t>
  </si>
  <si>
    <t>ações bdrs etfs itub4</t>
  </si>
  <si>
    <t>notícias ações avisos confidenciais gmail</t>
  </si>
  <si>
    <t>ações fundosimobiliarios fii fiis rendavariavel alugueldeações alugueldeação emprestimodeativo emprestimosdeativos reembolsosdeativos proventos dividentos b3</t>
  </si>
  <si>
    <t>fiis fundosimobiliarios ações ibovespa dividendos</t>
  </si>
  <si>
    <t>ações investimentos lren3 mglu3 vvar3 inbr32 mrve3 lpsb3</t>
  </si>
  <si>
    <t>ações b3 ibovespa ibov</t>
  </si>
  <si>
    <t>ações clear</t>
  </si>
  <si>
    <t>vale3 dividendos vale ações</t>
  </si>
  <si>
    <t>investidor bolsadevalores ações</t>
  </si>
  <si>
    <t>mercadofinanceiro investimentos acoes</t>
  </si>
  <si>
    <t>mercadofinanceiro ações investimentos</t>
  </si>
  <si>
    <t>bolsa ações</t>
  </si>
  <si>
    <t>ações fiis addinn trademap</t>
  </si>
  <si>
    <t>ações apple amazon alphabet meta microsoft trademap</t>
  </si>
  <si>
    <t>site ações</t>
  </si>
  <si>
    <t>ações diferença planejamento prática sucesso realização sonhos avançar motivação</t>
  </si>
  <si>
    <t>procrastinação medo progresso ações consistência objetivos desafios crescimento confiança sonhos ação procrastinação</t>
  </si>
  <si>
    <t>sejacoerente ações caráter valores inspiração motivação autenticidade íntegro fazeradiferença legado exemplo sejalembrado açõesfalammais façaacontecer inspiração legado</t>
  </si>
  <si>
    <t>twitter meta ações threads</t>
  </si>
  <si>
    <t>ofertapublica ações mrv b3</t>
  </si>
  <si>
    <t>irb açoes prejuizo</t>
  </si>
  <si>
    <t>azul açoes divida</t>
  </si>
  <si>
    <t>sinqia evertec açoes</t>
  </si>
  <si>
    <t>brf followon açoes</t>
  </si>
  <si>
    <t>jbs açoes listagemdupla</t>
  </si>
  <si>
    <t>ações rendavariavel b3 ibovespa</t>
  </si>
  <si>
    <t>acoes carteira fintwit</t>
  </si>
  <si>
    <t>btc bonds açoes</t>
  </si>
  <si>
    <t>investimento ações finanças</t>
  </si>
  <si>
    <t>bbas3 ações dividendos</t>
  </si>
  <si>
    <t>dividendos ações tims3 itub4 itub3 bbdc4</t>
  </si>
  <si>
    <t>ações investimentos dividendos</t>
  </si>
  <si>
    <t>bradesco ações bbdc4 bbdc3</t>
  </si>
  <si>
    <t>ações dividendos barsi</t>
  </si>
  <si>
    <t>ações inves cielo3</t>
  </si>
  <si>
    <t>ações borderlands gaming</t>
  </si>
  <si>
    <t>revistagc revista_gc sobratema brasil presidente estatal ações estaleiros embarcações transpetro petrobras</t>
  </si>
  <si>
    <t>revistagc revista_gc sobratema brasil apat acessórios ações riscos ambientedetrabalho observatório saúde trabalho acidentes</t>
  </si>
  <si>
    <t>proeducacional mercadofinanceiro bolsadevalores cnpi certificacao fundosdeinvestimento ações swap</t>
  </si>
  <si>
    <t>proeducacional certificacao mercadofinanceiro cnpi bolsadevalores ações fundos</t>
  </si>
  <si>
    <t>ibovespa ações mercadofinanceiro asia juros bolsas europa</t>
  </si>
  <si>
    <t>b3 bolsas alemanha juros investidores ações dolar ibovespa</t>
  </si>
  <si>
    <t>b3 mercadofinanceiro açoes investidores china inflação</t>
  </si>
  <si>
    <t>cambio mercadofinanceiro inflação juros ações</t>
  </si>
  <si>
    <t>commodities b3 juros açoes investidores europa mercadofinanceiro</t>
  </si>
  <si>
    <t>setembro amarelo prevenção suicídio saúdemental ações conscientização tratamento</t>
  </si>
  <si>
    <t>brasil havaianas ações bolsadevalores</t>
  </si>
  <si>
    <t>ações pinterest iqoption stock</t>
  </si>
  <si>
    <t>iqoption ue europa eua ações global açõesglobais cfds trading bolsadevalores</t>
  </si>
  <si>
    <t>iphone apple iqoption ações</t>
  </si>
  <si>
    <t>bce iqoption cfds ue ações noticiasdeações mercadodeações inflação economia</t>
  </si>
  <si>
    <t>equinot brasil petróleo investimento iqoption ações</t>
  </si>
  <si>
    <t>mercadodeações ações iqoption cfds</t>
  </si>
  <si>
    <t>iqoption cfds europa ações</t>
  </si>
  <si>
    <t>iqoption ue ações europa trading cfds inflação bolsadevalores</t>
  </si>
  <si>
    <t>diadosnamorados iqoption bolsadevalores forex ações investir investimentosonline tradersbrasileiros estratégiasdetrading</t>
  </si>
  <si>
    <t>forex indicador iqoption ações trading investimentos mercadofinanceiro</t>
  </si>
  <si>
    <t>iqoption negociação forex ações</t>
  </si>
  <si>
    <t>iqoption ações observação dicas negociação</t>
  </si>
  <si>
    <t>iqoption trading forex acoes commodities cripto</t>
  </si>
  <si>
    <t>dividends finance acoes fiis</t>
  </si>
  <si>
    <t>ibovespa acoes trader analisegrafica investidores</t>
  </si>
  <si>
    <t>trader acoes ibovespa analisegrafica investidores investimentos trading</t>
  </si>
  <si>
    <t>trader acoes ibovespa analisegrafica investidores</t>
  </si>
  <si>
    <t>acoes ibovespa trader investidores trading dividendos</t>
  </si>
  <si>
    <t>acoes analisegrafica ibovespa trader investidores investimentos trading</t>
  </si>
  <si>
    <t>ibovespa acoes trader investimentos petr4 vale3 analisegrafica trading</t>
  </si>
  <si>
    <t>bolsadevalores acoes investimentos traderbrasil rendavariavel</t>
  </si>
  <si>
    <t>acoes ibovespa trader analisegrafica investidores investimentos petr4</t>
  </si>
  <si>
    <t>acoes ibovespa trader analisegrafica investidores</t>
  </si>
  <si>
    <t>analisegrafica acoes ibovespa trader investimentos dividendos petr4</t>
  </si>
  <si>
    <t>vale3 acoes analisegrafica ibovespa trader investidores investimentos trading</t>
  </si>
  <si>
    <t>ibovespa acoes trader analisegrafica investidores investimentos petr4</t>
  </si>
  <si>
    <t>acoes trader ibovespa analisegrafica investidores investimentos petr4</t>
  </si>
  <si>
    <t>acoes ibovespa trader analisegrafica investidores trading dividendos vale3</t>
  </si>
  <si>
    <t>acoes analisegrafica ibovespa trader investidores trading dividendos petr4</t>
  </si>
  <si>
    <t>ibovespa acoes trader analisegrafica investidores investir</t>
  </si>
  <si>
    <t>acoes analisegrafica ibovespa trader investimentos trading petr4</t>
  </si>
  <si>
    <t>ibovespa trader acoes analisegrafica trading petr4 dividendos ibov</t>
  </si>
  <si>
    <t>ibovespa trader acoes analisegrafica</t>
  </si>
  <si>
    <t>ibovespa acoes trader ibovespahoje investidores trading</t>
  </si>
  <si>
    <t>ibovespa acoes trader ibovespahoje</t>
  </si>
  <si>
    <t>ibovespa acoes trader analisegrafica investidores trading petr4 vale3</t>
  </si>
  <si>
    <t>acoes ibovespa trader analisegrafica investidores ibovespa</t>
  </si>
  <si>
    <t>acoes ibovespa trader analisegrafica investidores dividendos petr4</t>
  </si>
  <si>
    <t>acoes ibovespa trader analisegrafica investidores investimentos petr4 vale3</t>
  </si>
  <si>
    <t>acoes ibovespa trader analisegrafica investidores trading</t>
  </si>
  <si>
    <t>acoes analisegrafica ibovespa trader investidores trading</t>
  </si>
  <si>
    <t>ibovespa trader acoes analisegrafica investidores petr4</t>
  </si>
  <si>
    <t>trader acoes ibovespa analisegrafica investimentos dividendos</t>
  </si>
  <si>
    <t>acoes ibovespa trader analisegrafica investidores investimentos trading</t>
  </si>
  <si>
    <t>ibovespa trader acoes analisegrafica investidores</t>
  </si>
  <si>
    <t>trader acoes ibovespa petr4 investimentos</t>
  </si>
  <si>
    <t>investimentos ações mercadodeações educaçãofinanceira</t>
  </si>
  <si>
    <t>petr4 ações mercado</t>
  </si>
  <si>
    <t>vendas ações</t>
  </si>
  <si>
    <t>jbs jbss3 acoes investimentos genialinvestimentos</t>
  </si>
  <si>
    <t>investimento b3 ações</t>
  </si>
  <si>
    <t>carteiras carteirarecomendada ações fiis bdrs</t>
  </si>
  <si>
    <t>investirbolsavalores investimentos ações</t>
  </si>
  <si>
    <t>ações diversificação gestãofinanceira investimento</t>
  </si>
  <si>
    <t>bitcoin ações tendênciasdomercado cripto</t>
  </si>
  <si>
    <t>ações aovivo jeanpaulprates</t>
  </si>
  <si>
    <t>ações aovivo bolsa</t>
  </si>
  <si>
    <t>ações aovivo bolsadevalores</t>
  </si>
  <si>
    <t>ações google</t>
  </si>
  <si>
    <t>ações bolsa fundosdeinvestimento</t>
  </si>
  <si>
    <t>ações aovivo cinema</t>
  </si>
  <si>
    <t>ações aovivo btgpactual</t>
  </si>
  <si>
    <t>ações aovivo brf</t>
  </si>
  <si>
    <t>ações bolsa sextoucomoruy</t>
  </si>
  <si>
    <t>ações bolsa bolsadevalores</t>
  </si>
  <si>
    <t>ações alimentos aovivo</t>
  </si>
  <si>
    <t>ações aovivo bilionários</t>
  </si>
  <si>
    <t>ações alianscesonae also3</t>
  </si>
  <si>
    <t>ações aovivo mercados</t>
  </si>
  <si>
    <t>ações bigtechs internet</t>
  </si>
  <si>
    <t>ações aovivo bancodigital</t>
  </si>
  <si>
    <t>ações bancos especiaissd</t>
  </si>
  <si>
    <t>ações aovivo citibank</t>
  </si>
  <si>
    <t>ações brf jpmorgan</t>
  </si>
  <si>
    <t>ações aovivo balanços</t>
  </si>
  <si>
    <t>ações dividendos petrobras</t>
  </si>
  <si>
    <t>ações bolsa exileonwallstreet</t>
  </si>
  <si>
    <t>ações aovivo braskem</t>
  </si>
  <si>
    <t>ações bdrs china</t>
  </si>
  <si>
    <t>ações aovivo hypera</t>
  </si>
  <si>
    <t>ações aovivo bdrs</t>
  </si>
  <si>
    <t>ações alupar aovivo</t>
  </si>
  <si>
    <t>ações bankofamericamerrilllynch bolsadevalores</t>
  </si>
  <si>
    <t>ações aovivo carrosvoadores</t>
  </si>
  <si>
    <t>ações agronegócio aovivo</t>
  </si>
  <si>
    <t>ações dividendos itaúsa</t>
  </si>
  <si>
    <t>ações ipo rendavariável</t>
  </si>
  <si>
    <t>ações chatgpt facebook</t>
  </si>
  <si>
    <t>ações aovivo bitcoin</t>
  </si>
  <si>
    <t>3rpetroleum ações aovivo</t>
  </si>
  <si>
    <t>ações aovivo cvc</t>
  </si>
  <si>
    <t>ações bolsa rendavariável</t>
  </si>
  <si>
    <t>ações dividendos mercados</t>
  </si>
  <si>
    <t>ações alupar bolsa</t>
  </si>
  <si>
    <t>ações cvc cvcb3</t>
  </si>
  <si>
    <t>ações estradadofuturo inteligênciaartificial</t>
  </si>
  <si>
    <t>ações cvc mercados</t>
  </si>
  <si>
    <t>ações bernardarnault lvmh</t>
  </si>
  <si>
    <t>ações ajustefiscal commodities</t>
  </si>
  <si>
    <t>ações aovivo bbseguridade</t>
  </si>
  <si>
    <t>ações aovivo davidvélez</t>
  </si>
  <si>
    <t>ações aovivo cemig</t>
  </si>
  <si>
    <t>ações aovivo construçãocivil</t>
  </si>
  <si>
    <t>ações adrs aovivo</t>
  </si>
  <si>
    <t>ações ibovespa juros</t>
  </si>
  <si>
    <t>ações balanços magazineluiza</t>
  </si>
  <si>
    <t>ações aovivo fundosderendafixa</t>
  </si>
  <si>
    <t>ações aovivo ecorodovias</t>
  </si>
  <si>
    <t>ações bolsadevalores especiaissd</t>
  </si>
  <si>
    <t>ações microsoft warrenbuffett</t>
  </si>
  <si>
    <t>ações balanços bolsa</t>
  </si>
  <si>
    <t>ações americanas aovivo</t>
  </si>
  <si>
    <t>ações aovivo bancodobrasil</t>
  </si>
  <si>
    <t>ações aovivo bankofamericamerrilllynch</t>
  </si>
  <si>
    <t>ações aovivo estatais</t>
  </si>
  <si>
    <t>ações aovivo mercadodecapitais</t>
  </si>
  <si>
    <t>ações aovivo bancos</t>
  </si>
  <si>
    <t>ações aovivo cosan</t>
  </si>
  <si>
    <t>ações aovivo berkshirehathaway</t>
  </si>
  <si>
    <t>ações bolsa ibovespa</t>
  </si>
  <si>
    <t>ações aovivo magazineluiza</t>
  </si>
  <si>
    <t>ações aovivo ibovespa</t>
  </si>
  <si>
    <t>ações magazineluiza mercadolivre</t>
  </si>
  <si>
    <t>ações bolsa dividendos</t>
  </si>
  <si>
    <t>ações alpargatas aovivo</t>
  </si>
  <si>
    <t>ações aovivo elonmusk</t>
  </si>
  <si>
    <t>ações aovivo direcionalengenharia</t>
  </si>
  <si>
    <t>ações ondeinvestir</t>
  </si>
  <si>
    <t>ações aovivo dívidaexterna</t>
  </si>
  <si>
    <t>ações animainvestimentos aovivo</t>
  </si>
  <si>
    <t>ações aovivo b3</t>
  </si>
  <si>
    <t>ações bolsadevalores nasdaq</t>
  </si>
  <si>
    <t>ações eletrobras especiaissd</t>
  </si>
  <si>
    <t>ações itaú</t>
  </si>
  <si>
    <t>ações bancointer bolsadevalores</t>
  </si>
  <si>
    <t>ações ofertadeações varejo</t>
  </si>
  <si>
    <t>ações bolsadevalores investimentos</t>
  </si>
  <si>
    <t>ações aovivo jpmorgan</t>
  </si>
  <si>
    <t>ações bancos follow</t>
  </si>
  <si>
    <t>ações ajustefiscal impostos</t>
  </si>
  <si>
    <t>ações bolsa investimentos</t>
  </si>
  <si>
    <t>ações bolsadevalores ibovespa</t>
  </si>
  <si>
    <t>ações corretoras direitodoconsumidor</t>
  </si>
  <si>
    <t>ações conteúdoempiricus selic</t>
  </si>
  <si>
    <t>ações amazon bigtechs</t>
  </si>
  <si>
    <t>ações bp chevron</t>
  </si>
  <si>
    <t>ações combustíveis dividendos</t>
  </si>
  <si>
    <t>ações aestietê aovivo</t>
  </si>
  <si>
    <t>ações bolsadevalores dividendos</t>
  </si>
  <si>
    <t>3r ações aovivo</t>
  </si>
  <si>
    <t>ações bolsa caixaseguridade</t>
  </si>
  <si>
    <t>ações brproperties</t>
  </si>
  <si>
    <t>gol ações ibovespa magazineluiza</t>
  </si>
  <si>
    <t>ações eletrobras energia</t>
  </si>
  <si>
    <t>ações aovivo apple</t>
  </si>
  <si>
    <t>ações ambp3 aovivo</t>
  </si>
  <si>
    <t>ações aovivo bancointer</t>
  </si>
  <si>
    <t>ações cosan ipo</t>
  </si>
  <si>
    <t>ações economia vale</t>
  </si>
  <si>
    <t>ações bolsadevalores economia</t>
  </si>
  <si>
    <t>ações bolsadevalores copasa</t>
  </si>
  <si>
    <t>ações aovivo casino</t>
  </si>
  <si>
    <t>ações aovivo grupopetrópolis</t>
  </si>
  <si>
    <t>ações smallcaps</t>
  </si>
  <si>
    <t>ações alpargatas bolsa</t>
  </si>
  <si>
    <t>ações b3 educação</t>
  </si>
  <si>
    <t>ações energia light</t>
  </si>
  <si>
    <t>ações alup11 alupar</t>
  </si>
  <si>
    <t>ações alupar</t>
  </si>
  <si>
    <t>ações aovivo bancopan</t>
  </si>
  <si>
    <t>ações aovivo c6bank</t>
  </si>
  <si>
    <t>ações bancos bdrs</t>
  </si>
  <si>
    <t>ações cyrela dividendos</t>
  </si>
  <si>
    <t>ações energiasrenováveis petr3</t>
  </si>
  <si>
    <t>ações dólar ibovespa</t>
  </si>
  <si>
    <t>ações aovivo bancoubs</t>
  </si>
  <si>
    <t>ações aovivo fundosdeinvestimento</t>
  </si>
  <si>
    <t>ações dividendos empiricus</t>
  </si>
  <si>
    <t>ações b3 bolsadevalores</t>
  </si>
  <si>
    <t>ações braskem investimentos</t>
  </si>
  <si>
    <t>ações aovivo azul</t>
  </si>
  <si>
    <t>3r 3rpetroleum ações</t>
  </si>
  <si>
    <t>ações aovivo bigtechs</t>
  </si>
  <si>
    <t>ações b3 bolsa</t>
  </si>
  <si>
    <t>ações crédito debêntures</t>
  </si>
  <si>
    <t>ações aovivo jsl</t>
  </si>
  <si>
    <t>ações aovivo eletrobras</t>
  </si>
  <si>
    <t>ações bolsa petr3</t>
  </si>
  <si>
    <t>ações bradesco dividendos</t>
  </si>
  <si>
    <t>ações citibank hapvida</t>
  </si>
  <si>
    <t>ações bolsa braskem</t>
  </si>
  <si>
    <t>ações economia petrobras</t>
  </si>
  <si>
    <t>ações cosan vale</t>
  </si>
  <si>
    <t>ações apple timcook</t>
  </si>
  <si>
    <t>ações bolsadevalores china</t>
  </si>
  <si>
    <t>ações apple bolsa</t>
  </si>
  <si>
    <t>ações alugueldecarros itaúbba</t>
  </si>
  <si>
    <t>ações adrs bdrs</t>
  </si>
  <si>
    <t>ações balanços cvc</t>
  </si>
  <si>
    <t>ações dólar fundosmultimercados</t>
  </si>
  <si>
    <t>ações aovivo assaí</t>
  </si>
  <si>
    <t>ações aovivo itaúbba</t>
  </si>
  <si>
    <t>ações aovivo estadosunidos</t>
  </si>
  <si>
    <t>ações amer3 americanas</t>
  </si>
  <si>
    <t>ações bigtechs bolsa</t>
  </si>
  <si>
    <t>ações conteúdoempiricus fundosimobiliários</t>
  </si>
  <si>
    <t>ações aovivo csn</t>
  </si>
  <si>
    <t>ações casino pãodeaçúcar</t>
  </si>
  <si>
    <t>ações açõesdomês b3</t>
  </si>
  <si>
    <t>ações aovivo dividendos</t>
  </si>
  <si>
    <t>ações bolsa commodities</t>
  </si>
  <si>
    <t>ações especiaissd mercados</t>
  </si>
  <si>
    <t>ações berkshirehathaway bolsa</t>
  </si>
  <si>
    <t>ações aovivo cvm</t>
  </si>
  <si>
    <t>blackpink ygentertaiment ações</t>
  </si>
  <si>
    <t>ações aovivo china</t>
  </si>
  <si>
    <t>ações china sextoucomoruy</t>
  </si>
  <si>
    <t>ações magazineluiza tecnologia</t>
  </si>
  <si>
    <t>ações aovivo automóveis</t>
  </si>
  <si>
    <t>ações ibovespa</t>
  </si>
  <si>
    <t>ações bolsa bradesco</t>
  </si>
  <si>
    <t>ações bancos itaú</t>
  </si>
  <si>
    <t>ações aovivo copel</t>
  </si>
  <si>
    <t>ações aovivo arábiasaudita</t>
  </si>
  <si>
    <t>ações bolsa follow</t>
  </si>
  <si>
    <t>ações ambipar ambp3</t>
  </si>
  <si>
    <t>ações fintech tecnologia</t>
  </si>
  <si>
    <t>ações bdrs nubank</t>
  </si>
  <si>
    <t>ações bolsadevalores eletrobras</t>
  </si>
  <si>
    <t>ações aovivo eneva</t>
  </si>
  <si>
    <t>azul balanco lucroazul cvm acoes aviacao aviao companhiaaerea transporte</t>
  </si>
  <si>
    <t>petr petroleo ações investimentos rendavariavel finanças investir petrobras dividendos</t>
  </si>
  <si>
    <t>economia investimentos financas dinheiro investir acoes</t>
  </si>
  <si>
    <t>b3 mercadofinanceiro bolsadevalores candles tendência lateralidade setup ações</t>
  </si>
  <si>
    <t>b3 mercadofinanceiro bolsadevalores candles tendência lateralidade setup ações criptomoedas albrooks</t>
  </si>
  <si>
    <t>ações eua fed moneymarkets</t>
  </si>
  <si>
    <t>warrenbuffett ações moneymarkets investimentos</t>
  </si>
  <si>
    <t>sp500 ações moneymarkets</t>
  </si>
  <si>
    <t>wallstreet ações tesouro moneymarkets</t>
  </si>
  <si>
    <t>ações dividendos moneymarkets investimentos</t>
  </si>
  <si>
    <t>ações sp500 moneymarkets</t>
  </si>
  <si>
    <t>ações investidores democratas republicanos eua moneymarkets</t>
  </si>
  <si>
    <t>ações dividendos selic</t>
  </si>
  <si>
    <t>ações bolsadevalores daytrade ibovespa investimentos investidor dividendos</t>
  </si>
  <si>
    <t>bolsadevalores ações viia3 opções gregas</t>
  </si>
  <si>
    <t>ações brasilvote</t>
  </si>
  <si>
    <t>prio prio3 empresas ações</t>
  </si>
  <si>
    <t>ações indenizatórias mutuários da cdhu cosesp era cdhu extinta deus</t>
  </si>
  <si>
    <t>cpiamericanas bolsavalores acoes</t>
  </si>
  <si>
    <t>investir acoes fiis rendapassiva</t>
  </si>
  <si>
    <t>felicidade serfeliz dicas acoes diaadia pets amigos caminhar gratidão</t>
  </si>
  <si>
    <t>b3 mercadofianceiro bolsadevalores rendavariavel acoes</t>
  </si>
  <si>
    <t>mercadofinanceiro mattel bolsadevalores ações</t>
  </si>
  <si>
    <t>petr4 bolsadevalores acoes swingtrade</t>
  </si>
  <si>
    <t>petr4 acoes mercadodecapitais</t>
  </si>
  <si>
    <t>bolsadevalores analisetecnica ações</t>
  </si>
  <si>
    <t>elet6 mercadofinanceiro bolsadevalores eletrobras swingtrade ações</t>
  </si>
  <si>
    <t>mercadofinanceiro bolsadevalores ações swingtrade dividendos</t>
  </si>
  <si>
    <t>abev acoes</t>
  </si>
  <si>
    <t>swingtrade ações fiis rendavariável fundosdeinvestimentos bolsasdevalores</t>
  </si>
  <si>
    <t>mercadofinanceiro bolsadevalores ações swingtrade</t>
  </si>
  <si>
    <t>brkm3 brkm5 braskem ações mercadofinanceiro</t>
  </si>
  <si>
    <t>investimentos criptomoedas ações rendavariável liberdadefinanceira</t>
  </si>
  <si>
    <t>mglu3 ações trading b3</t>
  </si>
  <si>
    <t>segurança finanças açoes tecnologia</t>
  </si>
  <si>
    <t>jornaldaki assistênciasocial direitoshumanos planobrasilsemfome ações pessoasemsituaçãoderua gestantes sistemas suas sus sisan</t>
  </si>
  <si>
    <t>riograndedosul pixtv pixnasredes ciclone ações</t>
  </si>
  <si>
    <t>cotia granjaviana granjavianna caucaiadoalto ações doação mudas coleta lixoeletronico eletronico meioambiente granjanews</t>
  </si>
  <si>
    <t>cotia granjaviana granjavianna caucaiadoalto ações vacinação antirrabica pet pets cães cão gatos gato granjanews zoonoses</t>
  </si>
  <si>
    <t>jandira saude agosto dourado campanha prol ações prefeituradejandira granjanews aleitamento materno leite bebê</t>
  </si>
  <si>
    <t>carapicuiba prefeituradecarapicuiba ações segurança pipa linhas linha cortante cerol contra granjanews crianças adolescentes adulto</t>
  </si>
  <si>
    <t>ações bestbuy</t>
  </si>
  <si>
    <t>ações bitcoin btc halving exnova crypto litecoin web3</t>
  </si>
  <si>
    <t>eventos inflação exnova negociação forex ações news</t>
  </si>
  <si>
    <t>cripto ações etfs índices forex opções commodities exnova</t>
  </si>
  <si>
    <t>exnova ações negociação lucrosemações mercados</t>
  </si>
  <si>
    <t>ações noticias</t>
  </si>
  <si>
    <t>ações exnova negociação</t>
  </si>
  <si>
    <t>ações trading mercadodeações</t>
  </si>
  <si>
    <t>exnova trading ações mercadodeações mercados</t>
  </si>
  <si>
    <t>exnova ações mercado mercadodeações ativos negociação</t>
  </si>
  <si>
    <t>vendido comprado exnova trading mercadodeações ações apple gráficodenegociação negociaçãodeações bullish bearish</t>
  </si>
  <si>
    <t>ações ativos receita</t>
  </si>
  <si>
    <t>immu manaus ações</t>
  </si>
  <si>
    <t>bolsadevalores ações</t>
  </si>
  <si>
    <t>ações commodities</t>
  </si>
  <si>
    <t>reit ações</t>
  </si>
  <si>
    <t>ações reit sp500</t>
  </si>
  <si>
    <t>revistaestadual segurancapublica policiamilitapb princesaisabel serradoteixeirapb radio fm paraíba odestadual govpb obras ações serviços</t>
  </si>
  <si>
    <t>estratégias ações consumidor compras</t>
  </si>
  <si>
    <t>notícias ações afeta bird desempenho</t>
  </si>
  <si>
    <t>notícias ações avaliação cortou depois</t>
  </si>
  <si>
    <t>notícias ações apple dispararem empolga</t>
  </si>
  <si>
    <t>notícias ações carvana empresa lucros</t>
  </si>
  <si>
    <t>notícias acionistas ações aumentar conseguir</t>
  </si>
  <si>
    <t>notícias ações adquire analytics dinheiro</t>
  </si>
  <si>
    <t>notícias acionistas ações apoio caminhões</t>
  </si>
  <si>
    <t>notícias ações acordo adquire arrecada</t>
  </si>
  <si>
    <t>comofazer ações inteligentes logitech mouse</t>
  </si>
  <si>
    <t>notícias ações buscam investidores ipos</t>
  </si>
  <si>
    <t>portaljuristec legitimitade medicamento ações</t>
  </si>
  <si>
    <t>portaljuristec ações bolsonaro tse</t>
  </si>
  <si>
    <t>portaljuristec ações tacladuran toffoli</t>
  </si>
  <si>
    <t>portaljuristec assédio justiçadotrabalho ações</t>
  </si>
  <si>
    <t>portaljuristec santander ações vítima</t>
  </si>
  <si>
    <t>portaljuristec eleições ações mulheres</t>
  </si>
  <si>
    <t>mente sentimentos ações</t>
  </si>
  <si>
    <t>dividendos investidores ações</t>
  </si>
  <si>
    <t>lider lideranca realestate atitude pensamentos acoes</t>
  </si>
  <si>
    <t>pessoamelhor ações mentalidade corações bneibaruchbrasil</t>
  </si>
  <si>
    <t>investimentos ações mercadofinanceiro finanças</t>
  </si>
  <si>
    <t>açoes acoesgaratemofuturo acoesdabolsa copel klabin sanepar luizbarsi louisebarsi</t>
  </si>
  <si>
    <t>dividendos acoes petr4 cmin3 rendavariavel economia investimentos</t>
  </si>
  <si>
    <t>notícia mercadodecapitais oferta ações alimentos carnes</t>
  </si>
  <si>
    <t>trabalho protecao saúde ações terapia assédio saudemental relacionamento gestão recursos gestordesucesso equilíbrio qualificação terapiacomportamentaldialetica</t>
  </si>
  <si>
    <t>investimentos acoes dividendos patrimonio</t>
  </si>
  <si>
    <t>ações investimento dinheiro</t>
  </si>
  <si>
    <t>finanças ações economia</t>
  </si>
  <si>
    <t>dividendos petrobras acoes</t>
  </si>
  <si>
    <t>dividendos fii acoes investimentos</t>
  </si>
  <si>
    <t>ações fundos</t>
  </si>
  <si>
    <t>tuesdaytalk paporeto paposério tellingitlikeitis decircómoes investimentos ações</t>
  </si>
  <si>
    <t>analisetecnica acoes rendavariavel</t>
  </si>
  <si>
    <t>analisetecnica rendavariavel acoes enauta enat3</t>
  </si>
  <si>
    <t>analisetecnica acoes rendavariavel ibov</t>
  </si>
  <si>
    <t>analisetecnica acoes investimento</t>
  </si>
  <si>
    <t>ibov rendavariavel ações investimentos análisetécnica</t>
  </si>
  <si>
    <t>ações rendavariável análisetécnica gráficos investimentos ibov trader</t>
  </si>
  <si>
    <t>análisetécnica gráficos rendavariável ações trades trader trading tradesystem investimento</t>
  </si>
  <si>
    <t>ibov bovespa opcoes acoes</t>
  </si>
  <si>
    <t>opções ações bovespa ibov</t>
  </si>
  <si>
    <t>análisetécnica médiasmóveis tendência rendavariável investimentos ações</t>
  </si>
  <si>
    <t>nuinvest acoes b3 vale3</t>
  </si>
  <si>
    <t>acoes cáceres montijo agresiónsexual sucesos</t>
  </si>
  <si>
    <t>academiadodinheiro açafrãodaterra acessoriospvc acoes açougue</t>
  </si>
  <si>
    <t>ações longbiased</t>
  </si>
  <si>
    <t>rendavariavel investimentos acoes</t>
  </si>
  <si>
    <t>pensarpiaui notíciasdopiauí notícias aeronave emergencia ações</t>
  </si>
  <si>
    <t>soma3 varejo moda acoes</t>
  </si>
  <si>
    <t>onco3 short saude acoes rendavariavel</t>
  </si>
  <si>
    <t>frasle acoes</t>
  </si>
  <si>
    <t>inflexão ações grandesmudanças potencialdeação sinapse</t>
  </si>
  <si>
    <t>fiquepordentro investimento ações reformafinanceira</t>
  </si>
  <si>
    <t>investir ações finançaspessoais</t>
  </si>
  <si>
    <t>investir cocacola açoes</t>
  </si>
  <si>
    <t>finanças dinheiro ações fii</t>
  </si>
  <si>
    <t>finanças dinheiro ações fii irpf</t>
  </si>
  <si>
    <t>tesla ações</t>
  </si>
  <si>
    <t>investimentos rendavariavel rendafixa bolsadevalores b3 ibov acoes fintwitt</t>
  </si>
  <si>
    <t>investimentos rendavariavel bolsadevalores b3 ibov acoes fintwitt</t>
  </si>
  <si>
    <t>atrio atrioinvestimentos ações criptomoedas educaçãofinanceira finançaspessoais investimentos</t>
  </si>
  <si>
    <t>atrio atrioinvestimentos ações criptomoedas educaçãofinanceira finançaspessoais investimentoglobal</t>
  </si>
  <si>
    <t>investimentos bolsadevalores finanças ações rendafixa educaçãofinanceira trader mercadofinanceiro longoprazo dividendos atrio atrioinvestimentos xpinvestimentos</t>
  </si>
  <si>
    <t>atrio grupoatrio atrioinvestimentos atriocorporate atrgestão ações bolsadevalores economia finanças investimentos mercadoacionário mercadofinanceiro rendafixa startup trading rendavariável notascompromissadas derivativos fundosdeinvestimentos</t>
  </si>
  <si>
    <t>itub4 b3 itau acoes swingtrading</t>
  </si>
  <si>
    <t>acoes corporativo deccache especiais event eventos events experiencia livemarketing lucy produzir producao professora rh</t>
  </si>
  <si>
    <t>cnmp covid coronavírus ações</t>
  </si>
  <si>
    <t>ações shorts</t>
  </si>
  <si>
    <t>ações shorts skininthegame</t>
  </si>
  <si>
    <t>investimento dinheiro dividas acoes</t>
  </si>
  <si>
    <t>sardinhas tubaroes acoes investimentos dinheiro</t>
  </si>
  <si>
    <t>dividendos jcp investimento dinheiro acoes</t>
  </si>
  <si>
    <t>fundosdeinvestimento investimento dinheiro acoes</t>
  </si>
  <si>
    <t>subscricao acoes investimento dinheiro</t>
  </si>
  <si>
    <t>marketcap ev acoes investimento dinheiro</t>
  </si>
  <si>
    <t>avenue stocks investimento acoes dinheiro</t>
  </si>
  <si>
    <t>ibov bolsa ações</t>
  </si>
  <si>
    <t>payroll eua mercado petrobras mercadofuturo b3 acoes</t>
  </si>
  <si>
    <t>trading nyse b3 acoes futuros windfut wdo blackarrow profit tryd ninjatrader mt5</t>
  </si>
  <si>
    <t>daytrade índice dólar ações pedrocanto</t>
  </si>
  <si>
    <t>trader ações</t>
  </si>
  <si>
    <t>detraderparatrader investimentos mercadofinanceiro economia dividendos açoes fiis</t>
  </si>
  <si>
    <t>detraderparatrader investimentos mercadofinanceiro açoes dividendos</t>
  </si>
  <si>
    <t>detraderparatrader trader investimentos noticias mercadofinanceiro economia açoes b3 dividendos</t>
  </si>
  <si>
    <t>detraderparatrader trader investimentos noticias mercadofinanceiro economia açoes b3</t>
  </si>
  <si>
    <t>detraderparatrader trader investimentos noticias mercadofinanceiro economia açoes</t>
  </si>
  <si>
    <t>detraderparatrader investimentos mercadofinanceiro economia ações dividendos</t>
  </si>
  <si>
    <t>análisefundamentalista ações fundamentalista</t>
  </si>
  <si>
    <t>análisefundamentalista ações vemsermodalmais</t>
  </si>
  <si>
    <t>modalmais ações nyse nasdaq vemser</t>
  </si>
  <si>
    <t>imersão ligadostraders b3 wdo wind acoes bolsadevalores mercadofinanceiro</t>
  </si>
  <si>
    <t>vamo3 b3 ações vamo3 rico</t>
  </si>
  <si>
    <t>bazar ongs cotia portalviva social ações entidades terceirosetor</t>
  </si>
  <si>
    <t>alerj acoes combateaviolencianasecolas escolas violencia violenciaescolar bullying estadodorio governodorio deputados regiaodoslagos</t>
  </si>
  <si>
    <t>exxcede debemcomavida otimismo vocesabia controle emoções ações pensamentospositivos habitossaudaveis</t>
  </si>
  <si>
    <t>exxcede ajudaraseouvir vidaprospera feliz debemcomavida otimismo ações querer poder</t>
  </si>
  <si>
    <t>truxt truxtinvestimentos bolsa equity ações</t>
  </si>
  <si>
    <t>notícias ações bing chat histórico</t>
  </si>
  <si>
    <t>notícias ações comprar manter para</t>
  </si>
  <si>
    <t>notícias ações adquire das desenvolvedora</t>
  </si>
  <si>
    <t>investimentos ações cursodeinvestimentos ibovespa</t>
  </si>
  <si>
    <t>investimentos ações bolsadevalores mercadodecapitais ibovespa</t>
  </si>
  <si>
    <t>cálculos calculostrabalhistas calculosprevidenciarios trabalhista previdenciario contador calculista advogados contabilidade parcerias ações tjrj</t>
  </si>
  <si>
    <t>fintwit ações bolsa</t>
  </si>
  <si>
    <t>investimento poupança ações investir finanças</t>
  </si>
  <si>
    <t>investimento poupança ações</t>
  </si>
  <si>
    <t>investimento poupança ações investir finanças comoinvestir warrenbuffett</t>
  </si>
  <si>
    <t>investimento poupança ações investir finanças comoinvestir investidorprudente independenciafinanceira financeiramenteindependente</t>
  </si>
  <si>
    <t>investimento poupança ações investir finanças comoinvestir euribor juro alojamento alojamentolocal</t>
  </si>
  <si>
    <t>investimento poupança ações investir finanças comoinvestir investidorprudente</t>
  </si>
  <si>
    <t>investimento poupança ações investir finanças comoinvestir</t>
  </si>
  <si>
    <t>ações dividendos</t>
  </si>
  <si>
    <t>minériodeferro ações gfk</t>
  </si>
  <si>
    <t>gestãoativa activeshare investimentos investimentosemempresas bolsadevalores ações</t>
  </si>
  <si>
    <t>ações fintwit sfa</t>
  </si>
  <si>
    <t>investimentos warrenbuffett ações apple alpha sfa fintwit</t>
  </si>
  <si>
    <t>warrenbuffet investimentos ações sfa fintwit</t>
  </si>
  <si>
    <t>ações stocks bolsadevalores</t>
  </si>
  <si>
    <t>ma mscd34 intb3 ações stocks ma mscd34 intb3</t>
  </si>
  <si>
    <t>prio3 klbn11 vulc3 ações prio3 klbn11 vulc3</t>
  </si>
  <si>
    <t>ações arzz3 soma3 grnd3 cogn3 yduq3 mdia3</t>
  </si>
  <si>
    <t>ações mglu3 mlas3 ljqq3 gmat3</t>
  </si>
  <si>
    <t>pgmn3 radl3 ações pgmn3 radl3</t>
  </si>
  <si>
    <t>cptm trem ferrovia transporte sp resumo notícias ações balanço melhorias abril melhoriascptm</t>
  </si>
  <si>
    <t>cptm balanço infocptm junho2023 ações sp reinauguração campanhasocial sustentabilidade doação responsabilidadesocial transportesustentável cptmconsciente</t>
  </si>
  <si>
    <t>sicredi ações rendavariável</t>
  </si>
  <si>
    <t>carteira ações corretoras ibovespa longoprazo</t>
  </si>
  <si>
    <t>fundos ações índice mercado brasileiro</t>
  </si>
  <si>
    <t>pracegover pratodosverem educacaofinanceira açoes rendavariavel</t>
  </si>
  <si>
    <t>episódio podcast investimentos etfs ações brasileiras bovespa</t>
  </si>
  <si>
    <t>ibovespa carteiras gestores fundos ações</t>
  </si>
  <si>
    <t>brasil fundos ações índice ibovespa</t>
  </si>
  <si>
    <t>dividendos ações fundosimobiliarios investimentos investir mercado</t>
  </si>
  <si>
    <t>investir etfs ações brasileiras</t>
  </si>
  <si>
    <t>brasil ações etf reais</t>
  </si>
  <si>
    <t>spiva fundos ações</t>
  </si>
  <si>
    <t>ação covid</t>
  </si>
  <si>
    <t>fundos investimentos açōes cotista indice mercado estrategiapassiva performance fintwitbr ibov</t>
  </si>
  <si>
    <t>ações etf melhor desempenho pibb11 gove11 empresas</t>
  </si>
  <si>
    <t>investir fundos investimentos ações</t>
  </si>
  <si>
    <t>etf ações brasileiras reais brl bova11 spxi11 imab11</t>
  </si>
  <si>
    <t>ações tesourodireto retornos ibovespa carteira</t>
  </si>
  <si>
    <t>fundos indice mercado brasileiro ações investidor spiva gestor</t>
  </si>
  <si>
    <t>carteira ações covid etf estratégiapassiva</t>
  </si>
  <si>
    <t>austrália fundos ações índice</t>
  </si>
  <si>
    <t>fundos indice mercado ações brasileiro investidor spiva gestor</t>
  </si>
  <si>
    <t>gestores fundos investimentos ações índice</t>
  </si>
  <si>
    <t>copa futebol ações empresas longoprazo</t>
  </si>
  <si>
    <t>dinheiro investimentos acoes bitcoin cdbs tesourodireto daytrade etfs fundosimobiliarios carteira trendset</t>
  </si>
  <si>
    <t>recompra ações tesouraria</t>
  </si>
  <si>
    <t>vontade ações perseverança desafios obstáculos motivação dificuldades resultados</t>
  </si>
  <si>
    <t>mercadofinanceiro acoes fundosimobiliarios rendafixa</t>
  </si>
  <si>
    <t>dia pais diadospais ações futuro longoprazo investimento hoje</t>
  </si>
  <si>
    <t>warrenbuffet empresa investing lições longoprazo ações qualidade especulador pesquisa disciplina sucesso investimento</t>
  </si>
  <si>
    <t>shopee ações</t>
  </si>
  <si>
    <t>b3 ações ibovespa</t>
  </si>
  <si>
    <t>dividendos ações</t>
  </si>
  <si>
    <t>dia pais diadospais economia mercadofinanceiro ações tesouro finanças futuro longoprazo hoje</t>
  </si>
  <si>
    <t>investimentos rendafixa acoes</t>
  </si>
  <si>
    <t>acoes investimento bradesco</t>
  </si>
  <si>
    <t>impostos governo ações criptomonedas humor</t>
  </si>
  <si>
    <t>dividendos acoes rendapassiva investimentos liberdade bolsadevalores estratégia</t>
  </si>
  <si>
    <t>ações portaldeprefeitura igarassu maioamarelo segurançaviaria</t>
  </si>
  <si>
    <t>compromisso portaldeprefeitura belojardim gilvandroestrela termo comprometimento ações prevenção análise</t>
  </si>
  <si>
    <t>iniciativas portaldeprefeitura raquellyra ações melhorarsituação economia</t>
  </si>
  <si>
    <t>levantamento portaldeprefeitura ações policiais favelas prejuízo 14milhões comunidade pesquisa</t>
  </si>
  <si>
    <t>açao açoes fiis fii investimento investimentos selic ipca rendavariavel banco</t>
  </si>
  <si>
    <t>açoes açao b3 fiis fundosimobiliarios brasil</t>
  </si>
  <si>
    <t>b3 ações raízen vibra</t>
  </si>
  <si>
    <t>petrobras investidores ações</t>
  </si>
  <si>
    <t>fleury ibovespa ações</t>
  </si>
  <si>
    <t>criptomoedas tecnologia ações</t>
  </si>
  <si>
    <t>petrobrás ações investimentos</t>
  </si>
  <si>
    <t>bolsadetóquio ações mercados</t>
  </si>
  <si>
    <t>ações investimentos</t>
  </si>
  <si>
    <t>commodities ações</t>
  </si>
  <si>
    <t>investimentos ações ibovespa</t>
  </si>
  <si>
    <t>ibovespa mercadofinanceiro ações</t>
  </si>
  <si>
    <t>vale petrobras ações</t>
  </si>
  <si>
    <t>ações mercadobrasileiro</t>
  </si>
  <si>
    <t>petrobras vale ações</t>
  </si>
  <si>
    <t>ibovespa ações commodities</t>
  </si>
  <si>
    <t>apple ações recorde</t>
  </si>
  <si>
    <t>plamevpet investimento bee4 acoes mercado mercadopet bolsadevalores</t>
  </si>
  <si>
    <t>ações microsoft valor</t>
  </si>
  <si>
    <t>economia bolsadevalores acoes bvsp</t>
  </si>
  <si>
    <t>csf cultivarseufuturo investimento investimentos educacao_financeira educacaofinanceira desenvolvimento_pessoal desenvolvimentopessoal rendapassiva dividendos ações acoes investimentoparainiciantes futuro</t>
  </si>
  <si>
    <t>rentabilidade csf cultivarseufuturo investimento investimentos educaçãofinanceira desenvolvimentopessoal renda rendapassiva dividendos ações acoes</t>
  </si>
  <si>
    <t>estrategia buyandhold valueinvesting dividendos growth growth momentum indexinvesting csf cultivarseufuturo investimento acoes</t>
  </si>
  <si>
    <t>corretoras dinheiro investimentos finançaspessoais ações ouro</t>
  </si>
  <si>
    <t>portfoliosmodelo etfs finançaspessoais investimentos ações obrigações ouro investir dinheiro riqueza portefolio bolsadevalores</t>
  </si>
  <si>
    <t>investir investimentos longoprazo ações bolsadevalores obrigações dinheiro riqueza patrimonio</t>
  </si>
  <si>
    <t>investimentos investir diversificação portfólios ações obrigações dinheiro riqueza</t>
  </si>
  <si>
    <t>investimentos investir ações dinheiro riqueza finançaspessoais</t>
  </si>
  <si>
    <t>finançaspessoais investimentos dinheiro riqueza bolsadevalores investir ações</t>
  </si>
  <si>
    <t>investimentos ações finançaspessoais bolsadevalores dinheiro riqueza investir educaçãofinanceira</t>
  </si>
  <si>
    <t>dianacionaldovoluntariado ações pessoas doam próximo voluntário voluntária voluntariado doar ajudar amar amor solidariedade 28agos 28agosto diadovoluntariado</t>
  </si>
  <si>
    <t>nordresearch oibr3 vivt3 stocks ações</t>
  </si>
  <si>
    <t>empresas ações cambuci economia</t>
  </si>
  <si>
    <t>agendademercado agendasemanal mercado b3 ações mercadofinanceiro finanças flj</t>
  </si>
  <si>
    <t>empresas brf brfs3 ações</t>
  </si>
  <si>
    <t>ibovespa ações investimentos</t>
  </si>
  <si>
    <t>braskem brkm5 empresas ações investimentos unipar unip6</t>
  </si>
  <si>
    <t>oncoclinicas empresas ações</t>
  </si>
  <si>
    <t>ações investimentos smallcaps</t>
  </si>
  <si>
    <t>azul4 azul ações investimentos empresas azul4</t>
  </si>
  <si>
    <t>ações investimentos santander dividendos vivt3</t>
  </si>
  <si>
    <t>americanas amer3 ações empresas</t>
  </si>
  <si>
    <t>agendademercado agendasemanal mercado b3 ações mercadofinanceiro finanças</t>
  </si>
  <si>
    <t>alpa4 ações</t>
  </si>
  <si>
    <t>mercados ações investimentos economia</t>
  </si>
  <si>
    <t>jbs jbsss3 empresas ações economia mercados investimentos</t>
  </si>
  <si>
    <t>mercados ações internacionais</t>
  </si>
  <si>
    <t>vale vale3 empresas ações mineração</t>
  </si>
  <si>
    <t>ações ibovespa mercados investimentos</t>
  </si>
  <si>
    <t>jbss3 jbs dividendos ações</t>
  </si>
  <si>
    <t>aura33 empresas ações dividendos</t>
  </si>
  <si>
    <t>ações investimentos ibovespa</t>
  </si>
  <si>
    <t>cvc cvcb3 ações investimentos</t>
  </si>
  <si>
    <t>azul azul4 ações investimentos economia</t>
  </si>
  <si>
    <t>vivo vivt3 tim tims3 santander investimentos ações</t>
  </si>
  <si>
    <t>creditsuisse ações empresas mercados csn csna3</t>
  </si>
  <si>
    <t>cvc cvcb3 ações empresas turismo leonelandrade</t>
  </si>
  <si>
    <t>marinasilva economia política mercados ações</t>
  </si>
  <si>
    <t>cvc cvcb3 ações empresas</t>
  </si>
  <si>
    <t>gerdau ggbr4 ações investimentos economia</t>
  </si>
  <si>
    <t>ações investimentos economia mercados</t>
  </si>
  <si>
    <t>mercados dolar ações investimentos</t>
  </si>
  <si>
    <t>ações elet3 mercados</t>
  </si>
  <si>
    <t>mercados ações investimentos</t>
  </si>
  <si>
    <t>bbseguridade bbse3 ações investimentos</t>
  </si>
  <si>
    <t>bbseguridade assai ações bbse3 asai3</t>
  </si>
  <si>
    <t>ibovespa ações investimentos economia</t>
  </si>
  <si>
    <t>3rpetrolleum rrrp3 ações</t>
  </si>
  <si>
    <t>mercados investimentos economia ações</t>
  </si>
  <si>
    <t>brf brfs3 ações marfrig mrfg3</t>
  </si>
  <si>
    <t>camil ações investimentos economia caml3</t>
  </si>
  <si>
    <t>smartfit ações empresas investimentos</t>
  </si>
  <si>
    <t>ibovespa investimentos ações</t>
  </si>
  <si>
    <t>cemig cmig4 ações investimetos economia</t>
  </si>
  <si>
    <t>3r rrrp3 empresas ações investimentos</t>
  </si>
  <si>
    <t>petr3 petr4 anim3 vbbr3 destaquescorporativos ações investimentos</t>
  </si>
  <si>
    <t>irbr3 ações</t>
  </si>
  <si>
    <t>yduqs yduq3 ações empresas ações</t>
  </si>
  <si>
    <t>petrobras petr4 economia ações</t>
  </si>
  <si>
    <t>blackrock empresas ações usiminas usim5</t>
  </si>
  <si>
    <t>oi oibr3 empresas ações</t>
  </si>
  <si>
    <t>copel empresas cple6 ações</t>
  </si>
  <si>
    <t>itub4 itaú ações</t>
  </si>
  <si>
    <t>itaúsa itsa4 ações investimentos</t>
  </si>
  <si>
    <t>b3 b3sa3 ações investimetos</t>
  </si>
  <si>
    <t>suzano suzb3 ações</t>
  </si>
  <si>
    <t>oi oibr3 ações investimentos prejuízo oibr3prejuízo</t>
  </si>
  <si>
    <t>oi oibr3 ações empresas</t>
  </si>
  <si>
    <t>ibovespa ações mercados investimetos</t>
  </si>
  <si>
    <t>ibovespa ibov ações</t>
  </si>
  <si>
    <t>ações embr3 embraer investimentos balanços</t>
  </si>
  <si>
    <t>dólar mercados ações investimentos</t>
  </si>
  <si>
    <t>empresas via ações viia3</t>
  </si>
  <si>
    <t>raízen raiz4 ações economia</t>
  </si>
  <si>
    <t>petrobras petr4 ações investimentos</t>
  </si>
  <si>
    <t>irb ações empresas economia irbr3 balanço</t>
  </si>
  <si>
    <t>cielo ciel3 ações empresas mercados</t>
  </si>
  <si>
    <t>selic ações dividendos economia</t>
  </si>
  <si>
    <t>ibovespa mercados ações</t>
  </si>
  <si>
    <t>wege3 ações recompradeações</t>
  </si>
  <si>
    <t>cvc cvcb3 empresas ações</t>
  </si>
  <si>
    <t>ibovespa mercados ações investimentos</t>
  </si>
  <si>
    <t>ações jbss3 investimetos</t>
  </si>
  <si>
    <t>petrobras petr4 vale vale3 ações ibovespa</t>
  </si>
  <si>
    <t>ações investimentos carteirarecomendada bolsadevalores investirnabolsa</t>
  </si>
  <si>
    <t>ibovespa ibov ações investimentos</t>
  </si>
  <si>
    <t>bbse3 empresas ações investimentos</t>
  </si>
  <si>
    <t>cogna cogn3 ações investimentos</t>
  </si>
  <si>
    <t>light empresas ações ligt3</t>
  </si>
  <si>
    <t>agendademercado mercado b3 ações mercadofinanceiro</t>
  </si>
  <si>
    <t>ibovespa ações bolsadevalores</t>
  </si>
  <si>
    <t>itaú itub4 empresas ações investimentos</t>
  </si>
  <si>
    <t>nubank ações investimentos mercados economia bancos roxo34 nu</t>
  </si>
  <si>
    <t>intb3 ibovespa ações</t>
  </si>
  <si>
    <t>vale vale3 usim5 empresas ações investimentos</t>
  </si>
  <si>
    <t>americanas amer3 ações investimentos</t>
  </si>
  <si>
    <t>petr4 bolsa b3 ações</t>
  </si>
  <si>
    <t>localiza ações rent3 investimentos</t>
  </si>
  <si>
    <t>ações ásia minériodeferro mercados</t>
  </si>
  <si>
    <t>oncoclínicas empresas ações investimentos</t>
  </si>
  <si>
    <t>vale vale3 empresas ações</t>
  </si>
  <si>
    <t>eucatex euca4 ações investimentos</t>
  </si>
  <si>
    <t>mercados investimentos economia ações redafixa cdi</t>
  </si>
  <si>
    <t>ibovespa china vale mercado invetimentos ações economia</t>
  </si>
  <si>
    <t>ações economia mercados</t>
  </si>
  <si>
    <t>tend3 ações tenda</t>
  </si>
  <si>
    <t>prio prio3 empresas ações investimentos</t>
  </si>
  <si>
    <t>ibovespa ações ibov</t>
  </si>
  <si>
    <t>ações bolsadevalors b3 mercadofinanceiro</t>
  </si>
  <si>
    <t>ibovespa ações mercados investimentos</t>
  </si>
  <si>
    <t>yduqs yduq3 empresas ações investimentos</t>
  </si>
  <si>
    <t>empresas petr4 prio3 ações investimentos rrrp3 recv3</t>
  </si>
  <si>
    <t>carrefour crfb3 ações investimetos</t>
  </si>
  <si>
    <t>petrobras petr4 ações investimentos gasolina gásdecozinha diesel</t>
  </si>
  <si>
    <t>natura ntco3 ações investimentos</t>
  </si>
  <si>
    <t>oi oibr3 empresa ações investimentos</t>
  </si>
  <si>
    <t>oncoclinicas empresas ações investimentos onco3</t>
  </si>
  <si>
    <t>mercados internacional ações</t>
  </si>
  <si>
    <t>tenda tend3 empresas ações</t>
  </si>
  <si>
    <t>mercados ações eua internacional</t>
  </si>
  <si>
    <t>light ligt3 empresas ações balanços</t>
  </si>
  <si>
    <t>petrobras petr4 economia política ações investimentos braskem brkm5</t>
  </si>
  <si>
    <t>mercados ações investimetos</t>
  </si>
  <si>
    <t>oi oibr3 ações investimentos</t>
  </si>
  <si>
    <t>santander sanb11 ações investimentos</t>
  </si>
  <si>
    <t>magazineluiza mglu3 ações varejo</t>
  </si>
  <si>
    <t>irb irbr3 ações investimentos sec eua</t>
  </si>
  <si>
    <t>ações investimentos yduqs empresas yduq3</t>
  </si>
  <si>
    <t>parte2_final acoes fiis fundosimobiliarios investing investidor tiktok</t>
  </si>
  <si>
    <t>investimentos investidor acoes fiis 123milhas hotmilhas tiktok</t>
  </si>
  <si>
    <t>sucesso bilionario acoes mercado economia tiktok itausa bancodobrasil</t>
  </si>
  <si>
    <t>varejo investimento luizbarsi acoes economia b3 bolsa tiktok</t>
  </si>
  <si>
    <t>tiktok top10 acoes</t>
  </si>
  <si>
    <t>tiktok acoes bolsa ibovespa b3 top10 petrobras</t>
  </si>
  <si>
    <t>investimentos acoes bolsa b3 dividendos tiktok</t>
  </si>
  <si>
    <t>economia cripto acoes investir investidor tiktok</t>
  </si>
  <si>
    <t>bolsa acoes tiktok</t>
  </si>
  <si>
    <t>dividend dividendos rendapassiva acoes fiis empreender tiktok</t>
  </si>
  <si>
    <t>acoes investimento investir b3 empreender luizbarsi tiktok</t>
  </si>
  <si>
    <t>fiis investidor acoes rendapassiva flamengo semifinal corinthians saopaulo tiktok</t>
  </si>
  <si>
    <t>ações opções criptos criptomoedas bitcoin btc cripto moedadigital</t>
  </si>
  <si>
    <t>carteira corretoras bancos investimento ações vale investir</t>
  </si>
  <si>
    <t>afterhours mercados verdeasset ações</t>
  </si>
  <si>
    <t>mercado arábiasaudita lionelmessi ações governantes imagem</t>
  </si>
  <si>
    <t>afterhours mercados jbs ações investimentos cvm</t>
  </si>
  <si>
    <t>ações educação américalatina yduqs holding brasileira rendimento</t>
  </si>
  <si>
    <t>afterhours mercados copel oferta ações privatização paraná energia</t>
  </si>
  <si>
    <t>afterhours mercados weg ações tesla</t>
  </si>
  <si>
    <t>afterhours mercados brasil ações gestor</t>
  </si>
  <si>
    <t>afterhours mercados ações dívida verdeasset brasil</t>
  </si>
  <si>
    <t>petrobras oferta ações braskem</t>
  </si>
  <si>
    <t>breakfast mercados petrobras ações braskem brasil</t>
  </si>
  <si>
    <t>afterhours mercados ozempic lvmh europa negócios ações novonordisk</t>
  </si>
  <si>
    <t>afterhours mercados apple investidores ações</t>
  </si>
  <si>
    <t>quiz investimentos mercados ações rolex</t>
  </si>
  <si>
    <t>cambuhy alpa moreirasalles ações alpargatas havaianas</t>
  </si>
  <si>
    <t>papel construtora incorporadora eztec ibovespa ação assaí ações brasileiras</t>
  </si>
  <si>
    <t>breakfast mercados ações bolsa empresas maio</t>
  </si>
  <si>
    <t>investimentos ações economia</t>
  </si>
  <si>
    <t>investimentos multifamilyoffice familyoffice ações sp500 vix</t>
  </si>
  <si>
    <t>ipca inflação ações</t>
  </si>
  <si>
    <t>cdi imageral rendafixa ifix fundosimobiliarios investimentos multifamilyoffice ações ibov</t>
  </si>
  <si>
    <t>dis ações investimentos</t>
  </si>
  <si>
    <t>ibov investimentos ações familyoffice</t>
  </si>
  <si>
    <t>ações ibov ibovespa multifamilyoffice</t>
  </si>
  <si>
    <t>investimentos multifamilyoffice familyoffice ações ibovespa investidorestrangeiro</t>
  </si>
  <si>
    <t>euro ações emergentes fundspeopleopinião</t>
  </si>
  <si>
    <t>ações fundspeopleopinião</t>
  </si>
  <si>
    <t>ações multiativos obrigações fundspeopleperspetivas</t>
  </si>
  <si>
    <t>etf ações obrigações fundspeopleperspetivas</t>
  </si>
  <si>
    <t>ações fundspeopleperspetivas</t>
  </si>
  <si>
    <t>investimentos ações fundspeopleperspetivas</t>
  </si>
  <si>
    <t>ações retornos fundspeopleperspetivas</t>
  </si>
  <si>
    <t>liquidez ações fundspeopleperspetivas</t>
  </si>
  <si>
    <t>ações tecnologia fundspeopleperspetivas</t>
  </si>
  <si>
    <t>ações rentabilidade mercado fundspeopleperspetivas</t>
  </si>
  <si>
    <t>ações obrigações fundspeopleopinião</t>
  </si>
  <si>
    <t>ações fundos retorno fundspeopleperspetivas</t>
  </si>
  <si>
    <t>crédito ações imobiliária fundspeoplenegócio</t>
  </si>
  <si>
    <t>obrigações ações fundspeopleperspetivas</t>
  </si>
  <si>
    <t>esg ações fundspeopleopinião</t>
  </si>
  <si>
    <t>ações falas</t>
  </si>
  <si>
    <t>ações fundosimobiliários investimentos educaçãofinanceira economia econovisão</t>
  </si>
  <si>
    <t>mercados acoes b3 mercadofinanceirobr</t>
  </si>
  <si>
    <t>acoes dividendos mercadofinanceirobr</t>
  </si>
  <si>
    <t>mercadofinanceirobr dividendos b3 acoes</t>
  </si>
  <si>
    <t>acoes b3 dividendos mercadofinanceirobr</t>
  </si>
  <si>
    <t>bitcoin etf coinbase ações</t>
  </si>
  <si>
    <t>dolar privatização ações mercado investimentos</t>
  </si>
  <si>
    <t>dividendos acoes</t>
  </si>
  <si>
    <t>jhsf dividendos ações investimentos</t>
  </si>
  <si>
    <t>apple aapl stocks ações rendavariável nasdaq mercado economia negócios iphone ios ipad macbook</t>
  </si>
  <si>
    <t>deputado segurança amazonas ações delegado criminalidade</t>
  </si>
  <si>
    <t>blogdohiellevy autistas prefeiturademanaus davidalmeida ações tea</t>
  </si>
  <si>
    <t>amazonasenergia investimento preservação meioambiente ações</t>
  </si>
  <si>
    <t>presidentefigueiredo comunidades mutirão ações riouatumã</t>
  </si>
  <si>
    <t>amazônia ações facções fórum segurança pública</t>
  </si>
  <si>
    <t>deputado amazonas reunião bolsonaro ações</t>
  </si>
  <si>
    <t>internacional ações ahead dos eua</t>
  </si>
  <si>
    <t>news ações amd amdmarketshare caem</t>
  </si>
  <si>
    <t>internacional ações amazon interesse ocado</t>
  </si>
  <si>
    <t>educacaofinanceira aprendervalor bc organizze</t>
  </si>
  <si>
    <t>marmelópolis mapadoturismobrasileiro2023 ações promoção turismo notícias jornalpanorama jornalpanoramajp panorama</t>
  </si>
  <si>
    <t>jornalpanoramajp jornalpanorama panorama campanha açoes melhoria municipio minasgerais brasil</t>
  </si>
  <si>
    <t>jornalpanoramajp jornalpanorama panorama nazreno meioambiente açoes importantes crianças minasgerais</t>
  </si>
  <si>
    <t>deficit dinheiro ações contas</t>
  </si>
  <si>
    <t>jornalpanoramajp jornalpanorama panorama campanha reconhece minasgerais brasil ações</t>
  </si>
  <si>
    <t>neotel ciberseguranca segurancadigital gocryptwithneotel gosafecloudwithneotel cybersecurity acoes bolsadevalores</t>
  </si>
  <si>
    <t>ações cmn dólar</t>
  </si>
  <si>
    <t>ações blackrock economicnewsbrasil</t>
  </si>
  <si>
    <t>ações b3 bovespa economicnewsbrasil investimento lucro negócio</t>
  </si>
  <si>
    <t>ações b3 dólar economia economicnewsbrasil ibovespa investimento mercadofinanceiro noticias</t>
  </si>
  <si>
    <t>ações dólar economia</t>
  </si>
  <si>
    <t>ações alimentos economicnewsbrasil</t>
  </si>
  <si>
    <t>ações b3 dólar economicnewsbrasil ibovespa inflação investimento</t>
  </si>
  <si>
    <t>ações bolsadevalores economicnewsbrasil gestãofinanceira investimento notícias varejo</t>
  </si>
  <si>
    <t>ações aquisição comércioeletrônico ecommerce economicnewsbrasil notícias varejo vendasonline</t>
  </si>
  <si>
    <t>ações economia</t>
  </si>
  <si>
    <t>ações b3 clima dólar economia economicnewsbrasil eua ibge ibovespa inovação investimento ipca notícias</t>
  </si>
  <si>
    <t>ações economicnewsbrasil</t>
  </si>
  <si>
    <t>ações economia economicnewsbrasil</t>
  </si>
  <si>
    <t>ações bolsadevalores economicnewsbrasil</t>
  </si>
  <si>
    <t>ações brf</t>
  </si>
  <si>
    <t>ações b3 dólar economia economianewsbrasil ibovespa</t>
  </si>
  <si>
    <t>ações economicnewsbrasil investimento lucro mineração negócios</t>
  </si>
  <si>
    <t>ações ambev economicnewsbrasil gestãofinanceira</t>
  </si>
  <si>
    <t>ações bndes dividendos</t>
  </si>
  <si>
    <t>ações b3 dólar economicnewsbrasil</t>
  </si>
  <si>
    <t>ações bolsadevalores despesas difal</t>
  </si>
  <si>
    <t>ações b3 dólar economia economicnewsbrasil empresas ibovespa inflação investimento moedas negócios notícias</t>
  </si>
  <si>
    <t>ações economicnewsbrasil fatorelevante investimento negócios</t>
  </si>
  <si>
    <t>ações aquisição beleza cosméticos economicnewsbrasil negócios</t>
  </si>
  <si>
    <t>ações apple</t>
  </si>
  <si>
    <t>ações b3 dólar economia economicnewsbrasil investimento mercadofinanceiro</t>
  </si>
  <si>
    <t>ações barclays economicnewsbrasil</t>
  </si>
  <si>
    <t>ações boletimfocus câmbio copom dólar economicnewsbrasil inflação investimentos mercadofinanceiro negócios notícias selic</t>
  </si>
  <si>
    <t>ações b3 bovespa economia economicnewsbrasil investimento</t>
  </si>
  <si>
    <t>ações dólar economia economicnewsbrasil ibovespa investimento mercadofinanceiro negócios noticias selic</t>
  </si>
  <si>
    <t>povobrasileironaoconheceseupoder povo poderá gerar mudanças açoes movimenta nação dragaoadormecido</t>
  </si>
  <si>
    <t>acoes bolsadevalores investimentos</t>
  </si>
  <si>
    <t>peritoeconomico peritofinanceiro perito ações</t>
  </si>
  <si>
    <t>começarainvestir investimento ações fundosdeinvestimento educaçãofinanceira corretoras taxas corretagem custódia operações</t>
  </si>
  <si>
    <t>investir investimento educaçãofinanceira darf taxasdecorretagem ações fii etf dinheiro mercadofinanceiro bolsadevalores economia</t>
  </si>
  <si>
    <t>investir taxadejuros jurossimples juroscompostos ações fii dividendos educaçãofinanceira finanças economia ativos</t>
  </si>
  <si>
    <t>inflação juros economia taxaselic tesourodireto ações fundosdeinvestimento ativos títulos educaçãofinanceira mercadofinanceiro</t>
  </si>
  <si>
    <t>estilodevida dinheiro finanças educaçãofinanceira objeitvos rendapassiva rendaextra reservadeemergência saúde investimentos investir empreendedorismo negócios ações fundosdeinvestimento economia</t>
  </si>
  <si>
    <t>reservademergência dinheiro poupar economia economizar gastos emergência estilodevida ações fii poupança</t>
  </si>
  <si>
    <t>investir investimento ações mercadofinanceiro ativos renda educaçãofinanceira</t>
  </si>
  <si>
    <t>aposentadoria investimento rendapassiva inss tetodoinss educaçãofinanceira ações fundosdeinvestimentoimobiliário fii</t>
  </si>
  <si>
    <t>ações investir investimento sociedade analisefundamentalista análisetécncia bolsadevalores educaçãofinanceira</t>
  </si>
  <si>
    <t>dinheiro economia investimentos ativos ações educaçãofinanceira rendapassiva mercadofinanceiro bolsadevalores</t>
  </si>
  <si>
    <t>ações b3 daytrader mercado bolsadevalores</t>
  </si>
  <si>
    <t>braskem ações mercadofinanceiro</t>
  </si>
  <si>
    <t>bbse3 ações</t>
  </si>
  <si>
    <t>correiodeminas lafaiete cidade 6cidade minas minasgerais melhorcidadeparaviver ações parcerias correiodeminasonline</t>
  </si>
  <si>
    <t>correiodeminas desenrola beneficio bancos varejistas analistas ações programa correiodeminasonline</t>
  </si>
  <si>
    <t>klabin klbn celulose klbn11 klbn4 suzano ações preço lipeinveste analise dividendos pib rendapassiva b3</t>
  </si>
  <si>
    <t>melhoresações top10 ações dividendos louisebarsi agf acoesgarantem rendapassiva feliperuiz fabiobaroni b3</t>
  </si>
  <si>
    <t>klabin klbn11 klbn4 klbn3 celulose papel papelao suzano dividendos investimentos ações b3 renda proventos</t>
  </si>
  <si>
    <t>taesa trpl trpl4 taee11 energia luizbarsi dividendos leilao transmissao investimento investir bolsadevalores ações b3</t>
  </si>
  <si>
    <t>klabin klbn klbn11 klbn4 klbn3 celulose papel papelao papelcartao suzano suzb3 ações dividendos investir</t>
  </si>
  <si>
    <t>amar3 ações</t>
  </si>
  <si>
    <t>beef3 pas bolsadevalores açoes mercadofinanceiro</t>
  </si>
  <si>
    <t>b3 ibovespa rendavariavel acoes</t>
  </si>
  <si>
    <t>nucoin nubank açoes criptomonedas</t>
  </si>
  <si>
    <t>acoes wagnergeremia ondeinvestir comoinvestir investimento educaçãofinanceira investimentos</t>
  </si>
  <si>
    <t>acoes wagnergeremia ondeinvestir comoinvestir investimento educaçãofinanceira investimentos dividendos</t>
  </si>
  <si>
    <t>mercadofinanceiro mercadoamericano mercadobrasileiro wagnergeremia investimento valuation ações fundosinvestimentos tesourodireto rendafixa rendimentos</t>
  </si>
  <si>
    <t>mercadofinanceiro mercadoamericano mercadobrasileiro wagnergeremia investimento valuation ações fundosinvestimentos</t>
  </si>
  <si>
    <t>acoes wagnergeremia ondeinvestir comoinvestir educaçãofinanceira investimentos tesourodireto</t>
  </si>
  <si>
    <t>netflix b3 bolsadevalores ações</t>
  </si>
  <si>
    <t>espacorecomecar espiitualistamaiconpaiva chicoxavier espiritualidade ações resiliencia pazdeespirito recomeco recomecar</t>
  </si>
  <si>
    <t>investimento ações opções rendafixa</t>
  </si>
  <si>
    <t>zamp3 finance ações</t>
  </si>
  <si>
    <t>ações eua</t>
  </si>
  <si>
    <t>nubank ações</t>
  </si>
  <si>
    <t>vale ações b3</t>
  </si>
  <si>
    <t>acoes b3</t>
  </si>
  <si>
    <t>voltará câmara por ações mst atacar imunidade parlamentar economia política</t>
  </si>
  <si>
    <t>queiroz assume saad sudeste destaca ações prioritárias vani brasil nordeste piauí teresinapi</t>
  </si>
  <si>
    <t>sem clareza sobre nova política ações petrobras caem brasil economia</t>
  </si>
  <si>
    <t>realiza ações nas avenidas mais perigosas brasil nordeste teresinapi</t>
  </si>
  <si>
    <t>repete erros dilma altera derrubando ações petrobras governo brasil economia</t>
  </si>
  <si>
    <t>repete erros altera política preços afeta ações petrobras governo brasil economia</t>
  </si>
  <si>
    <t>manda suspender enviar stf ações sobre tacla duran brasil economia política</t>
  </si>
  <si>
    <t>ações investir live</t>
  </si>
  <si>
    <t>ações ia</t>
  </si>
  <si>
    <t>radardasemana bolsa ações</t>
  </si>
  <si>
    <t>peterlynch acoes investimentos</t>
  </si>
  <si>
    <t>seiações investimentos ações</t>
  </si>
  <si>
    <t>energia mercado ações</t>
  </si>
  <si>
    <t>mercadofinanceiro finanças ações b3 bovespa índice real moeda brasil história lulapresidentedopovo lulaestadistadoplaneta</t>
  </si>
  <si>
    <t>preocupe rombo empresa ações obrigado mglu3</t>
  </si>
  <si>
    <t>ações desgraça prejuízo mglu3 bolsadevalores b3 stocks</t>
  </si>
  <si>
    <t>ações mglu3</t>
  </si>
  <si>
    <t>dividendos petrobras fiis bancodobrasil alemartuchelli investimentos acoes fundosimobiliarios bolsadevalores rendimentomensal</t>
  </si>
  <si>
    <t>produtiva ações vendeu desespero dinheiro investimento finanças</t>
  </si>
  <si>
    <t>b3 bolsadevalores stocks acoes</t>
  </si>
  <si>
    <t>dividendos petr4 itub4 jppa11 vghf11 fiis acoes stocks</t>
  </si>
  <si>
    <t>ações brap4 vale3 csna3 viia3 azul4 pcar3</t>
  </si>
  <si>
    <t>ibovespa investimento ações mercadofinanceiro bolsadevalores</t>
  </si>
  <si>
    <t>ações azul4 cvcb3 goll4 pcar3 brkm5 recv3</t>
  </si>
  <si>
    <t>b3 engi11 vale3 vbbr3 bbas3 petr4 ações</t>
  </si>
  <si>
    <t>b3 cvcb3 movi3 rrrp3 alpa4 eztc3 ações</t>
  </si>
  <si>
    <t>b3 vale3 engi11 vbbr3 petr4 bbas3 ações</t>
  </si>
  <si>
    <t>b3 viia3 cvcb3 movi3 alpa4 rrrp3 ações</t>
  </si>
  <si>
    <t>b3 viia3 cvcb3 movi3 rrrp3 alpa4 ações</t>
  </si>
  <si>
    <t>ações suzb3 sbsp3 ntco3 mglu3 soma3 arzz3</t>
  </si>
  <si>
    <t>ações mrfg3 viia3 hapv3 pcar3 lren3 tots3</t>
  </si>
  <si>
    <t>ações engi11 azul4 smto3 viia3 irbr3 crfb3</t>
  </si>
  <si>
    <t>b3 vale3 engi11 vbbr3 bbas3 petr4 ações</t>
  </si>
  <si>
    <t>b3 cvcb3 viia3 movi3 rrrp3 petz3 ações</t>
  </si>
  <si>
    <t>ações viia3 ugpa3 recv3</t>
  </si>
  <si>
    <t>ações crfb3 bpac11 wege3</t>
  </si>
  <si>
    <t>ações goll4 recv3 petr3 pcar3 cple6 mglu3</t>
  </si>
  <si>
    <t>ações cvcb3 wege3 irbr3 mglu3 goll4 azul4</t>
  </si>
  <si>
    <t>ações brfs3 crfb3 radl3 mglu3 vamo3 goll4</t>
  </si>
  <si>
    <t>ações brkm5 yduq3 brfs3 vamo3 tots3 viia3</t>
  </si>
  <si>
    <t>ações ibovespa indústria investimento lítio</t>
  </si>
  <si>
    <t>petrobras ações alta política</t>
  </si>
  <si>
    <t>ibovespa ibov ações smallcap</t>
  </si>
  <si>
    <t>abmgeo políticas ações sustentável mulheres geociencias geologiasalvavidas ods sdg defesacivil equidade diversidade</t>
  </si>
  <si>
    <t>maiseducativa ações reciclar sensibilização</t>
  </si>
  <si>
    <t>ações investimentos finanças b3 ibov trader trading</t>
  </si>
  <si>
    <t>vencedores vencer vida ações</t>
  </si>
  <si>
    <t>atitudes ações viver</t>
  </si>
  <si>
    <t>marquinhodapipa façaocerto exemplo ética respeito bondade ações eficiência sejaamudança</t>
  </si>
  <si>
    <t>onjornal bolsas ações índice ipca queda juros</t>
  </si>
  <si>
    <t>ações gpa ibovespa</t>
  </si>
  <si>
    <t>ações 3r petroleum ibovespa empresa produção</t>
  </si>
  <si>
    <t>tse ações inelegibilidade bolsonaro</t>
  </si>
  <si>
    <t>uarini ações saúde comunidades</t>
  </si>
  <si>
    <t>bolsas ações japão</t>
  </si>
  <si>
    <t>ações tuppeware bolsadevalores novayork</t>
  </si>
  <si>
    <t>mercado apple ações nasdaq</t>
  </si>
  <si>
    <t>bolsadevalores brasil ações</t>
  </si>
  <si>
    <t>ações c investidores números mercado</t>
  </si>
  <si>
    <t>ações bolsadevalores indices</t>
  </si>
  <si>
    <t>sobratema revistamt revista_mt brasil ações scania compagas tecnologia veículos rotas ônibus caminhões gásnaturalveicular gnv biometano</t>
  </si>
  <si>
    <t>sobratema revistamt revista_mt brasil desafio icl lubrificantes desenvolvimento ações irregularidades</t>
  </si>
  <si>
    <t>ações bolsadevalores mercadofinanceiro investidoriniciante educacaofinanceira dinheiro rendavariavel rendapassiva dinheiroonline</t>
  </si>
  <si>
    <t>investimentos riscos ações mercadofinanceiro</t>
  </si>
  <si>
    <t>riscos mercadofinanceiro ações rendafixa</t>
  </si>
  <si>
    <t>riscos mercadofinanceiro ações rendavariável</t>
  </si>
  <si>
    <t>creator economia investimentos copel ações sell</t>
  </si>
  <si>
    <t>cpgvagasenoticias acidente ações p31 petrobras</t>
  </si>
  <si>
    <t>acoes investimentos cdi</t>
  </si>
  <si>
    <t>investimentos acoes smallcaps</t>
  </si>
  <si>
    <t>mente coraçao emoçoes som poder palavras açoes</t>
  </si>
  <si>
    <t>ações pdv factutrademarketing promotor promotora jundiasorvetes simonetto</t>
  </si>
  <si>
    <t>analisetecnica swingtrade açoes opçoes priceaction b3 bolsadevalores</t>
  </si>
  <si>
    <t>petr4 swingtrade ações petrobras bolsadevalores analisetecnica</t>
  </si>
  <si>
    <t>trad3 swingtrade acoes analisetecnica bolsadevalores</t>
  </si>
  <si>
    <t>bolsadevalores swingtrade ações</t>
  </si>
  <si>
    <t>ações brasilvotebrasilvote</t>
  </si>
  <si>
    <t>ações agrotimes argentina</t>
  </si>
  <si>
    <t>ações agrotimes brf</t>
  </si>
  <si>
    <t>ações agrotimes agronegócio</t>
  </si>
  <si>
    <t>3tentos ações agrotimes</t>
  </si>
  <si>
    <t>1t23 ações agrotimes</t>
  </si>
  <si>
    <t>2t23 3tentos ações</t>
  </si>
  <si>
    <t>2t23 ações agrotimes</t>
  </si>
  <si>
    <t>ações açúcar agrotimes</t>
  </si>
  <si>
    <t>ações agrotimes boi</t>
  </si>
  <si>
    <t>ações agrotimes carnes</t>
  </si>
  <si>
    <t>ações agricultura agrotimes</t>
  </si>
  <si>
    <t>ações agrotimes commodities</t>
  </si>
  <si>
    <t>ações agrotimes comprarouvender</t>
  </si>
  <si>
    <t>ações agrotimes colunistaempiricus</t>
  </si>
  <si>
    <t>ações agrotimes brasilagro</t>
  </si>
  <si>
    <t>ações agrotimes bankofamerica</t>
  </si>
  <si>
    <t>ações agrotimes aviação</t>
  </si>
  <si>
    <t>ações agrotimes ásia</t>
  </si>
  <si>
    <t>2t23 ações açúcar</t>
  </si>
  <si>
    <t>ações agrotimes arábiasaudita</t>
  </si>
  <si>
    <t>ações agrotimes btgpactual</t>
  </si>
  <si>
    <t>ações agrotimes feedprincipal</t>
  </si>
  <si>
    <t>2t23 ações agricultura</t>
  </si>
  <si>
    <t>ações agrotimes azul</t>
  </si>
  <si>
    <t>3tentos ações ágorainvestimentos</t>
  </si>
  <si>
    <t>ações agrotimes b3</t>
  </si>
  <si>
    <t>ações agricultura agrishow</t>
  </si>
  <si>
    <t>ações agrotimes alimentos</t>
  </si>
  <si>
    <t>ações agrotimes boasafra</t>
  </si>
  <si>
    <t>ações agrotimes etanol</t>
  </si>
  <si>
    <t>ações ágorainvestimentos agricultura</t>
  </si>
  <si>
    <t>ações agrotimes biocombustível</t>
  </si>
  <si>
    <t>ações agrotimes compass</t>
  </si>
  <si>
    <t>3tentos ações agricultura</t>
  </si>
  <si>
    <t>ações agrotimes agrogalaxy</t>
  </si>
  <si>
    <t>ações agrotimes combustíveis</t>
  </si>
  <si>
    <t>ações agrotimes ambev</t>
  </si>
  <si>
    <t>ações ágorainvestimentos agrotimes</t>
  </si>
  <si>
    <t>ações agrotimes cdi</t>
  </si>
  <si>
    <t>ações agrotimes camil</t>
  </si>
  <si>
    <t>ações agrotimes businesstimes</t>
  </si>
  <si>
    <t>ações minerva jbs</t>
  </si>
  <si>
    <t>ações agrotimes bradescobbi</t>
  </si>
  <si>
    <t>ações adr agrotimes</t>
  </si>
  <si>
    <t>ações agrotimes china</t>
  </si>
  <si>
    <t>ações agrotimes algodão</t>
  </si>
  <si>
    <t>ações agrotimes bancosafra</t>
  </si>
  <si>
    <t>ações agrotimes economia</t>
  </si>
  <si>
    <t>ações short mrve3 irbr3 tend3 mbly3 eztc3 cyre3 ceab3 seql3 movi3 petz3 rrrp3 usim5 taee11 viia3 aesb3 arzz3 alpa4 mrfg3 trad3 csna3 b3 ibovespa stocks</t>
  </si>
  <si>
    <t>ongs colapso amazonas amazonia manaus ações amazonasatual</t>
  </si>
  <si>
    <t>mpf governodoamazonas tortura amazonas ações combate manaus amazonasatual</t>
  </si>
  <si>
    <t>davidalmeida hospitais amazonas manaus gestão ações amazonasatual</t>
  </si>
  <si>
    <t>vida espelho ações acredito</t>
  </si>
  <si>
    <t>jornaldacâmara câmara ações requalificação centro</t>
  </si>
  <si>
    <t>forex ouro cfds ações</t>
  </si>
  <si>
    <t>forex cripto cfds ações</t>
  </si>
  <si>
    <t>investimentos peterlynch oneuponwallstreet ações mercadofinanceiro estratégiasdeinvestimento gerenciamentoderisco dicasdeações crescimentodeempresas diversificações taxasdecrescimento dívidasefalências</t>
  </si>
  <si>
    <t>dojiquatropreços análisetécnica candlestick mercadofinanceiro padrãodereversão gerenciamentoderisco ações criptomoedas</t>
  </si>
  <si>
    <t>ações b3 ibovespa brasil</t>
  </si>
  <si>
    <t>projeto ações empresas funcionários</t>
  </si>
  <si>
    <t>ministrodaagricultura ações setorleiteiro</t>
  </si>
  <si>
    <t>atosdebondade ações maisnews artigo prmarciobatista</t>
  </si>
  <si>
    <t>forex commodities indices ações criptomoedas</t>
  </si>
  <si>
    <t>ações empresasdabolsa itausa copel klabin cielo csn cogna</t>
  </si>
  <si>
    <t>petrobras política dividendos rendavariável ações investimentos b3 bolsadevalores petr4 petr3</t>
  </si>
  <si>
    <t>petrobras petr3 petr4 dividendos ações negócios commodities petróleo</t>
  </si>
  <si>
    <t>apple aapl aapl34 ações stocks investimentos iphone negócios pensemercado</t>
  </si>
  <si>
    <t>investimento bolsadevalores b3 ações stocks rendavariável cdi ibov ibovespa ifix</t>
  </si>
  <si>
    <t>ações abertura juros crédito</t>
  </si>
  <si>
    <t>sanepar ações</t>
  </si>
  <si>
    <t>investimento investidor ações bolsadevalores cyre3 azul4 mglu3 yduq3 irbr3 cogn3 mercadofinanceiro statusinvest pog</t>
  </si>
  <si>
    <t>fiifacil investimentos rendaextra fiis renda b3 ações rendafixa</t>
  </si>
  <si>
    <t>fiifacil investimentos rendaextra rendapassiva b3 ações fiis xpml11 fii</t>
  </si>
  <si>
    <t>fiifacil investimentos b3 rendaextra fiis renda ações ibovespa fii</t>
  </si>
  <si>
    <t>fiifacil investimentos rendaextra b3 ações fiis ibovespa</t>
  </si>
  <si>
    <t>fiifacil investimentos rendaextra b3 ações</t>
  </si>
  <si>
    <t>fiifacil investimentos rendaextra renda fiis b3 ações ibov</t>
  </si>
  <si>
    <t>fiifacil investimentos rendaextra b3 ações renda fiis ibov investir</t>
  </si>
  <si>
    <t>fiifacil investimentos rendaextra ações fiis b3 renda</t>
  </si>
  <si>
    <t>fiifacil investimentos rendaextra rendapassiva fiis ações</t>
  </si>
  <si>
    <t>fiifacil investimentos rendaextra ações b3 dinheiro fiis ifix</t>
  </si>
  <si>
    <t>fiifacil investimentos rendaextra renda b3 ações fiis ifix dinheiro</t>
  </si>
  <si>
    <t>fiifacil investimentos rendaextra ações b3 rendapassiva renda fiis</t>
  </si>
  <si>
    <t>acoes acoesfracionadas bolsadevalores</t>
  </si>
  <si>
    <t>investimento ganhos acoes ações dinheiro economia reserva financeira finanças</t>
  </si>
  <si>
    <t>editorial ações fii rbrx11 igti11 itaúbba also3</t>
  </si>
  <si>
    <t>chatgpt bolsadevalores ações</t>
  </si>
  <si>
    <t>investimentos ações pernambuco estadodemudança raquellyra</t>
  </si>
  <si>
    <t>kepl3 ibovespa ações resultados</t>
  </si>
  <si>
    <t>ações trpl isa isacteep</t>
  </si>
  <si>
    <t>microsoft earningsreport ações</t>
  </si>
  <si>
    <t>microsoft ações</t>
  </si>
  <si>
    <t>ações análisedemercado índice sp500</t>
  </si>
  <si>
    <t>fxopenblog ações stocks</t>
  </si>
  <si>
    <t>nvidia acoes</t>
  </si>
  <si>
    <t>netflixstock streamingwars açoes</t>
  </si>
  <si>
    <t>investimento ações criptomonedas</t>
  </si>
  <si>
    <t>ações bolsas</t>
  </si>
  <si>
    <t>provento ações</t>
  </si>
  <si>
    <t>provento dividendo ações</t>
  </si>
  <si>
    <t>ações bolsa bbdc4</t>
  </si>
  <si>
    <t>ações copom copel</t>
  </si>
  <si>
    <t>taee11 tgma3 vulc3 rani3 dividendo provento ações</t>
  </si>
  <si>
    <t>petróleo minério ações</t>
  </si>
  <si>
    <t>ações bolsa cvcb3</t>
  </si>
  <si>
    <t>ações provento</t>
  </si>
  <si>
    <t>dividendo ações provento</t>
  </si>
  <si>
    <t>ações dividendo provento bbas3 cmig4</t>
  </si>
  <si>
    <t>ações ibovespa bolsa</t>
  </si>
  <si>
    <t>ações provento dividendo</t>
  </si>
  <si>
    <t>b3 ações investimentos</t>
  </si>
  <si>
    <t>newblogpost investimentos btc ações bolsadevalores</t>
  </si>
  <si>
    <t>investimento ações fundosimobiliarios</t>
  </si>
  <si>
    <t>nada nyse acoes</t>
  </si>
  <si>
    <t>rússia putin brasil ações espionagem internacional allandossantos povo caminhoneiros</t>
  </si>
  <si>
    <t>ibov phicube ações</t>
  </si>
  <si>
    <t>análisedemercado s bitcoin criptomoedas ações investimentos desempenhofinanceiro</t>
  </si>
  <si>
    <t>criptomoedas btc bitcoin eth xrp crypto ações mercadofinanceiro</t>
  </si>
  <si>
    <t>petr4 ibovespa ibov educacaofinanceira bolsadevalores dividendos rendapassiva acoes dinheiro rendaextra</t>
  </si>
  <si>
    <t>ibov b3 acoes vale3 itub4 petr4</t>
  </si>
  <si>
    <t>ações fundosdeinvestimentos investimentos</t>
  </si>
  <si>
    <t>rendafixa multimercado acoes</t>
  </si>
  <si>
    <t>ações fundosdeinvestimentos investimentos mercadofinanceiro</t>
  </si>
  <si>
    <t>rendavariavel ações b3</t>
  </si>
  <si>
    <t>economia bigdata investimentos ações</t>
  </si>
  <si>
    <t>ações rendavariável viva3 vale3 bbdc4 taee11 itub4</t>
  </si>
  <si>
    <t>acoes bolsadevalores</t>
  </si>
  <si>
    <t>tecnologia apple ações</t>
  </si>
  <si>
    <t>engie3 enbr3 taee11 energia ações</t>
  </si>
  <si>
    <t>ações rendavariável bpac11 vale3 bbse3 verz34 pssa3</t>
  </si>
  <si>
    <t>ações lula petrobras</t>
  </si>
  <si>
    <t>mercadofinanceiro ações investimentos índia</t>
  </si>
  <si>
    <t>inteligênciaartificial setembro ações investimentos</t>
  </si>
  <si>
    <t>economia investimentos negócios investidor ibovespa ações mercadofinaceiro</t>
  </si>
  <si>
    <t>ações bancobrasil bbas3</t>
  </si>
  <si>
    <t>ações bancocentral</t>
  </si>
  <si>
    <t>casasbahia bhia3 mglu3 ações ibovespa</t>
  </si>
  <si>
    <t>louisebarsi ações investimentos</t>
  </si>
  <si>
    <t>mercado ações bolsa investimento</t>
  </si>
  <si>
    <t>ranking ações jpmc34 b3sa3 igti11 goau4</t>
  </si>
  <si>
    <t>magalu magazine ações</t>
  </si>
  <si>
    <t>bbseguridade ações aprendainvestirhoje rendapassiva</t>
  </si>
  <si>
    <t>louisebarsi ações investing investment investrightinvestnow</t>
  </si>
  <si>
    <t>股票 acciones स्टॉक्स أسهم ações স্টক акции 株式 ਸਟਾਕ aktien saham 股票 주식 actions azioni 股票</t>
  </si>
  <si>
    <t>investimentos acoes bolsa</t>
  </si>
  <si>
    <t>excel investimentos planilha rendafixa rendavariavel ações planilhadeações fundoimobiliario tesourodireto</t>
  </si>
  <si>
    <t>ebook evookgratuito investidor investimentos acoes</t>
  </si>
  <si>
    <t>desenvolvimentopessoal autoconhecimento metas habitos autoajuda sucesso ações mindset proposito maniampodcast</t>
  </si>
  <si>
    <t>desenvolvimentopessoal autoconhecimento metas objetivos habitos autoajuda determinação inspiração transformação crescimento sucesso ações mindset goals proposito maniampodcast</t>
  </si>
  <si>
    <t>desenvolvimentopessoal autoconhecimento metas objetivo habitos autoajuda inspiração transformação crescimento sucesso ações mindset proposito maniampodcast</t>
  </si>
  <si>
    <t>desenvolvimentopessoal autoconhecimento metas determinação inspiração transformação crescimento sucesso ações mindset goals proposito maniampodcast</t>
  </si>
  <si>
    <t>desenvolvimentopessoal autoconhecimento habitos inspiração transformação crescimento sucesso ações mindset goals maniampodcast mindsetcoach masculinidade</t>
  </si>
  <si>
    <t>desenvolvimentopessoal autoconhecimento metas objetivos habitos autoajuda determinação inspiração transformação crescimento sucesso ações mindset maniampodcast</t>
  </si>
  <si>
    <t>desenvolvimentopessoal autoconhecimento habitos inspiração transformação crescimento sucesso ações mindset goals maniampodcast mindsetcoach</t>
  </si>
  <si>
    <t>desenvolvimentopessoal autoconhecimento metas objetivos habitos autoajuda determinação inspiração transformação crescimento sucesso ações proposito maniampodcast mindset confiança</t>
  </si>
  <si>
    <t>desenvolvimentopessoal autoconhecimento habitos inspiração transformação crescimento sucesso ações mindset goals maniampodcast mindsetcoach superação liderança</t>
  </si>
  <si>
    <t>desenvolvimentopessoal autoconhecimento habitos inspiração transformação crescimento sucesso ações mindset goals maniampodcast mindsetcoach shorts foco determicacao mindset</t>
  </si>
  <si>
    <t>desenvolvimentopessoal autoconhecimento metas objetivos habitos autoajuda determinação inspiração crescimento sucesso ações mindset goals proposito maniampodcast</t>
  </si>
  <si>
    <t>ações stocks investimento investimentos mercadofinanceiro mercadodeações rendaextra rendapassiva juroscompostos rendimentos bolsadevalores investirnoexterior</t>
  </si>
  <si>
    <t>fundosimobiliarios ações</t>
  </si>
  <si>
    <t>acoes dividendos renda</t>
  </si>
  <si>
    <t>dolar acoes ouro tesouro</t>
  </si>
  <si>
    <t>limeira ações saúde ocanaldalili ocanaldalilitv</t>
  </si>
  <si>
    <t>viia3 bhia3 blackrock acoes ibov</t>
  </si>
  <si>
    <t>seguroambiental reclamação terceiros ações</t>
  </si>
  <si>
    <t>carteira acoes</t>
  </si>
  <si>
    <t>2tmobinvesting mercadofinanceiro criptomoedas brasil morningcall investimentos noticias brasil cafe agro b3brasil acoes china</t>
  </si>
  <si>
    <t>investimentos ações dividendos</t>
  </si>
  <si>
    <t>itau investimentos ações</t>
  </si>
  <si>
    <t>ações investimentos finanças economia</t>
  </si>
  <si>
    <t>investimentos ações finanças</t>
  </si>
  <si>
    <t>sigaif inteligenciafinanceira ações</t>
  </si>
  <si>
    <t>investimentos dividendos ações</t>
  </si>
  <si>
    <t>ações inteligênciafinanceira sigaif</t>
  </si>
  <si>
    <t>b3 investimentos squadra ações</t>
  </si>
  <si>
    <t>investimentos globais bdr ações</t>
  </si>
  <si>
    <t>diretoaoponto rogériomarinho ações stf</t>
  </si>
  <si>
    <t>ibovespa ibov bitcoin trading ações</t>
  </si>
  <si>
    <t>fiis ações</t>
  </si>
  <si>
    <t>ações assistência</t>
  </si>
  <si>
    <t>desenvolvesudeste ações</t>
  </si>
  <si>
    <t>nordeste crato desenvolvimento ações</t>
  </si>
  <si>
    <t>agricultura ações</t>
  </si>
  <si>
    <t>descomplica finanças finançasparatodos dinheiro youtube investir ações avaliarumaempresa estruturasimplesdeumbalanço</t>
  </si>
  <si>
    <t>dinheiro ações investimentos</t>
  </si>
  <si>
    <t>ações bluechips smallcaps</t>
  </si>
  <si>
    <t>investimentos imovel imoveis fii acoes</t>
  </si>
  <si>
    <t>ações proventos dividendos petr4 grnd3</t>
  </si>
  <si>
    <t>investimentos ações ambp3 ambipar</t>
  </si>
  <si>
    <t>meunovopost ações caml3 camil</t>
  </si>
  <si>
    <t>investimentos acões ações b3</t>
  </si>
  <si>
    <t>ações educação fies smallcaps</t>
  </si>
  <si>
    <t>mglu3 magalu ações ibovespa mglu3</t>
  </si>
  <si>
    <t>ritos ações</t>
  </si>
  <si>
    <t>prefeitura avança ações combate mosquito aedes aegypti capital</t>
  </si>
  <si>
    <t>trf1 acolhe recurso mpf ordena ações melhoria trechos br acre</t>
  </si>
  <si>
    <t>operacao shamar sspgo realiza acoes combate violenciacontramulher mjsp pc pm gcm saoi</t>
  </si>
  <si>
    <t>ses saude acoes eventos incentivar vacinacao estado</t>
  </si>
  <si>
    <t>keepgrowingmentoria realização liberdadefinanceira educaçãofinanceira mentoria inteligenciafinanceira dinheiro investir investimentos ações</t>
  </si>
  <si>
    <t>keepgrowingmentoria makeyourfuture desenvolvimentopessoal realização liberdadefinanceira educaçãofinanceira mentoria inteligenciafinanceira dinheiro investir investimentos ações investidoresiniciantes</t>
  </si>
  <si>
    <t>keepgrowingmentoria realização liberdadefinanceira aposentadoria inteligenciafinanceira dinheiro investir investimentos ações inss dinheiro velhice educaçãofinanceira inteligenciafinanceira</t>
  </si>
  <si>
    <t>inbr32 rendavariavel acoes dinheiro</t>
  </si>
  <si>
    <t>investimentos ações econoweek</t>
  </si>
  <si>
    <t>investimentos criptomoedas ações movo</t>
  </si>
  <si>
    <t>ações criptomoedas</t>
  </si>
  <si>
    <t>cfd ações</t>
  </si>
  <si>
    <t>cripto investimento ações</t>
  </si>
  <si>
    <t>cripto acoes portifolio investimento airdrop movo</t>
  </si>
  <si>
    <t>ações criptos</t>
  </si>
  <si>
    <t>cripto acoes movo airdrop</t>
  </si>
  <si>
    <t>diadocliente investimentos criptomoedas ações</t>
  </si>
  <si>
    <t>cripto acoes investimento</t>
  </si>
  <si>
    <t>trade cripto acoes airdrop investimento</t>
  </si>
  <si>
    <t>ações cripto resultados investimentos movotrade</t>
  </si>
  <si>
    <t>realizações ações ideias conquistas</t>
  </si>
  <si>
    <t>copel cple6 privatização ações debêntures oferta tcu</t>
  </si>
  <si>
    <t>localiza oferta debentures ações locadoradeveículos</t>
  </si>
  <si>
    <t>nubank nubr33 bolsadevalores ibovespa ações bdr cvm</t>
  </si>
  <si>
    <t>assaí asai3 emissão debêntures truesecuritizadora ações</t>
  </si>
  <si>
    <t>sabesp sbsp3 citi preçoalvo ações internationalfinancecorporation ifc</t>
  </si>
  <si>
    <t>brf brfs3 goldmansachs recomendação venda ações</t>
  </si>
  <si>
    <t>aesbrasil aes aesb3 brasil basil luizbasil ações participação compradordeações compraações</t>
  </si>
  <si>
    <t>oncoclínicas onco3 ofertapublica ações</t>
  </si>
  <si>
    <t>cvc cvcb3 ações ceo ibovespa</t>
  </si>
  <si>
    <t>cvc cvcb3 aporte ceo ações gjp</t>
  </si>
  <si>
    <t>magalu mglu3 prejuízolíquido ações fabríciolorenz</t>
  </si>
  <si>
    <t>alpargatas alpa4 empiricus opa ofertapublicadeaquisicao aquisição ações venda</t>
  </si>
  <si>
    <t>petrobras petroleira ações acelen preçosdoscombustíveis mercadointernacinal bahia</t>
  </si>
  <si>
    <t>b3 bolsadevalores ações volumefinanceiro contrato</t>
  </si>
  <si>
    <t>casino alerta risco inadimplência ações varejista negociações credores proteçãojudicial</t>
  </si>
  <si>
    <t>caixaseguridade ipo primeirosemestre ações bolsadevalores</t>
  </si>
  <si>
    <t>santander sanb11 ações empresas mineração</t>
  </si>
  <si>
    <t>cvc cvcb3 aporte ceo ações gjp pauus guilhermepaulus</t>
  </si>
  <si>
    <t>petrobras petroleira ações ibama preçosdoscombustíveis mercadointernacinal</t>
  </si>
  <si>
    <t>cvc cvcb3 ações renúncia ceo cfo</t>
  </si>
  <si>
    <t>braskem brkm5 petrobras ações muibadala novonor adnoc odebrecht</t>
  </si>
  <si>
    <t>braskem brkm5 4t22 ações queda bolsa</t>
  </si>
  <si>
    <t>nubank nubr33 bolsadevalores ibovespa ações bdr cvm acionistas</t>
  </si>
  <si>
    <t>pãodeaçúcar pcar3 gpa oferta ações éxito</t>
  </si>
  <si>
    <t>suzano suzb3 ações recompra</t>
  </si>
  <si>
    <t>cvc cvcb3 oferta ações gjp</t>
  </si>
  <si>
    <t>petrobras braskem unipar ações novonor ibovespa compra</t>
  </si>
  <si>
    <t>méliuz cash3 mercado venda ações</t>
  </si>
  <si>
    <t>minerva beef3 economia mercadodeacoes acoes mercadofinanceiro bpmoney</t>
  </si>
  <si>
    <t>eletrobras elet3 desvalorização ações lula fgts privatização</t>
  </si>
  <si>
    <t>yduqs yudq3 balanço1t23 mercado balanço ações altaações</t>
  </si>
  <si>
    <t>braskem brkm5 petrobras petr3 petr4 ações muibadala</t>
  </si>
  <si>
    <t>eletrobras elet6 vicepresidente venda ações</t>
  </si>
  <si>
    <t>brf brfs3 ações ativosjudiciais precatórios blackrock</t>
  </si>
  <si>
    <t>btgpactual bpac11 spxrl fundo cvm ações</t>
  </si>
  <si>
    <t>pcar3 gpa ibovespa ações casino queda ofertas aquisição</t>
  </si>
  <si>
    <t>tc trad3 acordo ferri venda ações leilão bolsadevalores</t>
  </si>
  <si>
    <t>localiza rent3 conselhodeadministração capital ações</t>
  </si>
  <si>
    <t>unipar unip6 ações braskem brkm5</t>
  </si>
  <si>
    <t>petrobras petr3 petr4 mercado dividendos ações ação</t>
  </si>
  <si>
    <t>marfrig mrfg3 capital ações brf brfs3</t>
  </si>
  <si>
    <t>ccr recompra ações planoestratégico mudança diretoria</t>
  </si>
  <si>
    <t>camil caml3 jcp ações açõesordinarias pagamento dividendos</t>
  </si>
  <si>
    <t>cvc cvcb3 ações ibovespa dolar</t>
  </si>
  <si>
    <t>taesa taee11 mercado mercadodeações ofertadeações ações</t>
  </si>
  <si>
    <t>desktop desk3 aquisição compra venda opçãodecompra ações valor</t>
  </si>
  <si>
    <t>acoes mercadofinanceiro mercadodeacoes ibovespa dolar bpmoney</t>
  </si>
  <si>
    <t>aliexpress acoes investimentos mercadofinanceiro bpmoney</t>
  </si>
  <si>
    <t>light ligt3 recuperaçãojudicial mercado tanure nelsontanure ações</t>
  </si>
  <si>
    <t>brf brfs3 ações ativosjudiciais precatórios</t>
  </si>
  <si>
    <t>copel cple6 privatização ações debêntures oferta tcu pt julgamento processo</t>
  </si>
  <si>
    <t>santosbrasil stbp3 dividendos ações acionistas b3</t>
  </si>
  <si>
    <t>direcional construtora ofertapublica ações aumentodecapital</t>
  </si>
  <si>
    <t>copel cple6 privatização ações debêntures</t>
  </si>
  <si>
    <t>irb irbbrasil irbr3 mercado debentures ações</t>
  </si>
  <si>
    <t>bpmoney itaúsa itsa4 mercado xp ações ação nasdaq holding</t>
  </si>
  <si>
    <t>light ligt3 nelsontenure ações</t>
  </si>
  <si>
    <t>klabin klbn11 balanço 1t23 lucro ebitda receita mercado mercadodeações ações dividendos klbn3 klbn4</t>
  </si>
  <si>
    <t>renner 1t23 jpmorgan varejista ações</t>
  </si>
  <si>
    <t>vale vale3 ações minérios chiina alta ibovespa</t>
  </si>
  <si>
    <t>fiagro snag11 dividendos ações cotas</t>
  </si>
  <si>
    <t>gol goll4 2t23 ações receita balanço</t>
  </si>
  <si>
    <t>pãodeaçúcar pcar3 gpa ibovespa ações casino</t>
  </si>
  <si>
    <t>unipar unip6 braskem brkm5 aumentodevalor ofertapublica ações petrobras petr3 novonor</t>
  </si>
  <si>
    <t>gol goll4 títulos remuneração venda ações mercado glai companhiaaérea emissão</t>
  </si>
  <si>
    <t>petrobras petroleira ações mercadointernacinal planoestratégico sustentabilidade</t>
  </si>
  <si>
    <t>magalu magazineluiza mglu3 ações queda xp itaúbba itaú difal</t>
  </si>
  <si>
    <t>suzano suzb3 mercado balanço ações bradescobbi</t>
  </si>
  <si>
    <t>taesa taee11 ações ofertas 1t23 primeirotrimestre2023 expectativa projeção</t>
  </si>
  <si>
    <t>movida movi3 títulosdedívida recompra ações preço transação</t>
  </si>
  <si>
    <t>xp xpbr31 itaúsa itsa4 acordo acionistas ações</t>
  </si>
  <si>
    <t>desenrola bancos ações ibovespa crédito nomelimpo</t>
  </si>
  <si>
    <t>vamos vamo3 oferta ações simpar simh3 cvm</t>
  </si>
  <si>
    <t>light ligt3 recuperaçãojudicial aneel reajuste equatorial eqtl3 ações</t>
  </si>
  <si>
    <t>light ligt3 recuperaçãojudicial equatorial eqtl3 ações</t>
  </si>
  <si>
    <t>petrobras petroleira braskem aquisição estatalarabe presidentepetrobras ações</t>
  </si>
  <si>
    <t>light ligt3 rj ações prejuízo renúncia wntcapital nelsontanure</t>
  </si>
  <si>
    <t>light ligt3 rj ações papéis 1t23 recuperaçãojudicial</t>
  </si>
  <si>
    <t>capes paeint programa apoio ações estratégicas pesquisadores instituições ensinosuperior</t>
  </si>
  <si>
    <t>daytrade cnnbrasil investimento acoes swingtrade lren3 cvcb3 asai3</t>
  </si>
  <si>
    <t>tradingstrategies investing tradingtips stocks stockmarket optionstrading stockanalysis bolsadevalores mercadofinanceiro análisetécnica ações stocktrading daytrading stockcharts marketanalysis technicalanalysis</t>
  </si>
  <si>
    <t>tradingstrategies investing tradingtips stocks stockmarket optionstrading stockanalysis bolsadevalores mercadofinanceiro análisetécnica ações stocktrading daytrading stockcharts marketanalysis technicalanalysis btc</t>
  </si>
  <si>
    <t>tradingstrategies investing tradingtips stocks stockmarket optionstrading stockanalysis bolsadevalores mercadofinanceiro análisetécnica ações stocktrading daytrading stockcharts marketanalysis</t>
  </si>
  <si>
    <t>tradingstrategies investing tradingtips stocks stockmarket optionstrading stockanalysis bolsadevalores mercadofinanceiro priceaction análisetécnica ações stocktrading daytrading stockcharts marketanalysis</t>
  </si>
  <si>
    <t>itauunibanco xpinc blocktrade ações</t>
  </si>
  <si>
    <t>ações b3 empresas</t>
  </si>
  <si>
    <t>ações alpargatas empresas</t>
  </si>
  <si>
    <t>ações empresas feedprincipal</t>
  </si>
  <si>
    <t>ações alianscesonae brf</t>
  </si>
  <si>
    <t>2t23 ações empresas</t>
  </si>
  <si>
    <t>ações boasafra chevron</t>
  </si>
  <si>
    <t>3rpetroleum ações azul</t>
  </si>
  <si>
    <t>ações empresas goldmansachs</t>
  </si>
  <si>
    <t>ações feedprincipal ibovespa</t>
  </si>
  <si>
    <t>3rpetroleum ações alianscesonae</t>
  </si>
  <si>
    <t>ações b3 feedprincipal</t>
  </si>
  <si>
    <t>3rpetroleum ações b3</t>
  </si>
  <si>
    <t>ações americanas empresas</t>
  </si>
  <si>
    <t>ações dowjones estadosunidos</t>
  </si>
  <si>
    <t>ações banestes bradesco</t>
  </si>
  <si>
    <t>ações bolsasasiáticas china</t>
  </si>
  <si>
    <t>ações andradegutierrez businesstimes</t>
  </si>
  <si>
    <t>ações azul brf</t>
  </si>
  <si>
    <t>ações ásia bolsadevalores</t>
  </si>
  <si>
    <t>ações brasil feedprincipal</t>
  </si>
  <si>
    <t>ações bolsaseuropeias estadosunidos</t>
  </si>
  <si>
    <t>ações b3 brasil</t>
  </si>
  <si>
    <t>ações azul bradescobbi</t>
  </si>
  <si>
    <t>ações bancodobrasil bolsadevalores</t>
  </si>
  <si>
    <t>ações cielo citi</t>
  </si>
  <si>
    <t>ações feedprincipal mercados</t>
  </si>
  <si>
    <t>ações apple colunistas</t>
  </si>
  <si>
    <t>ações cvc feedprincipal</t>
  </si>
  <si>
    <t>ações colunistaempiricus colunistas</t>
  </si>
  <si>
    <t>ações ásia austrália</t>
  </si>
  <si>
    <t>ações bancodobrasil bancos</t>
  </si>
  <si>
    <t>ações dividendos empresas</t>
  </si>
  <si>
    <t>ações aeris cvc</t>
  </si>
  <si>
    <t>ações empiricusresearch empresas</t>
  </si>
  <si>
    <t>ações europa feedprincipal</t>
  </si>
  <si>
    <t>ações businesstimes empresas</t>
  </si>
  <si>
    <t>ações azul cvc</t>
  </si>
  <si>
    <t>ações ceos cvc</t>
  </si>
  <si>
    <t>ações cvc dividendos</t>
  </si>
  <si>
    <t>ações b3 buladomercado</t>
  </si>
  <si>
    <t>ações balançacomercial buladomercado</t>
  </si>
  <si>
    <t>ações b3 bancos</t>
  </si>
  <si>
    <t>1t23 ações businesstimes</t>
  </si>
  <si>
    <t>ações b3 copom</t>
  </si>
  <si>
    <t>ações braskem eletrobras</t>
  </si>
  <si>
    <t>3rpetroleum ações entrealtasebaixas</t>
  </si>
  <si>
    <t>ações braskem feedprincipal</t>
  </si>
  <si>
    <t>ações btgpactual eletrobras</t>
  </si>
  <si>
    <t>ações adr alemanha</t>
  </si>
  <si>
    <t>ações ásia bolsasasiáticas</t>
  </si>
  <si>
    <t>ações caixaseguridade dividendos</t>
  </si>
  <si>
    <t>ações arcabouçofiscal b3</t>
  </si>
  <si>
    <t>ações empresas facebook</t>
  </si>
  <si>
    <t>3rpetroleum ações copom</t>
  </si>
  <si>
    <t>ações bancopan bolsadevalores</t>
  </si>
  <si>
    <t>1t23 3rpetroleum ações</t>
  </si>
  <si>
    <t>ações ânimaeducação educação</t>
  </si>
  <si>
    <t>ações bolsadevalores empresas</t>
  </si>
  <si>
    <t>3rpetroleum ações ccr</t>
  </si>
  <si>
    <t>ações bolsadevalores entrevista</t>
  </si>
  <si>
    <t>ações commodities empresas</t>
  </si>
  <si>
    <t>ações b3 btgpactual</t>
  </si>
  <si>
    <t>ações bolsadevalores colunadomarketmakers</t>
  </si>
  <si>
    <t>ações alupar dividendos</t>
  </si>
  <si>
    <t>ações combustíveis empresas</t>
  </si>
  <si>
    <t>ações arábiasaudita armas</t>
  </si>
  <si>
    <t>3rpetroleum ações csn</t>
  </si>
  <si>
    <t>ações adr dividendos</t>
  </si>
  <si>
    <t>ações commodities dividendos</t>
  </si>
  <si>
    <t>ações blaufarmacêutica dividendos</t>
  </si>
  <si>
    <t>ações antgroup e</t>
  </si>
  <si>
    <t>ações empresas hidroviasdobrasil</t>
  </si>
  <si>
    <t>ações alupar ambipar</t>
  </si>
  <si>
    <t>ações businesstimes elonmusk</t>
  </si>
  <si>
    <t>ações economia feedprincipal</t>
  </si>
  <si>
    <t>ações bolsa conteúdoempiricus</t>
  </si>
  <si>
    <t>ações bancocentraleuropeu bolsaseuropeias</t>
  </si>
  <si>
    <t>ações bancocentral feedprincipal</t>
  </si>
  <si>
    <t>ações adr b3</t>
  </si>
  <si>
    <t>ações educaçãofinanceira fundosdeinvestimento</t>
  </si>
  <si>
    <t>ações blackrock cogna</t>
  </si>
  <si>
    <t>ações bancos businesstimes</t>
  </si>
  <si>
    <t>ações azul csn</t>
  </si>
  <si>
    <t>ações brasil debêntures</t>
  </si>
  <si>
    <t>ações cdb cra</t>
  </si>
  <si>
    <t>ações bancodainglaterra bolsaseuropeias</t>
  </si>
  <si>
    <t>ações brf csn</t>
  </si>
  <si>
    <t>ações bilionários empresas</t>
  </si>
  <si>
    <t>ações copel empresas</t>
  </si>
  <si>
    <t>ações b3 dólar</t>
  </si>
  <si>
    <t>ações apple estadosunidos</t>
  </si>
  <si>
    <t>ações bolsaseuropeias europa</t>
  </si>
  <si>
    <t>ações cemig empresas</t>
  </si>
  <si>
    <t>ações dívidas dowjones</t>
  </si>
  <si>
    <t>ações arcabouçofiscal brasil</t>
  </si>
  <si>
    <t>ações china csn</t>
  </si>
  <si>
    <t>ações arcabouçofiscal economia</t>
  </si>
  <si>
    <t>ações empresas gestorasderecursos</t>
  </si>
  <si>
    <t>ações b3 ibovespa</t>
  </si>
  <si>
    <t>ações alpargatas assaí</t>
  </si>
  <si>
    <t>ações embraer feedprincipal</t>
  </si>
  <si>
    <t>ações bancos bradesco</t>
  </si>
  <si>
    <t>ações bancocentral bolsadevalores</t>
  </si>
  <si>
    <t>ações blackrock bolsadevalores</t>
  </si>
  <si>
    <t>ações carrefour empresas</t>
  </si>
  <si>
    <t>ações alpargatas copom</t>
  </si>
  <si>
    <t>ações bbseguridade carteirarecomendada</t>
  </si>
  <si>
    <t>1t23 ações arezzo</t>
  </si>
  <si>
    <t>ações consumo e</t>
  </si>
  <si>
    <t>ações businesstimes cvm</t>
  </si>
  <si>
    <t>ações china empresas</t>
  </si>
  <si>
    <t>ações alliançasaúde alliar</t>
  </si>
  <si>
    <t>3rpetroleum ações braskem</t>
  </si>
  <si>
    <t>ações empiricusresearch feedprincipal</t>
  </si>
  <si>
    <t>ações feedprincipal jornais</t>
  </si>
  <si>
    <t>ações bbseguridade btgpactual</t>
  </si>
  <si>
    <t>ações b3 carteirarecomendada</t>
  </si>
  <si>
    <t>ações carteirarecomendada copel</t>
  </si>
  <si>
    <t>ações carteirarecomendada feedprincipal</t>
  </si>
  <si>
    <t>ações empresas enauta</t>
  </si>
  <si>
    <t>ações bancodobrasil bbseguridade</t>
  </si>
  <si>
    <t>ações bolsafamília clima</t>
  </si>
  <si>
    <t>ações businesstimes combustíveis</t>
  </si>
  <si>
    <t>ações bndes businesstimes</t>
  </si>
  <si>
    <t>ações americanas businesstimes</t>
  </si>
  <si>
    <t>ações blackrock copasa</t>
  </si>
  <si>
    <t>ações csn csnmineração</t>
  </si>
  <si>
    <t>ações economia federalreserve</t>
  </si>
  <si>
    <t>3rpetroleum ações copel</t>
  </si>
  <si>
    <t>2t23 ações bancos</t>
  </si>
  <si>
    <t>3rpetroleum ações alpargatas</t>
  </si>
  <si>
    <t>ações empresas estadosunidos</t>
  </si>
  <si>
    <t>ações colunadomarketmakers opinião</t>
  </si>
  <si>
    <t>3rpetroleum ações bancodobrasil</t>
  </si>
  <si>
    <t>ações aesbrasil alupar</t>
  </si>
  <si>
    <t>ações bolsaseuropeias china</t>
  </si>
  <si>
    <t>ações ânimaeducação braskem</t>
  </si>
  <si>
    <t>ações bolsasasiáticas estadosunidos</t>
  </si>
  <si>
    <t>ações bolsadevalores mercados</t>
  </si>
  <si>
    <t>ações b3 economia</t>
  </si>
  <si>
    <t>ações embraer empresas</t>
  </si>
  <si>
    <t>ações bancos economia</t>
  </si>
  <si>
    <t>ações americanas bolsadevalores</t>
  </si>
  <si>
    <t>ações bolsadevalores feedprincipal</t>
  </si>
  <si>
    <t>ações adidas bancocentraldojapão</t>
  </si>
  <si>
    <t>ações feedprincipal investimentos</t>
  </si>
  <si>
    <t>ações alemanha bolsaseuropeias</t>
  </si>
  <si>
    <t>ações b3 china</t>
  </si>
  <si>
    <t>ações china dívidas</t>
  </si>
  <si>
    <t>ações aesbrasil arezzo</t>
  </si>
  <si>
    <t>ações ccr empresas</t>
  </si>
  <si>
    <t>3rpetroleum ações bolsadevalores</t>
  </si>
  <si>
    <t>ações dowjones feedprincipal</t>
  </si>
  <si>
    <t>ações bancocentral empresas</t>
  </si>
  <si>
    <t>ações china feedprincipal</t>
  </si>
  <si>
    <t>ações brf copel</t>
  </si>
  <si>
    <t>ações adr bancocentral</t>
  </si>
  <si>
    <t>ações feedprincipal genialinvestimentos</t>
  </si>
  <si>
    <t>ações eletrobras empresas</t>
  </si>
  <si>
    <t>3rpetroleum ações commodities</t>
  </si>
  <si>
    <t>ações bancodobrasil dividendos</t>
  </si>
  <si>
    <t>ações adr china</t>
  </si>
  <si>
    <t>ações brasil economia</t>
  </si>
  <si>
    <t>ações alianscesonae ambipar</t>
  </si>
  <si>
    <t>ações américalatina ásia</t>
  </si>
  <si>
    <t>ações auren bolsadevalores</t>
  </si>
  <si>
    <t>ações bancos bolsaseuropeias</t>
  </si>
  <si>
    <t>ações adr btgpactual</t>
  </si>
  <si>
    <t>ações copom economia</t>
  </si>
  <si>
    <t>ações cielo dividendos</t>
  </si>
  <si>
    <t>1t23 ações adr</t>
  </si>
  <si>
    <t>ações businesstimes construçãocivil</t>
  </si>
  <si>
    <t>1t23 ações amazon</t>
  </si>
  <si>
    <t>mercadofinanceiro ibovespa b3 ações leiamoneytimes</t>
  </si>
  <si>
    <t>moneytimes ações vale petrobras</t>
  </si>
  <si>
    <t>finanças mercadofinanceiro ações leiamoneytimes</t>
  </si>
  <si>
    <t>ações b3 bolsadevalores moneytimes</t>
  </si>
  <si>
    <t>ações mercadofinanceiro ibovespa empresas azul leiamoneytimes</t>
  </si>
  <si>
    <t>ações b3 superquarta moneytimes</t>
  </si>
  <si>
    <t>ibovespa acoes vale3 mercadofinanceiro moneytimes</t>
  </si>
  <si>
    <t>moneytimes açoes investimento</t>
  </si>
  <si>
    <t>comprarouvender eletrica acoes</t>
  </si>
  <si>
    <t>moneytimes vale açoes</t>
  </si>
  <si>
    <t>moneytimes açoes investimentos</t>
  </si>
  <si>
    <t>ações mercadofinanceiro bancos empresas</t>
  </si>
  <si>
    <t>ações mercadofinanceiro ibovespa casasbahia varejo</t>
  </si>
  <si>
    <t>dividendos ações mercadofinanceiro empresas b3</t>
  </si>
  <si>
    <t>ações mercadofinanceiro empresas ibovespa b3</t>
  </si>
  <si>
    <t>ações mercadofinanceiro empresas dividendos</t>
  </si>
  <si>
    <t>3rpetroleum ações carteirarecomendada</t>
  </si>
  <si>
    <t>ações bancodobrasil carteirarecomendada</t>
  </si>
  <si>
    <t>ações alpargatas americanas</t>
  </si>
  <si>
    <t>ações agricultura agronegócio</t>
  </si>
  <si>
    <t>3rpetroleum ações empresas</t>
  </si>
  <si>
    <t>ações bbinvestimentos carteirarecomendada</t>
  </si>
  <si>
    <t>ações economia empresas</t>
  </si>
  <si>
    <t>3rpetroleum ações carrefour</t>
  </si>
  <si>
    <t>3rpetroleum ações assaí</t>
  </si>
  <si>
    <t>ações berkshirehathaway commodities</t>
  </si>
  <si>
    <t>ações bolsadevalores marketmakers</t>
  </si>
  <si>
    <t>ações ambipar colunistaempiricus</t>
  </si>
  <si>
    <t>ações azul bradespar</t>
  </si>
  <si>
    <t>ações elonmusk federalreserve</t>
  </si>
  <si>
    <t>ações bbseguridade bradespar</t>
  </si>
  <si>
    <t>ações benndorf bolsadevalores</t>
  </si>
  <si>
    <t>ações colunadomarketmakers marketmakers</t>
  </si>
  <si>
    <t>ações aviação empresas</t>
  </si>
  <si>
    <t>ações cade empresas</t>
  </si>
  <si>
    <t>aço ações china</t>
  </si>
  <si>
    <t>ações bilionários eduardosaverin</t>
  </si>
  <si>
    <t>ações bolsaseuropeias economia</t>
  </si>
  <si>
    <t>ações alpargatas azul</t>
  </si>
  <si>
    <t>ações ambev bbinvestimentos</t>
  </si>
  <si>
    <t>ações dividendos eletronorte</t>
  </si>
  <si>
    <t>ações alianscesonae banestes</t>
  </si>
  <si>
    <t>ações b3 cvm</t>
  </si>
  <si>
    <t>ações braskem empresas</t>
  </si>
  <si>
    <t>ações bdr businesstimes</t>
  </si>
  <si>
    <t>ações bancos bdr</t>
  </si>
  <si>
    <t>ações mercadofinanceiro empresas magazineluiza varejo leiamoneytimes</t>
  </si>
  <si>
    <t>moneytimes ações economia</t>
  </si>
  <si>
    <t>b3 ações investidorestrangeiro moneytimes</t>
  </si>
  <si>
    <t>ações agro swingtrade</t>
  </si>
  <si>
    <t>ações mercadofinanceiro vale3 cmin3 mineração leiamoneytimes</t>
  </si>
  <si>
    <t>ações empresas localiza carros jcp leiamoneytimes</t>
  </si>
  <si>
    <t>ações bolsadevalores mercado leiamoneytimes</t>
  </si>
  <si>
    <t>ibovespa acoes mercadofinanceiro moneytimes</t>
  </si>
  <si>
    <t>ações b3 consumo</t>
  </si>
  <si>
    <t>3rpetroleum ações cemig</t>
  </si>
  <si>
    <t>ações artigo cvm</t>
  </si>
  <si>
    <t>ações energisa equatorial</t>
  </si>
  <si>
    <t>ações businesstimes dividendos</t>
  </si>
  <si>
    <t>ações colunadovicenteguimarães colunistas</t>
  </si>
  <si>
    <t>ações assaí brf</t>
  </si>
  <si>
    <t>ações conteúdoempiricus dividendos</t>
  </si>
  <si>
    <t>ações dívidas dólar</t>
  </si>
  <si>
    <t>ações banestes blaufarmacêutica</t>
  </si>
  <si>
    <t>ações arábiasaudita bolsasasiáticas</t>
  </si>
  <si>
    <t>ações americanas cvc</t>
  </si>
  <si>
    <t>ações copom empiricusinvestimentos</t>
  </si>
  <si>
    <t>ações americanas colunadofernandoluiz</t>
  </si>
  <si>
    <t>ações estadosunidos feedprincipal</t>
  </si>
  <si>
    <t>ações cisco dowjones</t>
  </si>
  <si>
    <t>ações dividendos e</t>
  </si>
  <si>
    <t>ações dividendos economia</t>
  </si>
  <si>
    <t>ações azul benndorf</t>
  </si>
  <si>
    <t>ações arcabouçofiscal dívidas</t>
  </si>
  <si>
    <t>daytrader bolsadevalores ações leiamoneytimes</t>
  </si>
  <si>
    <t>ações ibovespa mercado leiamoneytimes</t>
  </si>
  <si>
    <t>ações mercadofinanceiro seguros empresas leiamoneytimes</t>
  </si>
  <si>
    <t>ações bolsadevalores leiamoneytimes</t>
  </si>
  <si>
    <t>daytrader ações leiamoneytimes</t>
  </si>
  <si>
    <t>ações ibovespa leiamoneytimes</t>
  </si>
  <si>
    <t>ações dividendos bolsadevalores leiamoneytimes</t>
  </si>
  <si>
    <t>ações empresas mercado leiamoneytimes</t>
  </si>
  <si>
    <t>ações mercadofinanceiro empresas b3 leiamoneytimes</t>
  </si>
  <si>
    <t>empresas ações varejo renner jcp leiamoneytimes</t>
  </si>
  <si>
    <t>mercadofinanceiro ações selic copom leiamoneytimes juros</t>
  </si>
  <si>
    <t>ações jcp copel mercadofinanceiro leiamoneytimes</t>
  </si>
  <si>
    <t>ações mercadofinanceiro empresas varejo b3</t>
  </si>
  <si>
    <t>moneytimes economia ações</t>
  </si>
  <si>
    <t>ações frigoríficos carnes</t>
  </si>
  <si>
    <t>fluxodecapital b3 ações</t>
  </si>
  <si>
    <t>moneytimes ações investimento</t>
  </si>
  <si>
    <t>ações mercadofinanceiro leiamoneytimes</t>
  </si>
  <si>
    <t>ações empresas fusõeseaquisições</t>
  </si>
  <si>
    <t>aço ações ceos</t>
  </si>
  <si>
    <t>ações bancocentral csn</t>
  </si>
  <si>
    <t>ações ambev cielo</t>
  </si>
  <si>
    <t>ações açõesamericanas dívidapública</t>
  </si>
  <si>
    <t>ações bolsadevalores bradesco</t>
  </si>
  <si>
    <t>2t23 ações feedprincipal</t>
  </si>
  <si>
    <t>ações consumo dívidas</t>
  </si>
  <si>
    <t>3rpetroleum ações bbinvestimentos</t>
  </si>
  <si>
    <t>ações conteúdoempiricus serasa</t>
  </si>
  <si>
    <t>ações banestes bolsadevalores</t>
  </si>
  <si>
    <t>ações b3 cvc</t>
  </si>
  <si>
    <t>ações consumo dividendos</t>
  </si>
  <si>
    <t>ações bbseguridade cogna</t>
  </si>
  <si>
    <t>ações cosan cvc</t>
  </si>
  <si>
    <t>ações bolsadevalores cvc</t>
  </si>
  <si>
    <t>ações china economia</t>
  </si>
  <si>
    <t>ações bancos bankofamerica</t>
  </si>
  <si>
    <t>ações bradesco carteirarecomendada</t>
  </si>
  <si>
    <t>ações china ibovespa</t>
  </si>
  <si>
    <t>ações azul empresas</t>
  </si>
  <si>
    <t>ações dowjones federalreserve</t>
  </si>
  <si>
    <t>ações combustíveis empiricusresearch</t>
  </si>
  <si>
    <t>ações arcabouçofiscal china</t>
  </si>
  <si>
    <t>1t23 ações azul</t>
  </si>
  <si>
    <t>ações agenda b3</t>
  </si>
  <si>
    <t>ações csucardsystem dividendos</t>
  </si>
  <si>
    <t>ações dívidas empresas</t>
  </si>
  <si>
    <t>ações b3 balançacomercial</t>
  </si>
  <si>
    <t>ações agu alexandresilveira</t>
  </si>
  <si>
    <t>ações aneel empresas</t>
  </si>
  <si>
    <t>ações cogna embraer</t>
  </si>
  <si>
    <t>ações empresas energiaelétrica</t>
  </si>
  <si>
    <t>ações ibovespa mercadofinanceiro b3 leiamoneytimes</t>
  </si>
  <si>
    <t>ações finanças bolsadevalores leiamoneytimes</t>
  </si>
  <si>
    <t>ações mercadofinanceiro empresas energia leiamoneytimes</t>
  </si>
  <si>
    <t>ações mercado finanças leiamoneytimes</t>
  </si>
  <si>
    <t>ações mercado empresas leiamoneytimes</t>
  </si>
  <si>
    <t>empresas ações bolsadevalores leiamoneytimes</t>
  </si>
  <si>
    <t>jornais noticias acoes ibovespa selic leiamoneytimes</t>
  </si>
  <si>
    <t>ações mercadofinanceiro energia leiamoneytimes</t>
  </si>
  <si>
    <t>ações mercadofinanceiro vale csn mineração</t>
  </si>
  <si>
    <t>empresas bolsadevalores ações leiamoneytimes</t>
  </si>
  <si>
    <t>empresas mercadofinanceiro energia ações</t>
  </si>
  <si>
    <t>ações empresas jcp copasa mercadofinanceiro</t>
  </si>
  <si>
    <t>mercadofinanceiro ações b3 ibovespa</t>
  </si>
  <si>
    <t>ações mercado leiamoneytimes</t>
  </si>
  <si>
    <t>3rpetroleum ações arezzo</t>
  </si>
  <si>
    <t>ações braskem businesstimes</t>
  </si>
  <si>
    <t>ações aeris b3</t>
  </si>
  <si>
    <t>ações b3 bdr</t>
  </si>
  <si>
    <t>ações azul braskem</t>
  </si>
  <si>
    <t>ações bolsadevalores copel</t>
  </si>
  <si>
    <t>ações businesstimes educação</t>
  </si>
  <si>
    <t>ações bankofamerica empresas</t>
  </si>
  <si>
    <t>ações construçãocivil empresas</t>
  </si>
  <si>
    <t>ações eletromidia empresas</t>
  </si>
  <si>
    <t>ações businesstimes china</t>
  </si>
  <si>
    <t>ações alpargatas csn</t>
  </si>
  <si>
    <t>ações alianscesonae carteirarecomendada</t>
  </si>
  <si>
    <t>ações bdr bolsadevalores</t>
  </si>
  <si>
    <t>3rpetroleum ações blackrock</t>
  </si>
  <si>
    <t>ações ambev auraminerals</t>
  </si>
  <si>
    <t>ações dexco dividendos</t>
  </si>
  <si>
    <t>ações copasa dividendos</t>
  </si>
  <si>
    <t>ações assaí azul</t>
  </si>
  <si>
    <t>ações americanas b3</t>
  </si>
  <si>
    <t>ações ambev americanas</t>
  </si>
  <si>
    <t>ações bancocentraldojapão bolsadevalores</t>
  </si>
  <si>
    <t>ações bolsadevalores brasil</t>
  </si>
  <si>
    <t>ações b3 braskem</t>
  </si>
  <si>
    <t>ações bolsaseuropeias federalreserve</t>
  </si>
  <si>
    <t>ações csn empresas</t>
  </si>
  <si>
    <t>ações empresas federalreserve</t>
  </si>
  <si>
    <t>ações dividendos feedprincipal</t>
  </si>
  <si>
    <t>ações disney dowjones</t>
  </si>
  <si>
    <t>ações alupar azul</t>
  </si>
  <si>
    <t>ações bloomberg emiradosárabesunidos</t>
  </si>
  <si>
    <t>ações airbnb bloomberg</t>
  </si>
  <si>
    <t>ações csn cvc</t>
  </si>
  <si>
    <t>ações bancos estadosunidos</t>
  </si>
  <si>
    <t>ações dowjones empresas</t>
  </si>
  <si>
    <t>ações braskem cemig</t>
  </si>
  <si>
    <t>ações biocombustível combustíveis</t>
  </si>
  <si>
    <t>3rpetroleum ações bradesco</t>
  </si>
  <si>
    <t>ações colunadomarketmakers investimentos</t>
  </si>
  <si>
    <t>3rpetroleum ações brf</t>
  </si>
  <si>
    <t>ações bilionários dividendos</t>
  </si>
  <si>
    <t>ações businesstimes consumo</t>
  </si>
  <si>
    <t>ações blackrock empresas</t>
  </si>
  <si>
    <t>ações azul bancodobrasil</t>
  </si>
  <si>
    <t>ações casino empresas</t>
  </si>
  <si>
    <t>ações alupar carteirarecomendada</t>
  </si>
  <si>
    <t>aço ações commodities</t>
  </si>
  <si>
    <t>ações empresas mercados</t>
  </si>
  <si>
    <t>ações braskem dividendos</t>
  </si>
  <si>
    <t>ações bancodebrasília bancodobrasil</t>
  </si>
  <si>
    <t>ações brf empresas</t>
  </si>
  <si>
    <t>ações bernstein bloomberg</t>
  </si>
  <si>
    <t>ações americanas copel</t>
  </si>
  <si>
    <t>ações bilionários billiontimes</t>
  </si>
  <si>
    <t>ações c empresas</t>
  </si>
  <si>
    <t>ações bolsaseuropeias empresas</t>
  </si>
  <si>
    <t>ações empresas europa</t>
  </si>
  <si>
    <t>ações eleições internacional</t>
  </si>
  <si>
    <t>ações azul bbseguridade</t>
  </si>
  <si>
    <t>ações auren cielo</t>
  </si>
  <si>
    <t>ações bancos estadãoconteúdo</t>
  </si>
  <si>
    <t>3rpetroleum ações feedprincipal</t>
  </si>
  <si>
    <t>ações bancocentral copom</t>
  </si>
  <si>
    <t>jiparana maiolaranja acoes semasf combate denuncia vulneraveis</t>
  </si>
  <si>
    <t>ações recompra recorde</t>
  </si>
  <si>
    <t>top5 ações ibov mercadofinanceiro cma b3 bolsadevalores investimentos</t>
  </si>
  <si>
    <t>viverderenda dividendos ações</t>
  </si>
  <si>
    <t>ações dividendos itsa4 bolsadevalores</t>
  </si>
  <si>
    <t>kinross ações ouro</t>
  </si>
  <si>
    <t>investimentos ações palmas</t>
  </si>
  <si>
    <t>dinheiro finanças investimento poupar renda economia economizar rico rica ações duduhrosa13</t>
  </si>
  <si>
    <t>investimentosbrasileexterior investimentobrasil investimentoexterior fii fundoimobiliario ações stocks etf reit cripto longoprazo primeiropasso boladeneve</t>
  </si>
  <si>
    <t>investimentosbrasileexterior investimentobrasil investimentoexterior fii fundoimobiliario ações stocks etf reit cripto btc eth dinheiro financas fazer tentar começar</t>
  </si>
  <si>
    <t>investimentosbrasileexterior investimentobrasil investimentoexterior fii fundoimobiliario ações stocks etf reit cripto btc eth dinheiro financas aapl apple us</t>
  </si>
  <si>
    <t>investimentosbrasileexterior investimentobrasil investimentoexterior rendavariável bolsadevalores longoprazo comoinvestir liberdadefinanceira ações dividendos lucroconstante lucrosconstantes</t>
  </si>
  <si>
    <t>investimentosbrasileexterior investimentobrasil investimentoexterior fii fundoimobiliario ações stocks etf reit cripto btc eth dinheiro financas</t>
  </si>
  <si>
    <t>investimentosbrasileexterior investimentobrasil investimentoexterior fii fundoimobiliario ações stocks etf reit cripto btc eth dinheiro</t>
  </si>
  <si>
    <t>investimentosbrasileexterior investimentobrasil investimentoexterior fii fundoimobiliario ações stocks etf reit cripto btc eth dinheiro financas spy mchi sp500</t>
  </si>
  <si>
    <t>investimentosbrasileexterior investimentobrasil investimentoexterior fii fundoimobiliario ações stocks etf reit cripto btc eth dinheiro financas receita bluechip</t>
  </si>
  <si>
    <t>investimentosbrasileexterior investimentobrasil investimentoexterior stock stocks brasil eua ações dividendos buyandhold longoprazo lucro sócio eua</t>
  </si>
  <si>
    <t>tbt investimentosbrasileexterior investimentobrasil investimentoexterior fii fundoimobiliario ações stocks etf reit cripto btc eth dinheiro financas</t>
  </si>
  <si>
    <t>investimentosbrasileexterior investimentobrasil investimentoexterior fii fundoimobiliario ações stocks etf reit cripto btc eth dinheiro financas semiconductor</t>
  </si>
  <si>
    <t>investimentosbrasileexterior investimentobrasil investimentoexterior fii ações dinheiro financas consistency intensidade</t>
  </si>
  <si>
    <t>investimentosbrasileexterior investimentobrasil investimentoexterior fii fundoimobiliario ações stocks etf reit cripto btc eth dinheiro financas constancia</t>
  </si>
  <si>
    <t>investimentosbrasileexterior investimentobrasil investimentoexterior fii fundoimobiliario ações stocks etf reit cripto btc eth bnb</t>
  </si>
  <si>
    <t>investimentosbrasileexterior investimentobrasil investimentoexterior fii fundoimobiliario ações stocks</t>
  </si>
  <si>
    <t>investimentosbrasileexterior investimentobrasil investimentoexterior fii fundoimobiliario ações stocks etf reit</t>
  </si>
  <si>
    <t>investimentosbrasileexterior investimentobrasil investimentoexterior fii fundoimobiliario ações stocks etf reit cripto btc eth dinheiro financas pix cartao</t>
  </si>
  <si>
    <t>investimentosbrasileexterior investimentobrasil investimentoexterior fii fundoimobiliario ações stocks etf reit cripto btc eth</t>
  </si>
  <si>
    <t>investimentosbrasileexterior investimentobrasil investimentoexterior fii fundoimobiliario ações stocks etf reit cripto btc eth dinheiro financas relogio joia retorno</t>
  </si>
  <si>
    <t>investimentosbrasileexterior investimentobrasil investimentoexterior fii fundoimobiliario ações stocks etf reit cripto btc eth dinheiro financas warrent buffet</t>
  </si>
  <si>
    <t>investimentosbrasileexterior investimentobrasil investimentoexterior stock stocks brasil eua ações dividendos buyandhold longoprazo lucro</t>
  </si>
  <si>
    <t>investimentosbrasileexterior investimentobrasil investimentoexterior stock stocks brasil eua ações dividendos buyandhold</t>
  </si>
  <si>
    <t>investimentosbrasileexterior investimentobrasil investimentoexterior reits ações</t>
  </si>
  <si>
    <t>investimentosbrasileexterior investimentobrasil investimentoexterior fii fundoimobiliario ações stocks etf reit cripto btc eth dinheiro financas veiculo carro eletrico</t>
  </si>
  <si>
    <t>investimentosbrasileexterior investimentobrasil investimentoexterior fii fundoimobiliario ações stocks etf reit cripto btc eth dinheiro financas futuro planejamento</t>
  </si>
  <si>
    <t>investimentosbrasileexterior investimentobrasil investimentoexterior reits ações longoprazo liberdadefinanceira planejamentofinanceiro</t>
  </si>
  <si>
    <t>investimentosbrasileexterior investimentobrasil investimentoexterior fii fundoimobiliario ações stocks etf reit cripto btc eth dinheiro financas eletrica utilidadepublica</t>
  </si>
  <si>
    <t>investimentosbrasileexterior investimentobrasil investimentoexterior fii fundoimobiliario ações stocks etf reit cripto btc eth dinheiro financas sp500</t>
  </si>
  <si>
    <t>investimentosbrasileexterior investimentobrasil investimentoexterior fii fundoimobiliario ações stocks etf</t>
  </si>
  <si>
    <t>nvidia intel investimentosbrasileexterior investimentobrasil investimentoexterior fii fundoimobiliario ações stocks etf reit cripto btc eth dinheiro financas</t>
  </si>
  <si>
    <t>dividapublica investimentosbrasileexterior investimentobrasil investimentoexterior fii fundoimobiliario ações stocks etf reit cripto btc eth dinheiro financas eua us estadosunidos memorialday</t>
  </si>
  <si>
    <t>investimentosbrasileexterior investimentobrasil investimentoexterior fii fundoimobiliario ações stocks etf reit cripto btc eth bnb dot dinheiro financas specialty</t>
  </si>
  <si>
    <t>investimentosbrasileexterior investimentobrasil investimentoexterior fii fundoimobiliario ações stocks etf reit cripto btc eth bnb dot dinheiro financas nuclear energy</t>
  </si>
  <si>
    <t>empresas ações investimento</t>
  </si>
  <si>
    <t>bolsadevalores ações investimento mercadodecapitais</t>
  </si>
  <si>
    <t>ações empresas investimento mercadodecapitais</t>
  </si>
  <si>
    <t>bmf ações daytrade trading ibovespa miniindice minidolar forex forextrading scalping</t>
  </si>
  <si>
    <t>famosos ações após beckham brooklinbeckham</t>
  </si>
  <si>
    <t>famosos ações astromundo aumento depoimento</t>
  </si>
  <si>
    <t>famosos ações advogado ameaçou aníbal</t>
  </si>
  <si>
    <t>famosos ações cunhado dirigir dos</t>
  </si>
  <si>
    <t>filmeseséries ações aliviar ameaça cai</t>
  </si>
  <si>
    <t>ibovespa investimentos ações negócios</t>
  </si>
  <si>
    <t>cãesegatos cba premierpet stand ações veterinários congresso feiradenegócios</t>
  </si>
  <si>
    <t>trade trading mercadofinanceiro acoes indices ftmo</t>
  </si>
  <si>
    <t>fdd caed aprendervalor educacaofinanceira cidadaniafinanceira</t>
  </si>
  <si>
    <t>fdd caed fgc undime consed aprendervalor educacaofinanceira cidadaniafinanceira bancocentraldobrasil educacaobasica educacaofinanceiranasescolas ensinofundamental escolaspublicas</t>
  </si>
  <si>
    <t>aprendervalor educacaofinanceira cidadaniafinanceira bancocentraldobrasil educacaobasica educacaofinanceiranasescolas ensinofundamental escolaspublicas financas financasparacriancas economiaparacriancas undime consed</t>
  </si>
  <si>
    <t>aprendervalor cidadaniafinanceira</t>
  </si>
  <si>
    <t>aprendervalor educacaofinanceira cidadaniafinanceira bancocentraldobrasil educacaobasica educacaofinanceiranasescolas ensinofundamental</t>
  </si>
  <si>
    <t>universidades curitiba oferecem ações gratuitas sobre declaração imposto renda</t>
  </si>
  <si>
    <t>ações investimentos bolsa dividendos renda wealth strategy profit risk return</t>
  </si>
  <si>
    <t>dolar ações moeda</t>
  </si>
  <si>
    <t>golpe ações fiis investimentos</t>
  </si>
  <si>
    <t>planilhas análise fiis ações mercado b3 investimentos rendaextra</t>
  </si>
  <si>
    <t>seahorse stonks value money cavalomarinho ações bolsadevalores dinheiro aiart ai aiartgenerator generativeart inteligenciaartificial artificialintelligence photo bing bingimagecreator aiartcommunity aiartwork</t>
  </si>
  <si>
    <t>finançaspessoais investimentos educaçãofinanceira tesourodireto fundosdeinvestimento ações rendafixa diversificação planejamentofinanceiro</t>
  </si>
  <si>
    <t>jeová deus jesus cristo jesus_cristo ensino madureza perfeição bíblia justiça lealtade modéstia cristãos congregação éfeso conheço ações trabalho_árduo perseverança apocalipse</t>
  </si>
  <si>
    <t>python mercadofinanceiro ações análisededados</t>
  </si>
  <si>
    <t>ações bolsasdevalores proteçãodecarteira</t>
  </si>
  <si>
    <t>portalig ações policiais</t>
  </si>
  <si>
    <t>investimentos investimento bolsadevalores bovespa rendavariavel ações mercadofinanceiro liberdadefinanceira finanças planejamentofinanceiro trader stocks dinheiro henleinvestimentos economia dividendos ibovespa agro agronegocio soja milho keplerweber</t>
  </si>
  <si>
    <t>selic juros ações mercados</t>
  </si>
  <si>
    <t>ibovespa ibov selic ações investimentos</t>
  </si>
  <si>
    <t>webinar investimentos ações investing</t>
  </si>
  <si>
    <t>ações investimentos mercados</t>
  </si>
  <si>
    <t>firstrepublicbank acoes</t>
  </si>
  <si>
    <t>atitudes ações oração perseverança isso mudatudo</t>
  </si>
  <si>
    <t>https://maissuperior.com/2023/07/11/politecnicos-portugueses-em-missao-ccisp-a-macau-para-intensificar-cooperacao-no-ensino-superior-investigacao-e-ciencia/?feed_id=2774&amp;_unique_id=64ad1d788b915&amp;fbclid=IwAR2E10gUWZ3GhqsFAcnTwpY_5BkwUty-FISdNkLrNKic67wR-qrW-pEpAIY</t>
  </si>
  <si>
    <t>https://porcinews.com/pt-br/acoes-da-secretaria-de-agricultura-e-abastecimento-de-sp-contribuem-para-uma-cadeia-suinicola-tecnificada-e-economicamente-forte/?utm_source=RRSS&amp;utm_medium=Twitter&amp;utm_campaign=A%C3%A7%C3%B5es+da+Secretaria+de+Agricultura+e+Abastecimento+de+SP+contribuem+para+uma+cadeia+suin%C3%ADcola+tecnificada+e+economicamente+forte</t>
  </si>
  <si>
    <t>https://youtube.com/shorts/84WQkihDVcA?feature=share https://bit.ly/3zJVoGh https://www.instagram.com/acoesimportam/</t>
  </si>
  <si>
    <t>https://youtu.be/cVpA13U7YvM https://www.instagram.com/danielguido https://www.facebook.com/danielguidot</t>
  </si>
  <si>
    <t>https://www.youtube.com/@FacilitandooInvestidor/featured https://youtu.be/IVWzGUNS_yY</t>
  </si>
  <si>
    <t>https://www.youtube.com/@FacilitandooInvestidor/featured https://youtu.be/4DaLbbs1xhg</t>
  </si>
  <si>
    <t>https://youtu.be/x_Q06CiNrLI https://www.youtube.com/@FacilitandooInvestidor/featured</t>
  </si>
  <si>
    <t>https://youtu.be/P7Y86MPP8Jw https://www.youtube.com/@FacilitandooInvestidor/featured</t>
  </si>
  <si>
    <t>https://youtu.be/jMWQ5oThm1A https://www.youtube.com/@FacilitandooInvestidor/featured</t>
  </si>
  <si>
    <t>https://www.youtube.com/@FacilitandooInvestidor/featured https://youtu.be/brS5n2HfIyk</t>
  </si>
  <si>
    <t>https://www.youtube.com/@FacilitandooInvestidor/featured https://youtu.be/Ri_ycfdNENM</t>
  </si>
  <si>
    <t>https://www.youtube.com/@FacilitandooInvestidor/featured https://youtu.be/iu32up1s1UQ</t>
  </si>
  <si>
    <t>https://www.youtube.com/@FacilitandooInvestidor/featured https://youtu.be/l3c7_6NxeMY</t>
  </si>
  <si>
    <t>https://www.youtube.com/@FacilitandooInvestidor/featured https://youtu.be/0Ce2oZQWdA0</t>
  </si>
  <si>
    <t>https://youtu.be/t3pXZ1bzccg https://www.youtube.com/@FacilitandooInvestidor</t>
  </si>
  <si>
    <t>https://youtu.be/BbyOQ8XMMkU https://www.youtube.com/@FacilitandooInvestidor/featured</t>
  </si>
  <si>
    <t>https://www.youtube.com/@FacilitandooInvestidor/featured https://youtu.be/vazqIOxydYc</t>
  </si>
  <si>
    <t>https://www.youtube.com/@FacilitandooInvestidor/featured https://youtu.be/v0MmO5sjM6Y</t>
  </si>
  <si>
    <t>https://www.youtube.com/@FacilitandooInvestidor/featured https://youtu.be/UzYLQHw8VlY</t>
  </si>
  <si>
    <t>https://www.youtube.com/@FacilitandooInvestidor/featured https://youtu.be/PUw47OGQhbI</t>
  </si>
  <si>
    <t>https://www.youtube.com/@FacilitandooInvestidor/featured https://youtu.be/UucNFTa62Oo</t>
  </si>
  <si>
    <t>https://www.youtube.com/@FacilitandooInvestidor/featured https://youtu.be/UPpArX1UtSs</t>
  </si>
  <si>
    <t>https://www.youtube.com/@FacilitandooInvestidor/featured https://youtu.be/IpxHImgO6ng</t>
  </si>
  <si>
    <t>https://www.youtube.com/@FacilitandooInvestidor/featured https://youtu.be/11q8yuP_xA8</t>
  </si>
  <si>
    <t>https://www.youtube.com/@FacilitandooInvestidor/featured https://youtu.be/eu-u2CUUBHY</t>
  </si>
  <si>
    <t>https://www.youtube.com/@FacilitandooInvestidor/featured https://youtu.be/2T5-E8DHyOk</t>
  </si>
  <si>
    <t>https://youtu.be/zJKR3JKfUhM https://www.youtube.com/@FacilitandooInvestidor/featured</t>
  </si>
  <si>
    <t>https://youtu.be/_F6Z2sWrEmw https://www.youtube.com/@FacilitandooInvestidor/featured</t>
  </si>
  <si>
    <t>https://youtu.be/3LKCgwNxxpM https://www.youtube.com/@FacilitandooInvestidor/featured</t>
  </si>
  <si>
    <t>https://www.youtube.com/@FacilitandooInvestidor/featured https://youtu.be/Q8hEyaW416o</t>
  </si>
  <si>
    <t>https://www.youtube.com/@FacilitandooInvestidor/featured https://youtu.be/xPTNaJsAXe4</t>
  </si>
  <si>
    <t>https://www.youtube.com/@FacilitandooInvestidor/featured https://youtu.be/kASsTAyVMIQ</t>
  </si>
  <si>
    <t>https://www.youtube.com/@FacilitandooInvestidor/featured https://youtu.be/HL3_56wecIU</t>
  </si>
  <si>
    <t>https://www.youtube.com/@FacilitandooInvestidor/featured https://youtu.be/n7RuSrrqBcI</t>
  </si>
  <si>
    <t>https://www.youtube.com/@FacilitandooInvestidor/featured https://youtu.be/oEj9xwDSyGg</t>
  </si>
  <si>
    <t>https://www.youtube.com/@FacilitandooInvestidor/featured https://youtu.be/FLLpdKGJKvI</t>
  </si>
  <si>
    <t>https://www.youtube.com/@FacilitandooInvestidor/featured https://youtu.be/WfhubVlMtzY</t>
  </si>
  <si>
    <t>https://www.youtube.com/@FacilitandooInvestidor/featured https://youtu.be/m_BPZCEYVcM</t>
  </si>
  <si>
    <t>https://www.youtube.com/@FacilitandooInvestidor/featured https://youtu.be/2tUZ9dThOVQ</t>
  </si>
  <si>
    <t>https://bit.ly/3W9wOIK https://youtube.com/shorts/xk-p-PBGx-c?feature=share</t>
  </si>
  <si>
    <t>https://lnkd.in/dKspUew9 https://lnkd.in/diDk8ESK</t>
  </si>
  <si>
    <t>https://play.google.com/store/apps/details?id=com.ion.finances https://insights.ionited.io/finances/organizar-acoes-fiis-e-outros-ativos-com-ion-finances</t>
  </si>
  <si>
    <t>https://play.google.com/store/apps/details?id=com.ion.finances https://insights.ionited.io/finances/lista-de-compras-com-ion-finances</t>
  </si>
  <si>
    <t>https://play.google.com/store/apps/details?id=com.ion.finances https://insights.ionited.io/finances/declarar-imposto-de-renda-irpf-como-mei</t>
  </si>
  <si>
    <t>https://play.google.com/store/apps/details?id=com.ion.finances https://insights.ionited.io/finances/o-que-sao-dividendos</t>
  </si>
  <si>
    <t>https://play.google.com/store/apps/details?id=com.ion.finances https://insights.ionited.io/finances/renda-fixa-e-renda-variavel</t>
  </si>
  <si>
    <t>https://play.google.com/store/apps/details?id=com.ion.finances https://insights.ionited.io/finances/guardar-dinheiro-com-ion-finances</t>
  </si>
  <si>
    <t>https://play.google.com/store/apps/details?id=com.ion.finances https://insights.ionited.io/finances/converter-juros-mensal-para-anual</t>
  </si>
  <si>
    <t>https://play.google.com/store/apps/details?id=com.ion.finances https://insights.ionited.io/finances/o-que-e-carteira-de-investimentos-e-como-criar-uma</t>
  </si>
  <si>
    <t>https://play.google.com/store/apps/details?id=com.ion.finances https://insights.ionited.io/finances/calcular-preco-teto-de-acoes</t>
  </si>
  <si>
    <t>https://l.btgpactual.com/3JY5yYz https://linktr.ee/podcastsBTG</t>
  </si>
  <si>
    <t>https://fnet.bmfbovespa.com.br/fnet/publico/exibirDocumento?id=469585&amp;cvm=true https://br.investing.com/news/general/itau-bba-enxerga-upside-de-2040-para-shoppings-also3-e-top-pick-1122640</t>
  </si>
  <si>
    <t>http://Investing.com https://br.investing.com/education/webinars</t>
  </si>
  <si>
    <t>com.br</t>
  </si>
  <si>
    <t>youtube.com bit.ly instagram.com</t>
  </si>
  <si>
    <t>instagram.com</t>
  </si>
  <si>
    <t>dropbox.com</t>
  </si>
  <si>
    <t>blogspot.com</t>
  </si>
  <si>
    <t>youtu.be instagram.com facebook.com</t>
  </si>
  <si>
    <t>cutt.ly</t>
  </si>
  <si>
    <t>perfil.com</t>
  </si>
  <si>
    <t>economiadepalito.com</t>
  </si>
  <si>
    <t>seismic.com</t>
  </si>
  <si>
    <t>bit.ly</t>
  </si>
  <si>
    <t>youtu.be</t>
  </si>
  <si>
    <t>youtube.com</t>
  </si>
  <si>
    <t>lnkd.in</t>
  </si>
  <si>
    <t>quotebr.com</t>
  </si>
  <si>
    <t>tinyurl.com</t>
  </si>
  <si>
    <t>cope.es</t>
  </si>
  <si>
    <t>umanresa.cat</t>
  </si>
  <si>
    <t>t.me</t>
  </si>
  <si>
    <t>whatsapp.com</t>
  </si>
  <si>
    <t>x.gd</t>
  </si>
  <si>
    <t>maissuperior.com</t>
  </si>
  <si>
    <t>instagr.am</t>
  </si>
  <si>
    <t>pst.cr</t>
  </si>
  <si>
    <t>spotify.com</t>
  </si>
  <si>
    <t>samirnews.com</t>
  </si>
  <si>
    <t>borjaonstocks.com</t>
  </si>
  <si>
    <t>wix.to</t>
  </si>
  <si>
    <t>blogger.com</t>
  </si>
  <si>
    <t>buff.ly</t>
  </si>
  <si>
    <t>wp.me</t>
  </si>
  <si>
    <t>pennystocks.pt</t>
  </si>
  <si>
    <t>4et.us</t>
  </si>
  <si>
    <t>odysee.com</t>
  </si>
  <si>
    <t>ufpe.br</t>
  </si>
  <si>
    <t>youtube.com youtu.be</t>
  </si>
  <si>
    <t>youtu.be youtube.com</t>
  </si>
  <si>
    <t>wordpress.com</t>
  </si>
  <si>
    <t>netlify.app</t>
  </si>
  <si>
    <t>tradingview.com</t>
  </si>
  <si>
    <t>dinheirama.com</t>
  </si>
  <si>
    <t>dlvr.it</t>
  </si>
  <si>
    <t>mla.bs</t>
  </si>
  <si>
    <t>porcinews.com</t>
  </si>
  <si>
    <t>estoaresearch.com</t>
  </si>
  <si>
    <t>meugamer.com</t>
  </si>
  <si>
    <t>ow.ly</t>
  </si>
  <si>
    <t>bit.ly youtube.com</t>
  </si>
  <si>
    <t>cointelegraph.com</t>
  </si>
  <si>
    <t>seudinheiro.com</t>
  </si>
  <si>
    <t>euqueroinvestir.com</t>
  </si>
  <si>
    <t>gov.br</t>
  </si>
  <si>
    <t>viverdedividendos.org</t>
  </si>
  <si>
    <t>lnkd.in lnkd.in</t>
  </si>
  <si>
    <t>encr.pw</t>
  </si>
  <si>
    <t>l1nq.com</t>
  </si>
  <si>
    <t>linkedin.com</t>
  </si>
  <si>
    <t>estrelladigital.es</t>
  </si>
  <si>
    <t>clinicawashingtonamancio.com</t>
  </si>
  <si>
    <t>pensarpiaui.com</t>
  </si>
  <si>
    <t>globo.com</t>
  </si>
  <si>
    <t>jornaldenegocios.pt</t>
  </si>
  <si>
    <t>google.com ionited.io</t>
  </si>
  <si>
    <t>spreaker.com</t>
  </si>
  <si>
    <t>fontecerta.com</t>
  </si>
  <si>
    <t>hotmart.com</t>
  </si>
  <si>
    <t>kontabil.net</t>
  </si>
  <si>
    <t>investidorprudente.com</t>
  </si>
  <si>
    <t>spglobal.com</t>
  </si>
  <si>
    <t>trendsetconsulting.com</t>
  </si>
  <si>
    <t>abrir.link</t>
  </si>
  <si>
    <t>jor.br</t>
  </si>
  <si>
    <t>investidorfrugal.com</t>
  </si>
  <si>
    <t>tiktok.com</t>
  </si>
  <si>
    <t>bddy.me</t>
  </si>
  <si>
    <t>reut.rs</t>
  </si>
  <si>
    <t>invst.ly</t>
  </si>
  <si>
    <t>wagnergeremia.com</t>
  </si>
  <si>
    <t>is.gd</t>
  </si>
  <si>
    <t>btgpactual.com linktr.ee</t>
  </si>
  <si>
    <t>bloomberg.com</t>
  </si>
  <si>
    <t>maiseducativa.com</t>
  </si>
  <si>
    <t>bravacapital.com</t>
  </si>
  <si>
    <t>investinabolsa.com</t>
  </si>
  <si>
    <t>com.br investing.com</t>
  </si>
  <si>
    <t>fxopen.com</t>
  </si>
  <si>
    <t>expressopb.net</t>
  </si>
  <si>
    <t>economiaempauta.com</t>
  </si>
  <si>
    <t>lumlux-art.com</t>
  </si>
  <si>
    <t>ift.tt</t>
  </si>
  <si>
    <t>oaltoacre.com</t>
  </si>
  <si>
    <t>movo.trade</t>
  </si>
  <si>
    <t>correiopopular.news</t>
  </si>
  <si>
    <t>brasil247.com</t>
  </si>
  <si>
    <t>allqamari.online</t>
  </si>
  <si>
    <t>facebook.com</t>
  </si>
  <si>
    <t>github.com</t>
  </si>
  <si>
    <t>investing.com investing.com</t>
  </si>
  <si>
    <t>investing.com</t>
  </si>
  <si>
    <t>robsob87 danimontori_at jhcastaldo</t>
  </si>
  <si>
    <t>jornaldagazeta tvgazetaoficial</t>
  </si>
  <si>
    <t>luizmoura123 tucaandrada3</t>
  </si>
  <si>
    <t>montagcm mashirafael</t>
  </si>
  <si>
    <t>nonoinvestidor futebol_info</t>
  </si>
  <si>
    <t>netoinvest anbima_br b3_oficial</t>
  </si>
  <si>
    <t>sigaif ionedu</t>
  </si>
  <si>
    <t>polkabridge polkadot</t>
  </si>
  <si>
    <t>microstrategy litecoin</t>
  </si>
  <si>
    <t>hrhmbnsalmaan hrhmbnsalmaan</t>
  </si>
  <si>
    <t>modalmais activtrades activtrades_pt</t>
  </si>
  <si>
    <t>getthejb viniciu06354450 b3 nubank</t>
  </si>
  <si>
    <t>feantonioli21 viniciu06354450 b3 nubank</t>
  </si>
  <si>
    <t>victordojornal brunoreisba</t>
  </si>
  <si>
    <t>renetous</t>
  </si>
  <si>
    <t>fgc_br consedbr</t>
  </si>
  <si>
    <t>xpinvestimentos nathfinancas</t>
  </si>
  <si>
    <t>https://t.co/WC4J8CA31v https://pbs.twimg.com/media/FwAwSCBX0AM8hQF.jpg</t>
  </si>
  <si>
    <t>https://t.co/1YaFn1UB8F https://pbs.twimg.com/media/Fv8xQ1JWYAsj6zq.jpg</t>
  </si>
  <si>
    <t>https://t.co/RMRajbR9bV https://pbs.twimg.com/media/FwWEDtAWAAUA_Sk.jpg</t>
  </si>
  <si>
    <t>https://t.co/RLhR33Xo38 https://t.co/RLhR33Xo38 https://pbs.twimg.com/media/FwVz6FPX0AIXQIK.jpg https://pbs.twimg.com/media/FwVz6FNWIAAqXd9.jpg</t>
  </si>
  <si>
    <t>https://t.co/4Zij6aBRcl https://pbs.twimg.com/media/FyhK-IOXsCMQlZL.jpg</t>
  </si>
  <si>
    <t>https://t.co/FO0l75Y876 https://pbs.twimg.com/media/Fy6YfF9WcAEPr_6.jpg</t>
  </si>
  <si>
    <t>https://t.co/oTIhqygM0i https://pbs.twimg.com/media/Fy6VsYmWcAIp6Cy.jpg</t>
  </si>
  <si>
    <t>https://t.co/Tc5rZollcg https://pbs.twimg.com/ext_tw_video_thumb/1658978694520512512/pu/img/MsiYESQmdEVx0vrg.jpg</t>
  </si>
  <si>
    <t>https://t.co/66njah13fb https://pbs.twimg.com/ext_tw_video_thumb/1658064246725394437/pu/img/uoTo5k3m34ExGwTb.jpg</t>
  </si>
  <si>
    <t>https://t.co/LQrCjowadA https://t.co/LQrCjowadA https://t.co/LQrCjowadA https://pbs.twimg.com/media/FwFQxHoXwAI4hsB.jpg https://pbs.twimg.com/media/FwFQxM5WIAAhX2d.jpg https://pbs.twimg.com/media/FwFQxSbXgAI1xiQ.jpg</t>
  </si>
  <si>
    <t>https://t.co/3cNWH4QZft https://pbs.twimg.com/media/F0d6WmjXoAAuQQ8.jpg</t>
  </si>
  <si>
    <t>https://t.co/nmBMvuY2CX https://t.co/nmBMvuY2CX https://t.co/nmBMvuY2CX https://pbs.twimg.com/media/Fw5hX0jWwAEYPow.jpg https://pbs.twimg.com/media/Fw5hX4aWwAIuzfl.jpg https://pbs.twimg.com/media/Fw5hX-PWAAU4Nhx.jpg</t>
  </si>
  <si>
    <t>https://t.co/eii7eRcOJZ https://t.co/eii7eRcOJZ https://t.co/eii7eRcOJZ https://pbs.twimg.com/media/FwzbdEsWYAID0v_.jpg https://pbs.twimg.com/media/FwzbdIUWcAMcDQt.jpg https://pbs.twimg.com/media/FwzbdOWWYAAiFvb.jpg</t>
  </si>
  <si>
    <t>https://t.co/kTEUaFZIA4 https://t.co/kTEUaFZIA4 https://t.co/kTEUaFZIA4 https://t.co/kTEUaFZIA4 https://pbs.twimg.com/media/F2b64xhWgAEq-CG.jpg https://pbs.twimg.com/media/F2b64xhXYAAkuJq.jpg https://pbs.twimg.com/media/F2b64xgXwAAsPRd.jpg https://pbs.twimg.com/media/F2b64xjW0AA-nmh.jpg</t>
  </si>
  <si>
    <t>https://t.co/T3Ui8wDZxn https://pbs.twimg.com/media/F0DzgQ_WYAUrcQy.png</t>
  </si>
  <si>
    <t>https://t.co/74S7oCNvna https://pbs.twimg.com/ext_tw_video_thumb/1661911244557672452/pu/img/iMntSsqQiJrHuOSD.jpg</t>
  </si>
  <si>
    <t>https://t.co/y2P1oZmlxd https://pbs.twimg.com/media/Fw-91pMacAIcMIv.jpg</t>
  </si>
  <si>
    <t>https://t.co/vlcZF3iME9 https://pbs.twimg.com/media/Fv2FTk8WIAAT4ac.jpg</t>
  </si>
  <si>
    <t>https://t.co/ksKqWiYSDY https://pbs.twimg.com/media/Fvwm8WMWYAEBWwd.jpg</t>
  </si>
  <si>
    <t>https://t.co/HNbgtJcyTp https://pbs.twimg.com/media/F22Dx3dX0AAp_fp.jpg</t>
  </si>
  <si>
    <t>https://t.co/Dp4x6HQjbc https://pbs.twimg.com/media/FzrGIxUWcAQF_iY.jpg</t>
  </si>
  <si>
    <t>https://t.co/P71VSz7ZII https://pbs.twimg.com/media/F5WTiDoWQAAeTG1.jpg</t>
  </si>
  <si>
    <t>https://t.co/hYqzfWtQqt https://t.co/hYqzfWtQqt https://t.co/hYqzfWtQqt https://t.co/hYqzfWtQqt https://pbs.twimg.com/media/F0Tf_y7X0AAGkjp.jpg https://pbs.twimg.com/media/F0Tf_4RWwAEoJBR.jpg https://pbs.twimg.com/media/F0Tf_90XgAANCgN.jpg https://pbs.twimg.com/media/F0TgAEVXsAAlYRO.jpg</t>
  </si>
  <si>
    <t>https://t.co/wD9Fqhlmc4 https://pbs.twimg.com/media/F0Of0u2XwAEAzj5.jpg</t>
  </si>
  <si>
    <t>https://t.co/2pws1T8NDM https://pbs.twimg.com/ext_tw_video_thumb/1652844174075371521/pu/img/b_OfYhToRafhsvCj.jpg</t>
  </si>
  <si>
    <t>https://t.co/6bOVRCEh4w https://pbs.twimg.com/media/Fz4IQs9acAIi4MQ.jpg</t>
  </si>
  <si>
    <t>https://t.co/98oXiNDJR3 https://pbs.twimg.com/media/F3RV-tiWUAAzUGd.jpg</t>
  </si>
  <si>
    <t>https://t.co/CwQeVWI0lu https://pbs.twimg.com/media/FyRpTc3WIAQV_H0.jpg</t>
  </si>
  <si>
    <t>https://t.co/GhvCCLRtsY https://pbs.twimg.com/ext_tw_video_thumb/1686133259279687680/pu/img/rVOo-bmkzUC-uCdH.jpg</t>
  </si>
  <si>
    <t>https://t.co/7o8OmZdYWU https://pbs.twimg.com/ext_tw_video_thumb/1687492540100919298/pu/img/zzM0ocqcJM4dh1pL.jpg</t>
  </si>
  <si>
    <t>https://t.co/9uSVab5o1M https://pbs.twimg.com/media/F2oxHcIWIAA0J_d.jpg</t>
  </si>
  <si>
    <t>https://t.co/PFGtbyW2xK https://pbs.twimg.com/media/F57YLIsWkAId-hz.jpg</t>
  </si>
  <si>
    <t>https://t.co/RtLJLv7weK https://pbs.twimg.com/ext_tw_video_thumb/1701689301145141248/pu/img/NWIQNHtQtcK7OQdL.jpg</t>
  </si>
  <si>
    <t>https://t.co/gvXvTjwJmi https://pbs.twimg.com/ext_tw_video_thumb/1702416623645216768/pu/img/3MI4GWyfgmOksPWz.jpg</t>
  </si>
  <si>
    <t>https://t.co/F6dTLuo2Uv https://pbs.twimg.com/ext_tw_video_thumb/1688654591267643392/pu/img/MtyzsQHd-0D2413r.jpg</t>
  </si>
  <si>
    <t>https://t.co/HhsL4yJIHb https://t.co/HhsL4yJIHb https://pbs.twimg.com/media/F0dH4U-WwAA8dQS.png https://pbs.twimg.com/media/F0dH5rMWwAAJFMM.jpg</t>
  </si>
  <si>
    <t>https://t.co/2xTlck0skq https://t.co/2xTlck0skq https://pbs.twimg.com/media/F7EX6ZEWcAA44jX.png https://pbs.twimg.com/media/F7EYAtdXMAAiQ0k.jpg</t>
  </si>
  <si>
    <t>https://t.co/XAQ1Yy3mo9 https://pbs.twimg.com/ext_tw_video_thumb/1692024435081981953/pu/img/8W9mDXbz64d_hVFz.jpg</t>
  </si>
  <si>
    <t>https://t.co/y5rh6cMaag https://pbs.twimg.com/ext_tw_video_thumb/1662080956415483913/pu/img/LVdMQYE6eEvxb1da.jpg</t>
  </si>
  <si>
    <t>https://t.co/tPPKLaytnz https://pbs.twimg.com/ext_tw_video_thumb/1662080391669325828/pu/img/2ZOBEE5nr2ogJkvW.jpg</t>
  </si>
  <si>
    <t>https://t.co/SChEveNnTq https://pbs.twimg.com/media/F0xirIFXsAEdPeM.jpg</t>
  </si>
  <si>
    <t>https://t.co/X6ir7DkG3T https://pbs.twimg.com/ext_tw_video_thumb/1677029783568252929/pu/img/dWWV5hroGRfQhzQT.jpg</t>
  </si>
  <si>
    <t>https://t.co/zMD6rG2qR7 https://pbs.twimg.com/ext_tw_video_thumb/1707187857058586624/pu/img/9Yq2E1uFIgtMeWcp.jpg</t>
  </si>
  <si>
    <t>https://t.co/gUBLrhLMSN https://pbs.twimg.com/media/Fx83U8VX0AUxptF.png</t>
  </si>
  <si>
    <t>https://t.co/FFZbPItQy8 https://pbs.twimg.com/ext_tw_video_thumb/1681329755667177473/pu/img/U9CtMrF84c0fzAmM.jpg</t>
  </si>
  <si>
    <t>https://t.co/8vrvPoz8k0 https://pbs.twimg.com/media/FxpdWkrXwAE8d-Q.jpg</t>
  </si>
  <si>
    <t>https://t.co/VEaJOEXESZ https://pbs.twimg.com/media/F153UKVWYBIi6LO.jpg</t>
  </si>
  <si>
    <t>https://t.co/9Md1ykXha7 https://pbs.twimg.com/media/F14xnJlaQAA5vpP.jpg</t>
  </si>
  <si>
    <t>https://t.co/JwIEOgh6ds https://pbs.twimg.com/amplify_video_thumb/1669406000812572693/img/T-Kr6qnUDBc57BPO.jpg</t>
  </si>
  <si>
    <t>https://t.co/fdWI3wPNFu https://pbs.twimg.com/amplify_video_thumb/1689645848802787329/img/TRVxv1E7nNQfsgG_.jpg</t>
  </si>
  <si>
    <t>https://t.co/JJxQ7husnc https://pbs.twimg.com/amplify_video_thumb/1691609727359139841/img/5PDIbu8hf6Ydmrt0.jpg</t>
  </si>
  <si>
    <t>https://t.co/XtT7j0CR5d https://pbs.twimg.com/amplify_video_thumb/1691983864401461248/img/c635Sm-EA9H7maYu.jpg</t>
  </si>
  <si>
    <t>https://t.co/sNHAmxxFOB https://pbs.twimg.com/media/F01p0qgaQAA1EAg.jpg</t>
  </si>
  <si>
    <t>https://t.co/qohpM7ZOgY https://pbs.twimg.com/media/F0hedzHX0AY4KD4.jpg</t>
  </si>
  <si>
    <t>https://t.co/wYxLkKJSsS https://pbs.twimg.com/media/F1zT3wpXwAAYk4-.jpg</t>
  </si>
  <si>
    <t>https://t.co/MTRg2DfZPD https://pbs.twimg.com/media/FzjEgRyXgAYqv-r.jpg</t>
  </si>
  <si>
    <t>https://t.co/dNBtLCK62z https://pbs.twimg.com/media/FzZk1_-XgAQcuzg.jpg</t>
  </si>
  <si>
    <t>https://t.co/bVuhiT8L7R https://pbs.twimg.com/media/F23gkFaWIAAQwkz.jpg</t>
  </si>
  <si>
    <t>https://t.co/fxII4oG7s6 https://pbs.twimg.com/media/F4FVib9WgAAkOzO.jpg</t>
  </si>
  <si>
    <t>https://t.co/JwUNIEDpWK https://pbs.twimg.com/media/F5QLElSXYAAogOb.jpg</t>
  </si>
  <si>
    <t>https://t.co/812PN8ndQd https://pbs.twimg.com/media/FyiWreNXwAAPCwK.jpg</t>
  </si>
  <si>
    <t>https://t.co/Y5T4n5p9sM https://pbs.twimg.com/media/F60nxEWXcAAvV10.jpg</t>
  </si>
  <si>
    <t>https://t.co/5AKWCZ29qC https://pbs.twimg.com/media/F0q9vIzWwAEKqT2.jpg</t>
  </si>
  <si>
    <t>https://t.co/Sd4rDIcD08 https://pbs.twimg.com/media/FynIhwgWIAExK4h.jpg</t>
  </si>
  <si>
    <t>https://t.co/M4x3g0kuTS https://pbs.twimg.com/media/Fvw96VCXoAAutRD.jpg</t>
  </si>
  <si>
    <t>https://t.co/S17D6k89fo https://pbs.twimg.com/media/FxO9oE6WwAEZXqh.png</t>
  </si>
  <si>
    <t>https://t.co/OaU830yOJ3 https://pbs.twimg.com/media/FxO9fCjWwAU6y0m.png</t>
  </si>
  <si>
    <t>https://t.co/Vn87x7fCa5 https://pbs.twimg.com/media/FxO9VkpWIAMk-05.png</t>
  </si>
  <si>
    <t>https://t.co/rPLtfWySNi https://pbs.twimg.com/media/FxOh1S7WwAgBUUF.png</t>
  </si>
  <si>
    <t>https://t.co/OKGCes7TEx https://pbs.twimg.com/media/FxOhrnlWwAIlao8.png</t>
  </si>
  <si>
    <t>https://t.co/psxNe5aYr4 https://pbs.twimg.com/media/FxOhi2HWAAISHy8.png</t>
  </si>
  <si>
    <t>https://t.co/XmJQSXv5LK https://pbs.twimg.com/media/FxOdaR4XgAAWvE_.png</t>
  </si>
  <si>
    <t>https://t.co/ueD7wN3XVv https://pbs.twimg.com/media/FxOdDtmXoActGea.png</t>
  </si>
  <si>
    <t>https://t.co/FWpWplh6j6 https://pbs.twimg.com/media/F36gNIjWkAAo5_e.png</t>
  </si>
  <si>
    <t>https://t.co/sjQhEYgkVp https://pbs.twimg.com/media/F36efibX0AAK9ng.png</t>
  </si>
  <si>
    <t>https://t.co/dCu3YXH7QX https://pbs.twimg.com/media/F36eUgQWIAEo03B.png</t>
  </si>
  <si>
    <t>https://t.co/yZtGv6ceGe https://pbs.twimg.com/media/FySp_8MWcAUDQOL.png</t>
  </si>
  <si>
    <t>https://t.co/ydcX6ulJJ0 https://pbs.twimg.com/media/FySp4tBX0AEfB3b.png</t>
  </si>
  <si>
    <t>https://t.co/xhDITX4b8m https://pbs.twimg.com/media/FySpmlJXwAYKzgE.png</t>
  </si>
  <si>
    <t>https://t.co/RlBuiFVdGS https://pbs.twimg.com/media/FvomnXCXoAI_PIt.png</t>
  </si>
  <si>
    <t>https://t.co/TMmn4s98Ue https://pbs.twimg.com/media/FvomdjNXoAAr_CN.png</t>
  </si>
  <si>
    <t>https://t.co/Rvhb5foZZf https://pbs.twimg.com/media/FvohiMnWIAw94NX.png</t>
  </si>
  <si>
    <t>https://t.co/UUFl3O0gts https://pbs.twimg.com/media/FvohXhSWYAAdHVk.png</t>
  </si>
  <si>
    <t>https://t.co/OHqsRZQWdw https://pbs.twimg.com/media/Fvod9S6WIAsDx1m.png</t>
  </si>
  <si>
    <t>https://t.co/2byPCkGje3 https://pbs.twimg.com/media/FvodpaDWIAgu1IL.png</t>
  </si>
  <si>
    <t>https://t.co/ojijosmQmz https://pbs.twimg.com/media/F5DnvapWQAE0u0l.png</t>
  </si>
  <si>
    <t>https://t.co/07yYodJP6k https://pbs.twimg.com/media/F36eKNgWcAA61gs.png</t>
  </si>
  <si>
    <t>https://t.co/T9eUqqHZLN https://pbs.twimg.com/media/F36dz1iXYAAo27H.png</t>
  </si>
  <si>
    <t>https://t.co/CUNfhPeU2y https://pbs.twimg.com/media/F2T1xLRX0AE4EV1.png</t>
  </si>
  <si>
    <t>https://t.co/bp9QC1pR3s https://pbs.twimg.com/media/F2T1mPvWEAIpOum.png</t>
  </si>
  <si>
    <t>https://t.co/VCaqS1miua https://pbs.twimg.com/media/F2T1YrbWYAAN6Cn.png</t>
  </si>
  <si>
    <t>https://t.co/WvsDGfQIP6 https://pbs.twimg.com/media/F2Tx2j9WwAENhWR.png</t>
  </si>
  <si>
    <t>https://t.co/CHzAvfr1mJ https://pbs.twimg.com/media/F2TuXzRXEAAvvmq.png</t>
  </si>
  <si>
    <t>https://t.co/DzbukSzeaY https://pbs.twimg.com/media/F2TuNn2XEAA_Mp_.png</t>
  </si>
  <si>
    <t>https://t.co/2itGdtDgUT https://pbs.twimg.com/media/F2TuBdlWsAEa6TQ.png</t>
  </si>
  <si>
    <t>https://t.co/tHl0cN2KqF https://pbs.twimg.com/media/F2Tt4taXgAEGuKI.png</t>
  </si>
  <si>
    <t>https://t.co/n9ShZWSdOB https://pbs.twimg.com/media/F2TtamMWYAAo2FQ.png</t>
  </si>
  <si>
    <t>https://t.co/8VcWbFk9Jd https://pbs.twimg.com/media/F2TtOHJWMAAzTbd.png</t>
  </si>
  <si>
    <t>https://t.co/1HeM1Yx6lc https://pbs.twimg.com/media/F0nh4apWIAEA9K9.png</t>
  </si>
  <si>
    <t>https://t.co/KzugVhpJqm https://pbs.twimg.com/media/F0nhwJJWcAIEXcN.png</t>
  </si>
  <si>
    <t>https://t.co/MCgMqOdZes https://pbs.twimg.com/media/F0nhk3BWcAUvr7v.png</t>
  </si>
  <si>
    <t>https://t.co/VQD45MI4yc https://pbs.twimg.com/media/F0nhWheWcAEQTMZ.png</t>
  </si>
  <si>
    <t>https://t.co/qsfRYgnidb https://pbs.twimg.com/media/F0nhBIsWAAIzr8k.png</t>
  </si>
  <si>
    <t>https://t.co/sXGOqFuaM6 https://pbs.twimg.com/media/Fz-X6PzX0AE_eQN.png</t>
  </si>
  <si>
    <t>https://t.co/a4UoFJ3Qpl https://pbs.twimg.com/media/Fz-XyPhXgAAEbk8.png</t>
  </si>
  <si>
    <t>https://t.co/oTwg74EqMj https://pbs.twimg.com/media/Fz-XotrWwAAb1EM.png</t>
  </si>
  <si>
    <t>https://t.co/6AM7xzubG1 https://pbs.twimg.com/media/Fz-XfhqWwAADkNQ.png</t>
  </si>
  <si>
    <t>https://t.co/eXVmqa2fuR https://pbs.twimg.com/media/Fz-XWCIWYAM5qwV.png</t>
  </si>
  <si>
    <t>https://t.co/9UB5lfCYx1 https://pbs.twimg.com/media/Fz-XK4RWAAAtXkC.png</t>
  </si>
  <si>
    <t>https://t.co/2mIXpXhOOq https://pbs.twimg.com/media/Fz-W_oQWIAYg_94.png</t>
  </si>
  <si>
    <t>https://t.co/R9mAeDLarr https://pbs.twimg.com/media/Fz-W0PyXoAE0CMA.png</t>
  </si>
  <si>
    <t>https://t.co/0jwYCfvfOD https://pbs.twimg.com/media/F5oBPCUXwAA2Sj5.png</t>
  </si>
  <si>
    <t>https://t.co/9savzyTOUR https://pbs.twimg.com/media/F5oBGDuX0AAu0ny.png</t>
  </si>
  <si>
    <t>https://t.co/WELnieX7Qy https://pbs.twimg.com/media/F5XvsR7X0AEZo5r.png</t>
  </si>
  <si>
    <t>https://t.co/zGq08H7WKH https://pbs.twimg.com/media/F5XS5GsWYAAq8kq.png</t>
  </si>
  <si>
    <t>https://t.co/WiOn0vCFB7 https://pbs.twimg.com/media/F4exi2AWAAAMW74.png</t>
  </si>
  <si>
    <t>https://t.co/WcXUIg58e7 https://pbs.twimg.com/media/F4exbzMW4AA8eld.png</t>
  </si>
  <si>
    <t>https://t.co/1Hpte66jI0 https://pbs.twimg.com/media/F4etaMDXAAAwTy7.png</t>
  </si>
  <si>
    <t>https://t.co/mZvn9Q0V0H https://pbs.twimg.com/media/F6Vlbs3XIAEjzCE.png</t>
  </si>
  <si>
    <t>https://t.co/7XSDqqfxXH https://pbs.twimg.com/media/F5oAwfnW8AA2cOI.png</t>
  </si>
  <si>
    <t>https://t.co/mwKN6ULT82 https://pbs.twimg.com/media/F3aF6wJWwAAIWZq.png</t>
  </si>
  <si>
    <t>https://t.co/6Ikjhaka0s https://pbs.twimg.com/media/F3aFzgnW0AA_5R8.png</t>
  </si>
  <si>
    <t>https://t.co/sMdgYHTfCq https://pbs.twimg.com/media/F3aFqKiXwAAucXL.png</t>
  </si>
  <si>
    <t>https://t.co/3NE5nX8bQM https://pbs.twimg.com/media/F3aFYLaWgAAf_MT.png</t>
  </si>
  <si>
    <t>https://t.co/KflcKUMdbi https://pbs.twimg.com/media/F0tTsYtXoAEjz8T.png</t>
  </si>
  <si>
    <t>https://t.co/mQt36lHBDW https://pbs.twimg.com/media/Fy2UciQWcAIeop0.png</t>
  </si>
  <si>
    <t>https://t.co/3G89G3AI8M https://pbs.twimg.com/media/Fy2USbMWwAA1pCN.png</t>
  </si>
  <si>
    <t>https://t.co/v5uKXWB2tv https://pbs.twimg.com/media/Fy2UJVyWAAAO1H5.png</t>
  </si>
  <si>
    <t>https://t.co/cacojsSUwL https://pbs.twimg.com/media/Fy2T3s0WYAE6Kj7.png</t>
  </si>
  <si>
    <t>https://t.co/y2PLSU9h2O https://pbs.twimg.com/media/F6VkqfZWgAEEq7q.png</t>
  </si>
  <si>
    <t>https://t.co/amEmYMh0ih https://pbs.twimg.com/media/F6VkCZLXoAE2uZb.png</t>
  </si>
  <si>
    <t>https://t.co/IBFFdzLl1c https://pbs.twimg.com/media/F1uVWEdWcAARh5F.png</t>
  </si>
  <si>
    <t>https://t.co/BSts8YP0wo https://pbs.twimg.com/media/F1uUdegXwAEKGw7.png</t>
  </si>
  <si>
    <t>https://t.co/u2T7gTA8Mp https://pbs.twimg.com/media/F1uUSaqWAAAXYkT.png</t>
  </si>
  <si>
    <t>https://t.co/kg5vDR3SfE https://pbs.twimg.com/media/F1uJVnxWcAAmzMz.png</t>
  </si>
  <si>
    <t>https://t.co/MYUJJAP73j https://pbs.twimg.com/media/FzdmY6uWIAAHSN6.png</t>
  </si>
  <si>
    <t>https://t.co/kfLQLreAIv https://pbs.twimg.com/media/FzdjlFjXsAEH-wg.png</t>
  </si>
  <si>
    <t>https://t.co/aOOHeFXO5G https://pbs.twimg.com/media/FzdesHSWYAEC85e.png</t>
  </si>
  <si>
    <t>https://t.co/uvXRhHXhwA https://pbs.twimg.com/media/FxudQ9PWYAANvPf.png</t>
  </si>
  <si>
    <t>https://t.co/6c7fpOiYrT https://pbs.twimg.com/media/FxudJIsWAAEJs7x.png</t>
  </si>
  <si>
    <t>https://t.co/HqY4fkXCJo https://pbs.twimg.com/media/FxudBpcWAAEBRKL.png</t>
  </si>
  <si>
    <t>https://t.co/OaLb9D02wm https://pbs.twimg.com/media/FxucuhQXoAAYCiP.png</t>
  </si>
  <si>
    <t>https://t.co/ZT7Xe6X97h https://pbs.twimg.com/media/F6vQmTTXwAABhJb.png</t>
  </si>
  <si>
    <t>https://t.co/sTa5uFSitj https://pbs.twimg.com/media/F6vQcBWXIAAeTX_.png</t>
  </si>
  <si>
    <t>https://t.co/HI3E3wbXSw https://pbs.twimg.com/media/F2ybUDwWkAAnngF.png</t>
  </si>
  <si>
    <t>https://t.co/Iz1uyUREqR https://pbs.twimg.com/media/F2ybJzwW4AAPYX7.png</t>
  </si>
  <si>
    <t>https://t.co/N8p87M0Z6f https://pbs.twimg.com/media/F2yP67DXsAAz8-f.png</t>
  </si>
  <si>
    <t>https://t.co/yxp7JBsrh7 https://pbs.twimg.com/media/F2yPqb2W8AA_U_O.png</t>
  </si>
  <si>
    <t>https://t.co/k7G6H9P55Z https://pbs.twimg.com/media/FwmpLodXoAAP1nv.png</t>
  </si>
  <si>
    <t>https://t.co/QFdlVnv2YZ https://pbs.twimg.com/media/Fwmo-XDXgAIM85N.png</t>
  </si>
  <si>
    <t>https://t.co/vynZ5GHWGG https://pbs.twimg.com/media/FwmozLlWAAATDIC.png</t>
  </si>
  <si>
    <t>https://t.co/XRaXTJmSJK https://pbs.twimg.com/media/FwmoZ4RWIAEJPY5.png</t>
  </si>
  <si>
    <t>https://t.co/a2hyrManth https://pbs.twimg.com/media/F6vQAzSXgAA-0uT.png</t>
  </si>
  <si>
    <t>https://t.co/ElAsofj3xY https://pbs.twimg.com/media/F6vO0AAWgAAwBSo.png</t>
  </si>
  <si>
    <t>https://t.co/l7eWkoJbNe https://pbs.twimg.com/media/F5DnodDW8AAEsiM.png</t>
  </si>
  <si>
    <t>https://t.co/X8vAsfhfDg https://pbs.twimg.com/media/F5DnZJGXcAAEavA.png</t>
  </si>
  <si>
    <t>https://t.co/z5Mqi1PNPW https://pbs.twimg.com/media/F5DnPB4WwAA43r5.png</t>
  </si>
  <si>
    <t>https://t.co/MfTMKg61gE https://pbs.twimg.com/media/F5DnFt9XQAE1ium.png</t>
  </si>
  <si>
    <t>https://t.co/ViKI6SlbK1 https://pbs.twimg.com/media/F5Dm0NgXwAAJPal.png</t>
  </si>
  <si>
    <t>https://t.co/41hY6sjlFF https://pbs.twimg.com/media/F2eWaM7bMAAg77Z.png</t>
  </si>
  <si>
    <t>https://t.co/K7Aiu2EiYA https://pbs.twimg.com/media/F1Gbq4MXwAQv67e.png</t>
  </si>
  <si>
    <t>https://t.co/DylUE2fuJ1 https://pbs.twimg.com/media/F1GbObIX0AgxY95.png</t>
  </si>
  <si>
    <t>https://t.co/JGqutWM81i https://pbs.twimg.com/media/F1GabBdWYAEGVjd.png</t>
  </si>
  <si>
    <t>https://t.co/443UaS93Ho https://pbs.twimg.com/media/F1GaHeNWAAEy3KB.png</t>
  </si>
  <si>
    <t>https://t.co/689feW66VA https://pbs.twimg.com/media/FwCKYRyWcAMBYq0.png</t>
  </si>
  <si>
    <t>https://t.co/LLQos6a5OD https://pbs.twimg.com/media/FwCKQSpX0AUTXIb.png</t>
  </si>
  <si>
    <t>https://t.co/6MC2OS36Iz https://pbs.twimg.com/media/FwCKIJKX0AAZyyR.png</t>
  </si>
  <si>
    <t>https://t.co/5meqiNzlQM https://pbs.twimg.com/media/FwCJ8SJXwAYEm0V.png</t>
  </si>
  <si>
    <t>https://t.co/1BtTgCJpnK https://pbs.twimg.com/media/FwCJn-WWIAA7Hm1.png</t>
  </si>
  <si>
    <t>https://t.co/xiE5lJItTU https://t.co/xiE5lJItTU https://t.co/xiE5lJItTU https://pbs.twimg.com/media/F2ZyiInXsAAbPZW.jpg https://pbs.twimg.com/media/F2ZyiIlWoAA6vv_.jpg https://pbs.twimg.com/media/F2ZyiImWAAED4M2.jpg</t>
  </si>
  <si>
    <t>https://t.co/gyfwbSL2a0 https://t.co/gyfwbSL2a0 https://t.co/gyfwbSL2a0 https://pbs.twimg.com/media/F2ZwPxAWgAEXbOy.jpg https://pbs.twimg.com/media/F2ZwPxTWkAIYqeZ.jpg https://pbs.twimg.com/media/F2ZwPxmW0AAyEnw.jpg</t>
  </si>
  <si>
    <t>https://t.co/xOsvRU8Kww https://pbs.twimg.com/media/Fw5TARjWwAItWKk.jpg</t>
  </si>
  <si>
    <t>https://t.co/0WZzJOAb42 https://pbs.twimg.com/media/FyMkXRQWwAEpLgq.jpg</t>
  </si>
  <si>
    <t>https://t.co/wu4eNtAOCQ https://pbs.twimg.com/media/FxiyTKyaMAAbJFu.jpg</t>
  </si>
  <si>
    <t>https://t.co/8nVfwqd5xU https://pbs.twimg.com/media/FzFRRqJXsA4-RnK.jpg</t>
  </si>
  <si>
    <t>https://t.co/QpcNnjxWSe https://pbs.twimg.com/media/FxkemL6WcAMTjIQ.jpg</t>
  </si>
  <si>
    <t>https://t.co/exduhnAgGZ https://pbs.twimg.com/media/FzpVjySXwBMYSQT.jpg</t>
  </si>
  <si>
    <t>https://t.co/QYAtTAPKgk https://pbs.twimg.com/media/Fx3igOkXoAAjiYr.jpg</t>
  </si>
  <si>
    <t>https://t.co/CFBBBfWWk5 https://pbs.twimg.com/media/FwukUYpXsAYDlBg.jpg</t>
  </si>
  <si>
    <t>https://t.co/1HhQsOQiyK https://pbs.twimg.com/media/F0Rlvo1WYAAuXjD.jpg</t>
  </si>
  <si>
    <t>https://t.co/hojMrD7Zzd https://pbs.twimg.com/media/FxdWNADWwAARAEw.jpg</t>
  </si>
  <si>
    <t>https://t.co/kKNuSBDRSE https://pbs.twimg.com/media/FxSnedUWcAIAlK5.jpg</t>
  </si>
  <si>
    <t>https://t.co/8EBNCnL9J2 https://pbs.twimg.com/media/F0txukWX0AMHyQq.jpg</t>
  </si>
  <si>
    <t>https://t.co/DknawK9Dp5 https://pbs.twimg.com/media/F4VTXtWW8AEE-oU.jpg</t>
  </si>
  <si>
    <t>https://t.co/4BJD6rcMAd https://pbs.twimg.com/media/F4SZncAWEAAEo2R.jpg</t>
  </si>
  <si>
    <t>https://t.co/378ZFQaHNu https://pbs.twimg.com/media/F4QK-ioWAAA1tuW.png</t>
  </si>
  <si>
    <t>https://t.co/7GYR1UkpyG https://pbs.twimg.com/media/F40wrY2XsAAHxUy.jpg</t>
  </si>
  <si>
    <t>https://t.co/Ozpsyb8wEd https://pbs.twimg.com/media/F3hywwxXUAAhJNi.png</t>
  </si>
  <si>
    <t>https://t.co/3SZEEexGmD https://pbs.twimg.com/media/F5yC-QyWAAArxCv.jpg</t>
  </si>
  <si>
    <t>https://t.co/em9N4MY6I0 https://pbs.twimg.com/media/F2nQOPgawAM04fe.jpg</t>
  </si>
  <si>
    <t>https://t.co/UCDHTsaBAa https://pbs.twimg.com/media/F30LwCRXkAAVpxK.jpg</t>
  </si>
  <si>
    <t>https://t.co/F54SPysNrL https://pbs.twimg.com/media/F45x8jnXEAENdv4.jpg</t>
  </si>
  <si>
    <t>https://t.co/dHCd87JP2G https://t.co/dHCd87JP2G https://pbs.twimg.com/media/FxUMHtyWAA8YO7_.png https://pbs.twimg.com/media/FxUMKVWWcAAWE1w.jpg</t>
  </si>
  <si>
    <t>https://t.co/xtYn7ymogM https://t.co/xtYn7ymogM https://pbs.twimg.com/media/Fu1MnNaXoAEZqcu.png https://pbs.twimg.com/media/Fu1MoarXwAMr0hG.png</t>
  </si>
  <si>
    <t>https://t.co/T6cq8VuU5I https://pbs.twimg.com/media/FxjamEjXwBAieap.png</t>
  </si>
  <si>
    <t>https://t.co/tuOYkCcrQ6 https://pbs.twimg.com/media/Fz50rq9WYAA7aTj.png</t>
  </si>
  <si>
    <t>https://t.co/0XPx4FO4Jz https://pbs.twimg.com/media/Fw12wacWIBoYIVB.jpg</t>
  </si>
  <si>
    <t>https://t.co/w96KSBFYF3 https://pbs.twimg.com/media/F64l1ajXcAEzzTu.png</t>
  </si>
  <si>
    <t>https://t.co/8u8lEyAqtH https://pbs.twimg.com/ext_tw_video_thumb/1668035135361413122/pu/img/XtHPLbOUczmeFb_x.jpg</t>
  </si>
  <si>
    <t>https://t.co/Jcxqhg19lM https://pbs.twimg.com/ext_tw_video_thumb/1687209780727697408/pu/img/44E8b-BZYHxh4Ktb.jpg</t>
  </si>
  <si>
    <t>https://t.co/HrflCUzali https://pbs.twimg.com/media/FwId2Z-WIAMNGwD.jpg</t>
  </si>
  <si>
    <t>https://t.co/yM2SQTnKA2 https://pbs.twimg.com/media/FwHULa8WwAE0SKJ.jpg</t>
  </si>
  <si>
    <t>https://t.co/yFi03ZdYYf https://pbs.twimg.com/media/FwCikqeWcAMTMaA.jpg</t>
  </si>
  <si>
    <t>https://t.co/lG2yhIkcyI https://pbs.twimg.com/media/Fwvps9KXwAIB7Wu.jpg</t>
  </si>
  <si>
    <t>https://t.co/bomWyCARfh https://pbs.twimg.com/media/FwhJYkGWIBMAmX4.jpg</t>
  </si>
  <si>
    <t>https://t.co/FSCEufEwvs https://pbs.twimg.com/media/Fwc9968XwAY7MOp.jpg</t>
  </si>
  <si>
    <t>https://t.co/cc12KdgR89 https://pbs.twimg.com/media/Fwb_BfpWcBQflJe.jpg</t>
  </si>
  <si>
    <t>https://t.co/HqMYMKBEzu https://pbs.twimg.com/media/FxKqIUZX0AEJGEf.jpg</t>
  </si>
  <si>
    <t>https://t.co/CPyg6Gb7bP https://pbs.twimg.com/media/FxFfiNjXgAMVJuw.jpg</t>
  </si>
  <si>
    <t>https://t.co/tB0Q36KaLH https://pbs.twimg.com/media/FwQ2SspXsAAnHnL.jpg</t>
  </si>
  <si>
    <t>https://t.co/pDNc2efagy https://pbs.twimg.com/media/FwNeMCbXoAAxBW_.jpg</t>
  </si>
  <si>
    <t>https://t.co/pw6QzL7cgh https://pbs.twimg.com/media/FwMhK9aWIBcnY-C.jpg</t>
  </si>
  <si>
    <t>https://t.co/kDS5mUhoS4 https://pbs.twimg.com/media/FwLxfTeXsBMr4w1.jpg</t>
  </si>
  <si>
    <t>https://t.co/mnaQmWKPgA https://pbs.twimg.com/media/FxsLkvtWIAE3eGy.jpg</t>
  </si>
  <si>
    <t>https://t.co/iAhsjzZ8is https://pbs.twimg.com/media/FwbCdlRXgAEEEh2.jpg</t>
  </si>
  <si>
    <t>https://t.co/CiaByhFzZO https://pbs.twimg.com/media/FwXuEEBX0AAIage.jpg</t>
  </si>
  <si>
    <t>https://t.co/7QnBYSeoih https://pbs.twimg.com/media/FwW2vEuWYAAjPLo.jpg</t>
  </si>
  <si>
    <t>https://t.co/tcpDqu0bD1 https://pbs.twimg.com/media/FwShSqTWcAMi5Lq.jpg</t>
  </si>
  <si>
    <t>https://t.co/TEY4vKAu2T https://pbs.twimg.com/media/FwRwjLkWIAYvuys.jpg</t>
  </si>
  <si>
    <t>https://t.co/JtWnGGuIsJ https://pbs.twimg.com/media/FydoxGiX0AATwKn.jpg</t>
  </si>
  <si>
    <t>https://t.co/9gRKfFz5BC https://pbs.twimg.com/media/FxfiOsgWAAA-mwb.jpg</t>
  </si>
  <si>
    <t>https://t.co/ugaNO8eMTZ https://pbs.twimg.com/media/Fxe7VuCWcAMIcJe.jpg</t>
  </si>
  <si>
    <t>https://t.co/n2eM2Sfv9v https://pbs.twimg.com/media/FxdWeLNWIAAMcN-.jpg</t>
  </si>
  <si>
    <t>https://t.co/BfcTHDTLRJ https://pbs.twimg.com/media/FxZyZPtWIAAmNV9.jpg</t>
  </si>
  <si>
    <t>https://t.co/AVtNliXIHk https://pbs.twimg.com/media/FxVbZSCWwAEjR-h.jpg</t>
  </si>
  <si>
    <t>https://t.co/z5XJiVrV0u https://pbs.twimg.com/media/FxU34YtWAAIcs46.jpg</t>
  </si>
  <si>
    <t>https://t.co/i5pC3sMe7H https://pbs.twimg.com/media/FxSmjzFX0AQVEk5.jpg</t>
  </si>
  <si>
    <t>https://t.co/1ofETxFFMA https://pbs.twimg.com/ext_tw_video_thumb/1670959688123392001/pu/img/7mi-Y8tpwahYBFPd.jpg</t>
  </si>
  <si>
    <t>https://t.co/Y8qqnWTl21 https://pbs.twimg.com/media/FyNZk45XoAAtnh1.jpg</t>
  </si>
  <si>
    <t>https://t.co/nujEPytUto https://pbs.twimg.com/media/Fw-cUKXWYAAurK_.jpg</t>
  </si>
  <si>
    <t>https://t.co/hDFACzgp3W https://pbs.twimg.com/ext_tw_video_thumb/1675192765125197826/pu/img/AvszVz61OAZSl_9S.jpg</t>
  </si>
  <si>
    <t>https://t.co/rUb06lx1Yq https://pbs.twimg.com/media/FyJAnUMWYAAFp7_.jpg</t>
  </si>
  <si>
    <t>https://t.co/mjjlKjlmbB https://pbs.twimg.com/media/FyG3hbVaYAA1RiU.jpg</t>
  </si>
  <si>
    <t>https://t.co/3NuB8tFnYB https://pbs.twimg.com/media/Fx-t-fxX0AA4V78.jpg</t>
  </si>
  <si>
    <t>https://t.co/n3miMpzFxf https://pbs.twimg.com/media/Fw2W8APWYAARrVU.jpg</t>
  </si>
  <si>
    <t>https://t.co/Imoo7HpxXr https://pbs.twimg.com/media/Fw1vLrKWIBwVeej.jpg</t>
  </si>
  <si>
    <t>https://t.co/m5wkDcLtHl https://pbs.twimg.com/media/Fw1HxHRXwBgSDmG.jpg</t>
  </si>
  <si>
    <t>https://t.co/HB4P33VFpx https://pbs.twimg.com/media/FwwkrXAX0A0MRXF.jpg</t>
  </si>
  <si>
    <t>https://t.co/FvYnyH5DGy https://pbs.twimg.com/ext_tw_video_thumb/1690717536696868864/pu/img/xVG1z7uphaU6iWK_.jpg</t>
  </si>
  <si>
    <t>https://t.co/P4ehJIXGed https://pbs.twimg.com/ext_tw_video_thumb/1690446468107128832/pu/img/Ub0Qib1nFnKdWvN6.jpg</t>
  </si>
  <si>
    <t>https://t.co/RXXHqw3DvM https://pbs.twimg.com/ext_tw_video_thumb/1689809709098770432/pu/img/kHmLproWJfqVRUck.jpg</t>
  </si>
  <si>
    <t>https://t.co/5qnKu2jiaY https://pbs.twimg.com/ext_tw_video_thumb/1669138069348311041/pu/img/3FgUWM5p322b9-tY.jpg</t>
  </si>
  <si>
    <t>https://t.co/IU3kDxp8BQ https://pbs.twimg.com/ext_tw_video_thumb/1697246580188041216/pu/img/kC9_f24xt-gQquKq.jpg</t>
  </si>
  <si>
    <t>https://t.co/AS3qaUuN7M https://pbs.twimg.com/media/F5v5jSfXQAAPj5m.jpg</t>
  </si>
  <si>
    <t>https://t.co/SGkAgoFzgf https://pbs.twimg.com/ext_tw_video_thumb/1692227026730487808/pu/img/y_AAgCBVX-if1l_3.jpg</t>
  </si>
  <si>
    <t>https://t.co/5mbhlIZiKa https://pbs.twimg.com/ext_tw_video_thumb/1656585328763842562/pu/img/_UqIWX6nHF2-vzTv.jpg</t>
  </si>
  <si>
    <t>https://t.co/LNQfpSSNYZ https://pbs.twimg.com/media/FzovvcCWwAAEK0h.jpg</t>
  </si>
  <si>
    <t>https://t.co/QzpPs5NdhH https://pbs.twimg.com/media/FzowHd4XsAMXVJA.jpg</t>
  </si>
  <si>
    <t>https://t.co/49R0KeHKsR https://pbs.twimg.com/media/FzowNwtWwAIpcnR.jpg</t>
  </si>
  <si>
    <t>https://t.co/mnprYBg20Z https://t.co/mnprYBg20Z https://t.co/mnprYBg20Z https://pbs.twimg.com/media/FyH_YioWAAEyn50.jpg https://pbs.twimg.com/media/FyH_YilXsAAjHSU.jpg https://pbs.twimg.com/media/FyH_YilWYBE-wtR.jpg</t>
  </si>
  <si>
    <t>https://t.co/zM0gNlsQpx https://t.co/zM0gNlsQpx https://pbs.twimg.com/media/F3BNQmIXwAA87Gb.jpg https://pbs.twimg.com/media/F3BNQmKX0AIvYN4.jpg</t>
  </si>
  <si>
    <t>https://t.co/GgVFUSt9UN https://pbs.twimg.com/media/F4KGNypWgAA7JqG.jpg</t>
  </si>
  <si>
    <t>https://t.co/UB4hF5C64D https://t.co/UB4hF5C64D https://t.co/UB4hF5C64D https://pbs.twimg.com/media/Fv4A4nbX0AACx8d.jpg https://pbs.twimg.com/media/Fv4A4ndWcAAXObv.jpg https://pbs.twimg.com/media/Fv4A4ngXoAA_BjK.jpg</t>
  </si>
  <si>
    <t>https://t.co/tgfUOynwB8 https://pbs.twimg.com/media/F5NgI5MXIAAf6Em.jpg</t>
  </si>
  <si>
    <t>https://t.co/NicWNtsl3o https://pbs.twimg.com/ext_tw_video_thumb/1668965738525196289/pu/img/3hsOgKC-2jbb9emJ.jpg</t>
  </si>
  <si>
    <t>https://t.co/r38UUZHXNh https://pbs.twimg.com/media/F5BNMSVXwAAHR43.jpg</t>
  </si>
  <si>
    <t>https://t.co/ewKDqBIcCB https://pbs.twimg.com/media/FwNI2LUWcAg-wFc.jpg</t>
  </si>
  <si>
    <t>https://t.co/oNFHTaC26Z https://pbs.twimg.com/media/FwDNsV6WIAIqib-.png</t>
  </si>
  <si>
    <t>https://t.co/2FcqjMpCvn https://pbs.twimg.com/media/Fvt-MFWXwAIu8Cw.jpg</t>
  </si>
  <si>
    <t>https://t.co/DHGN6dbyCv https://pbs.twimg.com/ext_tw_video_thumb/1673613762933260288/pu/img/GjQnkECjPT0FvRry.jpg</t>
  </si>
  <si>
    <t>https://t.co/MX38TwoGUI https://pbs.twimg.com/ext_tw_video_thumb/1676510982607175680/pu/img/5UcTimoeUFqyt99f.jpg</t>
  </si>
  <si>
    <t>https://t.co/uPdRHxpYzW https://pbs.twimg.com/ext_tw_video_thumb/1676501903964766208/pu/img/6eRJRBgfUqWAKi2J.jpg</t>
  </si>
  <si>
    <t>https://t.co/TMsjm8ufzI https://pbs.twimg.com/ext_tw_video_thumb/1689632478338932737/pu/img/VX1W9OiJd3rI7zjR.jpg</t>
  </si>
  <si>
    <t>https://t.co/0aGkhpGaaK https://pbs.twimg.com/ext_tw_video_thumb/1689631633392189440/pu/img/wdxlDdCvYnuxB19j.jpg</t>
  </si>
  <si>
    <t>https://t.co/abTghXjzhr https://pbs.twimg.com/media/FxD99L0XsAQ1Cyr.jpg</t>
  </si>
  <si>
    <t>https://t.co/1OUfzQloQs https://t.co/1OUfzQloQs https://t.co/1OUfzQloQs https://t.co/1OUfzQloQs https://pbs.twimg.com/media/FzAxPjDWcAMZr-X.png https://pbs.twimg.com/media/FzAxRttWcBo74cy.png https://pbs.twimg.com/media/FzAxSejWcBouLTi.jpg https://pbs.twimg.com/media/FzAxTTuWcBEMoUX.jpg</t>
  </si>
  <si>
    <t>https://t.co/a7DkeiPR0s https://pbs.twimg.com/media/FzKPXI6WcAILLxm.jpg</t>
  </si>
  <si>
    <t>https://t.co/0Ep94mxj3w https://pbs.twimg.com/ext_tw_video_thumb/1678527867213234176/pu/img/GJ11vBO2dyZyfFzw.jpg</t>
  </si>
  <si>
    <t>https://t.co/LUnNJMYDoB https://pbs.twimg.com/amplify_video_thumb/1687594774285414401/img/q0CUq8LYS8cUTWiS.jpg</t>
  </si>
  <si>
    <t>https://t.co/wPnxvDUJxE https://pbs.twimg.com/ext_tw_video_thumb/1658359605292933121/pu/img/DupDXCW3hFmiV_DI.jpg</t>
  </si>
  <si>
    <t>https://t.co/FRlo7IAz4q https://pbs.twimg.com/media/FwOtK0xWwAAWnea.jpg</t>
  </si>
  <si>
    <t>https://t.co/RUG91Rk5PN https://pbs.twimg.com/media/FwOtH9PXwAEVo7G.jpg</t>
  </si>
  <si>
    <t>https://t.co/zFnu0RMv7P https://pbs.twimg.com/media/FwOtFO7XoAIDS-7.jpg</t>
  </si>
  <si>
    <t>https://t.co/1n4YpQVFuV https://pbs.twimg.com/media/FwOs_OIXsAIuHDk.jpg</t>
  </si>
  <si>
    <t>https://t.co/cyCLvsLmov https://pbs.twimg.com/ext_tw_video_thumb/1667086512993759234/pu/img/Rt1iwxlWBlguBUAJ.jpg</t>
  </si>
  <si>
    <t>https://t.co/icVfyLoyzU https://pbs.twimg.com/ext_tw_video_thumb/1667086221997113345/pu/img/nTmHFa1L19MjG5HE.jpg</t>
  </si>
  <si>
    <t>https://t.co/K0SelcXrQi https://pbs.twimg.com/ext_tw_video_thumb/1667086037858893825/pu/img/H49HDO-37bin-Krw.jpg</t>
  </si>
  <si>
    <t>https://t.co/ZGu3dEYlWX https://pbs.twimg.com/ext_tw_video_thumb/1667085800373202945/pu/img/Yu7um-7eJ7blAXdR.jpg</t>
  </si>
  <si>
    <t>https://t.co/R0X5Wchqfo https://pbs.twimg.com/ext_tw_video_thumb/1667085653471813633/pu/img/5n5jSMIlgDXsz1cn.jpg</t>
  </si>
  <si>
    <t>https://t.co/H3iXxaM0Ed https://pbs.twimg.com/ext_tw_video_thumb/1667085519442915328/pu/img/yhzRL2QYOFOEI1wz.jpg</t>
  </si>
  <si>
    <t>https://t.co/d0S2P6IdYe https://pbs.twimg.com/ext_tw_video_thumb/1667085294301065216/pu/img/B6ufLUVp13ai7bhs.jpg</t>
  </si>
  <si>
    <t>https://t.co/OQHNVlNMjL https://pbs.twimg.com/ext_tw_video_thumb/1674774443477049345/pu/img/tGOilwHOWmc9aktp.jpg</t>
  </si>
  <si>
    <t>https://t.co/AntY7ITIQb https://pbs.twimg.com/ext_tw_video_thumb/1674774192598966272/pu/img/wpl_XhAYXyG2q-JR.jpg</t>
  </si>
  <si>
    <t>https://t.co/EbFUhw5fbT https://pbs.twimg.com/ext_tw_video_thumb/1674773674107506689/pu/img/gXqooW8LxLbV1QlA.jpg</t>
  </si>
  <si>
    <t>https://t.co/gHRME7aQrg https://pbs.twimg.com/ext_tw_video_thumb/1701287058839572480/pu/img/fejik9Vggj_7t1Q-.jpg</t>
  </si>
  <si>
    <t>https://t.co/eP7B3Xcfar https://pbs.twimg.com/ext_tw_video_thumb/1698672744542752768/pu/img/dX5LVQ05UxtoH-fv.jpg</t>
  </si>
  <si>
    <t>https://t.co/g2Q8cdjKuK https://pbs.twimg.com/ext_tw_video_thumb/1698671530857861120/pu/img/mjfYOVFvHMLPrca4.jpg</t>
  </si>
  <si>
    <t>https://t.co/T0c97ZPuVy https://pbs.twimg.com/ext_tw_video_thumb/1663495516393558018/pu/img/JWoK6Kd7p-uuqvMo.jpg</t>
  </si>
  <si>
    <t>https://t.co/D66ytwMBkr https://pbs.twimg.com/ext_tw_video_thumb/1663495402451005441/pu/img/Qomn8mXQ7kdXVH0_.jpg</t>
  </si>
  <si>
    <t>https://t.co/qdpvOYBAKl https://pbs.twimg.com/ext_tw_video_thumb/1663495189015547904/pu/img/YGMOLDPYJD1LtKDC.jpg</t>
  </si>
  <si>
    <t>https://t.co/jJuxqQc7v3 https://pbs.twimg.com/ext_tw_video_thumb/1663081756499558400/pu/img/QcQ2TxwCMPzeQ-OF.jpg</t>
  </si>
  <si>
    <t>https://t.co/nLKp1s4L5r https://pbs.twimg.com/ext_tw_video_thumb/1663081407516688384/pu/img/VOn_4ON_-El4svpj.jpg</t>
  </si>
  <si>
    <t>https://t.co/TLRQmNwdui https://pbs.twimg.com/ext_tw_video_thumb/1663081104826421249/pu/img/zJhJQjTz1e00NF00.jpg</t>
  </si>
  <si>
    <t>https://t.co/4cr1kWXoUD https://pbs.twimg.com/ext_tw_video_thumb/1701958926390935552/pu/img/Qa9ld2GHuZtqL65V.jpg</t>
  </si>
  <si>
    <t>https://t.co/Pl3g5BG5m3 https://pbs.twimg.com/ext_tw_video_thumb/1701287211839397888/pu/img/kP6Ldb9xYfr-HQBA.jpg</t>
  </si>
  <si>
    <t>https://t.co/CJuTva1hWL https://pbs.twimg.com/ext_tw_video_thumb/1656649550243799042/pu/img/ySXnQVDJAlgYb_eY.jpg</t>
  </si>
  <si>
    <t>https://t.co/6VLaFlWn00 https://pbs.twimg.com/media/Fv2XTq4WIAg8ro6.png</t>
  </si>
  <si>
    <t>https://t.co/XrVHBlRyQM https://pbs.twimg.com/media/Fv2XHZ8WwAYE2yA.png</t>
  </si>
  <si>
    <t>https://t.co/NrBs6Fem2o https://pbs.twimg.com/ext_tw_video_thumb/1704871470470664192/pu/img/5ewCCGIizMXBkQKm.jpg</t>
  </si>
  <si>
    <t>https://t.co/wWa1iKPjZ2 https://pbs.twimg.com/ext_tw_video_thumb/1704867419603542016/pu/img/Ba2vAHBFCS4bFe98.jpg</t>
  </si>
  <si>
    <t>https://t.co/xOgBZqrj2G https://pbs.twimg.com/ext_tw_video_thumb/1706756163847831553/pu/img/qXK1tcujIEQ3YF4N.jpg</t>
  </si>
  <si>
    <t>https://t.co/AS9PLqTQeu https://pbs.twimg.com/ext_tw_video_thumb/1704871139129122816/pu/img/V9Na1HwzwhgchbPC.jpg</t>
  </si>
  <si>
    <t>https://t.co/TJ1IQjJ7C7 https://pbs.twimg.com/ext_tw_video_thumb/1673323796227321856/pu/img/S1Uk_pck0mahLjEQ.jpg</t>
  </si>
  <si>
    <t>https://t.co/pcOrkHFc5o https://pbs.twimg.com/ext_tw_video_thumb/1673323481923047424/pu/img/VHFs6dCllWeBmlkB.jpg</t>
  </si>
  <si>
    <t>https://t.co/iK0Zz1cwt7 https://pbs.twimg.com/ext_tw_video_thumb/1673323365514313737/pu/img/cRINUXIOdTrEkIrU.jpg</t>
  </si>
  <si>
    <t>https://t.co/uTHI7IkajJ https://pbs.twimg.com/ext_tw_video_thumb/1658775941160615937/pu/img/psPK1eHsCDb8WMlY.jpg</t>
  </si>
  <si>
    <t>https://t.co/9xSro9M009 https://pbs.twimg.com/ext_tw_video_thumb/1658775806871519232/pu/img/e3e4yLQ8f1iCANp0.jpg</t>
  </si>
  <si>
    <t>https://t.co/QWEFMPP70i https://pbs.twimg.com/ext_tw_video_thumb/1658775004136308738/pu/img/uZW3KioiIG4Zizkt.jpg</t>
  </si>
  <si>
    <t>https://t.co/MuJMCVzzYr https://pbs.twimg.com/ext_tw_video_thumb/1658774852105281536/pu/img/SdRggoliXIDgT0e9.jpg</t>
  </si>
  <si>
    <t>https://t.co/et7j7N5ygd https://pbs.twimg.com/ext_tw_video_thumb/1706756022483009536/pu/img/BXpG8VHqHz1my6Qq.jpg</t>
  </si>
  <si>
    <t>https://t.co/KMNhW5PMhH https://pbs.twimg.com/ext_tw_video_thumb/1659833410100113408/pu/img/0XYC6kSKcfCFcHjE.jpg</t>
  </si>
  <si>
    <t>https://t.co/T2jKceh9zZ https://pbs.twimg.com/ext_tw_video_thumb/1659833260740952066/pu/img/UJqUFYPejXI3ATRz.jpg</t>
  </si>
  <si>
    <t>https://t.co/skzZYmNxvr https://pbs.twimg.com/ext_tw_video_thumb/1659833165303693312/pu/img/rUPrltDKWV0MKooF.jpg</t>
  </si>
  <si>
    <t>https://t.co/EKlBL3R0vf https://pbs.twimg.com/media/FwjpVrCWwAIwuAC.jpg</t>
  </si>
  <si>
    <t>https://t.co/zD5M3G1Rls https://pbs.twimg.com/media/FwjpLvLXsAEBnYq.jpg</t>
  </si>
  <si>
    <t>https://t.co/rF01UG27yV https://pbs.twimg.com/media/FwjpDwbXoAALK0k.jpg</t>
  </si>
  <si>
    <t>https://t.co/rG7oo3AstF https://pbs.twimg.com/ext_tw_video_thumb/1697244297635262464/pu/img/yUjGwyWpRFPqfwZC.jpg</t>
  </si>
  <si>
    <t>https://t.co/6JbgDTZT3H https://pbs.twimg.com/media/F5qk4FbWIAAofE_.jpg</t>
  </si>
  <si>
    <t>https://t.co/wjdWuXUxY7 https://pbs.twimg.com/media/F5L_WVdWgAEdQzD.jpg</t>
  </si>
  <si>
    <t>https://t.co/XxIb6Xte9i https://pbs.twimg.com/ext_tw_video_thumb/1700857019362611200/pu/img/yvXVNLoN2OxGiX-c.jpg</t>
  </si>
  <si>
    <t>https://t.co/mH90ZS7UZE https://pbs.twimg.com/media/FvpKuuFWYAEvraq.jpg</t>
  </si>
  <si>
    <t>https://t.co/ueWL22rxis https://pbs.twimg.com/media/Fv8ojRqWwAQvoOA.jpg</t>
  </si>
  <si>
    <t>https://t.co/q08jOfKEXz https://pbs.twimg.com/ext_tw_video_thumb/1662077381677400064/pu/img/QLTh58paZdYnSEwc.jpg</t>
  </si>
  <si>
    <t>https://t.co/afypR6BuWi https://pbs.twimg.com/ext_tw_video_thumb/1662077026767863809/pu/img/JWMT99jpe6pqgRFZ.jpg</t>
  </si>
  <si>
    <t>https://t.co/PZeRPr6nnN https://pbs.twimg.com/media/Fx-iGeHWAAEcjTi.jpg</t>
  </si>
  <si>
    <t>https://t.co/k6t3OMzSWk https://pbs.twimg.com/media/Fx-iCUSWcAAQtl7.jpg</t>
  </si>
  <si>
    <t>https://t.co/1j4mukGNwo https://pbs.twimg.com/media/FxqCmZaXsAEt-pn.jpg</t>
  </si>
  <si>
    <t>https://t.co/uDxrZXJw12 https://pbs.twimg.com/media/FxqCgm7XoAAfK_A.jpg</t>
  </si>
  <si>
    <t>https://t.co/Z9BPjUpQYm https://pbs.twimg.com/ext_tw_video_thumb/1665836932356603912/pu/img/A5Hyns3f9i7q5HYz.jpg</t>
  </si>
  <si>
    <t>https://t.co/gNmkmYz725 https://pbs.twimg.com/media/F6-xmiUWcAIPSBh.jpg</t>
  </si>
  <si>
    <t>https://t.co/bfTmGW7WFy https://pbs.twimg.com/amplify_video_thumb/1686366495436165120/img/PMGqrXj3-kn8RDE4.jpg</t>
  </si>
  <si>
    <t>https://t.co/07oaTNd9Me https://t.co/07oaTNd9Me https://t.co/07oaTNd9Me https://t.co/07oaTNd9Me https://pbs.twimg.com/media/F6ED5yNW4AAwMW_.jpg https://pbs.twimg.com/media/F6ED6QOXcAA_vvS.jpg https://pbs.twimg.com/media/F6ED7YAWwAA5su6.jpg https://pbs.twimg.com/media/F6ED9KLXAAAst7S.jpg</t>
  </si>
  <si>
    <t>https://t.co/xI84rEvfm4 https://pbs.twimg.com/ext_tw_video_thumb/1688301695237857280/pu/img/_ucJpmKr-lPwsoOE.jpg</t>
  </si>
  <si>
    <t>https://t.co/tz1miIUxxD https://pbs.twimg.com/ext_tw_video_thumb/1692996562027184128/pu/img/qfgFnoP4AReqykIt.jpg</t>
  </si>
  <si>
    <t>https://t.co/lVEkegIqWQ https://pbs.twimg.com/ext_tw_video_thumb/1695918873776668672/pu/img/QHYPMOAVznV-3a1g.jpg</t>
  </si>
  <si>
    <t>https://t.co/Y1I3gxF6R2 https://pbs.twimg.com/ext_tw_video_thumb/1694053166306770946/pu/img/p65h--Uyb6nqoAZW.jpg</t>
  </si>
  <si>
    <t>https://t.co/UnN4Z7Kz8U https://pbs.twimg.com/ext_tw_video_thumb/1693298479156645889/pu/img/cipcUp62e0RVl7Ld.jpg</t>
  </si>
  <si>
    <t>https://t.co/MIrne7ye8V https://pbs.twimg.com/ext_tw_video_thumb/1697323866266202112/pu/img/5dXudVM1zvMRDwmi.jpg</t>
  </si>
  <si>
    <t>https://t.co/WqZfeEYlUq https://pbs.twimg.com/ext_tw_video_thumb/1700922998721548288/pu/img/d2JFL7K4OnXMdaKG.jpg</t>
  </si>
  <si>
    <t>https://t.co/qNeVeedrxx https://pbs.twimg.com/ext_tw_video_thumb/1695564088137367552/pu/img/VytBsQ0dkzO-386B.jpg</t>
  </si>
  <si>
    <t>https://t.co/3y3a8t0eTX https://pbs.twimg.com/ext_tw_video_thumb/1692261123096023040/pu/img/Y8s5LNslPJadaRRS.jpg</t>
  </si>
  <si>
    <t>https://t.co/Vs9Mwxk3tm https://pbs.twimg.com/ext_tw_video_thumb/1704936185309581312/pu/img/MF2neNUOEWF_fHx-.jpg</t>
  </si>
  <si>
    <t>https://t.co/g5dvCFIrcN https://pbs.twimg.com/ext_tw_video_thumb/1691529061112172544/pu/img/tuUJepu5po3zn0ol.jpg</t>
  </si>
  <si>
    <t>https://t.co/t6kUeD57Ty https://pbs.twimg.com/ext_tw_video_thumb/1706729423032983552/pu/img/yqQs84BosMYXUFXQ.jpg</t>
  </si>
  <si>
    <t>https://t.co/Xmlzz9Om2Q https://pbs.twimg.com/ext_tw_video_thumb/1704199407573385216/pu/img/1am-B_OoUOA4yJ1c.jpg</t>
  </si>
  <si>
    <t>https://t.co/gR8qqnPyde https://pbs.twimg.com/ext_tw_video_thumb/1700626833664798720/pu/img/fVr-aH3YQKrP7AG-.jpg</t>
  </si>
  <si>
    <t>https://t.co/LeHZQxCCp5 https://pbs.twimg.com/ext_tw_video_thumb/1696574690565779463/pu/img/3xuZnTugwOzN1dmg.jpg</t>
  </si>
  <si>
    <t>https://t.co/Knlut0V5Ce https://pbs.twimg.com/ext_tw_video_thumb/1690716484530515968/pu/img/_leC3TVQJ4XcekKl.jpg</t>
  </si>
  <si>
    <t>https://t.co/6EjURY19Nr https://pbs.twimg.com/ext_tw_video_thumb/1657138724927332356/pu/img/JuPnRBVlDcSv3_fg.jpg</t>
  </si>
  <si>
    <t>https://t.co/Q456Vegc1x https://pbs.twimg.com/ext_tw_video_thumb/1663251523302719492/pu/img/vPzT11uesmpDpopx.jpg</t>
  </si>
  <si>
    <t>https://t.co/jdqS7oVvCj https://pbs.twimg.com/ext_tw_video_thumb/1700976629420556288/pu/img/hSUpazMsu74KE75-.jpg</t>
  </si>
  <si>
    <t>https://t.co/BcgQO9HanW https://t.co/BcgQO9HanW https://pbs.twimg.com/media/FywJeV5XoAAFbDO.jpg https://pbs.twimg.com/media/FywJe4pWYAEVdC7.jpg</t>
  </si>
  <si>
    <t>https://t.co/p9FVN3XROM https://pbs.twimg.com/ext_tw_video_thumb/1697021642143051776/pu/img/TVoaC4EdAH7uoSin.jpg</t>
  </si>
  <si>
    <t>https://t.co/cDqK7AGfOB https://pbs.twimg.com/media/F0L5wHaXwAEtUou.jpg</t>
  </si>
  <si>
    <t>https://t.co/TAE2DpGcGW https://pbs.twimg.com/media/F2b_b0gWIAALPwn.jpg</t>
  </si>
  <si>
    <t>https://t.co/LQggL3XWzL https://pbs.twimg.com/media/F0GwKf_X0AQs6Px.jpg</t>
  </si>
  <si>
    <t>https://t.co/SKGKecqznI https://pbs.twimg.com/media/F2hI_5SXsAIU8cY.jpg</t>
  </si>
  <si>
    <t>https://t.co/W9ATAPjujJ https://pbs.twimg.com/media/F47y-C2XUAAg1dZ.jpg</t>
  </si>
  <si>
    <t>https://t.co/v1GwZ8XxaZ https://pbs.twimg.com/media/F265InyW8AA98dT.jpg</t>
  </si>
  <si>
    <t>https://t.co/zPeSNQrpdZ https://pbs.twimg.com/media/F2HZDm3WkAAEV5e.jpg</t>
  </si>
  <si>
    <t>https://t.co/U4j0JcfG79 https://pbs.twimg.com/media/F2CPe-DWYAE2hkU.jpg</t>
  </si>
  <si>
    <t>https://t.co/4rZvkWz7oK https://pbs.twimg.com/media/FzyC9eaWcAEiTSr.jpg</t>
  </si>
  <si>
    <t>https://t.co/o4FAFh6f59 https://pbs.twimg.com/media/Fzs5X3zWcAAPw2n.jpg</t>
  </si>
  <si>
    <t>https://t.co/XNSbWUytrL https://pbs.twimg.com/media/FznvxszWcAE4hge.jpg</t>
  </si>
  <si>
    <t>https://t.co/atpVil0PVg https://pbs.twimg.com/media/F4nMJPsXUAAB1oq.jpg</t>
  </si>
  <si>
    <t>https://t.co/ZIko9nxqE4 https://pbs.twimg.com/media/F3KVuJzXMAEZj2N.jpg</t>
  </si>
  <si>
    <t>https://t.co/uEVeTqZoXH https://pbs.twimg.com/media/F2W110bWYAAV-vl.jpg</t>
  </si>
  <si>
    <t>https://t.co/ShEfpvPi6R https://pbs.twimg.com/media/Fz3Mi2fX0AI-TxN.jpg</t>
  </si>
  <si>
    <t>https://t.co/9Z7oeLpt2d https://pbs.twimg.com/media/F5aiPwuWIAAYYTe.jpg</t>
  </si>
  <si>
    <t>https://t.co/rBhsLPfD9m https://pbs.twimg.com/media/F5QPD6cWkAAX3yR.jpg</t>
  </si>
  <si>
    <t>https://t.co/NvbbwGkGQj https://pbs.twimg.com/media/F3FMIEiXgAASwHX.jpg</t>
  </si>
  <si>
    <t>https://t.co/VbOPaHb4Kw https://pbs.twimg.com/media/F3ACjD0W8AAyiui.jpg</t>
  </si>
  <si>
    <t>https://t.co/QWm5REgElD https://pbs.twimg.com/media/F0bWh_UWcAErtfh.jpg</t>
  </si>
  <si>
    <t>https://t.co/jRfCJxertb https://pbs.twimg.com/media/F0WM6toWYAE434z.jpg</t>
  </si>
  <si>
    <t>https://t.co/fgQMUVorar https://pbs.twimg.com/media/F0WFzayWYAASB2P.jpg</t>
  </si>
  <si>
    <t>https://t.co/wIPG5iqvkK https://pbs.twimg.com/media/F0RDVAdXgAUXoOv.jpg</t>
  </si>
  <si>
    <t>https://t.co/oHdMEdqqWD https://pbs.twimg.com/media/F63VsdRWQAAzvxi.jpg</t>
  </si>
  <si>
    <t>https://t.co/DMzW2eJEzS https://pbs.twimg.com/media/F5fr1FEWgAAHRrP.jpg</t>
  </si>
  <si>
    <t>https://t.co/mXF2GkOXLs https://pbs.twimg.com/media/F5VYpUxXcAA_Wt1.jpg</t>
  </si>
  <si>
    <t>https://t.co/K7upISSBd1 https://pbs.twimg.com/media/F3PfTqDWsAArbdf.jpg</t>
  </si>
  <si>
    <t>https://t.co/KaQKe1vFbp https://pbs.twimg.com/media/F00_oBuXoAEeEwZ.jpg</t>
  </si>
  <si>
    <t>https://t.co/7al170B8GC https://pbs.twimg.com/media/F0v2BhFXgAAnSCT.jpg</t>
  </si>
  <si>
    <t>https://t.co/GKrTZkjsDH https://pbs.twimg.com/media/F0qsoF4XsAAKmp8.jpg</t>
  </si>
  <si>
    <t>https://t.co/AANusQLEAQ https://pbs.twimg.com/media/F7Gyd_PWEAAUNzD.jpg</t>
  </si>
  <si>
    <t>https://t.co/3VbbTECIaC https://pbs.twimg.com/media/F5LEvUPWEAAb1oP.jpg</t>
  </si>
  <si>
    <t>https://t.co/DtKqXQaD3N https://pbs.twimg.com/media/F13y3CBXwAEYCt2.jpg</t>
  </si>
  <si>
    <t>https://t.co/6V3z5LKFPw https://pbs.twimg.com/media/F1yys3ZWAAA0xZo.jpg</t>
  </si>
  <si>
    <t>https://t.co/2lAmkOUam7 https://pbs.twimg.com/ext_tw_video_thumb/1673458871254261760/pu/img/eFESalQZJ9-FgZgq.jpg</t>
  </si>
  <si>
    <t>https://t.co/BCuL9uBTZf https://pbs.twimg.com/media/FzimX7MWAAEaa08.jpg</t>
  </si>
  <si>
    <t>https://t.co/1ShOHYi69N https://pbs.twimg.com/media/FzVFNytWIBAxwci.png</t>
  </si>
  <si>
    <t>https://t.co/vca07jHko3 https://pbs.twimg.com/media/FytI26OXwAANs-9.jpg</t>
  </si>
  <si>
    <t>https://t.co/ENPEekjrZW https://t.co/ENPEekjrZW https://t.co/ENPEekjrZW https://t.co/ENPEekjrZW https://pbs.twimg.com/media/Fv3NPzaXwBAD78Y.jpg https://pbs.twimg.com/media/Fv3NPzvXwBEVVEY.jpg https://pbs.twimg.com/media/Fv3NPzcXwB8qcep.jpg https://pbs.twimg.com/media/Fv3NPziXwAAfiq8.jpg</t>
  </si>
  <si>
    <t>https://t.co/efNPBTkpu7 https://pbs.twimg.com/media/Fv2IlJjXgAAwqQ7.jpg</t>
  </si>
  <si>
    <t>https://t.co/FjEpbYJBjU https://pbs.twimg.com/media/FzPSR4sWAAAEieW.jpg</t>
  </si>
  <si>
    <t>https://t.co/sUC1h4KdGt https://pbs.twimg.com/media/F02SFH3XwAExojI.jpg</t>
  </si>
  <si>
    <t>https://t.co/qFRfYukCZO https://pbs.twimg.com/media/F0H7w5YXsAI2CyE.jpg</t>
  </si>
  <si>
    <t>https://t.co/U57sc6zP9E https://pbs.twimg.com/media/F1zps6cX0AEh8oG.jpg</t>
  </si>
  <si>
    <t>https://t.co/uBbCfKijB4 https://pbs.twimg.com/media/F0_uVxHXwAIGviP.jpg</t>
  </si>
  <si>
    <t>https://t.co/8AOBexZR5Q https://pbs.twimg.com/media/F0TNLy4WwAAQBR4.jpg</t>
  </si>
  <si>
    <t>https://t.co/9s2G67IbLr https://pbs.twimg.com/media/F1Vj1IVWAAsKnyk.jpg</t>
  </si>
  <si>
    <t>https://t.co/IR8U3OLEvu https://pbs.twimg.com/media/FyrAssMagAIjwWg.jpg</t>
  </si>
  <si>
    <t>https://t.co/U4OfP9ftHq https://pbs.twimg.com/media/F3hVw-uWUAAxMXn.jpg</t>
  </si>
  <si>
    <t>https://t.co/HCNnP3v32D https://t.co/HCNnP3v32D https://pbs.twimg.com/media/F02aLHJXwAAchB8.jpg https://pbs.twimg.com/media/F02aLRvWcAASgFv.jpg</t>
  </si>
  <si>
    <t>https://t.co/NaCPbcPxsu https://pbs.twimg.com/ext_tw_video_thumb/1681390508289949711/pu/img/gQY1luw_sBLYd3RF.jpg</t>
  </si>
  <si>
    <t>https://t.co/rtC3nYgNZI https://pbs.twimg.com/media/F4_Q7QPXoAAc03x.jpg</t>
  </si>
  <si>
    <t>https://t.co/4xO0j5gJFe https://pbs.twimg.com/media/F2y4cZOWMAAT1OU.jpg</t>
  </si>
  <si>
    <t>https://t.co/oc9PDbXOHn https://pbs.twimg.com/media/FwNCuYNWIAQjnul.jpg</t>
  </si>
  <si>
    <t>https://t.co/sGl1nIPgNd https://pbs.twimg.com/media/F4aggrOWQAAn8Le.jpg</t>
  </si>
  <si>
    <t>https://t.co/k2idzzGpV5 https://pbs.twimg.com/media/F6fMmTiXMAEQY1V.jpg</t>
  </si>
  <si>
    <t>https://t.co/vmXB10aoyx https://pbs.twimg.com/media/F2y5Ev8WkAEe9Us.jpg</t>
  </si>
  <si>
    <t>https://t.co/WPRUPHGpr7 https://pbs.twimg.com/ext_tw_video_thumb/1678363354912399362/pu/img/Gl0Z2CVQ-4Uy2pvD.jpg</t>
  </si>
  <si>
    <t>https://t.co/WZyIkumhxe https://pbs.twimg.com/media/Fv7LoCaXgAApD9T.jpg</t>
  </si>
  <si>
    <t>https://t.co/2c08Y7lCJv https://pbs.twimg.com/media/Fw_dhqQXgAUyyEo.jpg</t>
  </si>
  <si>
    <t>https://t.co/T3oEslsxNV https://pbs.twimg.com/media/Fx-E4O9XwAAmwD2.jpg</t>
  </si>
  <si>
    <t>https://t.co/nYaXZ762hS https://pbs.twimg.com/media/Fw5KuZhXgAMip5c.jpg</t>
  </si>
  <si>
    <t>https://t.co/6x4LZNXU2k https://pbs.twimg.com/media/Fwz_lQtWAAEuS5i.jpg</t>
  </si>
  <si>
    <t>https://t.co/xuimHIEttt https://pbs.twimg.com/media/FxpA2viXsAAibUg.jpg</t>
  </si>
  <si>
    <t>https://t.co/AtPC1PdI3D https://pbs.twimg.com/media/FwVC5bmWIAAZOLy.jpg</t>
  </si>
  <si>
    <t>https://t.co/n4AZoHus0t https://pbs.twimg.com/media/F2YqxdXXIAAdtA-.jpg</t>
  </si>
  <si>
    <t>https://t.co/212gb55pGz https://pbs.twimg.com/media/FxehfXjWIAAtU_d.jpg</t>
  </si>
  <si>
    <t>https://t.co/a5q2qeKHZ0 https://pbs.twimg.com/media/F4S83X6WsAEet4u.jpg</t>
  </si>
  <si>
    <t>https://t.co/Ej4EPqoSlu https://pbs.twimg.com/media/F2CtfQKWYAA1dL2.jpg</t>
  </si>
  <si>
    <t>https://t.co/n7VyAD6ZrZ https://pbs.twimg.com/media/Fx4C21wXoAE2rNB.jpg</t>
  </si>
  <si>
    <t>https://t.co/GB1L4VCbnZ https://pbs.twimg.com/media/FwfU3WuWYAMyp44.jpg</t>
  </si>
  <si>
    <t>https://t.co/UoukRTahM2 https://pbs.twimg.com/media/F5Qu8qAXwAAcTXs.jpg</t>
  </si>
  <si>
    <t>https://t.co/IINGs9m5SF https://pbs.twimg.com/media/Fy0E_srXgAIbOe1.jpg</t>
  </si>
  <si>
    <t>https://t.co/kpWd2YtSAE https://pbs.twimg.com/media/F2b92FMXgAI3cl6.jpg</t>
  </si>
  <si>
    <t>https://t.co/jqHUUNoxkX https://pbs.twimg.com/media/FyBLgg6WAAAiUY5.jpg</t>
  </si>
  <si>
    <t>https://t.co/RGNTvEPpCh https://pbs.twimg.com/media/F50oeILX0AABR9U.jpg</t>
  </si>
  <si>
    <t>https://t.co/STh00xERUb https://t.co/STh00xERUb https://pbs.twimg.com/media/Fuu661lWcAMWehv.jpg https://pbs.twimg.com/media/Fuu661nWYAAmVlI.jpg</t>
  </si>
  <si>
    <t>https://t.co/xC5giO0JUS https://pbs.twimg.com/ext_tw_video_thumb/1659937029071699976/pu/img/caGB-sQKxx0HbasY.jpg</t>
  </si>
  <si>
    <t>https://t.co/WsQ6f4B7Vm https://pbs.twimg.com/media/F3g5It0XAAAcbay.jpg</t>
  </si>
  <si>
    <t>https://t.co/5Wh3GUdGbV https://pbs.twimg.com/media/Fxgx9TSXsAAACHQ.jpg</t>
  </si>
  <si>
    <t>https://t.co/F0UxTfgBCz https://pbs.twimg.com/media/FxMMMinXsAIE9gy.jpg</t>
  </si>
  <si>
    <t>https://t.co/1pivBPvG7o https://pbs.twimg.com/media/F1cHNArWIAIpAPv.jpg</t>
  </si>
  <si>
    <t>https://t.co/9nDNq8gcvS https://pbs.twimg.com/media/F1cHBYbXwAAcI1u.jpg</t>
  </si>
  <si>
    <t>https://t.co/vTAGWLOzvt https://pbs.twimg.com/media/F0HemFvXwAY6Nbk.jpg</t>
  </si>
  <si>
    <t>https://t.co/6Ma4XYnuxh https://pbs.twimg.com/media/FzA7ljZX0AAQdOE.jpg</t>
  </si>
  <si>
    <t>https://t.co/mjRtgWgLpx https://pbs.twimg.com/media/FyR8kykXoAMnsAR.jpg</t>
  </si>
  <si>
    <t>https://t.co/FqZWqShl3Q https://pbs.twimg.com/media/FyN7YIMWYAEW0uO.jpg</t>
  </si>
  <si>
    <t>https://t.co/olYE2mKYWh https://pbs.twimg.com/media/FyMV1uqWIAIV9Rn.jpg</t>
  </si>
  <si>
    <t>https://t.co/uyJTQaAblQ https://pbs.twimg.com/media/FxCA9ZSWIAAhUpm.jpg</t>
  </si>
  <si>
    <t>https://t.co/LGNxDXwp22 https://pbs.twimg.com/media/F0iTnKpXgAA2MWj.jpg</t>
  </si>
  <si>
    <t>https://t.co/aYGcd3zFUD https://pbs.twimg.com/media/Fz5bL3WWcAES3ii.jpg</t>
  </si>
  <si>
    <t>https://t.co/JUIqF6OHuf https://pbs.twimg.com/media/Fx_UFQiXsAApZ1e.jpg</t>
  </si>
  <si>
    <t>https://t.co/lxBjPU0Yr1 https://pbs.twimg.com/media/Fw0uLIxX0AIbVvy.jpg</t>
  </si>
  <si>
    <t>https://t.co/tpwvHA0uG3 https://pbs.twimg.com/media/FwxLNy7X0AEPuAM.jpg</t>
  </si>
  <si>
    <t>https://t.co/wu7gdgTPtp https://pbs.twimg.com/media/Fygbq04aMAApK2W.jpg</t>
  </si>
  <si>
    <t>https://t.co/SQsFnS8BWq https://pbs.twimg.com/media/FxYf-eVaYAc6PPY.jpg</t>
  </si>
  <si>
    <t>https://t.co/STD9eRrKB8 https://pbs.twimg.com/media/FxQSP3IWIAckTxD.jpg</t>
  </si>
  <si>
    <t>https://t.co/pRrfE1NASG https://pbs.twimg.com/media/Fy21j4iXwAEHPOo.jpg</t>
  </si>
  <si>
    <t>https://t.co/s0vECwSuQB https://pbs.twimg.com/media/FyvbkYZWYAAlhNG.jpg</t>
  </si>
  <si>
    <t>https://t.co/Qt6IhcKgfW https://pbs.twimg.com/media/FymcBr6WYBQO6yx.jpg</t>
  </si>
  <si>
    <t>https://t.co/0niWwz9mt6 https://pbs.twimg.com/media/F1SSG_HX0AA6cNE.jpg</t>
  </si>
  <si>
    <t>https://t.co/GysoUIW8uS https://pbs.twimg.com/media/F1NSWIBXwAMpypt.jpg</t>
  </si>
  <si>
    <t>https://t.co/WXV2nENokj https://pbs.twimg.com/media/F1DDQlIXwAAhclb.jpg</t>
  </si>
  <si>
    <t>https://t.co/YOhJSYSj1B https://pbs.twimg.com/media/FxlmZw7XgAAbbow.jpg</t>
  </si>
  <si>
    <t>https://t.co/v5HmUhlUj2 https://pbs.twimg.com/media/Fx-Zuc-XgAA-dUV.jpg</t>
  </si>
  <si>
    <t>https://t.co/qVm0U124aX https://pbs.twimg.com/media/Fx53OXCXgAIk7al.jpg</t>
  </si>
  <si>
    <t>https://t.co/hn4Tvl9zJW https://pbs.twimg.com/media/FwnEVUPWcAELQ9G.jpg</t>
  </si>
  <si>
    <t>https://t.co/7fL4Vzuvep https://pbs.twimg.com/media/Fwd_RutWIAAHwFw.jpg</t>
  </si>
  <si>
    <t>https://t.co/Ork3epIztX https://pbs.twimg.com/media/Fwdtuz5WwAEw4xX.png</t>
  </si>
  <si>
    <t>https://t.co/D3iADV0Slt https://pbs.twimg.com/media/FxyWDvJXwAEqHd7.jpg</t>
  </si>
  <si>
    <t>https://t.co/M1xK4mHRTU https://pbs.twimg.com/media/Fwaaue6WcAQhSwc.jpg</t>
  </si>
  <si>
    <t>https://t.co/iZr9yARRtS https://pbs.twimg.com/media/F3GOrlyWgAA5xHb.jpg</t>
  </si>
  <si>
    <t>https://t.co/7uRijvhQdd https://pbs.twimg.com/amplify_video_thumb/1686016757373267969/img/u7BB9qyPBoxymhv5.jpg</t>
  </si>
  <si>
    <t>https://t.co/IPpIiAc2O9 https://pbs.twimg.com/media/Fz9StS_XoAYjyyN.jpg</t>
  </si>
  <si>
    <t>https://t.co/yfj64VuFoF https://t.co/yfj64VuFoF https://t.co/yfj64VuFoF https://t.co/yfj64VuFoF https://pbs.twimg.com/media/F2Y1zqqWEAAzXz5.jpg https://pbs.twimg.com/media/F2Y1zqqWoAAeO1p.jpg https://pbs.twimg.com/media/F2Y1zqpWMAE-PPT.jpg https://pbs.twimg.com/media/F2Y1zqrWEAA84g7.jpg</t>
  </si>
  <si>
    <t>https://t.co/f8oCbDs5d3 https://pbs.twimg.com/ext_tw_video_thumb/1707116633087455232/pu/img/cbaWBcg3puoW9IBN.jpg</t>
  </si>
  <si>
    <t>https://t.co/xlbqUG3DIU https://pbs.twimg.com/media/F6EKX2WXIAAnb1n.jpg</t>
  </si>
  <si>
    <t>https://t.co/QAtJnFlJW0 https://pbs.twimg.com/media/F3lOMHdWgAA9KSu.jpg</t>
  </si>
  <si>
    <t>https://t.co/ecTXbeFtAU https://pbs.twimg.com/media/F68pFtGXkAAE0JJ.jpg</t>
  </si>
  <si>
    <t>https://t.co/CHRSx6oRB3 https://pbs.twimg.com/media/F68jQSWW8AAvhO3.jpg</t>
  </si>
  <si>
    <t>https://t.co/xg4pQXA5vA https://pbs.twimg.com/media/F7G4AT0WEAAIx_A.jpg</t>
  </si>
  <si>
    <t>https://t.co/sK4D8qXKrn https://pbs.twimg.com/media/F7DaE8ZXcAESkfU.jpg</t>
  </si>
  <si>
    <t>https://t.co/Ay4LlRUsin https://pbs.twimg.com/media/F2F7ttBXMAItomF.jpg</t>
  </si>
  <si>
    <t>https://t.co/tzqhF6qwwa https://pbs.twimg.com/ext_tw_video_thumb/1688625624133345280/pu/img/813Sx8PnIvoCrlmm.jpg</t>
  </si>
  <si>
    <t>https://t.co/b5uF3gXNQU https://pbs.twimg.com/ext_tw_video_thumb/1691209904353062913/pu/img/-C4KMqAUvNy_ApqJ.jpg</t>
  </si>
  <si>
    <t>https://t.co/42uSzSsVD0 https://pbs.twimg.com/ext_tw_video_thumb/1704154225125494784/pu/img/v-QK8KQehbWTa6nQ.jpg</t>
  </si>
  <si>
    <t>https://t.co/jkNzpbwMW7 https://pbs.twimg.com/media/FyDat4OXgAE_rkg.jpg</t>
  </si>
  <si>
    <t>https://t.co/u2eAJhiKy8 https://pbs.twimg.com/media/FxfLA7hWIAAkV9p.jpg</t>
  </si>
  <si>
    <t>https://t.co/3m1dqU6aL8 https://pbs.twimg.com/media/F5YBIbLW0AALth3.png</t>
  </si>
  <si>
    <t>https://t.co/Z7Kok58bUi https://pbs.twimg.com/ext_tw_video_thumb/1686421556052873226/pu/img/qba_C2Dj79VGpewA.jpg</t>
  </si>
  <si>
    <t>https://t.co/8QwQiVOppj https://pbs.twimg.com/media/F2CqbDjWUAAEM9I.jpg</t>
  </si>
  <si>
    <t>https://t.co/X4RMT4Qrrb https://pbs.twimg.com/ext_tw_video_thumb/1690332180394778624/pu/img/_KqGuGpTVZmsuFlY.jpg</t>
  </si>
  <si>
    <t>https://t.co/uA1QEauwjI https://pbs.twimg.com/media/F57CX_gWAAA7rFb.jpg</t>
  </si>
  <si>
    <t>https://t.co/IT3Dh7lgRl https://pbs.twimg.com/media/FxjZzt5XwAQl9bJ.jpg</t>
  </si>
  <si>
    <t>https://t.co/M5eQbY8EbD https://pbs.twimg.com/media/FyaEEa0aEAECdBF.jpg</t>
  </si>
  <si>
    <t>https://t.co/fHmQe6sD0c https://pbs.twimg.com/media/F1-jGKvaEAASeWF.jpg</t>
  </si>
  <si>
    <t>https://t.co/v02EHG9QLm https://pbs.twimg.com/media/F6U05mbXUAAWhl4.jpg</t>
  </si>
  <si>
    <t>https://t.co/iE9cBGuW78 https://pbs.twimg.com/ext_tw_video_thumb/1679135139996086272/pu/img/68h3tSb8lBRpCb_F.jpg</t>
  </si>
  <si>
    <t>https://t.co/5S1wi3zZtX https://pbs.twimg.com/media/F1FFsUaXsAcxqd4.jpg</t>
  </si>
  <si>
    <t>https://t.co/1IQAaNv7NF https://pbs.twimg.com/media/F22-ITpWEAAiji8.jpg</t>
  </si>
  <si>
    <t>https://t.co/jDZLkEjFx5 https://pbs.twimg.com/media/F3Qb17AWIAAybaG.jpg</t>
  </si>
  <si>
    <t>https://t.co/yczyNxUen1 https://pbs.twimg.com/media/F2sdJZtWwAAf1V3.jpg</t>
  </si>
  <si>
    <t>https://t.co/7ymSIl4dIT https://pbs.twimg.com/ext_tw_video_thumb/1705270849027051520/pu/img/v1sl3EpZXjnWxMYD.jpg</t>
  </si>
  <si>
    <t>https://t.co/cxIP0ckw4r https://pbs.twimg.com/media/Fyg8Fn8WwAItj9W.jpg</t>
  </si>
  <si>
    <t>https://t.co/fuTtX6yl0S https://pbs.twimg.com/media/FyggnpKaQAAO2eY.jpg</t>
  </si>
  <si>
    <t>https://t.co/bqvpAXnDZn https://pbs.twimg.com/media/FzDssdiWcAUnb-i.jpg</t>
  </si>
  <si>
    <t>https://t.co/kOoQ6H1Ww8 https://pbs.twimg.com/media/FwvJCfDXwAEFVsm.jpg</t>
  </si>
  <si>
    <t>https://t.co/7j10YOQB0s https://pbs.twimg.com/ext_tw_video_thumb/1665524877078544387/pu/img/h25JLHEHZlceiP2V.jpg</t>
  </si>
  <si>
    <t>https://t.co/kr5b7euHNP https://pbs.twimg.com/ext_tw_video_thumb/1686378463954120704/pu/img/MJ4zgV6pS2xJD9iu.jpg</t>
  </si>
  <si>
    <t>https://t.co/CuA2Ldy83T https://pbs.twimg.com/ext_tw_video_thumb/1686837478840246272/pu/img/-7BEUjMdCQpmOy2k.jpg</t>
  </si>
  <si>
    <t>https://t.co/zgXZnwzqb6 https://pbs.twimg.com/ext_tw_video_thumb/1694362778432077824/pu/img/k9IhhGgMbtKaBCME.jpg</t>
  </si>
  <si>
    <t>https://t.co/xodPEnZeTs https://pbs.twimg.com/amplify_video_thumb/1679140044647415809/img/xDXW1fWFsBUTDXnd.jpg</t>
  </si>
  <si>
    <t>https://t.co/wWUpsknc6v https://pbs.twimg.com/ext_tw_video_thumb/1690061423370551296/pu/img/dDwXP-YG1UZQmJYU.jpg</t>
  </si>
  <si>
    <t>https://t.co/1GcOT8OVPu https://pbs.twimg.com/media/F4-VMs5WwAAAEJ6.jpg</t>
  </si>
  <si>
    <t>https://t.co/NtAXyB4dIl https://pbs.twimg.com/media/FzG0TGpXoAAOtyN.jpg</t>
  </si>
  <si>
    <t>https://t.co/ogrtjJUOLe https://pbs.twimg.com/media/F2YjqVGXQAcN_fT.jpg</t>
  </si>
  <si>
    <t>https://t.co/w9m6jnTWB6 https://pbs.twimg.com/media/FvY0TwRWcAAvyZQ.jpg</t>
  </si>
  <si>
    <t>https://t.co/Mg8V8PNUpb https://pbs.twimg.com/media/FxK8tyjWwAAVjT2.jpg</t>
  </si>
  <si>
    <t>https://t.co/p0Z0tJ7Kn1 https://pbs.twimg.com/media/FxK8ajIXwAAADki.jpg</t>
  </si>
  <si>
    <t>https://t.co/3P83RBp6BZ https://pbs.twimg.com/media/FwafUotXoAAywZs.jpg</t>
  </si>
  <si>
    <t>https://t.co/Z2h8K79lSQ https://pbs.twimg.com/media/Fw_zkcwXgAEGxNT.jpg</t>
  </si>
  <si>
    <t>https://t.co/7RmM7fUsvz https://t.co/7RmM7fUsvz https://pbs.twimg.com/media/Fxou3DDXsAQwdrd.jpg https://pbs.twimg.com/media/Fxou3C-X0AkBTi_.png</t>
  </si>
  <si>
    <t>https://t.co/S6YHWAFuDP https://pbs.twimg.com/media/FzBRHRcXgAcdGju.jpg</t>
  </si>
  <si>
    <t>https://t.co/WA5WZ1mxTo https://pbs.twimg.com/media/FwKes0pWIAEw2mq.jpg</t>
  </si>
  <si>
    <t>https://t.co/TMqCCo0O8X https://pbs.twimg.com/ext_tw_video_thumb/1674938011992178688/pu/img/jyfpGegJMaPnO1RQ.jpg</t>
  </si>
  <si>
    <t>https://t.co/DQ3WARRkOE https://pbs.twimg.com/ext_tw_video_thumb/1680279097866346496/pu/img/4P2vhasKjI_meiY7.jpg</t>
  </si>
  <si>
    <t>https://t.co/ZoNhNpOJIQ https://pbs.twimg.com/ext_tw_video_thumb/1676031045177597953/pu/img/5yMtdp30NINbs45t.jpg</t>
  </si>
  <si>
    <t>https://t.co/5AMiCLmVDm https://pbs.twimg.com/ext_tw_video_thumb/1675665031663427584/pu/img/888hSAMO4EaJg24u.jpg</t>
  </si>
  <si>
    <t>https://t.co/TUAwOg85G2 https://pbs.twimg.com/ext_tw_video_thumb/1679949349671895040/pu/img/3qWp5oN_aPOVkf-g.jpg</t>
  </si>
  <si>
    <t>https://t.co/DsRS4PfGpS https://pbs.twimg.com/ext_tw_video_thumb/1688978841027411968/pu/img/oWDsRZG_VUEAFXM0.jpg</t>
  </si>
  <si>
    <t>https://t.co/VNUKCjqcI1 https://pbs.twimg.com/ext_tw_video_thumb/1697341562873581568/pu/img/4puMLXrzKXWDf3ud.jpg</t>
  </si>
  <si>
    <t>https://t.co/3oSnT8eiTh https://pbs.twimg.com/ext_tw_video_thumb/1687179519667441664/pu/img/2Ut_d4PfBCFJNJe0.jpg</t>
  </si>
  <si>
    <t>https://t.co/VqTjVRkdOF https://pbs.twimg.com/ext_tw_video_thumb/1672726746070671361/pu/img/g4JOMLq64gSAFwiG.jpg</t>
  </si>
  <si>
    <t>https://t.co/NKOOjyoJvr https://pbs.twimg.com/ext_tw_video_thumb/1672365435356954627/pu/img/MdkYRX4LuwX0yLbi.jpg</t>
  </si>
  <si>
    <t>https://t.co/pVSFpoLNaJ https://t.co/pVSFpoLNaJ https://t.co/pVSFpoLNaJ https://pbs.twimg.com/media/F6pl5aqWcAA8qQd.png https://pbs.twimg.com/media/F6pl_Q_WwAAzzVK.jpg https://pbs.twimg.com/media/F6pmLr7WcAA34_7.png</t>
  </si>
  <si>
    <t>https://t.co/q3w6ck9XmV https://pbs.twimg.com/media/F16FhMsXgAMqvcU.jpg</t>
  </si>
  <si>
    <t>https://t.co/pVXQyre5qB https://pbs.twimg.com/media/F1jsWC-WcAADyn7.png</t>
  </si>
  <si>
    <t>https://t.co/bbYAv21iMg https://pbs.twimg.com/media/F19vT7fXgAAfgbS.png</t>
  </si>
  <si>
    <t>https://t.co/rBPyYwMLkj https://pbs.twimg.com/media/F2xUwLcXgAAZpIb.png</t>
  </si>
  <si>
    <t>https://t.co/eEXAJcRQOK https://pbs.twimg.com/media/F1e37tgXsAAvrfQ.png</t>
  </si>
  <si>
    <t>https://t.co/jEtO1kXP9S https://pbs.twimg.com/media/FwgZ8wnXwAQIyCV.jpg</t>
  </si>
  <si>
    <t>https://t.co/TNJgV33j87 https://pbs.twimg.com/media/FwbCtyZX0AAhU4I.jpg</t>
  </si>
  <si>
    <t>https://t.co/Iv5aQtugBq https://pbs.twimg.com/media/Fym8eO4XsAgrwVp.jpg</t>
  </si>
  <si>
    <t>https://t.co/3Aw9rH1fXf https://pbs.twimg.com/media/FvxMuSjXoAIhX2q.jpg</t>
  </si>
  <si>
    <t>https://t.co/o9mbR3nvUk https://pbs.twimg.com/media/Fyq5-8qacAElxMn.jpg</t>
  </si>
  <si>
    <t>https://t.co/3aXAmF0JKn https://pbs.twimg.com/media/FzLPM4-WcAALMut.jpg</t>
  </si>
  <si>
    <t>https://t.co/SJVN6vn4kH https://pbs.twimg.com/media/FzLPHNjWcAEal_G.jpg</t>
  </si>
  <si>
    <t>https://t.co/1rmT9ffg4D https://pbs.twimg.com/media/FvEk7QuXwAANARh.jpg</t>
  </si>
  <si>
    <t>https://t.co/Ijj9GJ4Wxr https://pbs.twimg.com/media/FxRqHfFXoAEdjzQ.jpg</t>
  </si>
  <si>
    <t>https://t.co/36fVvfamkn https://pbs.twimg.com/media/FwqF92yXgAImXE_.jpg</t>
  </si>
  <si>
    <t>https://t.co/trB8vY6eN3 https://pbs.twimg.com/media/F1PTvDQXoAA6TJ8.jpg</t>
  </si>
  <si>
    <t>https://t.co/Ejp3feWO41 https://pbs.twimg.com/ext_tw_video_thumb/1693960688287338496/pu/img/NCJqwwLNKpaxcbR-.jpg</t>
  </si>
  <si>
    <t>https://t.co/JhletaJJka https://pbs.twimg.com/media/Fu1nasaXwAUN-d5.jpg</t>
  </si>
  <si>
    <t>https://t.co/JAMRlu1PRS https://pbs.twimg.com/media/FyG-VhwaIAMmNZT.jpg</t>
  </si>
  <si>
    <t>https://t.co/F1IEkp7If8 https://pbs.twimg.com/media/Fw1XE7lWwAYIoy7.jpg</t>
  </si>
  <si>
    <t>https://t.co/3itexOKV3Y https://pbs.twimg.com/media/F0sxJJ3WcCAkn5h.jpg</t>
  </si>
  <si>
    <t>https://t.co/jd3UXanBg0 https://pbs.twimg.com/media/FynzaQQWwAAZkOv.jpg</t>
  </si>
  <si>
    <t>https://t.co/6Wdhc9Di7K https://pbs.twimg.com/media/FynltGoX0AABPhm.jpg</t>
  </si>
  <si>
    <t>https://t.co/CLA4qZE64N https://pbs.twimg.com/ext_tw_video_thumb/1668741986935885830/pu/img/aOD8jwhKvEHW4jpo.jpg</t>
  </si>
  <si>
    <t>https://t.co/CzBaF1Akxf https://pbs.twimg.com/media/F42WdUKXYAA3CI0.jpg</t>
  </si>
  <si>
    <t>https://t.co/18mWKVGOEb https://pbs.twimg.com/media/FwMTLyWWYCs8mUn.jpg</t>
  </si>
  <si>
    <t>https://t.co/iWeTSbX8rg https://pbs.twimg.com/media/F7EGs6JXUAArQjW.jpg</t>
  </si>
  <si>
    <t>https://t.co/9wcSKAI3g6 https://pbs.twimg.com/ext_tw_video_thumb/1704874009546948608/pu/img/7ylF18pxeDyPn7Aj.jpg</t>
  </si>
  <si>
    <t>https://t.co/N7MGy1ZPCY https://pbs.twimg.com/media/F22N7s3XAAAOlOB.jpg</t>
  </si>
  <si>
    <t>https://t.co/kVcGrwPoZN https://pbs.twimg.com/media/F1QbRgYXsAIVI55.jpg</t>
  </si>
  <si>
    <t>https://t.co/ECYbkr1RY5 https://pbs.twimg.com/media/Fv7mnXIXoAA4aK5.jpg</t>
  </si>
  <si>
    <t>https://t.co/FPJ4lufPi5 https://t.co/FPJ4lufPi5 https://t.co/FPJ4lufPi5 https://t.co/FPJ4lufPi5 https://pbs.twimg.com/media/Fv5fMkGWAAI1RhD.jpg https://pbs.twimg.com/media/Fv5fMkIWYAUwScT.jpg https://pbs.twimg.com/media/Fv5fMkIWYAIvKO4.jpg https://pbs.twimg.com/media/Fv5fMkFWIAEnPYd.jpg</t>
  </si>
  <si>
    <t>https://t.co/o8DorTkWLP https://t.co/o8DorTkWLP https://t.co/o8DorTkWLP https://t.co/o8DorTkWLP https://pbs.twimg.com/media/FxPNwNzXsAM40_G.jpg https://pbs.twimg.com/media/FxPNwNrWcAAw5tk.jpg https://pbs.twimg.com/media/FxPNwNrX0AAHeB8.jpg https://pbs.twimg.com/media/FxPNwNrWwAE9OcD.jpg</t>
  </si>
  <si>
    <t>https://t.co/e5JfoXeOp2 https://pbs.twimg.com/media/FvOGCkcXsBojemQ.png</t>
  </si>
  <si>
    <t>https://t.co/AtVQSR7tdG https://pbs.twimg.com/media/FviPhMvXgAAzA1Q.jpg</t>
  </si>
  <si>
    <t>https://t.co/giM1nyLRCj https://pbs.twimg.com/media/FxnGYn2X0AEinZA.jpg</t>
  </si>
  <si>
    <t>https://t.co/8ZGaxWscZE https://pbs.twimg.com/media/F4AfxhhXIAA6VWW.jpg</t>
  </si>
  <si>
    <t>https://t.co/Psopb05qQC https://pbs.twimg.com/media/FwQQI0wWwAYCF1c.jpg</t>
  </si>
  <si>
    <t>https://t.co/eJnKLhRujI https://pbs.twimg.com/media/FwfvmkyXgAQZ7y9.jpg</t>
  </si>
  <si>
    <t>https://t.co/MJ9Sl3CfjF https://pbs.twimg.com/ext_tw_video_thumb/1678902197923323908/pu/img/m3F0puoHRHHAknf3.jpg</t>
  </si>
  <si>
    <t>https://t.co/NxWmlxhnwM https://pbs.twimg.com/media/F2-s6GuWAAAMQmB.jpg</t>
  </si>
  <si>
    <t>https://t.co/mMJS1ceABh https://pbs.twimg.com/media/F2-sVLPXMAIFnji.jpg</t>
  </si>
  <si>
    <t>https://t.co/M8epzi0HAj https://pbs.twimg.com/media/F3hPyd0XIAAvLqA.jpg</t>
  </si>
  <si>
    <t>https://t.co/ytUJ5VFsx9 https://pbs.twimg.com/media/F4dNgcvXcAA71Kw.jpg</t>
  </si>
  <si>
    <t>https://t.co/fg5Bg5eIzc https://pbs.twimg.com/media/F4dNan8XQAA1Y9R.jpg</t>
  </si>
  <si>
    <t>https://t.co/68L1ChqnZb https://pbs.twimg.com/media/F4aAGuwWgAAu-DQ.jpg</t>
  </si>
  <si>
    <t>https://t.co/ceZgbM3FLZ https://pbs.twimg.com/media/F31_WWRXsAAiB4k.jpg</t>
  </si>
  <si>
    <t>https://t.co/TIF3kRVDtC https://pbs.twimg.com/media/F3zlHHDXAAAxZTy.jpg</t>
  </si>
  <si>
    <t>https://t.co/rUjRMD0R7h https://pbs.twimg.com/media/F3zlBdlWMAELvs6.jpg</t>
  </si>
  <si>
    <t>https://t.co/PjqFHjeLDK https://pbs.twimg.com/media/F3zk9AIWMAAs6Tz.jpg</t>
  </si>
  <si>
    <t>https://t.co/qOpXuaeSN6 https://pbs.twimg.com/media/F3w87u3WYAApcPA.jpg</t>
  </si>
  <si>
    <t>https://t.co/NlBIcah3L5 https://pbs.twimg.com/media/F4PtvpOXAAAYWeJ.jpg</t>
  </si>
  <si>
    <t>https://t.co/ufJiNQxbiC https://pbs.twimg.com/media/F4NPGBIXoAEJIFi.jpg</t>
  </si>
  <si>
    <t>https://t.co/N1knwtR6p1 https://pbs.twimg.com/media/F4NO2TTXgAEjYak.jpg</t>
  </si>
  <si>
    <t>https://t.co/nt4T6RdvCo https://pbs.twimg.com/media/F4NOyHDXsAA6rhu.jpg</t>
  </si>
  <si>
    <t>https://t.co/y9Dub6Nbcs https://pbs.twimg.com/media/F4KjBCtXwAAXMmf.jpg</t>
  </si>
  <si>
    <t>https://t.co/4mjgthDGDh https://pbs.twimg.com/media/F3pPO1cXcAAVo-h.jpg</t>
  </si>
  <si>
    <t>https://t.co/jjXTtVcoEJ https://pbs.twimg.com/media/F3pPJVNXcAABRCt.jpg</t>
  </si>
  <si>
    <t>https://t.co/dd8QBSv1Tj https://pbs.twimg.com/media/F3pO9VlWUAAIsPr.jpg</t>
  </si>
  <si>
    <t>https://t.co/eujYJY0t93 https://pbs.twimg.com/media/F3ma73VWIAAtCi0.jpg</t>
  </si>
  <si>
    <t>https://t.co/MjKA7oYV4A https://pbs.twimg.com/media/FzVw4KGWAAAq0uS.jpg</t>
  </si>
  <si>
    <t>https://t.co/RKL5vBS9xq https://pbs.twimg.com/media/F4xKG_HWEAAje5Z.jpg</t>
  </si>
  <si>
    <t>https://t.co/FBnqkA4QZS https://pbs.twimg.com/media/F4xKBp9XMAA00lQ.jpg</t>
  </si>
  <si>
    <t>https://t.co/FXWk2uzd8c https://pbs.twimg.com/media/F4xJ9ihXEAAT8Ic.jpg</t>
  </si>
  <si>
    <t>https://t.co/zNleLzMzsW https://pbs.twimg.com/media/F4um0K0XkAAMd-M.jpg</t>
  </si>
  <si>
    <t>https://t.co/3629AUMvXz https://pbs.twimg.com/media/F4sFTYiWUAAQWjq.jpg</t>
  </si>
  <si>
    <t>https://t.co/Fweenpp9B2 https://pbs.twimg.com/media/F4sFNQuWAAEX_v2.jpg</t>
  </si>
  <si>
    <t>https://t.co/HuMryW3c51 https://pbs.twimg.com/media/F4sFIk4WgAA8A37.jpg</t>
  </si>
  <si>
    <t>https://t.co/7rVgcZ6xCY https://pbs.twimg.com/media/F4pYo0tXkAAxQ0A.jpg</t>
  </si>
  <si>
    <t>https://t.co/zuzmiocNmi https://pbs.twimg.com/media/F4nbDFDWoAE5Zgq.jpg</t>
  </si>
  <si>
    <t>https://t.co/qwdcuAmXYK https://pbs.twimg.com/media/F3aYz8LWcAAAblg.jpg</t>
  </si>
  <si>
    <t>https://t.co/L7v6t9Nh0I https://pbs.twimg.com/media/F3VQUovXkAAOsgM.jpg</t>
  </si>
  <si>
    <t>https://t.co/wgJdV5syyV https://pbs.twimg.com/media/F3VQPatW4AA0sIs.jpg</t>
  </si>
  <si>
    <t>https://t.co/TflYgUAzXR https://pbs.twimg.com/media/F0vxqhmXgAEeqIv.jpg</t>
  </si>
  <si>
    <t>https://t.co/j7yqzxDM73 https://pbs.twimg.com/media/F0voYx9WwAEJtiB.jpg</t>
  </si>
  <si>
    <t>https://t.co/SCKv8skUPp https://pbs.twimg.com/media/F42cYPLWoAAGf5x.jpg</t>
  </si>
  <si>
    <t>https://t.co/l3O9RvAyej https://pbs.twimg.com/media/F42cTzyXgAEQJxc.jpg</t>
  </si>
  <si>
    <t>https://t.co/pVKvJlquoY https://pbs.twimg.com/media/F42cOBbWEAATTT1.jpg</t>
  </si>
  <si>
    <t>https://t.co/rtWYTlf3Pg https://pbs.twimg.com/media/F4IDj6BWcAAYgk9.jpg</t>
  </si>
  <si>
    <t>https://t.co/jm3JyKRhzs https://pbs.twimg.com/media/F4IDeyuWAAAcpbD.jpg</t>
  </si>
  <si>
    <t>https://t.co/Xvv0GWZN9u https://pbs.twimg.com/media/F4IDZXTWMAAN0Je.jpg</t>
  </si>
  <si>
    <t>https://t.co/XljYc6DLq1 https://pbs.twimg.com/media/F4FbXPHWIAADWT-.jpg</t>
  </si>
  <si>
    <t>https://t.co/OwCxUISoqS https://pbs.twimg.com/media/F3kBl0VWAAA1Uio.jpg</t>
  </si>
  <si>
    <t>https://t.co/OlGiOh3Mt6 https://pbs.twimg.com/media/F3kBd9HXYAAzSPE.jpg</t>
  </si>
  <si>
    <t>https://t.co/lNvwkKMgW9 https://pbs.twimg.com/media/F3kBYVBWYAAYTJv.jpg</t>
  </si>
  <si>
    <t>https://t.co/Ce74biMv8F https://pbs.twimg.com/media/F47o8owWoAAphcY.jpg</t>
  </si>
  <si>
    <t>https://t.co/KEna3KS2jH https://pbs.twimg.com/media/F47o2VsXkAAaVgP.jpg</t>
  </si>
  <si>
    <t>https://t.co/P4PwkCcP52 https://pbs.twimg.com/media/F47oxjcWYAAiwe1.jpg</t>
  </si>
  <si>
    <t>https://t.co/apqGfeeYyC https://pbs.twimg.com/media/F4XjlEyXEAAthuf.jpg</t>
  </si>
  <si>
    <t>https://t.co/hGpuuHz2hc https://pbs.twimg.com/media/F4XjfcXXUAAZihk.jpg</t>
  </si>
  <si>
    <t>https://t.co/jGRpvHwr1y https://pbs.twimg.com/media/F4Xja4JWAAA5Sgg.jpg</t>
  </si>
  <si>
    <t>https://t.co/9sGqAQzwMa https://pbs.twimg.com/media/F4UypLbXIAA8rBa.jpg</t>
  </si>
  <si>
    <t>https://t.co/RFx4gAQ0GI https://pbs.twimg.com/media/F4SaJd0WAAAZRP3.jpg</t>
  </si>
  <si>
    <t>https://t.co/DeQwnuOuvO https://pbs.twimg.com/media/F4SZ-eIXsAEnhQu.jpg</t>
  </si>
  <si>
    <t>https://t.co/mWoQnQS3rn https://pbs.twimg.com/media/F3uYU17WoAIByY5.jpg</t>
  </si>
  <si>
    <t>https://t.co/v5JYo7WGma https://pbs.twimg.com/media/F3uYJoOW8AIN3xn.jpg</t>
  </si>
  <si>
    <t>https://t.co/TJU0Z64Anh https://pbs.twimg.com/media/F3uYBWhXMAMuMtZ.jpg</t>
  </si>
  <si>
    <t>https://t.co/RnzqMYnK1V https://pbs.twimg.com/media/F3rpOZnXwAAZ2Vy.jpg</t>
  </si>
  <si>
    <t>https://t.co/dIMDcKWksX https://pbs.twimg.com/media/F44_cFRXUAAVxvM.jpg</t>
  </si>
  <si>
    <t>https://t.co/ufUCHBEh0o https://pbs.twimg.com/media/F4zrXO9W4AAdISJ.jpg</t>
  </si>
  <si>
    <t>https://t.co/er5KQBhF0q https://pbs.twimg.com/media/F4nKB8nWkAAvwyS.jpg</t>
  </si>
  <si>
    <t>https://t.co/9ASR4eILOc https://pbs.twimg.com/media/F4nJ9WJXcAA3_QG.jpg</t>
  </si>
  <si>
    <t>https://t.co/jBLqxfaKoZ https://pbs.twimg.com/media/F4DW9eVXIAA-Pam.jpg</t>
  </si>
  <si>
    <t>https://t.co/3WSeJ8D1zn https://pbs.twimg.com/media/F4C3vqZXIAA2hUB.jpg</t>
  </si>
  <si>
    <t>https://t.co/sW5fYVI7jT https://pbs.twimg.com/media/F4C3ra2WUAA4mF_.jpg</t>
  </si>
  <si>
    <t>https://t.co/CYeoE4yldf https://pbs.twimg.com/media/F35IOaTWUAA5RcI.jpg</t>
  </si>
  <si>
    <t>https://t.co/MNeDVWPW65 https://pbs.twimg.com/media/F35IKKTXgAAuDpi.jpg</t>
  </si>
  <si>
    <t>https://t.co/UkMxtmo0GQ https://pbs.twimg.com/media/F3fRVxJXwAA7kZJ.jpg</t>
  </si>
  <si>
    <t>https://t.co/DQttnibT9p https://pbs.twimg.com/media/F3e0fqPW0AAAYoL.jpg</t>
  </si>
  <si>
    <t>https://t.co/5DVy6MtVhN https://pbs.twimg.com/media/F3e0WizWoAADvQB.jpg</t>
  </si>
  <si>
    <t>https://t.co/uvJ8utYH4x https://pbs.twimg.com/media/F0N73HAXwAE3mPD.png</t>
  </si>
  <si>
    <t>https://t.co/HhR27F5DtL https://pbs.twimg.com/media/F5Utf0bW8AA4p7y.jpg</t>
  </si>
  <si>
    <t>https://t.co/J06UnfSF5J https://pbs.twimg.com/media/FwSUukWXwAIPe0v.jpg</t>
  </si>
  <si>
    <t>https://t.co/MIDkr6XP3g https://pbs.twimg.com/media/FxaMiizXoAEvEj9.jpg</t>
  </si>
  <si>
    <t>https://t.co/x6HaA2ancO https://t.co/x6HaA2ancO https://pbs.twimg.com/media/Fu7dwzKXsAET6Ca.jpg https://pbs.twimg.com/media/Fu7dxhCXoAATDsP.jpg</t>
  </si>
  <si>
    <t>https://t.co/Kbs5JZKQoE https://pbs.twimg.com/media/FyDHVFJXwAAVm-B.jpg</t>
  </si>
  <si>
    <t>https://t.co/V0etxvmzZt https://pbs.twimg.com/media/F0yfj1_XsAIq_cj.jpg</t>
  </si>
  <si>
    <t>https://t.co/DrKRK0RfzC https://pbs.twimg.com/media/FvuS5UOXwAA0adq.jpg</t>
  </si>
  <si>
    <t>https://t.co/w3QG4iydcz https://pbs.twimg.com/media/F2epW9CbMAEtCZm.jpg</t>
  </si>
  <si>
    <t>https://t.co/rwF2VPV4La https://pbs.twimg.com/ext_tw_video_thumb/1702473845771206656/pu/img/lYXVFDRspSMC44st.jpg</t>
  </si>
  <si>
    <t>https://t.co/umpzaahd3L https://pbs.twimg.com/media/F6ZE-b8XMAAhv2F.jpg</t>
  </si>
  <si>
    <t>https://t.co/QtVxdNQ5zl https://pbs.twimg.com/media/FwR6t5JXgAEJuwg.jpg</t>
  </si>
  <si>
    <t>https://t.co/FtQwzxFYQX https://pbs.twimg.com/media/FwBok3NWAAApLZ7.jpg</t>
  </si>
  <si>
    <t>https://t.co/kGFEYtVJVv https://pbs.twimg.com/media/FwqE7qiWwAQhdMv.jpg</t>
  </si>
  <si>
    <t>https://t.co/ADlIlsasF4 https://pbs.twimg.com/media/FwhM7wPWYAEBTrJ.jpg</t>
  </si>
  <si>
    <t>https://t.co/7UYz2XNPLm https://pbs.twimg.com/media/F0sNG9gXoAkGWmD.jpg</t>
  </si>
  <si>
    <t>https://t.co/OtSJQDD1Vc https://pbs.twimg.com/media/F0sa6u7WIAI9ypR.jpg</t>
  </si>
  <si>
    <t>https://t.co/pPA0yC1QEC https://pbs.twimg.com/media/F0sTO8QXoA8vfTA.jpg</t>
  </si>
  <si>
    <t>https://t.co/tZ31ZLJU7R https://pbs.twimg.com/media/F0sR2njXoBEFAyT.jpg</t>
  </si>
  <si>
    <t>https://t.co/Sx7gDOJICS https://pbs.twimg.com/media/F0sPuNAXoBEBnZK.jpg</t>
  </si>
  <si>
    <t>https://t.co/ZxYJn1L7Mj https://pbs.twimg.com/media/FyhY9QYWIAwP4jt.jpg</t>
  </si>
  <si>
    <t>https://t.co/xx9B56HgZb https://pbs.twimg.com/media/FvoSKnhWYAYE7Ae.jpg</t>
  </si>
  <si>
    <t>https://t.co/uX8MJVaLVA https://pbs.twimg.com/media/F2idkeMX0AAxJf7.jpg</t>
  </si>
  <si>
    <t>https://t.co/xIV7dnGeik https://pbs.twimg.com/media/F2dcn6PX0AMVvgd.jpg</t>
  </si>
  <si>
    <t>https://t.co/h5T88vZKlJ https://pbs.twimg.com/media/F3c3L_KXIAAilUa.jpg</t>
  </si>
  <si>
    <t>https://t.co/gD9KGeyDO0 https://pbs.twimg.com/media/F0xoIIRWcAAHCxL.jpg</t>
  </si>
  <si>
    <t>https://t.co/qAEXptrI32 https://pbs.twimg.com/media/F6A1UKvXkAA3zlc.jpg</t>
  </si>
  <si>
    <t>https://t.co/Tfy4kknT7G https://pbs.twimg.com/media/F2YTkxGXwAgNsxj.jpg</t>
  </si>
  <si>
    <t>https://t.co/pBMZDHvHfM https://t.co/pBMZDHvHfM https://pbs.twimg.com/media/F2cUs4oW4AAtkL7.jpg https://pbs.twimg.com/media/F2cUt4wWcAA6bW7.jpg</t>
  </si>
  <si>
    <t>https://t.co/nZlNmqwIEA https://pbs.twimg.com/media/F2sLDyxWAAEGs-M.jpg</t>
  </si>
  <si>
    <t>https://t.co/lylaMvLoBi https://pbs.twimg.com/media/F13oGZpXwAEmq7Z.jpg</t>
  </si>
  <si>
    <t>https://t.co/bOhYMbRFRi https://pbs.twimg.com/media/F4TGnw6WoAACPUz.jpg</t>
  </si>
  <si>
    <t>https://t.co/JPGXTHOnEY https://pbs.twimg.com/media/F19n43nX0AM0P59.jpg</t>
  </si>
  <si>
    <t>https://t.co/sp993jS3Fe https://pbs.twimg.com/media/F43QktebgAA8Y2g.jpg</t>
  </si>
  <si>
    <t>https://t.co/DSIuCiYoP4 https://pbs.twimg.com/media/F5qh2OpWoAAlD9b.jpg</t>
  </si>
  <si>
    <t>https://t.co/iT90rOSCNa https://pbs.twimg.com/media/F3LeYcEaUAEfFbq.jpg</t>
  </si>
  <si>
    <t>https://t.co/wClpBP59X3 https://pbs.twimg.com/ext_tw_video_thumb/1696522910746464256/pu/img/9FvxS2ukIUudGCmE.jpg</t>
  </si>
  <si>
    <t>https://t.co/PcWrGHwZWV https://t.co/PcWrGHwZWV https://t.co/PcWrGHwZWV https://t.co/PcWrGHwZWV https://pbs.twimg.com/media/FxeaDzWWwAgbUu7.jpg https://pbs.twimg.com/media/FxeaD0FWwAsAO5a.jpg https://pbs.twimg.com/media/FxeaD0eWcAAp0Z1.jpg https://pbs.twimg.com/media/FxeaD03WwAww0-Q.jpg</t>
  </si>
  <si>
    <t>https://t.co/7F1Q9vMrn8 https://pbs.twimg.com/media/FzpW5DUXwCQ6X10.jpg</t>
  </si>
  <si>
    <t>https://t.co/BpZM7agazM https://pbs.twimg.com/media/FzKkCA7XoBAFX-s.jpg</t>
  </si>
  <si>
    <t>https://t.co/LJqCJRLGRZ https://pbs.twimg.com/media/Fy_Q01uWcAE2oKe.jpg</t>
  </si>
  <si>
    <t>https://t.co/wmgvVaoUer https://pbs.twimg.com/media/F5Nub24W8AAVxHA.jpg</t>
  </si>
  <si>
    <t>https://t.co/gmycIYjmW5 https://pbs.twimg.com/media/F2ceaeCWoAEKXWV.jpg</t>
  </si>
  <si>
    <t>https://t.co/CVWQZlt7g1 https://pbs.twimg.com/media/F2o468vXoAELZt6.jpg</t>
  </si>
  <si>
    <t>https://t.co/AnPSFVAnNB https://pbs.twimg.com/media/F3XxfmOW0AE2ZEj.jpg</t>
  </si>
  <si>
    <t>https://t.co/RIGzKwa3Ai https://pbs.twimg.com/media/F3iWfD0XUAANpJg.jpg</t>
  </si>
  <si>
    <t>https://t.co/RG8GtK82lG https://pbs.twimg.com/media/F3HFotIXwAAgW5Q.jpg</t>
  </si>
  <si>
    <t>https://t.co/4pYlThHi75 https://pbs.twimg.com/media/F48dXovWwAAIQ4v.jpg</t>
  </si>
  <si>
    <t>https://t.co/7bzfwz3oaE https://pbs.twimg.com/media/F3EVrLjaQAEEnxa.jpg</t>
  </si>
  <si>
    <t>https://t.co/ibY7goO8MC https://pbs.twimg.com/media/F6qqSqSaUAAeqeE.jpg</t>
  </si>
  <si>
    <t>https://t.co/phecPIuaXI https://pbs.twimg.com/media/FvEda-PaYAAn6_r.jpg</t>
  </si>
  <si>
    <t>https://t.co/ejQ1OXtG3N https://pbs.twimg.com/media/F40I8qsa0AQzAA7.jpg</t>
  </si>
  <si>
    <t>https://t.co/awZbQ5Q2ZG https://t.co/awZbQ5Q2ZG https://pbs.twimg.com/media/F6lTq-PaQAANxtk.png https://pbs.twimg.com/media/F6lT6HObwAAkyOD.png</t>
  </si>
  <si>
    <t>https://t.co/LNAl85tpmu https://pbs.twimg.com/media/F6fhJdpaQAEorht.jpg</t>
  </si>
  <si>
    <t>https://t.co/yimaCfz98L https://pbs.twimg.com/media/F4IOiajaIAAAf9i.jpg</t>
  </si>
  <si>
    <t>https://t.co/tx8vq9wCsH https://pbs.twimg.com/media/F1EzLZoaQAA-zNz.jpg</t>
  </si>
  <si>
    <t>https://t.co/omzebFuPXk https://pbs.twimg.com/media/F4PdOmba4AAaNQl.jpg</t>
  </si>
  <si>
    <t>https://t.co/2Ha1LNCLki https://pbs.twimg.com/media/F1l4CnOakAAOZgS.jpg</t>
  </si>
  <si>
    <t>https://t.co/SzvErzPcLq https://pbs.twimg.com/media/F6-LUWibwAEwWsZ.jpg</t>
  </si>
  <si>
    <t>https://t.co/Llvw53Vqym https://pbs.twimg.com/media/F6f5yMSacAAGgwL.jpg</t>
  </si>
  <si>
    <t>https://t.co/QloPDw1yEf https://pbs.twimg.com/media/F6-HOD5bwAAH4E9.jpg</t>
  </si>
  <si>
    <t>https://t.co/0QRJXs8MTD https://pbs.twimg.com/tweet_video_thumb/Fy7wm0KaIAARcjL.jpg</t>
  </si>
  <si>
    <t>https://t.co/RcuJim53qo https://pbs.twimg.com/ext_tw_video_thumb/1690739489268695041/pu/img/3QndBW1iEdmbuYUF.jpg</t>
  </si>
  <si>
    <t>https://t.co/MX8sVwnS3J https://pbs.twimg.com/media/F3qAsJwXEAAvhoE.jpg</t>
  </si>
  <si>
    <t>https://t.co/5C5fnrt9aS https://pbs.twimg.com/media/F3anbnHXwAAJJos.jpg</t>
  </si>
  <si>
    <t>https://t.co/rhDT09IERL https://pbs.twimg.com/tweet_video_thumb/F3Whzq9XkAAFIrC.jpg</t>
  </si>
  <si>
    <t>https://t.co/SihiKS2kOU https://pbs.twimg.com/media/F3VJxEvW8AIq1R4.jpg</t>
  </si>
  <si>
    <t>https://t.co/lR5rDxWNxp https://pbs.twimg.com/ext_tw_video_thumb/1690023998149496832/pu/img/21mZJMUNeaD4r_6c.jpg</t>
  </si>
  <si>
    <t>https://t.co/FqGg04DR2k https://pbs.twimg.com/ext_tw_video_thumb/1689758132942123009/pu/img/86wYlz1TjWDEcKIy.jpg</t>
  </si>
  <si>
    <t>https://t.co/fBcMTTDXWl https://pbs.twimg.com/media/FwLWNqKWIAAxi3O.jpg</t>
  </si>
  <si>
    <t>https://t.co/DoJuTWGTFh https://pbs.twimg.com/media/FybTh0eWcAEo0hJ.png</t>
  </si>
  <si>
    <t>https://t.co/yozc4OeNxW https://pbs.twimg.com/media/Fw-09iNaMAY7K-_.jpg</t>
  </si>
  <si>
    <t>https://t.co/B2dDatQYaL https://pbs.twimg.com/media/F3S85SJWIAEGRld.jpg</t>
  </si>
  <si>
    <t>https://t.co/LUFLplyX2U https://pbs.twimg.com/media/Fwvd6FFXoAcuWHc.jpg</t>
  </si>
  <si>
    <t>https://t.co/a9M6QKNToc https://pbs.twimg.com/media/FyL908SWwAUVg3q.jpg</t>
  </si>
  <si>
    <t>https://t.co/063oSUpI7M https://pbs.twimg.com/media/FygfQ2uaYAE2jvl.png</t>
  </si>
  <si>
    <t>https://t.co/e1LqjCtOa9 https://pbs.twimg.com/media/FxeO3WcX0AATf_l.jpg</t>
  </si>
  <si>
    <t>https://t.co/tcjazyJUha https://pbs.twimg.com/media/Fu8QVBUWIAEpNrX.png</t>
  </si>
  <si>
    <t>https://t.co/Xjbavg1w2D https://pbs.twimg.com/media/FzkjL-dXsAALYND.jpg</t>
  </si>
  <si>
    <t>https://t.co/4IovlWI5iA https://pbs.twimg.com/media/F1G1QZbX0AAFXWo.png</t>
  </si>
  <si>
    <t>https://t.co/dyBzfMGrKa https://pbs.twimg.com/media/F2cwo2FagAAtJoi.png</t>
  </si>
  <si>
    <t>https://t.co/CxmxbmV7pn https://pbs.twimg.com/media/F5llzeoXcAA8TBm.png</t>
  </si>
  <si>
    <t>https://t.co/MKnkZ1qGRt https://pbs.twimg.com/media/F4o4bIgWMAA8bx8.jpg</t>
  </si>
  <si>
    <t>https://t.co/yEKKk1dbM2 https://pbs.twimg.com/media/Fx3nVRDWIAEQqkR.jpg</t>
  </si>
  <si>
    <t>https://t.co/tO6mrteHNP https://t.co/tO6mrteHNP https://t.co/tO6mrteHNP https://t.co/tO6mrteHNP https://pbs.twimg.com/media/F2IzLtiXQAA3rpM.jpg https://pbs.twimg.com/media/F2IzMjaXUAA4XUt.jpg https://pbs.twimg.com/media/F2IzNZlXoA0xNEQ.jpg https://pbs.twimg.com/media/F2IzOUnXoAIr-ip.jpg</t>
  </si>
  <si>
    <t>https://t.co/E6O22YQrS0 https://t.co/E6O22YQrS0 https://t.co/E6O22YQrS0 https://t.co/E6O22YQrS0 https://pbs.twimg.com/media/FxFFHr2WwAoJE6r.jpg https://pbs.twimg.com/media/FxFFHryWwAAb0PX.jpg https://pbs.twimg.com/media/FxFFHswWwAQekt1.jpg https://pbs.twimg.com/media/FxFFHrzWwAYrhDc.jpg</t>
  </si>
  <si>
    <t>https://t.co/sO6aa2Y9Of https://pbs.twimg.com/media/FwMC53OWYBUoy2p.jpg</t>
  </si>
  <si>
    <t>https://t.co/hL1lkHuxjk https://t.co/hL1lkHuxjk https://t.co/hL1lkHuxjk https://t.co/hL1lkHuxjk https://pbs.twimg.com/media/F31n6GdXcAASF-S.jpg https://pbs.twimg.com/media/F31n6GiXAAA2X8G.jpg https://pbs.twimg.com/media/F31n6GZWYAA6piq.jpg https://pbs.twimg.com/media/F31n-nhWYAEvuKm.jpg</t>
  </si>
  <si>
    <t>https://t.co/pFbpqKwaJG https://t.co/pFbpqKwaJG https://t.co/pFbpqKwaJG https://t.co/pFbpqKwaJG https://pbs.twimg.com/media/F4ZrOjTWEAA9v7m.jpg https://pbs.twimg.com/media/F4ZrPahWkAA3x8r.jpg https://pbs.twimg.com/media/F4ZrSAfW0AAZjn8.jpg https://pbs.twimg.com/media/F4ZrSzXXYAATuPs.jpg</t>
  </si>
  <si>
    <t>https://t.co/fsEwWrNJip https://t.co/fsEwWrNJip https://t.co/fsEwWrNJip https://t.co/fsEwWrNJip https://pbs.twimg.com/media/F0dZwliXgAIH_Z6.jpg https://pbs.twimg.com/media/F0dZwlZWIAEDbIM.jpg https://pbs.twimg.com/media/F0dZwlfWYAAPJoY.jpg https://pbs.twimg.com/media/F0dZwlbX0AMIkd5.jpg</t>
  </si>
  <si>
    <t>https://t.co/tte7w0D9mR https://t.co/tte7w0D9mR https://t.co/tte7w0D9mR https://t.co/tte7w0D9mR https://pbs.twimg.com/media/Fz63h00WwAMP0Z8.jpg https://pbs.twimg.com/media/Fz63jNCWYAUQwXv.jpg https://pbs.twimg.com/media/Fz63j5gXgAYKgmF.jpg https://pbs.twimg.com/media/Fz63kuEXsAUQWCd.jpg</t>
  </si>
  <si>
    <t>https://t.co/iretMU1TYJ https://t.co/iretMU1TYJ https://t.co/iretMU1TYJ https://t.co/iretMU1TYJ https://pbs.twimg.com/media/FvYcukaWIAQ29UK.jpg https://pbs.twimg.com/media/FvYculQX0AED14Y.jpg https://pbs.twimg.com/media/FvYculSWAAcUczg.jpg https://pbs.twimg.com/media/FvYculSXwAAHzoq.jpg</t>
  </si>
  <si>
    <t>https://t.co/LYpxTNdOPO https://t.co/LYpxTNdOPO https://t.co/LYpxTNdOPO https://t.co/LYpxTNdOPO https://pbs.twimg.com/media/F1AcOf2WAAMKW3x.jpg https://pbs.twimg.com/media/F1AcPVsX0AECyTj.jpg https://pbs.twimg.com/media/F1AcQKaWAAAGIql.jpg https://pbs.twimg.com/media/F1AcRkiWIAIvi5I.jpg</t>
  </si>
  <si>
    <t>https://t.co/LgtBp6Mymn https://t.co/LgtBp6Mymn https://t.co/LgtBp6Mymn https://t.co/LgtBp6Mymn https://pbs.twimg.com/media/F6pm9oRXMAAyHo0.jpg https://pbs.twimg.com/media/F6pm-ZZWUAA1ILC.jpg https://pbs.twimg.com/media/F6pm_KYXkAAD8E-.jpg https://pbs.twimg.com/media/F6pm_8-W4AAycPh.jpg</t>
  </si>
  <si>
    <t>https://t.co/M5gENPl80T https://t.co/M5gENPl80T https://t.co/M5gENPl80T https://t.co/M5gENPl80T https://pbs.twimg.com/media/F6FmoJwX0AEO7Va.jpg https://pbs.twimg.com/media/F6FmozTWwAA7dFQ.jpg https://pbs.twimg.com/media/F6FmpNhXkAA2jiC.jpg https://pbs.twimg.com/media/F6FmpqgXYAAogvR.jpg</t>
  </si>
  <si>
    <t>https://t.co/QJQ5SY145F https://t.co/QJQ5SY145F https://t.co/QJQ5SY145F https://t.co/QJQ5SY145F https://pbs.twimg.com/media/F2taijAWQAAGLuS.jpg https://pbs.twimg.com/media/F2tajNdXIAIOBwh.jpg https://pbs.twimg.com/media/F2taj_0WUAA-2DJ.jpg https://pbs.twimg.com/media/F2tak0VXQAEsDfF.jpg</t>
  </si>
  <si>
    <t>https://t.co/SfYfidYOzU https://t.co/SfYfidYOzU https://t.co/SfYfidYOzU https://t.co/SfYfidYOzU https://pbs.twimg.com/media/Fwf3pzaWIAE9j8W.jpg https://pbs.twimg.com/media/Fwf3p0PWcAIuW6E.jpg https://pbs.twimg.com/media/Fwf3p3cXgAQfaPq.jpg https://pbs.twimg.com/media/Fwf3p34XgAAUIW9.jpg</t>
  </si>
  <si>
    <t>https://t.co/zWVlQT1g6E https://t.co/zWVlQT1g6E https://t.co/zWVlQT1g6E https://t.co/zWVlQT1g6E https://pbs.twimg.com/media/F49jO2xWEAA54uO.jpg https://pbs.twimg.com/media/F49jPdrWoAAoTKs.jpg https://pbs.twimg.com/media/F49jQBCXEAA3amA.jpg https://pbs.twimg.com/media/F49jQhoXsAAShZ1.jpg</t>
  </si>
  <si>
    <t>https://t.co/ibIPzApog1 https://t.co/ibIPzApog1 https://t.co/ibIPzApog1 https://t.co/ibIPzApog1 https://pbs.twimg.com/media/F1lipeiXsAY_Uv4.jpg https://pbs.twimg.com/media/F1liqIwXgAAcIU1.jpg https://pbs.twimg.com/media/F1liqxMXgAEiv7A.jpg https://pbs.twimg.com/media/F1lirYVWcAcw79L.jpg</t>
  </si>
  <si>
    <t>https://t.co/lEeTG5K2wA https://t.co/lEeTG5K2wA https://t.co/lEeTG5K2wA https://t.co/lEeTG5K2wA https://pbs.twimg.com/media/Fxo2TXrX0AcMpU8.jpg https://pbs.twimg.com/media/Fxo2TXiWAAEDn8b.jpg https://pbs.twimg.com/media/Fxo2TXfX0BoearQ.jpg https://pbs.twimg.com/media/Fxo2TXhX0AcLG5f.jpg</t>
  </si>
  <si>
    <t>https://t.co/MnQRmizPrG https://t.co/MnQRmizPrG https://t.co/MnQRmizPrG https://t.co/MnQRmizPrG https://pbs.twimg.com/media/F3Rw8wpW0AAXl_6.jpg https://pbs.twimg.com/media/F3Rw8wtWYAAGgCg.jpg https://pbs.twimg.com/media/F3Rw8wqW4AElCam.jpg https://pbs.twimg.com/media/F3Rw8wrXQAEVYRW.jpg</t>
  </si>
  <si>
    <t>https://t.co/GETe7WkfYI https://t.co/GETe7WkfYI https://t.co/GETe7WkfYI https://t.co/GETe7WkfYI https://pbs.twimg.com/media/FyxG82GWIAg9tIu.jpg https://pbs.twimg.com/media/FyxG9oKXgAEur35.jpg https://pbs.twimg.com/media/FyxG-WCWIAkzTUF.jpg https://pbs.twimg.com/media/FyxG-8IWIAYlBrp.jpg</t>
  </si>
  <si>
    <t>https://t.co/xo5ln2j4tQ https://pbs.twimg.com/media/F42jZpGWsAA9MCt.jpg</t>
  </si>
  <si>
    <t>https://t.co/FP0zHJO380 https://pbs.twimg.com/media/F42fJVeWAAAu3hZ.jpg</t>
  </si>
  <si>
    <t>https://t.co/w9SeUjHu3j https://pbs.twimg.com/ext_tw_video_thumb/1698708433992581120/pu/img/H9rB1HWXM-c9jHq-.jpg</t>
  </si>
  <si>
    <t>https://t.co/TgKexCjMPx https://pbs.twimg.com/ext_tw_video_thumb/1698698546134831104/pu/img/qZXWM2JiDxAetEFo.jpg</t>
  </si>
  <si>
    <t>https://t.co/kM8WQQpU2c https://pbs.twimg.com/ext_tw_video_thumb/1699052129971826688/pu/img/INSYh98j1Iy6qoHR.jpg</t>
  </si>
  <si>
    <t>https://t.co/AHhsLa6hRT https://pbs.twimg.com/media/FvoP_YZWYAMPDZ-.jpg</t>
  </si>
  <si>
    <t>https://t.co/0cfTeKM1P1 https://pbs.twimg.com/media/FydYe5XXsAE2O59.jpg</t>
  </si>
  <si>
    <t>https://t.co/50yTyhLhre https://pbs.twimg.com/media/FxfKBUlakAIVbfz.jpg</t>
  </si>
  <si>
    <t>https://t.co/YmzlhztxMa https://pbs.twimg.com/media/Fxag6ZVXwAIXVYE.jpg</t>
  </si>
  <si>
    <t>https://t.co/snwLigNgjr https://pbs.twimg.com/media/FyXTGWVXgAACrp1.jpg</t>
  </si>
  <si>
    <t>https://t.co/c9TcqZ5Ose https://pbs.twimg.com/media/F167zFqWcAEEiIK.jpg</t>
  </si>
  <si>
    <t>https://t.co/WNT8L7vMrM https://pbs.twimg.com/media/F11rbQPWwAA4TRT.jpg</t>
  </si>
  <si>
    <t>https://t.co/qFJUGZKoB2 https://pbs.twimg.com/media/F4qBeVyXAAAvgJk.jpg</t>
  </si>
  <si>
    <t>https://t.co/cI5WiijSOy https://pbs.twimg.com/amplify_video_thumb/1678544380452380672/img/Z7QRjfdQB6xy5Zt7.jpg</t>
  </si>
  <si>
    <t>https://t.co/tlve9fRPwb https://pbs.twimg.com/media/FyrtyBjWcAE9Iaw.jpg</t>
  </si>
  <si>
    <t>https://t.co/zIEDocW0Fm https://pbs.twimg.com/media/FyqY055WAAIcmbQ.jpg</t>
  </si>
  <si>
    <t>https://t.co/CqNu5ewYev https://pbs.twimg.com/media/F4-b1Z4asAA7GXA.jpg</t>
  </si>
  <si>
    <t>https://t.co/sqKuvUD0Tn https://pbs.twimg.com/media/Fx-kHIlWIAA_tW3.jpg</t>
  </si>
  <si>
    <t>https://t.co/ABkkh3yTVf https://pbs.twimg.com/ext_tw_video_thumb/1661438371191816216/pu/img/T-htH4DOCQEzc5jc.jpg</t>
  </si>
  <si>
    <t>https://t.co/5tWTLGTX2j https://pbs.twimg.com/media/FwxBlqIWcAAwaKN.jpg</t>
  </si>
  <si>
    <t>https://t.co/wqECqFdQTH https://pbs.twimg.com/media/FvTj542X0A84zuJ.jpg</t>
  </si>
  <si>
    <t>https://t.co/lfjzgpPJeY https://pbs.twimg.com/media/FvR9mijXsAEgull.jpg</t>
  </si>
  <si>
    <t>https://t.co/9Y7oBkMVUE https://pbs.twimg.com/media/FwQUqT0aIAMggJe.png</t>
  </si>
  <si>
    <t>https://t.co/tPoBdVZt3g https://pbs.twimg.com/media/FwN0fqTWAAorK7K.jpg</t>
  </si>
  <si>
    <t>https://t.co/zShZWY7G0b https://pbs.twimg.com/media/Fzj7aDKXwAIiBx2.png</t>
  </si>
  <si>
    <t>https://t.co/VqrNlNP9Mh https://pbs.twimg.com/media/F2C1g4zX0AAENQQ.png</t>
  </si>
  <si>
    <t>https://t.co/duNRptxraA https://pbs.twimg.com/media/F1WmrGrWcAA-ZgS.png</t>
  </si>
  <si>
    <t>https://t.co/wpZ9tL80vV https://pbs.twimg.com/media/F4nlvqDXkAEOyoV.jpg</t>
  </si>
  <si>
    <t>https://t.co/vQYn8m0XH0 https://pbs.twimg.com/media/F4YMHU7XgAAjDlf.jpg</t>
  </si>
  <si>
    <t>https://t.co/yIBZiv5Xh5 https://pbs.twimg.com/media/F0YOeBRXgAAGdZW.png</t>
  </si>
  <si>
    <t>https://t.co/lgOBJvkOUj https://pbs.twimg.com/media/F0RdkYjWAAIzUg_.jpg</t>
  </si>
  <si>
    <t>https://t.co/NOz4etqZgp https://pbs.twimg.com/media/Fy-uI8BXwAEC7jQ.jpg</t>
  </si>
  <si>
    <t>https://t.co/WbcqrAMegU https://pbs.twimg.com/media/Fy-d5dYWwAIvdxo.jpg</t>
  </si>
  <si>
    <t>https://t.co/xXeWXmD8QZ https://pbs.twimg.com/media/Fy-creTWAAE40ih.jpg</t>
  </si>
  <si>
    <t>https://t.co/77nkVR6djf https://pbs.twimg.com/media/FzCbSA-X0AY0lX0.jpg</t>
  </si>
  <si>
    <t>https://t.co/qJj8attOxr https://pbs.twimg.com/media/F0Q16wSWIAAhLlB.jpg</t>
  </si>
  <si>
    <t>https://t.co/WcWnAWdWgV https://pbs.twimg.com/media/F19Ah3xXsAMrDQJ.jpg</t>
  </si>
  <si>
    <t>https://t.co/Z5z2jTGxgq https://pbs.twimg.com/media/FztDZ4sWYAQk_pp.jpg</t>
  </si>
  <si>
    <t>https://t.co/YOVibjU86K https://pbs.twimg.com/media/F1zl3RIWYAMdQiZ.jpg</t>
  </si>
  <si>
    <t>https://t.co/cBVNEZ0anS https://pbs.twimg.com/media/FxZE32WWABAU2uV.png</t>
  </si>
  <si>
    <t>https://t.co/xxIm8XH84F https://pbs.twimg.com/media/FvSkM9TagAE2IqH.jpg</t>
  </si>
  <si>
    <t>https://t.co/Ln4AVWJKrx https://pbs.twimg.com/media/FyNDQ-3XgAA6_o0.jpg</t>
  </si>
  <si>
    <t>https://t.co/HTsFZYp2rC https://pbs.twimg.com/media/FzpzTr3XgAMhy2Q.jpg</t>
  </si>
  <si>
    <t>https://t.co/xGE6KH3JUx https://pbs.twimg.com/media/Fx3UQIIWcAMlgoP.jpg</t>
  </si>
  <si>
    <t>https://t.co/fAVOwEAVvm https://pbs.twimg.com/media/F30q5a8W4AAhiM0.jpg</t>
  </si>
  <si>
    <t>https://t.co/CDZ8XSfXlW https://pbs.twimg.com/media/FxIoL8aWwAEP9AH.jpg</t>
  </si>
  <si>
    <t>https://t.co/nCIPuvKJew https://pbs.twimg.com/media/FzAQ-25XgAc2_FP.jpg</t>
  </si>
  <si>
    <t>https://t.co/etMuz8gUp4 https://pbs.twimg.com/media/Fz1fAKqWwAElGxl.jpg</t>
  </si>
  <si>
    <t>https://t.co/odO83nkYGJ https://pbs.twimg.com/media/FwlBHR4WIAgsbgI.jpg</t>
  </si>
  <si>
    <t>https://t.co/NQvbVLn1Wy https://pbs.twimg.com/media/FwlAuubX0AAHRgg.jpg</t>
  </si>
  <si>
    <t>https://t.co/7yAGbBLlh0 https://pbs.twimg.com/media/F3LpL_EW0AA1N-V.jpg</t>
  </si>
  <si>
    <t>https://t.co/WhYyRV1IWR https://pbs.twimg.com/media/F2uXmrrWMAApkkg.jpg</t>
  </si>
  <si>
    <t>https://t.co/PtyNUmdIRB https://pbs.twimg.com/media/F039LQuXsAECeUL.jpg</t>
  </si>
  <si>
    <t>https://t.co/Ick6HBv9qG https://pbs.twimg.com/media/F0IeFk1WcAI7UEL.jpg</t>
  </si>
  <si>
    <t>https://t.co/9m0jKO1txs https://pbs.twimg.com/media/FyOD-dSWAAEdYsS.jpg</t>
  </si>
  <si>
    <t>https://t.co/CTHmFiGy5U https://pbs.twimg.com/media/FxDOHosXwAAlIuw.jpg</t>
  </si>
  <si>
    <t>https://t.co/jvq7Ibud16 https://pbs.twimg.com/media/F5aaiOhWsAAsWI4.jpg</t>
  </si>
  <si>
    <t>https://t.co/G2AQq8mAIJ https://pbs.twimg.com/media/F5N-ZXfWMAAGwyN.jpg</t>
  </si>
  <si>
    <t>https://t.co/Bpjt2faqRX https://pbs.twimg.com/media/F5N9vjFXwAIjhKX.jpg</t>
  </si>
  <si>
    <t>https://t.co/DGz9idSmVZ https://pbs.twimg.com/media/F4joAEtWgAAtLna.jpg</t>
  </si>
  <si>
    <t>https://t.co/Fh71FV9LdK https://pbs.twimg.com/media/F3AX5YqWAAAyHsf.png</t>
  </si>
  <si>
    <t>https://t.co/NHV9HHLF64 https://pbs.twimg.com/media/FxU2vzFX0AEPw0q.jpg</t>
  </si>
  <si>
    <t>https://t.co/7rAFAOLmIJ https://pbs.twimg.com/media/F6jmtm7WMAA_D3T.jpg</t>
  </si>
  <si>
    <t>https://t.co/8W8gzqqWkT https://pbs.twimg.com/media/F4KpxD1WwAEeOYm.jpg</t>
  </si>
  <si>
    <t>https://t.co/RSZPYJxExw https://pbs.twimg.com/media/F2nYZnaaMAAMftJ.jpg</t>
  </si>
  <si>
    <t>https://t.co/KC0ohXyQPm https://pbs.twimg.com/media/F2nVlkNawAExL8u.jpg</t>
  </si>
  <si>
    <t>https://t.co/nWPO9zN8r7 https://pbs.twimg.com/media/FznNy-BXoAAvRLf.png</t>
  </si>
  <si>
    <t>https://t.co/XuVkbj9cFl https://pbs.twimg.com/media/FzfmPSqXgAES2NM.jpg</t>
  </si>
  <si>
    <t>https://t.co/MXnENEntU4 https://pbs.twimg.com/media/FwaPJJSXgAIoJhN.jpg</t>
  </si>
  <si>
    <t>https://t.co/pAukO6neUK https://pbs.twimg.com/media/FwV_85GWwAI0oUO.jpg</t>
  </si>
  <si>
    <t>https://t.co/m89nYcdKuV https://pbs.twimg.com/media/F63B1j2W8AAycl2.jpg</t>
  </si>
  <si>
    <t>https://t.co/a9kwMMLS21 https://pbs.twimg.com/media/F5iJAdEWMAA-Xpp.jpg</t>
  </si>
  <si>
    <t>https://t.co/lRjQjDLLR9 https://pbs.twimg.com/media/Fy7yynRWwAIcVBZ.jpg</t>
  </si>
  <si>
    <t>https://t.co/AL0i7I1tS1 https://pbs.twimg.com/media/Fynz20cXsAAPn8D.jpg</t>
  </si>
  <si>
    <t>https://t.co/tNRaJkLBTt https://pbs.twimg.com/media/Fv2lXcYaMAEwLE8.jpg</t>
  </si>
  <si>
    <t>https://t.co/PaljRWB6TA https://pbs.twimg.com/media/F6V5tm-W8AAr1jB.jpg</t>
  </si>
  <si>
    <t>https://t.co/GAlGigzLfT https://pbs.twimg.com/media/F2e4SQFWUAASFW5.jpg</t>
  </si>
  <si>
    <t>https://t.co/VBh9Zts7DY https://pbs.twimg.com/media/Fzy3yaTaIAE6h8U.jpg</t>
  </si>
  <si>
    <t>https://t.co/fqwSaJkoyS https://pbs.twimg.com/media/F2HiPJ5a0AY9ZjE.jpg</t>
  </si>
  <si>
    <t>https://t.co/KMD3AqpB1c https://pbs.twimg.com/media/F6qxfdpWkAArBtK.jpg</t>
  </si>
  <si>
    <t>https://t.co/dKePnkK9J5 https://pbs.twimg.com/media/FzFFExhX0AIscl6.jpg</t>
  </si>
  <si>
    <t>https://t.co/4SCGP0xy4P https://pbs.twimg.com/media/F16wTc1XgAESaOC.jpg</t>
  </si>
  <si>
    <t>https://t.co/FFS6EfSQ1r https://pbs.twimg.com/media/FyC1SlrWAAE93xb.jpg</t>
  </si>
  <si>
    <t>https://t.co/Tw3NSCmzmH https://pbs.twimg.com/media/FzU_VauWIAMt6zD.png</t>
  </si>
  <si>
    <t>https://t.co/aVamFWS6cp https://pbs.twimg.com/media/F3gFkT4WgAAo6Uz.jpg</t>
  </si>
  <si>
    <t>https://t.co/zLeFLZTqVe https://pbs.twimg.com/ext_tw_video_thumb/1690483581439643648/pu/img/p8v-f986tgh5sH-t.jpg</t>
  </si>
  <si>
    <t>https://t.co/ymV4R4lEio https://pbs.twimg.com/ext_tw_video_thumb/1692189804895612929/pu/img/vMh9BGT5hSEkrCQ5.jpg</t>
  </si>
  <si>
    <t>https://t.co/f4foroqEDk https://pbs.twimg.com/ext_tw_video_thumb/1688972139792109580/pu/img/kLP1m99ME_Tljnfd.jpg</t>
  </si>
  <si>
    <t>https://t.co/OAAFP2WLf4 https://pbs.twimg.com/ext_tw_video_thumb/1676683211491930112/pu/img/I_wl2GGy6DyZ_eWn.jpg</t>
  </si>
  <si>
    <t>https://t.co/1AXqOzfm3V https://pbs.twimg.com/ext_tw_video_thumb/1691570778842533888/pu/img/UD-yibBYHf9uuUEW.jpg</t>
  </si>
  <si>
    <t>https://t.co/nYHwUJgnC8 https://pbs.twimg.com/ext_tw_video_thumb/1683512830987837443/pu/img/B-KU7iEPbN2PyNUr.jpg</t>
  </si>
  <si>
    <t>https://t.co/OHkfI68NJ3 https://pbs.twimg.com/ext_tw_video_thumb/1691933186232590336/pu/img/VenX2vQsCluu4veP.jpg</t>
  </si>
  <si>
    <t>https://t.co/JMEYvMRL4k https://pbs.twimg.com/ext_tw_video_thumb/1691208345284157440/pu/img/E18eOZZA4fu9iD2K.jpg</t>
  </si>
  <si>
    <t>https://t.co/2FMkHTTNyD https://pbs.twimg.com/ext_tw_video_thumb/1690845973180719107/pu/img/vwlx3B-oLy_LkTzQ.jpg</t>
  </si>
  <si>
    <t>https://t.co/gRrGhaHx3e https://pbs.twimg.com/ext_tw_video_thumb/1694047058934534144/pu/img/lKpzEalAAmLSMvEk.jpg</t>
  </si>
  <si>
    <t>https://t.co/GNN3zHtSpx https://pbs.twimg.com/ext_tw_video_thumb/1693579192544202752/pu/img/k_RIEX688F86AaYR.jpg</t>
  </si>
  <si>
    <t>https://t.co/aEgQWDqKz8 https://pbs.twimg.com/ext_tw_video_thumb/1677650193427095553/pu/img/u7vk0nNa2JyyPHOo.jpg</t>
  </si>
  <si>
    <t>https://t.co/0Q0n9hnLG4 https://pbs.twimg.com/media/Fu7iMQsXsAASEWP.jpg</t>
  </si>
  <si>
    <t>https://t.co/B3IKQ8lUY7 https://pbs.twimg.com/media/F48ypnkWAAA8bvm.jpg</t>
  </si>
  <si>
    <t>https://t.co/9MO5ShDQge https://pbs.twimg.com/media/F6beKd2XIAAX6F1.jpg</t>
  </si>
  <si>
    <t>https://t.co/5KBoxxST49 https://pbs.twimg.com/media/Fzph1nPXgAASPCZ.jpg</t>
  </si>
  <si>
    <t>https://t.co/Tp25VM3vGx https://pbs.twimg.com/media/Fu47LcHWIAA4m14.jpg</t>
  </si>
  <si>
    <t>https://t.co/8zJ8sCux4E https://pbs.twimg.com/media/Fwgum_GWwAYL1Gp.jpg</t>
  </si>
  <si>
    <t>https://t.co/V4NqNQprj1 https://pbs.twimg.com/media/FwaN_u5WwAAx9fd.jpg</t>
  </si>
  <si>
    <t>https://t.co/MAiFHoToVf https://pbs.twimg.com/media/FwUucMWWIAEczVB.jpg</t>
  </si>
  <si>
    <t>https://t.co/5mIycabj3S https://pbs.twimg.com/media/FwQPRLTWcAAC-aQ.jpg</t>
  </si>
  <si>
    <t>https://t.co/EyxUoSu1q3 https://pbs.twimg.com/media/FwQOQ6EX0AAFnnz.jpg</t>
  </si>
  <si>
    <t>https://t.co/NI5xpNsQH6 https://pbs.twimg.com/media/Fw2AEoyWAAcMDdF.jpg</t>
  </si>
  <si>
    <t>https://t.co/zx6FRiK0KX https://pbs.twimg.com/ext_tw_video_thumb/1697746202714890240/pu/img/gbnIM4_IUrsiW6FB.jpg</t>
  </si>
  <si>
    <t>https://t.co/uHi8AWfMcv https://pbs.twimg.com/media/FwLnBTVX0AE2ZdD.png</t>
  </si>
  <si>
    <t>https://t.co/oQCEVyEOsO https://pbs.twimg.com/media/F5YsEyUXAAAJQQU.jpg</t>
  </si>
  <si>
    <t>https://t.co/RlgqTUzTBn https://pbs.twimg.com/media/F5gkgn5WoAA3ixA.png</t>
  </si>
  <si>
    <t>https://t.co/D0rKkq0F3w https://pbs.twimg.com/media/FzzoFhBXsBA8qF3.jpg</t>
  </si>
  <si>
    <t>https://t.co/ntKRblPB4D https://pbs.twimg.com/media/FxnpjK4XwAEDmC3.jpg</t>
  </si>
  <si>
    <t>https://t.co/xVWRDxYEeS https://pbs.twimg.com/media/F6JV4s3WAAA-EPC.jpg</t>
  </si>
  <si>
    <t>https://t.co/q2lzx6s97h https://pbs.twimg.com/media/F6q1y6AaMAA5F9z.jpg</t>
  </si>
  <si>
    <t>https://t.co/DjjowBSj8q https://pbs.twimg.com/media/F5trebRXAAACrJu.jpg</t>
  </si>
  <si>
    <t>https://t.co/8uace0ZhXh https://pbs.twimg.com/media/F1uP4sSX0AU3R4r.jpg</t>
  </si>
  <si>
    <t>https://t.co/HGmQzhQ3Xo https://pbs.twimg.com/media/F0s0TSQWcBIAgY-.jpg</t>
  </si>
  <si>
    <t>https://t.co/DIj5bvOYBy https://pbs.twimg.com/media/F0svunvWcBc-dab.jpg</t>
  </si>
  <si>
    <t>https://t.co/sh3TOxtgnK https://pbs.twimg.com/media/F1GJze2WwAEHND3.jpg</t>
  </si>
  <si>
    <t>https://t.co/8bwEYlvGQ5 https://pbs.twimg.com/media/F0YHlgPXsAELajW.jpg</t>
  </si>
  <si>
    <t>https://t.co/fM12wuGMwm https://pbs.twimg.com/media/Fyco85PWYBcfK2t.jpg</t>
  </si>
  <si>
    <t>https://t.co/C7nHXST0uR https://pbs.twimg.com/media/F3hEBRnWEAANGEo.jpg</t>
  </si>
  <si>
    <t>https://t.co/yY0b1egLgS https://pbs.twimg.com/media/F0HfND6XwAI2JoJ.jpg</t>
  </si>
  <si>
    <t>https://t.co/0X4XQGTnVt https://pbs.twimg.com/media/F3gvRTNXUAA0Egd.jpg</t>
  </si>
  <si>
    <t>https://t.co/gcavaoKZd5 https://pbs.twimg.com/media/F64Zm_rXQAAFesx.jpg</t>
  </si>
  <si>
    <t>https://t.co/L0SUngxVp9 https://pbs.twimg.com/media/Fu-MuA5XwAUJ6Ax.jpg</t>
  </si>
  <si>
    <t>https://t.co/xju4JgRBM3 https://pbs.twimg.com/media/F6tZmblXMAA2fbK.jpg</t>
  </si>
  <si>
    <t>https://t.co/tConM8axZR https://pbs.twimg.com/ext_tw_video_thumb/1682089242883661834/pu/img/dBUuLfkKvgJii2fQ.jpg</t>
  </si>
  <si>
    <t>https://t.co/oH3Mm3X9PS https://pbs.twimg.com/ext_tw_video_thumb/1691141379097837568/pu/img/tlfRbHO7clZ-Frcq.jpg</t>
  </si>
  <si>
    <t>https://t.co/XpWwHIBFBw https://pbs.twimg.com/media/F4kbDluW8AAyfEH.jpg</t>
  </si>
  <si>
    <t>https://t.co/z5wcV6SIx5 https://t.co/z5wcV6SIx5 https://pbs.twimg.com/media/F7EoRyOW4AAJVC-.png https://pbs.twimg.com/media/F7EoRxZXMAAhgj6.png</t>
  </si>
  <si>
    <t>https://t.co/xECvlXyRZh https://t.co/xECvlXyRZh https://pbs.twimg.com/media/F7EdVxbXsAAan8a.png https://pbs.twimg.com/media/F7EdVxdW4AABNhZ.png</t>
  </si>
  <si>
    <t>https://t.co/jlaKEOCAQX https://pbs.twimg.com/media/F7H9nWPXUAACADE.jpg</t>
  </si>
  <si>
    <t>https://t.co/HziBnKgKLU https://pbs.twimg.com/media/F02pXemWAA4IaC1.png</t>
  </si>
  <si>
    <t>https://t.co/aTbiIlOVh2 https://pbs.twimg.com/media/FzoS0SsWcAIrVAK.jpg</t>
  </si>
  <si>
    <t>https://t.co/EtJreYMcnW https://pbs.twimg.com/media/F2dk8vmXUAcpoPy.jpg</t>
  </si>
  <si>
    <t>https://t.co/Z0746ycOkV https://pbs.twimg.com/media/F2ZDtWSXgAAlfjt.jpg</t>
  </si>
  <si>
    <t>https://t.co/5HDMC5j984 https://pbs.twimg.com/media/F3NeiioXkAAIjl_.jpg</t>
  </si>
  <si>
    <t>https://t.co/dpulcNoucS https://pbs.twimg.com/media/Fv6IMh1akAAtMdJ.png</t>
  </si>
  <si>
    <t>https://t.co/0TsTm4pqVU https://pbs.twimg.com/media/F5bcqmNbwAAr_xv.jpg</t>
  </si>
  <si>
    <t>https://t.co/ws4oAoalCW https://pbs.twimg.com/media/Fv71tavXsAQqn8v.jpg</t>
  </si>
  <si>
    <t>https://t.co/I7Pp9mwzC6 https://t.co/I7Pp9mwzC6 https://t.co/I7Pp9mwzC6 https://pbs.twimg.com/media/FwQDHrkWYAMQ-rO.png https://pbs.twimg.com/media/FwQDO7wXgAE0__6.png https://pbs.twimg.com/media/FwQDSEIXoAIcJNl.png</t>
  </si>
  <si>
    <t>https://t.co/E0JwLXlYvn https://pbs.twimg.com/ext_tw_video_thumb/1669027031974125582/pu/img/ijDF12B9WR8ep14y.jpg</t>
  </si>
  <si>
    <t>https://t.co/LmCknttpcQ https://pbs.twimg.com/media/FygWA12XwAIXqO3.jpg</t>
  </si>
  <si>
    <t>https://t.co/dSGl42Kjih https://pbs.twimg.com/media/FxUlF9oWYAAEE2v.jpg</t>
  </si>
  <si>
    <t>https://t.co/3BTe0yz6hd https://t.co/3BTe0yz6hd https://t.co/3BTe0yz6hd https://t.co/3BTe0yz6hd https://pbs.twimg.com/media/Fy3JPD8XwAYBYS8.jpg https://pbs.twimg.com/tweet_video_thumb/Fy3JPEbXgAAgzVW.jpg https://pbs.twimg.com/media/Fy3JPD8XgAEih4b.jpg https://pbs.twimg.com/tweet_video_thumb/Fy3JPEgXoAIlaVe.jpg</t>
  </si>
  <si>
    <t>https://t.co/Dt1Y2tALET https://pbs.twimg.com/media/FxciEWNWwAA0SRW.jpg</t>
  </si>
  <si>
    <t>https://t.co/CQDeZwigD8 https://pbs.twimg.com/media/F11UyLZWYAAY9Qh.jpg</t>
  </si>
  <si>
    <t>https://t.co/xDVsG7J4xP https://pbs.twimg.com/media/F11UYxyXwAAADyv.jpg</t>
  </si>
  <si>
    <t>https://t.co/FEsNhcXDSt https://pbs.twimg.com/media/F2aHniAWsAAkmb-.png</t>
  </si>
  <si>
    <t>https://t.co/v9t0RxUFOD https://pbs.twimg.com/media/F05MLHmWAAAFmRY.jpg</t>
  </si>
  <si>
    <t>https://t.co/I2jtC7cenP https://pbs.twimg.com/media/F0K75C2X0AAfgb5.jpg</t>
  </si>
  <si>
    <t>https://t.co/lYbkTgS8h4 https://pbs.twimg.com/media/F2fmbhpWoAEPyRu.jpg</t>
  </si>
  <si>
    <t>https://t.co/PPPGhXaViw https://pbs.twimg.com/media/F1un2s3WYAElie3.jpg</t>
  </si>
  <si>
    <t>https://t.co/XjEsaAUWDw https://pbs.twimg.com/media/FwFprj2WIAI5naS.jpg</t>
  </si>
  <si>
    <t>https://t.co/kC1dJmMb3O https://pbs.twimg.com/media/FxBZWreWYAI6y1C.jpg</t>
  </si>
  <si>
    <t>https://t.co/7qRKTOKaoQ https://t.co/7qRKTOKaoQ https://pbs.twimg.com/media/F1qkZOgXgAI6RYu.jpg https://pbs.twimg.com/media/F1qkZhzXsAIiqBg.jpg</t>
  </si>
  <si>
    <t>https://t.co/8tr4eWVQQY https://pbs.twimg.com/media/F0euKxwWAAEYso5.jpg</t>
  </si>
  <si>
    <t>https://t.co/ql3Ry9iYE6 https://pbs.twimg.com/media/F0eE9LUX0AAu4DK.jpg</t>
  </si>
  <si>
    <t>https://t.co/oMi25Lm1YB https://pbs.twimg.com/ext_tw_video_thumb/1668408508629254146/pu/img/_oZYav0APz0uGXJq.jpg</t>
  </si>
  <si>
    <t>https://t.co/fK9DRvsFRV https://pbs.twimg.com/ext_tw_video_thumb/1667365918916083712/pu/img/hYKImNDsW_LJB2S4.jpg</t>
  </si>
  <si>
    <t>https://t.co/Ed0HBmhSrd https://pbs.twimg.com/media/F2TGCBnWAAEU0A_.jpg</t>
  </si>
  <si>
    <t>https://t.co/LI8eV6n9ZC https://pbs.twimg.com/media/FuzVC8CXgAE5h50.jpg</t>
  </si>
  <si>
    <t>https://t.co/mzQ0Sijs1f https://pbs.twimg.com/media/FzF2EEcX0AEcszx.jpg</t>
  </si>
  <si>
    <t>https://t.co/S06otVKlBL https://pbs.twimg.com/media/FwBE-XLWYAALhLI.jpg</t>
  </si>
  <si>
    <t>https://t.co/nh9HxktG2f https://pbs.twimg.com/media/Fv8JGLcXsAEFGbD.jpg</t>
  </si>
  <si>
    <t>https://t.co/z2fUocg6KI https://pbs.twimg.com/media/Fzo0gNPX0AAz5bW.jpg</t>
  </si>
  <si>
    <t>https://t.co/prmMy96R7Y https://pbs.twimg.com/media/F0xWNJfWAAcuRQN.jpg</t>
  </si>
  <si>
    <t>https://t.co/c5dhuSDyG2 https://pbs.twimg.com/media/FyxPsJIWIBI_4Pe.jpg</t>
  </si>
  <si>
    <t>https://t.co/wLEwZ2kQgf https://pbs.twimg.com/media/FyrBb-9akAAv64s.jpg</t>
  </si>
  <si>
    <t>https://t.co/XVrsOyDM3T https://t.co/XVrsOyDM3T https://pbs.twimg.com/media/FymhCo6XgAARR6W.jpg https://pbs.twimg.com/media/FymhCohWYAsKV_5.jpg</t>
  </si>
  <si>
    <t>https://t.co/yYl9PKz0nU https://pbs.twimg.com/media/F0Nx4duWcA8g7Xd.jpg</t>
  </si>
  <si>
    <t>https://t.co/RAZyGpo5Om https://pbs.twimg.com/media/FxjUt7MXoAE-V23.jpg</t>
  </si>
  <si>
    <t>https://t.co/gkzU68NtsP https://pbs.twimg.com/media/FwP4hfTWwAIRuP6.jpg</t>
  </si>
  <si>
    <t>https://t.co/IKW4tcT5mz https://pbs.twimg.com/media/FwYHdcXXgAM5MCI.jpg</t>
  </si>
  <si>
    <t>https://t.co/zOh6LtthIp https://pbs.twimg.com/media/F5D81AMW8AEn3i9.jpg</t>
  </si>
  <si>
    <t>https://t.co/M4TWSlnJjn https://pbs.twimg.com/media/F6BgBapXYAAMwfh.jpg</t>
  </si>
  <si>
    <t>https://t.co/E1hG2Tc16K https://pbs.twimg.com/media/F69FHkFWQAAyT-X.png</t>
  </si>
  <si>
    <t>https://t.co/ATqle2h3tG https://pbs.twimg.com/media/F7HXtKzXMAAXSR6.png</t>
  </si>
  <si>
    <t>https://t.co/Zxt95pMzcx https://pbs.twimg.com/media/F68kLe6WgAAgbuw.png</t>
  </si>
  <si>
    <t>https://t.co/jV1pruq11A https://pbs.twimg.com/media/F3Hvx8VWMAEjF2a.jpg</t>
  </si>
  <si>
    <t>https://t.co/1eshDQVcUA https://pbs.twimg.com/media/FwU5Hn9X0AEARmD.jpg</t>
  </si>
  <si>
    <t>https://t.co/cJNHX9NgZI https://pbs.twimg.com/media/FwL1VpAXsAct6BY.jpg</t>
  </si>
  <si>
    <t>https://t.co/hxGnKaLms1 https://pbs.twimg.com/ext_tw_video_thumb/1667874971601760256/pu/img/hfZdTZ5g952ZsgVE.jpg</t>
  </si>
  <si>
    <t>https://t.co/pLhq0cwK2B https://pbs.twimg.com/ext_tw_video_thumb/1691222170989436928/pu/img/KYXdkI_gZ7adFOSl.jpg</t>
  </si>
  <si>
    <t>https://t.co/owTHhnu1G4 https://pbs.twimg.com/ext_tw_video_thumb/1668354847437905925/pu/img/ywYy2vlcNps19Sg4.jpg</t>
  </si>
  <si>
    <t>https://t.co/OGljhqKW9I https://pbs.twimg.com/ext_tw_video_thumb/1672952736332017666/pu/img/T_-2xvKQYU31Qwea.jpg</t>
  </si>
  <si>
    <t>https://t.co/lGtOCl7Sgp https://pbs.twimg.com/ext_tw_video_thumb/1665664934984679425/pu/img/Tkkn_CkdSFJTser7.jpg</t>
  </si>
  <si>
    <t>https://t.co/anOzFEx4i6 https://pbs.twimg.com/ext_tw_video_thumb/1664780509971468289/pu/img/F4HjzTYfynmRXyzs.jpg</t>
  </si>
  <si>
    <t>https://t.co/8JRHsCc0u7 https://pbs.twimg.com/ext_tw_video_thumb/1670201846256787456/pu/img/G5SOAnOA06CFNxG5.jpg</t>
  </si>
  <si>
    <t>https://t.co/QjZ2CQ6ib0 https://pbs.twimg.com/ext_tw_video_thumb/1673828675639209985/pu/img/_m4pIXshhTRn-M6B.jpg</t>
  </si>
  <si>
    <t>https://t.co/Bv2tm4PULG https://pbs.twimg.com/ext_tw_video_thumb/1673826118305030146/pu/img/lQJbAaWHb2Uhlagm.jpg</t>
  </si>
  <si>
    <t>https://t.co/TFOV28h2qK https://pbs.twimg.com/ext_tw_video_thumb/1672214298330800128/pu/img/db2lHrLy25PLCUwT.jpg</t>
  </si>
  <si>
    <t>https://t.co/Grs8NwNOJT https://pbs.twimg.com/ext_tw_video_thumb/1664549690669510656/pu/img/88wKrdU1uHOR-7OO.jpg</t>
  </si>
  <si>
    <t>https://t.co/iz8FcN37QZ https://pbs.twimg.com/ext_tw_video_thumb/1675472952828088322/pu/img/jSvwEtksYm04GYRl.jpg</t>
  </si>
  <si>
    <t>https://t.co/VUXvQFeDRe https://pbs.twimg.com/ext_tw_video_thumb/1674915899629772801/pu/img/agR1WrhwjQFrDlhy.jpg</t>
  </si>
  <si>
    <t>https://t.co/1PW278KwXw https://pbs.twimg.com/ext_tw_video_thumb/1666568960274317312/pu/img/jNBFgigWQO-UASBQ.jpg</t>
  </si>
  <si>
    <t>https://t.co/J45O6naHQY https://t.co/J45O6naHQY https://t.co/J45O6naHQY https://t.co/J45O6naHQY https://pbs.twimg.com/media/FybXoSyWYAIEeuk.jpg https://pbs.twimg.com/media/FybXoTFWcAAorNu.jpg https://pbs.twimg.com/media/FybXoSxXgAE6ZVJ.jpg https://pbs.twimg.com/media/FybXoS2WAAMmQ9e.jpg</t>
  </si>
  <si>
    <t>https://t.co/nJ14E75fF7 https://pbs.twimg.com/media/FwXb9A3WwAA_UVW.jpg</t>
  </si>
  <si>
    <t>https://t.co/QZoA6oSKY7 https://pbs.twimg.com/media/Fu-5XWQWAAELVhw.jpg</t>
  </si>
  <si>
    <t>https://t.co/9qCBV9yqVM https://pbs.twimg.com/media/FzgW-BZXsAENQS4.jpg</t>
  </si>
  <si>
    <t>https://t.co/QbZEf3WbEH https://pbs.twimg.com/media/F1buR4pWAAISdkk.jpg</t>
  </si>
  <si>
    <t>https://t.co/J68jEKSqhd https://pbs.twimg.com/media/F4vBxnyXQAAzfwT.jpg</t>
  </si>
  <si>
    <t>https://t.co/xsbL1D5fXN https://pbs.twimg.com/media/FyjeOkeWwAIXz4i.jpg</t>
  </si>
  <si>
    <t>https://t.co/ZAn86uzVp1 https://pbs.twimg.com/media/F6RZkbMXsAAHWEw.jpg</t>
  </si>
  <si>
    <t>https://t.co/0BGS0v3P3Y https://pbs.twimg.com/media/F25OsGRWIAAGXe5.jpg</t>
  </si>
  <si>
    <t>https://t.co/fFZO5OyC3F https://pbs.twimg.com/media/F65yj6AWoAAzo9w.jpg</t>
  </si>
  <si>
    <t>https://t.co/DVaHdPfKYv https://pbs.twimg.com/ext_tw_video_thumb/1656264099989188609/pu/img/ljubUAfvNRdme4ew.jpg</t>
  </si>
  <si>
    <t>https://t.co/1kcCu8pIVN https://pbs.twimg.com/ext_tw_video_thumb/1658072980298125312/pu/img/T55XGm1g3h1BU5dg.jpg</t>
  </si>
  <si>
    <t>https://t.co/fRTbUYHwJu https://pbs.twimg.com/media/FzAzUDdWwAAAfBD.png</t>
  </si>
  <si>
    <t>https://t.co/R5zIoNvVTH https://pbs.twimg.com/amplify_video_thumb/1656072444589879296/img/3ahxsI4HS5brfkgB.jpg</t>
  </si>
  <si>
    <t>https://t.co/0hORVGgNaA https://pbs.twimg.com/media/FxVm_h3X0AY9gVy.png</t>
  </si>
  <si>
    <t>https://t.co/zGntZXFcOS https://pbs.twimg.com/ext_tw_video_thumb/1665000883636039682/pu/img/LwPzs23qjg6TAT5S.jpg</t>
  </si>
  <si>
    <t>https://t.co/pvFSfMfGmA https://pbs.twimg.com/media/FwMrKB8WICI1_tR.jpg</t>
  </si>
  <si>
    <t>https://t.co/BcQQeyz13S https://pbs.twimg.com/media/FxTS5WvWAAE-_uu.png</t>
  </si>
  <si>
    <t>https://t.co/EkEKZJHqOT https://pbs.twimg.com/media/F6b1IY8X0AAAS6m.jpg</t>
  </si>
  <si>
    <t>https://t.co/ITD8rK1FYR https://pbs.twimg.com/media/FwaqE3-agAQodTb.png</t>
  </si>
  <si>
    <t>https://t.co/OpyboQF0pm https://pbs.twimg.com/media/Fy_aeslWcAcH3Zy.jpg</t>
  </si>
  <si>
    <t>https://t.co/of4IUdsHGb https://pbs.twimg.com/media/F4ySfR4W4AE-bKf.jpg</t>
  </si>
  <si>
    <t>https://t.co/pgVcuNP2ZB https://pbs.twimg.com/media/F5RlnH-aQAAAafQ.jpg</t>
  </si>
  <si>
    <t>https://t.co/locMCarfAU https://pbs.twimg.com/media/F6-Avi_aUAAX8NT.jpg</t>
  </si>
  <si>
    <t>https://t.co/rQsYhTi1rQ https://t.co/rQsYhTi1rQ https://t.co/rQsYhTi1rQ https://t.co/rQsYhTi1rQ https://pbs.twimg.com/media/FwPhhBcWYAM6hxI.jpg https://pbs.twimg.com/media/FwPhhfKXgAEQDcw.png https://pbs.twimg.com/media/FwPhh5XXsAI9Zmp.jpg https://pbs.twimg.com/media/FwPhiRbXoAMY-Us.png</t>
  </si>
  <si>
    <t>https://t.co/KFeUdysFNy https://t.co/KFeUdysFNy https://t.co/KFeUdysFNy https://t.co/KFeUdysFNy https://pbs.twimg.com/media/FvIMeMEWwAM30Ov.jpg https://pbs.twimg.com/media/FvIMekVWcAA396A.png https://pbs.twimg.com/media/FvIMftDXgAU-OBW.png https://pbs.twimg.com/media/FvIMiYaWYAMhbuT.png</t>
  </si>
  <si>
    <t>https://t.co/PA7OAMyVai https://t.co/PA7OAMyVai https://t.co/PA7OAMyVai https://t.co/PA7OAMyVai https://pbs.twimg.com/media/F0WewC7XgAE74om.png https://pbs.twimg.com/media/F0WewZJXoAEH7J_.png https://pbs.twimg.com/media/F0WexGxWAAEjDFF.png https://pbs.twimg.com/media/F0Wex_KX0AEtx8S.png</t>
  </si>
  <si>
    <t>https://t.co/NNLa96XAkr https://t.co/NNLa96XAkr https://t.co/NNLa96XAkr https://t.co/NNLa96XAkr https://pbs.twimg.com/media/F43DEM4WEAAW8Tf.jpg https://pbs.twimg.com/media/F43DE9_WkAAFOBJ.jpg https://pbs.twimg.com/media/F43DFs4WoAARE4_.png https://pbs.twimg.com/media/F43DGWEWcAAN9eq.png</t>
  </si>
  <si>
    <t>https://t.co/vY5HQ54U2U https://t.co/vY5HQ54U2U https://t.co/vY5HQ54U2U https://t.co/vY5HQ54U2U https://pbs.twimg.com/media/Fv8xF-HWYAk6D-1.png https://pbs.twimg.com/media/Fv8xGTuWYAA_M8G.jpg https://pbs.twimg.com/media/Fv8xGjiWYC4bX-3.png https://pbs.twimg.com/media/Fv8xG0VWYAoTyP6.png</t>
  </si>
  <si>
    <t>https://t.co/IWMVyrP740 https://pbs.twimg.com/media/F48TmNvXAAAfqPo.jpg</t>
  </si>
  <si>
    <t>https://t.co/Yns4A2ZDIR https://pbs.twimg.com/media/F6EVtuYXsAAXEWG.png</t>
  </si>
  <si>
    <t>https://t.co/hAKBkeMhri https://pbs.twimg.com/media/F4s2_pOXYAApmbV.jpg</t>
  </si>
  <si>
    <t>https://t.co/QTb9zECCIF https://pbs.twimg.com/ext_tw_video_thumb/1706612307000803328/pu/img/LknSvnoseqZMY17J.jpg</t>
  </si>
  <si>
    <t>https://t.co/ZZzJyOB8j0 https://t.co/ZZzJyOB8j0 https://pbs.twimg.com/media/F4OF2q9XMAE6Fht.jpg https://pbs.twimg.com/media/F4OF4eZXYAAdn-K.png</t>
  </si>
  <si>
    <t>https://t.co/NOflNcptVn https://pbs.twimg.com/media/F0uS6eFXgAItxcI.png</t>
  </si>
  <si>
    <t>https://t.co/T1dDinCp8l https://pbs.twimg.com/media/FvIjMErXwAIXCYt.png</t>
  </si>
  <si>
    <t>https://t.co/cdbFXVUScg https://pbs.twimg.com/media/FvDJHHIWwAI69GD.png</t>
  </si>
  <si>
    <t>https://t.co/9BlkiXIVTi https://t.co/9BlkiXIVTi https://pbs.twimg.com/media/FvDG6TvWYAEnIEq.png https://pbs.twimg.com/media/FvDG6T5WYAIBZJF.png</t>
  </si>
  <si>
    <t>https://t.co/Z1ZY0hUQ4E https://pbs.twimg.com/media/FvDE2aiXwAIyIie.png</t>
  </si>
  <si>
    <t>https://t.co/i3zypu4LvU https://pbs.twimg.com/media/FvDD66UWAAE2d6W.png</t>
  </si>
  <si>
    <t>https://t.co/WIF9ttvbh8 https://pbs.twimg.com/media/FvC8x4vXsAYNR3L.png</t>
  </si>
  <si>
    <t>https://t.co/3dc3iKVNcs https://pbs.twimg.com/media/FuvqDFeWwAItKe0.png</t>
  </si>
  <si>
    <t>https://t.co/6AKFlGHjHL https://pbs.twimg.com/media/FuvmQeLXsAAMcJb.png</t>
  </si>
  <si>
    <t>https://t.co/q9mLUVgSB0 https://pbs.twimg.com/media/Fuvl9T0WAAAlC6B.png</t>
  </si>
  <si>
    <t>https://t.co/xD1cYjR2yF https://pbs.twimg.com/media/FvY7DfbWYAAd6B2.png</t>
  </si>
  <si>
    <t>https://t.co/K1NlAMIDKQ https://pbs.twimg.com/media/FvY59IpXoAEzOon.png</t>
  </si>
  <si>
    <t>https://t.co/BL1hRhWXoy https://pbs.twimg.com/media/FvY49DKXsAEl4fO.jpg</t>
  </si>
  <si>
    <t>https://t.co/dPnAUskJoN https://t.co/dPnAUskJoN https://t.co/dPnAUskJoN https://t.co/dPnAUskJoN https://pbs.twimg.com/media/FwXnsSTWYAI_0CX.jpg https://pbs.twimg.com/media/FwXnsSUXgAMzKVc.jpg https://pbs.twimg.com/media/FwXnsSQXwAMROMu.jpg https://pbs.twimg.com/media/FwXnsSXXoAIVcFd.jpg</t>
  </si>
  <si>
    <t>https://t.co/y5d01WJtE7 https://pbs.twimg.com/media/FwXeAWeXsAAEW1-.png</t>
  </si>
  <si>
    <t>https://t.co/BA0sxiq2Zs https://pbs.twimg.com/media/FwXMZF3WYAA9E_H.jpg</t>
  </si>
  <si>
    <t>https://t.co/4k0xKNqCgF https://pbs.twimg.com/media/FwXMHbaX0AQmefT.jpg</t>
  </si>
  <si>
    <t>https://t.co/eDpe4SibKK https://pbs.twimg.com/media/Fv2oVIxXoAAdRvT.jpg</t>
  </si>
  <si>
    <t>https://t.co/jbvytvBbBL https://pbs.twimg.com/media/FvtX-XRXoA4_XFY.jpg</t>
  </si>
  <si>
    <t>https://t.co/ctVAOuT4Lj https://pbs.twimg.com/media/FvtUwb8XoAQi-E_.png</t>
  </si>
  <si>
    <t>https://t.co/DxzzXkbWYT https://pbs.twimg.com/media/FvThymGX0AgId_G.jpg</t>
  </si>
  <si>
    <t>https://t.co/YSZusqcTNU https://pbs.twimg.com/media/F0N9UcUXgAEQU-N.png</t>
  </si>
  <si>
    <t>https://t.co/Ew1bTwHjsl https://pbs.twimg.com/media/F0N9UMWWwAEFTNX.png</t>
  </si>
  <si>
    <t>https://t.co/AMM6hvgw0T https://pbs.twimg.com/media/FzbdcKmXwAADxSf.jpg</t>
  </si>
  <si>
    <t>https://t.co/wOtKL8arT6 https://pbs.twimg.com/media/FyDKpL9WYAUEBL1.jpg</t>
  </si>
  <si>
    <t>https://t.co/6FmANV65Rx https://pbs.twimg.com/media/F4Af9rlXoAAbQrA.jpg</t>
  </si>
  <si>
    <t>https://t.co/qqrHIMfdtZ https://pbs.twimg.com/media/Fy-LUlaXoAMw0R9.jpg</t>
  </si>
  <si>
    <t>https://t.co/mPoudklrTQ https://pbs.twimg.com/ext_tw_video_thumb/1668284246883020800/pu/img/s1ilrD50RJ6AEPAw.jpg</t>
  </si>
  <si>
    <t>https://t.co/g9dBpOA7HK https://pbs.twimg.com/ext_tw_video_thumb/1653518629755928578/pu/img/4S1DKfv16AfoU4Qg.jpg</t>
  </si>
  <si>
    <t>https://t.co/jSKu5kSCvM https://pbs.twimg.com/ext_tw_video_thumb/1678503034295336968/pu/img/32WlWXenRCjZNK7t.jpg</t>
  </si>
  <si>
    <t>https://t.co/Hg192D6VYN https://pbs.twimg.com/ext_tw_video_thumb/1670230796957892609/pu/img/ZaVzTCvKMJDsNh-f.jpg</t>
  </si>
  <si>
    <t>https://t.co/piyEFX1Gxl https://pbs.twimg.com/ext_tw_video_thumb/1669102927481282563/pu/img/D2aeGZo7Xm9rha-v.jpg</t>
  </si>
  <si>
    <t>https://t.co/Yes2l3pC3s https://pbs.twimg.com/ext_tw_video_thumb/1656415512102830082/pu/img/1LYKJpqR4l5Th4w-.jpg</t>
  </si>
  <si>
    <t>https://t.co/s5hOW682Pb https://pbs.twimg.com/ext_tw_video_thumb/1656048680254701569/pu/img/Bf4YLe0nEIWfXrFu.jpg</t>
  </si>
  <si>
    <t>https://t.co/01xdAv8Yrm https://pbs.twimg.com/media/FzxtjisX0AAS4PX.jpg</t>
  </si>
  <si>
    <t>https://t.co/lYyVLrWHju https://pbs.twimg.com/ext_tw_video_thumb/1674190373780963333/pu/img/wlLiKUFr3gMsWY-m.jpg</t>
  </si>
  <si>
    <t>https://t.co/f8AIF17ulx https://pbs.twimg.com/media/FzqCTBqWwAMOoJ_.jpg</t>
  </si>
  <si>
    <t>https://t.co/5cWiTIe8QW https://pbs.twimg.com/ext_tw_video_thumb/1673715526827139077/pu/img/ut4nYNanIkemKtmI.jpg</t>
  </si>
  <si>
    <t>https://t.co/M75dHqGWIt https://pbs.twimg.com/ext_tw_video_thumb/1666184343344095237/pu/img/lxJYLSr7P0-P6Ts2.jpg</t>
  </si>
  <si>
    <t>https://t.co/UCBFLfZFXf https://pbs.twimg.com/media/Fx9D7EoWcAADtUz.jpg</t>
  </si>
  <si>
    <t>https://t.co/HHBT2wUfft https://pbs.twimg.com/media/Fx3hCGyWIAAcFqI.jpg</t>
  </si>
  <si>
    <t>https://t.co/8JLagabeqJ https://pbs.twimg.com/media/FwuB9HYWYAAkBmP.jpg</t>
  </si>
  <si>
    <t>https://t.co/FV3iJhsAfZ https://pbs.twimg.com/ext_tw_video_thumb/1690901195114618881/pu/img/sZIJyaNe613V59Ja.jpg</t>
  </si>
  <si>
    <t>https://t.co/0lTsVSlraV https://pbs.twimg.com/ext_tw_video_thumb/1675215589302849536/pu/img/ocySAfQHAmIR8a0v.jpg</t>
  </si>
  <si>
    <t>https://t.co/rIXhfvWmwA https://pbs.twimg.com/media/FyB563KXgAEgNjp.jpg</t>
  </si>
  <si>
    <t>https://t.co/OyflVlFVBx https://pbs.twimg.com/media/Fvh7n6gXgAI9nnq.jpg</t>
  </si>
  <si>
    <t>https://t.co/r4lJDNi6Vu https://pbs.twimg.com/ext_tw_video_thumb/1653891452252876801/pu/img/3HJx1IVA6LHjefMC.jpg</t>
  </si>
  <si>
    <t>https://t.co/2b9jqbipIN https://pbs.twimg.com/media/F0LnTcdXwAEZ3Q5.jpg</t>
  </si>
  <si>
    <t>https://t.co/OUCYtpomb5 https://pbs.twimg.com/ext_tw_video_thumb/1661783673186791430/pu/img/WbI28FMPmd436cht.jpg</t>
  </si>
  <si>
    <t>https://t.co/kH1wHxrOTi https://pbs.twimg.com/ext_tw_video_thumb/1655584820452270081/pu/img/SHUkpVpvKRKEcKwI.jpg</t>
  </si>
  <si>
    <t>https://t.co/W5ClJRFzyU https://pbs.twimg.com/media/F2j2IinWYAEEG-2.jpg</t>
  </si>
  <si>
    <t>https://t.co/TzA557BzIu https://pbs.twimg.com/ext_tw_video_thumb/1681765310829920257/pu/img/adPWWYbaF5VgmgZa.jpg</t>
  </si>
  <si>
    <t>https://t.co/xLCvkZdqNg https://pbs.twimg.com/ext_tw_video_thumb/1671257735579533314/pu/img/SluJN82OlQa-_K8r.jpg</t>
  </si>
  <si>
    <t>https://t.co/dpBdNZJpqB https://pbs.twimg.com/media/FxoGwc3XwAEHiV6.jpg</t>
  </si>
  <si>
    <t>https://t.co/ASTZqY6Bmg https://pbs.twimg.com/ext_tw_video_thumb/1673346370768363522/pu/img/sga7pwDh9T3Z-VI9.jpg</t>
  </si>
  <si>
    <t>https://t.co/qQ5xcZmGu6 https://pbs.twimg.com/media/FzeWCFaWcAAmoTx.jpg</t>
  </si>
  <si>
    <t>https://t.co/1Vz4yziaZ2 https://pbs.twimg.com/ext_tw_video_thumb/1672664213616046081/pu/img/mLBelHmhA__fgw5V.jpg</t>
  </si>
  <si>
    <t>https://t.co/fGfVCSszS9 https://pbs.twimg.com/ext_tw_video_thumb/1665659209436807168/pu/img/5NRG72RfJLhsCoch.jpg</t>
  </si>
  <si>
    <t>https://t.co/7F0nAjXUwY https://pbs.twimg.com/ext_tw_video_thumb/1665377858619940864/pu/img/UAwdUkTTmLeYchXz.jpg</t>
  </si>
  <si>
    <t>https://t.co/01iHHkGtDk https://pbs.twimg.com/ext_tw_video_thumb/1658954871469400064/pu/img/2h_BpLB9xqyOYZ2b.jpg</t>
  </si>
  <si>
    <t>https://t.co/eue5ftoEl3 https://pbs.twimg.com/ext_tw_video_thumb/1658590380768591873/pu/img/CGLADzCGyTOloeB7.jpg</t>
  </si>
  <si>
    <t>https://t.co/1Uq2390CX3 https://pbs.twimg.com/ext_tw_video_thumb/1700853466761957378/pu/img/r_a5OOSfBgkDxt16.jpg</t>
  </si>
  <si>
    <t>https://t.co/B77qKMATMn https://pbs.twimg.com/media/FyfgUugX0AMDXv0.jpg</t>
  </si>
  <si>
    <t>https://t.co/aAuVhAiyuG https://pbs.twimg.com/ext_tw_video_thumb/1664008816873070597/pu/img/Iq5ZjEDKkLnHfWV3.jpg</t>
  </si>
  <si>
    <t>https://t.co/tMR9zWgtg8 https://pbs.twimg.com/ext_tw_video_thumb/1663669739116277765/pu/img/o9CVDVWOhvgdWhUN.jpg</t>
  </si>
  <si>
    <t>https://t.co/18l6F3xUTq https://pbs.twimg.com/ext_tw_video_thumb/1663283434679148547/pu/img/HNIxIBGA4iYUEUYb.jpg</t>
  </si>
  <si>
    <t>https://t.co/1Uf2bhwblO https://pbs.twimg.com/media/Fu59S34X0AAM3pA.jpg</t>
  </si>
  <si>
    <t>https://t.co/YJJrW1dw25 https://pbs.twimg.com/ext_tw_video_thumb/1651610564383088642/pu/img/rv1O-Mx4HYHRKMZr.jpg</t>
  </si>
  <si>
    <t>https://t.co/8KCUOu5HWF https://pbs.twimg.com/media/FvpTa6-WAAIirYo.jpg</t>
  </si>
  <si>
    <t>https://t.co/QJgl68UjtJ https://pbs.twimg.com/media/FydSiz5WcAEtFBw.jpg</t>
  </si>
  <si>
    <t>https://t.co/fPKtKQazxi https://pbs.twimg.com/media/F5DWUMOWsAAgt5x.jpg</t>
  </si>
  <si>
    <t>https://t.co/2ClObq1DwE https://pbs.twimg.com/ext_tw_video_thumb/1694449089834819584/pu/img/cAu3kK92qgx7y708.jpg</t>
  </si>
  <si>
    <t>https://t.co/PK5UViHY24 https://pbs.twimg.com/media/F4O8wprWAAES5EY.jpg</t>
  </si>
  <si>
    <t>https://t.co/vFtZC4kvLo https://pbs.twimg.com/media/Fx6Sus3XoAAyGGC.jpg</t>
  </si>
  <si>
    <t>https://t.co/D0GEpOqelm https://pbs.twimg.com/media/F5HabNuW8AApRdZ.jpg</t>
  </si>
  <si>
    <t>https://t.co/kMGJp6pAzI https://t.co/kMGJp6pAzI https://pbs.twimg.com/media/FwGRSmAWAAEW7FR.jpg https://pbs.twimg.com/media/FwGRUdHX0AUfYdq.jpg</t>
  </si>
  <si>
    <t>https://t.co/bkp5XXHbvw https://pbs.twimg.com/ext_tw_video_thumb/1655538258669981697/pu/img/tO38AR0946YhoUbw.jpg</t>
  </si>
  <si>
    <t>https://t.co/8ZrIJ89RRZ https://pbs.twimg.com/media/FwuT4akXwAArCNQ.jpg</t>
  </si>
  <si>
    <t>https://t.co/6OtaOVbeb4 https://pbs.twimg.com/media/F0t2x-IWYAArkil.jpg</t>
  </si>
  <si>
    <t>https://t.co/Z4oLWuxH0K https://pbs.twimg.com/media/F0272KAWAAAP036.png</t>
  </si>
  <si>
    <t>https://t.co/fH4b2QPh1C https://pbs.twimg.com/media/F1VSi5pXwBoQL91.png</t>
  </si>
  <si>
    <t>https://t.co/d19b32BcQe https://pbs.twimg.com/media/FzKgHg6XoAIgTmc.jpg</t>
  </si>
  <si>
    <t>https://t.co/35Spw5bLSt https://pbs.twimg.com/ext_tw_video_thumb/1668742565678530562/pu/img/i23qolhoLrWO4nb4.jpg</t>
  </si>
  <si>
    <t>photo</t>
  </si>
  <si>
    <t>photo photo</t>
  </si>
  <si>
    <t>video</t>
  </si>
  <si>
    <t>photo photo photo</t>
  </si>
  <si>
    <t>photo photo photo photo</t>
  </si>
  <si>
    <t>animated_gif</t>
  </si>
  <si>
    <t>photo animated_gif photo animated_gif</t>
  </si>
  <si>
    <t>Twitter Web App</t>
  </si>
  <si>
    <t>Twitter for iPhone</t>
  </si>
  <si>
    <t>Twitter for Android</t>
  </si>
  <si>
    <t>mLabs - Gestão de Redes Sociais</t>
  </si>
  <si>
    <t>Seismic LiveSocial</t>
  </si>
  <si>
    <t>Twitter Media Studio - LiveCut</t>
  </si>
  <si>
    <t>Twitter Media Studio</t>
  </si>
  <si>
    <t>TweetDeck Web App</t>
  </si>
  <si>
    <t>Typefully</t>
  </si>
  <si>
    <t>Semrush Social Media Tool</t>
  </si>
  <si>
    <t>LinkedIn</t>
  </si>
  <si>
    <t>Blog2Social APP</t>
  </si>
  <si>
    <t>Bolsa Inteligente - Auto Post</t>
  </si>
  <si>
    <t>aleatoriando.com.br</t>
  </si>
  <si>
    <t>Sprout Social</t>
  </si>
  <si>
    <t>TweetDeck</t>
  </si>
  <si>
    <t>IFTTT</t>
  </si>
  <si>
    <t>Postcron App</t>
  </si>
  <si>
    <t>Samir News</t>
  </si>
  <si>
    <t>Wix Apps</t>
  </si>
  <si>
    <t>Buffer</t>
  </si>
  <si>
    <t>Zlappo.com</t>
  </si>
  <si>
    <t>Etus Brasil</t>
  </si>
  <si>
    <t>Zapier.com</t>
  </si>
  <si>
    <t>TradingView</t>
  </si>
  <si>
    <t>erased26604770_W9HAKCgUlJ</t>
  </si>
  <si>
    <t>FALK - Notícias</t>
  </si>
  <si>
    <t>Hootsuite Inc.</t>
  </si>
  <si>
    <t>1662267944577949713invistafina</t>
  </si>
  <si>
    <t>Jetpack.com</t>
  </si>
  <si>
    <t>Twitter for iPad</t>
  </si>
  <si>
    <t>TheInfoVeritas</t>
  </si>
  <si>
    <t>Jornal de Negócios</t>
  </si>
  <si>
    <t>Spreaker</t>
  </si>
  <si>
    <t xml:space="preserve">Buzzmonitor </t>
  </si>
  <si>
    <t>Bot_cripto</t>
  </si>
  <si>
    <t>Twitter Ads</t>
  </si>
  <si>
    <t>Salesforce - Social Studio</t>
  </si>
  <si>
    <t>Economic News Brasil</t>
  </si>
  <si>
    <t>trueanthem_2_17</t>
  </si>
  <si>
    <t>Revive Social App</t>
  </si>
  <si>
    <t>Canva</t>
  </si>
  <si>
    <t>erased22166134_IqpG7sXCsn</t>
  </si>
  <si>
    <t>Economia em Pauta</t>
  </si>
  <si>
    <t>FS Poster App 4</t>
  </si>
  <si>
    <t>RD Station</t>
  </si>
  <si>
    <t>pt</t>
  </si>
  <si>
    <t>it</t>
  </si>
  <si>
    <t>qme</t>
  </si>
  <si>
    <t>es</t>
  </si>
  <si>
    <t>qht</t>
  </si>
  <si>
    <t>hu</t>
  </si>
  <si>
    <t>ca</t>
  </si>
  <si>
    <t>en</t>
  </si>
  <si>
    <t>und</t>
  </si>
  <si>
    <t>zxx</t>
  </si>
  <si>
    <t>ro</t>
  </si>
  <si>
    <t>tl</t>
  </si>
  <si>
    <t>00:07:10</t>
  </si>
  <si>
    <t>15:02:24</t>
  </si>
  <si>
    <t>13:44:04</t>
  </si>
  <si>
    <t>14:08:34</t>
  </si>
  <si>
    <t>14:05:13</t>
  </si>
  <si>
    <t>22:31:07</t>
  </si>
  <si>
    <t>13:36:01</t>
  </si>
  <si>
    <t>21:33:51</t>
  </si>
  <si>
    <t>13:30:23</t>
  </si>
  <si>
    <t>18:56:11</t>
  </si>
  <si>
    <t>14:16:17</t>
  </si>
  <si>
    <t>16:48:49</t>
  </si>
  <si>
    <t>15:38:16</t>
  </si>
  <si>
    <t>17:06:14</t>
  </si>
  <si>
    <t>19:06:16</t>
  </si>
  <si>
    <t>14:35:48</t>
  </si>
  <si>
    <t>14:23:36</t>
  </si>
  <si>
    <t>18:38:06</t>
  </si>
  <si>
    <t>12:51:21</t>
  </si>
  <si>
    <t>12:06:32</t>
  </si>
  <si>
    <t>11:52:10</t>
  </si>
  <si>
    <t>23:33:13</t>
  </si>
  <si>
    <t>10:59:21</t>
  </si>
  <si>
    <t>10:30:52</t>
  </si>
  <si>
    <t>22:26:14</t>
  </si>
  <si>
    <t>14:03:44</t>
  </si>
  <si>
    <t>09:40:09</t>
  </si>
  <si>
    <t>09:40:41</t>
  </si>
  <si>
    <t>20:46:44</t>
  </si>
  <si>
    <t>01:45:34</t>
  </si>
  <si>
    <t>15:26:49</t>
  </si>
  <si>
    <t>22:22:26</t>
  </si>
  <si>
    <t>11:47:23</t>
  </si>
  <si>
    <t>10:15:41</t>
  </si>
  <si>
    <t>11:30:28</t>
  </si>
  <si>
    <t>01:38:04</t>
  </si>
  <si>
    <t>14:17:49</t>
  </si>
  <si>
    <t>21:55:07</t>
  </si>
  <si>
    <t>22:35:59</t>
  </si>
  <si>
    <t>01:16:44</t>
  </si>
  <si>
    <t>14:21:22</t>
  </si>
  <si>
    <t>18:41:03</t>
  </si>
  <si>
    <t>21:45:40</t>
  </si>
  <si>
    <t>23:58:28</t>
  </si>
  <si>
    <t>16:44:50</t>
  </si>
  <si>
    <t>21:54:43</t>
  </si>
  <si>
    <t>15:56:07</t>
  </si>
  <si>
    <t>21:33:02</t>
  </si>
  <si>
    <t>19:03:56</t>
  </si>
  <si>
    <t>20:08:57</t>
  </si>
  <si>
    <t>20:19:07</t>
  </si>
  <si>
    <t>20:53:34</t>
  </si>
  <si>
    <t>23:03:30</t>
  </si>
  <si>
    <t>12:18:20</t>
  </si>
  <si>
    <t>18:45:47</t>
  </si>
  <si>
    <t>23:17:47</t>
  </si>
  <si>
    <t>11:52:26</t>
  </si>
  <si>
    <t>20:13:15</t>
  </si>
  <si>
    <t>04:04:45</t>
  </si>
  <si>
    <t>12:59:31</t>
  </si>
  <si>
    <t>12:57:50</t>
  </si>
  <si>
    <t>00:03:55</t>
  </si>
  <si>
    <t>21:48:42</t>
  </si>
  <si>
    <t>17:55:06</t>
  </si>
  <si>
    <t>15:29:49</t>
  </si>
  <si>
    <t>19:00:40</t>
  </si>
  <si>
    <t>17:12:37</t>
  </si>
  <si>
    <t>22:57:37</t>
  </si>
  <si>
    <t>00:18:39</t>
  </si>
  <si>
    <t>19:02:22</t>
  </si>
  <si>
    <t>15:56:56</t>
  </si>
  <si>
    <t>12:14:35</t>
  </si>
  <si>
    <t>15:47:23</t>
  </si>
  <si>
    <t>21:28:10</t>
  </si>
  <si>
    <t>18:15:32</t>
  </si>
  <si>
    <t>18:57:57</t>
  </si>
  <si>
    <t>17:24:14</t>
  </si>
  <si>
    <t>14:54:30</t>
  </si>
  <si>
    <t>19:18:23</t>
  </si>
  <si>
    <t>15:00:00</t>
  </si>
  <si>
    <t>02:00:00</t>
  </si>
  <si>
    <t>03:30:00</t>
  </si>
  <si>
    <t>01:05:25</t>
  </si>
  <si>
    <t>12:34:54</t>
  </si>
  <si>
    <t>13:04:51</t>
  </si>
  <si>
    <t>23:52:15</t>
  </si>
  <si>
    <t>20:58:42</t>
  </si>
  <si>
    <t>15:02:49</t>
  </si>
  <si>
    <t>12:25:23</t>
  </si>
  <si>
    <t>12:12:56</t>
  </si>
  <si>
    <t>16:39:00</t>
  </si>
  <si>
    <t>19:15:00</t>
  </si>
  <si>
    <t>20:57:14</t>
  </si>
  <si>
    <t>10:43:00</t>
  </si>
  <si>
    <t>22:48:08</t>
  </si>
  <si>
    <t>21:50:25</t>
  </si>
  <si>
    <t>12:16:00</t>
  </si>
  <si>
    <t>20:53:17</t>
  </si>
  <si>
    <t>12:56:00</t>
  </si>
  <si>
    <t>22:58:01</t>
  </si>
  <si>
    <t>17:59:05</t>
  </si>
  <si>
    <t>17:58:28</t>
  </si>
  <si>
    <t>17:57:49</t>
  </si>
  <si>
    <t>15:57:39</t>
  </si>
  <si>
    <t>15:56:59</t>
  </si>
  <si>
    <t>15:56:23</t>
  </si>
  <si>
    <t>15:38:19</t>
  </si>
  <si>
    <t>15:36:47</t>
  </si>
  <si>
    <t>18:28:02</t>
  </si>
  <si>
    <t>18:20:32</t>
  </si>
  <si>
    <t>18:19:47</t>
  </si>
  <si>
    <t>21:27:30</t>
  </si>
  <si>
    <t>21:27:01</t>
  </si>
  <si>
    <t>21:25:47</t>
  </si>
  <si>
    <t>20:57:16</t>
  </si>
  <si>
    <t>20:56:37</t>
  </si>
  <si>
    <t>20:35:05</t>
  </si>
  <si>
    <t>20:34:24</t>
  </si>
  <si>
    <t>20:19:28</t>
  </si>
  <si>
    <t>20:18:06</t>
  </si>
  <si>
    <t>23:13:13</t>
  </si>
  <si>
    <t>18:19:05</t>
  </si>
  <si>
    <t>18:18:43</t>
  </si>
  <si>
    <t>20:01:20</t>
  </si>
  <si>
    <t>20:00:36</t>
  </si>
  <si>
    <t>19:59:40</t>
  </si>
  <si>
    <t>19:44:13</t>
  </si>
  <si>
    <t>19:29:09</t>
  </si>
  <si>
    <t>19:28:19</t>
  </si>
  <si>
    <t>19:27:29</t>
  </si>
  <si>
    <t>19:26:54</t>
  </si>
  <si>
    <t>19:24:52</t>
  </si>
  <si>
    <t>19:24:04</t>
  </si>
  <si>
    <t>19:15:28</t>
  </si>
  <si>
    <t>19:15:08</t>
  </si>
  <si>
    <t>19:14:08</t>
  </si>
  <si>
    <t>19:13:14</t>
  </si>
  <si>
    <t>19:11:47</t>
  </si>
  <si>
    <t>19:27:30</t>
  </si>
  <si>
    <t>19:26:55</t>
  </si>
  <si>
    <t>19:26:16</t>
  </si>
  <si>
    <t>19:25:38</t>
  </si>
  <si>
    <t>19:24:59</t>
  </si>
  <si>
    <t>19:24:14</t>
  </si>
  <si>
    <t>19:23:28</t>
  </si>
  <si>
    <t>19:22:41</t>
  </si>
  <si>
    <t>00:50:56</t>
  </si>
  <si>
    <t>00:50:22</t>
  </si>
  <si>
    <t>21:02:56</t>
  </si>
  <si>
    <t>18:56:24</t>
  </si>
  <si>
    <t>19:30:07</t>
  </si>
  <si>
    <t>19:29:38</t>
  </si>
  <si>
    <t>19:12:02</t>
  </si>
  <si>
    <t>21:11:59</t>
  </si>
  <si>
    <t>17:40:13</t>
  </si>
  <si>
    <t>00:48:51</t>
  </si>
  <si>
    <t>11:25:19</t>
  </si>
  <si>
    <t>11:24:49</t>
  </si>
  <si>
    <t>11:24:11</t>
  </si>
  <si>
    <t>11:22:57</t>
  </si>
  <si>
    <t>22:14:23</t>
  </si>
  <si>
    <t>14:46:59</t>
  </si>
  <si>
    <t>19:39:44</t>
  </si>
  <si>
    <t>19:38:58</t>
  </si>
  <si>
    <t>19:38:21</t>
  </si>
  <si>
    <t>19:37:15</t>
  </si>
  <si>
    <t>21:08:38</t>
  </si>
  <si>
    <t>17:40:06</t>
  </si>
  <si>
    <t>21:05:53</t>
  </si>
  <si>
    <t>17:39:59</t>
  </si>
  <si>
    <t>13:13:46</t>
  </si>
  <si>
    <t>13:13:19</t>
  </si>
  <si>
    <t>13:09:09</t>
  </si>
  <si>
    <t>12:21:18</t>
  </si>
  <si>
    <t>10:43:15</t>
  </si>
  <si>
    <t>10:30:59</t>
  </si>
  <si>
    <t>10:09:37</t>
  </si>
  <si>
    <t>20:45:33</t>
  </si>
  <si>
    <t>20:45:00</t>
  </si>
  <si>
    <t>20:44:29</t>
  </si>
  <si>
    <t>20:43:12</t>
  </si>
  <si>
    <t>20:51:06</t>
  </si>
  <si>
    <t>20:50:23</t>
  </si>
  <si>
    <t>18:33:59</t>
  </si>
  <si>
    <t>18:33:17</t>
  </si>
  <si>
    <t>17:44:12</t>
  </si>
  <si>
    <t>17:43:05</t>
  </si>
  <si>
    <t>22:04:57</t>
  </si>
  <si>
    <t>22:04:02</t>
  </si>
  <si>
    <t>22:03:16</t>
  </si>
  <si>
    <t>22:01:33</t>
  </si>
  <si>
    <t>20:48:34</t>
  </si>
  <si>
    <t>20:43:19</t>
  </si>
  <si>
    <t>23:12:44</t>
  </si>
  <si>
    <t>23:11:42</t>
  </si>
  <si>
    <t>23:11:00</t>
  </si>
  <si>
    <t>23:10:25</t>
  </si>
  <si>
    <t>23:09:10</t>
  </si>
  <si>
    <t>21:00:15</t>
  </si>
  <si>
    <t>13:50:31</t>
  </si>
  <si>
    <t>19:16:33</t>
  </si>
  <si>
    <t>19:14:36</t>
  </si>
  <si>
    <t>19:11:06</t>
  </si>
  <si>
    <t>19:09:46</t>
  </si>
  <si>
    <t>20:04:02</t>
  </si>
  <si>
    <t>20:03:29</t>
  </si>
  <si>
    <t>20:02:56</t>
  </si>
  <si>
    <t>20:02:07</t>
  </si>
  <si>
    <t>20:00:44</t>
  </si>
  <si>
    <t>23:45:58</t>
  </si>
  <si>
    <t>23:34:59</t>
  </si>
  <si>
    <t>13:00:49</t>
  </si>
  <si>
    <t>17:05:09</t>
  </si>
  <si>
    <t>14:21:59</t>
  </si>
  <si>
    <t>17:20:07</t>
  </si>
  <si>
    <t>22:15:08</t>
  </si>
  <si>
    <t>17:25:09</t>
  </si>
  <si>
    <t>15:05:00</t>
  </si>
  <si>
    <t>11:00:39</t>
  </si>
  <si>
    <t>13:00:40</t>
  </si>
  <si>
    <t>13:01:08</t>
  </si>
  <si>
    <t>11:00:46</t>
  </si>
  <si>
    <t>00:22:24</t>
  </si>
  <si>
    <t>18:52:36</t>
  </si>
  <si>
    <t>23:23:38</t>
  </si>
  <si>
    <t>09:50:06</t>
  </si>
  <si>
    <t>23:29:23</t>
  </si>
  <si>
    <t>01:57:57</t>
  </si>
  <si>
    <t>23:20:32</t>
  </si>
  <si>
    <t>23:37:04</t>
  </si>
  <si>
    <t>12:02:12</t>
  </si>
  <si>
    <t>14:29:47</t>
  </si>
  <si>
    <t>13:00:55</t>
  </si>
  <si>
    <t>01:21:35</t>
  </si>
  <si>
    <t>08:54:10</t>
  </si>
  <si>
    <t>08:53:56</t>
  </si>
  <si>
    <t>08:54:03</t>
  </si>
  <si>
    <t>08:54:09</t>
  </si>
  <si>
    <t>04:12:31</t>
  </si>
  <si>
    <t>20:29:19</t>
  </si>
  <si>
    <t>18:21:21</t>
  </si>
  <si>
    <t>21:23:10</t>
  </si>
  <si>
    <t>17:18:06</t>
  </si>
  <si>
    <t>20:58:56</t>
  </si>
  <si>
    <t>16:21:28</t>
  </si>
  <si>
    <t>17:03:18</t>
  </si>
  <si>
    <t>12:10:11</t>
  </si>
  <si>
    <t>23:27:50</t>
  </si>
  <si>
    <t>23:41:08</t>
  </si>
  <si>
    <t>21:12:39</t>
  </si>
  <si>
    <t>01:26:49</t>
  </si>
  <si>
    <t>20:04:56</t>
  </si>
  <si>
    <t>21:49:44</t>
  </si>
  <si>
    <t>16:03:47</t>
  </si>
  <si>
    <t>20:27:54</t>
  </si>
  <si>
    <t>00:59:32</t>
  </si>
  <si>
    <t>20:24:32</t>
  </si>
  <si>
    <t>21:55:24</t>
  </si>
  <si>
    <t>21:51:01</t>
  </si>
  <si>
    <t>16:30:34</t>
  </si>
  <si>
    <t>00:46:23</t>
  </si>
  <si>
    <t>20:19:49</t>
  </si>
  <si>
    <t>16:51:29</t>
  </si>
  <si>
    <t>10:08:59</t>
  </si>
  <si>
    <t>15:59:56</t>
  </si>
  <si>
    <t>00:31:57</t>
  </si>
  <si>
    <t>20:30:13</t>
  </si>
  <si>
    <t>00:18:03</t>
  </si>
  <si>
    <t>20:45:06</t>
  </si>
  <si>
    <t>00:37:56</t>
  </si>
  <si>
    <t>23:12:55</t>
  </si>
  <si>
    <t>20:23:00</t>
  </si>
  <si>
    <t>13:02:18</t>
  </si>
  <si>
    <t>20:25:49</t>
  </si>
  <si>
    <t>00:06:51</t>
  </si>
  <si>
    <t>21:31:41</t>
  </si>
  <si>
    <t>10:56:46</t>
  </si>
  <si>
    <t>01:00:12</t>
  </si>
  <si>
    <t>20:57:38</t>
  </si>
  <si>
    <t>12:59:36</t>
  </si>
  <si>
    <t>17:20:57</t>
  </si>
  <si>
    <t>00:30:06</t>
  </si>
  <si>
    <t>14:31:08</t>
  </si>
  <si>
    <t>00:32:28</t>
  </si>
  <si>
    <t>23:19:09</t>
  </si>
  <si>
    <t>20:25:27</t>
  </si>
  <si>
    <t>17:33:15</t>
  </si>
  <si>
    <t>20:21:27</t>
  </si>
  <si>
    <t>13:30:51</t>
  </si>
  <si>
    <t>19:33:43</t>
  </si>
  <si>
    <t>01:23:29</t>
  </si>
  <si>
    <t>00:21:46</t>
  </si>
  <si>
    <t>01:46:03</t>
  </si>
  <si>
    <t>15:24:11</t>
  </si>
  <si>
    <t>13:55:06</t>
  </si>
  <si>
    <t>13:34:19</t>
  </si>
  <si>
    <t>17:29:31</t>
  </si>
  <si>
    <t>19:35:18</t>
  </si>
  <si>
    <t>12:02:00</t>
  </si>
  <si>
    <t>17:41:00</t>
  </si>
  <si>
    <t>19:41:00</t>
  </si>
  <si>
    <t>17:42:00</t>
  </si>
  <si>
    <t>06:02:10</t>
  </si>
  <si>
    <t>15:39:37</t>
  </si>
  <si>
    <t>12:00:02</t>
  </si>
  <si>
    <t>12:00:00</t>
  </si>
  <si>
    <t>12:00:01</t>
  </si>
  <si>
    <t>14:49:54</t>
  </si>
  <si>
    <t>12:57:13</t>
  </si>
  <si>
    <t>11:57:58</t>
  </si>
  <si>
    <t>23:34:04</t>
  </si>
  <si>
    <t>19:10:21</t>
  </si>
  <si>
    <t>16:16:52</t>
  </si>
  <si>
    <t>11:39:17</t>
  </si>
  <si>
    <t>01:22:40</t>
  </si>
  <si>
    <t>06:08:14</t>
  </si>
  <si>
    <t>14:41:26</t>
  </si>
  <si>
    <t>12:53:24</t>
  </si>
  <si>
    <t>23:13:35</t>
  </si>
  <si>
    <t>06:24:34</t>
  </si>
  <si>
    <t>01:00:32</t>
  </si>
  <si>
    <t>16:25:55</t>
  </si>
  <si>
    <t>09:30:51</t>
  </si>
  <si>
    <t>21:58:21</t>
  </si>
  <si>
    <t>20:15:57</t>
  </si>
  <si>
    <t>16:41:43</t>
  </si>
  <si>
    <t>18:59:06</t>
  </si>
  <si>
    <t>08:48:40</t>
  </si>
  <si>
    <t>08:39:17</t>
  </si>
  <si>
    <t>08:16:10</t>
  </si>
  <si>
    <t>12:39:00</t>
  </si>
  <si>
    <t>13:36:26</t>
  </si>
  <si>
    <t>17:28:54</t>
  </si>
  <si>
    <t>18:00:00</t>
  </si>
  <si>
    <t>13:00:03</t>
  </si>
  <si>
    <t>09:00:00</t>
  </si>
  <si>
    <t>21:30:00</t>
  </si>
  <si>
    <t>13:30:00</t>
  </si>
  <si>
    <t>19:30:19</t>
  </si>
  <si>
    <t>14:30:00</t>
  </si>
  <si>
    <t>19:30:00</t>
  </si>
  <si>
    <t>14:00:02</t>
  </si>
  <si>
    <t>09:00:02</t>
  </si>
  <si>
    <t>16:00:01</t>
  </si>
  <si>
    <t>14:44:55</t>
  </si>
  <si>
    <t>20:27:46</t>
  </si>
  <si>
    <t>16:30:52</t>
  </si>
  <si>
    <t>22:13:40</t>
  </si>
  <si>
    <t>19:15:35</t>
  </si>
  <si>
    <t>15:50:17</t>
  </si>
  <si>
    <t>22:42:25</t>
  </si>
  <si>
    <t>06:32:13</t>
  </si>
  <si>
    <t>06:31:32</t>
  </si>
  <si>
    <t>06:31:20</t>
  </si>
  <si>
    <t>06:31:10</t>
  </si>
  <si>
    <t>06:30:57</t>
  </si>
  <si>
    <t>01:29:00</t>
  </si>
  <si>
    <t>22:28:00</t>
  </si>
  <si>
    <t>13:27:00</t>
  </si>
  <si>
    <t>02:27:00</t>
  </si>
  <si>
    <t>00:26:00</t>
  </si>
  <si>
    <t>21:25:00</t>
  </si>
  <si>
    <t>14:25:00</t>
  </si>
  <si>
    <t>13:39:52</t>
  </si>
  <si>
    <t>13:38:29</t>
  </si>
  <si>
    <t>13:37:22</t>
  </si>
  <si>
    <t>17:30:39</t>
  </si>
  <si>
    <t>22:22:00</t>
  </si>
  <si>
    <t>12:18:00</t>
  </si>
  <si>
    <t>10:40:39</t>
  </si>
  <si>
    <t>10:40:02</t>
  </si>
  <si>
    <t>10:39:34</t>
  </si>
  <si>
    <t>07:16:26</t>
  </si>
  <si>
    <t>07:14:51</t>
  </si>
  <si>
    <t>07:14:27</t>
  </si>
  <si>
    <t>22:01:00</t>
  </si>
  <si>
    <t>22:31:00</t>
  </si>
  <si>
    <t>13:06:12</t>
  </si>
  <si>
    <t>13:04:54</t>
  </si>
  <si>
    <t>11:53:00</t>
  </si>
  <si>
    <t>22:37:00</t>
  </si>
  <si>
    <t>01:43:00</t>
  </si>
  <si>
    <t>14:53:03</t>
  </si>
  <si>
    <t>13:36:18</t>
  </si>
  <si>
    <t>13:33:58</t>
  </si>
  <si>
    <t>13:32:53</t>
  </si>
  <si>
    <t>10:06:36</t>
  </si>
  <si>
    <t>10:06:05</t>
  </si>
  <si>
    <t>10:02:52</t>
  </si>
  <si>
    <t>10:02:19</t>
  </si>
  <si>
    <t>19:42:26</t>
  </si>
  <si>
    <t>08:08:32</t>
  </si>
  <si>
    <t>08:08:04</t>
  </si>
  <si>
    <t>08:07:33</t>
  </si>
  <si>
    <t>08:06:51</t>
  </si>
  <si>
    <t>08:06:09</t>
  </si>
  <si>
    <t>08:05:55</t>
  </si>
  <si>
    <t>14:30:01</t>
  </si>
  <si>
    <t>16:00:00</t>
  </si>
  <si>
    <t>18:16:00</t>
  </si>
  <si>
    <t>15:30:00</t>
  </si>
  <si>
    <t>13:55:43</t>
  </si>
  <si>
    <t>12:46:00</t>
  </si>
  <si>
    <t>14:13:44</t>
  </si>
  <si>
    <t>13:01:00</t>
  </si>
  <si>
    <t>17:19:37</t>
  </si>
  <si>
    <t>03:47:26</t>
  </si>
  <si>
    <t>12:39:30</t>
  </si>
  <si>
    <t>23:35:04</t>
  </si>
  <si>
    <t>21:04:26</t>
  </si>
  <si>
    <t>12:08:43</t>
  </si>
  <si>
    <t>12:11:43</t>
  </si>
  <si>
    <t>18:18:15</t>
  </si>
  <si>
    <t>20:57:00</t>
  </si>
  <si>
    <t>12:21:00</t>
  </si>
  <si>
    <t>17:21:00</t>
  </si>
  <si>
    <t>23:14:00</t>
  </si>
  <si>
    <t>20:57:01</t>
  </si>
  <si>
    <t>14:00:48</t>
  </si>
  <si>
    <t>12:45:09</t>
  </si>
  <si>
    <t>12:44:28</t>
  </si>
  <si>
    <t>23:40:38</t>
  </si>
  <si>
    <t>23:40:27</t>
  </si>
  <si>
    <t>00:10:35</t>
  </si>
  <si>
    <t>00:10:15</t>
  </si>
  <si>
    <t>21:44:18</t>
  </si>
  <si>
    <t>21:09:35</t>
  </si>
  <si>
    <t>23:43:20</t>
  </si>
  <si>
    <t>00:30:45</t>
  </si>
  <si>
    <t>13:21:41</t>
  </si>
  <si>
    <t>11:32:42</t>
  </si>
  <si>
    <t>23:24:55</t>
  </si>
  <si>
    <t>20:17:47</t>
  </si>
  <si>
    <t>21:31:27</t>
  </si>
  <si>
    <t>20:27:12</t>
  </si>
  <si>
    <t>21:59:19</t>
  </si>
  <si>
    <t>18:25:43</t>
  </si>
  <si>
    <t>16:27:01</t>
  </si>
  <si>
    <t>19:02:18</t>
  </si>
  <si>
    <t>17:26:03</t>
  </si>
  <si>
    <t>22:29:35</t>
  </si>
  <si>
    <t>19:44:47</t>
  </si>
  <si>
    <t>19:11:08</t>
  </si>
  <si>
    <t>19:15:50</t>
  </si>
  <si>
    <t>17:56:38</t>
  </si>
  <si>
    <t>18:23:24</t>
  </si>
  <si>
    <t>21:47:08</t>
  </si>
  <si>
    <t>17:25:19</t>
  </si>
  <si>
    <t>13:26:57</t>
  </si>
  <si>
    <t>20:15:33</t>
  </si>
  <si>
    <t>21:40:42</t>
  </si>
  <si>
    <t>14:47:58</t>
  </si>
  <si>
    <t>14:11:50</t>
  </si>
  <si>
    <t>21:00:14</t>
  </si>
  <si>
    <t>18:30:52</t>
  </si>
  <si>
    <t>13:13:37</t>
  </si>
  <si>
    <t>14:54:02</t>
  </si>
  <si>
    <t>23:01:14</t>
  </si>
  <si>
    <t>10:30:22</t>
  </si>
  <si>
    <t>10:00:31</t>
  </si>
  <si>
    <t>10:30:23</t>
  </si>
  <si>
    <t>10:00:24</t>
  </si>
  <si>
    <t>10:45:18</t>
  </si>
  <si>
    <t>10:01:13</t>
  </si>
  <si>
    <t>10:00:26</t>
  </si>
  <si>
    <t>10:00:30</t>
  </si>
  <si>
    <t>10:00:28</t>
  </si>
  <si>
    <t>10:00:29</t>
  </si>
  <si>
    <t>10:00:27</t>
  </si>
  <si>
    <t>10:00:25</t>
  </si>
  <si>
    <t>10:30:25</t>
  </si>
  <si>
    <t>10:30:18</t>
  </si>
  <si>
    <t>09:59:13</t>
  </si>
  <si>
    <t>10:30:19</t>
  </si>
  <si>
    <t>10:01:15</t>
  </si>
  <si>
    <t>09:57:14</t>
  </si>
  <si>
    <t>09:19:15</t>
  </si>
  <si>
    <t>22:31:11</t>
  </si>
  <si>
    <t>10:01:16</t>
  </si>
  <si>
    <t>19:01:20</t>
  </si>
  <si>
    <t>16:57:49</t>
  </si>
  <si>
    <t>19:41:15</t>
  </si>
  <si>
    <t>18:32:24</t>
  </si>
  <si>
    <t>15:35:21</t>
  </si>
  <si>
    <t>09:01:51</t>
  </si>
  <si>
    <t>23:58:00</t>
  </si>
  <si>
    <t>00:52:51</t>
  </si>
  <si>
    <t>02:23:27</t>
  </si>
  <si>
    <t>14:31:06</t>
  </si>
  <si>
    <t>19:06:39</t>
  </si>
  <si>
    <t>17:00:44</t>
  </si>
  <si>
    <t>23:18:37</t>
  </si>
  <si>
    <t>23:37:31</t>
  </si>
  <si>
    <t>05:28:56</t>
  </si>
  <si>
    <t>20:38:59</t>
  </si>
  <si>
    <t>22:33:54</t>
  </si>
  <si>
    <t>21:04:33</t>
  </si>
  <si>
    <t>21:45:04</t>
  </si>
  <si>
    <t>22:07:35</t>
  </si>
  <si>
    <t>12:00:43</t>
  </si>
  <si>
    <t>16:00:42</t>
  </si>
  <si>
    <t>16:00:43</t>
  </si>
  <si>
    <t>16:00:41</t>
  </si>
  <si>
    <t>14:00:45</t>
  </si>
  <si>
    <t>12:00:46</t>
  </si>
  <si>
    <t>20:33:54</t>
  </si>
  <si>
    <t>17:48:30</t>
  </si>
  <si>
    <t>02:57:56</t>
  </si>
  <si>
    <t>18:39:32</t>
  </si>
  <si>
    <t>14:57:33</t>
  </si>
  <si>
    <t>01:04:30</t>
  </si>
  <si>
    <t>21:11:53</t>
  </si>
  <si>
    <t>16:36:05</t>
  </si>
  <si>
    <t>14:38:39</t>
  </si>
  <si>
    <t>20:00:01</t>
  </si>
  <si>
    <t>02:55:02</t>
  </si>
  <si>
    <t>20:41:14</t>
  </si>
  <si>
    <t>22:46:24</t>
  </si>
  <si>
    <t>23:37:10</t>
  </si>
  <si>
    <t>17:59:40</t>
  </si>
  <si>
    <t>20:43:59</t>
  </si>
  <si>
    <t>19:14:42</t>
  </si>
  <si>
    <t>17:36:36</t>
  </si>
  <si>
    <t>02:52:09</t>
  </si>
  <si>
    <t>11:20:18</t>
  </si>
  <si>
    <t>12:05:00</t>
  </si>
  <si>
    <t>00:05:00</t>
  </si>
  <si>
    <t>16:05:00</t>
  </si>
  <si>
    <t>01:05:00</t>
  </si>
  <si>
    <t>14:05:00</t>
  </si>
  <si>
    <t>21:05:00</t>
  </si>
  <si>
    <t>13:05:00</t>
  </si>
  <si>
    <t>23:05:00</t>
  </si>
  <si>
    <t>17:05:00</t>
  </si>
  <si>
    <t>19:23:59</t>
  </si>
  <si>
    <t>09:53:35</t>
  </si>
  <si>
    <t>12:00:44</t>
  </si>
  <si>
    <t>14:32:22</t>
  </si>
  <si>
    <t>14:32:20</t>
  </si>
  <si>
    <t>21:37:02</t>
  </si>
  <si>
    <t>11:37:47</t>
  </si>
  <si>
    <t>16:08:00</t>
  </si>
  <si>
    <t>15:00:20</t>
  </si>
  <si>
    <t>22:10:42</t>
  </si>
  <si>
    <t>19:06:48</t>
  </si>
  <si>
    <t>05:01:47</t>
  </si>
  <si>
    <t>05:03:58</t>
  </si>
  <si>
    <t>03:12:43</t>
  </si>
  <si>
    <t>00:18:50</t>
  </si>
  <si>
    <t>00:18:02</t>
  </si>
  <si>
    <t>13:53:15</t>
  </si>
  <si>
    <t>21:06:53</t>
  </si>
  <si>
    <t>18:09:08</t>
  </si>
  <si>
    <t>23:25:29</t>
  </si>
  <si>
    <t>16:01:45</t>
  </si>
  <si>
    <t>05:38:43</t>
  </si>
  <si>
    <t>23:48:21</t>
  </si>
  <si>
    <t>02:33:51</t>
  </si>
  <si>
    <t>18:55:01</t>
  </si>
  <si>
    <t>20:23:40</t>
  </si>
  <si>
    <t>03:19:06</t>
  </si>
  <si>
    <t>15:42:00</t>
  </si>
  <si>
    <t>23:10:39</t>
  </si>
  <si>
    <t>17:49:31</t>
  </si>
  <si>
    <t>04:04:25</t>
  </si>
  <si>
    <t>17:04:28</t>
  </si>
  <si>
    <t>03:38:06</t>
  </si>
  <si>
    <t>00:28:29</t>
  </si>
  <si>
    <t>04:58:44</t>
  </si>
  <si>
    <t>21:15:06</t>
  </si>
  <si>
    <t>13:39:43</t>
  </si>
  <si>
    <t>14:25:43</t>
  </si>
  <si>
    <t>00:08:58</t>
  </si>
  <si>
    <t>16:21:14</t>
  </si>
  <si>
    <t>02:37:16</t>
  </si>
  <si>
    <t>14:26:05</t>
  </si>
  <si>
    <t>01:57:15</t>
  </si>
  <si>
    <t>15:22:47</t>
  </si>
  <si>
    <t>00:37:09</t>
  </si>
  <si>
    <t>22:42:22</t>
  </si>
  <si>
    <t>22:04:22</t>
  </si>
  <si>
    <t>11:33:31</t>
  </si>
  <si>
    <t>17:39:01</t>
  </si>
  <si>
    <t>21:28:05</t>
  </si>
  <si>
    <t>19:21:21</t>
  </si>
  <si>
    <t>13:43:50</t>
  </si>
  <si>
    <t>02:30:17</t>
  </si>
  <si>
    <t>03:13:12</t>
  </si>
  <si>
    <t>03:31:01</t>
  </si>
  <si>
    <t>03:29:10</t>
  </si>
  <si>
    <t>23:55:15</t>
  </si>
  <si>
    <t>16:47:20</t>
  </si>
  <si>
    <t>04:39:22</t>
  </si>
  <si>
    <t>04:04:21</t>
  </si>
  <si>
    <t>23:04:06</t>
  </si>
  <si>
    <t>01:55:29</t>
  </si>
  <si>
    <t>00:03:56</t>
  </si>
  <si>
    <t>05:46:19</t>
  </si>
  <si>
    <t>04:29:24</t>
  </si>
  <si>
    <t>04:29:41</t>
  </si>
  <si>
    <t>17:33:51</t>
  </si>
  <si>
    <t>19:11:42</t>
  </si>
  <si>
    <t>19:18:37</t>
  </si>
  <si>
    <t>02:39:00</t>
  </si>
  <si>
    <t>00:36:40</t>
  </si>
  <si>
    <t>03:45:25</t>
  </si>
  <si>
    <t>03:45:03</t>
  </si>
  <si>
    <t>14:52:38</t>
  </si>
  <si>
    <t>13:06:20</t>
  </si>
  <si>
    <t>14:51:12</t>
  </si>
  <si>
    <t>14:13:25</t>
  </si>
  <si>
    <t>14:25:06</t>
  </si>
  <si>
    <t>16:39:13</t>
  </si>
  <si>
    <t>19:19:36</t>
  </si>
  <si>
    <t>19:35:03</t>
  </si>
  <si>
    <t>18:14:39</t>
  </si>
  <si>
    <t>17:22:13</t>
  </si>
  <si>
    <t>12:00:14</t>
  </si>
  <si>
    <t>15:17:24</t>
  </si>
  <si>
    <t>23:11:48</t>
  </si>
  <si>
    <t>23:11:37</t>
  </si>
  <si>
    <t>10:55:17</t>
  </si>
  <si>
    <t>00:27:49</t>
  </si>
  <si>
    <t>15:50:47</t>
  </si>
  <si>
    <t>20:35:38</t>
  </si>
  <si>
    <t>20:15:25</t>
  </si>
  <si>
    <t>19:48:18</t>
  </si>
  <si>
    <t>01:02:37</t>
  </si>
  <si>
    <t>15:07:21</t>
  </si>
  <si>
    <t>20:33:38</t>
  </si>
  <si>
    <t>20:10:57</t>
  </si>
  <si>
    <t>17:22:21</t>
  </si>
  <si>
    <t>22:49:47</t>
  </si>
  <si>
    <t>20:27:20</t>
  </si>
  <si>
    <t>13:21:35</t>
  </si>
  <si>
    <t>19:53:12</t>
  </si>
  <si>
    <t>12:13:05</t>
  </si>
  <si>
    <t>02:52:24</t>
  </si>
  <si>
    <t>17:45:23</t>
  </si>
  <si>
    <t>10:43:54</t>
  </si>
  <si>
    <t>16:19:43</t>
  </si>
  <si>
    <t>15:41:46</t>
  </si>
  <si>
    <t>10:47:25</t>
  </si>
  <si>
    <t>17:51:53</t>
  </si>
  <si>
    <t>10:48:59</t>
  </si>
  <si>
    <t>20:16:50</t>
  </si>
  <si>
    <t>20:24:27</t>
  </si>
  <si>
    <t>20:11:28</t>
  </si>
  <si>
    <t>10:49:07</t>
  </si>
  <si>
    <t>10:38:50</t>
  </si>
  <si>
    <t>19:03:31</t>
  </si>
  <si>
    <t>20:17:48</t>
  </si>
  <si>
    <t>17:46:43</t>
  </si>
  <si>
    <t>20:36:32</t>
  </si>
  <si>
    <t>11:00:32</t>
  </si>
  <si>
    <t>20:48:14</t>
  </si>
  <si>
    <t>20:22:12</t>
  </si>
  <si>
    <t>13:15:00</t>
  </si>
  <si>
    <t>11:13:31</t>
  </si>
  <si>
    <t>10:47:55</t>
  </si>
  <si>
    <t>10:43:14</t>
  </si>
  <si>
    <t>00:19:17</t>
  </si>
  <si>
    <t>11:14:17</t>
  </si>
  <si>
    <t>20:48:28</t>
  </si>
  <si>
    <t>10:54:32</t>
  </si>
  <si>
    <t>18:45:08</t>
  </si>
  <si>
    <t>10:41:45</t>
  </si>
  <si>
    <t>10:49:04</t>
  </si>
  <si>
    <t>22:50:02</t>
  </si>
  <si>
    <t>12:13:32</t>
  </si>
  <si>
    <t>10:46:32</t>
  </si>
  <si>
    <t>17:36:32</t>
  </si>
  <si>
    <t>19:50:20</t>
  </si>
  <si>
    <t>15:27:32</t>
  </si>
  <si>
    <t>11:09:36</t>
  </si>
  <si>
    <t>23:52:57</t>
  </si>
  <si>
    <t>21:15:46</t>
  </si>
  <si>
    <t>23:03:37</t>
  </si>
  <si>
    <t>20:44:14</t>
  </si>
  <si>
    <t>03:19:26</t>
  </si>
  <si>
    <t>21:58:00</t>
  </si>
  <si>
    <t>22:07:00</t>
  </si>
  <si>
    <t>23:20:00</t>
  </si>
  <si>
    <t>23:21:53</t>
  </si>
  <si>
    <t>14:06:28</t>
  </si>
  <si>
    <t>22:29:37</t>
  </si>
  <si>
    <t>21:31:31</t>
  </si>
  <si>
    <t>23:30:12</t>
  </si>
  <si>
    <t>23:30:19</t>
  </si>
  <si>
    <t>23:30:18</t>
  </si>
  <si>
    <t>23:30:11</t>
  </si>
  <si>
    <t>23:32:23</t>
  </si>
  <si>
    <t>23:30:16</t>
  </si>
  <si>
    <t>20:10:01</t>
  </si>
  <si>
    <t>23:38:31</t>
  </si>
  <si>
    <t>23:30:15</t>
  </si>
  <si>
    <t>23:30:14</t>
  </si>
  <si>
    <t>23:30:13</t>
  </si>
  <si>
    <t>16:45:08</t>
  </si>
  <si>
    <t>23:34:29</t>
  </si>
  <si>
    <t>16:45:06</t>
  </si>
  <si>
    <t>17:07:17</t>
  </si>
  <si>
    <t>23:32:24</t>
  </si>
  <si>
    <t>23:33:01</t>
  </si>
  <si>
    <t>23:32:55</t>
  </si>
  <si>
    <t>23:30:17</t>
  </si>
  <si>
    <t>23:31:13</t>
  </si>
  <si>
    <t>23:30:10</t>
  </si>
  <si>
    <t>00:36:23</t>
  </si>
  <si>
    <t>23:35:01</t>
  </si>
  <si>
    <t>23:36:02</t>
  </si>
  <si>
    <t>23:31:29</t>
  </si>
  <si>
    <t>23:30:25</t>
  </si>
  <si>
    <t>23:34:26</t>
  </si>
  <si>
    <t>23:58:53</t>
  </si>
  <si>
    <t>02:05:41</t>
  </si>
  <si>
    <t>16:45:13</t>
  </si>
  <si>
    <t>16:45:26</t>
  </si>
  <si>
    <t>23:32:41</t>
  </si>
  <si>
    <t>16:45:14</t>
  </si>
  <si>
    <t>16:45:09</t>
  </si>
  <si>
    <t>23:30:40</t>
  </si>
  <si>
    <t>16:45:11</t>
  </si>
  <si>
    <t>23:34:56</t>
  </si>
  <si>
    <t>23:38:05</t>
  </si>
  <si>
    <t>23:33:05</t>
  </si>
  <si>
    <t>23:32:53</t>
  </si>
  <si>
    <t>01:04:31</t>
  </si>
  <si>
    <t>00:10:05</t>
  </si>
  <si>
    <t>23:37:05</t>
  </si>
  <si>
    <t>23:31:05</t>
  </si>
  <si>
    <t>23:38:07</t>
  </si>
  <si>
    <t>23:30:20</t>
  </si>
  <si>
    <t>02:12:59</t>
  </si>
  <si>
    <t>18:34:48</t>
  </si>
  <si>
    <t>17:20:42</t>
  </si>
  <si>
    <t>17:20:38</t>
  </si>
  <si>
    <t>18:40:49</t>
  </si>
  <si>
    <t>23:59:07</t>
  </si>
  <si>
    <t>23:34:39</t>
  </si>
  <si>
    <t>23:34:38</t>
  </si>
  <si>
    <t>23:32:58</t>
  </si>
  <si>
    <t>23:32:29</t>
  </si>
  <si>
    <t>23:32:28</t>
  </si>
  <si>
    <t>23:30:21</t>
  </si>
  <si>
    <t>13:53:14</t>
  </si>
  <si>
    <t>22:17:42</t>
  </si>
  <si>
    <t>21:54:09</t>
  </si>
  <si>
    <t>18:30:00</t>
  </si>
  <si>
    <t>21:25:10</t>
  </si>
  <si>
    <t>17:06:45</t>
  </si>
  <si>
    <t>04:40:06</t>
  </si>
  <si>
    <t>11:58:13</t>
  </si>
  <si>
    <t>13:51:48</t>
  </si>
  <si>
    <t>13:40:00</t>
  </si>
  <si>
    <t>00:00:37</t>
  </si>
  <si>
    <t>15:00:02</t>
  </si>
  <si>
    <t>14:05:49</t>
  </si>
  <si>
    <t>14:15:40</t>
  </si>
  <si>
    <t>09:00:01</t>
  </si>
  <si>
    <t>08:01:00</t>
  </si>
  <si>
    <t>19:18:07</t>
  </si>
  <si>
    <t>19:04:56</t>
  </si>
  <si>
    <t>18:46:25</t>
  </si>
  <si>
    <t>19:17:41</t>
  </si>
  <si>
    <t>18:35:12</t>
  </si>
  <si>
    <t>19:23:46</t>
  </si>
  <si>
    <t>19:10:24</t>
  </si>
  <si>
    <t>17:43:16</t>
  </si>
  <si>
    <t>18:11:49</t>
  </si>
  <si>
    <t>17:23:23</t>
  </si>
  <si>
    <t>14:27:04</t>
  </si>
  <si>
    <t>20:18:44</t>
  </si>
  <si>
    <t>14:35:53</t>
  </si>
  <si>
    <t>14:13:01</t>
  </si>
  <si>
    <t>14:23:53</t>
  </si>
  <si>
    <t>16:46:10</t>
  </si>
  <si>
    <t>18:04:22</t>
  </si>
  <si>
    <t>13:52:59</t>
  </si>
  <si>
    <t>13:00:53</t>
  </si>
  <si>
    <t>14:45:00</t>
  </si>
  <si>
    <t>14:24:53</t>
  </si>
  <si>
    <t>14:44:15</t>
  </si>
  <si>
    <t>12:33:24</t>
  </si>
  <si>
    <t>12:06:24</t>
  </si>
  <si>
    <t>12:06:40</t>
  </si>
  <si>
    <t>12:02:47</t>
  </si>
  <si>
    <t>17:21:14</t>
  </si>
  <si>
    <t>17:00:43</t>
  </si>
  <si>
    <t>12:00:47</t>
  </si>
  <si>
    <t>12:01:00</t>
  </si>
  <si>
    <t>14:01:21</t>
  </si>
  <si>
    <t>15:00:48</t>
  </si>
  <si>
    <t>16:01:18</t>
  </si>
  <si>
    <t>12:00:56</t>
  </si>
  <si>
    <t>14:01:15</t>
  </si>
  <si>
    <t>16:01:12</t>
  </si>
  <si>
    <t>14:01:11</t>
  </si>
  <si>
    <t>15:01:08</t>
  </si>
  <si>
    <t>10:00:39</t>
  </si>
  <si>
    <t>14:01:18</t>
  </si>
  <si>
    <t>13:41:06</t>
  </si>
  <si>
    <t>17:36:26</t>
  </si>
  <si>
    <t>17:16:03</t>
  </si>
  <si>
    <t>10:01:31</t>
  </si>
  <si>
    <t>11:41:27</t>
  </si>
  <si>
    <t>10:41:14</t>
  </si>
  <si>
    <t>13:10:48</t>
  </si>
  <si>
    <t>10:25:42</t>
  </si>
  <si>
    <t>09:26:14</t>
  </si>
  <si>
    <t>11:25:37</t>
  </si>
  <si>
    <t>10:27:32</t>
  </si>
  <si>
    <t>12:10:16</t>
  </si>
  <si>
    <t>09:51:14</t>
  </si>
  <si>
    <t>17:40:19</t>
  </si>
  <si>
    <t>09:50:44</t>
  </si>
  <si>
    <t>12:31:56</t>
  </si>
  <si>
    <t>10:45:43</t>
  </si>
  <si>
    <t>09:40:59</t>
  </si>
  <si>
    <t>10:00:56</t>
  </si>
  <si>
    <t>00:36:09</t>
  </si>
  <si>
    <t>11:50:40</t>
  </si>
  <si>
    <t>09:41:05</t>
  </si>
  <si>
    <t>10:55:05</t>
  </si>
  <si>
    <t>11:03:38</t>
  </si>
  <si>
    <t>11:21:17</t>
  </si>
  <si>
    <t>11:16:39</t>
  </si>
  <si>
    <t>10:30:39</t>
  </si>
  <si>
    <t>11:15:19</t>
  </si>
  <si>
    <t>12:45:07</t>
  </si>
  <si>
    <t>11:10:08</t>
  </si>
  <si>
    <t>12:06:46</t>
  </si>
  <si>
    <t>09:47:56</t>
  </si>
  <si>
    <t>21:36:55</t>
  </si>
  <si>
    <t>09:51:10</t>
  </si>
  <si>
    <t>09:55:24</t>
  </si>
  <si>
    <t>12:30:36</t>
  </si>
  <si>
    <t>19:51:47</t>
  </si>
  <si>
    <t>11:45:55</t>
  </si>
  <si>
    <t>09:35:32</t>
  </si>
  <si>
    <t>01:04:32</t>
  </si>
  <si>
    <t>14:11:47</t>
  </si>
  <si>
    <t>20:37:37</t>
  </si>
  <si>
    <t>14:57:22</t>
  </si>
  <si>
    <t>14:46:23</t>
  </si>
  <si>
    <t>18:10:14</t>
  </si>
  <si>
    <t>22:34:06</t>
  </si>
  <si>
    <t>05:37:05</t>
  </si>
  <si>
    <t>07:30:59</t>
  </si>
  <si>
    <t>20:27:04</t>
  </si>
  <si>
    <t>17:46:30</t>
  </si>
  <si>
    <t>14:29:29</t>
  </si>
  <si>
    <t>13:50:28</t>
  </si>
  <si>
    <t>16:18:21</t>
  </si>
  <si>
    <t>18:40:08</t>
  </si>
  <si>
    <t>18:02:45</t>
  </si>
  <si>
    <t>16:49:13</t>
  </si>
  <si>
    <t>10:49:17</t>
  </si>
  <si>
    <t>09:32:45</t>
  </si>
  <si>
    <t>09:17:07</t>
  </si>
  <si>
    <t>17:10:07</t>
  </si>
  <si>
    <t>17:21:55</t>
  </si>
  <si>
    <t>14:13:21</t>
  </si>
  <si>
    <t>13:13:01</t>
  </si>
  <si>
    <t>11:12:06</t>
  </si>
  <si>
    <t>12:32:04</t>
  </si>
  <si>
    <t>11:10:10</t>
  </si>
  <si>
    <t>17:11:54</t>
  </si>
  <si>
    <t>15:02:05</t>
  </si>
  <si>
    <t>14:17:53</t>
  </si>
  <si>
    <t>13:02:08</t>
  </si>
  <si>
    <t>15:11:10</t>
  </si>
  <si>
    <t>13:14:01</t>
  </si>
  <si>
    <t>12:27:57</t>
  </si>
  <si>
    <t>21:08:24</t>
  </si>
  <si>
    <t>16:35:34</t>
  </si>
  <si>
    <t>20:26:22</t>
  </si>
  <si>
    <t>16:45:20</t>
  </si>
  <si>
    <t>11:28:42</t>
  </si>
  <si>
    <t>11:09:30</t>
  </si>
  <si>
    <t>11:10:15</t>
  </si>
  <si>
    <t>09:12:11</t>
  </si>
  <si>
    <t>16:10:03</t>
  </si>
  <si>
    <t>11:34:46</t>
  </si>
  <si>
    <t>12:36:11</t>
  </si>
  <si>
    <t>10:28:54</t>
  </si>
  <si>
    <t>09:59:01</t>
  </si>
  <si>
    <t>16:46:09</t>
  </si>
  <si>
    <t>11:56:07</t>
  </si>
  <si>
    <t>10:23:44</t>
  </si>
  <si>
    <t>16:28:04</t>
  </si>
  <si>
    <t>10:17:35</t>
  </si>
  <si>
    <t>15:04:52</t>
  </si>
  <si>
    <t>12:30:49</t>
  </si>
  <si>
    <t>11:10:59</t>
  </si>
  <si>
    <t>22:24:15</t>
  </si>
  <si>
    <t>20:49:07</t>
  </si>
  <si>
    <t>15:18:16</t>
  </si>
  <si>
    <t>14:04:32</t>
  </si>
  <si>
    <t>12:25:41</t>
  </si>
  <si>
    <t>11:47:27</t>
  </si>
  <si>
    <t>11:23:26</t>
  </si>
  <si>
    <t>09:04:07</t>
  </si>
  <si>
    <t>11:12:45</t>
  </si>
  <si>
    <t>09:48:08</t>
  </si>
  <si>
    <t>09:12:07</t>
  </si>
  <si>
    <t>22:36:46</t>
  </si>
  <si>
    <t>12:37:17</t>
  </si>
  <si>
    <t>12:17:02</t>
  </si>
  <si>
    <t>11:13:45</t>
  </si>
  <si>
    <t>09:28:52</t>
  </si>
  <si>
    <t>22:46:29</t>
  </si>
  <si>
    <t>19:26:09</t>
  </si>
  <si>
    <t>12:12:42</t>
  </si>
  <si>
    <t>12:27:30</t>
  </si>
  <si>
    <t>10:39:04</t>
  </si>
  <si>
    <t>13:32:13</t>
  </si>
  <si>
    <t>12:29:09</t>
  </si>
  <si>
    <t>10:33:40</t>
  </si>
  <si>
    <t>17:45:47</t>
  </si>
  <si>
    <t>15:34:00</t>
  </si>
  <si>
    <t>18:59:09</t>
  </si>
  <si>
    <t>16:54:20</t>
  </si>
  <si>
    <t>15:01:06</t>
  </si>
  <si>
    <t>13:53:42</t>
  </si>
  <si>
    <t>10:23:27</t>
  </si>
  <si>
    <t>23:22:43</t>
  </si>
  <si>
    <t>23:03:23</t>
  </si>
  <si>
    <t>17:49:05</t>
  </si>
  <si>
    <t>17:31:44</t>
  </si>
  <si>
    <t>16:18:57</t>
  </si>
  <si>
    <t>11:59:27</t>
  </si>
  <si>
    <t>09:33:05</t>
  </si>
  <si>
    <t>16:00:27</t>
  </si>
  <si>
    <t>23:03:12</t>
  </si>
  <si>
    <t>22:52:28</t>
  </si>
  <si>
    <t>17:27:57</t>
  </si>
  <si>
    <t>16:10:11</t>
  </si>
  <si>
    <t>11:20:34</t>
  </si>
  <si>
    <t>10:06:06</t>
  </si>
  <si>
    <t>12:18:29</t>
  </si>
  <si>
    <t>10:36:17</t>
  </si>
  <si>
    <t>17:26:10</t>
  </si>
  <si>
    <t>17:46:37</t>
  </si>
  <si>
    <t>16:20:14</t>
  </si>
  <si>
    <t>15:17:08</t>
  </si>
  <si>
    <t>14:39:22</t>
  </si>
  <si>
    <t>11:06:25</t>
  </si>
  <si>
    <t>19:32:10</t>
  </si>
  <si>
    <t>17:57:46</t>
  </si>
  <si>
    <t>09:04:23</t>
  </si>
  <si>
    <t>18:04:07</t>
  </si>
  <si>
    <t>11:20:38</t>
  </si>
  <si>
    <t>16:55:59</t>
  </si>
  <si>
    <t>13:21:01</t>
  </si>
  <si>
    <t>19:32:09</t>
  </si>
  <si>
    <t>18:22:07</t>
  </si>
  <si>
    <t>16:36:56</t>
  </si>
  <si>
    <t>14:22:57</t>
  </si>
  <si>
    <t>10:59:27</t>
  </si>
  <si>
    <t>22:44:39</t>
  </si>
  <si>
    <t>14:26:51</t>
  </si>
  <si>
    <t>11:33:41</t>
  </si>
  <si>
    <t>09:10:04</t>
  </si>
  <si>
    <t>17:05:48</t>
  </si>
  <si>
    <t>11:34:44</t>
  </si>
  <si>
    <t>16:30:12</t>
  </si>
  <si>
    <t>11:09:28</t>
  </si>
  <si>
    <t>18:33:00</t>
  </si>
  <si>
    <t>16:37:42</t>
  </si>
  <si>
    <t>15:18:26</t>
  </si>
  <si>
    <t>10:50:08</t>
  </si>
  <si>
    <t>18:01:45</t>
  </si>
  <si>
    <t>16:41:32</t>
  </si>
  <si>
    <t>15:39:00</t>
  </si>
  <si>
    <t>10:28:55</t>
  </si>
  <si>
    <t>12:19:03</t>
  </si>
  <si>
    <t>18:42:19</t>
  </si>
  <si>
    <t>15:56:00</t>
  </si>
  <si>
    <t>13:00:12</t>
  </si>
  <si>
    <t>11:11:48</t>
  </si>
  <si>
    <t>15:08:21</t>
  </si>
  <si>
    <t>09:03:44</t>
  </si>
  <si>
    <t>20:03:21</t>
  </si>
  <si>
    <t>11:00:56</t>
  </si>
  <si>
    <t>12:04:02</t>
  </si>
  <si>
    <t>20:45:13</t>
  </si>
  <si>
    <t>20:08:15</t>
  </si>
  <si>
    <t>19:45:07</t>
  </si>
  <si>
    <t>16:42:03</t>
  </si>
  <si>
    <t>22:59:08</t>
  </si>
  <si>
    <t>22:15:06</t>
  </si>
  <si>
    <t>23:07:07</t>
  </si>
  <si>
    <t>10:27:06</t>
  </si>
  <si>
    <t>16:02:47</t>
  </si>
  <si>
    <t>10:29:12</t>
  </si>
  <si>
    <t>15:20:13</t>
  </si>
  <si>
    <t>14:01:08</t>
  </si>
  <si>
    <t>15:44:57</t>
  </si>
  <si>
    <t>12:27:15</t>
  </si>
  <si>
    <t>10:31:39</t>
  </si>
  <si>
    <t>13:31:06</t>
  </si>
  <si>
    <t>10:40:18</t>
  </si>
  <si>
    <t>10:30:09</t>
  </si>
  <si>
    <t>09:01:06</t>
  </si>
  <si>
    <t>20:33:18</t>
  </si>
  <si>
    <t>16:19:34</t>
  </si>
  <si>
    <t>11:03:23</t>
  </si>
  <si>
    <t>09:21:00</t>
  </si>
  <si>
    <t>16:31:17</t>
  </si>
  <si>
    <t>19:48:58</t>
  </si>
  <si>
    <t>17:08:03</t>
  </si>
  <si>
    <t>16:11:43</t>
  </si>
  <si>
    <t>20:29:05</t>
  </si>
  <si>
    <t>16:01:39</t>
  </si>
  <si>
    <t>14:06:37</t>
  </si>
  <si>
    <t>11:54:20</t>
  </si>
  <si>
    <t>10:31:58</t>
  </si>
  <si>
    <t>19:24:26</t>
  </si>
  <si>
    <t>16:03:27</t>
  </si>
  <si>
    <t>14:42:54</t>
  </si>
  <si>
    <t>17:31:07</t>
  </si>
  <si>
    <t>16:45:24</t>
  </si>
  <si>
    <t>12:42:08</t>
  </si>
  <si>
    <t>11:12:03</t>
  </si>
  <si>
    <t>11:04:49</t>
  </si>
  <si>
    <t>17:29:55</t>
  </si>
  <si>
    <t>19:29:23</t>
  </si>
  <si>
    <t>17:40:01</t>
  </si>
  <si>
    <t>15:11:05</t>
  </si>
  <si>
    <t>14:17:46</t>
  </si>
  <si>
    <t>12:31:48</t>
  </si>
  <si>
    <t>11:52:06</t>
  </si>
  <si>
    <t>22:19:31</t>
  </si>
  <si>
    <t>19:12:17</t>
  </si>
  <si>
    <t>16:10:59</t>
  </si>
  <si>
    <t>14:33:04</t>
  </si>
  <si>
    <t>12:17:38</t>
  </si>
  <si>
    <t>13:34:20</t>
  </si>
  <si>
    <t>12:06:52</t>
  </si>
  <si>
    <t>09:17:52</t>
  </si>
  <si>
    <t>15:08:18</t>
  </si>
  <si>
    <t>09:44:59</t>
  </si>
  <si>
    <t>22:38:33</t>
  </si>
  <si>
    <t>21:57:32</t>
  </si>
  <si>
    <t>21:30:59</t>
  </si>
  <si>
    <t>19:13:09</t>
  </si>
  <si>
    <t>17:03:04</t>
  </si>
  <si>
    <t>15:25:00</t>
  </si>
  <si>
    <t>13:33:05</t>
  </si>
  <si>
    <t>16:35:19</t>
  </si>
  <si>
    <t>10:30:31</t>
  </si>
  <si>
    <t>18:25:09</t>
  </si>
  <si>
    <t>13:44:21</t>
  </si>
  <si>
    <t>10:44:05</t>
  </si>
  <si>
    <t>20:33:05</t>
  </si>
  <si>
    <t>19:07:34</t>
  </si>
  <si>
    <t>16:45:34</t>
  </si>
  <si>
    <t>14:47:00</t>
  </si>
  <si>
    <t>13:49:24</t>
  </si>
  <si>
    <t>12:40:38</t>
  </si>
  <si>
    <t>20:45:26</t>
  </si>
  <si>
    <t>18:54:51</t>
  </si>
  <si>
    <t>15:20:58</t>
  </si>
  <si>
    <t>10:45:02</t>
  </si>
  <si>
    <t>09:07:08</t>
  </si>
  <si>
    <t>21:37:48</t>
  </si>
  <si>
    <t>21:17:49</t>
  </si>
  <si>
    <t>17:03:16</t>
  </si>
  <si>
    <t>13:14:55</t>
  </si>
  <si>
    <t>12:25:53</t>
  </si>
  <si>
    <t>10:29:52</t>
  </si>
  <si>
    <t>12:04:08</t>
  </si>
  <si>
    <t>10:31:45</t>
  </si>
  <si>
    <t>20:04:50</t>
  </si>
  <si>
    <t>11:59:54</t>
  </si>
  <si>
    <t>16:31:33</t>
  </si>
  <si>
    <t>15:16:06</t>
  </si>
  <si>
    <t>11:03:06</t>
  </si>
  <si>
    <t>09:12:06</t>
  </si>
  <si>
    <t>22:13:43</t>
  </si>
  <si>
    <t>17:47:41</t>
  </si>
  <si>
    <t>16:31:29</t>
  </si>
  <si>
    <t>14:42:11</t>
  </si>
  <si>
    <t>13:23:14</t>
  </si>
  <si>
    <t>11:12:57</t>
  </si>
  <si>
    <t>23:07:04</t>
  </si>
  <si>
    <t>18:56:01</t>
  </si>
  <si>
    <t>11:04:08</t>
  </si>
  <si>
    <t>14:29:03</t>
  </si>
  <si>
    <t>11:12:33</t>
  </si>
  <si>
    <t>22:33:44</t>
  </si>
  <si>
    <t>20:57:51</t>
  </si>
  <si>
    <t>20:36:25</t>
  </si>
  <si>
    <t>16:43:59</t>
  </si>
  <si>
    <t>14:49:04</t>
  </si>
  <si>
    <t>12:51:33</t>
  </si>
  <si>
    <t>11:16:17</t>
  </si>
  <si>
    <t>09:50:08</t>
  </si>
  <si>
    <t>16:17:50</t>
  </si>
  <si>
    <t>13:47:28</t>
  </si>
  <si>
    <t>17:11:08</t>
  </si>
  <si>
    <t>14:29:07</t>
  </si>
  <si>
    <t>12:02:02</t>
  </si>
  <si>
    <t>10:45:29</t>
  </si>
  <si>
    <t>21:31:35</t>
  </si>
  <si>
    <t>16:10:51</t>
  </si>
  <si>
    <t>20:27:09</t>
  </si>
  <si>
    <t>20:02:14</t>
  </si>
  <si>
    <t>18:24:19</t>
  </si>
  <si>
    <t>19:06:28</t>
  </si>
  <si>
    <t>13:54:02</t>
  </si>
  <si>
    <t>11:45:44</t>
  </si>
  <si>
    <t>16:24:15</t>
  </si>
  <si>
    <t>18:31:11</t>
  </si>
  <si>
    <t>10:59:11</t>
  </si>
  <si>
    <t>10:39:20</t>
  </si>
  <si>
    <t>23:13:26</t>
  </si>
  <si>
    <t>21:50:15</t>
  </si>
  <si>
    <t>18:21:59</t>
  </si>
  <si>
    <t>18:14:04</t>
  </si>
  <si>
    <t>17:59:57</t>
  </si>
  <si>
    <t>15:51:55</t>
  </si>
  <si>
    <t>10:21:32</t>
  </si>
  <si>
    <t>23:03:53</t>
  </si>
  <si>
    <t>19:30:34</t>
  </si>
  <si>
    <t>17:08:27</t>
  </si>
  <si>
    <t>10:30:38</t>
  </si>
  <si>
    <t>09:57:07</t>
  </si>
  <si>
    <t>19:55:15</t>
  </si>
  <si>
    <t>18:06:12</t>
  </si>
  <si>
    <t>17:04:39</t>
  </si>
  <si>
    <t>13:15:59</t>
  </si>
  <si>
    <t>10:24:16</t>
  </si>
  <si>
    <t>09:07:13</t>
  </si>
  <si>
    <t>18:34:36</t>
  </si>
  <si>
    <t>16:22:07</t>
  </si>
  <si>
    <t>14:47:14</t>
  </si>
  <si>
    <t>10:29:51</t>
  </si>
  <si>
    <t>10:04:07</t>
  </si>
  <si>
    <t>22:12:01</t>
  </si>
  <si>
    <t>13:41:11</t>
  </si>
  <si>
    <t>12:47:02</t>
  </si>
  <si>
    <t>11:32:01</t>
  </si>
  <si>
    <t>11:12:07</t>
  </si>
  <si>
    <t>23:04:03</t>
  </si>
  <si>
    <t>20:35:57</t>
  </si>
  <si>
    <t>16:57:06</t>
  </si>
  <si>
    <t>23:03:46</t>
  </si>
  <si>
    <t>15:04:39</t>
  </si>
  <si>
    <t>13:32:40</t>
  </si>
  <si>
    <t>11:11:45</t>
  </si>
  <si>
    <t>09:42:55</t>
  </si>
  <si>
    <t>16:55:52</t>
  </si>
  <si>
    <t>22:56:06</t>
  </si>
  <si>
    <t>14:27:51</t>
  </si>
  <si>
    <t>12:57:48</t>
  </si>
  <si>
    <t>15:53:06</t>
  </si>
  <si>
    <t>15:08:25</t>
  </si>
  <si>
    <t>11:09:05</t>
  </si>
  <si>
    <t>09:13:06</t>
  </si>
  <si>
    <t>10:46:48</t>
  </si>
  <si>
    <t>10:40:11</t>
  </si>
  <si>
    <t>09:29:09</t>
  </si>
  <si>
    <t>19:50:32</t>
  </si>
  <si>
    <t>19:46:02</t>
  </si>
  <si>
    <t>16:20:27</t>
  </si>
  <si>
    <t>13:06:44</t>
  </si>
  <si>
    <t>11:48:02</t>
  </si>
  <si>
    <t>10:29:34</t>
  </si>
  <si>
    <t>18:09:56</t>
  </si>
  <si>
    <t>18:43:58</t>
  </si>
  <si>
    <t>13:41:57</t>
  </si>
  <si>
    <t>18:03:38</t>
  </si>
  <si>
    <t>11:18:55</t>
  </si>
  <si>
    <t>09:09:01</t>
  </si>
  <si>
    <t>16:46:30</t>
  </si>
  <si>
    <t>11:24:09</t>
  </si>
  <si>
    <t>17:03:07</t>
  </si>
  <si>
    <t>14:52:55</t>
  </si>
  <si>
    <t>13:04:18</t>
  </si>
  <si>
    <t>11:11:39</t>
  </si>
  <si>
    <t>13:40:02</t>
  </si>
  <si>
    <t>10:24:57</t>
  </si>
  <si>
    <t>09:38:02</t>
  </si>
  <si>
    <t>21:58:10</t>
  </si>
  <si>
    <t>17:37:24</t>
  </si>
  <si>
    <t>16:20:42</t>
  </si>
  <si>
    <t>10:19:44</t>
  </si>
  <si>
    <t>16:00:22</t>
  </si>
  <si>
    <t>15:05:11</t>
  </si>
  <si>
    <t>13:09:10</t>
  </si>
  <si>
    <t>10:41:57</t>
  </si>
  <si>
    <t>16:26:08</t>
  </si>
  <si>
    <t>14:06:48</t>
  </si>
  <si>
    <t>11:51:11</t>
  </si>
  <si>
    <t>11:06:07</t>
  </si>
  <si>
    <t>09:07:51</t>
  </si>
  <si>
    <t>23:02:10</t>
  </si>
  <si>
    <t>19:05:27</t>
  </si>
  <si>
    <t>17:24:35</t>
  </si>
  <si>
    <t>16:46:17</t>
  </si>
  <si>
    <t>00:33:32</t>
  </si>
  <si>
    <t>18:01:07</t>
  </si>
  <si>
    <t>19:23:10</t>
  </si>
  <si>
    <t>23:16:36</t>
  </si>
  <si>
    <t>23:15:17</t>
  </si>
  <si>
    <t>13:58:57</t>
  </si>
  <si>
    <t>13:26:25</t>
  </si>
  <si>
    <t>22:37:56</t>
  </si>
  <si>
    <t>21:21:21</t>
  </si>
  <si>
    <t>19:20:50</t>
  </si>
  <si>
    <t>18:51:49</t>
  </si>
  <si>
    <t>10:58:05</t>
  </si>
  <si>
    <t>19:45:18</t>
  </si>
  <si>
    <t>18:05:13</t>
  </si>
  <si>
    <t>13:18:37</t>
  </si>
  <si>
    <t>22:40:55</t>
  </si>
  <si>
    <t>18:34:18</t>
  </si>
  <si>
    <t>15:30:47</t>
  </si>
  <si>
    <t>21:39:42</t>
  </si>
  <si>
    <t>10:49:46</t>
  </si>
  <si>
    <t>10:01:46</t>
  </si>
  <si>
    <t>00:29:05</t>
  </si>
  <si>
    <t>18:12:46</t>
  </si>
  <si>
    <t>00:52:39</t>
  </si>
  <si>
    <t>00:37:38</t>
  </si>
  <si>
    <t>20:22:22</t>
  </si>
  <si>
    <t>18:22:30</t>
  </si>
  <si>
    <t>20:12:46</t>
  </si>
  <si>
    <t>19:12:31</t>
  </si>
  <si>
    <t>22:02:14</t>
  </si>
  <si>
    <t>22:06:36</t>
  </si>
  <si>
    <t>18:12:32</t>
  </si>
  <si>
    <t>14:19:01</t>
  </si>
  <si>
    <t>18:28:42</t>
  </si>
  <si>
    <t>21:00:00</t>
  </si>
  <si>
    <t>15:59:15</t>
  </si>
  <si>
    <t>15:08:26</t>
  </si>
  <si>
    <t>18:52:02</t>
  </si>
  <si>
    <t>11:38:27</t>
  </si>
  <si>
    <t>13:01:33</t>
  </si>
  <si>
    <t>13:42:58</t>
  </si>
  <si>
    <t>13:11:27</t>
  </si>
  <si>
    <t>17:00:39</t>
  </si>
  <si>
    <t>13:00:36</t>
  </si>
  <si>
    <t>12:00:51</t>
  </si>
  <si>
    <t>16:01:02</t>
  </si>
  <si>
    <t>19:00:45</t>
  </si>
  <si>
    <t>13:02:39</t>
  </si>
  <si>
    <t>15:00:30</t>
  </si>
  <si>
    <t>19:01:25</t>
  </si>
  <si>
    <t>17:00:41</t>
  </si>
  <si>
    <t>17:00:40</t>
  </si>
  <si>
    <t>20:00:37</t>
  </si>
  <si>
    <t>13:00:43</t>
  </si>
  <si>
    <t>14:30:08</t>
  </si>
  <si>
    <t>09:51:50</t>
  </si>
  <si>
    <t>21:08:46</t>
  </si>
  <si>
    <t>21:08:22</t>
  </si>
  <si>
    <t>13:46:19</t>
  </si>
  <si>
    <t>21:03:33</t>
  </si>
  <si>
    <t>06:32:42</t>
  </si>
  <si>
    <t>14:12:06</t>
  </si>
  <si>
    <t>12:38:28</t>
  </si>
  <si>
    <t>12:18:14</t>
  </si>
  <si>
    <t>10:00:21</t>
  </si>
  <si>
    <t>00:34:34</t>
  </si>
  <si>
    <t>12:51:07</t>
  </si>
  <si>
    <t>20:08:07</t>
  </si>
  <si>
    <t>21:26:10</t>
  </si>
  <si>
    <t>22:24:34</t>
  </si>
  <si>
    <t>16:02:07</t>
  </si>
  <si>
    <t>21:32:06</t>
  </si>
  <si>
    <t>17:15:33</t>
  </si>
  <si>
    <t>09:15:05</t>
  </si>
  <si>
    <t>20:18:13</t>
  </si>
  <si>
    <t>23:20:08</t>
  </si>
  <si>
    <t>15:00:54</t>
  </si>
  <si>
    <t>19:40:13</t>
  </si>
  <si>
    <t>00:00:38</t>
  </si>
  <si>
    <t>23:00:45</t>
  </si>
  <si>
    <t>13:02:46</t>
  </si>
  <si>
    <t>21:07:56</t>
  </si>
  <si>
    <t>22:08:00</t>
  </si>
  <si>
    <t>09:22:38</t>
  </si>
  <si>
    <t>19:18:41</t>
  </si>
  <si>
    <t>13:41:29</t>
  </si>
  <si>
    <t>21:59:52</t>
  </si>
  <si>
    <t>15:03:53</t>
  </si>
  <si>
    <t>12:13:59</t>
  </si>
  <si>
    <t>19:29:00</t>
  </si>
  <si>
    <t>19:22:50</t>
  </si>
  <si>
    <t>17:51:00</t>
  </si>
  <si>
    <t>13:30:04</t>
  </si>
  <si>
    <t>22:26:02</t>
  </si>
  <si>
    <t>03:38:24</t>
  </si>
  <si>
    <t>19:09:32</t>
  </si>
  <si>
    <t>19:24:12</t>
  </si>
  <si>
    <t>12:47:55</t>
  </si>
  <si>
    <t>17:25:00</t>
  </si>
  <si>
    <t>17:30:18</t>
  </si>
  <si>
    <t>15:18:39</t>
  </si>
  <si>
    <t>15:45:51</t>
  </si>
  <si>
    <t>19:30:45</t>
  </si>
  <si>
    <t>20:24:12</t>
  </si>
  <si>
    <t>18:53:11</t>
  </si>
  <si>
    <t>19:20:36</t>
  </si>
  <si>
    <t>10:28:13</t>
  </si>
  <si>
    <t>15:33:44</t>
  </si>
  <si>
    <t>11:31:20</t>
  </si>
  <si>
    <t>20:10:46</t>
  </si>
  <si>
    <t>17:39:55</t>
  </si>
  <si>
    <t>01:25:37</t>
  </si>
  <si>
    <t>14:41:21</t>
  </si>
  <si>
    <t>17:13:08</t>
  </si>
  <si>
    <t>22:25:15</t>
  </si>
  <si>
    <t>13:43:52</t>
  </si>
  <si>
    <t>13:55:39</t>
  </si>
  <si>
    <t>18:10:31</t>
  </si>
  <si>
    <t>20:15:35</t>
  </si>
  <si>
    <t>22:10:39</t>
  </si>
  <si>
    <t>14:43:30</t>
  </si>
  <si>
    <t>20:12:20</t>
  </si>
  <si>
    <t>10:53:12</t>
  </si>
  <si>
    <t>07:56:06</t>
  </si>
  <si>
    <t>21:01:29</t>
  </si>
  <si>
    <t>15:00:19</t>
  </si>
  <si>
    <t>21:00:42</t>
  </si>
  <si>
    <t>21:36:59</t>
  </si>
  <si>
    <t>21:00:13</t>
  </si>
  <si>
    <t>21:43:52</t>
  </si>
  <si>
    <t>21:35:34</t>
  </si>
  <si>
    <t>22:05:34</t>
  </si>
  <si>
    <t>23:01:36</t>
  </si>
  <si>
    <t>15:04:57</t>
  </si>
  <si>
    <t>03:46:17</t>
  </si>
  <si>
    <t>03:43:46</t>
  </si>
  <si>
    <t>20:45:46</t>
  </si>
  <si>
    <t>12:13:01</t>
  </si>
  <si>
    <t>12:12:37</t>
  </si>
  <si>
    <t>21:15:38</t>
  </si>
  <si>
    <t>21:25:59</t>
  </si>
  <si>
    <t>10:12:06</t>
  </si>
  <si>
    <t>10:11:43</t>
  </si>
  <si>
    <t>10:11:25</t>
  </si>
  <si>
    <t>21:57:19</t>
  </si>
  <si>
    <t>21:19:11</t>
  </si>
  <si>
    <t>09:46:02</t>
  </si>
  <si>
    <t>09:44:57</t>
  </si>
  <si>
    <t>09:44:40</t>
  </si>
  <si>
    <t>21:14:14</t>
  </si>
  <si>
    <t>10:00:18</t>
  </si>
  <si>
    <t>09:59:56</t>
  </si>
  <si>
    <t>09:59:06</t>
  </si>
  <si>
    <t>20:52:35</t>
  </si>
  <si>
    <t>22:12:07</t>
  </si>
  <si>
    <t>09:10:35</t>
  </si>
  <si>
    <t>09:10:13</t>
  </si>
  <si>
    <t>09:09:56</t>
  </si>
  <si>
    <t>21:17:08</t>
  </si>
  <si>
    <t>09:31:28</t>
  </si>
  <si>
    <t>09:31:03</t>
  </si>
  <si>
    <t>09:30:44</t>
  </si>
  <si>
    <t>20:57:06</t>
  </si>
  <si>
    <t>11:48:23</t>
  </si>
  <si>
    <t>12:47:51</t>
  </si>
  <si>
    <t>12:52:40</t>
  </si>
  <si>
    <t>12:52:18</t>
  </si>
  <si>
    <t>09:41:22</t>
  </si>
  <si>
    <t>09:00:50</t>
  </si>
  <si>
    <t>09:48:30</t>
  </si>
  <si>
    <t>09:48:12</t>
  </si>
  <si>
    <t>09:47:48</t>
  </si>
  <si>
    <t>09:37:32</t>
  </si>
  <si>
    <t>09:37:11</t>
  </si>
  <si>
    <t>09:36:49</t>
  </si>
  <si>
    <t>21:22:41</t>
  </si>
  <si>
    <t>09:42:36</t>
  </si>
  <si>
    <t>09:42:04</t>
  </si>
  <si>
    <t>09:41:41</t>
  </si>
  <si>
    <t>10:01:32</t>
  </si>
  <si>
    <t>10:01:05</t>
  </si>
  <si>
    <t>10:00:47</t>
  </si>
  <si>
    <t>09:51:44</t>
  </si>
  <si>
    <t>09:51:21</t>
  </si>
  <si>
    <t>09:51:02</t>
  </si>
  <si>
    <t>20:58:44</t>
  </si>
  <si>
    <t>09:52:25</t>
  </si>
  <si>
    <t>09:51:40</t>
  </si>
  <si>
    <t>09:58:08</t>
  </si>
  <si>
    <t>09:57:22</t>
  </si>
  <si>
    <t>09:56:48</t>
  </si>
  <si>
    <t>21:13:08</t>
  </si>
  <si>
    <t>21:40:56</t>
  </si>
  <si>
    <t>20:55:06</t>
  </si>
  <si>
    <t>10:34:02</t>
  </si>
  <si>
    <t>10:33:43</t>
  </si>
  <si>
    <t>11:44:11</t>
  </si>
  <si>
    <t>09:27:49</t>
  </si>
  <si>
    <t>09:27:31</t>
  </si>
  <si>
    <t>12:03:37</t>
  </si>
  <si>
    <t>12:03:20</t>
  </si>
  <si>
    <t>11:33:18</t>
  </si>
  <si>
    <t>09:27:17</t>
  </si>
  <si>
    <t>09:26:39</t>
  </si>
  <si>
    <t>20:00:54</t>
  </si>
  <si>
    <t>00:11:54</t>
  </si>
  <si>
    <t>06:51:55</t>
  </si>
  <si>
    <t>01:36:45</t>
  </si>
  <si>
    <t>00:07:49</t>
  </si>
  <si>
    <t>23:23:09</t>
  </si>
  <si>
    <t>22:20:03</t>
  </si>
  <si>
    <t>02:35:43</t>
  </si>
  <si>
    <t>21:01:42</t>
  </si>
  <si>
    <t>22:21:07</t>
  </si>
  <si>
    <t>23:28:49</t>
  </si>
  <si>
    <t>22:22:55</t>
  </si>
  <si>
    <t>00:06:27</t>
  </si>
  <si>
    <t>12:24:39</t>
  </si>
  <si>
    <t>12:30:57</t>
  </si>
  <si>
    <t>12:29:14</t>
  </si>
  <si>
    <t>14:56:19</t>
  </si>
  <si>
    <t>14:28:42</t>
  </si>
  <si>
    <t>13:53:33</t>
  </si>
  <si>
    <t>13:51:50</t>
  </si>
  <si>
    <t>11:51:02</t>
  </si>
  <si>
    <t>11:24:54</t>
  </si>
  <si>
    <t>19:48:36</t>
  </si>
  <si>
    <t>15:15:26</t>
  </si>
  <si>
    <t>14:22:22</t>
  </si>
  <si>
    <t>12:16:17</t>
  </si>
  <si>
    <t>12:15:28</t>
  </si>
  <si>
    <t>20:38:20</t>
  </si>
  <si>
    <t>19:31:19</t>
  </si>
  <si>
    <t>15:52:11</t>
  </si>
  <si>
    <t>14:04:44</t>
  </si>
  <si>
    <t>14:27:48</t>
  </si>
  <si>
    <t>15:43:00</t>
  </si>
  <si>
    <t>14:56:00</t>
  </si>
  <si>
    <t>15:00:03</t>
  </si>
  <si>
    <t>14:16:29</t>
  </si>
  <si>
    <t>13:28:39</t>
  </si>
  <si>
    <t>21:29:40</t>
  </si>
  <si>
    <t>18:20:09</t>
  </si>
  <si>
    <t>17:36:20</t>
  </si>
  <si>
    <t>14:05:02</t>
  </si>
  <si>
    <t>20:44:43</t>
  </si>
  <si>
    <t>20:44:42</t>
  </si>
  <si>
    <t>14:29:11</t>
  </si>
  <si>
    <t>19:13:50</t>
  </si>
  <si>
    <t>14:23:12</t>
  </si>
  <si>
    <t>16:05:46</t>
  </si>
  <si>
    <t>03:45:00</t>
  </si>
  <si>
    <t>03:15:00</t>
  </si>
  <si>
    <t>03:00:00</t>
  </si>
  <si>
    <t>02:45:00</t>
  </si>
  <si>
    <t>20:32:12</t>
  </si>
  <si>
    <t>14:50:07</t>
  </si>
  <si>
    <t>21:12:22</t>
  </si>
  <si>
    <t>16:50:10</t>
  </si>
  <si>
    <t>13:25:35</t>
  </si>
  <si>
    <t>15:32:00</t>
  </si>
  <si>
    <t>15:29:00</t>
  </si>
  <si>
    <t>13:36:41</t>
  </si>
  <si>
    <t>12:32:00</t>
  </si>
  <si>
    <t>15:17:00</t>
  </si>
  <si>
    <t>14:01:09</t>
  </si>
  <si>
    <t>12:39:52</t>
  </si>
  <si>
    <t>17:57:45</t>
  </si>
  <si>
    <t>17:37:26</t>
  </si>
  <si>
    <t>18:02:47</t>
  </si>
  <si>
    <t>13:23:34</t>
  </si>
  <si>
    <t>22:19:19</t>
  </si>
  <si>
    <t>12:15:54</t>
  </si>
  <si>
    <t>22:07:10</t>
  </si>
  <si>
    <t>00:36:57</t>
  </si>
  <si>
    <t>01:54:48</t>
  </si>
  <si>
    <t>18:51:23</t>
  </si>
  <si>
    <t>19:24:25</t>
  </si>
  <si>
    <t>19:15:12</t>
  </si>
  <si>
    <t>13:50:33</t>
  </si>
  <si>
    <t>06:11:59</t>
  </si>
  <si>
    <t>18:58:14</t>
  </si>
  <si>
    <t>00:18:27</t>
  </si>
  <si>
    <t>04:09:49</t>
  </si>
  <si>
    <t>23:33:57</t>
  </si>
  <si>
    <t>06:10:23</t>
  </si>
  <si>
    <t>02:24:07</t>
  </si>
  <si>
    <t>20:31:13</t>
  </si>
  <si>
    <t>23:11:19</t>
  </si>
  <si>
    <t>22:34:58</t>
  </si>
  <si>
    <t>19:29:29</t>
  </si>
  <si>
    <t>10:25:38</t>
  </si>
  <si>
    <t>11:46:31</t>
  </si>
  <si>
    <t>19:44:16</t>
  </si>
  <si>
    <t>20:07:09</t>
  </si>
  <si>
    <t>21:51:48</t>
  </si>
  <si>
    <t>18:23:16</t>
  </si>
  <si>
    <t>21:21:28</t>
  </si>
  <si>
    <t>23:13:23</t>
  </si>
  <si>
    <t>18:14:20</t>
  </si>
  <si>
    <t>09:09:25</t>
  </si>
  <si>
    <t>11:40:55</t>
  </si>
  <si>
    <t>21:00:54</t>
  </si>
  <si>
    <t>22:40:53</t>
  </si>
  <si>
    <t>19:12:47</t>
  </si>
  <si>
    <t>18:27:32</t>
  </si>
  <si>
    <t>14:58:05</t>
  </si>
  <si>
    <t>09:05:00</t>
  </si>
  <si>
    <t>13:36:24</t>
  </si>
  <si>
    <t>14:22:39</t>
  </si>
  <si>
    <t>21:52:17</t>
  </si>
  <si>
    <t>22:28:32</t>
  </si>
  <si>
    <t>13:51:44</t>
  </si>
  <si>
    <t>18:48:41</t>
  </si>
  <si>
    <t>12:24:01</t>
  </si>
  <si>
    <t>15:35:23</t>
  </si>
  <si>
    <t>21:58:41</t>
  </si>
  <si>
    <t>16:54:34</t>
  </si>
  <si>
    <t>14:19:42</t>
  </si>
  <si>
    <t>19:55:43</t>
  </si>
  <si>
    <t>14:40:50</t>
  </si>
  <si>
    <t>06:05:38</t>
  </si>
  <si>
    <t>02:21:54</t>
  </si>
  <si>
    <t>16:45:01</t>
  </si>
  <si>
    <t>18:46:14</t>
  </si>
  <si>
    <t>14:52:32</t>
  </si>
  <si>
    <t>18:41:48</t>
  </si>
  <si>
    <t>17:07:05</t>
  </si>
  <si>
    <t>13:28:35</t>
  </si>
  <si>
    <t>13:41:19</t>
  </si>
  <si>
    <t>11:24:29</t>
  </si>
  <si>
    <t>13:43:02</t>
  </si>
  <si>
    <t>14:26:59</t>
  </si>
  <si>
    <t>13:45:55</t>
  </si>
  <si>
    <t>13:38:27</t>
  </si>
  <si>
    <t>13:28:58</t>
  </si>
  <si>
    <t>14:03:33</t>
  </si>
  <si>
    <t>13:46:04</t>
  </si>
  <si>
    <t>13:45:41</t>
  </si>
  <si>
    <t>15:45:58</t>
  </si>
  <si>
    <t>18:17:57</t>
  </si>
  <si>
    <t>14:47:31</t>
  </si>
  <si>
    <t>01:26:36</t>
  </si>
  <si>
    <t>02:08:34</t>
  </si>
  <si>
    <t>15:13:53</t>
  </si>
  <si>
    <t>14:18:31</t>
  </si>
  <si>
    <t>17:35:37</t>
  </si>
  <si>
    <t>05:09:39</t>
  </si>
  <si>
    <t>13:55:18</t>
  </si>
  <si>
    <t>17:08:42</t>
  </si>
  <si>
    <t>06:16:55</t>
  </si>
  <si>
    <t>19:06:45</t>
  </si>
  <si>
    <t>21:08:23</t>
  </si>
  <si>
    <t>07:59:24</t>
  </si>
  <si>
    <t>13:35:40</t>
  </si>
  <si>
    <t>18:00:30</t>
  </si>
  <si>
    <t>13:31:56</t>
  </si>
  <si>
    <t>21:42:51</t>
  </si>
  <si>
    <t>18:36:21</t>
  </si>
  <si>
    <t>15:29:59</t>
  </si>
  <si>
    <t>14:12:12</t>
  </si>
  <si>
    <t>10:41:27</t>
  </si>
  <si>
    <t>14:08:45</t>
  </si>
  <si>
    <t>12:31:50</t>
  </si>
  <si>
    <t>10:59:09</t>
  </si>
  <si>
    <t>14:11:11</t>
  </si>
  <si>
    <t>13:45:40</t>
  </si>
  <si>
    <t>12:00:03</t>
  </si>
  <si>
    <t>18:10:42</t>
  </si>
  <si>
    <t>16:19:57</t>
  </si>
  <si>
    <t>12:02:36</t>
  </si>
  <si>
    <t>11:00:01</t>
  </si>
  <si>
    <t>21:21:05</t>
  </si>
  <si>
    <t>11:26:30</t>
  </si>
  <si>
    <t>14:05:46</t>
  </si>
  <si>
    <t>11:22:03</t>
  </si>
  <si>
    <t>13:46:22</t>
  </si>
  <si>
    <t>11:44:53</t>
  </si>
  <si>
    <t>14:50:32</t>
  </si>
  <si>
    <t>13:34:24</t>
  </si>
  <si>
    <t>11:47:32</t>
  </si>
  <si>
    <t>10:58:00</t>
  </si>
  <si>
    <t>10:43:06</t>
  </si>
  <si>
    <t>13:44:05</t>
  </si>
  <si>
    <t>15:00:38</t>
  </si>
  <si>
    <t>13:26:42</t>
  </si>
  <si>
    <t>12:46:42</t>
  </si>
  <si>
    <t>15:55:29</t>
  </si>
  <si>
    <t>15:06:06</t>
  </si>
  <si>
    <t>12:48:12</t>
  </si>
  <si>
    <t>17:42:43</t>
  </si>
  <si>
    <t>17:23:27</t>
  </si>
  <si>
    <t>17:14:15</t>
  </si>
  <si>
    <t>10:57:05</t>
  </si>
  <si>
    <t>18:24:18</t>
  </si>
  <si>
    <t>16:24:06</t>
  </si>
  <si>
    <t>14:15:37</t>
  </si>
  <si>
    <t>15:09:31</t>
  </si>
  <si>
    <t>11:26:27</t>
  </si>
  <si>
    <t>14:36:28</t>
  </si>
  <si>
    <t>12:17:14</t>
  </si>
  <si>
    <t>12:46:44</t>
  </si>
  <si>
    <t>12:08:17</t>
  </si>
  <si>
    <t>20:27:41</t>
  </si>
  <si>
    <t>15:18:13</t>
  </si>
  <si>
    <t>13:23:56</t>
  </si>
  <si>
    <t>12:55:13</t>
  </si>
  <si>
    <t>11:39:20</t>
  </si>
  <si>
    <t>11:16:15</t>
  </si>
  <si>
    <t>21:58:46</t>
  </si>
  <si>
    <t>19:02:27</t>
  </si>
  <si>
    <t>15:22:05</t>
  </si>
  <si>
    <t>12:58:04</t>
  </si>
  <si>
    <t>14:29:23</t>
  </si>
  <si>
    <t>13:18:39</t>
  </si>
  <si>
    <t>21:38:19</t>
  </si>
  <si>
    <t>11:01:28</t>
  </si>
  <si>
    <t>19:38:53</t>
  </si>
  <si>
    <t>12:37:30</t>
  </si>
  <si>
    <t>14:59:51</t>
  </si>
  <si>
    <t>12:13:38</t>
  </si>
  <si>
    <t>21:08:03</t>
  </si>
  <si>
    <t>21:17:00</t>
  </si>
  <si>
    <t>15:21:16</t>
  </si>
  <si>
    <t>15:13:54</t>
  </si>
  <si>
    <t>12:51:17</t>
  </si>
  <si>
    <t>12:08:34</t>
  </si>
  <si>
    <t>12:36:33</t>
  </si>
  <si>
    <t>16:10:26</t>
  </si>
  <si>
    <t>10:30:48</t>
  </si>
  <si>
    <t>17:45:09</t>
  </si>
  <si>
    <t>16:42:19</t>
  </si>
  <si>
    <t>15:08:28</t>
  </si>
  <si>
    <t>22:58:28</t>
  </si>
  <si>
    <t>10:26:38</t>
  </si>
  <si>
    <t>10:44:34</t>
  </si>
  <si>
    <t>16:25:21</t>
  </si>
  <si>
    <t>14:22:06</t>
  </si>
  <si>
    <t>14:12:30</t>
  </si>
  <si>
    <t>14:56:39</t>
  </si>
  <si>
    <t>12:16:53</t>
  </si>
  <si>
    <t>19:51:39</t>
  </si>
  <si>
    <t>15:22:09</t>
  </si>
  <si>
    <t>15:24:53</t>
  </si>
  <si>
    <t>10:49:30</t>
  </si>
  <si>
    <t>10:53:54</t>
  </si>
  <si>
    <t>18:57:56</t>
  </si>
  <si>
    <t>11:15:56</t>
  </si>
  <si>
    <t>22:48:00</t>
  </si>
  <si>
    <t>18:03:05</t>
  </si>
  <si>
    <t>13:24:16</t>
  </si>
  <si>
    <t>11:12:58</t>
  </si>
  <si>
    <t>10:54:27</t>
  </si>
  <si>
    <t>20:59:13</t>
  </si>
  <si>
    <t>16:34:15</t>
  </si>
  <si>
    <t>15:16:24</t>
  </si>
  <si>
    <t>14:35:29</t>
  </si>
  <si>
    <t>20:36:24</t>
  </si>
  <si>
    <t>15:54:10</t>
  </si>
  <si>
    <t>16:32:45</t>
  </si>
  <si>
    <t>14:26:36</t>
  </si>
  <si>
    <t>11:11:33</t>
  </si>
  <si>
    <t>13:53:04</t>
  </si>
  <si>
    <t>11:26:13</t>
  </si>
  <si>
    <t>18:31:20</t>
  </si>
  <si>
    <t>11:08:56</t>
  </si>
  <si>
    <t>16:07:34</t>
  </si>
  <si>
    <t>14:37:16</t>
  </si>
  <si>
    <t>14:24:31</t>
  </si>
  <si>
    <t>20:24:51</t>
  </si>
  <si>
    <t>17:42:05</t>
  </si>
  <si>
    <t>14:18:08</t>
  </si>
  <si>
    <t>19:20:35</t>
  </si>
  <si>
    <t>18:11:06</t>
  </si>
  <si>
    <t>10:41:29</t>
  </si>
  <si>
    <t>14:06:51</t>
  </si>
  <si>
    <t>10:40:25</t>
  </si>
  <si>
    <t>17:08:56</t>
  </si>
  <si>
    <t>11:23:38</t>
  </si>
  <si>
    <t>11:06:02</t>
  </si>
  <si>
    <t>14:09:24</t>
  </si>
  <si>
    <t>11:15:57</t>
  </si>
  <si>
    <t>11:31:03</t>
  </si>
  <si>
    <t>11:03:56</t>
  </si>
  <si>
    <t>15:25:23</t>
  </si>
  <si>
    <t>10:36:53</t>
  </si>
  <si>
    <t>15:04:24</t>
  </si>
  <si>
    <t>14:06:04</t>
  </si>
  <si>
    <t>13:47:51</t>
  </si>
  <si>
    <t>12:26:01</t>
  </si>
  <si>
    <t>15:07:09</t>
  </si>
  <si>
    <t>11:46:17</t>
  </si>
  <si>
    <t>10:19:10</t>
  </si>
  <si>
    <t>10:00:35</t>
  </si>
  <si>
    <t>14:44:02</t>
  </si>
  <si>
    <t>14:04:47</t>
  </si>
  <si>
    <t>17:01:48</t>
  </si>
  <si>
    <t>13:29:42</t>
  </si>
  <si>
    <t>09:32:29</t>
  </si>
  <si>
    <t>12:00:08</t>
  </si>
  <si>
    <t>13:25:08</t>
  </si>
  <si>
    <t>23:42:34</t>
  </si>
  <si>
    <t>20:58:21</t>
  </si>
  <si>
    <t>21:37:26</t>
  </si>
  <si>
    <t>13:19:57</t>
  </si>
  <si>
    <t>19:18:28</t>
  </si>
  <si>
    <t>23:28:58</t>
  </si>
  <si>
    <t>22:15:00</t>
  </si>
  <si>
    <t>23:51:55</t>
  </si>
  <si>
    <t>19:05:47</t>
  </si>
  <si>
    <t>23:58:43</t>
  </si>
  <si>
    <t>23:30:41</t>
  </si>
  <si>
    <t>23:56:49</t>
  </si>
  <si>
    <t>23:30:00</t>
  </si>
  <si>
    <t>00:30:00</t>
  </si>
  <si>
    <t>12:05:30</t>
  </si>
  <si>
    <t>23:52:21</t>
  </si>
  <si>
    <t>18:26:59</t>
  </si>
  <si>
    <t>22:30:10</t>
  </si>
  <si>
    <t>18:53:26</t>
  </si>
  <si>
    <t>11:29:00</t>
  </si>
  <si>
    <t>14:05:20</t>
  </si>
  <si>
    <t>02:25:23</t>
  </si>
  <si>
    <t>16:24:47</t>
  </si>
  <si>
    <t>12:47:11</t>
  </si>
  <si>
    <t>22:38:50</t>
  </si>
  <si>
    <t>12:35:51</t>
  </si>
  <si>
    <t>12:52:37</t>
  </si>
  <si>
    <t>19:56:41</t>
  </si>
  <si>
    <t>12:25:16</t>
  </si>
  <si>
    <t>13:30:18</t>
  </si>
  <si>
    <t>13:30:06</t>
  </si>
  <si>
    <t>10:30:03</t>
  </si>
  <si>
    <t>10:32:03</t>
  </si>
  <si>
    <t>08:30:04</t>
  </si>
  <si>
    <t>13:30:03</t>
  </si>
  <si>
    <t>13:30:05</t>
  </si>
  <si>
    <t>08:30:03</t>
  </si>
  <si>
    <t>13:34:03</t>
  </si>
  <si>
    <t>10:30:04</t>
  </si>
  <si>
    <t>14:30:05</t>
  </si>
  <si>
    <t>19:23:01</t>
  </si>
  <si>
    <t>19:55:09</t>
  </si>
  <si>
    <t>16:36:13</t>
  </si>
  <si>
    <t>10:48:52</t>
  </si>
  <si>
    <t>09:37:55</t>
  </si>
  <si>
    <t>09:32:35</t>
  </si>
  <si>
    <t>04:04:57</t>
  </si>
  <si>
    <t>09:31:43</t>
  </si>
  <si>
    <t>09:37:04</t>
  </si>
  <si>
    <t>10:44:19</t>
  </si>
  <si>
    <t>13:43:59</t>
  </si>
  <si>
    <t>17:07:57</t>
  </si>
  <si>
    <t>14:15:09</t>
  </si>
  <si>
    <t>00:33:35</t>
  </si>
  <si>
    <t>19:20:12</t>
  </si>
  <si>
    <t>19:35:10</t>
  </si>
  <si>
    <t>14:02:46</t>
  </si>
  <si>
    <t>15:17:04</t>
  </si>
  <si>
    <t>23:14:35</t>
  </si>
  <si>
    <t>07:49:04</t>
  </si>
  <si>
    <t>10:58:39</t>
  </si>
  <si>
    <t>12:34:43</t>
  </si>
  <si>
    <t>18:52:13</t>
  </si>
  <si>
    <t>20:30:37</t>
  </si>
  <si>
    <t>13:16:28</t>
  </si>
  <si>
    <t>21:07:43</t>
  </si>
  <si>
    <t>14:46:55</t>
  </si>
  <si>
    <t>21:34:12</t>
  </si>
  <si>
    <t>18:00:43</t>
  </si>
  <si>
    <t>02:01:51</t>
  </si>
  <si>
    <t>00:12:20</t>
  </si>
  <si>
    <t>14:30:15</t>
  </si>
  <si>
    <t>14:28:34</t>
  </si>
  <si>
    <t>16:05:05</t>
  </si>
  <si>
    <t>23:39:17</t>
  </si>
  <si>
    <t>23:48:37</t>
  </si>
  <si>
    <t>18:30:38</t>
  </si>
  <si>
    <t>00:02:53</t>
  </si>
  <si>
    <t>11:15:41</t>
  </si>
  <si>
    <t>22:24:48</t>
  </si>
  <si>
    <t>18:10:32</t>
  </si>
  <si>
    <t>17:04:27</t>
  </si>
  <si>
    <t>09:26:46</t>
  </si>
  <si>
    <t>23:28:23</t>
  </si>
  <si>
    <t>23:25:32</t>
  </si>
  <si>
    <t>18:06:29</t>
  </si>
  <si>
    <t>11:33:43</t>
  </si>
  <si>
    <t>21:26:43</t>
  </si>
  <si>
    <t>14:32:15</t>
  </si>
  <si>
    <t>15:32:19</t>
  </si>
  <si>
    <t>21:43:41</t>
  </si>
  <si>
    <t>15:05:25</t>
  </si>
  <si>
    <t>14:53:07</t>
  </si>
  <si>
    <t>07:31:59</t>
  </si>
  <si>
    <t>20:01:49</t>
  </si>
  <si>
    <t>12:15:43</t>
  </si>
  <si>
    <t>09:03:33</t>
  </si>
  <si>
    <t>22:29:23</t>
  </si>
  <si>
    <t>12:18:22</t>
  </si>
  <si>
    <t>21:27:09</t>
  </si>
  <si>
    <t>12:32:19</t>
  </si>
  <si>
    <t>00:59:36</t>
  </si>
  <si>
    <t>21:10:20</t>
  </si>
  <si>
    <t>00:02:35</t>
  </si>
  <si>
    <t>14:06:29</t>
  </si>
  <si>
    <t>20:33:23</t>
  </si>
  <si>
    <t>22:40:35</t>
  </si>
  <si>
    <t>00:11:04</t>
  </si>
  <si>
    <t>23:38:33</t>
  </si>
  <si>
    <t>23:28:08</t>
  </si>
  <si>
    <t>13:51:19</t>
  </si>
  <si>
    <t>10:40:33</t>
  </si>
  <si>
    <t>15:58:53</t>
  </si>
  <si>
    <t>03:22:43</t>
  </si>
  <si>
    <t>23:56:58</t>
  </si>
  <si>
    <t>23:04:02</t>
  </si>
  <si>
    <t>16:26:48</t>
  </si>
  <si>
    <t>00:01:39</t>
  </si>
  <si>
    <t>23:58:45</t>
  </si>
  <si>
    <t>23:57:31</t>
  </si>
  <si>
    <t>01:00:53</t>
  </si>
  <si>
    <t>00:10:30</t>
  </si>
  <si>
    <t>01:02:36</t>
  </si>
  <si>
    <t>00:18:07</t>
  </si>
  <si>
    <t>23:39:40</t>
  </si>
  <si>
    <t>23:44:18</t>
  </si>
  <si>
    <t>00:17:38</t>
  </si>
  <si>
    <t>21:33:31</t>
  </si>
  <si>
    <t>20:12:43</t>
  </si>
  <si>
    <t>23:09:11</t>
  </si>
  <si>
    <t>18:34:14</t>
  </si>
  <si>
    <t>17:59:00</t>
  </si>
  <si>
    <t>02:04:48</t>
  </si>
  <si>
    <t>01:52:43</t>
  </si>
  <si>
    <t>18:33:16</t>
  </si>
  <si>
    <t>20:38:49</t>
  </si>
  <si>
    <t>12:41:29</t>
  </si>
  <si>
    <t>13:57:39</t>
  </si>
  <si>
    <t>13:45:56</t>
  </si>
  <si>
    <t>18:38:12</t>
  </si>
  <si>
    <t>15:21:29</t>
  </si>
  <si>
    <t>22:01:24</t>
  </si>
  <si>
    <t>15:01:17</t>
  </si>
  <si>
    <t>17:55:24</t>
  </si>
  <si>
    <t>20:03:34</t>
  </si>
  <si>
    <t>16:22:02</t>
  </si>
  <si>
    <t>22:01:47</t>
  </si>
  <si>
    <t>22:01:30</t>
  </si>
  <si>
    <t>22:01:35</t>
  </si>
  <si>
    <t>18:01:23</t>
  </si>
  <si>
    <t>11:02:13</t>
  </si>
  <si>
    <t>12:06:00</t>
  </si>
  <si>
    <t>21:55:54</t>
  </si>
  <si>
    <t>02:55:01</t>
  </si>
  <si>
    <t>15:29:21</t>
  </si>
  <si>
    <t>00:37:57</t>
  </si>
  <si>
    <t>15:15:05</t>
  </si>
  <si>
    <t>00:13:48</t>
  </si>
  <si>
    <t>00:13:42</t>
  </si>
  <si>
    <t>23:51:13</t>
  </si>
  <si>
    <t>16:05:38</t>
  </si>
  <si>
    <t>18:19:03</t>
  </si>
  <si>
    <t>14:45:20</t>
  </si>
  <si>
    <t>18:30:55</t>
  </si>
  <si>
    <t>12:10:43</t>
  </si>
  <si>
    <t>10:34:44</t>
  </si>
  <si>
    <t>13:40:04</t>
  </si>
  <si>
    <t>13:35:41</t>
  </si>
  <si>
    <t>21:39:15</t>
  </si>
  <si>
    <t>12:30:04</t>
  </si>
  <si>
    <t>14:52:04</t>
  </si>
  <si>
    <t>15:52:47</t>
  </si>
  <si>
    <t>18:50:53</t>
  </si>
  <si>
    <t>21:10:39</t>
  </si>
  <si>
    <t>14:53:44</t>
  </si>
  <si>
    <t>23:00:35</t>
  </si>
  <si>
    <t>10:29:40</t>
  </si>
  <si>
    <t>16:09:03</t>
  </si>
  <si>
    <t>22:23:00</t>
  </si>
  <si>
    <t>09:14:17</t>
  </si>
  <si>
    <t>20:07:29</t>
  </si>
  <si>
    <t>02:49:38</t>
  </si>
  <si>
    <t>14:30:53</t>
  </si>
  <si>
    <t>20:25:08</t>
  </si>
  <si>
    <t>17:26:16</t>
  </si>
  <si>
    <t>21:02:22</t>
  </si>
  <si>
    <t>14:22:55</t>
  </si>
  <si>
    <t>00:20:20</t>
  </si>
  <si>
    <t>01:25:28</t>
  </si>
  <si>
    <t>23:33:50</t>
  </si>
  <si>
    <t>16:45:12</t>
  </si>
  <si>
    <t>23:30:32</t>
  </si>
  <si>
    <t>23:31:37</t>
  </si>
  <si>
    <t>16:46:34</t>
  </si>
  <si>
    <t>01:35:43</t>
  </si>
  <si>
    <t>01:35:12</t>
  </si>
  <si>
    <t>23:32:26</t>
  </si>
  <si>
    <t>23:30:28</t>
  </si>
  <si>
    <t>14:08:52</t>
  </si>
  <si>
    <t>17:22:18</t>
  </si>
  <si>
    <t>11:31:44</t>
  </si>
  <si>
    <t>13:03:45</t>
  </si>
  <si>
    <t>12:08:37</t>
  </si>
  <si>
    <t>00:15:30</t>
  </si>
  <si>
    <t>03:13:34</t>
  </si>
  <si>
    <t>12:49:52</t>
  </si>
  <si>
    <t>21:13:03</t>
  </si>
  <si>
    <t>19:54:05</t>
  </si>
  <si>
    <t>19:34:04</t>
  </si>
  <si>
    <t>17:58:30</t>
  </si>
  <si>
    <t>19:26:17</t>
  </si>
  <si>
    <t>19:59:07</t>
  </si>
  <si>
    <t>19:54:59</t>
  </si>
  <si>
    <t>13:55:55</t>
  </si>
  <si>
    <t>19:04:58</t>
  </si>
  <si>
    <t>18:23:47</t>
  </si>
  <si>
    <t>15:28:38</t>
  </si>
  <si>
    <t>11:35:22</t>
  </si>
  <si>
    <t>15:20:04</t>
  </si>
  <si>
    <t>12:30:00</t>
  </si>
  <si>
    <t>23:32:45</t>
  </si>
  <si>
    <t>18:05:33</t>
  </si>
  <si>
    <t>14:23:14</t>
  </si>
  <si>
    <t>18:12:04</t>
  </si>
  <si>
    <t>18:17:16</t>
  </si>
  <si>
    <t>18:20:44</t>
  </si>
  <si>
    <t>21:11:38</t>
  </si>
  <si>
    <t>23:46:04</t>
  </si>
  <si>
    <t>12:44:39</t>
  </si>
  <si>
    <t>12:48:40</t>
  </si>
  <si>
    <t>00:45:34</t>
  </si>
  <si>
    <t>17:35:11</t>
  </si>
  <si>
    <t>21:49:34</t>
  </si>
  <si>
    <t>00:30:32</t>
  </si>
  <si>
    <t>23:40:46</t>
  </si>
  <si>
    <t>15:58:40</t>
  </si>
  <si>
    <t>01:10:29</t>
  </si>
  <si>
    <t>14:00:53</t>
  </si>
  <si>
    <t>14:20:24</t>
  </si>
  <si>
    <t>11:38:17</t>
  </si>
  <si>
    <t>15:01:29</t>
  </si>
  <si>
    <t>15:52:42</t>
  </si>
  <si>
    <t>15:08:56</t>
  </si>
  <si>
    <t>14:47:06</t>
  </si>
  <si>
    <t>13:33:13</t>
  </si>
  <si>
    <t>22:28:55</t>
  </si>
  <si>
    <t>21:12:59</t>
  </si>
  <si>
    <t>14:57:45</t>
  </si>
  <si>
    <t>19:45:31</t>
  </si>
  <si>
    <t>12:44:01</t>
  </si>
  <si>
    <t>11:41:16</t>
  </si>
  <si>
    <t>11:00:52</t>
  </si>
  <si>
    <t>09:31:10</t>
  </si>
  <si>
    <t>13:49:47</t>
  </si>
  <si>
    <t>11:32:22</t>
  </si>
  <si>
    <t>16:02:35</t>
  </si>
  <si>
    <t>10:38:27</t>
  </si>
  <si>
    <t>12:50:09</t>
  </si>
  <si>
    <t>19:19:39</t>
  </si>
  <si>
    <t>17:46:58</t>
  </si>
  <si>
    <t>19:55:11</t>
  </si>
  <si>
    <t>14:40:01</t>
  </si>
  <si>
    <t>13:46:35</t>
  </si>
  <si>
    <t>13:26:52</t>
  </si>
  <si>
    <t>19:18:36</t>
  </si>
  <si>
    <t>14:12:03</t>
  </si>
  <si>
    <t>13:35:30</t>
  </si>
  <si>
    <t>17:48:00</t>
  </si>
  <si>
    <t>16:21:29</t>
  </si>
  <si>
    <t>15:09:04</t>
  </si>
  <si>
    <t>15:06:17</t>
  </si>
  <si>
    <t>11:55:15</t>
  </si>
  <si>
    <t>11:24:02</t>
  </si>
  <si>
    <t>12:47:26</t>
  </si>
  <si>
    <t>14:00:25</t>
  </si>
  <si>
    <t>12:55:48</t>
  </si>
  <si>
    <t>13:54:15</t>
  </si>
  <si>
    <t>19:01:29</t>
  </si>
  <si>
    <t>15:46:29</t>
  </si>
  <si>
    <t>18:20:57</t>
  </si>
  <si>
    <t>13:49:59</t>
  </si>
  <si>
    <t>19:41:51</t>
  </si>
  <si>
    <t>19:27:39</t>
  </si>
  <si>
    <t>18:49:00</t>
  </si>
  <si>
    <t>15:57:58</t>
  </si>
  <si>
    <t>18:08:34</t>
  </si>
  <si>
    <t>15:44:29</t>
  </si>
  <si>
    <t>19:17:40</t>
  </si>
  <si>
    <t>17:48:57</t>
  </si>
  <si>
    <t>14:40:19</t>
  </si>
  <si>
    <t>15:01:40</t>
  </si>
  <si>
    <t>16:22:10</t>
  </si>
  <si>
    <t>13:46:09</t>
  </si>
  <si>
    <t>10:42:36</t>
  </si>
  <si>
    <t>10:57:35</t>
  </si>
  <si>
    <t>19:35:36</t>
  </si>
  <si>
    <t>16:12:58</t>
  </si>
  <si>
    <t>15:49:38</t>
  </si>
  <si>
    <t>13:00:50</t>
  </si>
  <si>
    <t>16:24:41</t>
  </si>
  <si>
    <t>15:27:37</t>
  </si>
  <si>
    <t>15:05:26</t>
  </si>
  <si>
    <t>13:42:08</t>
  </si>
  <si>
    <t>11:47:38</t>
  </si>
  <si>
    <t>10:05:07</t>
  </si>
  <si>
    <t>19:09:22</t>
  </si>
  <si>
    <t>15:55:45</t>
  </si>
  <si>
    <t>12:56:35</t>
  </si>
  <si>
    <t>11:42:47</t>
  </si>
  <si>
    <t>19:04:43</t>
  </si>
  <si>
    <t>15:43:12</t>
  </si>
  <si>
    <t>14:13:30</t>
  </si>
  <si>
    <t>17:29:44</t>
  </si>
  <si>
    <t>14:01:10</t>
  </si>
  <si>
    <t>15:11:30</t>
  </si>
  <si>
    <t>12:49:45</t>
  </si>
  <si>
    <t>15:19:34</t>
  </si>
  <si>
    <t>19:43:59</t>
  </si>
  <si>
    <t>18:34:56</t>
  </si>
  <si>
    <t>16:51:42</t>
  </si>
  <si>
    <t>16:01:25</t>
  </si>
  <si>
    <t>18:50:43</t>
  </si>
  <si>
    <t>12:01:43</t>
  </si>
  <si>
    <t>15:11:08</t>
  </si>
  <si>
    <t>19:02:32</t>
  </si>
  <si>
    <t>15:10:47</t>
  </si>
  <si>
    <t>15:39:19</t>
  </si>
  <si>
    <t>14:46:40</t>
  </si>
  <si>
    <t>12:39:09</t>
  </si>
  <si>
    <t>20:01:57</t>
  </si>
  <si>
    <t>21:13:44</t>
  </si>
  <si>
    <t>18:20:06</t>
  </si>
  <si>
    <t>15:46:12</t>
  </si>
  <si>
    <t>19:03:11</t>
  </si>
  <si>
    <t>18:05:37</t>
  </si>
  <si>
    <t>19:12:56</t>
  </si>
  <si>
    <t>11:58:21</t>
  </si>
  <si>
    <t>20:17:38</t>
  </si>
  <si>
    <t>15:41:07</t>
  </si>
  <si>
    <t>14:33:02</t>
  </si>
  <si>
    <t>20:27:34</t>
  </si>
  <si>
    <t>15:01:48</t>
  </si>
  <si>
    <t>19:59:30</t>
  </si>
  <si>
    <t>18:54:55</t>
  </si>
  <si>
    <t>11:02:56</t>
  </si>
  <si>
    <t>16:40:39</t>
  </si>
  <si>
    <t>17:18:44</t>
  </si>
  <si>
    <t>13:54:31</t>
  </si>
  <si>
    <t>18:10:13</t>
  </si>
  <si>
    <t>15:01:10</t>
  </si>
  <si>
    <t>20:22:54</t>
  </si>
  <si>
    <t>18:23:35</t>
  </si>
  <si>
    <t>17:25:17</t>
  </si>
  <si>
    <t>14:59:33</t>
  </si>
  <si>
    <t>19:42:19</t>
  </si>
  <si>
    <t>19:01:04</t>
  </si>
  <si>
    <t>17:28:52</t>
  </si>
  <si>
    <t>15:49:22</t>
  </si>
  <si>
    <t>14:14:37</t>
  </si>
  <si>
    <t>18:02:13</t>
  </si>
  <si>
    <t>14:17:00</t>
  </si>
  <si>
    <t>13:37:57</t>
  </si>
  <si>
    <t>16:03:18</t>
  </si>
  <si>
    <t>13:45:08</t>
  </si>
  <si>
    <t>12:24:05</t>
  </si>
  <si>
    <t>15:42:30</t>
  </si>
  <si>
    <t>12:15:35</t>
  </si>
  <si>
    <t>18:39:41</t>
  </si>
  <si>
    <t>14:00:46</t>
  </si>
  <si>
    <t>18:45:28</t>
  </si>
  <si>
    <t>12:07:31</t>
  </si>
  <si>
    <t>20:26:17</t>
  </si>
  <si>
    <t>15:16:10</t>
  </si>
  <si>
    <t>16:45:29</t>
  </si>
  <si>
    <t>15:35:31</t>
  </si>
  <si>
    <t>13:00:59</t>
  </si>
  <si>
    <t>18:26:13</t>
  </si>
  <si>
    <t>16:14:19</t>
  </si>
  <si>
    <t>14:00:21</t>
  </si>
  <si>
    <t>17:40:27</t>
  </si>
  <si>
    <t>16:20:36</t>
  </si>
  <si>
    <t>15:08:12</t>
  </si>
  <si>
    <t>22:03:06</t>
  </si>
  <si>
    <t>13:12:48</t>
  </si>
  <si>
    <t>15:33:29</t>
  </si>
  <si>
    <t>18:50:09</t>
  </si>
  <si>
    <t>16:20:56</t>
  </si>
  <si>
    <t>11:50:17</t>
  </si>
  <si>
    <t>13:06:10</t>
  </si>
  <si>
    <t>15:48:40</t>
  </si>
  <si>
    <t>15:05:02</t>
  </si>
  <si>
    <t>14:00:50</t>
  </si>
  <si>
    <t>18:01:44</t>
  </si>
  <si>
    <t>14:32:21</t>
  </si>
  <si>
    <t>17:53:46</t>
  </si>
  <si>
    <t>14:01:12</t>
  </si>
  <si>
    <t>21:00:50</t>
  </si>
  <si>
    <t>15:00:37</t>
  </si>
  <si>
    <t>17:10:22</t>
  </si>
  <si>
    <t>18:06:23</t>
  </si>
  <si>
    <t>14:07:20</t>
  </si>
  <si>
    <t>15:27:13</t>
  </si>
  <si>
    <t>12:38:43</t>
  </si>
  <si>
    <t>20:51:01</t>
  </si>
  <si>
    <t>23:56:52</t>
  </si>
  <si>
    <t>22:49:17</t>
  </si>
  <si>
    <t>18:05:42</t>
  </si>
  <si>
    <t>15:11:49</t>
  </si>
  <si>
    <t>12:01:31</t>
  </si>
  <si>
    <t>17:44:55</t>
  </si>
  <si>
    <t>13:24:40</t>
  </si>
  <si>
    <t>17:45:22</t>
  </si>
  <si>
    <t>14:49:38</t>
  </si>
  <si>
    <t>14:15:17</t>
  </si>
  <si>
    <t>17:19:12</t>
  </si>
  <si>
    <t>15:41:15</t>
  </si>
  <si>
    <t>14:24:16</t>
  </si>
  <si>
    <t>16:28:30</t>
  </si>
  <si>
    <t>11:36:51</t>
  </si>
  <si>
    <t>22:22:22</t>
  </si>
  <si>
    <t>16:34:51</t>
  </si>
  <si>
    <t>18:28:21</t>
  </si>
  <si>
    <t>15:57:52</t>
  </si>
  <si>
    <t>15:20:48</t>
  </si>
  <si>
    <t>13:32:50</t>
  </si>
  <si>
    <t>15:33:22</t>
  </si>
  <si>
    <t>15:14:33</t>
  </si>
  <si>
    <t>15:00:17</t>
  </si>
  <si>
    <t>14:06:19</t>
  </si>
  <si>
    <t>13:53:43</t>
  </si>
  <si>
    <t>13:22:54</t>
  </si>
  <si>
    <t>12:51:48</t>
  </si>
  <si>
    <t>12:29:06</t>
  </si>
  <si>
    <t>15:08:30</t>
  </si>
  <si>
    <t>13:38:07</t>
  </si>
  <si>
    <t>16:26:06</t>
  </si>
  <si>
    <t>15:16:26</t>
  </si>
  <si>
    <t>15:37:02</t>
  </si>
  <si>
    <t>17:42:29</t>
  </si>
  <si>
    <t>13:53:52</t>
  </si>
  <si>
    <t>17:11:11</t>
  </si>
  <si>
    <t>17:53:31</t>
  </si>
  <si>
    <t>12:33:33</t>
  </si>
  <si>
    <t>21:17:10</t>
  </si>
  <si>
    <t>13:43:46</t>
  </si>
  <si>
    <t>17:24:04</t>
  </si>
  <si>
    <t>20:20:21</t>
  </si>
  <si>
    <t>11:14:02</t>
  </si>
  <si>
    <t>11:29:02</t>
  </si>
  <si>
    <t>22:09:45</t>
  </si>
  <si>
    <t>22:41:35</t>
  </si>
  <si>
    <t>00:37:50</t>
  </si>
  <si>
    <t>06:39:30</t>
  </si>
  <si>
    <t>14:16:03</t>
  </si>
  <si>
    <t>14:36:37</t>
  </si>
  <si>
    <t>12:49:14</t>
  </si>
  <si>
    <t>17:04:24</t>
  </si>
  <si>
    <t>13:16:18</t>
  </si>
  <si>
    <t>16:59:10</t>
  </si>
  <si>
    <t>09:23:09</t>
  </si>
  <si>
    <t>20:10:07</t>
  </si>
  <si>
    <t>18:16:03</t>
  </si>
  <si>
    <t>19:16:52</t>
  </si>
  <si>
    <t>21:15:59</t>
  </si>
  <si>
    <t>19:16:27</t>
  </si>
  <si>
    <t>16:16:19</t>
  </si>
  <si>
    <t>15:15:45</t>
  </si>
  <si>
    <t>01:16:14</t>
  </si>
  <si>
    <t>17:17:56</t>
  </si>
  <si>
    <t>23:16:09</t>
  </si>
  <si>
    <t>19:16:14</t>
  </si>
  <si>
    <t>21:15:34</t>
  </si>
  <si>
    <t>20:15:43</t>
  </si>
  <si>
    <t>17:33:18</t>
  </si>
  <si>
    <t>22:14:22</t>
  </si>
  <si>
    <t>09:20:43</t>
  </si>
  <si>
    <t>20:12:50</t>
  </si>
  <si>
    <t>03:10:48</t>
  </si>
  <si>
    <t>03:14:46</t>
  </si>
  <si>
    <t>16:39:27</t>
  </si>
  <si>
    <t>21:48:37</t>
  </si>
  <si>
    <t>21:46:53</t>
  </si>
  <si>
    <t>01:17:04</t>
  </si>
  <si>
    <t>05:34:09</t>
  </si>
  <si>
    <t>06:00:34</t>
  </si>
  <si>
    <t>02:49:51</t>
  </si>
  <si>
    <t>13:18:07</t>
  </si>
  <si>
    <t>10:57:22</t>
  </si>
  <si>
    <t>00:01:18</t>
  </si>
  <si>
    <t>16:43:00</t>
  </si>
  <si>
    <t>10:52:23</t>
  </si>
  <si>
    <t>01:07:26</t>
  </si>
  <si>
    <t>14:53:49</t>
  </si>
  <si>
    <t>21:16:59</t>
  </si>
  <si>
    <t>10:54:41</t>
  </si>
  <si>
    <t>13:29:26</t>
  </si>
  <si>
    <t>17:33:12</t>
  </si>
  <si>
    <t>11:09:02</t>
  </si>
  <si>
    <t>11:00:53</t>
  </si>
  <si>
    <t>01:01:51</t>
  </si>
  <si>
    <t>22:36:38</t>
  </si>
  <si>
    <t>20:50:21</t>
  </si>
  <si>
    <t>13:35:16</t>
  </si>
  <si>
    <t>11:13:59</t>
  </si>
  <si>
    <t>21:27:22</t>
  </si>
  <si>
    <t>11:07:32</t>
  </si>
  <si>
    <t>17:13:11</t>
  </si>
  <si>
    <t>15:01:16</t>
  </si>
  <si>
    <t>15:09:12</t>
  </si>
  <si>
    <t>13:53:59</t>
  </si>
  <si>
    <t>13:44:23</t>
  </si>
  <si>
    <t>21:20:26</t>
  </si>
  <si>
    <t>14:09:15</t>
  </si>
  <si>
    <t>11:11:57</t>
  </si>
  <si>
    <t>22:47:27</t>
  </si>
  <si>
    <t>14:08:33</t>
  </si>
  <si>
    <t>10:58:15</t>
  </si>
  <si>
    <t>00:48:08</t>
  </si>
  <si>
    <t>15:31:11</t>
  </si>
  <si>
    <t>14:34:36</t>
  </si>
  <si>
    <t>19:46:28</t>
  </si>
  <si>
    <t>12:19:39</t>
  </si>
  <si>
    <t>02:45:31</t>
  </si>
  <si>
    <t>02:12:32</t>
  </si>
  <si>
    <t>23:12:29</t>
  </si>
  <si>
    <t>00:04:26</t>
  </si>
  <si>
    <t>03:04:26</t>
  </si>
  <si>
    <t>12:40:37</t>
  </si>
  <si>
    <t>20:00:50</t>
  </si>
  <si>
    <t>15:00:47</t>
  </si>
  <si>
    <t>15:00:44</t>
  </si>
  <si>
    <t>17:00:38</t>
  </si>
  <si>
    <t>20:00:46</t>
  </si>
  <si>
    <t>18:00:45</t>
  </si>
  <si>
    <t>19:15:13</t>
  </si>
  <si>
    <t>16:52:21</t>
  </si>
  <si>
    <t>12:00:41</t>
  </si>
  <si>
    <t>02:22:55</t>
  </si>
  <si>
    <t>20:11:36</t>
  </si>
  <si>
    <t>00:45:39</t>
  </si>
  <si>
    <t>13:11:23</t>
  </si>
  <si>
    <t>12:51:23</t>
  </si>
  <si>
    <t>12:41:22</t>
  </si>
  <si>
    <t>12:31:19</t>
  </si>
  <si>
    <t>12:21:19</t>
  </si>
  <si>
    <t>12:11:19</t>
  </si>
  <si>
    <t>09:08:35</t>
  </si>
  <si>
    <t>07:08:09</t>
  </si>
  <si>
    <t>06:27:58</t>
  </si>
  <si>
    <t>05:07:20</t>
  </si>
  <si>
    <t>04:27:07</t>
  </si>
  <si>
    <t>03:46:55</t>
  </si>
  <si>
    <t>03:06:47</t>
  </si>
  <si>
    <t>02:26:42</t>
  </si>
  <si>
    <t>01:46:40</t>
  </si>
  <si>
    <t>08:43:09</t>
  </si>
  <si>
    <t>05:22:34</t>
  </si>
  <si>
    <t>04:42:33</t>
  </si>
  <si>
    <t>02:02:03</t>
  </si>
  <si>
    <t>01:22:02</t>
  </si>
  <si>
    <t>00:41:45</t>
  </si>
  <si>
    <t>00:01:34</t>
  </si>
  <si>
    <t>23:21:32</t>
  </si>
  <si>
    <t>22:41:26</t>
  </si>
  <si>
    <t>22:01:25</t>
  </si>
  <si>
    <t>21:21:11</t>
  </si>
  <si>
    <t>19:20:54</t>
  </si>
  <si>
    <t>18:40:40</t>
  </si>
  <si>
    <t>17:20:23</t>
  </si>
  <si>
    <t>16:40:17</t>
  </si>
  <si>
    <t>15:59:26</t>
  </si>
  <si>
    <t>15:19:12</t>
  </si>
  <si>
    <t>14:39:09</t>
  </si>
  <si>
    <t>14:05:41</t>
  </si>
  <si>
    <t>13:45:37</t>
  </si>
  <si>
    <t>13:15:36</t>
  </si>
  <si>
    <t>12:55:34</t>
  </si>
  <si>
    <t>12:35:23</t>
  </si>
  <si>
    <t>12:14:40</t>
  </si>
  <si>
    <t>18:32:03</t>
  </si>
  <si>
    <t>17:11:35</t>
  </si>
  <si>
    <t>15:51:04</t>
  </si>
  <si>
    <t>14:12:33</t>
  </si>
  <si>
    <t>14:01:43</t>
  </si>
  <si>
    <t>13:50:53</t>
  </si>
  <si>
    <t>13:40:52</t>
  </si>
  <si>
    <t>13:10:51</t>
  </si>
  <si>
    <t>12:39:59</t>
  </si>
  <si>
    <t>12:29:58</t>
  </si>
  <si>
    <t>12:19:57</t>
  </si>
  <si>
    <t>13:21:43</t>
  </si>
  <si>
    <t>13:11:43</t>
  </si>
  <si>
    <t>13:01:43</t>
  </si>
  <si>
    <t>12:51:38</t>
  </si>
  <si>
    <t>12:41:35</t>
  </si>
  <si>
    <t>12:31:34</t>
  </si>
  <si>
    <t>17:10:26</t>
  </si>
  <si>
    <t>15:49:56</t>
  </si>
  <si>
    <t>15:09:53</t>
  </si>
  <si>
    <t>13:49:45</t>
  </si>
  <si>
    <t>13:47:14</t>
  </si>
  <si>
    <t>13:37:14</t>
  </si>
  <si>
    <t>11:55:24</t>
  </si>
  <si>
    <t>11:47:01</t>
  </si>
  <si>
    <t>11:45:19</t>
  </si>
  <si>
    <t>11:35:16</t>
  </si>
  <si>
    <t>18:53:36</t>
  </si>
  <si>
    <t>17:33:23</t>
  </si>
  <si>
    <t>16:53:21</t>
  </si>
  <si>
    <t>16:13:07</t>
  </si>
  <si>
    <t>15:33:03</t>
  </si>
  <si>
    <t>12:51:56</t>
  </si>
  <si>
    <t>12:38:37</t>
  </si>
  <si>
    <t>12:28:37</t>
  </si>
  <si>
    <t>12:07:54</t>
  </si>
  <si>
    <t>02:10:20</t>
  </si>
  <si>
    <t>01:30:15</t>
  </si>
  <si>
    <t>22:50:00</t>
  </si>
  <si>
    <t>20:49:53</t>
  </si>
  <si>
    <t>20:09:42</t>
  </si>
  <si>
    <t>18:49:39</t>
  </si>
  <si>
    <t>10:08:38</t>
  </si>
  <si>
    <t>04:07:11</t>
  </si>
  <si>
    <t>02:46:35</t>
  </si>
  <si>
    <t>02:06:33</t>
  </si>
  <si>
    <t>01:26:04</t>
  </si>
  <si>
    <t>00:05:57</t>
  </si>
  <si>
    <t>22:05:49</t>
  </si>
  <si>
    <t>21:25:56</t>
  </si>
  <si>
    <t>20:45:43</t>
  </si>
  <si>
    <t>20:05:42</t>
  </si>
  <si>
    <t>19:25:31</t>
  </si>
  <si>
    <t>18:45:20</t>
  </si>
  <si>
    <t>18:05:08</t>
  </si>
  <si>
    <t>17:25:06</t>
  </si>
  <si>
    <t>16:44:56</t>
  </si>
  <si>
    <t>16:04:54</t>
  </si>
  <si>
    <t>15:24:47</t>
  </si>
  <si>
    <t>14:44:43</t>
  </si>
  <si>
    <t>14:04:39</t>
  </si>
  <si>
    <t>13:41:08</t>
  </si>
  <si>
    <t>13:31:03</t>
  </si>
  <si>
    <t>13:23:30</t>
  </si>
  <si>
    <t>13:09:22</t>
  </si>
  <si>
    <t>12:59:21</t>
  </si>
  <si>
    <t>12:43:30</t>
  </si>
  <si>
    <t>12:39:16</t>
  </si>
  <si>
    <t>12:19:11</t>
  </si>
  <si>
    <t>12:09:11</t>
  </si>
  <si>
    <t>05:38:33</t>
  </si>
  <si>
    <t>22:11:57</t>
  </si>
  <si>
    <t>21:31:57</t>
  </si>
  <si>
    <t>19:31:44</t>
  </si>
  <si>
    <t>18:51:29</t>
  </si>
  <si>
    <t>16:10:39</t>
  </si>
  <si>
    <t>15:30:37</t>
  </si>
  <si>
    <t>14:10:21</t>
  </si>
  <si>
    <t>13:30:21</t>
  </si>
  <si>
    <t>13:26:11</t>
  </si>
  <si>
    <t>13:16:09</t>
  </si>
  <si>
    <t>12:56:09</t>
  </si>
  <si>
    <t>12:49:41</t>
  </si>
  <si>
    <t>12:36:06</t>
  </si>
  <si>
    <t>12:26:05</t>
  </si>
  <si>
    <t>12:16:03</t>
  </si>
  <si>
    <t>17:03:26</t>
  </si>
  <si>
    <t>16:53:25</t>
  </si>
  <si>
    <t>14:12:35</t>
  </si>
  <si>
    <t>14:02:33</t>
  </si>
  <si>
    <t>13:42:17</t>
  </si>
  <si>
    <t>17:11:28</t>
  </si>
  <si>
    <t>16:31:20</t>
  </si>
  <si>
    <t>15:51:15</t>
  </si>
  <si>
    <t>14:31:05</t>
  </si>
  <si>
    <t>12:30:14</t>
  </si>
  <si>
    <t>06:28:25</t>
  </si>
  <si>
    <t>05:48:23</t>
  </si>
  <si>
    <t>05:08:13</t>
  </si>
  <si>
    <t>04:27:52</t>
  </si>
  <si>
    <t>03:47:53</t>
  </si>
  <si>
    <t>03:07:41</t>
  </si>
  <si>
    <t>01:46:59</t>
  </si>
  <si>
    <t>01:06:41</t>
  </si>
  <si>
    <t>00:26:21</t>
  </si>
  <si>
    <t>23:06:10</t>
  </si>
  <si>
    <t>22:25:59</t>
  </si>
  <si>
    <t>21:45:50</t>
  </si>
  <si>
    <t>20:25:37</t>
  </si>
  <si>
    <t>16:25:05</t>
  </si>
  <si>
    <t>15:04:44</t>
  </si>
  <si>
    <t>13:12:26</t>
  </si>
  <si>
    <t>13:04:07</t>
  </si>
  <si>
    <t>13:02:26</t>
  </si>
  <si>
    <t>12:52:25</t>
  </si>
  <si>
    <t>12:42:25</t>
  </si>
  <si>
    <t>12:32:23</t>
  </si>
  <si>
    <t>12:23:59</t>
  </si>
  <si>
    <t>12:22:19</t>
  </si>
  <si>
    <t>12:11:28</t>
  </si>
  <si>
    <t>12:01:29</t>
  </si>
  <si>
    <t>11:43:55</t>
  </si>
  <si>
    <t>11:03:42</t>
  </si>
  <si>
    <t>09:43:28</t>
  </si>
  <si>
    <t>08:23:22</t>
  </si>
  <si>
    <t>07:43:21</t>
  </si>
  <si>
    <t>07:03:19</t>
  </si>
  <si>
    <t>06:23:18</t>
  </si>
  <si>
    <t>05:43:11</t>
  </si>
  <si>
    <t>05:03:07</t>
  </si>
  <si>
    <t>04:22:59</t>
  </si>
  <si>
    <t>03:42:42</t>
  </si>
  <si>
    <t>02:22:29</t>
  </si>
  <si>
    <t>01:42:27</t>
  </si>
  <si>
    <t>01:02:23</t>
  </si>
  <si>
    <t>00:22:20</t>
  </si>
  <si>
    <t>23:42:17</t>
  </si>
  <si>
    <t>23:02:16</t>
  </si>
  <si>
    <t>22:21:25</t>
  </si>
  <si>
    <t>21:41:23</t>
  </si>
  <si>
    <t>21:01:23</t>
  </si>
  <si>
    <t>19:41:18</t>
  </si>
  <si>
    <t>19:01:18</t>
  </si>
  <si>
    <t>18:21:18</t>
  </si>
  <si>
    <t>17:55:22</t>
  </si>
  <si>
    <t>17:44:46</t>
  </si>
  <si>
    <t>13:22:02</t>
  </si>
  <si>
    <t>13:12:03</t>
  </si>
  <si>
    <t>13:11:12</t>
  </si>
  <si>
    <t>13:35:52</t>
  </si>
  <si>
    <t>13:25:50</t>
  </si>
  <si>
    <t>13:15:49</t>
  </si>
  <si>
    <t>13:05:48</t>
  </si>
  <si>
    <t>12:54:58</t>
  </si>
  <si>
    <t>12:34:57</t>
  </si>
  <si>
    <t>12:24:54</t>
  </si>
  <si>
    <t>06:54:22</t>
  </si>
  <si>
    <t>04:53:55</t>
  </si>
  <si>
    <t>04:13:44</t>
  </si>
  <si>
    <t>03:33:37</t>
  </si>
  <si>
    <t>02:53:31</t>
  </si>
  <si>
    <t>02:13:25</t>
  </si>
  <si>
    <t>01:33:17</t>
  </si>
  <si>
    <t>00:53:11</t>
  </si>
  <si>
    <t>23:32:06</t>
  </si>
  <si>
    <t>22:52:03</t>
  </si>
  <si>
    <t>00:25:27</t>
  </si>
  <si>
    <t>23:45:28</t>
  </si>
  <si>
    <t>23:05:22</t>
  </si>
  <si>
    <t>21:04:22</t>
  </si>
  <si>
    <t>20:24:20</t>
  </si>
  <si>
    <t>19:44:20</t>
  </si>
  <si>
    <t>19:04:07</t>
  </si>
  <si>
    <t>17:03:51</t>
  </si>
  <si>
    <t>16:23:02</t>
  </si>
  <si>
    <t>13:40:54</t>
  </si>
  <si>
    <t>13:35:54</t>
  </si>
  <si>
    <t>13:00:46</t>
  </si>
  <si>
    <t>12:55:46</t>
  </si>
  <si>
    <t>12:45:47</t>
  </si>
  <si>
    <t>12:25:42</t>
  </si>
  <si>
    <t>12:15:44</t>
  </si>
  <si>
    <t>06:58:41</t>
  </si>
  <si>
    <t>06:18:28</t>
  </si>
  <si>
    <t>05:38:06</t>
  </si>
  <si>
    <t>04:57:44</t>
  </si>
  <si>
    <t>04:17:13</t>
  </si>
  <si>
    <t>02:16:09</t>
  </si>
  <si>
    <t>01:35:51</t>
  </si>
  <si>
    <t>23:35:14</t>
  </si>
  <si>
    <t>22:55:00</t>
  </si>
  <si>
    <t>22:14:57</t>
  </si>
  <si>
    <t>21:34:53</t>
  </si>
  <si>
    <t>20:54:51</t>
  </si>
  <si>
    <t>18:54:39</t>
  </si>
  <si>
    <t>18:14:34</t>
  </si>
  <si>
    <t>16:13:51</t>
  </si>
  <si>
    <t>15:33:34</t>
  </si>
  <si>
    <t>14:13:08</t>
  </si>
  <si>
    <t>13:16:12</t>
  </si>
  <si>
    <t>12:56:08</t>
  </si>
  <si>
    <t>12:52:47</t>
  </si>
  <si>
    <t>12:35:57</t>
  </si>
  <si>
    <t>12:12:34</t>
  </si>
  <si>
    <t>04:08:48</t>
  </si>
  <si>
    <t>02:47:56</t>
  </si>
  <si>
    <t>02:07:54</t>
  </si>
  <si>
    <t>23:27:08</t>
  </si>
  <si>
    <t>22:06:59</t>
  </si>
  <si>
    <t>21:26:47</t>
  </si>
  <si>
    <t>18:46:31</t>
  </si>
  <si>
    <t>18:06:27</t>
  </si>
  <si>
    <t>15:26:04</t>
  </si>
  <si>
    <t>14:21:40</t>
  </si>
  <si>
    <t>13:24:07</t>
  </si>
  <si>
    <t>13:01:34</t>
  </si>
  <si>
    <t>12:31:21</t>
  </si>
  <si>
    <t>12:21:22</t>
  </si>
  <si>
    <t>12:11:21</t>
  </si>
  <si>
    <t>12:03:50</t>
  </si>
  <si>
    <t>13:41:47</t>
  </si>
  <si>
    <t>13:32:27</t>
  </si>
  <si>
    <t>13:22:27</t>
  </si>
  <si>
    <t>13:12:27</t>
  </si>
  <si>
    <t>03:39:46</t>
  </si>
  <si>
    <t>12:05:15</t>
  </si>
  <si>
    <t>11:55:13</t>
  </si>
  <si>
    <t>03:17:50</t>
  </si>
  <si>
    <t>02:37:32</t>
  </si>
  <si>
    <t>01:57:20</t>
  </si>
  <si>
    <t>01:17:07</t>
  </si>
  <si>
    <t>00:36:56</t>
  </si>
  <si>
    <t>23:16:32</t>
  </si>
  <si>
    <t>21:16:04</t>
  </si>
  <si>
    <t>20:35:49</t>
  </si>
  <si>
    <t>19:55:36</t>
  </si>
  <si>
    <t>17:14:25</t>
  </si>
  <si>
    <t>13:52:44</t>
  </si>
  <si>
    <t>15:07:51</t>
  </si>
  <si>
    <t>08:31:57</t>
  </si>
  <si>
    <t>07:51:53</t>
  </si>
  <si>
    <t>06:31:43</t>
  </si>
  <si>
    <t>05:11:31</t>
  </si>
  <si>
    <t>04:31:25</t>
  </si>
  <si>
    <t>03:11:11</t>
  </si>
  <si>
    <t>01:50:56</t>
  </si>
  <si>
    <t>00:30:50</t>
  </si>
  <si>
    <t>23:50:44</t>
  </si>
  <si>
    <t>23:10:44</t>
  </si>
  <si>
    <t>22:29:49</t>
  </si>
  <si>
    <t>21:49:47</t>
  </si>
  <si>
    <t>21:09:47</t>
  </si>
  <si>
    <t>20:29:30</t>
  </si>
  <si>
    <t>19:08:38</t>
  </si>
  <si>
    <t>18:29:02</t>
  </si>
  <si>
    <t>16:28:22</t>
  </si>
  <si>
    <t>14:38:17</t>
  </si>
  <si>
    <t>14:28:36</t>
  </si>
  <si>
    <t>14:17:25</t>
  </si>
  <si>
    <t>14:07:24</t>
  </si>
  <si>
    <t>13:26:32</t>
  </si>
  <si>
    <t>13:06:27</t>
  </si>
  <si>
    <t>12:46:25</t>
  </si>
  <si>
    <t>12:25:32</t>
  </si>
  <si>
    <t>12:14:43</t>
  </si>
  <si>
    <t>07:46:46</t>
  </si>
  <si>
    <t>07:06:36</t>
  </si>
  <si>
    <t>05:45:38</t>
  </si>
  <si>
    <t>05:05:32</t>
  </si>
  <si>
    <t>03:45:15</t>
  </si>
  <si>
    <t>02:24:44</t>
  </si>
  <si>
    <t>00:24:31</t>
  </si>
  <si>
    <t>23:44:27</t>
  </si>
  <si>
    <t>23:04:11</t>
  </si>
  <si>
    <t>22:24:00</t>
  </si>
  <si>
    <t>21:43:55</t>
  </si>
  <si>
    <t>20:23:50</t>
  </si>
  <si>
    <t>19:43:10</t>
  </si>
  <si>
    <t>19:02:48</t>
  </si>
  <si>
    <t>18:22:38</t>
  </si>
  <si>
    <t>13:41:51</t>
  </si>
  <si>
    <t>14:32:24</t>
  </si>
  <si>
    <t>14:22:25</t>
  </si>
  <si>
    <t>14:02:10</t>
  </si>
  <si>
    <t>13:42:05</t>
  </si>
  <si>
    <t>13:32:02</t>
  </si>
  <si>
    <t>12:18:25</t>
  </si>
  <si>
    <t>12:08:23</t>
  </si>
  <si>
    <t>11:58:23</t>
  </si>
  <si>
    <t>12:07:14</t>
  </si>
  <si>
    <t>11:27:04</t>
  </si>
  <si>
    <t>08:46:16</t>
  </si>
  <si>
    <t>04:44:37</t>
  </si>
  <si>
    <t>04:04:26</t>
  </si>
  <si>
    <t>03:24:13</t>
  </si>
  <si>
    <t>02:43:50</t>
  </si>
  <si>
    <t>02:03:25</t>
  </si>
  <si>
    <t>01:23:17</t>
  </si>
  <si>
    <t>00:43:08</t>
  </si>
  <si>
    <t>00:02:56</t>
  </si>
  <si>
    <t>23:22:46</t>
  </si>
  <si>
    <t>22:42:34</t>
  </si>
  <si>
    <t>21:21:45</t>
  </si>
  <si>
    <t>17:42:30</t>
  </si>
  <si>
    <t>16:22:03</t>
  </si>
  <si>
    <t>15:06:27</t>
  </si>
  <si>
    <t>15:01:27</t>
  </si>
  <si>
    <t>14:56:24</t>
  </si>
  <si>
    <t>14:36:21</t>
  </si>
  <si>
    <t>14:21:20</t>
  </si>
  <si>
    <t>13:01:15</t>
  </si>
  <si>
    <t>12:44:34</t>
  </si>
  <si>
    <t>12:34:34</t>
  </si>
  <si>
    <t>12:23:44</t>
  </si>
  <si>
    <t>12:20:24</t>
  </si>
  <si>
    <t>12:13:45</t>
  </si>
  <si>
    <t>11:53:41</t>
  </si>
  <si>
    <t>10:20:18</t>
  </si>
  <si>
    <t>09:40:13</t>
  </si>
  <si>
    <t>08:59:24</t>
  </si>
  <si>
    <t>07:39:10</t>
  </si>
  <si>
    <t>06:18:59</t>
  </si>
  <si>
    <t>05:38:52</t>
  </si>
  <si>
    <t>04:58:53</t>
  </si>
  <si>
    <t>04:18:35</t>
  </si>
  <si>
    <t>03:38:32</t>
  </si>
  <si>
    <t>02:58:31</t>
  </si>
  <si>
    <t>01:38:27</t>
  </si>
  <si>
    <t>23:38:10</t>
  </si>
  <si>
    <t>22:58:08</t>
  </si>
  <si>
    <t>20:57:59</t>
  </si>
  <si>
    <t>20:17:59</t>
  </si>
  <si>
    <t>18:17:53</t>
  </si>
  <si>
    <t>17:37:46</t>
  </si>
  <si>
    <t>16:56:58</t>
  </si>
  <si>
    <t>16:16:51</t>
  </si>
  <si>
    <t>14:42:35</t>
  </si>
  <si>
    <t>14:32:33</t>
  </si>
  <si>
    <t>14:12:32</t>
  </si>
  <si>
    <t>13:52:29</t>
  </si>
  <si>
    <t>13:36:39</t>
  </si>
  <si>
    <t>13:12:28</t>
  </si>
  <si>
    <t>12:56:37</t>
  </si>
  <si>
    <t>12:42:27</t>
  </si>
  <si>
    <t>12:16:35</t>
  </si>
  <si>
    <t>11:36:33</t>
  </si>
  <si>
    <t>10:56:26</t>
  </si>
  <si>
    <t>10:16:19</t>
  </si>
  <si>
    <t>07:35:57</t>
  </si>
  <si>
    <t>06:55:57</t>
  </si>
  <si>
    <t>04:15:31</t>
  </si>
  <si>
    <t>03:35:23</t>
  </si>
  <si>
    <t>02:55:17</t>
  </si>
  <si>
    <t>02:15:17</t>
  </si>
  <si>
    <t>00:14:55</t>
  </si>
  <si>
    <t>23:34:11</t>
  </si>
  <si>
    <t>20:53:45</t>
  </si>
  <si>
    <t>20:13:43</t>
  </si>
  <si>
    <t>13:22:29</t>
  </si>
  <si>
    <t>03:14:04</t>
  </si>
  <si>
    <t>01:06:39</t>
  </si>
  <si>
    <t>00:26:36</t>
  </si>
  <si>
    <t>22:26:30</t>
  </si>
  <si>
    <t>21:46:24</t>
  </si>
  <si>
    <t>19:06:07</t>
  </si>
  <si>
    <t>18:25:59</t>
  </si>
  <si>
    <t>15:45:48</t>
  </si>
  <si>
    <t>15:05:42</t>
  </si>
  <si>
    <t>12:01:57</t>
  </si>
  <si>
    <t>11:51:55</t>
  </si>
  <si>
    <t>13:50:29</t>
  </si>
  <si>
    <t>13:10:21</t>
  </si>
  <si>
    <t>12:29:53</t>
  </si>
  <si>
    <t>11:49:35</t>
  </si>
  <si>
    <t>09:08:41</t>
  </si>
  <si>
    <t>08:28:34</t>
  </si>
  <si>
    <t>07:08:10</t>
  </si>
  <si>
    <t>06:28:05</t>
  </si>
  <si>
    <t>05:47:51</t>
  </si>
  <si>
    <t>03:47:38</t>
  </si>
  <si>
    <t>03:07:22</t>
  </si>
  <si>
    <t>01:06:56</t>
  </si>
  <si>
    <t>00:26:38</t>
  </si>
  <si>
    <t>23:46:25</t>
  </si>
  <si>
    <t>23:06:21</t>
  </si>
  <si>
    <t>22:26:08</t>
  </si>
  <si>
    <t>21:05:44</t>
  </si>
  <si>
    <t>19:45:29</t>
  </si>
  <si>
    <t>05:35:35</t>
  </si>
  <si>
    <t>04:55:30</t>
  </si>
  <si>
    <t>04:15:23</t>
  </si>
  <si>
    <t>03:35:19</t>
  </si>
  <si>
    <t>02:55:13</t>
  </si>
  <si>
    <t>02:14:57</t>
  </si>
  <si>
    <t>01:34:57</t>
  </si>
  <si>
    <t>00:14:46</t>
  </si>
  <si>
    <t>21:34:35</t>
  </si>
  <si>
    <t>20:54:30</t>
  </si>
  <si>
    <t>18:54:14</t>
  </si>
  <si>
    <t>17:34:02</t>
  </si>
  <si>
    <t>16:53:47</t>
  </si>
  <si>
    <t>13:29:18</t>
  </si>
  <si>
    <t>13:19:17</t>
  </si>
  <si>
    <t>12:59:15</t>
  </si>
  <si>
    <t>12:49:15</t>
  </si>
  <si>
    <t>12:11:47</t>
  </si>
  <si>
    <t>12:09:15</t>
  </si>
  <si>
    <t>11:59:14</t>
  </si>
  <si>
    <t>10:11:35</t>
  </si>
  <si>
    <t>08:51:26</t>
  </si>
  <si>
    <t>08:11:24</t>
  </si>
  <si>
    <t>07:31:13</t>
  </si>
  <si>
    <t>05:31:01</t>
  </si>
  <si>
    <t>03:30:52</t>
  </si>
  <si>
    <t>23:29:58</t>
  </si>
  <si>
    <t>22:49:59</t>
  </si>
  <si>
    <t>18:49:29</t>
  </si>
  <si>
    <t>16:09:05</t>
  </si>
  <si>
    <t>15:29:03</t>
  </si>
  <si>
    <t>14:48:59</t>
  </si>
  <si>
    <t>14:09:10</t>
  </si>
  <si>
    <t>13:28:55</t>
  </si>
  <si>
    <t>13:20:36</t>
  </si>
  <si>
    <t>12:59:46</t>
  </si>
  <si>
    <t>11:59:38</t>
  </si>
  <si>
    <t>11:28:48</t>
  </si>
  <si>
    <t>10:48:41</t>
  </si>
  <si>
    <t>13:32:32</t>
  </si>
  <si>
    <t>13:22:19</t>
  </si>
  <si>
    <t>03:14:21</t>
  </si>
  <si>
    <t>20:41:35</t>
  </si>
  <si>
    <t>20:01:14</t>
  </si>
  <si>
    <t>18:40:24</t>
  </si>
  <si>
    <t>18:00:21</t>
  </si>
  <si>
    <t>17:20:06</t>
  </si>
  <si>
    <t>16:39:58</t>
  </si>
  <si>
    <t>13:59:11</t>
  </si>
  <si>
    <t>12:44:11</t>
  </si>
  <si>
    <t>11:59:08</t>
  </si>
  <si>
    <t>11:54:04</t>
  </si>
  <si>
    <t>11:43:59</t>
  </si>
  <si>
    <t>05:56:07</t>
  </si>
  <si>
    <t>05:15:38</t>
  </si>
  <si>
    <t>03:54:52</t>
  </si>
  <si>
    <t>02:34:21</t>
  </si>
  <si>
    <t>01:54:01</t>
  </si>
  <si>
    <t>00:33:18</t>
  </si>
  <si>
    <t>23:12:38</t>
  </si>
  <si>
    <t>21:12:01</t>
  </si>
  <si>
    <t>20:31:43</t>
  </si>
  <si>
    <t>18:30:51</t>
  </si>
  <si>
    <t>15:28:28</t>
  </si>
  <si>
    <t>14:27:33</t>
  </si>
  <si>
    <t>14:08:22</t>
  </si>
  <si>
    <t>13:56:43</t>
  </si>
  <si>
    <t>13:46:40</t>
  </si>
  <si>
    <t>12:48:16</t>
  </si>
  <si>
    <t>12:24:53</t>
  </si>
  <si>
    <t>12:08:12</t>
  </si>
  <si>
    <t>01:16:04</t>
  </si>
  <si>
    <t>22:35:46</t>
  </si>
  <si>
    <t>21:55:31</t>
  </si>
  <si>
    <t>21:15:30</t>
  </si>
  <si>
    <t>20:35:27</t>
  </si>
  <si>
    <t>15:54:44</t>
  </si>
  <si>
    <t>13:14:02</t>
  </si>
  <si>
    <t>10:33:46</t>
  </si>
  <si>
    <t>09:53:45</t>
  </si>
  <si>
    <t>07:53:22</t>
  </si>
  <si>
    <t>06:33:15</t>
  </si>
  <si>
    <t>05:12:58</t>
  </si>
  <si>
    <t>03:52:19</t>
  </si>
  <si>
    <t>03:12:15</t>
  </si>
  <si>
    <t>02:32:07</t>
  </si>
  <si>
    <t>01:51:57</t>
  </si>
  <si>
    <t>23:51:27</t>
  </si>
  <si>
    <t>23:11:25</t>
  </si>
  <si>
    <t>21:51:15</t>
  </si>
  <si>
    <t>20:30:55</t>
  </si>
  <si>
    <t>17:53:52</t>
  </si>
  <si>
    <t>13:51:36</t>
  </si>
  <si>
    <t>13:49:06</t>
  </si>
  <si>
    <t>13:41:35</t>
  </si>
  <si>
    <t>13:31:34</t>
  </si>
  <si>
    <t>13:09:02</t>
  </si>
  <si>
    <t>12:41:23</t>
  </si>
  <si>
    <t>12:28:48</t>
  </si>
  <si>
    <t>11:48:48</t>
  </si>
  <si>
    <t>11:08:45</t>
  </si>
  <si>
    <t>09:48:42</t>
  </si>
  <si>
    <t>05:06:42</t>
  </si>
  <si>
    <t>03:06:18</t>
  </si>
  <si>
    <t>01:45:44</t>
  </si>
  <si>
    <t>01:05:39</t>
  </si>
  <si>
    <t>13:15:54</t>
  </si>
  <si>
    <t>13:13:38</t>
  </si>
  <si>
    <t>10:52:21</t>
  </si>
  <si>
    <t>21:04:19</t>
  </si>
  <si>
    <t>21:58:12</t>
  </si>
  <si>
    <t>17:46:55</t>
  </si>
  <si>
    <t>11:21:25</t>
  </si>
  <si>
    <t>17:08:19</t>
  </si>
  <si>
    <t>12:46:09</t>
  </si>
  <si>
    <t>09:00:33</t>
  </si>
  <si>
    <t>20:50:48</t>
  </si>
  <si>
    <t>22:56:10</t>
  </si>
  <si>
    <t>01:29:31</t>
  </si>
  <si>
    <t>20:29:42</t>
  </si>
  <si>
    <t>13:00:07</t>
  </si>
  <si>
    <t>10:20:59</t>
  </si>
  <si>
    <t>23:46:34</t>
  </si>
  <si>
    <t>22:49:00</t>
  </si>
  <si>
    <t>23:00:43</t>
  </si>
  <si>
    <t>22:50:34</t>
  </si>
  <si>
    <t>12:05:46</t>
  </si>
  <si>
    <t>08:29:27</t>
  </si>
  <si>
    <t>11:54:33</t>
  </si>
  <si>
    <t>23:01:06</t>
  </si>
  <si>
    <t>22:13:13</t>
  </si>
  <si>
    <t>14:03:50</t>
  </si>
  <si>
    <t>01:05:51</t>
  </si>
  <si>
    <t>23:12:50</t>
  </si>
  <si>
    <t>18:35:09</t>
  </si>
  <si>
    <t>07:21:39</t>
  </si>
  <si>
    <t>23:34:44</t>
  </si>
  <si>
    <t>22:29:53</t>
  </si>
  <si>
    <t>23:14:55</t>
  </si>
  <si>
    <t>03:49:37</t>
  </si>
  <si>
    <t>01:41:40</t>
  </si>
  <si>
    <t>23:38:25</t>
  </si>
  <si>
    <t>21:55:42</t>
  </si>
  <si>
    <t>21:55:52</t>
  </si>
  <si>
    <t>23:04:31</t>
  </si>
  <si>
    <t>11:45:27</t>
  </si>
  <si>
    <t>11:33:33</t>
  </si>
  <si>
    <t>16:30:00</t>
  </si>
  <si>
    <t>17:30:00</t>
  </si>
  <si>
    <t>22:30:00</t>
  </si>
  <si>
    <t>19:00:00</t>
  </si>
  <si>
    <t>15:02:59</t>
  </si>
  <si>
    <t>19:42:08</t>
  </si>
  <si>
    <t>21:28:40</t>
  </si>
  <si>
    <t>11:37:48</t>
  </si>
  <si>
    <t>20:31:39</t>
  </si>
  <si>
    <t>08:00:00</t>
  </si>
  <si>
    <t>00:58:23</t>
  </si>
  <si>
    <t>13:00:00</t>
  </si>
  <si>
    <t>13:21:57</t>
  </si>
  <si>
    <t>13:36:09</t>
  </si>
  <si>
    <t>19:00:01</t>
  </si>
  <si>
    <t>14:14:14</t>
  </si>
  <si>
    <t>02:18:18</t>
  </si>
  <si>
    <t>22:50:06</t>
  </si>
  <si>
    <t>13:00:14</t>
  </si>
  <si>
    <t>19:56:52</t>
  </si>
  <si>
    <t>20:29:14</t>
  </si>
  <si>
    <t>18:47:19</t>
  </si>
  <si>
    <t>17:15:28</t>
  </si>
  <si>
    <t>22:30:55</t>
  </si>
  <si>
    <t>14:15:35</t>
  </si>
  <si>
    <t>00:16:17</t>
  </si>
  <si>
    <t>18:14:35</t>
  </si>
  <si>
    <t>20:08:43</t>
  </si>
  <si>
    <t>14:02:50</t>
  </si>
  <si>
    <t>19:58:05</t>
  </si>
  <si>
    <t>14:26:49</t>
  </si>
  <si>
    <t>13:08:35</t>
  </si>
  <si>
    <t>16:18:34</t>
  </si>
  <si>
    <t>17:36:06</t>
  </si>
  <si>
    <t>11:00:02</t>
  </si>
  <si>
    <t>11:49:26</t>
  </si>
  <si>
    <t>14:00:58</t>
  </si>
  <si>
    <t>12:38:38</t>
  </si>
  <si>
    <t>18:57:50</t>
  </si>
  <si>
    <t>13:07:52</t>
  </si>
  <si>
    <t>12:54:31</t>
  </si>
  <si>
    <t>13:09:34</t>
  </si>
  <si>
    <t>10:13:45</t>
  </si>
  <si>
    <t>13:46:16</t>
  </si>
  <si>
    <t>21:34:16</t>
  </si>
  <si>
    <t>13:56:59</t>
  </si>
  <si>
    <t>13:55:04</t>
  </si>
  <si>
    <t>13:09:18</t>
  </si>
  <si>
    <t>18:43:45</t>
  </si>
  <si>
    <t>18:13:32</t>
  </si>
  <si>
    <t>17:29:12</t>
  </si>
  <si>
    <t>15:52:50</t>
  </si>
  <si>
    <t>14:15:18</t>
  </si>
  <si>
    <t>21:35:23</t>
  </si>
  <si>
    <t>15:04:50</t>
  </si>
  <si>
    <t>19:06:51</t>
  </si>
  <si>
    <t>15:35:53</t>
  </si>
  <si>
    <t>12:45:16</t>
  </si>
  <si>
    <t>13:09:52</t>
  </si>
  <si>
    <t>17:16:02</t>
  </si>
  <si>
    <t>13:09:11</t>
  </si>
  <si>
    <t>21:34:33</t>
  </si>
  <si>
    <t>15:05:36</t>
  </si>
  <si>
    <t>12:15:48</t>
  </si>
  <si>
    <t>12:25:56</t>
  </si>
  <si>
    <t>20:26:59</t>
  </si>
  <si>
    <t>11:19:55</t>
  </si>
  <si>
    <t>15:05:13</t>
  </si>
  <si>
    <t>13:45:19</t>
  </si>
  <si>
    <t>13:49:22</t>
  </si>
  <si>
    <t>19:04:17</t>
  </si>
  <si>
    <t>13:45:27</t>
  </si>
  <si>
    <t>18:18:35</t>
  </si>
  <si>
    <t>15:39:07</t>
  </si>
  <si>
    <t>14:44:10</t>
  </si>
  <si>
    <t>12:58:32</t>
  </si>
  <si>
    <t>13:43:04</t>
  </si>
  <si>
    <t>14:41:17</t>
  </si>
  <si>
    <t>21:06:45</t>
  </si>
  <si>
    <t>13:40:17</t>
  </si>
  <si>
    <t>19:51:43</t>
  </si>
  <si>
    <t>19:47:11</t>
  </si>
  <si>
    <t>19:45:02</t>
  </si>
  <si>
    <t>11:35:57</t>
  </si>
  <si>
    <t>18:36:11</t>
  </si>
  <si>
    <t>12:44:44</t>
  </si>
  <si>
    <t>13:03:50</t>
  </si>
  <si>
    <t>21:30:51</t>
  </si>
  <si>
    <t>11:36:53</t>
  </si>
  <si>
    <t>13:05:58</t>
  </si>
  <si>
    <t>15:04:22</t>
  </si>
  <si>
    <t>15:03:45</t>
  </si>
  <si>
    <t>15:38:58</t>
  </si>
  <si>
    <t>15:31:37</t>
  </si>
  <si>
    <t>13:37:27</t>
  </si>
  <si>
    <t>12:50:23</t>
  </si>
  <si>
    <t>11:46:55</t>
  </si>
  <si>
    <t>14:57:58</t>
  </si>
  <si>
    <t>14:55:59</t>
  </si>
  <si>
    <t>12:55:39</t>
  </si>
  <si>
    <t>11:31:43</t>
  </si>
  <si>
    <t>19:14:07</t>
  </si>
  <si>
    <t>18:12:40</t>
  </si>
  <si>
    <t>12:42:43</t>
  </si>
  <si>
    <t>11:48:46</t>
  </si>
  <si>
    <t>14:28:51</t>
  </si>
  <si>
    <t>13:01:07</t>
  </si>
  <si>
    <t>13:47:44</t>
  </si>
  <si>
    <t>13:46:49</t>
  </si>
  <si>
    <t>12:34:26</t>
  </si>
  <si>
    <t>15:16:34</t>
  </si>
  <si>
    <t>15:34:23</t>
  </si>
  <si>
    <t>13:18:46</t>
  </si>
  <si>
    <t>12:56:44</t>
  </si>
  <si>
    <t>13:16:10</t>
  </si>
  <si>
    <t>11:35:13</t>
  </si>
  <si>
    <t>12:43:12</t>
  </si>
  <si>
    <t>18:25:18</t>
  </si>
  <si>
    <t>13:50:11</t>
  </si>
  <si>
    <t>12:24:04</t>
  </si>
  <si>
    <t>15:55:20</t>
  </si>
  <si>
    <t>18:15:37</t>
  </si>
  <si>
    <t>15:30:21</t>
  </si>
  <si>
    <t>12:53:42</t>
  </si>
  <si>
    <t>02:49:16</t>
  </si>
  <si>
    <t>15:34:50</t>
  </si>
  <si>
    <t>14:22:50</t>
  </si>
  <si>
    <t>14:13:10</t>
  </si>
  <si>
    <t>14:04:14</t>
  </si>
  <si>
    <t>14:00:05</t>
  </si>
  <si>
    <t>13:28:54</t>
  </si>
  <si>
    <t>19:34:15</t>
  </si>
  <si>
    <t>19:17:42</t>
  </si>
  <si>
    <t>19:16:39</t>
  </si>
  <si>
    <t>19:53:04</t>
  </si>
  <si>
    <t>19:48:13</t>
  </si>
  <si>
    <t>00:04:58</t>
  </si>
  <si>
    <t>23:24:49</t>
  </si>
  <si>
    <t>22:04:51</t>
  </si>
  <si>
    <t>22:04:05</t>
  </si>
  <si>
    <t>14:19:26</t>
  </si>
  <si>
    <t>19:11:50</t>
  </si>
  <si>
    <t>18:57:43</t>
  </si>
  <si>
    <t>13:33:31</t>
  </si>
  <si>
    <t>14:08:42</t>
  </si>
  <si>
    <t>22:25:36</t>
  </si>
  <si>
    <t>20:16:39</t>
  </si>
  <si>
    <t>20:31:33</t>
  </si>
  <si>
    <t>18:48:12</t>
  </si>
  <si>
    <t>14:50:45</t>
  </si>
  <si>
    <t>16:01:11</t>
  </si>
  <si>
    <t>20:21:35</t>
  </si>
  <si>
    <t>10:01:07</t>
  </si>
  <si>
    <t>20:19:35</t>
  </si>
  <si>
    <t>18:51:36</t>
  </si>
  <si>
    <t>16:16:42</t>
  </si>
  <si>
    <t>17:51:09</t>
  </si>
  <si>
    <t>15:53:39</t>
  </si>
  <si>
    <t>21:01:07</t>
  </si>
  <si>
    <t>20:17:07</t>
  </si>
  <si>
    <t>17:33:38</t>
  </si>
  <si>
    <t>15:53:40</t>
  </si>
  <si>
    <t>11:26:43</t>
  </si>
  <si>
    <t>11:01:48</t>
  </si>
  <si>
    <t>20:40:37</t>
  </si>
  <si>
    <t>15:49:30</t>
  </si>
  <si>
    <t>11:27:49</t>
  </si>
  <si>
    <t>10:16:52</t>
  </si>
  <si>
    <t>23:35:21</t>
  </si>
  <si>
    <t>20:22:48</t>
  </si>
  <si>
    <t>15:51:20</t>
  </si>
  <si>
    <t>21:01:09</t>
  </si>
  <si>
    <t>22:40:01</t>
  </si>
  <si>
    <t>20:00:38</t>
  </si>
  <si>
    <t>19:49:19</t>
  </si>
  <si>
    <t>19:09:15</t>
  </si>
  <si>
    <t>15:58:57</t>
  </si>
  <si>
    <t>12:54:11</t>
  </si>
  <si>
    <t>11:27:28</t>
  </si>
  <si>
    <t>13:57:06</t>
  </si>
  <si>
    <t>12:02:58</t>
  </si>
  <si>
    <t>11:15:23</t>
  </si>
  <si>
    <t>10:58:47</t>
  </si>
  <si>
    <t>10:39:51</t>
  </si>
  <si>
    <t>22:30:05</t>
  </si>
  <si>
    <t>20:17:45</t>
  </si>
  <si>
    <t>18:27:37</t>
  </si>
  <si>
    <t>17:21:53</t>
  </si>
  <si>
    <t>16:49:10</t>
  </si>
  <si>
    <t>15:57:41</t>
  </si>
  <si>
    <t>14:32:18</t>
  </si>
  <si>
    <t>14:25:48</t>
  </si>
  <si>
    <t>11:09:25</t>
  </si>
  <si>
    <t>10:58:33</t>
  </si>
  <si>
    <t>11:17:28</t>
  </si>
  <si>
    <t>10:58:19</t>
  </si>
  <si>
    <t>19:01:36</t>
  </si>
  <si>
    <t>18:29:09</t>
  </si>
  <si>
    <t>16:08:24</t>
  </si>
  <si>
    <t>15:54:25</t>
  </si>
  <si>
    <t>14:07:23</t>
  </si>
  <si>
    <t>11:59:03</t>
  </si>
  <si>
    <t>11:12:54</t>
  </si>
  <si>
    <t>10:44:22</t>
  </si>
  <si>
    <t>20:02:34</t>
  </si>
  <si>
    <t>19:02:05</t>
  </si>
  <si>
    <t>13:42:50</t>
  </si>
  <si>
    <t>13:22:37</t>
  </si>
  <si>
    <t>13:13:44</t>
  </si>
  <si>
    <t>11:56:26</t>
  </si>
  <si>
    <t>10:15:33</t>
  </si>
  <si>
    <t>23:22:25</t>
  </si>
  <si>
    <t>20:27:51</t>
  </si>
  <si>
    <t>18:53:16</t>
  </si>
  <si>
    <t>20:12:56</t>
  </si>
  <si>
    <t>16:13:58</t>
  </si>
  <si>
    <t>17:21:02</t>
  </si>
  <si>
    <t>22:08:57</t>
  </si>
  <si>
    <t>15:00:53</t>
  </si>
  <si>
    <t>15:59:35</t>
  </si>
  <si>
    <t>15:47:16</t>
  </si>
  <si>
    <t>12:49:47</t>
  </si>
  <si>
    <t>11:17:13</t>
  </si>
  <si>
    <t>23:29:09</t>
  </si>
  <si>
    <t>23:06:01</t>
  </si>
  <si>
    <t>20:18:10</t>
  </si>
  <si>
    <t>16:27:12</t>
  </si>
  <si>
    <t>15:37:23</t>
  </si>
  <si>
    <t>10:58:10</t>
  </si>
  <si>
    <t>16:32:35</t>
  </si>
  <si>
    <t>20:01:09</t>
  </si>
  <si>
    <t>17:53:37</t>
  </si>
  <si>
    <t>15:16:14</t>
  </si>
  <si>
    <t>20:25:47</t>
  </si>
  <si>
    <t>16:29:38</t>
  </si>
  <si>
    <t>19:51:06</t>
  </si>
  <si>
    <t>15:41:10</t>
  </si>
  <si>
    <t>15:32:47</t>
  </si>
  <si>
    <t>20:23:20</t>
  </si>
  <si>
    <t>19:23:04</t>
  </si>
  <si>
    <t>18:00:57</t>
  </si>
  <si>
    <t>17:56:45</t>
  </si>
  <si>
    <t>15:47:33</t>
  </si>
  <si>
    <t>11:39:49</t>
  </si>
  <si>
    <t>20:20:12</t>
  </si>
  <si>
    <t>20:01:50</t>
  </si>
  <si>
    <t>16:17:30</t>
  </si>
  <si>
    <t>12:32:21</t>
  </si>
  <si>
    <t>11:38:28</t>
  </si>
  <si>
    <t>23:08:56</t>
  </si>
  <si>
    <t>20:24:46</t>
  </si>
  <si>
    <t>19:00:05</t>
  </si>
  <si>
    <t>12:50:07</t>
  </si>
  <si>
    <t>12:00:49</t>
  </si>
  <si>
    <t>10:53:16</t>
  </si>
  <si>
    <t>19:45:42</t>
  </si>
  <si>
    <t>18:11:53</t>
  </si>
  <si>
    <t>18:02:04</t>
  </si>
  <si>
    <t>17:04:06</t>
  </si>
  <si>
    <t>16:05:19</t>
  </si>
  <si>
    <t>15:52:36</t>
  </si>
  <si>
    <t>15:22:36</t>
  </si>
  <si>
    <t>10:48:04</t>
  </si>
  <si>
    <t>21:58:33</t>
  </si>
  <si>
    <t>20:31:16</t>
  </si>
  <si>
    <t>20:01:17</t>
  </si>
  <si>
    <t>19:06:46</t>
  </si>
  <si>
    <t>15:55:54</t>
  </si>
  <si>
    <t>15:43:47</t>
  </si>
  <si>
    <t>15:06:11</t>
  </si>
  <si>
    <t>14:55:13</t>
  </si>
  <si>
    <t>14:38:31</t>
  </si>
  <si>
    <t>13:20:52</t>
  </si>
  <si>
    <t>13:17:53</t>
  </si>
  <si>
    <t>11:34:20</t>
  </si>
  <si>
    <t>23:32:08</t>
  </si>
  <si>
    <t>20:21:01</t>
  </si>
  <si>
    <t>17:26:23</t>
  </si>
  <si>
    <t>16:58:02</t>
  </si>
  <si>
    <t>16:23:23</t>
  </si>
  <si>
    <t>15:58:08</t>
  </si>
  <si>
    <t>10:58:37</t>
  </si>
  <si>
    <t>19:59:28</t>
  </si>
  <si>
    <t>17:13:17</t>
  </si>
  <si>
    <t>16:32:14</t>
  </si>
  <si>
    <t>13:59:28</t>
  </si>
  <si>
    <t>10:37:01</t>
  </si>
  <si>
    <t>21:54:21</t>
  </si>
  <si>
    <t>20:17:30</t>
  </si>
  <si>
    <t>19:08:13</t>
  </si>
  <si>
    <t>18:39:46</t>
  </si>
  <si>
    <t>16:40:57</t>
  </si>
  <si>
    <t>14:47:26</t>
  </si>
  <si>
    <t>13:55:38</t>
  </si>
  <si>
    <t>13:50:30</t>
  </si>
  <si>
    <t>11:10:00</t>
  </si>
  <si>
    <t>11:01:26</t>
  </si>
  <si>
    <t>21:34:42</t>
  </si>
  <si>
    <t>16:13:49</t>
  </si>
  <si>
    <t>13:24:46</t>
  </si>
  <si>
    <t>12:49:11</t>
  </si>
  <si>
    <t>15:02:33</t>
  </si>
  <si>
    <t>14:08:07</t>
  </si>
  <si>
    <t>21:37:54</t>
  </si>
  <si>
    <t>19:01:28</t>
  </si>
  <si>
    <t>16:11:44</t>
  </si>
  <si>
    <t>16:07:35</t>
  </si>
  <si>
    <t>15:06:34</t>
  </si>
  <si>
    <t>13:48:17</t>
  </si>
  <si>
    <t>10:53:07</t>
  </si>
  <si>
    <t>18:36:47</t>
  </si>
  <si>
    <t>15:21:07</t>
  </si>
  <si>
    <t>15:06:53</t>
  </si>
  <si>
    <t>14:01:27</t>
  </si>
  <si>
    <t>13:35:19</t>
  </si>
  <si>
    <t>13:13:51</t>
  </si>
  <si>
    <t>20:00:59</t>
  </si>
  <si>
    <t>18:56:38</t>
  </si>
  <si>
    <t>16:37:01</t>
  </si>
  <si>
    <t>15:53:11</t>
  </si>
  <si>
    <t>15:01:11</t>
  </si>
  <si>
    <t>21:22:04</t>
  </si>
  <si>
    <t>15:48:54</t>
  </si>
  <si>
    <t>15:28:39</t>
  </si>
  <si>
    <t>13:25:20</t>
  </si>
  <si>
    <t>20:19:03</t>
  </si>
  <si>
    <t>16:10:01</t>
  </si>
  <si>
    <t>20:22:38</t>
  </si>
  <si>
    <t>17:52:43</t>
  </si>
  <si>
    <t>16:04:09</t>
  </si>
  <si>
    <t>16:36:36</t>
  </si>
  <si>
    <t>12:45:04</t>
  </si>
  <si>
    <t>12:39:56</t>
  </si>
  <si>
    <t>11:54:32</t>
  </si>
  <si>
    <t>10:36:39</t>
  </si>
  <si>
    <t>20:18:32</t>
  </si>
  <si>
    <t>17:43:15</t>
  </si>
  <si>
    <t>15:54:48</t>
  </si>
  <si>
    <t>15:00:57</t>
  </si>
  <si>
    <t>20:18:16</t>
  </si>
  <si>
    <t>19:42:23</t>
  </si>
  <si>
    <t>15:58:01</t>
  </si>
  <si>
    <t>20:23:47</t>
  </si>
  <si>
    <t>19:27:23</t>
  </si>
  <si>
    <t>15:57:56</t>
  </si>
  <si>
    <t>11:16:09</t>
  </si>
  <si>
    <t>17:39:54</t>
  </si>
  <si>
    <t>15:48:28</t>
  </si>
  <si>
    <t>11:44:01</t>
  </si>
  <si>
    <t>11:24:06</t>
  </si>
  <si>
    <t>21:02:02</t>
  </si>
  <si>
    <t>20:18:27</t>
  </si>
  <si>
    <t>22:49:29</t>
  </si>
  <si>
    <t>16:57:14</t>
  </si>
  <si>
    <t>15:44:03</t>
  </si>
  <si>
    <t>15:17:53</t>
  </si>
  <si>
    <t>14:58:07</t>
  </si>
  <si>
    <t>10:10:26</t>
  </si>
  <si>
    <t>20:22:55</t>
  </si>
  <si>
    <t>20:24:13</t>
  </si>
  <si>
    <t>17:11:43</t>
  </si>
  <si>
    <t>16:55:04</t>
  </si>
  <si>
    <t>15:53:53</t>
  </si>
  <si>
    <t>13:36:03</t>
  </si>
  <si>
    <t>13:12:50</t>
  </si>
  <si>
    <t>12:27:09</t>
  </si>
  <si>
    <t>10:55:24</t>
  </si>
  <si>
    <t>10:51:27</t>
  </si>
  <si>
    <t>23:20:02</t>
  </si>
  <si>
    <t>20:19:05</t>
  </si>
  <si>
    <t>16:14:32</t>
  </si>
  <si>
    <t>15:03:14</t>
  </si>
  <si>
    <t>14:56:52</t>
  </si>
  <si>
    <t>14:32:45</t>
  </si>
  <si>
    <t>13:11:47</t>
  </si>
  <si>
    <t>12:27:16</t>
  </si>
  <si>
    <t>11:01:39</t>
  </si>
  <si>
    <t>10:55:21</t>
  </si>
  <si>
    <t>23:12:05</t>
  </si>
  <si>
    <t>20:41:12</t>
  </si>
  <si>
    <t>20:21:29</t>
  </si>
  <si>
    <t>17:56:15</t>
  </si>
  <si>
    <t>16:53:37</t>
  </si>
  <si>
    <t>16:36:28</t>
  </si>
  <si>
    <t>14:42:03</t>
  </si>
  <si>
    <t>13:12:15</t>
  </si>
  <si>
    <t>13:10:30</t>
  </si>
  <si>
    <t>10:48:58</t>
  </si>
  <si>
    <t>10:38:15</t>
  </si>
  <si>
    <t>13:01:50</t>
  </si>
  <si>
    <t>15:02:14</t>
  </si>
  <si>
    <t>17:13:07</t>
  </si>
  <si>
    <t>16:08:26</t>
  </si>
  <si>
    <t>16:02:15</t>
  </si>
  <si>
    <t>12:02:31</t>
  </si>
  <si>
    <t>23:35:05</t>
  </si>
  <si>
    <t>20:25:43</t>
  </si>
  <si>
    <t>19:15:51</t>
  </si>
  <si>
    <t>17:45:07</t>
  </si>
  <si>
    <t>16:07:17</t>
  </si>
  <si>
    <t>14:32:16</t>
  </si>
  <si>
    <t>13:12:29</t>
  </si>
  <si>
    <t>11:44:18</t>
  </si>
  <si>
    <t>10:51:59</t>
  </si>
  <si>
    <t>10:19:34</t>
  </si>
  <si>
    <t>23:42:27</t>
  </si>
  <si>
    <t>22:16:39</t>
  </si>
  <si>
    <t>21:00:41</t>
  </si>
  <si>
    <t>20:47:15</t>
  </si>
  <si>
    <t>20:21:42</t>
  </si>
  <si>
    <t>19:23:09</t>
  </si>
  <si>
    <t>16:58:24</t>
  </si>
  <si>
    <t>13:36:00</t>
  </si>
  <si>
    <t>18:10:49</t>
  </si>
  <si>
    <t>19:12:20</t>
  </si>
  <si>
    <t>14:42:44</t>
  </si>
  <si>
    <t>10:31:47</t>
  </si>
  <si>
    <t>19:28:40</t>
  </si>
  <si>
    <t>18:06:10</t>
  </si>
  <si>
    <t>16:46:29</t>
  </si>
  <si>
    <t>13:30:33</t>
  </si>
  <si>
    <t>20:23:08</t>
  </si>
  <si>
    <t>17:32:43</t>
  </si>
  <si>
    <t>16:13:40</t>
  </si>
  <si>
    <t>15:07:27</t>
  </si>
  <si>
    <t>14:19:12</t>
  </si>
  <si>
    <t>14:16:08</t>
  </si>
  <si>
    <t>13:41:14</t>
  </si>
  <si>
    <t>15:52:37</t>
  </si>
  <si>
    <t>15:49:45</t>
  </si>
  <si>
    <t>22:04:46</t>
  </si>
  <si>
    <t>20:31:49</t>
  </si>
  <si>
    <t>19:39:40</t>
  </si>
  <si>
    <t>19:18:01</t>
  </si>
  <si>
    <t>16:03:51</t>
  </si>
  <si>
    <t>13:42:13</t>
  </si>
  <si>
    <t>19:08:22</t>
  </si>
  <si>
    <t>20:21:08</t>
  </si>
  <si>
    <t>15:43:13</t>
  </si>
  <si>
    <t>13:53:26</t>
  </si>
  <si>
    <t>16:04:31</t>
  </si>
  <si>
    <t>20:45:44</t>
  </si>
  <si>
    <t>16:10:42</t>
  </si>
  <si>
    <t>14:54:56</t>
  </si>
  <si>
    <t>20:25:02</t>
  </si>
  <si>
    <t>18:02:12</t>
  </si>
  <si>
    <t>11:30:59</t>
  </si>
  <si>
    <t>11:01:09</t>
  </si>
  <si>
    <t>20:07:11</t>
  </si>
  <si>
    <t>17:36:03</t>
  </si>
  <si>
    <t>16:48:24</t>
  </si>
  <si>
    <t>16:12:33</t>
  </si>
  <si>
    <t>11:46:09</t>
  </si>
  <si>
    <t>21:59:08</t>
  </si>
  <si>
    <t>20:21:07</t>
  </si>
  <si>
    <t>18:13:08</t>
  </si>
  <si>
    <t>16:45:00</t>
  </si>
  <si>
    <t>16:11:50</t>
  </si>
  <si>
    <t>21:08:18</t>
  </si>
  <si>
    <t>19:46:04</t>
  </si>
  <si>
    <t>16:07:11</t>
  </si>
  <si>
    <t>14:33:16</t>
  </si>
  <si>
    <t>12:53:06</t>
  </si>
  <si>
    <t>12:00:28</t>
  </si>
  <si>
    <t>11:33:45</t>
  </si>
  <si>
    <t>17:08:35</t>
  </si>
  <si>
    <t>16:12:48</t>
  </si>
  <si>
    <t>15:26:01</t>
  </si>
  <si>
    <t>18:21:14</t>
  </si>
  <si>
    <t>18:05:43</t>
  </si>
  <si>
    <t>17:33:11</t>
  </si>
  <si>
    <t>16:36:51</t>
  </si>
  <si>
    <t>12:46:33</t>
  </si>
  <si>
    <t>12:35:22</t>
  </si>
  <si>
    <t>11:01:20</t>
  </si>
  <si>
    <t>10:55:09</t>
  </si>
  <si>
    <t>20:02:23</t>
  </si>
  <si>
    <t>15:09:00</t>
  </si>
  <si>
    <t>14:27:08</t>
  </si>
  <si>
    <t>11:13:24</t>
  </si>
  <si>
    <t>18:25:46</t>
  </si>
  <si>
    <t>21:48:22</t>
  </si>
  <si>
    <t>16:32:57</t>
  </si>
  <si>
    <t>14:09:08</t>
  </si>
  <si>
    <t>13:58:13</t>
  </si>
  <si>
    <t>13:49:31</t>
  </si>
  <si>
    <t>21:55:00</t>
  </si>
  <si>
    <t>21:50:41</t>
  </si>
  <si>
    <t>12:44:32</t>
  </si>
  <si>
    <t>10:35:18</t>
  </si>
  <si>
    <t>11:39:09</t>
  </si>
  <si>
    <t>21:30:06</t>
  </si>
  <si>
    <t>20:21:56</t>
  </si>
  <si>
    <t>16:21:23</t>
  </si>
  <si>
    <t>15:53:16</t>
  </si>
  <si>
    <t>20:21:03</t>
  </si>
  <si>
    <t>15:59:59</t>
  </si>
  <si>
    <t>22:49:02</t>
  </si>
  <si>
    <t>22:28:44</t>
  </si>
  <si>
    <t>21:08:00</t>
  </si>
  <si>
    <t>20:20:52</t>
  </si>
  <si>
    <t>19:24:49</t>
  </si>
  <si>
    <t>12:57:18</t>
  </si>
  <si>
    <t>22:08:19</t>
  </si>
  <si>
    <t>16:51:45</t>
  </si>
  <si>
    <t>16:07:29</t>
  </si>
  <si>
    <t>16:01:41</t>
  </si>
  <si>
    <t>15:56:10</t>
  </si>
  <si>
    <t>20:25:12</t>
  </si>
  <si>
    <t>14:45:43</t>
  </si>
  <si>
    <t>18:42:53</t>
  </si>
  <si>
    <t>17:48:40</t>
  </si>
  <si>
    <t>20:19:02</t>
  </si>
  <si>
    <t>15:58:23</t>
  </si>
  <si>
    <t>12:04:30</t>
  </si>
  <si>
    <t>22:10:51</t>
  </si>
  <si>
    <t>22:05:29</t>
  </si>
  <si>
    <t>20:21:15</t>
  </si>
  <si>
    <t>18:16:59</t>
  </si>
  <si>
    <t>17:29:09</t>
  </si>
  <si>
    <t>16:11:39</t>
  </si>
  <si>
    <t>14:23:34</t>
  </si>
  <si>
    <t>12:26:53</t>
  </si>
  <si>
    <t>11:25:54</t>
  </si>
  <si>
    <t>18:50:31</t>
  </si>
  <si>
    <t>15:00:45</t>
  </si>
  <si>
    <t>20:29:36</t>
  </si>
  <si>
    <t>17:34:47</t>
  </si>
  <si>
    <t>16:20:44</t>
  </si>
  <si>
    <t>13:13:10</t>
  </si>
  <si>
    <t>11:05:00</t>
  </si>
  <si>
    <t>10:34:12</t>
  </si>
  <si>
    <t>17:46:03</t>
  </si>
  <si>
    <t>17:35:26</t>
  </si>
  <si>
    <t>16:14:22</t>
  </si>
  <si>
    <t>13:57:31</t>
  </si>
  <si>
    <t>11:06:51</t>
  </si>
  <si>
    <t>10:59:07</t>
  </si>
  <si>
    <t>10:47:50</t>
  </si>
  <si>
    <t>18:56:56</t>
  </si>
  <si>
    <t>17:15:42</t>
  </si>
  <si>
    <t>16:59:13</t>
  </si>
  <si>
    <t>16:11:58</t>
  </si>
  <si>
    <t>14:44:37</t>
  </si>
  <si>
    <t>13:13:17</t>
  </si>
  <si>
    <t>12:50:53</t>
  </si>
  <si>
    <t>23:14:42</t>
  </si>
  <si>
    <t>13:32:58</t>
  </si>
  <si>
    <t>13:29:52</t>
  </si>
  <si>
    <t>18:56:51</t>
  </si>
  <si>
    <t>15:58:18</t>
  </si>
  <si>
    <t>14:00:09</t>
  </si>
  <si>
    <t>13:57:54</t>
  </si>
  <si>
    <t>23:15:46</t>
  </si>
  <si>
    <t>23:14:17</t>
  </si>
  <si>
    <t>23:43:05</t>
  </si>
  <si>
    <t>23:29:54</t>
  </si>
  <si>
    <t>22:00:04</t>
  </si>
  <si>
    <t>19:21:50</t>
  </si>
  <si>
    <t>18:24:20</t>
  </si>
  <si>
    <t>14:54:58</t>
  </si>
  <si>
    <t>14:11:28</t>
  </si>
  <si>
    <t>14:10:54</t>
  </si>
  <si>
    <t>12:43:10</t>
  </si>
  <si>
    <t>18:25:05</t>
  </si>
  <si>
    <t>18:00:44</t>
  </si>
  <si>
    <t>14:27:21</t>
  </si>
  <si>
    <t>13:38:18</t>
  </si>
  <si>
    <t>20:58:43</t>
  </si>
  <si>
    <t>20:18:07</t>
  </si>
  <si>
    <t>15:59:14</t>
  </si>
  <si>
    <t>20:16:03</t>
  </si>
  <si>
    <t>15:53:15</t>
  </si>
  <si>
    <t>02:33:17</t>
  </si>
  <si>
    <t>20:16:28</t>
  </si>
  <si>
    <t>19:48:42</t>
  </si>
  <si>
    <t>15:50:28</t>
  </si>
  <si>
    <t>15:38:46</t>
  </si>
  <si>
    <t>11:57:35</t>
  </si>
  <si>
    <t>23:04:16</t>
  </si>
  <si>
    <t>22:26:24</t>
  </si>
  <si>
    <t>20:12:58</t>
  </si>
  <si>
    <t>15:46:55</t>
  </si>
  <si>
    <t>22:34:08</t>
  </si>
  <si>
    <t>20:38:42</t>
  </si>
  <si>
    <t>16:40:37</t>
  </si>
  <si>
    <t>16:01:08</t>
  </si>
  <si>
    <t>15:44:27</t>
  </si>
  <si>
    <t>20:01:07</t>
  </si>
  <si>
    <t>20:59:03</t>
  </si>
  <si>
    <t>20:43:18</t>
  </si>
  <si>
    <t>17:08:47</t>
  </si>
  <si>
    <t>16:26:53</t>
  </si>
  <si>
    <t>15:05:55</t>
  </si>
  <si>
    <t>11:35:19</t>
  </si>
  <si>
    <t>21:45:27</t>
  </si>
  <si>
    <t>20:23:51</t>
  </si>
  <si>
    <t>16:02:57</t>
  </si>
  <si>
    <t>15:49:57</t>
  </si>
  <si>
    <t>11:20:07</t>
  </si>
  <si>
    <t>16:37:20</t>
  </si>
  <si>
    <t>16:30:49</t>
  </si>
  <si>
    <t>15:06:45</t>
  </si>
  <si>
    <t>14:31:25</t>
  </si>
  <si>
    <t>14:12:26</t>
  </si>
  <si>
    <t>13:14:34</t>
  </si>
  <si>
    <t>13:13:40</t>
  </si>
  <si>
    <t>12:58:25</t>
  </si>
  <si>
    <t>12:02:35</t>
  </si>
  <si>
    <t>11:09:50</t>
  </si>
  <si>
    <t>11:01:30</t>
  </si>
  <si>
    <t>20:30:23</t>
  </si>
  <si>
    <t>15:18:50</t>
  </si>
  <si>
    <t>13:17:48</t>
  </si>
  <si>
    <t>12:08:01</t>
  </si>
  <si>
    <t>10:58:16</t>
  </si>
  <si>
    <t>10:46:03</t>
  </si>
  <si>
    <t>10:46:02</t>
  </si>
  <si>
    <t>20:02:31</t>
  </si>
  <si>
    <t>19:03:59</t>
  </si>
  <si>
    <t>19:01:30</t>
  </si>
  <si>
    <t>17:02:46</t>
  </si>
  <si>
    <t>20:28:15</t>
  </si>
  <si>
    <t>19:54:47</t>
  </si>
  <si>
    <t>16:57:37</t>
  </si>
  <si>
    <t>16:24:34</t>
  </si>
  <si>
    <t>15:31:35</t>
  </si>
  <si>
    <t>14:34:17</t>
  </si>
  <si>
    <t>13:16:50</t>
  </si>
  <si>
    <t>11:07:23</t>
  </si>
  <si>
    <t>10:43:53</t>
  </si>
  <si>
    <t>13:47:12</t>
  </si>
  <si>
    <t>18:17:54</t>
  </si>
  <si>
    <t>12:48:06</t>
  </si>
  <si>
    <t>12:15:10</t>
  </si>
  <si>
    <t>22:49:03</t>
  </si>
  <si>
    <t>12:45:05</t>
  </si>
  <si>
    <t>12:20:41</t>
  </si>
  <si>
    <t>12:43:38</t>
  </si>
  <si>
    <t>12:42:54</t>
  </si>
  <si>
    <t>12:40:13</t>
  </si>
  <si>
    <t>11:12:31</t>
  </si>
  <si>
    <t>22:59:39</t>
  </si>
  <si>
    <t>22:12:51</t>
  </si>
  <si>
    <t>18:19:09</t>
  </si>
  <si>
    <t>23:30:48</t>
  </si>
  <si>
    <t>20:52:36</t>
  </si>
  <si>
    <t>20:23:06</t>
  </si>
  <si>
    <t>19:11:49</t>
  </si>
  <si>
    <t>16:13:41</t>
  </si>
  <si>
    <t>20:17:09</t>
  </si>
  <si>
    <t>13:31:16</t>
  </si>
  <si>
    <t>12:14:04</t>
  </si>
  <si>
    <t>11:01:29</t>
  </si>
  <si>
    <t>20:21:38</t>
  </si>
  <si>
    <t>18:59:29</t>
  </si>
  <si>
    <t>20:01:08</t>
  </si>
  <si>
    <t>17:23:34</t>
  </si>
  <si>
    <t>16:01:34</t>
  </si>
  <si>
    <t>11:41:30</t>
  </si>
  <si>
    <t>23:21:51</t>
  </si>
  <si>
    <t>22:21:02</t>
  </si>
  <si>
    <t>20:21:37</t>
  </si>
  <si>
    <t>18:59:28</t>
  </si>
  <si>
    <t>15:09:48</t>
  </si>
  <si>
    <t>11:27:58</t>
  </si>
  <si>
    <t>15:57:05</t>
  </si>
  <si>
    <t>12:46:15</t>
  </si>
  <si>
    <t>20:25:11</t>
  </si>
  <si>
    <t>16:04:06</t>
  </si>
  <si>
    <t>22:18:00</t>
  </si>
  <si>
    <t>20:19:29</t>
  </si>
  <si>
    <t>15:53:50</t>
  </si>
  <si>
    <t>11:40:34</t>
  </si>
  <si>
    <t>19:39:34</t>
  </si>
  <si>
    <t>13:31:08</t>
  </si>
  <si>
    <t>19:29:51</t>
  </si>
  <si>
    <t>15:52:10</t>
  </si>
  <si>
    <t>15:46:40</t>
  </si>
  <si>
    <t>11:01:07</t>
  </si>
  <si>
    <t>20:22:21</t>
  </si>
  <si>
    <t>10:55:04</t>
  </si>
  <si>
    <t>23:08:01</t>
  </si>
  <si>
    <t>20:15:36</t>
  </si>
  <si>
    <t>15:50:32</t>
  </si>
  <si>
    <t>13:34:28</t>
  </si>
  <si>
    <t>22:43:52</t>
  </si>
  <si>
    <t>20:16:05</t>
  </si>
  <si>
    <t>16:24:54</t>
  </si>
  <si>
    <t>18:00:50</t>
  </si>
  <si>
    <t>13:20:10</t>
  </si>
  <si>
    <t>21:02:31</t>
  </si>
  <si>
    <t>20:24:05</t>
  </si>
  <si>
    <t>16:51:46</t>
  </si>
  <si>
    <t>16:28:02</t>
  </si>
  <si>
    <t>12:40:11</t>
  </si>
  <si>
    <t>11:12:17</t>
  </si>
  <si>
    <t>11:11:35</t>
  </si>
  <si>
    <t>10:56:38</t>
  </si>
  <si>
    <t>10:24:00</t>
  </si>
  <si>
    <t>20:22:39</t>
  </si>
  <si>
    <t>17:22:07</t>
  </si>
  <si>
    <t>16:29:18</t>
  </si>
  <si>
    <t>15:26:32</t>
  </si>
  <si>
    <t>13:51:24</t>
  </si>
  <si>
    <t>10:59:50</t>
  </si>
  <si>
    <t>10:10:27</t>
  </si>
  <si>
    <t>19:12:00</t>
  </si>
  <si>
    <t>18:36:58</t>
  </si>
  <si>
    <t>17:05:17</t>
  </si>
  <si>
    <t>16:29:40</t>
  </si>
  <si>
    <t>16:01:19</t>
  </si>
  <si>
    <t>13:10:19</t>
  </si>
  <si>
    <t>11:13:28</t>
  </si>
  <si>
    <t>10:45:08</t>
  </si>
  <si>
    <t>20:44:19</t>
  </si>
  <si>
    <t>19:23:00</t>
  </si>
  <si>
    <t>19:01:37</t>
  </si>
  <si>
    <t>15:04:48</t>
  </si>
  <si>
    <t>15:02:16</t>
  </si>
  <si>
    <t>14:52:15</t>
  </si>
  <si>
    <t>14:18:07</t>
  </si>
  <si>
    <t>11:54:28</t>
  </si>
  <si>
    <t>19:21:43</t>
  </si>
  <si>
    <t>17:49:49</t>
  </si>
  <si>
    <t>15:37:09</t>
  </si>
  <si>
    <t>11:58:41</t>
  </si>
  <si>
    <t>20:28:57</t>
  </si>
  <si>
    <t>19:28:27</t>
  </si>
  <si>
    <t>19:17:56</t>
  </si>
  <si>
    <t>17:00:34</t>
  </si>
  <si>
    <t>16:13:34</t>
  </si>
  <si>
    <t>14:58:02</t>
  </si>
  <si>
    <t>12:40:10</t>
  </si>
  <si>
    <t>13:51:35</t>
  </si>
  <si>
    <t>14:50:37</t>
  </si>
  <si>
    <t>15:44:51</t>
  </si>
  <si>
    <t>19:25:24</t>
  </si>
  <si>
    <t>15:41:27</t>
  </si>
  <si>
    <t>21:27:44</t>
  </si>
  <si>
    <t>20:17:46</t>
  </si>
  <si>
    <t>16:00:49</t>
  </si>
  <si>
    <t>18:22:34</t>
  </si>
  <si>
    <t>20:19:47</t>
  </si>
  <si>
    <t>22:51:27</t>
  </si>
  <si>
    <t>16:02:16</t>
  </si>
  <si>
    <t>15:52:40</t>
  </si>
  <si>
    <t>15:59:37</t>
  </si>
  <si>
    <t>12:09:51</t>
  </si>
  <si>
    <t>14:07:17</t>
  </si>
  <si>
    <t>11:11:11</t>
  </si>
  <si>
    <t>10:10:49</t>
  </si>
  <si>
    <t>16:21:05</t>
  </si>
  <si>
    <t>16:04:12</t>
  </si>
  <si>
    <t>14:51:31</t>
  </si>
  <si>
    <t>11:20:24</t>
  </si>
  <si>
    <t>10:54:44</t>
  </si>
  <si>
    <t>10:06:25</t>
  </si>
  <si>
    <t>19:00:55</t>
  </si>
  <si>
    <t>16:21:40</t>
  </si>
  <si>
    <t>14:46:17</t>
  </si>
  <si>
    <t>14:36:25</t>
  </si>
  <si>
    <t>13:11:32</t>
  </si>
  <si>
    <t>12:22:37</t>
  </si>
  <si>
    <t>11:14:24</t>
  </si>
  <si>
    <t>16:01:09</t>
  </si>
  <si>
    <t>20:22:20</t>
  </si>
  <si>
    <t>19:25:11</t>
  </si>
  <si>
    <t>18:02:16</t>
  </si>
  <si>
    <t>16:54:27</t>
  </si>
  <si>
    <t>18:59:03</t>
  </si>
  <si>
    <t>17:36:43</t>
  </si>
  <si>
    <t>16:31:14</t>
  </si>
  <si>
    <t>16:08:19</t>
  </si>
  <si>
    <t>14:57:31</t>
  </si>
  <si>
    <t>14:11:53</t>
  </si>
  <si>
    <t>23:21:10</t>
  </si>
  <si>
    <t>21:43:01</t>
  </si>
  <si>
    <t>18:34:10</t>
  </si>
  <si>
    <t>17:10:37</t>
  </si>
  <si>
    <t>10:18:26</t>
  </si>
  <si>
    <t>20:09:45</t>
  </si>
  <si>
    <t>19:54:55</t>
  </si>
  <si>
    <t>17:20:20</t>
  </si>
  <si>
    <t>15:20:54</t>
  </si>
  <si>
    <t>13:16:14</t>
  </si>
  <si>
    <t>10:32:42</t>
  </si>
  <si>
    <t>18:43:40</t>
  </si>
  <si>
    <t>16:00:29</t>
  </si>
  <si>
    <t>18:45:04</t>
  </si>
  <si>
    <t>19:13:19</t>
  </si>
  <si>
    <t>20:05:11</t>
  </si>
  <si>
    <t>21:39:27</t>
  </si>
  <si>
    <t>00:44:54</t>
  </si>
  <si>
    <t>21:29:59</t>
  </si>
  <si>
    <t>21:16:11</t>
  </si>
  <si>
    <t>22:24:40</t>
  </si>
  <si>
    <t>23:02:36</t>
  </si>
  <si>
    <t>08:16:46</t>
  </si>
  <si>
    <t>15:49:01</t>
  </si>
  <si>
    <t>21:55:45</t>
  </si>
  <si>
    <t>08:26:58</t>
  </si>
  <si>
    <t>00:43:53</t>
  </si>
  <si>
    <t>22:02:10</t>
  </si>
  <si>
    <t>21:46:55</t>
  </si>
  <si>
    <t>21:29:21</t>
  </si>
  <si>
    <t>08:14:27</t>
  </si>
  <si>
    <t>22:57:57</t>
  </si>
  <si>
    <t>15:30:59</t>
  </si>
  <si>
    <t>20:44:53</t>
  </si>
  <si>
    <t>16:49:07</t>
  </si>
  <si>
    <t>14:58:34</t>
  </si>
  <si>
    <t>08:30:31</t>
  </si>
  <si>
    <t>01:41:15</t>
  </si>
  <si>
    <t>15:23:32</t>
  </si>
  <si>
    <t>13:51:43</t>
  </si>
  <si>
    <t>22:37:24</t>
  </si>
  <si>
    <t>11:11:17</t>
  </si>
  <si>
    <t>09:09:46</t>
  </si>
  <si>
    <t>17:18:21</t>
  </si>
  <si>
    <t>14:46:06</t>
  </si>
  <si>
    <t>08:40:44</t>
  </si>
  <si>
    <t>22:36:52</t>
  </si>
  <si>
    <t>20:37:54</t>
  </si>
  <si>
    <t>10:45:05</t>
  </si>
  <si>
    <t>20:44:34</t>
  </si>
  <si>
    <t>15:09:28</t>
  </si>
  <si>
    <t>09:42:33</t>
  </si>
  <si>
    <t>08:26:07</t>
  </si>
  <si>
    <t>15:04:12</t>
  </si>
  <si>
    <t>14:11:24</t>
  </si>
  <si>
    <t>17:53:30</t>
  </si>
  <si>
    <t>09:58:00</t>
  </si>
  <si>
    <t>15:20:06</t>
  </si>
  <si>
    <t>10:19:09</t>
  </si>
  <si>
    <t>21:49:03</t>
  </si>
  <si>
    <t>12:47:31</t>
  </si>
  <si>
    <t>09:20:18</t>
  </si>
  <si>
    <t>20:40:04</t>
  </si>
  <si>
    <t>08:20:01</t>
  </si>
  <si>
    <t>22:12:38</t>
  </si>
  <si>
    <t>20:37:35</t>
  </si>
  <si>
    <t>19:34:12</t>
  </si>
  <si>
    <t>15:33:54</t>
  </si>
  <si>
    <t>12:46:16</t>
  </si>
  <si>
    <t>18:34:47</t>
  </si>
  <si>
    <t>14:39:23</t>
  </si>
  <si>
    <t>00:15:52</t>
  </si>
  <si>
    <t>19:02:34</t>
  </si>
  <si>
    <t>12:13:06</t>
  </si>
  <si>
    <t>12:39:08</t>
  </si>
  <si>
    <t>01:07:36</t>
  </si>
  <si>
    <t>17:21:07</t>
  </si>
  <si>
    <t>23:00:50</t>
  </si>
  <si>
    <t>14:37:33</t>
  </si>
  <si>
    <t>21:57:04</t>
  </si>
  <si>
    <t>20:14:56</t>
  </si>
  <si>
    <t>20:57:49</t>
  </si>
  <si>
    <t>16:22:42</t>
  </si>
  <si>
    <t>18:51:12</t>
  </si>
  <si>
    <t>20:38:57</t>
  </si>
  <si>
    <t>18:00:34</t>
  </si>
  <si>
    <t>18:00:35</t>
  </si>
  <si>
    <t>03:54:56</t>
  </si>
  <si>
    <t>16:53:31</t>
  </si>
  <si>
    <t>11:25:05</t>
  </si>
  <si>
    <t>02:58:21</t>
  </si>
  <si>
    <t>15:14:18</t>
  </si>
  <si>
    <t>16:23:31</t>
  </si>
  <si>
    <t>11:41:02</t>
  </si>
  <si>
    <t>09:48:53</t>
  </si>
  <si>
    <t>09:42:16</t>
  </si>
  <si>
    <t>02:15:38</t>
  </si>
  <si>
    <t>15:37:52</t>
  </si>
  <si>
    <t>14:03:09</t>
  </si>
  <si>
    <t>00:44:29</t>
  </si>
  <si>
    <t>22:23:33</t>
  </si>
  <si>
    <t>14:54:41</t>
  </si>
  <si>
    <t>13:47:49</t>
  </si>
  <si>
    <t>19:03:43</t>
  </si>
  <si>
    <t>16:31:19</t>
  </si>
  <si>
    <t>17:43:04</t>
  </si>
  <si>
    <t>19:30:39</t>
  </si>
  <si>
    <t>20:32:13</t>
  </si>
  <si>
    <t>13:48:39</t>
  </si>
  <si>
    <t>22:10:31</t>
  </si>
  <si>
    <t>-43,795449,-23,08302 
-43,795449,-22,7398234 
-43,0877068,-22,7398234 
-43,0877068,-23,08302 
-43,795449,-23,08302</t>
  </si>
  <si>
    <t>-46,826039,-24,008814 
-46,826039,-23,356792 
-46,365052,-23,356792 
-46,365052,-24,008814 
-46,826039,-24,008814</t>
  </si>
  <si>
    <t>-6,8026456,39,1553066 
-6,8026456,39,6471362 
-6,0789284,39,6471362 
-6,0789284,39,1553066 
-6,8026456,39,1553066</t>
  </si>
  <si>
    <t>-35,227441,-8,222714 
-35,227441,-8,069775 
-35,057906,-8,069775 
-35,057906,-8,222714 
-35,227441,-8,222714</t>
  </si>
  <si>
    <t>-48,623684,-1,526453 
-48,623684,-1,019406 
-48,295911,-1,019406 
-48,295911,-1,526453 
-48,623684,-1,526453</t>
  </si>
  <si>
    <t>-73,991482,-33,7510506 
-73,991482,5,27192 
-32,378186,5,27192 
-32,378186,-33,7510506 
-73,991482,-33,7510506</t>
  </si>
  <si>
    <t>-45,59854,-4,0751765 
-45,59854,-3,637177 
-45,305723,-3,637177 
-45,305723,-4,0751765 
-45,59854,-4,0751765</t>
  </si>
  <si>
    <t>-37,0902048,-10,8870973 
-37,0902048,-10,682298 
-36,8523521,-10,682298 
-36,8523521,-10,8870973 
-37,0902048,-10,8870973</t>
  </si>
  <si>
    <t>-47,2450492,-23,06071 
-47,2450492,-22,729279 
-46,815387,-22,729279 
-46,815387,-23,06071 
-47,2450492,-23,06071</t>
  </si>
  <si>
    <t>-43,022429,-23,024591 
-43,022429,-22,841235 
-42,636396,-22,841235 
-42,636396,-23,024591 
-43,022429,-23,024591</t>
  </si>
  <si>
    <t>-40,969461,-9,482947 
-40,969461,-8,587531 
-40,208561,-8,587531 
-40,208561,-9,482947 
-40,969461,-9,482947</t>
  </si>
  <si>
    <t>-58,167538,-24,068659 
-58,167538,-17,166446 
-50,922905,-17,166446 
-50,922905,-24,068659 
-58,167538,-24,068659</t>
  </si>
  <si>
    <t>-31,2688154,30,0302839 
-31,2688154,42,1542048 
-6,1902091,42,1542048 
-6,1902091,30,0302839 
-31,2688154,30,0302839</t>
  </si>
  <si>
    <t>-9,2298264,38,6913748 
-9,2298264,38,7958529 
-9,0901639,38,7958529 
-9,0901639,38,6913748 
-9,2298264,38,6913748</t>
  </si>
  <si>
    <t>Brasil</t>
  </si>
  <si>
    <t>Espanha</t>
  </si>
  <si>
    <t>Portugal</t>
  </si>
  <si>
    <t>BR</t>
  </si>
  <si>
    <t>ES</t>
  </si>
  <si>
    <t>PT</t>
  </si>
  <si>
    <t>Rio de Janeiro, Brasil</t>
  </si>
  <si>
    <t>São Paulo, Brasil</t>
  </si>
  <si>
    <t>Cáceres, España</t>
  </si>
  <si>
    <t>Moreno, Brasil</t>
  </si>
  <si>
    <t>Belém, Brasil</t>
  </si>
  <si>
    <t>Santa Inês, Brasil</t>
  </si>
  <si>
    <t>Santo Amaro das Brotas, Brasil</t>
  </si>
  <si>
    <t>Campinas, Brasil</t>
  </si>
  <si>
    <t>Maricá, Brasil</t>
  </si>
  <si>
    <t>Petrolina, Brasil</t>
  </si>
  <si>
    <t>Mato Grosso do Sul, Brasil</t>
  </si>
  <si>
    <t>Lisboa, Portugal</t>
  </si>
  <si>
    <t>97bcdfca1a2dca59</t>
  </si>
  <si>
    <t>68e019afec7d0ba5</t>
  </si>
  <si>
    <t>31f494a9d78689b0</t>
  </si>
  <si>
    <t>f8f6e6f57228eccd</t>
  </si>
  <si>
    <t>f3587bc643e7d7b8</t>
  </si>
  <si>
    <t>1b107df3ccc0aaa1</t>
  </si>
  <si>
    <t>9df5b0761aa139c4</t>
  </si>
  <si>
    <t>9950f9f55f78ac61</t>
  </si>
  <si>
    <t>0933c11f6b472a2b</t>
  </si>
  <si>
    <t>5a4ba2b4cd9a0b2c</t>
  </si>
  <si>
    <t>32d0fb78a652aa1d</t>
  </si>
  <si>
    <t>292dedf68951e239</t>
  </si>
  <si>
    <t>8198e85105936d3c</t>
  </si>
  <si>
    <t>c1430b24da8e9229</t>
  </si>
  <si>
    <t>Rio de Janeiro</t>
  </si>
  <si>
    <t>São Paulo</t>
  </si>
  <si>
    <t>Cáceres</t>
  </si>
  <si>
    <t>Moreno</t>
  </si>
  <si>
    <t>Belém</t>
  </si>
  <si>
    <t>Santa Inês</t>
  </si>
  <si>
    <t>Santo Amaro das Brotas</t>
  </si>
  <si>
    <t>Campinas</t>
  </si>
  <si>
    <t>Maricá</t>
  </si>
  <si>
    <t>Petrolina</t>
  </si>
  <si>
    <t>Mato Grosso do Sul</t>
  </si>
  <si>
    <t>Lisboa</t>
  </si>
  <si>
    <t>city</t>
  </si>
  <si>
    <t>country</t>
  </si>
  <si>
    <t>admin</t>
  </si>
  <si>
    <t>3_1657377749210746883</t>
  </si>
  <si>
    <t>3_1657097353109594123</t>
  </si>
  <si>
    <t>3_1658877236911407109</t>
  </si>
  <si>
    <t>3_1658859479432155138 3_1658859479423655936</t>
  </si>
  <si>
    <t>3_1668666093160869923</t>
  </si>
  <si>
    <t>3_1670440171743899649</t>
  </si>
  <si>
    <t>3_1670437101551120386</t>
  </si>
  <si>
    <t>7_1658978694520512512</t>
  </si>
  <si>
    <t>7_1658064246725394437</t>
  </si>
  <si>
    <t>3_1657694942641242114 3_1657694944054616064 3_1657694945539489794</t>
  </si>
  <si>
    <t>3_1677443914943406080</t>
  </si>
  <si>
    <t>3_1661372374418112513 3_1661372375454105602 3_1661372377018531845</t>
  </si>
  <si>
    <t>3_1660943655115317250 3_1660943656088399875 3_1660943657707397120</t>
  </si>
  <si>
    <t>3_1686310963769671681 3_1686310963769729024 3_1686310963765559296 3_1686310963778080768</t>
  </si>
  <si>
    <t>3_1675606797023862789</t>
  </si>
  <si>
    <t>7_1661911244557672452</t>
  </si>
  <si>
    <t>3_1661755516811636738</t>
  </si>
  <si>
    <t>3_1656626809323003904</t>
  </si>
  <si>
    <t>3_1656241581156884481</t>
  </si>
  <si>
    <t>3_1688150328057778176</t>
  </si>
  <si>
    <t>3_1673868065501507588</t>
  </si>
  <si>
    <t>3_1699426647701602304</t>
  </si>
  <si>
    <t>3_1676711248384217088 3_1676711249818599425 3_1676711251307626496 3_1676711253056663552</t>
  </si>
  <si>
    <t>3_1676359214590050305</t>
  </si>
  <si>
    <t>7_1652844174075371521</t>
  </si>
  <si>
    <t>3_1674785194468077570</t>
  </si>
  <si>
    <t>3_1690070296034693120</t>
  </si>
  <si>
    <t>3_1667573544920686596</t>
  </si>
  <si>
    <t>7_1686133259279687680</t>
  </si>
  <si>
    <t>7_1687492540100919298</t>
  </si>
  <si>
    <t>3_1687215014283714560</t>
  </si>
  <si>
    <t>3_1702035395016298498</t>
  </si>
  <si>
    <t>7_1701689301145141248</t>
  </si>
  <si>
    <t>7_1702416623645216768</t>
  </si>
  <si>
    <t>7_1688654591267643392</t>
  </si>
  <si>
    <t>3_1677388419247292416 3_1677388442391461888</t>
  </si>
  <si>
    <t>3_1707172025679114240 3_1707172134231945216</t>
  </si>
  <si>
    <t>7_1692024435081981953</t>
  </si>
  <si>
    <t>7_1662080956415483913</t>
  </si>
  <si>
    <t>7_1662080391669325828</t>
  </si>
  <si>
    <t>3_1678825254146256897</t>
  </si>
  <si>
    <t>7_1677029783568252929</t>
  </si>
  <si>
    <t>7_1707187857058586624</t>
  </si>
  <si>
    <t>3_1666111220083052549</t>
  </si>
  <si>
    <t>7_1681329755667177473</t>
  </si>
  <si>
    <t>3_1664745654650912769</t>
  </si>
  <si>
    <t>3_1683914498938134546</t>
  </si>
  <si>
    <t>3_1683837859340632064</t>
  </si>
  <si>
    <t>13_1669406000812572693</t>
  </si>
  <si>
    <t>13_1689645848802787329</t>
  </si>
  <si>
    <t>13_1691609727359139841</t>
  </si>
  <si>
    <t>13_1691983864401461248</t>
  </si>
  <si>
    <t>3_1679114589563404288</t>
  </si>
  <si>
    <t>3_1677694727225856006</t>
  </si>
  <si>
    <t>3_1683453315634413568</t>
  </si>
  <si>
    <t>3_1673303320377655302</t>
  </si>
  <si>
    <t>3_1672635190483582980</t>
  </si>
  <si>
    <t>3_1688252345866395648</t>
  </si>
  <si>
    <t>3_1693728984977014784</t>
  </si>
  <si>
    <t>3_1698995132782043136</t>
  </si>
  <si>
    <t>3_1668749335528456192</t>
  </si>
  <si>
    <t>3_1706063557777911808</t>
  </si>
  <si>
    <t>3_1678362428663316481</t>
  </si>
  <si>
    <t>3_1669085619199287297</t>
  </si>
  <si>
    <t>3_1656266835254288384</t>
  </si>
  <si>
    <t>3_1662881183640764417</t>
  </si>
  <si>
    <t>3_1662881028388601861</t>
  </si>
  <si>
    <t>3_1662880865741840387</t>
  </si>
  <si>
    <t>3_1662850624415776776</t>
  </si>
  <si>
    <t>3_1662850458161954818</t>
  </si>
  <si>
    <t>3_1662850307443785730</t>
  </si>
  <si>
    <t>3_1662845762231828480</t>
  </si>
  <si>
    <t>3_1662845374535540743</t>
  </si>
  <si>
    <t>3_1692966657432391680</t>
  </si>
  <si>
    <t>3_1692964774592630784</t>
  </si>
  <si>
    <t>3_1692964585030950913</t>
  </si>
  <si>
    <t>3_1667644677988708357</t>
  </si>
  <si>
    <t>3_1667644553657044993</t>
  </si>
  <si>
    <t>3_1667644242305466374</t>
  </si>
  <si>
    <t>3_1655678270652784642</t>
  </si>
  <si>
    <t>3_1655678102121455616</t>
  </si>
  <si>
    <t>3_1655672684397600780</t>
  </si>
  <si>
    <t>3_1655672500968120320</t>
  </si>
  <si>
    <t>3_1655668751897862155</t>
  </si>
  <si>
    <t>3_1655668410217275400</t>
  </si>
  <si>
    <t>3_1698111861311291393</t>
  </si>
  <si>
    <t>3_1692964408199114752</t>
  </si>
  <si>
    <t>3_1692964023807991808</t>
  </si>
  <si>
    <t>3_1685742385731457025</t>
  </si>
  <si>
    <t>3_1685742197952352258</t>
  </si>
  <si>
    <t>3_1685741964866510848</t>
  </si>
  <si>
    <t>3_1685738080211222529</t>
  </si>
  <si>
    <t>3_1685734253210832896</t>
  </si>
  <si>
    <t>3_1685734078346104832</t>
  </si>
  <si>
    <t>3_1685733869431992321</t>
  </si>
  <si>
    <t>3_1685733719062052865</t>
  </si>
  <si>
    <t>3_1685733201728135168</t>
  </si>
  <si>
    <t>3_1685732987235610624</t>
  </si>
  <si>
    <t>3_1678120695513882625</t>
  </si>
  <si>
    <t>3_1678120553377329154</t>
  </si>
  <si>
    <t>3_1678120359533375493</t>
  </si>
  <si>
    <t>3_1678120113231261697</t>
  </si>
  <si>
    <t>3_1678119745801814018</t>
  </si>
  <si>
    <t>3_1675224613335322625</t>
  </si>
  <si>
    <t>3_1675224475820851200</t>
  </si>
  <si>
    <t>3_1675224312117116928</t>
  </si>
  <si>
    <t>3_1675224154272874496</t>
  </si>
  <si>
    <t>3_1675223991189921795</t>
  </si>
  <si>
    <t>3_1675223799564730368</t>
  </si>
  <si>
    <t>3_1675223606287015942</t>
  </si>
  <si>
    <t>3_1675223410740273153</t>
  </si>
  <si>
    <t>3_1700673167117762560</t>
  </si>
  <si>
    <t>3_1700673012876431360</t>
  </si>
  <si>
    <t>3_1699527978407940097</t>
  </si>
  <si>
    <t>3_1699496312893235200</t>
  </si>
  <si>
    <t>3_1695518996898906112</t>
  </si>
  <si>
    <t>3_1695518875884904448</t>
  </si>
  <si>
    <t>3_1695514450151800832</t>
  </si>
  <si>
    <t>3_1703879560603836417</t>
  </si>
  <si>
    <t>3_1700672642406084608</t>
  </si>
  <si>
    <t>3_1690685954527248384</t>
  </si>
  <si>
    <t>3_1690685830099030016</t>
  </si>
  <si>
    <t>3_1690685669553717248</t>
  </si>
  <si>
    <t>3_1690685360550871040</t>
  </si>
  <si>
    <t>3_1678527308137734145</t>
  </si>
  <si>
    <t>3_1670154254776954882</t>
  </si>
  <si>
    <t>3_1670154081082458112</t>
  </si>
  <si>
    <t>3_1670153925012357120</t>
  </si>
  <si>
    <t>3_1670153621957140481</t>
  </si>
  <si>
    <t>3_1703878715174715393</t>
  </si>
  <si>
    <t>3_1703878026310688769</t>
  </si>
  <si>
    <t>3_1683103092139520000</t>
  </si>
  <si>
    <t>3_1683102119878967297</t>
  </si>
  <si>
    <t>3_1683101929868492800</t>
  </si>
  <si>
    <t>3_1683089890299244544</t>
  </si>
  <si>
    <t>3_1672918364857966592</t>
  </si>
  <si>
    <t>3_1672915275388268545</t>
  </si>
  <si>
    <t>3_1672909898554695681</t>
  </si>
  <si>
    <t>3_1665097401885941760</t>
  </si>
  <si>
    <t>3_1665097267521388545</t>
  </si>
  <si>
    <t>3_1665097138873696257</t>
  </si>
  <si>
    <t>3_1665096810258472960</t>
  </si>
  <si>
    <t>3_1705686240324993024</t>
  </si>
  <si>
    <t>3_1705686063707004928</t>
  </si>
  <si>
    <t>3_1687894729264893952</t>
  </si>
  <si>
    <t>3_1687894553171255296</t>
  </si>
  <si>
    <t>3_1687882202804105216</t>
  </si>
  <si>
    <t>3_1687881919550124032</t>
  </si>
  <si>
    <t>3_1660043954966994944</t>
  </si>
  <si>
    <t>3_1660043726956232706</t>
  </si>
  <si>
    <t>3_1660043534898954240</t>
  </si>
  <si>
    <t>3_1660043100218073089</t>
  </si>
  <si>
    <t>3_1705685596075687936</t>
  </si>
  <si>
    <t>3_1705684276639858688</t>
  </si>
  <si>
    <t>3_1698111741698174976</t>
  </si>
  <si>
    <t>3_1698111478644043776</t>
  </si>
  <si>
    <t>3_1698111304907538432</t>
  </si>
  <si>
    <t>3_1698111144941010945</t>
  </si>
  <si>
    <t>3_1698110844171698176</t>
  </si>
  <si>
    <t>3_1686481962364776448</t>
  </si>
  <si>
    <t>3_1680295296926990340</t>
  </si>
  <si>
    <t>3_1680294808089251848</t>
  </si>
  <si>
    <t>3_1680293925024587777</t>
  </si>
  <si>
    <t>3_1680293589144698881</t>
  </si>
  <si>
    <t>3_1657476812568424451</t>
  </si>
  <si>
    <t>3_1657476675360247813</t>
  </si>
  <si>
    <t>3_1657476535375351808</t>
  </si>
  <si>
    <t>3_1657476331628642310</t>
  </si>
  <si>
    <t>3_1657475982716968960</t>
  </si>
  <si>
    <t>3_1686161041250562048 3_1686161041242103808 3_1686161041246257153</t>
  </si>
  <si>
    <t>3_1686158526651990017 3_1686158526731685890 3_1686158526811394048</t>
  </si>
  <si>
    <t>3_1661356576723091458</t>
  </si>
  <si>
    <t>3_1667216269244809217</t>
  </si>
  <si>
    <t>3_1664276104696442880</t>
  </si>
  <si>
    <t>3_1671206300544380942</t>
  </si>
  <si>
    <t>3_1664395178671501315</t>
  </si>
  <si>
    <t>3_1673744284804169747</t>
  </si>
  <si>
    <t>3_1665736480491282432</t>
  </si>
  <si>
    <t>3_1660601557736468486</t>
  </si>
  <si>
    <t>3_1676576830378106880</t>
  </si>
  <si>
    <t>3_1663893368689049600</t>
  </si>
  <si>
    <t>3_1663138304114454530</t>
  </si>
  <si>
    <t>3_1678560330971074563</t>
  </si>
  <si>
    <t>3_1694852501550329857</t>
  </si>
  <si>
    <t>3_1694648262609735680</t>
  </si>
  <si>
    <t>3_1694491429362335744</t>
  </si>
  <si>
    <t>3_1697066156551548928</t>
  </si>
  <si>
    <t>3_1691227842128859136</t>
  </si>
  <si>
    <t>3_1701378765408829440</t>
  </si>
  <si>
    <t>3_1687108478526210051</t>
  </si>
  <si>
    <t>3_1692521954832519168</t>
  </si>
  <si>
    <t>3_1697419394731675649</t>
  </si>
  <si>
    <t>3_1663248964072636431 3_1663249009052381184</t>
  </si>
  <si>
    <t>3_1652060874813710337 3_1652060895554551811</t>
  </si>
  <si>
    <t>3_1664320409905381392</t>
  </si>
  <si>
    <t>3_1674904405043208192</t>
  </si>
  <si>
    <t>3_1661114411673591834</t>
  </si>
  <si>
    <t>3_1706342908410949633</t>
  </si>
  <si>
    <t>7_1668035135361413122</t>
  </si>
  <si>
    <t>7_1687209780727697408</t>
  </si>
  <si>
    <t>3_1657920433348288515</t>
  </si>
  <si>
    <t>3_1657839430525173761</t>
  </si>
  <si>
    <t>3_1657503413632921603</t>
  </si>
  <si>
    <t>3_1660677846157737986</t>
  </si>
  <si>
    <t>3_1659657149042008083</t>
  </si>
  <si>
    <t>3_1659363121713102854</t>
  </si>
  <si>
    <t>3_1659293913872494612</t>
  </si>
  <si>
    <t>3_1662578272343937025</t>
  </si>
  <si>
    <t>3_1662214778834616323</t>
  </si>
  <si>
    <t>3_1658510257629409280</t>
  </si>
  <si>
    <t>3_1658272648705581056</t>
  </si>
  <si>
    <t>3_1658205559969947671</t>
  </si>
  <si>
    <t>3_1658153132931657747</t>
  </si>
  <si>
    <t>3_1664937213153386497</t>
  </si>
  <si>
    <t>3_1659227326209556481</t>
  </si>
  <si>
    <t>3_1658993791322279936</t>
  </si>
  <si>
    <t>3_1658932957594148864</t>
  </si>
  <si>
    <t>3_1658627904744353795</t>
  </si>
  <si>
    <t>3_1658574312482152454</t>
  </si>
  <si>
    <t>3_1668417379741716480</t>
  </si>
  <si>
    <t>3_1664047329429553152</t>
  </si>
  <si>
    <t>3_1664004569146224643</t>
  </si>
  <si>
    <t>3_1663893663741517824</t>
  </si>
  <si>
    <t>3_1663642890398998528</t>
  </si>
  <si>
    <t>3_1663336127279841281</t>
  </si>
  <si>
    <t>3_1663297079228104706</t>
  </si>
  <si>
    <t>3_1663137296344928260</t>
  </si>
  <si>
    <t>7_1670959688123392001</t>
  </si>
  <si>
    <t>3_1667274777340387328</t>
  </si>
  <si>
    <t>3_1661718657716609024</t>
  </si>
  <si>
    <t>7_1675192765125197826</t>
  </si>
  <si>
    <t>3_1666965856260087808</t>
  </si>
  <si>
    <t>3_1666815122004926464</t>
  </si>
  <si>
    <t>3_1666241676342448128</t>
  </si>
  <si>
    <t>3_1661149795170279424</t>
  </si>
  <si>
    <t>3_1661106083924942876</t>
  </si>
  <si>
    <t>3_1661062746660651032</t>
  </si>
  <si>
    <t>3_1660742689921421325</t>
  </si>
  <si>
    <t>7_1690717536696868864</t>
  </si>
  <si>
    <t>7_1690446468107128832</t>
  </si>
  <si>
    <t>7_1689809709098770432</t>
  </si>
  <si>
    <t>7_1669138069348311041</t>
  </si>
  <si>
    <t>7_1697246580188041216</t>
  </si>
  <si>
    <t>3_1701227668916617216</t>
  </si>
  <si>
    <t>7_1692227026730487808</t>
  </si>
  <si>
    <t>7_1656585328763842562</t>
  </si>
  <si>
    <t>3_1673702703547990016</t>
  </si>
  <si>
    <t>3_1673703116359839747</t>
  </si>
  <si>
    <t>3_1673703224493129730</t>
  </si>
  <si>
    <t>3_1666894134181756929 3_1666894134169284608 3_1666894134169198609</t>
  </si>
  <si>
    <t>3_1688934807772839936 3_1688934807781232642</t>
  </si>
  <si>
    <t>3_1694063981336363008</t>
  </si>
  <si>
    <t>3_1656762685575385088 3_1656762685583683584 3_1656762685596344320</t>
  </si>
  <si>
    <t>3_1698807190356697088</t>
  </si>
  <si>
    <t>7_1668965738525196289</t>
  </si>
  <si>
    <t>3_1697941932993921024</t>
  </si>
  <si>
    <t>3_1658249183390756872</t>
  </si>
  <si>
    <t>3_1657550824552144898</t>
  </si>
  <si>
    <t>3_1656056034048327682</t>
  </si>
  <si>
    <t>7_1673613762933260288</t>
  </si>
  <si>
    <t>7_1676510982607175680</t>
  </si>
  <si>
    <t>7_1676501903964766208</t>
  </si>
  <si>
    <t>7_1689632478338932737</t>
  </si>
  <si>
    <t>7_1689631633392189440</t>
  </si>
  <si>
    <t>3_1662107490086006788</t>
  </si>
  <si>
    <t>3_1670889604931547139 3_1670889642151800858 3_1670889655263195162 3_1670889669536411665</t>
  </si>
  <si>
    <t>3_1671556039399862274</t>
  </si>
  <si>
    <t>7_1678527867213234176</t>
  </si>
  <si>
    <t>13_1687594774285414401</t>
  </si>
  <si>
    <t>7_1658359605292933121</t>
  </si>
  <si>
    <t>3_1658359489278427136</t>
  </si>
  <si>
    <t>3_1658359440012197889</t>
  </si>
  <si>
    <t>3_1658359393220534274</t>
  </si>
  <si>
    <t>3_1658359289927413762</t>
  </si>
  <si>
    <t>7_1667086512993759234</t>
  </si>
  <si>
    <t>7_1667086221997113345</t>
  </si>
  <si>
    <t>7_1667086037858893825</t>
  </si>
  <si>
    <t>7_1667085800373202945</t>
  </si>
  <si>
    <t>7_1667085653471813633</t>
  </si>
  <si>
    <t>7_1667085519442915328</t>
  </si>
  <si>
    <t>7_1667085294301065216</t>
  </si>
  <si>
    <t>7_1674774443477049345</t>
  </si>
  <si>
    <t>7_1674774192598966272</t>
  </si>
  <si>
    <t>7_1674773674107506689</t>
  </si>
  <si>
    <t>7_1701287058839572480</t>
  </si>
  <si>
    <t>7_1698672744542752768</t>
  </si>
  <si>
    <t>7_1698671530857861120</t>
  </si>
  <si>
    <t>7_1663495516393558018</t>
  </si>
  <si>
    <t>7_1663495402451005441</t>
  </si>
  <si>
    <t>7_1663495189015547904</t>
  </si>
  <si>
    <t>7_1663081756499558400</t>
  </si>
  <si>
    <t>7_1663081407516688384</t>
  </si>
  <si>
    <t>7_1663081104826421249</t>
  </si>
  <si>
    <t>7_1701958926390935552</t>
  </si>
  <si>
    <t>7_1701287211839397888</t>
  </si>
  <si>
    <t>7_1656649550243799042</t>
  </si>
  <si>
    <t>3_1656646602126139400</t>
  </si>
  <si>
    <t>3_1656646391421124614</t>
  </si>
  <si>
    <t>7_1704871470470664192</t>
  </si>
  <si>
    <t>7_1704867419603542016</t>
  </si>
  <si>
    <t>7_1706756163847831553</t>
  </si>
  <si>
    <t>7_1704871139129122816</t>
  </si>
  <si>
    <t>7_1673323796227321856</t>
  </si>
  <si>
    <t>7_1673323481923047424</t>
  </si>
  <si>
    <t>7_1673323365514313737</t>
  </si>
  <si>
    <t>7_1658775941160615937</t>
  </si>
  <si>
    <t>7_1658775806871519232</t>
  </si>
  <si>
    <t>7_1658775004136308738</t>
  </si>
  <si>
    <t>7_1658774852105281536</t>
  </si>
  <si>
    <t>7_1706756022483009536</t>
  </si>
  <si>
    <t>7_1659833410100113408</t>
  </si>
  <si>
    <t>7_1659833260740952066</t>
  </si>
  <si>
    <t>7_1659833165303693312</t>
  </si>
  <si>
    <t>3_1659833021225156610</t>
  </si>
  <si>
    <t>3_1659832850538016769</t>
  </si>
  <si>
    <t>3_1659832713434603520</t>
  </si>
  <si>
    <t>7_1697244297635262464</t>
  </si>
  <si>
    <t>3_1700853092722286592</t>
  </si>
  <si>
    <t>3_1698700768654557185</t>
  </si>
  <si>
    <t>7_1700857019362611200</t>
  </si>
  <si>
    <t>3_1655717979516985345</t>
  </si>
  <si>
    <t>3_1657087774397218820</t>
  </si>
  <si>
    <t>7_1662077381677400064</t>
  </si>
  <si>
    <t>7_1662077026767863809</t>
  </si>
  <si>
    <t>3_1666228619197153281</t>
  </si>
  <si>
    <t>3_1666228547839488000</t>
  </si>
  <si>
    <t>3_1664786608434950145</t>
  </si>
  <si>
    <t>3_1664786508983803904</t>
  </si>
  <si>
    <t>7_1665836932356603912</t>
  </si>
  <si>
    <t>3_1706778059402014722</t>
  </si>
  <si>
    <t>13_1686366495436165120</t>
  </si>
  <si>
    <t>3_1702646425387982848 3_1702646433445277696 3_1702646452713865216 3_1702646483361660928</t>
  </si>
  <si>
    <t>7_1688301695237857280</t>
  </si>
  <si>
    <t>7_1692996562027184128</t>
  </si>
  <si>
    <t>7_1695918873776668672</t>
  </si>
  <si>
    <t>7_1694053166306770946</t>
  </si>
  <si>
    <t>7_1693298479156645889</t>
  </si>
  <si>
    <t>7_1697323866266202112</t>
  </si>
  <si>
    <t>7_1700922998721548288</t>
  </si>
  <si>
    <t>7_1695564088137367552</t>
  </si>
  <si>
    <t>7_1692261123096023040</t>
  </si>
  <si>
    <t>7_1704936185309581312</t>
  </si>
  <si>
    <t>7_1691529061112172544</t>
  </si>
  <si>
    <t>7_1706729423032983552</t>
  </si>
  <si>
    <t>7_1704199407573385216</t>
  </si>
  <si>
    <t>7_1700626833664798720</t>
  </si>
  <si>
    <t>7_1696574690565779463</t>
  </si>
  <si>
    <t>7_1690716484530515968</t>
  </si>
  <si>
    <t>7_1657138724927332356</t>
  </si>
  <si>
    <t>7_1663251523302719492</t>
  </si>
  <si>
    <t>7_1700976629420556288</t>
  </si>
  <si>
    <t>3_1669719978726105088 3_1669719988054155265</t>
  </si>
  <si>
    <t>7_1697021642143051776</t>
  </si>
  <si>
    <t>3_1676176616353939457</t>
  </si>
  <si>
    <t>3_1686315963912691712</t>
  </si>
  <si>
    <t>3_1675814230791016452</t>
  </si>
  <si>
    <t>3_1686678322997080066</t>
  </si>
  <si>
    <t>3_1697561257295958016</t>
  </si>
  <si>
    <t>3_1688490468080807936</t>
  </si>
  <si>
    <t>3_1684866391608823808</t>
  </si>
  <si>
    <t>3_1684504022852460545</t>
  </si>
  <si>
    <t>3_1674357154122199041</t>
  </si>
  <si>
    <t>3_1673994768777375744</t>
  </si>
  <si>
    <t>3_1673632373664018433</t>
  </si>
  <si>
    <t>3_1696111193885200384</t>
  </si>
  <si>
    <t>3_1689577430355226625</t>
  </si>
  <si>
    <t>3_1685953571731169280</t>
  </si>
  <si>
    <t>3_1674719535566409730</t>
  </si>
  <si>
    <t>3_1699724301039968256</t>
  </si>
  <si>
    <t>3_1698999519327719424</t>
  </si>
  <si>
    <t>3_1689215036781199360</t>
  </si>
  <si>
    <t>3_1688852661607526400</t>
  </si>
  <si>
    <t>3_1677263790662905857</t>
  </si>
  <si>
    <t>3_1676901376574513153</t>
  </si>
  <si>
    <t>3_1676893554675703808</t>
  </si>
  <si>
    <t>3_1676538989468155909</t>
  </si>
  <si>
    <t>3_1706254793591635968</t>
  </si>
  <si>
    <t>3_1700086681481674752</t>
  </si>
  <si>
    <t>3_1699361901375877120</t>
  </si>
  <si>
    <t>3_1689939813992935424</t>
  </si>
  <si>
    <t>3_1679068192969302017</t>
  </si>
  <si>
    <t>3_1678705792046825472</t>
  </si>
  <si>
    <t>3_1678343615922286592</t>
  </si>
  <si>
    <t>3_1707341962011873280</t>
  </si>
  <si>
    <t>3_1698636326638063616</t>
  </si>
  <si>
    <t>3_1683768862955782145</t>
  </si>
  <si>
    <t>3_1683416844583960576</t>
  </si>
  <si>
    <t>7_1673458871254261760</t>
  </si>
  <si>
    <t>3_1673270191524806657</t>
  </si>
  <si>
    <t>3_1672318939890589712</t>
  </si>
  <si>
    <t>3_1669508195050569728</t>
  </si>
  <si>
    <t>3_1656705909324759056 3_1656705909412839441 3_1656705909333147679 3_1656705909358313472</t>
  </si>
  <si>
    <t>3_1656630409743007744</t>
  </si>
  <si>
    <t>3_1671911091402571776</t>
  </si>
  <si>
    <t>3_1679158852787355649</t>
  </si>
  <si>
    <t>3_1675897353813864450</t>
  </si>
  <si>
    <t>3_1683477318541496321</t>
  </si>
  <si>
    <t>3_1679823243761401858</t>
  </si>
  <si>
    <t>3_1676690563809067008</t>
  </si>
  <si>
    <t>3_1681359800313970699</t>
  </si>
  <si>
    <t>3_1669358485904195586</t>
  </si>
  <si>
    <t>3_1691195960037101568</t>
  </si>
  <si>
    <t>3_1679167751766654976 3_1679167754610307072</t>
  </si>
  <si>
    <t>7_1681390508289949711</t>
  </si>
  <si>
    <t>3_1697805300932255744</t>
  </si>
  <si>
    <t>3_1687926758304002048</t>
  </si>
  <si>
    <t>3_1658242452342317060</t>
  </si>
  <si>
    <t>3_1695218792970731520</t>
  </si>
  <si>
    <t>3_1704555942434516993</t>
  </si>
  <si>
    <t>3_1687927451597312001</t>
  </si>
  <si>
    <t>7_1678363354912399362</t>
  </si>
  <si>
    <t>3_1656985601621590016</t>
  </si>
  <si>
    <t>3_1661790357871362053</t>
  </si>
  <si>
    <t>3_1666196488773419008</t>
  </si>
  <si>
    <t>3_1661347473531568131</t>
  </si>
  <si>
    <t>3_1660983378198265857</t>
  </si>
  <si>
    <t>3_1664714321484558336</t>
  </si>
  <si>
    <t>3_1658805592184463360</t>
  </si>
  <si>
    <t>3_1686082139681398784</t>
  </si>
  <si>
    <t>3_1663976147606970368</t>
  </si>
  <si>
    <t>3_1694687019295748097</t>
  </si>
  <si>
    <t>3_1684537013062492160</t>
  </si>
  <si>
    <t>3_1665772053339807745</t>
  </si>
  <si>
    <t>3_1659529035167195139</t>
  </si>
  <si>
    <t>3_1699034579028393984</t>
  </si>
  <si>
    <t>3_1669996529195646978</t>
  </si>
  <si>
    <t>3_1686314216045641730</t>
  </si>
  <si>
    <t>3_1666414884089626624</t>
  </si>
  <si>
    <t>3_1701560732272283648</t>
  </si>
  <si>
    <t>3_1651619208340336643 3_1651619208348721152</t>
  </si>
  <si>
    <t>7_1659937029071699976</t>
  </si>
  <si>
    <t>3_1691164481978564608</t>
  </si>
  <si>
    <t>3_1664134991532503040</t>
  </si>
  <si>
    <t>3_1662686097019744258</t>
  </si>
  <si>
    <t>3_1681820905947668482</t>
  </si>
  <si>
    <t>3_1681820706164686848</t>
  </si>
  <si>
    <t>3_1675865282315796486</t>
  </si>
  <si>
    <t>3_1670900978097311744</t>
  </si>
  <si>
    <t>3_1667594733525377027</t>
  </si>
  <si>
    <t>3_1667311941503574017</t>
  </si>
  <si>
    <t>3_1667200299860107266</t>
  </si>
  <si>
    <t>3_1661970054747922432</t>
  </si>
  <si>
    <t>3_1677753162277552128</t>
  </si>
  <si>
    <t>3_1674876370822787073</t>
  </si>
  <si>
    <t>3_1666283573953933312</t>
  </si>
  <si>
    <t>3_1661034606437584898</t>
  </si>
  <si>
    <t>3_1660785062974050305</t>
  </si>
  <si>
    <t>3_1668614084504465408</t>
  </si>
  <si>
    <t>3_1663552270515200007</t>
  </si>
  <si>
    <t>3_1662974226112847879</t>
  </si>
  <si>
    <t>3_1670190664900919297</t>
  </si>
  <si>
    <t>3_1669669504941449216</t>
  </si>
  <si>
    <t>3_1669036689698742292</t>
  </si>
  <si>
    <t>3_1681129209635262464</t>
  </si>
  <si>
    <t>3_1680777626003161091</t>
  </si>
  <si>
    <t>3_1680057350621741056</t>
  </si>
  <si>
    <t>3_1664474130106777600</t>
  </si>
  <si>
    <t>3_1666219410481184768</t>
  </si>
  <si>
    <t>3_1665900000759480322</t>
  </si>
  <si>
    <t>3_1660073808152129537</t>
  </si>
  <si>
    <t>3_1659434930282045440</t>
  </si>
  <si>
    <t>3_1659415638681501697</t>
  </si>
  <si>
    <t>3_1665370953159786497</t>
  </si>
  <si>
    <t>3_1659183636095070212</t>
  </si>
  <si>
    <t>3_1689288214769467392</t>
  </si>
  <si>
    <t>13_1686016757373267969</t>
  </si>
  <si>
    <t>3_1675148524550332422</t>
  </si>
  <si>
    <t>3_1686094272238325760 3_1686094272238362624 3_1686094272234139649 3_1686094272242520064</t>
  </si>
  <si>
    <t>7_1707116633087455232</t>
  </si>
  <si>
    <t>3_1702653538965331968</t>
  </si>
  <si>
    <t>3_1691469105121886208</t>
  </si>
  <si>
    <t>3_1706627961779097600</t>
  </si>
  <si>
    <t>3_1706621546507202560</t>
  </si>
  <si>
    <t>3_1707348049209462784</t>
  </si>
  <si>
    <t>3_1707104037240270849</t>
  </si>
  <si>
    <t>3_1684763760722915330</t>
  </si>
  <si>
    <t>7_1688625624133345280</t>
  </si>
  <si>
    <t>7_1691209904353062913</t>
  </si>
  <si>
    <t>7_1704154225125494784</t>
  </si>
  <si>
    <t>3_1666572343848697857</t>
  </si>
  <si>
    <t>3_1664021804174680064</t>
  </si>
  <si>
    <t>3_1699547153624911872</t>
  </si>
  <si>
    <t>7_1686421556052873226</t>
  </si>
  <si>
    <t>3_1684533642423324672</t>
  </si>
  <si>
    <t>7_1690332180394778624</t>
  </si>
  <si>
    <t>3_1702011426632499200</t>
  </si>
  <si>
    <t>3_1664319544830181380</t>
  </si>
  <si>
    <t>3_1668165923440824321</t>
  </si>
  <si>
    <t>3_1684244112017592320</t>
  </si>
  <si>
    <t>3_1703826198202109952</t>
  </si>
  <si>
    <t>7_1679135139996086272</t>
  </si>
  <si>
    <t>3_1680200763681779719</t>
  </si>
  <si>
    <t>3_1688214485255720960</t>
  </si>
  <si>
    <t>3_1690006373356937216</t>
  </si>
  <si>
    <t>3_1687474532737531904</t>
  </si>
  <si>
    <t>7_1705270849027051520</t>
  </si>
  <si>
    <t>3_1668649729259913218</t>
  </si>
  <si>
    <t>3_1668619527377272832</t>
  </si>
  <si>
    <t>3_1671095710341558277</t>
  </si>
  <si>
    <t>3_1660641932148719617</t>
  </si>
  <si>
    <t>7_1665524877078544387</t>
  </si>
  <si>
    <t>7_1686378463954120704</t>
  </si>
  <si>
    <t>7_1686837478840246272</t>
  </si>
  <si>
    <t>7_1694362778432077824</t>
  </si>
  <si>
    <t>13_1679140044647415809</t>
  </si>
  <si>
    <t>7_1690061423370551296</t>
  </si>
  <si>
    <t>3_1697739629984661504</t>
  </si>
  <si>
    <t>3_1671315177025806336</t>
  </si>
  <si>
    <t>3_1686074320622141447</t>
  </si>
  <si>
    <t>3_1654567427085070336</t>
  </si>
  <si>
    <t>3_1662598707303333888</t>
  </si>
  <si>
    <t>3_1662598376746106880</t>
  </si>
  <si>
    <t>3_1659188689606516736</t>
  </si>
  <si>
    <t>3_1661814595042902017</t>
  </si>
  <si>
    <t>3_1664694535513944068 3_1664694535492980745</t>
  </si>
  <si>
    <t>3_1670924647137771527</t>
  </si>
  <si>
    <t>3_1658062105709256705</t>
  </si>
  <si>
    <t>7_1674938011992178688</t>
  </si>
  <si>
    <t>7_1680279097866346496</t>
  </si>
  <si>
    <t>7_1676031045177597953</t>
  </si>
  <si>
    <t>7_1675665031663427584</t>
  </si>
  <si>
    <t>7_1679949349671895040</t>
  </si>
  <si>
    <t>7_1688978841027411968</t>
  </si>
  <si>
    <t>7_1697341562873581568</t>
  </si>
  <si>
    <t>7_1687179519667441664</t>
  </si>
  <si>
    <t>7_1672726746070671361</t>
  </si>
  <si>
    <t>7_1672365435356954627</t>
  </si>
  <si>
    <t>3_1705287445997056000 3_1705287546480017408 3_1705287759869407232</t>
  </si>
  <si>
    <t>3_1683930116072636419</t>
  </si>
  <si>
    <t>3_1682354324322545664</t>
  </si>
  <si>
    <t>3_1684187173837307904</t>
  </si>
  <si>
    <t>3_1687817147039318016</t>
  </si>
  <si>
    <t>3_1682015222301700096</t>
  </si>
  <si>
    <t>3_1659604994318909444</t>
  </si>
  <si>
    <t>3_1659227604610699264</t>
  </si>
  <si>
    <t>3_1669072364494106632</t>
  </si>
  <si>
    <t>3_1656283121103380482</t>
  </si>
  <si>
    <t>3_1669351102981238785</t>
  </si>
  <si>
    <t>3_1671626232067158016</t>
  </si>
  <si>
    <t>3_1671626134511841281</t>
  </si>
  <si>
    <t>3_1653143138742026240</t>
  </si>
  <si>
    <t>3_1663070839242203137</t>
  </si>
  <si>
    <t>3_1660286710364733442</t>
  </si>
  <si>
    <t>3_1680919891220602880</t>
  </si>
  <si>
    <t>7_1693960688287338496</t>
  </si>
  <si>
    <t>3_1652090346610868229</t>
  </si>
  <si>
    <t>3_1666822614151733251</t>
  </si>
  <si>
    <t>3_1661079579795046406</t>
  </si>
  <si>
    <t>3_1678489319462301728</t>
  </si>
  <si>
    <t>3_1669132769283194880</t>
  </si>
  <si>
    <t>3_1669117699954298880</t>
  </si>
  <si>
    <t>7_1668741986935885830</t>
  </si>
  <si>
    <t>3_1697178064961101824</t>
  </si>
  <si>
    <t>3_1658190181017477163</t>
  </si>
  <si>
    <t>3_1707153102342672384</t>
  </si>
  <si>
    <t>7_1704874009546948608</t>
  </si>
  <si>
    <t>3_1688161492128956416</t>
  </si>
  <si>
    <t>3_1680998548479913986</t>
  </si>
  <si>
    <t>3_1657015276817326080</t>
  </si>
  <si>
    <t>3_1656866382372274178 3_1656866382380687365 3_1656866382380687362 3_1656866382368088065</t>
  </si>
  <si>
    <t>3_1662898915652382723 3_1662898915618746368 3_1662898915618836480 3_1662898915618766849</t>
  </si>
  <si>
    <t>3_1653812866875633690</t>
  </si>
  <si>
    <t>3_1655230663577010176</t>
  </si>
  <si>
    <t>3_1664579663606304769</t>
  </si>
  <si>
    <t>3_1693388395563655168</t>
  </si>
  <si>
    <t>3_1658468306565644294</t>
  </si>
  <si>
    <t>3_1659558433698316292</t>
  </si>
  <si>
    <t>7_1678902197923323908</t>
  </si>
  <si>
    <t>3_1688758499524608000</t>
  </si>
  <si>
    <t>3_1688757865081679874</t>
  </si>
  <si>
    <t>3_1691189388493922304</t>
  </si>
  <si>
    <t>3_1695409004594294784</t>
  </si>
  <si>
    <t>3_1695408904522383360</t>
  </si>
  <si>
    <t>3_1695183162869972992</t>
  </si>
  <si>
    <t>3_1692649056873459712</t>
  </si>
  <si>
    <t>3_1692479470299447296</t>
  </si>
  <si>
    <t>3_1692479373268365313</t>
  </si>
  <si>
    <t>3_1692479296642625536</t>
  </si>
  <si>
    <t>3_1692294556874596352</t>
  </si>
  <si>
    <t>3_1694459287597154304</t>
  </si>
  <si>
    <t>3_1694284849622786049</t>
  </si>
  <si>
    <t>3_1694284579622846465</t>
  </si>
  <si>
    <t>3_1694284507615047680</t>
  </si>
  <si>
    <t>3_1694095648147095552</t>
  </si>
  <si>
    <t>3_1691751726313861120</t>
  </si>
  <si>
    <t>3_1691751631761666048</t>
  </si>
  <si>
    <t>3_1691751425703825408</t>
  </si>
  <si>
    <t>3_1691553488310771712</t>
  </si>
  <si>
    <t>3_1672366946723954688</t>
  </si>
  <si>
    <t>3_1696812643493744640</t>
  </si>
  <si>
    <t>3_1696812551915384832</t>
  </si>
  <si>
    <t>3_1696812481199411200</t>
  </si>
  <si>
    <t>3_1696633099822534656</t>
  </si>
  <si>
    <t>3_1696455515197296640</t>
  </si>
  <si>
    <t>3_1696455410020909057</t>
  </si>
  <si>
    <t>3_1696455329532248064</t>
  </si>
  <si>
    <t>3_1696265668025356288</t>
  </si>
  <si>
    <t>3_1696127580624035841</t>
  </si>
  <si>
    <t>3_1690706728218685440</t>
  </si>
  <si>
    <t>3_1690345550611189760</t>
  </si>
  <si>
    <t>3_1690345460945313792</t>
  </si>
  <si>
    <t>3_1678700999001735169</t>
  </si>
  <si>
    <t>3_1678690798550827009</t>
  </si>
  <si>
    <t>3_1697184574793490432</t>
  </si>
  <si>
    <t>3_1697184498721456129</t>
  </si>
  <si>
    <t>3_1697184399303774208</t>
  </si>
  <si>
    <t>3_1693920325249953792</t>
  </si>
  <si>
    <t>3_1693920237391839232</t>
  </si>
  <si>
    <t>3_1693920144131502080</t>
  </si>
  <si>
    <t>3_1693735389620477952</t>
  </si>
  <si>
    <t>3_1691384884269285376</t>
  </si>
  <si>
    <t>3_1691384749187620864</t>
  </si>
  <si>
    <t>3_1691384652525625344</t>
  </si>
  <si>
    <t>3_1697550237995278336</t>
  </si>
  <si>
    <t>3_1697550129799073792</t>
  </si>
  <si>
    <t>3_1697550047590637568</t>
  </si>
  <si>
    <t>3_1695011060854493184</t>
  </si>
  <si>
    <t>3_1695010964104499200</t>
  </si>
  <si>
    <t>3_1695010885662539776</t>
  </si>
  <si>
    <t>3_1694816517798436864</t>
  </si>
  <si>
    <t>3_1694648847211823104</t>
  </si>
  <si>
    <t>3_1694648658317258753</t>
  </si>
  <si>
    <t>3_1692113568848584706</t>
  </si>
  <si>
    <t>3_1692113376191639554</t>
  </si>
  <si>
    <t>3_1692113234000556035</t>
  </si>
  <si>
    <t>3_1691921043634503680</t>
  </si>
  <si>
    <t>3_1697363861249150976</t>
  </si>
  <si>
    <t>3_1696989943996801024</t>
  </si>
  <si>
    <t>3_1696108869481566208</t>
  </si>
  <si>
    <t>3_1696108790435770368</t>
  </si>
  <si>
    <t>3_1693589811494330368</t>
  </si>
  <si>
    <t>3_1693555489353703424</t>
  </si>
  <si>
    <t>3_1693555416460840960</t>
  </si>
  <si>
    <t>3_1692869922353729536</t>
  </si>
  <si>
    <t>3_1692869849339363328</t>
  </si>
  <si>
    <t>3_1691050357001011200</t>
  </si>
  <si>
    <t>3_1691018641108553728</t>
  </si>
  <si>
    <t>3_1691018484493230080</t>
  </si>
  <si>
    <t>3_1676319673015582721</t>
  </si>
  <si>
    <t>3_1699314459074818048</t>
  </si>
  <si>
    <t>3_1658614090531586050</t>
  </si>
  <si>
    <t>3_1663671637445681153</t>
  </si>
  <si>
    <t>3_1652501943728713729 3_1652501956043186176</t>
  </si>
  <si>
    <t>3_1666551027099746304</t>
  </si>
  <si>
    <t>3_1678892199239462914</t>
  </si>
  <si>
    <t>3_1656078801367973888</t>
  </si>
  <si>
    <t>3_1686502797280489473</t>
  </si>
  <si>
    <t>7_1702473845771206656</t>
  </si>
  <si>
    <t>3_1704125348449824768</t>
  </si>
  <si>
    <t>3_1658585491631996929</t>
  </si>
  <si>
    <t>3_1657439645376839680</t>
  </si>
  <si>
    <t>3_1660285573204983812</t>
  </si>
  <si>
    <t>3_1659661052131303425</t>
  </si>
  <si>
    <t>3_1678449699366346761</t>
  </si>
  <si>
    <t>3_1678464882457321474</t>
  </si>
  <si>
    <t>3_1678456433539522575</t>
  </si>
  <si>
    <t>3_1678454916153581585</t>
  </si>
  <si>
    <t>3_1678452572565250065</t>
  </si>
  <si>
    <t>3_1668681471333113868</t>
  </si>
  <si>
    <t>3_1655655786628931590</t>
  </si>
  <si>
    <t>3_1686771310356058112</t>
  </si>
  <si>
    <t>3_1686418426191925251</t>
  </si>
  <si>
    <t>3_1690880864173891584</t>
  </si>
  <si>
    <t>3_1678831249970851840</t>
  </si>
  <si>
    <t>3_1702419279742734336</t>
  </si>
  <si>
    <t>3_1686056632873107464</t>
  </si>
  <si>
    <t>3_1686339346821996544 3_1686339364035391488</t>
  </si>
  <si>
    <t>3_1687454645176631297</t>
  </si>
  <si>
    <t>3_1683757032367702017</t>
  </si>
  <si>
    <t>3_1694697746245001216</t>
  </si>
  <si>
    <t>3_1684179012359278595</t>
  </si>
  <si>
    <t>3_1697241963689639936</t>
  </si>
  <si>
    <t>3_1700849762302337024</t>
  </si>
  <si>
    <t>3_1689657321650278401</t>
  </si>
  <si>
    <t>7_1696522910746464256</t>
  </si>
  <si>
    <t>3_1663967977450946568 3_1663967977648078859 3_1663967977752915968 3_1663967977857794060</t>
  </si>
  <si>
    <t>3_1673745749664841764</t>
  </si>
  <si>
    <t>3_1671578766223581200</t>
  </si>
  <si>
    <t>3_1670783592971005953</t>
  </si>
  <si>
    <t>3_1698822909316231168</t>
  </si>
  <si>
    <t>3_1686350025561907201</t>
  </si>
  <si>
    <t>3_1687223595792048129</t>
  </si>
  <si>
    <t>3_1690522760286490625</t>
  </si>
  <si>
    <t>3_1691267120422670336</t>
  </si>
  <si>
    <t>3_1689348638340792320</t>
  </si>
  <si>
    <t>3_1697607876452204544</t>
  </si>
  <si>
    <t>3_1689155166820515841</t>
  </si>
  <si>
    <t>3_1705362646479032320</t>
  </si>
  <si>
    <t>3_1653134887443128320</t>
  </si>
  <si>
    <t>3_1697022472934313988</t>
  </si>
  <si>
    <t>3_1704985931663687680 3_1704986191773548544</t>
  </si>
  <si>
    <t>3_1704578536676409345</t>
  </si>
  <si>
    <t>3_1693932394250903552</t>
  </si>
  <si>
    <t>3_1680180406937862144</t>
  </si>
  <si>
    <t>3_1694441127724900352</t>
  </si>
  <si>
    <t>3_1682507922084106240</t>
  </si>
  <si>
    <t>3_1706735965560356865</t>
  </si>
  <si>
    <t>3_1704605624670253056</t>
  </si>
  <si>
    <t>3_1706731459430825984</t>
  </si>
  <si>
    <t>16_1670537061429026816</t>
  </si>
  <si>
    <t>7_1690739489268695041</t>
  </si>
  <si>
    <t>3_1691806106052399104</t>
  </si>
  <si>
    <t>3_1690722802922405888</t>
  </si>
  <si>
    <t>16_1690435144224575488</t>
  </si>
  <si>
    <t>3_1690338342582284290</t>
  </si>
  <si>
    <t>7_1690023998149496832</t>
  </si>
  <si>
    <t>7_1689758132942123009</t>
  </si>
  <si>
    <t>3_1658123142970089472</t>
  </si>
  <si>
    <t>3_1668253289962434561</t>
  </si>
  <si>
    <t>3_1661745756771069958</t>
  </si>
  <si>
    <t>3_1690183452480380929</t>
  </si>
  <si>
    <t>3_1660664877483008007</t>
  </si>
  <si>
    <t>3_1667173898058645509</t>
  </si>
  <si>
    <t>3_1668618036369317889</t>
  </si>
  <si>
    <t>3_1663955668905218048</t>
  </si>
  <si>
    <t>3_1652557541585330177</t>
  </si>
  <si>
    <t>3_1673407425196568576</t>
  </si>
  <si>
    <t>3_1680323429294133248</t>
  </si>
  <si>
    <t>3_1686370063744663552</t>
  </si>
  <si>
    <t>3_1700502269379178496</t>
  </si>
  <si>
    <t>3_1696230248449191936</t>
  </si>
  <si>
    <t>3_1665741789737656321</t>
  </si>
  <si>
    <t>3_1684965486885289984 3_1684965501347254272 3_1684965515888926733 3_1684965531735007234</t>
  </si>
  <si>
    <t>3_1662185735808532490 3_1662185735791755264 3_1662185736051802116 3_1662185735795949574</t>
  </si>
  <si>
    <t>3_1658172280902410261</t>
  </si>
  <si>
    <t>3_1692623282825031680 3_1692623282845974528 3_1692623282808184832 3_1692623360419586049</t>
  </si>
  <si>
    <t>3_1695160207490289664 3_1695160222312992768 3_1695160266864906240 3_1695160280521596928</t>
  </si>
  <si>
    <t>3_1677408077463650306 3_1677408077425811457 3_1677408077450993664 3_1677408077434310659</t>
  </si>
  <si>
    <t>3_1674977903170207747 3_1674977926851223557 3_1674977938788286470 3_1674977952897937413</t>
  </si>
  <si>
    <t>3_1654541499478974468 3_1654541499705577473 3_1654541499713847303 3_1654541499713961984</t>
  </si>
  <si>
    <t>3_1679873696402374659 3_1679873710856065025 3_1679873725007527936 3_1679873749200281602</t>
  </si>
  <si>
    <t>3_1705288617881448448 3_1705288631068282880 3_1705288644217507840 3_1705288657798619136</t>
  </si>
  <si>
    <t>3_1702754974122364929 3_1702754985274949632 3_1702754992313044992 3_1702755000093466624</t>
  </si>
  <si>
    <t>3_1687542034939133952 3_1687542046335115266 3_1687542059853303808 3_1687542073950420993</t>
  </si>
  <si>
    <t>3_1659567285256724481 3_1659567285479043074 3_1659567286338945028 3_1659567286456385536</t>
  </si>
  <si>
    <t>3_1697684691413766144 3_1697684701857619968 3_1697684711349358592 3_1697684720098717696</t>
  </si>
  <si>
    <t>3_1682484400510971910 3_1682484411843969024 3_1682484422698827777 3_1682484433205489671</t>
  </si>
  <si>
    <t>3_1664702718668165127 3_1664702718630297601 3_1664702718617833498 3_1664702718626222087</t>
  </si>
  <si>
    <t>3_1690099949323603968 3_1690099949340352512 3_1690099949327802369 3_1690099949332021249</t>
  </si>
  <si>
    <t>3_1669787572975837192 3_1669787586414477313 3_1669787598728863753 3_1669787608954576902</t>
  </si>
  <si>
    <t>3_1697192295513108480</t>
  </si>
  <si>
    <t>3_1697187617320599552</t>
  </si>
  <si>
    <t>7_1698708433992581120</t>
  </si>
  <si>
    <t>7_1698698546134831104</t>
  </si>
  <si>
    <t>7_1699052129971826688</t>
  </si>
  <si>
    <t>3_1655653394567028739</t>
  </si>
  <si>
    <t>13_1668399272742604801</t>
  </si>
  <si>
    <t>13_1664019669710413824</t>
  </si>
  <si>
    <t>13_1663693848227266560</t>
  </si>
  <si>
    <t>3_1667971343038513152</t>
  </si>
  <si>
    <t>13_1683988703989956608</t>
  </si>
  <si>
    <t>13_1683619657276706819</t>
  </si>
  <si>
    <t>13_1696309477434101760</t>
  </si>
  <si>
    <t>13_1678544380452380672</t>
  </si>
  <si>
    <t>13_1669403759724703744</t>
  </si>
  <si>
    <t>13_1669311801970814977</t>
  </si>
  <si>
    <t>13_1697745903996817408</t>
  </si>
  <si>
    <t>13_1666228481716375552</t>
  </si>
  <si>
    <t>7_1661438371191816216</t>
  </si>
  <si>
    <t>13_1660757540823523328</t>
  </si>
  <si>
    <t>3_1654197546804301839</t>
  </si>
  <si>
    <t>13_1654084745956069376</t>
  </si>
  <si>
    <t>3_1658473279886336003</t>
  </si>
  <si>
    <t>3_1658297175082663946</t>
  </si>
  <si>
    <t>3_1673363686512115714</t>
  </si>
  <si>
    <t>3_1684545837244862464</t>
  </si>
  <si>
    <t>3_1681433295349772288</t>
  </si>
  <si>
    <t>3_1696139341586731009</t>
  </si>
  <si>
    <t>3_1695055629767901184</t>
  </si>
  <si>
    <t>3_1677043820142231552</t>
  </si>
  <si>
    <t>3_1676567840936034306</t>
  </si>
  <si>
    <t>3_1670745455351808001</t>
  </si>
  <si>
    <t>3_1670727597242630146</t>
  </si>
  <si>
    <t>3_1670726257460248577</t>
  </si>
  <si>
    <t>3_1671006195556012038</t>
  </si>
  <si>
    <t>3_1676524244799201280</t>
  </si>
  <si>
    <t>3_1684135736310738947</t>
  </si>
  <si>
    <t>3_1674005798492463108</t>
  </si>
  <si>
    <t>3_1683473098383712259</t>
  </si>
  <si>
    <t>3_1663592838632701968</t>
  </si>
  <si>
    <t>3_1654127505673191425</t>
  </si>
  <si>
    <t>3_1667250246089408512</t>
  </si>
  <si>
    <t>3_1673776993551220739</t>
  </si>
  <si>
    <t>3_1665720810722455555</t>
  </si>
  <si>
    <t>3_1692556200934563840</t>
  </si>
  <si>
    <t>3_1662435398113476609</t>
  </si>
  <si>
    <t>3_1670854133828517895</t>
  </si>
  <si>
    <t>3_1674599092918337537</t>
  </si>
  <si>
    <t>3_1659929530977361928</t>
  </si>
  <si>
    <t>3_1659929109143736320</t>
  </si>
  <si>
    <t>3_1689669202334896128</t>
  </si>
  <si>
    <t>3_1687609176195739648</t>
  </si>
  <si>
    <t>3_1679276605988909057</t>
  </si>
  <si>
    <t>3_1675935092470870018</t>
  </si>
  <si>
    <t>3_1667321396093911041</t>
  </si>
  <si>
    <t>3_1662054893077643264</t>
  </si>
  <si>
    <t>3_1699715822183165952</t>
  </si>
  <si>
    <t>3_1698840458716131328</t>
  </si>
  <si>
    <t>3_1698839740273901570</t>
  </si>
  <si>
    <t>3_1695860347666595840</t>
  </si>
  <si>
    <t>3_1688876134903971840</t>
  </si>
  <si>
    <t>3_1663295832177758209</t>
  </si>
  <si>
    <t>3_1704866130177699840</t>
  </si>
  <si>
    <t>3_1694103070152507393</t>
  </si>
  <si>
    <t>3_1687117470015041536</t>
  </si>
  <si>
    <t>3_1687114376778792961</t>
  </si>
  <si>
    <t>3_1673595012070744064</t>
  </si>
  <si>
    <t>3_1673058936973393921</t>
  </si>
  <si>
    <t>3_1659170900007157762</t>
  </si>
  <si>
    <t>3_1658872721852252162</t>
  </si>
  <si>
    <t>3_1706232959743750144</t>
  </si>
  <si>
    <t>3_1700259500228227072</t>
  </si>
  <si>
    <t>3_1670539463150190594</t>
  </si>
  <si>
    <t>3_1669133260033601536</t>
  </si>
  <si>
    <t>3_1656662060116357121</t>
  </si>
  <si>
    <t>3_1703901858492772352</t>
  </si>
  <si>
    <t>3_1686519209168097280</t>
  </si>
  <si>
    <t>3_1674415238157049857</t>
  </si>
  <si>
    <t>3_1684876485595942918</t>
  </si>
  <si>
    <t>3_1705370563005288448</t>
  </si>
  <si>
    <t>3_1671192885046267906</t>
  </si>
  <si>
    <t>3_1683977158887178241</t>
  </si>
  <si>
    <t>3_1666531193083265025</t>
  </si>
  <si>
    <t>3_1672312473821519875</t>
  </si>
  <si>
    <t>3_1691107781447680000</t>
  </si>
  <si>
    <t>7_1690483581439643648</t>
  </si>
  <si>
    <t>7_1692189804895612929</t>
  </si>
  <si>
    <t>7_1688972139792109580</t>
  </si>
  <si>
    <t>7_1676683211491930112</t>
  </si>
  <si>
    <t>7_1691570778842533888</t>
  </si>
  <si>
    <t>7_1683512830987837443</t>
  </si>
  <si>
    <t>7_1691933186232590336</t>
  </si>
  <si>
    <t>7_1691208345284157440</t>
  </si>
  <si>
    <t>7_1690845973180719107</t>
  </si>
  <si>
    <t>7_1694047058934534144</t>
  </si>
  <si>
    <t>7_1693579192544202752</t>
  </si>
  <si>
    <t>7_1677650193427095553</t>
  </si>
  <si>
    <t>3_1652506813558927360</t>
  </si>
  <si>
    <t>3_1697631275119411200</t>
  </si>
  <si>
    <t>3_1704293780399005696</t>
  </si>
  <si>
    <t>3_1673757785215959040</t>
  </si>
  <si>
    <t>3_1652323181003153408</t>
  </si>
  <si>
    <t>3_1659627709994024966</t>
  </si>
  <si>
    <t>3_1659169638792478720</t>
  </si>
  <si>
    <t>3_1658783099642060801</t>
  </si>
  <si>
    <t>3_1658467350545330176</t>
  </si>
  <si>
    <t>3_1658466246407475200</t>
  </si>
  <si>
    <t>3_1661124654725988359</t>
  </si>
  <si>
    <t>7_1697746202714890240</t>
  </si>
  <si>
    <t>3_1658141622381563905</t>
  </si>
  <si>
    <t>3_1699594370117206016</t>
  </si>
  <si>
    <t>3_1700149002216316928</t>
  </si>
  <si>
    <t>3_1674468342936088592</t>
  </si>
  <si>
    <t>3_1664618327715594241</t>
  </si>
  <si>
    <t>3_1703018041703792640</t>
  </si>
  <si>
    <t>3_1705375295082213376</t>
  </si>
  <si>
    <t>3_1701071454723309568</t>
  </si>
  <si>
    <t>3_1683097089876676613</t>
  </si>
  <si>
    <t>3_1678492792048218130</t>
  </si>
  <si>
    <t>3_1678487764113715223</t>
  </si>
  <si>
    <t>3_1680275653533286401</t>
  </si>
  <si>
    <t>3_1677036252133044225</t>
  </si>
  <si>
    <t>3_1668347213586522135</t>
  </si>
  <si>
    <t>3_1691176448776605696</t>
  </si>
  <si>
    <t>3_1675865951839961090</t>
  </si>
  <si>
    <t>3_1691153634338230272</t>
  </si>
  <si>
    <t>3_1706329466539032576</t>
  </si>
  <si>
    <t>3_1652694310410764293</t>
  </si>
  <si>
    <t>3_1705555400664231936</t>
  </si>
  <si>
    <t>7_1682089242883661834</t>
  </si>
  <si>
    <t>7_1691141379097837568</t>
  </si>
  <si>
    <t>3_1695916483161812992</t>
  </si>
  <si>
    <t>3_1707190019755008000 3_1707190019532730368</t>
  </si>
  <si>
    <t>3_1707177993632722944 3_1707177993641058304</t>
  </si>
  <si>
    <t>3_1707424586176876544</t>
  </si>
  <si>
    <t>3_1679184456895037454</t>
  </si>
  <si>
    <t>3_1673670901101916162</t>
  </si>
  <si>
    <t>3_1686427580205846535</t>
  </si>
  <si>
    <t>3_1686109556852621312</t>
  </si>
  <si>
    <t>3_1689798232698753024</t>
  </si>
  <si>
    <t>3_1656911461741137920</t>
  </si>
  <si>
    <t>3_1699788533748449280</t>
  </si>
  <si>
    <t>3_1657031873539846148</t>
  </si>
  <si>
    <t>3_1658453993268338691 3_1658454117872795649 3_1658454171660558338</t>
  </si>
  <si>
    <t>7_1669027031974125582</t>
  </si>
  <si>
    <t>3_1668607865651707906</t>
  </si>
  <si>
    <t>3_1663276421756641280</t>
  </si>
  <si>
    <t>3_1670212297418063878 16_1670212297548070912 3_1670212297418047489 16_1670212297569050626</t>
  </si>
  <si>
    <t>3_1663836045413105664</t>
  </si>
  <si>
    <t>3_1683595056735739904</t>
  </si>
  <si>
    <t>3_1683594620364636160</t>
  </si>
  <si>
    <t>3_1686184223709769728</t>
  </si>
  <si>
    <t>3_1679363464957919232</t>
  </si>
  <si>
    <t>3_1676108600027107328</t>
  </si>
  <si>
    <t>3_1686569946036215809</t>
  </si>
  <si>
    <t>3_1683123443951099905</t>
  </si>
  <si>
    <t>3_1657722334927527938</t>
  </si>
  <si>
    <t>3_1661926508661727234</t>
  </si>
  <si>
    <t>3_1682838164073840642 3_1682838169253818370</t>
  </si>
  <si>
    <t>3_1677500886396829697</t>
  </si>
  <si>
    <t>3_1677455572763922432</t>
  </si>
  <si>
    <t>7_1668408508629254146</t>
  </si>
  <si>
    <t>7_1667365918916083712</t>
  </si>
  <si>
    <t>3_1685689898638901249</t>
  </si>
  <si>
    <t>3_1651929409790640129</t>
  </si>
  <si>
    <t>3_1671246749015461889</t>
  </si>
  <si>
    <t>3_1657400501036539904</t>
  </si>
  <si>
    <t>3_1657053189651279873</t>
  </si>
  <si>
    <t>3_1673707939436154880</t>
  </si>
  <si>
    <t>3_1678811544988024839</t>
  </si>
  <si>
    <t>3_1669797181631373330</t>
  </si>
  <si>
    <t>3_1669359298395410432</t>
  </si>
  <si>
    <t>3_1669042203631517696 3_1669042203526586379</t>
  </si>
  <si>
    <t>3_1676308701177606159</t>
  </si>
  <si>
    <t>3_1664313947762171905</t>
  </si>
  <si>
    <t>3_1658442342024527874</t>
  </si>
  <si>
    <t>3_1659021715144409091</t>
  </si>
  <si>
    <t>3_1698135047033778177</t>
  </si>
  <si>
    <t>3_1702466236595003392</t>
  </si>
  <si>
    <t>3_1706658780044214272</t>
  </si>
  <si>
    <t>3_1707382904743997440</t>
  </si>
  <si>
    <t>3_1706622563491676160</t>
  </si>
  <si>
    <t>3_1689394976528936961</t>
  </si>
  <si>
    <t>3_1658794840904159233</t>
  </si>
  <si>
    <t>3_1658157364959227911</t>
  </si>
  <si>
    <t>7_1667874971601760256</t>
  </si>
  <si>
    <t>7_1691222170989436928</t>
  </si>
  <si>
    <t>7_1668354847437905925</t>
  </si>
  <si>
    <t>7_1672952736332017666</t>
  </si>
  <si>
    <t>7_1665664934984679425</t>
  </si>
  <si>
    <t>7_1664780509971468289</t>
  </si>
  <si>
    <t>7_1670201846256787456</t>
  </si>
  <si>
    <t>7_1673828675639209985</t>
  </si>
  <si>
    <t>7_1673826118305030146</t>
  </si>
  <si>
    <t>7_1672214298330800128</t>
  </si>
  <si>
    <t>7_1664549690669510656</t>
  </si>
  <si>
    <t>7_1675472952828088322</t>
  </si>
  <si>
    <t>7_1674915899629772801</t>
  </si>
  <si>
    <t>7_1666568960274317312</t>
  </si>
  <si>
    <t>3_1668257799225106434 3_1668257799304802304 3_1668257799220985857 3_1668257799241859075</t>
  </si>
  <si>
    <t>3_1658973879006576640</t>
  </si>
  <si>
    <t>3_1652743399030521857</t>
  </si>
  <si>
    <t>3_1673112516350685185</t>
  </si>
  <si>
    <t>3_1681793501900439554</t>
  </si>
  <si>
    <t>3_1696662742873096192</t>
  </si>
  <si>
    <t>3_1668828003831300098</t>
  </si>
  <si>
    <t>3_1703585041362694144</t>
  </si>
  <si>
    <t>3_1688373429815091200</t>
  </si>
  <si>
    <t>3_1706427270011723776</t>
  </si>
  <si>
    <t>7_1656264099989188609</t>
  </si>
  <si>
    <t>7_1658072980298125312</t>
  </si>
  <si>
    <t>3_1670891881373286400</t>
  </si>
  <si>
    <t>13_1656072444589879296</t>
  </si>
  <si>
    <t>3_1663348878991675398</t>
  </si>
  <si>
    <t>7_1665000883636039682</t>
  </si>
  <si>
    <t>3_1658216539122704418</t>
  </si>
  <si>
    <t>3_1663186045205086209</t>
  </si>
  <si>
    <t>3_1704319033489739776</t>
  </si>
  <si>
    <t>3_1659200513454538756</t>
  </si>
  <si>
    <t>3_1670794207676493831</t>
  </si>
  <si>
    <t>3_1696892225685217281</t>
  </si>
  <si>
    <t>3_1699094682255638528</t>
  </si>
  <si>
    <t>3_1706724338131685376</t>
  </si>
  <si>
    <t>3_1658417045241749507 3_1658417053219389441 3_1658417060253249538 3_1658417066712473603</t>
  </si>
  <si>
    <t>3_1653397725973495811 3_1653397732487229440 3_1653397752007589893 3_1653397798006448131</t>
  </si>
  <si>
    <t>3_1676920984522162177 3_1676920990486470657 3_1676921002733731841 3_1676921017871093761</t>
  </si>
  <si>
    <t>3_1697227111532990464 3_1697227124715720704 3_1697227137302831104 3_1697227148359004160</t>
  </si>
  <si>
    <t>3_1657097166538563593 3_1657097172339286016 3_1657097176583921710 3_1657097181092798474</t>
  </si>
  <si>
    <t>3_1697597131786223616</t>
  </si>
  <si>
    <t>3_1702666009411301376</t>
  </si>
  <si>
    <t>3_1696510151660888064</t>
  </si>
  <si>
    <t>7_1706612307000803328</t>
  </si>
  <si>
    <t>3_1694345059112529921 3_1694345090100060160</t>
  </si>
  <si>
    <t>3_1678596819331284994</t>
  </si>
  <si>
    <t>3_1653422703519449090</t>
  </si>
  <si>
    <t>3_1653042187255332866</t>
  </si>
  <si>
    <t>3_1653039768278556673 3_1653039768320499714</t>
  </si>
  <si>
    <t>3_1653037502360436738</t>
  </si>
  <si>
    <t>3_1653036480099385345</t>
  </si>
  <si>
    <t>3_1653028628475654150</t>
  </si>
  <si>
    <t>3_1651671027091423234</t>
  </si>
  <si>
    <t>3_1651666859014467584</t>
  </si>
  <si>
    <t>3_1651666529816018944</t>
  </si>
  <si>
    <t>3_1654574844267094016</t>
  </si>
  <si>
    <t>3_1654573635561037825</t>
  </si>
  <si>
    <t>3_1654572534577213441</t>
  </si>
  <si>
    <t>3_1658986785769152514 3_1658986785773420547 3_1658986785756659715 3_1658986785786011650</t>
  </si>
  <si>
    <t>3_1658976135370223616</t>
  </si>
  <si>
    <t>3_1658956769199022080</t>
  </si>
  <si>
    <t>3_1658956465745416196</t>
  </si>
  <si>
    <t>3_1656665319027482624</t>
  </si>
  <si>
    <t>3_1656014016899162126</t>
  </si>
  <si>
    <t>3_1656010479100207108</t>
  </si>
  <si>
    <t>3_1654195222488797192</t>
  </si>
  <si>
    <t>3_1676321276464431105</t>
  </si>
  <si>
    <t>3_1676321272177803265</t>
  </si>
  <si>
    <t>3_1672767787566088192</t>
  </si>
  <si>
    <t>3_1666554671060639749</t>
  </si>
  <si>
    <t>3_1693388604423249920</t>
  </si>
  <si>
    <t>3_1670707172534099971</t>
  </si>
  <si>
    <t>7_1668284246883020800</t>
  </si>
  <si>
    <t>7_1653518629755928578</t>
  </si>
  <si>
    <t>7_1678503034295336968</t>
  </si>
  <si>
    <t>7_1670230796957892609</t>
  </si>
  <si>
    <t>7_1669102927481282563</t>
  </si>
  <si>
    <t>7_1656415512102830082</t>
  </si>
  <si>
    <t>7_1656048680254701569</t>
  </si>
  <si>
    <t>3_1674333618850746368</t>
  </si>
  <si>
    <t>7_1674190373780963333</t>
  </si>
  <si>
    <t>3_1673793474896773123</t>
  </si>
  <si>
    <t>7_1673715526827139077</t>
  </si>
  <si>
    <t>7_1666184343344095237</t>
  </si>
  <si>
    <t>3_1666125069284700160</t>
  </si>
  <si>
    <t>3_1665734863494717440</t>
  </si>
  <si>
    <t>3_1660563774569340928</t>
  </si>
  <si>
    <t>7_1690901195114618881</t>
  </si>
  <si>
    <t>7_1675215589302849536</t>
  </si>
  <si>
    <t>3_1666465914273890305</t>
  </si>
  <si>
    <t>3_1655208788708786178</t>
  </si>
  <si>
    <t>7_1653891452252876801</t>
  </si>
  <si>
    <t>3_1676156332578160641</t>
  </si>
  <si>
    <t>7_1661783673186791430</t>
  </si>
  <si>
    <t>7_1655584820452270081</t>
  </si>
  <si>
    <t>3_1686868687041486849</t>
  </si>
  <si>
    <t>7_1681765310829920257</t>
  </si>
  <si>
    <t>7_1671257735579533314</t>
  </si>
  <si>
    <t>3_1664650441718743041</t>
  </si>
  <si>
    <t>7_1673346370768363522</t>
  </si>
  <si>
    <t>3_1672970749148033024</t>
  </si>
  <si>
    <t>7_1672664213616046081</t>
  </si>
  <si>
    <t>7_1665659209436807168</t>
  </si>
  <si>
    <t>7_1665377858619940864</t>
  </si>
  <si>
    <t>7_1658954871469400064</t>
  </si>
  <si>
    <t>7_1658590380768591873</t>
  </si>
  <si>
    <t>7_1700853466761957378</t>
  </si>
  <si>
    <t>3_1668548833649872899</t>
  </si>
  <si>
    <t>7_1664008816873070597</t>
  </si>
  <si>
    <t>7_1663669739116277765</t>
  </si>
  <si>
    <t>7_1663283434679148547</t>
  </si>
  <si>
    <t>3_1652395876483059712</t>
  </si>
  <si>
    <t>7_1651610564383088642</t>
  </si>
  <si>
    <t>3_1655727534984527874</t>
  </si>
  <si>
    <t>3_1668392944963842049</t>
  </si>
  <si>
    <t>3_1698092701885837312</t>
  </si>
  <si>
    <t>7_1694449089834819584</t>
  </si>
  <si>
    <t>3_1694405428828831745</t>
  </si>
  <si>
    <t>3_1665930243188695040</t>
  </si>
  <si>
    <t>3_1698378695570812928</t>
  </si>
  <si>
    <t>3_1657765886474715137 3_1657765918448013317</t>
  </si>
  <si>
    <t>7_1655538258669981697</t>
  </si>
  <si>
    <t>3_1660583485029990400</t>
  </si>
  <si>
    <t>3_1678565886989328384</t>
  </si>
  <si>
    <t>3_1679204775152189440</t>
  </si>
  <si>
    <t>3_1681340795436122138</t>
  </si>
  <si>
    <t>3_1671574462662156290</t>
  </si>
  <si>
    <t>7_1668742565678530562</t>
  </si>
  <si>
    <t>1662973820901179394</t>
  </si>
  <si>
    <t>1657400909154926593</t>
  </si>
  <si>
    <t>1675138202859114497</t>
  </si>
  <si>
    <t>1682754514321829890</t>
  </si>
  <si>
    <t>1672606811055071236</t>
  </si>
  <si>
    <t>1688316800386101248</t>
  </si>
  <si>
    <t>1687819752817807360</t>
  </si>
  <si>
    <t>1675618814501834752</t>
  </si>
  <si>
    <t>1657377753543368704</t>
  </si>
  <si>
    <t>1657097357052239872</t>
  </si>
  <si>
    <t>1659201242843971586</t>
  </si>
  <si>
    <t>1658877240501846016</t>
  </si>
  <si>
    <t>1658859485077667843</t>
  </si>
  <si>
    <t>1668666096742744064</t>
  </si>
  <si>
    <t>1668333915545952258</t>
  </si>
  <si>
    <t>1670440176919642112</t>
  </si>
  <si>
    <t>1670437106605334528</t>
  </si>
  <si>
    <t>1671950708793376791</t>
  </si>
  <si>
    <t>1692157165895610738</t>
  </si>
  <si>
    <t>1662067694487719936</t>
  </si>
  <si>
    <t>1662064079534538756</t>
  </si>
  <si>
    <t>1658979010108432384</t>
  </si>
  <si>
    <t>1658064520298868736</t>
  </si>
  <si>
    <t>1657694963944022018</t>
  </si>
  <si>
    <t>1677443937601028096</t>
  </si>
  <si>
    <t>1661372412275949569</t>
  </si>
  <si>
    <t>1660943690448134144</t>
  </si>
  <si>
    <t>1686310976843341824</t>
  </si>
  <si>
    <t>1675606955195236355</t>
  </si>
  <si>
    <t>1661911422727602177</t>
  </si>
  <si>
    <t>1661755707363061761</t>
  </si>
  <si>
    <t>1690126556893421569</t>
  </si>
  <si>
    <t>1656627057424515077</t>
  </si>
  <si>
    <t>1656241591449706499</t>
  </si>
  <si>
    <t>1688150545284882432</t>
  </si>
  <si>
    <t>1673868332246654976</t>
  </si>
  <si>
    <t>1699426682044579907</t>
  </si>
  <si>
    <t>1676711331146133504</t>
  </si>
  <si>
    <t>1676359226531147776</t>
  </si>
  <si>
    <t>1652844468104470531</t>
  </si>
  <si>
    <t>1674785201833275403</t>
  </si>
  <si>
    <t>1690070842921598979</t>
  </si>
  <si>
    <t>1666562091946332160</t>
  </si>
  <si>
    <t>1706458175065485592</t>
  </si>
  <si>
    <t>1667573547634393089</t>
  </si>
  <si>
    <t>1686133312081870848</t>
  </si>
  <si>
    <t>1687492621482991622</t>
  </si>
  <si>
    <t>1687215018859794437</t>
  </si>
  <si>
    <t>1702035399432876437</t>
  </si>
  <si>
    <t>1701689375975743501</t>
  </si>
  <si>
    <t>1702416708386926595</t>
  </si>
  <si>
    <t>1688654639569252352</t>
  </si>
  <si>
    <t>1671292721066045441</t>
  </si>
  <si>
    <t>1655910067659497474</t>
  </si>
  <si>
    <t>1677388457511886861</t>
  </si>
  <si>
    <t>1707172715415633947</t>
  </si>
  <si>
    <t>1662426531619061760</t>
  </si>
  <si>
    <t>1651680932556840960</t>
  </si>
  <si>
    <t>1692024641211019447</t>
  </si>
  <si>
    <t>1662081025839706113</t>
  </si>
  <si>
    <t>1662080605583036417</t>
  </si>
  <si>
    <t>1651738980872855552</t>
  </si>
  <si>
    <t>1653516890352898048</t>
  </si>
  <si>
    <t>1678825255920365573</t>
  </si>
  <si>
    <t>1698720024033189998</t>
  </si>
  <si>
    <t>1677029816476790784</t>
  </si>
  <si>
    <t>1686062320869425161</t>
  </si>
  <si>
    <t>1698470329859846169</t>
  </si>
  <si>
    <t>1707188033915638162</t>
  </si>
  <si>
    <t>1706746048918540732</t>
  </si>
  <si>
    <t>1666111942140764160</t>
  </si>
  <si>
    <t>1681638663032123394</t>
  </si>
  <si>
    <t>1681329827729604608</t>
  </si>
  <si>
    <t>1664745749093965828</t>
  </si>
  <si>
    <t>1660711005629083649</t>
  </si>
  <si>
    <t>1683914502268411906</t>
  </si>
  <si>
    <t>1672656892164726785</t>
  </si>
  <si>
    <t>1683853233804943362</t>
  </si>
  <si>
    <t>1669424128275652612</t>
  </si>
  <si>
    <t>1689652827625508868</t>
  </si>
  <si>
    <t>1691630860481528239</t>
  </si>
  <si>
    <t>1692015897135731198</t>
  </si>
  <si>
    <t>1674584894062592001</t>
  </si>
  <si>
    <t>1654102299696832512</t>
  </si>
  <si>
    <t>1679114598681821185</t>
  </si>
  <si>
    <t>1687612445341134848</t>
  </si>
  <si>
    <t>1673798029999058951</t>
  </si>
  <si>
    <t>1677694734280663040</t>
  </si>
  <si>
    <t>1683453322462732288</t>
  </si>
  <si>
    <t>1673303326669131782</t>
  </si>
  <si>
    <t>1672645508320329728</t>
  </si>
  <si>
    <t>1688267445256028160</t>
  </si>
  <si>
    <t>1693728992149282817</t>
  </si>
  <si>
    <t>1699010232150643166</t>
  </si>
  <si>
    <t>1668752139898744834</t>
  </si>
  <si>
    <t>1706063564757168413</t>
  </si>
  <si>
    <t>1678377528145203203</t>
  </si>
  <si>
    <t>1669085625755095045</t>
  </si>
  <si>
    <t>1656281934710841346</t>
  </si>
  <si>
    <t>1677089546331103232</t>
  </si>
  <si>
    <t>1662881190854926337</t>
  </si>
  <si>
    <t>1662881036995264512</t>
  </si>
  <si>
    <t>1662880872528240644</t>
  </si>
  <si>
    <t>1662850629960716288</t>
  </si>
  <si>
    <t>1662850463971123200</t>
  </si>
  <si>
    <t>1662850314314166273</t>
  </si>
  <si>
    <t>1662845766614827008</t>
  </si>
  <si>
    <t>1662845379375759364</t>
  </si>
  <si>
    <t>1692966668190756923</t>
  </si>
  <si>
    <t>1692964780770766892</t>
  </si>
  <si>
    <t>1692964591641243868</t>
  </si>
  <si>
    <t>1667644684762578947</t>
  </si>
  <si>
    <t>1667644560577634304</t>
  </si>
  <si>
    <t>1667644249670819840</t>
  </si>
  <si>
    <t>1655678276990320646</t>
  </si>
  <si>
    <t>1655678111214698496</t>
  </si>
  <si>
    <t>1655672692257726494</t>
  </si>
  <si>
    <t>1655672519624368146</t>
  </si>
  <si>
    <t>1655668760739454984</t>
  </si>
  <si>
    <t>1655668418111062016</t>
  </si>
  <si>
    <t>1698111869511458925</t>
  </si>
  <si>
    <t>1692964416881357238</t>
  </si>
  <si>
    <t>1692964325378388291</t>
  </si>
  <si>
    <t>1685742393629331456</t>
  </si>
  <si>
    <t>1685742206928273409</t>
  </si>
  <si>
    <t>1685741970981888001</t>
  </si>
  <si>
    <t>1685738085328273408</t>
  </si>
  <si>
    <t>1685734294348615681</t>
  </si>
  <si>
    <t>1685734083551236096</t>
  </si>
  <si>
    <t>1685733875471843328</t>
  </si>
  <si>
    <t>1685733727521902593</t>
  </si>
  <si>
    <t>1685733216714416128</t>
  </si>
  <si>
    <t>1685733012388851712</t>
  </si>
  <si>
    <t>1678120704779198464</t>
  </si>
  <si>
    <t>1678120619810979841</t>
  </si>
  <si>
    <t>1678120366735081472</t>
  </si>
  <si>
    <t>1678120140347416580</t>
  </si>
  <si>
    <t>1678119778706178051</t>
  </si>
  <si>
    <t>1675224628631937024</t>
  </si>
  <si>
    <t>1675224481495654405</t>
  </si>
  <si>
    <t>1675224320916717568</t>
  </si>
  <si>
    <t>1675224159243194368</t>
  </si>
  <si>
    <t>1675223997645029377</t>
  </si>
  <si>
    <t>1675223808993574913</t>
  </si>
  <si>
    <t>1675223613174165504</t>
  </si>
  <si>
    <t>1675223416540913668</t>
  </si>
  <si>
    <t>1700673176336769454</t>
  </si>
  <si>
    <t>1700673030874087665</t>
  </si>
  <si>
    <t>1699528633155482011</t>
  </si>
  <si>
    <t>1699496787847856371</t>
  </si>
  <si>
    <t>1695519007862837316</t>
  </si>
  <si>
    <t>1695518884869083476</t>
  </si>
  <si>
    <t>1695514456409743751</t>
  </si>
  <si>
    <t>1703879564550705270</t>
  </si>
  <si>
    <t>1704188660722135534</t>
  </si>
  <si>
    <t>1700672648869544207</t>
  </si>
  <si>
    <t>1690685960542171137</t>
  </si>
  <si>
    <t>1690685837497802752</t>
  </si>
  <si>
    <t>1690685676289748992</t>
  </si>
  <si>
    <t>1690685365772791809</t>
  </si>
  <si>
    <t>1678528119563599872</t>
  </si>
  <si>
    <t>1678777913850880001</t>
  </si>
  <si>
    <t>1670154279540195333</t>
  </si>
  <si>
    <t>1670154086845480963</t>
  </si>
  <si>
    <t>1670153930418843654</t>
  </si>
  <si>
    <t>1670153654140129282</t>
  </si>
  <si>
    <t>1703878720644116960</t>
  </si>
  <si>
    <t>1704188631932375370</t>
  </si>
  <si>
    <t>1703878030790131843</t>
  </si>
  <si>
    <t>1704188600055689345</t>
  </si>
  <si>
    <t>1683103110238027778</t>
  </si>
  <si>
    <t>1683102996270391298</t>
  </si>
  <si>
    <t>1683101945945370627</t>
  </si>
  <si>
    <t>1683089905696624641</t>
  </si>
  <si>
    <t>1672918370952400898</t>
  </si>
  <si>
    <t>1672915282258477056</t>
  </si>
  <si>
    <t>1672909905940946944</t>
  </si>
  <si>
    <t>1665097409167347712</t>
  </si>
  <si>
    <t>1665097272332279810</t>
  </si>
  <si>
    <t>1665097144523530246</t>
  </si>
  <si>
    <t>1665096818349178880</t>
  </si>
  <si>
    <t>1705686247320993910</t>
  </si>
  <si>
    <t>1705686069293846966</t>
  </si>
  <si>
    <t>1687894734935629829</t>
  </si>
  <si>
    <t>1687894558871257089</t>
  </si>
  <si>
    <t>1687882208885735425</t>
  </si>
  <si>
    <t>1687881926865010688</t>
  </si>
  <si>
    <t>1660043961870823426</t>
  </si>
  <si>
    <t>1660043731154739200</t>
  </si>
  <si>
    <t>1660043538971729921</t>
  </si>
  <si>
    <t>1660043105096069123</t>
  </si>
  <si>
    <t>1705685610348900618</t>
  </si>
  <si>
    <t>1705684291735228611</t>
  </si>
  <si>
    <t>1698111748317106501</t>
  </si>
  <si>
    <t>1698111484822167966</t>
  </si>
  <si>
    <t>1698111309601034417</t>
  </si>
  <si>
    <t>1698111162498318469</t>
  </si>
  <si>
    <t>1698110848797921608</t>
  </si>
  <si>
    <t>1686481995365236739</t>
  </si>
  <si>
    <t>1686736238206746625</t>
  </si>
  <si>
    <t>1680295303948259328</t>
  </si>
  <si>
    <t>1680294814305189889</t>
  </si>
  <si>
    <t>1680293933727793155</t>
  </si>
  <si>
    <t>1680293595587174401</t>
  </si>
  <si>
    <t>1657476819988119553</t>
  </si>
  <si>
    <t>1657476681248956418</t>
  </si>
  <si>
    <t>1657476539972288525</t>
  </si>
  <si>
    <t>1657476337358065672</t>
  </si>
  <si>
    <t>1657475988400271362</t>
  </si>
  <si>
    <t>1686161310596161543</t>
  </si>
  <si>
    <t>1686158545153142784</t>
  </si>
  <si>
    <t>1661356579474534402</t>
  </si>
  <si>
    <t>1667216272176627718</t>
  </si>
  <si>
    <t>1664276106881683457</t>
  </si>
  <si>
    <t>1671206304000405504</t>
  </si>
  <si>
    <t>1664395181733322752</t>
  </si>
  <si>
    <t>1673744287132008448</t>
  </si>
  <si>
    <t>1665736483259523074</t>
  </si>
  <si>
    <t>1660601560441798657</t>
  </si>
  <si>
    <t>1676576832257249281</t>
  </si>
  <si>
    <t>1663893372262596608</t>
  </si>
  <si>
    <t>1663138306345914370</t>
  </si>
  <si>
    <t>1678560333114269697</t>
  </si>
  <si>
    <t>1704931651866808809</t>
  </si>
  <si>
    <t>1694852998516666402</t>
  </si>
  <si>
    <t>1694648264904073295</t>
  </si>
  <si>
    <t>1694492056851206267</t>
  </si>
  <si>
    <t>1697066159877542021</t>
  </si>
  <si>
    <t>1691228341322285056</t>
  </si>
  <si>
    <t>1701379360563855820</t>
  </si>
  <si>
    <t>1666052867608793091</t>
  </si>
  <si>
    <t>1687108504853897218</t>
  </si>
  <si>
    <t>1692521958376611920</t>
  </si>
  <si>
    <t>1697419398397493456</t>
  </si>
  <si>
    <t>1668542262685450240</t>
  </si>
  <si>
    <t>1668542205873487874</t>
  </si>
  <si>
    <t>1667455072626671617</t>
  </si>
  <si>
    <t>1668179873163091970</t>
  </si>
  <si>
    <t>1670645711040393218</t>
  </si>
  <si>
    <t>1704231215916515555</t>
  </si>
  <si>
    <t>1663249184546226182</t>
  </si>
  <si>
    <t>1652060916530262018</t>
  </si>
  <si>
    <t>1664320430855929868</t>
  </si>
  <si>
    <t>1674904426144727042</t>
  </si>
  <si>
    <t>1661114513981054984</t>
  </si>
  <si>
    <t>1706343167388250540</t>
  </si>
  <si>
    <t>1659243272819048459</t>
  </si>
  <si>
    <t>1659169508366450690</t>
  </si>
  <si>
    <t>1668037355314245632</t>
  </si>
  <si>
    <t>1674201295786237954</t>
  </si>
  <si>
    <t>1687209891273031680</t>
  </si>
  <si>
    <t>1657920436414341122</t>
  </si>
  <si>
    <t>1657839433469575172</t>
  </si>
  <si>
    <t>1657503416254361601</t>
  </si>
  <si>
    <t>1660677848410083331</t>
  </si>
  <si>
    <t>1659657151822831638</t>
  </si>
  <si>
    <t>1659363124242153478</t>
  </si>
  <si>
    <t>1659293916863004672</t>
  </si>
  <si>
    <t>1662578275418357760</t>
  </si>
  <si>
    <t>1662214781712076800</t>
  </si>
  <si>
    <t>1658510260502396933</t>
  </si>
  <si>
    <t>1658272651503104000</t>
  </si>
  <si>
    <t>1658205563669413888</t>
  </si>
  <si>
    <t>1658153135163027467</t>
  </si>
  <si>
    <t>1664937215804284928</t>
  </si>
  <si>
    <t>1659227328856072195</t>
  </si>
  <si>
    <t>1658993793578807297</t>
  </si>
  <si>
    <t>1658932960509276163</t>
  </si>
  <si>
    <t>1658627908049547265</t>
  </si>
  <si>
    <t>1658574315023990784</t>
  </si>
  <si>
    <t>1668417382392406018</t>
  </si>
  <si>
    <t>1664047332747272197</t>
  </si>
  <si>
    <t>1664004571583094784</t>
  </si>
  <si>
    <t>1663893666354610176</t>
  </si>
  <si>
    <t>1663642894173982720</t>
  </si>
  <si>
    <t>1663336130069028865</t>
  </si>
  <si>
    <t>1663297082793287684</t>
  </si>
  <si>
    <t>1663137299276652545</t>
  </si>
  <si>
    <t>1670959703055056897</t>
  </si>
  <si>
    <t>1667274780213497856</t>
  </si>
  <si>
    <t>1661718661013417986</t>
  </si>
  <si>
    <t>1675192780698648577</t>
  </si>
  <si>
    <t>1666965858994757634</t>
  </si>
  <si>
    <t>1666815125364551681</t>
  </si>
  <si>
    <t>1666241679051898882</t>
  </si>
  <si>
    <t>1661149797632589824</t>
  </si>
  <si>
    <t>1661106086940647439</t>
  </si>
  <si>
    <t>1661062750682882048</t>
  </si>
  <si>
    <t>1660742692274425875</t>
  </si>
  <si>
    <t>1690717551821553665</t>
  </si>
  <si>
    <t>1690446483391152128</t>
  </si>
  <si>
    <t>1689809731261497345</t>
  </si>
  <si>
    <t>1669138090101821441</t>
  </si>
  <si>
    <t>1684379591211732992</t>
  </si>
  <si>
    <t>1677700113240580113</t>
  </si>
  <si>
    <t>1697246639172501682</t>
  </si>
  <si>
    <t>1701227674746671228</t>
  </si>
  <si>
    <t>1692227167315243241</t>
  </si>
  <si>
    <t>1673777042754510851</t>
  </si>
  <si>
    <t>1656630733904007168</t>
  </si>
  <si>
    <t>1673748275382329366</t>
  </si>
  <si>
    <t>1674865638035329024</t>
  </si>
  <si>
    <t>1675922854108631040</t>
  </si>
  <si>
    <t>1697490006795825314</t>
  </si>
  <si>
    <t>1653061622070378498</t>
  </si>
  <si>
    <t>1670763365659025409</t>
  </si>
  <si>
    <t>1693593793113862517</t>
  </si>
  <si>
    <t>1697580063984926956</t>
  </si>
  <si>
    <t>1659529341955641346</t>
  </si>
  <si>
    <t>1701928714274037999</t>
  </si>
  <si>
    <t>1703058634471506256</t>
  </si>
  <si>
    <t>1668965816946049025</t>
  </si>
  <si>
    <t>1697941935648911781</t>
  </si>
  <si>
    <t>1681447272578715648</t>
  </si>
  <si>
    <t>1687903887171231745</t>
  </si>
  <si>
    <t>1695470376959058122</t>
  </si>
  <si>
    <t>1674382023971024897</t>
  </si>
  <si>
    <t>1660818494353727488</t>
  </si>
  <si>
    <t>1663789463586365440</t>
  </si>
  <si>
    <t>1687111439679660033</t>
  </si>
  <si>
    <t>1686359475932774401</t>
  </si>
  <si>
    <t>1658249295030525954</t>
  </si>
  <si>
    <t>1704743404846891379</t>
  </si>
  <si>
    <t>1657551434903175170</t>
  </si>
  <si>
    <t>1684963404346269696</t>
  </si>
  <si>
    <t>1678698357085093888</t>
  </si>
  <si>
    <t>1656056035713470464</t>
  </si>
  <si>
    <t>1671975330578309140</t>
  </si>
  <si>
    <t>1662136944564879371</t>
  </si>
  <si>
    <t>1678841363016699904</t>
  </si>
  <si>
    <t>1673614310910689282</t>
  </si>
  <si>
    <t>1676511052626907136</t>
  </si>
  <si>
    <t>1676505235626287104</t>
  </si>
  <si>
    <t>1689979728680419330</t>
  </si>
  <si>
    <t>1689631796806508544</t>
  </si>
  <si>
    <t>1669034190346625049</t>
  </si>
  <si>
    <t>1654546502901981185</t>
  </si>
  <si>
    <t>1682012493676445696</t>
  </si>
  <si>
    <t>1661658361669079042</t>
  </si>
  <si>
    <t>1689026195151876096</t>
  </si>
  <si>
    <t>1677308987992342528</t>
  </si>
  <si>
    <t>1652032514964201481</t>
  </si>
  <si>
    <t>1690181306565771264</t>
  </si>
  <si>
    <t>1687470948469886976</t>
  </si>
  <si>
    <t>1658555417734291457</t>
  </si>
  <si>
    <t>1705220412328521758</t>
  </si>
  <si>
    <t>1659846431593893889</t>
  </si>
  <si>
    <t>1659589737760292865</t>
  </si>
  <si>
    <t>1659559542697390081</t>
  </si>
  <si>
    <t>1662107552237121537</t>
  </si>
  <si>
    <t>1670891141221212160</t>
  </si>
  <si>
    <t>1671556299098554375</t>
  </si>
  <si>
    <t>1678527938759741442</t>
  </si>
  <si>
    <t>1658551787614289921</t>
  </si>
  <si>
    <t>1666472657083068417</t>
  </si>
  <si>
    <t>1687594870259511296</t>
  </si>
  <si>
    <t>1658359683000721408</t>
  </si>
  <si>
    <t>1658359510413574145</t>
  </si>
  <si>
    <t>1658359457095598082</t>
  </si>
  <si>
    <t>1658359414976397312</t>
  </si>
  <si>
    <t>1658359363591913472</t>
  </si>
  <si>
    <t>1667705457648226305</t>
  </si>
  <si>
    <t>1667659907431030788</t>
  </si>
  <si>
    <t>1667523760558047236</t>
  </si>
  <si>
    <t>1667357665826324481</t>
  </si>
  <si>
    <t>1667327215179005958</t>
  </si>
  <si>
    <t>1667281665247559681</t>
  </si>
  <si>
    <t>1667175968828522496</t>
  </si>
  <si>
    <t>1674774758880337923</t>
  </si>
  <si>
    <t>1674774407091466242</t>
  </si>
  <si>
    <t>1674774126920351744</t>
  </si>
  <si>
    <t>1701287150795497659</t>
  </si>
  <si>
    <t>1698823753793409185</t>
  </si>
  <si>
    <t>1698671753244057839</t>
  </si>
  <si>
    <t>1663495629929078786</t>
  </si>
  <si>
    <t>1663495474509234176</t>
  </si>
  <si>
    <t>1663495357047660546</t>
  </si>
  <si>
    <t>1663081850267418627</t>
  </si>
  <si>
    <t>1663081454601904133</t>
  </si>
  <si>
    <t>1663081353405947911</t>
  </si>
  <si>
    <t>1702079960091926897</t>
  </si>
  <si>
    <t>1701362733881475088</t>
  </si>
  <si>
    <t>1656652127467634692</t>
  </si>
  <si>
    <t>1656646890660716545</t>
  </si>
  <si>
    <t>1656646562620030978</t>
  </si>
  <si>
    <t>1705550830345318467</t>
  </si>
  <si>
    <t>1704988122621309148</t>
  </si>
  <si>
    <t>1706846870218146078</t>
  </si>
  <si>
    <t>1704871368150618621</t>
  </si>
  <si>
    <t>1673324306456010757</t>
  </si>
  <si>
    <t>1673323720436269059</t>
  </si>
  <si>
    <t>1673323448905375751</t>
  </si>
  <si>
    <t>1658776022114873344</t>
  </si>
  <si>
    <t>1658775890015268867</t>
  </si>
  <si>
    <t>1658775079617024000</t>
  </si>
  <si>
    <t>1658774941339209728</t>
  </si>
  <si>
    <t>1706756132449272032</t>
  </si>
  <si>
    <t>1659833470904827905</t>
  </si>
  <si>
    <t>1659833354970071043</t>
  </si>
  <si>
    <t>1659833222669258752</t>
  </si>
  <si>
    <t>1659833045916975104</t>
  </si>
  <si>
    <t>1659832872423890979</t>
  </si>
  <si>
    <t>1659832814857011203</t>
  </si>
  <si>
    <t>1662103800650530816</t>
  </si>
  <si>
    <t>1664300773956792320</t>
  </si>
  <si>
    <t>1675569022602027013</t>
  </si>
  <si>
    <t>1682412617833275392</t>
  </si>
  <si>
    <t>1697246793099280495</t>
  </si>
  <si>
    <t>1701940289756418395</t>
  </si>
  <si>
    <t>1698700880487268754</t>
  </si>
  <si>
    <t>1704843167797809378</t>
  </si>
  <si>
    <t>1704183476528841205</t>
  </si>
  <si>
    <t>1694556999239741712</t>
  </si>
  <si>
    <t>1668236583391174658</t>
  </si>
  <si>
    <t>1655717985024196608</t>
  </si>
  <si>
    <t>1656042467727138816</t>
  </si>
  <si>
    <t>1679100471829753861</t>
  </si>
  <si>
    <t>1698670173417582962</t>
  </si>
  <si>
    <t>1657087809054728193</t>
  </si>
  <si>
    <t>1693366547283120144</t>
  </si>
  <si>
    <t>1693236691211796735</t>
  </si>
  <si>
    <t>1689688308559802392</t>
  </si>
  <si>
    <t>1702371884556324991</t>
  </si>
  <si>
    <t>1701735943424585823</t>
  </si>
  <si>
    <t>1701011169736335560</t>
  </si>
  <si>
    <t>1698836839912603744</t>
  </si>
  <si>
    <t>1698748006734893185</t>
  </si>
  <si>
    <t>1695048630019797268</t>
  </si>
  <si>
    <t>1704108328400347248</t>
  </si>
  <si>
    <t>1704238181690773528</t>
  </si>
  <si>
    <t>1702734274389053595</t>
  </si>
  <si>
    <t>1702098333748093021</t>
  </si>
  <si>
    <t>1702063857227665680</t>
  </si>
  <si>
    <t>1701647109923983463</t>
  </si>
  <si>
    <t>1700648782352847210</t>
  </si>
  <si>
    <t>1704600568633622835</t>
  </si>
  <si>
    <t>1694816096203710900</t>
  </si>
  <si>
    <t>1694761738510430569</t>
  </si>
  <si>
    <t>1694711359517466754</t>
  </si>
  <si>
    <t>1662077409917534211</t>
  </si>
  <si>
    <t>1662077239960150017</t>
  </si>
  <si>
    <t>1666228634393231365</t>
  </si>
  <si>
    <t>1666228590751391746</t>
  </si>
  <si>
    <t>1664786621680480257</t>
  </si>
  <si>
    <t>1664786539170152451</t>
  </si>
  <si>
    <t>1665836970772254725</t>
  </si>
  <si>
    <t>1706778061931155627</t>
  </si>
  <si>
    <t>1654632903450722305</t>
  </si>
  <si>
    <t>1705016750238994916</t>
  </si>
  <si>
    <t>1686366592458690560</t>
  </si>
  <si>
    <t>1702646619945009397</t>
  </si>
  <si>
    <t>1669486170168778753</t>
  </si>
  <si>
    <t>1699517270517600348</t>
  </si>
  <si>
    <t>1688301783959932929</t>
  </si>
  <si>
    <t>1692996657900577246</t>
  </si>
  <si>
    <t>1695918945251754397</t>
  </si>
  <si>
    <t>1694053249144205457</t>
  </si>
  <si>
    <t>1693298601261150307</t>
  </si>
  <si>
    <t>1697323947451146272</t>
  </si>
  <si>
    <t>1700923603515023723</t>
  </si>
  <si>
    <t>1695564173101412801</t>
  </si>
  <si>
    <t>1692261207409864975</t>
  </si>
  <si>
    <t>1704936315999949194</t>
  </si>
  <si>
    <t>1691529148689268736</t>
  </si>
  <si>
    <t>1706729508378657167</t>
  </si>
  <si>
    <t>1704199526519640239</t>
  </si>
  <si>
    <t>1700626920092680382</t>
  </si>
  <si>
    <t>1696574766637871517</t>
  </si>
  <si>
    <t>1690716573311365120</t>
  </si>
  <si>
    <t>1704952526754251083</t>
  </si>
  <si>
    <t>1657138755189325826</t>
  </si>
  <si>
    <t>1661745930104877067</t>
  </si>
  <si>
    <t>1705585769782423801</t>
  </si>
  <si>
    <t>1690105868786757632</t>
  </si>
  <si>
    <t>1663251577031753756</t>
  </si>
  <si>
    <t>1700976750287781936</t>
  </si>
  <si>
    <t>1667882780678664192</t>
  </si>
  <si>
    <t>1669719991346667521</t>
  </si>
  <si>
    <t>1697021687764513009</t>
  </si>
  <si>
    <t>1676176618442702851</t>
  </si>
  <si>
    <t>1686315966576074752</t>
  </si>
  <si>
    <t>1675814236172296193</t>
  </si>
  <si>
    <t>1686678325182308353</t>
  </si>
  <si>
    <t>1697561259699216649</t>
  </si>
  <si>
    <t>1688490470236684288</t>
  </si>
  <si>
    <t>1684866393827594240</t>
  </si>
  <si>
    <t>1684504024739975169</t>
  </si>
  <si>
    <t>1674357157096030208</t>
  </si>
  <si>
    <t>1673994770752892928</t>
  </si>
  <si>
    <t>1673632376063229954</t>
  </si>
  <si>
    <t>1696111195873251372</t>
  </si>
  <si>
    <t>1689577432959913984</t>
  </si>
  <si>
    <t>1685953573949988864</t>
  </si>
  <si>
    <t>1674719537722269698</t>
  </si>
  <si>
    <t>1699724303179092145</t>
  </si>
  <si>
    <t>1698999521445839027</t>
  </si>
  <si>
    <t>1689215038790205440</t>
  </si>
  <si>
    <t>1688852663662694400</t>
  </si>
  <si>
    <t>1677263793875812352</t>
  </si>
  <si>
    <t>1676901379758071808</t>
  </si>
  <si>
    <t>1676893556210892801</t>
  </si>
  <si>
    <t>1676538992311795713</t>
  </si>
  <si>
    <t>1706254795739144416</t>
  </si>
  <si>
    <t>1700086683725627832</t>
  </si>
  <si>
    <t>1699361904022413504</t>
  </si>
  <si>
    <t>1689939816182333440</t>
  </si>
  <si>
    <t>1679068194869313537</t>
  </si>
  <si>
    <t>1678705794425008128</t>
  </si>
  <si>
    <t>1678343618040348672</t>
  </si>
  <si>
    <t>1707341964717195770</t>
  </si>
  <si>
    <t>1698636329129529392</t>
  </si>
  <si>
    <t>1683768865157787649</t>
  </si>
  <si>
    <t>1683416847457067008</t>
  </si>
  <si>
    <t>1673458917031002113</t>
  </si>
  <si>
    <t>1673270193752100865</t>
  </si>
  <si>
    <t>1672318941262143488</t>
  </si>
  <si>
    <t>1678810837316665351</t>
  </si>
  <si>
    <t>1666168391772651520</t>
  </si>
  <si>
    <t>1678472252885549056</t>
  </si>
  <si>
    <t>1707056337148919879</t>
  </si>
  <si>
    <t>1662745992926576641</t>
  </si>
  <si>
    <t>1681453295544434688</t>
  </si>
  <si>
    <t>1669508299002200064</t>
  </si>
  <si>
    <t>1696347803746726077</t>
  </si>
  <si>
    <t>1657393032197468160</t>
  </si>
  <si>
    <t>1693701165123260709</t>
  </si>
  <si>
    <t>1656705911858118670</t>
  </si>
  <si>
    <t>1681805774429749249</t>
  </si>
  <si>
    <t>1683984858366853120</t>
  </si>
  <si>
    <t>1664866738360418305</t>
  </si>
  <si>
    <t>1664008594084315136</t>
  </si>
  <si>
    <t>1656064980268072961</t>
  </si>
  <si>
    <t>1654230556027019272</t>
  </si>
  <si>
    <t>1658227021250428929</t>
  </si>
  <si>
    <t>1653521643673665536</t>
  </si>
  <si>
    <t>1656630412204974084</t>
  </si>
  <si>
    <t>1671911094456053760</t>
  </si>
  <si>
    <t>1679158856029544457</t>
  </si>
  <si>
    <t>1675897356321972227</t>
  </si>
  <si>
    <t>1683477321540403210</t>
  </si>
  <si>
    <t>1679823246810660866</t>
  </si>
  <si>
    <t>1676690892747427842</t>
  </si>
  <si>
    <t>1681360310345531398</t>
  </si>
  <si>
    <t>1698168420078931990</t>
  </si>
  <si>
    <t>1704928362215460954</t>
  </si>
  <si>
    <t>1669358488907296768</t>
  </si>
  <si>
    <t>1686181075100303360</t>
  </si>
  <si>
    <t>1691195962713116672</t>
  </si>
  <si>
    <t>1679167757286359050</t>
  </si>
  <si>
    <t>1692546554924499218</t>
  </si>
  <si>
    <t>1681393407028248576</t>
  </si>
  <si>
    <t>1697805303025221707</t>
  </si>
  <si>
    <t>1687926761156227072</t>
  </si>
  <si>
    <t>1658242454858997761</t>
  </si>
  <si>
    <t>1695218794761748746</t>
  </si>
  <si>
    <t>1704555944233865693</t>
  </si>
  <si>
    <t>1687927453593833472</t>
  </si>
  <si>
    <t>1685005879664431110</t>
  </si>
  <si>
    <t>1677008659254050817</t>
  </si>
  <si>
    <t>1664827282391719937</t>
  </si>
  <si>
    <t>1678363512106541056</t>
  </si>
  <si>
    <t>1656993876782256129</t>
  </si>
  <si>
    <t>1661886112602677250</t>
  </si>
  <si>
    <t>1666234767107407873</t>
  </si>
  <si>
    <t>1661387829958840320</t>
  </si>
  <si>
    <t>1661040541545496576</t>
  </si>
  <si>
    <t>1664800315114418176</t>
  </si>
  <si>
    <t>1658836015019339776</t>
  </si>
  <si>
    <t>1686120801165271043</t>
  </si>
  <si>
    <t>1664075539441946624</t>
  </si>
  <si>
    <t>1694727513425989758</t>
  </si>
  <si>
    <t>1684550454062223361</t>
  </si>
  <si>
    <t>1665857279617388549</t>
  </si>
  <si>
    <t>1659530591942086658</t>
  </si>
  <si>
    <t>1699106366382542951</t>
  </si>
  <si>
    <t>1670175735284203521</t>
  </si>
  <si>
    <t>1685732992772182016</t>
  </si>
  <si>
    <t>1686314222173523968</t>
  </si>
  <si>
    <t>1666414887839453186</t>
  </si>
  <si>
    <t>1657030962964832257</t>
  </si>
  <si>
    <t>1657030954739703814</t>
  </si>
  <si>
    <t>1668734245253128194</t>
  </si>
  <si>
    <t>1701560734788763996</t>
  </si>
  <si>
    <t>1651619213780418560</t>
  </si>
  <si>
    <t>1659937102664986626</t>
  </si>
  <si>
    <t>1660770185261850625</t>
  </si>
  <si>
    <t>1691164484264484864</t>
  </si>
  <si>
    <t>1664135129919356928</t>
  </si>
  <si>
    <t>1662686125499068417</t>
  </si>
  <si>
    <t>1687662894303854592</t>
  </si>
  <si>
    <t>1681820927418421250</t>
  </si>
  <si>
    <t>1681820725542305796</t>
  </si>
  <si>
    <t>1675865287160111105</t>
  </si>
  <si>
    <t>1670900984527085572</t>
  </si>
  <si>
    <t>1667594763875360770</t>
  </si>
  <si>
    <t>1667311984902062082</t>
  </si>
  <si>
    <t>1667200317081939969</t>
  </si>
  <si>
    <t>1661970097865457665</t>
  </si>
  <si>
    <t>1692684894046998800</t>
  </si>
  <si>
    <t>1685841173926014976</t>
  </si>
  <si>
    <t>1677753168820666370</t>
  </si>
  <si>
    <t>1674876374836813826</t>
  </si>
  <si>
    <t>1666283612876972032</t>
  </si>
  <si>
    <t>1661034754710355968</t>
  </si>
  <si>
    <t>1660785271661645824</t>
  </si>
  <si>
    <t>1702379060658057593</t>
  </si>
  <si>
    <t>1701809027972284528</t>
  </si>
  <si>
    <t>1700918171388063806</t>
  </si>
  <si>
    <t>1700715242978791521</t>
  </si>
  <si>
    <t>1695594096994267216</t>
  </si>
  <si>
    <t>1692400615077421250</t>
  </si>
  <si>
    <t>1676338873557827585</t>
  </si>
  <si>
    <t>1668614126892093440</t>
  </si>
  <si>
    <t>1663552273602211840</t>
  </si>
  <si>
    <t>1662974274058039296</t>
  </si>
  <si>
    <t>1702719231832326633</t>
  </si>
  <si>
    <t>1701424711710720389</t>
  </si>
  <si>
    <t>1700153537303384520</t>
  </si>
  <si>
    <t>1699965087417557172</t>
  </si>
  <si>
    <t>1699080644863680984</t>
  </si>
  <si>
    <t>1696321051230183933</t>
  </si>
  <si>
    <t>1690493960127426560</t>
  </si>
  <si>
    <t>1670190675629953024</t>
  </si>
  <si>
    <t>1669669530237280257</t>
  </si>
  <si>
    <t>1669036736830218242</t>
  </si>
  <si>
    <t>1703883616999076316</t>
  </si>
  <si>
    <t>1686819493962465284</t>
  </si>
  <si>
    <t>1686734553807790080</t>
  </si>
  <si>
    <t>1681129231118397443</t>
  </si>
  <si>
    <t>1680777646202863622</t>
  </si>
  <si>
    <t>1680057353402458112</t>
  </si>
  <si>
    <t>1664474209446248448</t>
  </si>
  <si>
    <t>1705732591934902474</t>
  </si>
  <si>
    <t>1703450576908935558</t>
  </si>
  <si>
    <t>1688047085289902080</t>
  </si>
  <si>
    <t>1684414397102403586</t>
  </si>
  <si>
    <t>1666219442559234049</t>
  </si>
  <si>
    <t>1665900182267916289</t>
  </si>
  <si>
    <t>1660073904155623424</t>
  </si>
  <si>
    <t>1659435295438172166</t>
  </si>
  <si>
    <t>1659415938339307522</t>
  </si>
  <si>
    <t>1706888820015149213</t>
  </si>
  <si>
    <t>1698388853940224178</t>
  </si>
  <si>
    <t>1697326311935521017</t>
  </si>
  <si>
    <t>1682832537557630980</t>
  </si>
  <si>
    <t>1682580975442616320</t>
  </si>
  <si>
    <t>1673128105546854401</t>
  </si>
  <si>
    <t>1672813220980051969</t>
  </si>
  <si>
    <t>1672813125429501952</t>
  </si>
  <si>
    <t>1665370983622909953</t>
  </si>
  <si>
    <t>1659183640134266881</t>
  </si>
  <si>
    <t>1689288224089219072</t>
  </si>
  <si>
    <t>1686017221943029760</t>
  </si>
  <si>
    <t>1675148526618132481</t>
  </si>
  <si>
    <t>1683154814056775682</t>
  </si>
  <si>
    <t>1686094277703585792</t>
  </si>
  <si>
    <t>1707116660262326769</t>
  </si>
  <si>
    <t>1670857640300118034</t>
  </si>
  <si>
    <t>1677367426168545283</t>
  </si>
  <si>
    <t>1702653549568532704</t>
  </si>
  <si>
    <t>1691469144485466112</t>
  </si>
  <si>
    <t>1693400470587396176</t>
  </si>
  <si>
    <t>1693400421782475147</t>
  </si>
  <si>
    <t>1670747072818028545</t>
  </si>
  <si>
    <t>1679286473034711041</t>
  </si>
  <si>
    <t>1681330683677999106</t>
  </si>
  <si>
    <t>1689374904481644544</t>
  </si>
  <si>
    <t>1689369814718873602</t>
  </si>
  <si>
    <t>1689362991542681600</t>
  </si>
  <si>
    <t>1677845681338306560</t>
  </si>
  <si>
    <t>1686393186007351296</t>
  </si>
  <si>
    <t>1693723054600278040</t>
  </si>
  <si>
    <t>1693717346366419426</t>
  </si>
  <si>
    <t>1693674915730272475</t>
  </si>
  <si>
    <t>1691529329371385857</t>
  </si>
  <si>
    <t>1691220603439546368</t>
  </si>
  <si>
    <t>1686473712516636673</t>
  </si>
  <si>
    <t>1693251935384539385</t>
  </si>
  <si>
    <t>1689726613175377920</t>
  </si>
  <si>
    <t>1686349327906516992</t>
  </si>
  <si>
    <t>1679322860278411264</t>
  </si>
  <si>
    <t>1702378022282649649</t>
  </si>
  <si>
    <t>1701909564654809191</t>
  </si>
  <si>
    <t>1701269299162214897</t>
  </si>
  <si>
    <t>1701259746261528993</t>
  </si>
  <si>
    <t>1701185672990630204</t>
  </si>
  <si>
    <t>1699480555786469474</t>
  </si>
  <si>
    <t>1699011739281432814</t>
  </si>
  <si>
    <t>1689007783210074112</t>
  </si>
  <si>
    <t>1688647312451461125</t>
  </si>
  <si>
    <t>1688644044337938433</t>
  </si>
  <si>
    <t>1704085205047222376</t>
  </si>
  <si>
    <t>1698646796828807521</t>
  </si>
  <si>
    <t>1697324253744431240</t>
  </si>
  <si>
    <t>1694443843431678383</t>
  </si>
  <si>
    <t>1694405821835223120</t>
  </si>
  <si>
    <t>1694086172748677579</t>
  </si>
  <si>
    <t>1691766889272242341</t>
  </si>
  <si>
    <t>1691552400148992484</t>
  </si>
  <si>
    <t>1691545849170456576</t>
  </si>
  <si>
    <t>1687452074303193090</t>
  </si>
  <si>
    <t>1706628058386411809</t>
  </si>
  <si>
    <t>1706621614295503224</t>
  </si>
  <si>
    <t>1704446110968799700</t>
  </si>
  <si>
    <t>1704289090374410551</t>
  </si>
  <si>
    <t>1695031839918805268</t>
  </si>
  <si>
    <t>1691914845275471875</t>
  </si>
  <si>
    <t>1707348058940313713</t>
  </si>
  <si>
    <t>1707104098628010042</t>
  </si>
  <si>
    <t>1706257676269748278</t>
  </si>
  <si>
    <t>1705172352412074416</t>
  </si>
  <si>
    <t>1704266627989037549</t>
  </si>
  <si>
    <t>1702294506916180147</t>
  </si>
  <si>
    <t>1701547838998491502</t>
  </si>
  <si>
    <t>1701288631229387148</t>
  </si>
  <si>
    <t>1700235136573260087</t>
  </si>
  <si>
    <t>1700169000590643546</t>
  </si>
  <si>
    <t>1700104092490547647</t>
  </si>
  <si>
    <t>1699209033364779099</t>
  </si>
  <si>
    <t>1696632759685357862</t>
  </si>
  <si>
    <t>1690136918846017537</t>
  </si>
  <si>
    <t>1689739453151977473</t>
  </si>
  <si>
    <t>1689735700239802368</t>
  </si>
  <si>
    <t>1684765481041899520</t>
  </si>
  <si>
    <t>1688670853829935105</t>
  </si>
  <si>
    <t>1694833712486359425</t>
  </si>
  <si>
    <t>1704998943929635015</t>
  </si>
  <si>
    <t>1704999417684611400</t>
  </si>
  <si>
    <t>1668258470510952449</t>
  </si>
  <si>
    <t>1666573153227636736</t>
  </si>
  <si>
    <t>1664021814861856769</t>
  </si>
  <si>
    <t>1662239744003039236</t>
  </si>
  <si>
    <t>1662239742983827456</t>
  </si>
  <si>
    <t>1658253504933244928</t>
  </si>
  <si>
    <t>1658253503435874305</t>
  </si>
  <si>
    <t>1653542430266859522</t>
  </si>
  <si>
    <t>1653542429205594113</t>
  </si>
  <si>
    <t>1687607444422221824</t>
  </si>
  <si>
    <t>1687607442769694722</t>
  </si>
  <si>
    <t>1667313192203083782</t>
  </si>
  <si>
    <t>1667313190575718401</t>
  </si>
  <si>
    <t>1661514984705105921</t>
  </si>
  <si>
    <t>1661514983216238592</t>
  </si>
  <si>
    <t>1655716763923890178</t>
  </si>
  <si>
    <t>1655716762946609156</t>
  </si>
  <si>
    <t>1697703375553368319</t>
  </si>
  <si>
    <t>1697028995340959979</t>
  </si>
  <si>
    <t>1697028993730388049</t>
  </si>
  <si>
    <t>1692682417507651883</t>
  </si>
  <si>
    <t>1692682415808897062</t>
  </si>
  <si>
    <t>1689418847999217664</t>
  </si>
  <si>
    <t>1689418846040473600</t>
  </si>
  <si>
    <t>1666588411849764879</t>
  </si>
  <si>
    <t>1666588410755141636</t>
  </si>
  <si>
    <t>1666226035568918537</t>
  </si>
  <si>
    <t>1666226034457423876</t>
  </si>
  <si>
    <t>1660790199289278466</t>
  </si>
  <si>
    <t>1660790197884256257</t>
  </si>
  <si>
    <t>1654629595814023168</t>
  </si>
  <si>
    <t>1654629594740170752</t>
  </si>
  <si>
    <t>1654267213740756994</t>
  </si>
  <si>
    <t>1654267212587311104</t>
  </si>
  <si>
    <t>1653904822356041728</t>
  </si>
  <si>
    <t>1653904821240451072</t>
  </si>
  <si>
    <t>1701275694762766567</t>
  </si>
  <si>
    <t>1699566771743690757</t>
  </si>
  <si>
    <t>1699566770049192059</t>
  </si>
  <si>
    <t>1699463748270882825</t>
  </si>
  <si>
    <t>1698840917971542281</t>
  </si>
  <si>
    <t>1698840916302159896</t>
  </si>
  <si>
    <t>1698744555615531450</t>
  </si>
  <si>
    <t>1695217594326798808</t>
  </si>
  <si>
    <t>1695217592451887446</t>
  </si>
  <si>
    <t>1692318644284358771</t>
  </si>
  <si>
    <t>1692318621156950314</t>
  </si>
  <si>
    <t>1689056467100246016</t>
  </si>
  <si>
    <t>1689056465539969024</t>
  </si>
  <si>
    <t>1688694314841362432</t>
  </si>
  <si>
    <t>1668400358341615617</t>
  </si>
  <si>
    <t>1668400356978487296</t>
  </si>
  <si>
    <t>1664051701945454593</t>
  </si>
  <si>
    <t>1664051700796096513</t>
  </si>
  <si>
    <t>1663689319796572163</t>
  </si>
  <si>
    <t>1663689318290927621</t>
  </si>
  <si>
    <t>1663326910443601921</t>
  </si>
  <si>
    <t>1663326909311188993</t>
  </si>
  <si>
    <t>1652092880851197952</t>
  </si>
  <si>
    <t>1652092879668490240</t>
  </si>
  <si>
    <t>1651730489814798338</t>
  </si>
  <si>
    <t>1651730488791293954</t>
  </si>
  <si>
    <t>1704655779565891994</t>
  </si>
  <si>
    <t>1697754964725043367</t>
  </si>
  <si>
    <t>1693768957847589231</t>
  </si>
  <si>
    <t>1693768955809116363</t>
  </si>
  <si>
    <t>1691231094027259904</t>
  </si>
  <si>
    <t>1691230827412078592</t>
  </si>
  <si>
    <t>1664414098950422529</t>
  </si>
  <si>
    <t>1664414097159364609</t>
  </si>
  <si>
    <t>1657166333895639040</t>
  </si>
  <si>
    <t>1657166332826091522</t>
  </si>
  <si>
    <t>1705002576012341251</t>
  </si>
  <si>
    <t>1704283954080100652</t>
  </si>
  <si>
    <t>1702141539613339735</t>
  </si>
  <si>
    <t>1702000491046097199</t>
  </si>
  <si>
    <t>1701638160248115541</t>
  </si>
  <si>
    <t>1701378259198292178</t>
  </si>
  <si>
    <t>1701378257348604248</t>
  </si>
  <si>
    <t>1700188556432417254</t>
  </si>
  <si>
    <t>1699826147716960346</t>
  </si>
  <si>
    <t>1699203425521517047</t>
  </si>
  <si>
    <t>1699203423709638858</t>
  </si>
  <si>
    <t>1699101379594170431</t>
  </si>
  <si>
    <t>1696667784212533282</t>
  </si>
  <si>
    <t>1696667782501241027</t>
  </si>
  <si>
    <t>1696304214299836718</t>
  </si>
  <si>
    <t>1696304212492079198</t>
  </si>
  <si>
    <t>1690145593404882944</t>
  </si>
  <si>
    <t>1689781946384109568</t>
  </si>
  <si>
    <t>1689781897063272448</t>
  </si>
  <si>
    <t>1656803947498164224</t>
  </si>
  <si>
    <t>1656803946235678724</t>
  </si>
  <si>
    <t>1656441557384404997</t>
  </si>
  <si>
    <t>1656441556260249603</t>
  </si>
  <si>
    <t>1656079146391355392</t>
  </si>
  <si>
    <t>1656079145216929798</t>
  </si>
  <si>
    <t>1706474798434443302</t>
  </si>
  <si>
    <t>1705373936815661391</t>
  </si>
  <si>
    <t>1703916080320675859</t>
  </si>
  <si>
    <t>1694130099086381314</t>
  </si>
  <si>
    <t>1694130097245106480</t>
  </si>
  <si>
    <t>1691595153792725007</t>
  </si>
  <si>
    <t>1691595152119234987</t>
  </si>
  <si>
    <t>1664776480637833223</t>
  </si>
  <si>
    <t>1664776479505358848</t>
  </si>
  <si>
    <t>1658978258732347393</t>
  </si>
  <si>
    <t>1658978257625030657</t>
  </si>
  <si>
    <t>1658615897286746114</t>
  </si>
  <si>
    <t>1658615896007376904</t>
  </si>
  <si>
    <t>1707216804991385943</t>
  </si>
  <si>
    <t>1707101498012741745</t>
  </si>
  <si>
    <t>1704908525452075491</t>
  </si>
  <si>
    <t>1704908506921648180</t>
  </si>
  <si>
    <t>1704566297160278299</t>
  </si>
  <si>
    <t>1704284011378487369</t>
  </si>
  <si>
    <t>1694855771496833091</t>
  </si>
  <si>
    <t>1694855768640504317</t>
  </si>
  <si>
    <t>1694492960803442818</t>
  </si>
  <si>
    <t>1694492958077145215</t>
  </si>
  <si>
    <t>1691956121873846351</t>
  </si>
  <si>
    <t>1691956119877410847</t>
  </si>
  <si>
    <t>1665863661397721088</t>
  </si>
  <si>
    <t>1665863660068036612</t>
  </si>
  <si>
    <t>1659703027593256961</t>
  </si>
  <si>
    <t>1659703026528010242</t>
  </si>
  <si>
    <t>1697608556122431967</t>
  </si>
  <si>
    <t>1699547448589324524</t>
  </si>
  <si>
    <t>1694468092855042172</t>
  </si>
  <si>
    <t>1652017337791332392</t>
  </si>
  <si>
    <t>1657134849692499968</t>
  </si>
  <si>
    <t>1686423234013548565</t>
  </si>
  <si>
    <t>1689859209335017474</t>
  </si>
  <si>
    <t>1684533647183953921</t>
  </si>
  <si>
    <t>1663543734871687175</t>
  </si>
  <si>
    <t>1683472097916653569</t>
  </si>
  <si>
    <t>1679642017750474752</t>
  </si>
  <si>
    <t>1690377611158171648</t>
  </si>
  <si>
    <t>1661010549772292099</t>
  </si>
  <si>
    <t>1702011927159886016</t>
  </si>
  <si>
    <t>1656301985761759233</t>
  </si>
  <si>
    <t>1684174656000131073</t>
  </si>
  <si>
    <t>1664919859782643713</t>
  </si>
  <si>
    <t>1668166495656894470</t>
  </si>
  <si>
    <t>1684488797533392897</t>
  </si>
  <si>
    <t>1677034206268997632</t>
  </si>
  <si>
    <t>1677030888947822594</t>
  </si>
  <si>
    <t>1683549210614833159</t>
  </si>
  <si>
    <t>1682469916295692289</t>
  </si>
  <si>
    <t>1682459226285785089</t>
  </si>
  <si>
    <t>1679934732593709089</t>
  </si>
  <si>
    <t>1679568981898805250</t>
  </si>
  <si>
    <t>1703827041173250323</t>
  </si>
  <si>
    <t>1680641401560739844</t>
  </si>
  <si>
    <t>1679179661174095895</t>
  </si>
  <si>
    <t>1679135288398864386</t>
  </si>
  <si>
    <t>1660742010179932165</t>
  </si>
  <si>
    <t>1670802586717257733</t>
  </si>
  <si>
    <t>1667535341224357894</t>
  </si>
  <si>
    <t>1670074789661212672</t>
  </si>
  <si>
    <t>1671922538002235417</t>
  </si>
  <si>
    <t>1706369066263293990</t>
  </si>
  <si>
    <t>1701232372182565278</t>
  </si>
  <si>
    <t>1680200765627875330</t>
  </si>
  <si>
    <t>1690373825203179520</t>
  </si>
  <si>
    <t>1690006375617708034</t>
  </si>
  <si>
    <t>1687474535505727488</t>
  </si>
  <si>
    <t>1691790261301444693</t>
  </si>
  <si>
    <t>1696861670998499827</t>
  </si>
  <si>
    <t>1696494508173603186</t>
  </si>
  <si>
    <t>1707003822017499283</t>
  </si>
  <si>
    <t>1694681655544348721</t>
  </si>
  <si>
    <t>1705271047203795113</t>
  </si>
  <si>
    <t>1661054563032481806</t>
  </si>
  <si>
    <t>1653368936119795712</t>
  </si>
  <si>
    <t>1659529585661296642</t>
  </si>
  <si>
    <t>1654486444914667522</t>
  </si>
  <si>
    <t>1669706733621575682</t>
  </si>
  <si>
    <t>1655950955186360320</t>
  </si>
  <si>
    <t>1686769147378548736</t>
  </si>
  <si>
    <t>1664602998780092416</t>
  </si>
  <si>
    <t>1657023131972665346</t>
  </si>
  <si>
    <t>1668649732825133058</t>
  </si>
  <si>
    <t>1668619529327644684</t>
  </si>
  <si>
    <t>1651602382998892546</t>
  </si>
  <si>
    <t>1671095712371687426</t>
  </si>
  <si>
    <t>1670793882630586374</t>
  </si>
  <si>
    <t>1658073117900644353</t>
  </si>
  <si>
    <t>1660641940377829379</t>
  </si>
  <si>
    <t>1672659962575634432</t>
  </si>
  <si>
    <t>1665659892412055553</t>
  </si>
  <si>
    <t>1665407075344687108</t>
  </si>
  <si>
    <t>1659137127064412163</t>
  </si>
  <si>
    <t>1658799890355437571</t>
  </si>
  <si>
    <t>1671105924000301058</t>
  </si>
  <si>
    <t>1667157297980686342</t>
  </si>
  <si>
    <t>1662042318872928257</t>
  </si>
  <si>
    <t>1661718929788502018</t>
  </si>
  <si>
    <t>1655504369230520320</t>
  </si>
  <si>
    <t>1651548147150123010</t>
  </si>
  <si>
    <t>1651533531133165570</t>
  </si>
  <si>
    <t>1670765941368471553</t>
  </si>
  <si>
    <t>1668194237928570881</t>
  </si>
  <si>
    <t>1667949896983273473</t>
  </si>
  <si>
    <t>1664207846236463105</t>
  </si>
  <si>
    <t>1658450207309176835</t>
  </si>
  <si>
    <t>1672194214266908672</t>
  </si>
  <si>
    <t>1671815537389707264</t>
  </si>
  <si>
    <t>1658049820739928064</t>
  </si>
  <si>
    <t>1678563796489469953</t>
  </si>
  <si>
    <t>1678371154304589824</t>
  </si>
  <si>
    <t>1669641235588325376</t>
  </si>
  <si>
    <t>1668935083607113728</t>
  </si>
  <si>
    <t>1656253658407878660</t>
  </si>
  <si>
    <t>1677276597861113858</t>
  </si>
  <si>
    <t>1668578119794536448</t>
  </si>
  <si>
    <t>1668566547269394434</t>
  </si>
  <si>
    <t>1663866742240681985</t>
  </si>
  <si>
    <t>1663526954211987464</t>
  </si>
  <si>
    <t>1663140662135365635</t>
  </si>
  <si>
    <t>1652283280861822982</t>
  </si>
  <si>
    <t>1651885953911255040</t>
  </si>
  <si>
    <t>1684679282105237504</t>
  </si>
  <si>
    <t>1666019893232168962</t>
  </si>
  <si>
    <t>1660585141750702080</t>
  </si>
  <si>
    <t>1659537036242571267</t>
  </si>
  <si>
    <t>1689363866554138624</t>
  </si>
  <si>
    <t>1666773546582802433</t>
  </si>
  <si>
    <t>1666378346240901121</t>
  </si>
  <si>
    <t>1665524976370298884</t>
  </si>
  <si>
    <t>1686379202013257728</t>
  </si>
  <si>
    <t>1686838684866297857</t>
  </si>
  <si>
    <t>1694363204497911942</t>
  </si>
  <si>
    <t>1679140150826225664</t>
  </si>
  <si>
    <t>1690063088031002625</t>
  </si>
  <si>
    <t>1697739635458203779</t>
  </si>
  <si>
    <t>1667767891557482498</t>
  </si>
  <si>
    <t>1706934444085358703</t>
  </si>
  <si>
    <t>1686111255373963264</t>
  </si>
  <si>
    <t>1686433236166070281</t>
  </si>
  <si>
    <t>1686383655403565056</t>
  </si>
  <si>
    <t>1686373837250646016</t>
  </si>
  <si>
    <t>1685686276152807425</t>
  </si>
  <si>
    <t>1679923751713132544</t>
  </si>
  <si>
    <t>1679914343708913664</t>
  </si>
  <si>
    <t>1679895838883999744</t>
  </si>
  <si>
    <t>1679805259269406721</t>
  </si>
  <si>
    <t>1679785997096087553</t>
  </si>
  <si>
    <t>1679782062587355136</t>
  </si>
  <si>
    <t>1679538709421514752</t>
  </si>
  <si>
    <t>1676280189817331720</t>
  </si>
  <si>
    <t>1676232735810101249</t>
  </si>
  <si>
    <t>1676217551028715521</t>
  </si>
  <si>
    <t>1670751302379266051</t>
  </si>
  <si>
    <t>1668234713536790528</t>
  </si>
  <si>
    <t>1668214104023093250</t>
  </si>
  <si>
    <t>1664318867223592967</t>
  </si>
  <si>
    <t>1664286200939831300</t>
  </si>
  <si>
    <t>1664275076106293259</t>
  </si>
  <si>
    <t>1664256011828355072</t>
  </si>
  <si>
    <t>1662838935653953537</t>
  </si>
  <si>
    <t>1692162870937551323</t>
  </si>
  <si>
    <t>1692151274790064216</t>
  </si>
  <si>
    <t>1691195089710706688</t>
  </si>
  <si>
    <t>1689676876195799042</t>
  </si>
  <si>
    <t>1687560631434584064</t>
  </si>
  <si>
    <t>1687505008026165262</t>
  </si>
  <si>
    <t>1686338157522939904</t>
  </si>
  <si>
    <t>1686333329363050496</t>
  </si>
  <si>
    <t>1682347251295989761</t>
  </si>
  <si>
    <t>1682317536753229829</t>
  </si>
  <si>
    <t>1682060307366117381</t>
  </si>
  <si>
    <t>1681991029728194560</t>
  </si>
  <si>
    <t>1681802118473084928</t>
  </si>
  <si>
    <t>1679469771576823811</t>
  </si>
  <si>
    <t>1679437739375177728</t>
  </si>
  <si>
    <t>1679430220967731201</t>
  </si>
  <si>
    <t>1679170289073262592</t>
  </si>
  <si>
    <t>1679097302286323712</t>
  </si>
  <si>
    <t>1676174949294174208</t>
  </si>
  <si>
    <t>1675968935466811392</t>
  </si>
  <si>
    <t>1675904248280756230</t>
  </si>
  <si>
    <t>1675811013361270784</t>
  </si>
  <si>
    <t>1671172270448955393</t>
  </si>
  <si>
    <t>1671133502350188546</t>
  </si>
  <si>
    <t>1671113409905999873</t>
  </si>
  <si>
    <t>1670920456755453952</t>
  </si>
  <si>
    <t>1670913124914921474</t>
  </si>
  <si>
    <t>1670896514388852739</t>
  </si>
  <si>
    <t>1667189374746783744</t>
  </si>
  <si>
    <t>1667170817661194243</t>
  </si>
  <si>
    <t>1667145944104574976</t>
  </si>
  <si>
    <t>1667136319426904065</t>
  </si>
  <si>
    <t>1667130276311363586</t>
  </si>
  <si>
    <t>1667095215373529088</t>
  </si>
  <si>
    <t>1662054159355461633</t>
  </si>
  <si>
    <t>1662032863473160192</t>
  </si>
  <si>
    <t>1662023798701400064</t>
  </si>
  <si>
    <t>1661863909165342720</t>
  </si>
  <si>
    <t>1661713045272264705</t>
  </si>
  <si>
    <t>1661707948794556416</t>
  </si>
  <si>
    <t>1661692023533862915</t>
  </si>
  <si>
    <t>1661665627096985601</t>
  </si>
  <si>
    <t>1661503965995868160</t>
  </si>
  <si>
    <t>1698054725717922038</t>
  </si>
  <si>
    <t>1697945646035038334</t>
  </si>
  <si>
    <t>1697224592337543229</t>
  </si>
  <si>
    <t>1697197305043050839</t>
  </si>
  <si>
    <t>1693979386611962309</t>
  </si>
  <si>
    <t>1693963517706006850</t>
  </si>
  <si>
    <t>1693934454459236372</t>
  </si>
  <si>
    <t>1693680813798281374</t>
  </si>
  <si>
    <t>1693647646764744780</t>
  </si>
  <si>
    <t>1691524949419139072</t>
  </si>
  <si>
    <t>1691493536171012115</t>
  </si>
  <si>
    <t>1691465040841547776</t>
  </si>
  <si>
    <t>1691448079877054464</t>
  </si>
  <si>
    <t>1691395169491329025</t>
  </si>
  <si>
    <t>1691228890277019648</t>
  </si>
  <si>
    <t>1691224024926330880</t>
  </si>
  <si>
    <t>1686796275377729547</t>
  </si>
  <si>
    <t>1686708674935267329</t>
  </si>
  <si>
    <t>1681718476698705920</t>
  </si>
  <si>
    <t>1681700161490124806</t>
  </si>
  <si>
    <t>1681634855237431296</t>
  </si>
  <si>
    <t>1681598021753094162</t>
  </si>
  <si>
    <t>1681333116525334529</t>
  </si>
  <si>
    <t>1681263282957459456</t>
  </si>
  <si>
    <t>1681077119508520960</t>
  </si>
  <si>
    <t>1681074415277047808</t>
  </si>
  <si>
    <t>1680992751578431488</t>
  </si>
  <si>
    <t>1680973178175102976</t>
  </si>
  <si>
    <t>1680900292668162049</t>
  </si>
  <si>
    <t>1680881553172316161</t>
  </si>
  <si>
    <t>1672217561642020864</t>
  </si>
  <si>
    <t>1672191842337554435</t>
  </si>
  <si>
    <t>1671932605422354442</t>
  </si>
  <si>
    <t>1671827975380033536</t>
  </si>
  <si>
    <t>1671575363854401537</t>
  </si>
  <si>
    <t>1671553624206344193</t>
  </si>
  <si>
    <t>1671537744978358276</t>
  </si>
  <si>
    <t>1671528241431977984</t>
  </si>
  <si>
    <t>1671474649505447939</t>
  </si>
  <si>
    <t>1671239536435666950</t>
  </si>
  <si>
    <t>1664692797490733057</t>
  </si>
  <si>
    <t>1664620167479828480</t>
  </si>
  <si>
    <t>1664558569302245379</t>
  </si>
  <si>
    <t>1664332010104430603</t>
  </si>
  <si>
    <t>1698657317078647209</t>
  </si>
  <si>
    <t>1698379324154331469</t>
  </si>
  <si>
    <t>1698325222313570376</t>
  </si>
  <si>
    <t>1697331458191310868</t>
  </si>
  <si>
    <t>1697313833390424250</t>
  </si>
  <si>
    <t>1697287365503430730</t>
  </si>
  <si>
    <t>1697253645996405246</t>
  </si>
  <si>
    <t>1691766616323735584</t>
  </si>
  <si>
    <t>1691581699799314938</t>
  </si>
  <si>
    <t>1687470157910683649</t>
  </si>
  <si>
    <t>1687426578978938880</t>
  </si>
  <si>
    <t>1687390433867931648</t>
  </si>
  <si>
    <t>1687147768408678410</t>
  </si>
  <si>
    <t>1687064451785064448</t>
  </si>
  <si>
    <t>1683877319545331712</t>
  </si>
  <si>
    <t>1683796604958941185</t>
  </si>
  <si>
    <t>1683545833696894978</t>
  </si>
  <si>
    <t>1683516820613996550</t>
  </si>
  <si>
    <t>1683496870868398080</t>
  </si>
  <si>
    <t>1683429349016436736</t>
  </si>
  <si>
    <t>1682450805297668096</t>
  </si>
  <si>
    <t>1682430620725649408</t>
  </si>
  <si>
    <t>1673372089762365440</t>
  </si>
  <si>
    <t>1673355184297132033</t>
  </si>
  <si>
    <t>1673277152194641923</t>
  </si>
  <si>
    <t>1672580092306812928</t>
  </si>
  <si>
    <t>1672314156500787204</t>
  </si>
  <si>
    <t>1672272300811460609</t>
  </si>
  <si>
    <t>1665705077917601793</t>
  </si>
  <si>
    <t>1665677797975572482</t>
  </si>
  <si>
    <t>1665374940927873026</t>
  </si>
  <si>
    <t>1665283180897742848</t>
  </si>
  <si>
    <t>1665086792947703808</t>
  </si>
  <si>
    <t>1664950289521057792</t>
  </si>
  <si>
    <t>1698668237485924436</t>
  </si>
  <si>
    <t>1697712235555016789</t>
  </si>
  <si>
    <t>1697702932517376444</t>
  </si>
  <si>
    <t>1697697110429151678</t>
  </si>
  <si>
    <t>1697651040810652040</t>
  </si>
  <si>
    <t>1697383548817158348</t>
  </si>
  <si>
    <t>1697372467440877830</t>
  </si>
  <si>
    <t>1697023171881226376</t>
  </si>
  <si>
    <t>1696107130334388705</t>
  </si>
  <si>
    <t>1694017281615970582</t>
  </si>
  <si>
    <t>1693570942167916806</t>
  </si>
  <si>
    <t>1692919404663632173</t>
  </si>
  <si>
    <t>1692899503685132744</t>
  </si>
  <si>
    <t>1692854110213616122</t>
  </si>
  <si>
    <t>1691113689506856960</t>
  </si>
  <si>
    <t>1691063934172971008</t>
  </si>
  <si>
    <t>1691034844866678784</t>
  </si>
  <si>
    <t>1689630454708662273</t>
  </si>
  <si>
    <t>1689587469824462848</t>
  </si>
  <si>
    <t>1689584914952327168</t>
  </si>
  <si>
    <t>1689562505704595456</t>
  </si>
  <si>
    <t>1689374314536087552</t>
  </si>
  <si>
    <t>1686048970819223554</t>
  </si>
  <si>
    <t>1685969399331622913</t>
  </si>
  <si>
    <t>1685943633948635136</t>
  </si>
  <si>
    <t>1677354608811810816</t>
  </si>
  <si>
    <t>1675230033173008384</t>
  </si>
  <si>
    <t>1675189533753630720</t>
  </si>
  <si>
    <t>1675175357048078337</t>
  </si>
  <si>
    <t>1674877741395595264</t>
  </si>
  <si>
    <t>1674810436166844421</t>
  </si>
  <si>
    <t>1674781486963372037</t>
  </si>
  <si>
    <t>1674748199699898369</t>
  </si>
  <si>
    <t>1674727470539448320</t>
  </si>
  <si>
    <t>1674499082709090304</t>
  </si>
  <si>
    <t>1674448504108863489</t>
  </si>
  <si>
    <t>1674428230202441732</t>
  </si>
  <si>
    <t>1666498032286720002</t>
  </si>
  <si>
    <t>1666486528309075969</t>
  </si>
  <si>
    <t>1666425307060895744</t>
  </si>
  <si>
    <t>1666402637313392646</t>
  </si>
  <si>
    <t>1661327384220401666</t>
  </si>
  <si>
    <t>1661061910651977759</t>
  </si>
  <si>
    <t>1701679416382763281</t>
  </si>
  <si>
    <t>1701651896476315730</t>
  </si>
  <si>
    <t>1701614414485663778</t>
  </si>
  <si>
    <t>1701600997439914315</t>
  </si>
  <si>
    <t>1701574330113491334</t>
  </si>
  <si>
    <t>1701564339252081100</t>
  </si>
  <si>
    <t>1701359844148548094</t>
  </si>
  <si>
    <t>1701312724586611018</t>
  </si>
  <si>
    <t>1700542326215487915</t>
  </si>
  <si>
    <t>1700517685476352288</t>
  </si>
  <si>
    <t>1700483599865163951</t>
  </si>
  <si>
    <t>1700140515662929972</t>
  </si>
  <si>
    <t>1700118504593142119</t>
  </si>
  <si>
    <t>1700075973201309934</t>
  </si>
  <si>
    <t>1699801774486323303</t>
  </si>
  <si>
    <t>1699358020826747260</t>
  </si>
  <si>
    <t>1699190308947329204</t>
  </si>
  <si>
    <t>1699179984319856931</t>
  </si>
  <si>
    <t>1699173304307757549</t>
  </si>
  <si>
    <t>1699138618411913453</t>
  </si>
  <si>
    <t>1699105879176421510</t>
  </si>
  <si>
    <t>1699081201892429917</t>
  </si>
  <si>
    <t>1699053034892849183</t>
  </si>
  <si>
    <t>1696924571574714484</t>
  </si>
  <si>
    <t>1696832765709181376</t>
  </si>
  <si>
    <t>1696589821982945526</t>
  </si>
  <si>
    <t>1696519158048145842</t>
  </si>
  <si>
    <t>1696473792439050701</t>
  </si>
  <si>
    <t>1696259629104193569</t>
  </si>
  <si>
    <t>1696238111263519151</t>
  </si>
  <si>
    <t>1696202375504052272</t>
  </si>
  <si>
    <t>1696172534440345614</t>
  </si>
  <si>
    <t>1690359832597893120</t>
  </si>
  <si>
    <t>1690342529353588736</t>
  </si>
  <si>
    <t>1690128740007702528</t>
  </si>
  <si>
    <t>1690102145805152256</t>
  </si>
  <si>
    <t>1690074315985735681</t>
  </si>
  <si>
    <t>1690020491463884800</t>
  </si>
  <si>
    <t>1689951048411033600</t>
  </si>
  <si>
    <t>1689926410536656896</t>
  </si>
  <si>
    <t>1689752934274199552</t>
  </si>
  <si>
    <t>1689747906960478209</t>
  </si>
  <si>
    <t>1678812209130897418</t>
  </si>
  <si>
    <t>1678754743517081610</t>
  </si>
  <si>
    <t>1678742404759711744</t>
  </si>
  <si>
    <t>1678713209031733254</t>
  </si>
  <si>
    <t>1678374541913911298</t>
  </si>
  <si>
    <t>1678351295466426368</t>
  </si>
  <si>
    <t>1670160595436421120</t>
  </si>
  <si>
    <t>1670038555576467462</t>
  </si>
  <si>
    <t>1669744532974448642</t>
  </si>
  <si>
    <t>1669725546333315072</t>
  </si>
  <si>
    <t>1669661875028606979</t>
  </si>
  <si>
    <t>1669633943098859520</t>
  </si>
  <si>
    <t>1669468252341260288</t>
  </si>
  <si>
    <t>1669401303028572160</t>
  </si>
  <si>
    <t>1669382128340021248</t>
  </si>
  <si>
    <t>1669354619401830400</t>
  </si>
  <si>
    <t>1669334754515210240</t>
  </si>
  <si>
    <t>1669301965665320960</t>
  </si>
  <si>
    <t>1669119290757226496</t>
  </si>
  <si>
    <t>1669056113164025856</t>
  </si>
  <si>
    <t>1668937359583215617</t>
  </si>
  <si>
    <t>1701966222332485673</t>
  </si>
  <si>
    <t>1701916772394303571</t>
  </si>
  <si>
    <t>1701725812808941929</t>
  </si>
  <si>
    <t>1701708052787798191</t>
  </si>
  <si>
    <t>1701701681157652935</t>
  </si>
  <si>
    <t>1701696288738160942</t>
  </si>
  <si>
    <t>1701275403795464634</t>
  </si>
  <si>
    <t>1701246485025702282</t>
  </si>
  <si>
    <t>1701216910413644068</t>
  </si>
  <si>
    <t>1701192936820511063</t>
  </si>
  <si>
    <t>1701171254961570018</t>
  </si>
  <si>
    <t>1700906436396548141</t>
  </si>
  <si>
    <t>1699781430669443242</t>
  </si>
  <si>
    <t>1699470297408168180</t>
  </si>
  <si>
    <t>1699429524654416109</t>
  </si>
  <si>
    <t>1699392511582605538</t>
  </si>
  <si>
    <t>1699010859211669935</t>
  </si>
  <si>
    <t>1698811068900892724</t>
  </si>
  <si>
    <t>1698730352888492537</t>
  </si>
  <si>
    <t>1695170973639561294</t>
  </si>
  <si>
    <t>1695164703247344041</t>
  </si>
  <si>
    <t>1695140059874226385</t>
  </si>
  <si>
    <t>1692613954478932044</t>
  </si>
  <si>
    <t>1692535326852407310</t>
  </si>
  <si>
    <t>1692503038827610315</t>
  </si>
  <si>
    <t>1692210742932516867</t>
  </si>
  <si>
    <t>1689343584321916928</t>
  </si>
  <si>
    <t>1689229834927435776</t>
  </si>
  <si>
    <t>1689224840278888448</t>
  </si>
  <si>
    <t>1689052228445716481</t>
  </si>
  <si>
    <t>1689031293722304513</t>
  </si>
  <si>
    <t>1688978878579068929</t>
  </si>
  <si>
    <t>1688976888880832512</t>
  </si>
  <si>
    <t>1688973334925479940</t>
  </si>
  <si>
    <t>1688941114684813313</t>
  </si>
  <si>
    <t>1688857971940261888</t>
  </si>
  <si>
    <t>1688687435931107328</t>
  </si>
  <si>
    <t>1688633751557857281</t>
  </si>
  <si>
    <t>1688597987910467602</t>
  </si>
  <si>
    <t>1677263849227993088</t>
  </si>
  <si>
    <t>1677255413912203265</t>
  </si>
  <si>
    <t>1677043554374303747</t>
  </si>
  <si>
    <t>1677016110044962821</t>
  </si>
  <si>
    <t>1677000620522233856</t>
  </si>
  <si>
    <t>1676943073455099906</t>
  </si>
  <si>
    <t>1676899860224569345</t>
  </si>
  <si>
    <t>1676880469185507329</t>
  </si>
  <si>
    <t>1676660867943878672</t>
  </si>
  <si>
    <t>1676627528616669184</t>
  </si>
  <si>
    <t>1676603648669892608</t>
  </si>
  <si>
    <t>1676538876733603840</t>
  </si>
  <si>
    <t>1676532399260196866</t>
  </si>
  <si>
    <t>1676353193377161221</t>
  </si>
  <si>
    <t>1668614492630949889</t>
  </si>
  <si>
    <t>1668600867359006722</t>
  </si>
  <si>
    <t>1668581987831934977</t>
  </si>
  <si>
    <t>1668576980810211328</t>
  </si>
  <si>
    <t>1668393758235164673</t>
  </si>
  <si>
    <t>1668356487796645912</t>
  </si>
  <si>
    <t>1668301410436362241</t>
  </si>
  <si>
    <t>1664045029352960000</t>
  </si>
  <si>
    <t>1663924459235942400</t>
  </si>
  <si>
    <t>1663901307336290307</t>
  </si>
  <si>
    <t>1663865846962241540</t>
  </si>
  <si>
    <t>1663843489417764865</t>
  </si>
  <si>
    <t>1663590057452634115</t>
  </si>
  <si>
    <t>1663318324917288962</t>
  </si>
  <si>
    <t>1663190422120718337</t>
  </si>
  <si>
    <t>1663167756785557504</t>
  </si>
  <si>
    <t>1704886478319264026</t>
  </si>
  <si>
    <t>1697627476455731595</t>
  </si>
  <si>
    <t>1697567245860213014</t>
  </si>
  <si>
    <t>1697538056943767932</t>
  </si>
  <si>
    <t>1695024923763261896</t>
  </si>
  <si>
    <t>1692124156056195398</t>
  </si>
  <si>
    <t>1692106280960221198</t>
  </si>
  <si>
    <t>1691900266902082015</t>
  </si>
  <si>
    <t>1691899136881074545</t>
  </si>
  <si>
    <t>1691847396756520969</t>
  </si>
  <si>
    <t>1688537158959718401</t>
  </si>
  <si>
    <t>1688517350012690434</t>
  </si>
  <si>
    <t>1688497603867037697</t>
  </si>
  <si>
    <t>1688251073092268032</t>
  </si>
  <si>
    <t>1687897249726988288</t>
  </si>
  <si>
    <t>1685284530901442561</t>
  </si>
  <si>
    <t>1684987995097575438</t>
  </si>
  <si>
    <t>1684886145803395072</t>
  </si>
  <si>
    <t>1684853454940803072</t>
  </si>
  <si>
    <t>1684606196756381703</t>
  </si>
  <si>
    <t>1684525076870230017</t>
  </si>
  <si>
    <t>1684490593781555200</t>
  </si>
  <si>
    <t>1684247988959313941</t>
  </si>
  <si>
    <t>1684215223090024448</t>
  </si>
  <si>
    <t>1684187892053168129</t>
  </si>
  <si>
    <t>1684159541334642692</t>
  </si>
  <si>
    <t>1674412409094647809</t>
  </si>
  <si>
    <t>1674363317752672256</t>
  </si>
  <si>
    <t>1674351508471595008</t>
  </si>
  <si>
    <t>1674175383531409412</t>
  </si>
  <si>
    <t>1674109760126189594</t>
  </si>
  <si>
    <t>1674090458002194432</t>
  </si>
  <si>
    <t>1673999616084258816</t>
  </si>
  <si>
    <t>1673722949927354369</t>
  </si>
  <si>
    <t>1673709063941632002</t>
  </si>
  <si>
    <t>1673679867596898306</t>
  </si>
  <si>
    <t>1673642821058809856</t>
  </si>
  <si>
    <t>1666119288397213699</t>
  </si>
  <si>
    <t>1666084227325251587</t>
  </si>
  <si>
    <t>1666050096012701702</t>
  </si>
  <si>
    <t>1666038753830268929</t>
  </si>
  <si>
    <t>1666008992961769472</t>
  </si>
  <si>
    <t>1665856566614974464</t>
  </si>
  <si>
    <t>1665796996811177993</t>
  </si>
  <si>
    <t>1665771610333216769</t>
  </si>
  <si>
    <t>1658151829077733385</t>
  </si>
  <si>
    <t>1671315377236705281</t>
  </si>
  <si>
    <t>1686074527569100806</t>
  </si>
  <si>
    <t>1654567429752725504</t>
  </si>
  <si>
    <t>1662598709396357121</t>
  </si>
  <si>
    <t>1662598379644280832</t>
  </si>
  <si>
    <t>1653398677052956676</t>
  </si>
  <si>
    <t>1659188693012299776</t>
  </si>
  <si>
    <t>1663676141326983168</t>
  </si>
  <si>
    <t>1651698067467382784</t>
  </si>
  <si>
    <t>1661814599178485803</t>
  </si>
  <si>
    <t>1660720136905433107</t>
  </si>
  <si>
    <t>1659513752931164160</t>
  </si>
  <si>
    <t>1687187908195737601</t>
  </si>
  <si>
    <t>1664694674978754561</t>
  </si>
  <si>
    <t>1702310885094457798</t>
  </si>
  <si>
    <t>1670924649364897796</t>
  </si>
  <si>
    <t>1686807653807177740</t>
  </si>
  <si>
    <t>1657408053233307650</t>
  </si>
  <si>
    <t>1689028638430101504</t>
  </si>
  <si>
    <t>1658062108825645057</t>
  </si>
  <si>
    <t>1663848233913798656</t>
  </si>
  <si>
    <t>1674938139066920964</t>
  </si>
  <si>
    <t>1680279251910553605</t>
  </si>
  <si>
    <t>1676031232860102656</t>
  </si>
  <si>
    <t>1675665063573614592</t>
  </si>
  <si>
    <t>1679949481406595079</t>
  </si>
  <si>
    <t>1688979010477330432</t>
  </si>
  <si>
    <t>1697341682096701862</t>
  </si>
  <si>
    <t>1687179657450328064</t>
  </si>
  <si>
    <t>1672726854443188224</t>
  </si>
  <si>
    <t>1672365564780486656</t>
  </si>
  <si>
    <t>1654549655705866240</t>
  </si>
  <si>
    <t>1653041337409888256</t>
  </si>
  <si>
    <t>1705288026497130666</t>
  </si>
  <si>
    <t>1683945215227314177</t>
  </si>
  <si>
    <t>1698727434101703075</t>
  </si>
  <si>
    <t>1683131966755946504</t>
  </si>
  <si>
    <t>1671591825700790275</t>
  </si>
  <si>
    <t>1682354348322439168</t>
  </si>
  <si>
    <t>1684187197006643200</t>
  </si>
  <si>
    <t>1687821499346956288</t>
  </si>
  <si>
    <t>1682015361036701698</t>
  </si>
  <si>
    <t>1659604996512530456</t>
  </si>
  <si>
    <t>1686723675444088832</t>
  </si>
  <si>
    <t>1681272818481221637</t>
  </si>
  <si>
    <t>1659227605881561096</t>
  </si>
  <si>
    <t>1698773107417202903</t>
  </si>
  <si>
    <t>1703756418208223647</t>
  </si>
  <si>
    <t>1693639218914808054</t>
  </si>
  <si>
    <t>1701309991574007922</t>
  </si>
  <si>
    <t>1678449174222708744</t>
  </si>
  <si>
    <t>1669389470703943680</t>
  </si>
  <si>
    <t>1669072368348561409</t>
  </si>
  <si>
    <t>1656283123460583425</t>
  </si>
  <si>
    <t>1669351589067522050</t>
  </si>
  <si>
    <t>1699359746694775275</t>
  </si>
  <si>
    <t>1671626234109870082</t>
  </si>
  <si>
    <t>1671626136470671360</t>
  </si>
  <si>
    <t>1685285629934870529</t>
  </si>
  <si>
    <t>1653143143498362880</t>
  </si>
  <si>
    <t>1663070843310686209</t>
  </si>
  <si>
    <t>1660287354223960066</t>
  </si>
  <si>
    <t>1680919897390432258</t>
  </si>
  <si>
    <t>1693960769564500083</t>
  </si>
  <si>
    <t>1663485491411316750</t>
  </si>
  <si>
    <t>1656820126141022210</t>
  </si>
  <si>
    <t>1655918317515988993</t>
  </si>
  <si>
    <t>1665812767172067328</t>
  </si>
  <si>
    <t>1666919572728082432</t>
  </si>
  <si>
    <t>1666571882433499137</t>
  </si>
  <si>
    <t>1673361003558637568</t>
  </si>
  <si>
    <t>1677067923985420289</t>
  </si>
  <si>
    <t>1663957398690873344</t>
  </si>
  <si>
    <t>1663836486360535042</t>
  </si>
  <si>
    <t>1681397986444840960</t>
  </si>
  <si>
    <t>1652090349089595392</t>
  </si>
  <si>
    <t>1666822617343627266</t>
  </si>
  <si>
    <t>1661079582634590215</t>
  </si>
  <si>
    <t>1678489322159239169</t>
  </si>
  <si>
    <t>1669132772529561602</t>
  </si>
  <si>
    <t>1669117702235881473</t>
  </si>
  <si>
    <t>1691072874138808320</t>
  </si>
  <si>
    <t>1704240932856508803</t>
  </si>
  <si>
    <t>1668742039024939009</t>
  </si>
  <si>
    <t>1697178070174642566</t>
  </si>
  <si>
    <t>1658190182552592384</t>
  </si>
  <si>
    <t>1692532168847736914</t>
  </si>
  <si>
    <t>1707153104796274869</t>
  </si>
  <si>
    <t>1704874093919527041</t>
  </si>
  <si>
    <t>1688161496277090305</t>
  </si>
  <si>
    <t>1684284702436253697</t>
  </si>
  <si>
    <t>1679209723680157707</t>
  </si>
  <si>
    <t>1680998551373873154</t>
  </si>
  <si>
    <t>1657015284027346945</t>
  </si>
  <si>
    <t>1652801510353297410</t>
  </si>
  <si>
    <t>1656866387028070401</t>
  </si>
  <si>
    <t>1662898920723304452</t>
  </si>
  <si>
    <t>1658916343951892512</t>
  </si>
  <si>
    <t>1660990943867072512</t>
  </si>
  <si>
    <t>1653812916364226575</t>
  </si>
  <si>
    <t>1653814252560429082</t>
  </si>
  <si>
    <t>1655230671084744706</t>
  </si>
  <si>
    <t>1655237515991830529</t>
  </si>
  <si>
    <t>1659280383312052224</t>
  </si>
  <si>
    <t>1659293833308303363</t>
  </si>
  <si>
    <t>1652747945966546944</t>
  </si>
  <si>
    <t>1652030068787388418</t>
  </si>
  <si>
    <t>1664579667448193030</t>
  </si>
  <si>
    <t>1666106103933878272</t>
  </si>
  <si>
    <t>1659522121716957184</t>
  </si>
  <si>
    <t>1669799701342724116</t>
  </si>
  <si>
    <t>1669761738089136131</t>
  </si>
  <si>
    <t>1682562511009206272</t>
  </si>
  <si>
    <t>1691460072051003392</t>
  </si>
  <si>
    <t>1704181845158400066</t>
  </si>
  <si>
    <t>1693388755564990819</t>
  </si>
  <si>
    <t>1658468311280111616</t>
  </si>
  <si>
    <t>1659558436525293568</t>
  </si>
  <si>
    <t>1702746733707420029</t>
  </si>
  <si>
    <t>1673787179372367872</t>
  </si>
  <si>
    <t>1671641808105881602</t>
  </si>
  <si>
    <t>1704172925979447377</t>
  </si>
  <si>
    <t>1653409886779109377</t>
  </si>
  <si>
    <t>1705314103068144086</t>
  </si>
  <si>
    <t>1688141163306348544</t>
  </si>
  <si>
    <t>1688182211193790464</t>
  </si>
  <si>
    <t>1701142557495820796</t>
  </si>
  <si>
    <t>1664376644188925955</t>
  </si>
  <si>
    <t>1666097693528326146</t>
  </si>
  <si>
    <t>1673436144275451911</t>
  </si>
  <si>
    <t>1689390341877542913</t>
  </si>
  <si>
    <t>1674885575600402433</t>
  </si>
  <si>
    <t>1666460010354728961</t>
  </si>
  <si>
    <t>1701713261358379456</t>
  </si>
  <si>
    <t>1689027598049742848</t>
  </si>
  <si>
    <t>1704255436570898653</t>
  </si>
  <si>
    <t>1678902387870662658</t>
  </si>
  <si>
    <t>1701975260365504948</t>
  </si>
  <si>
    <t>1688758503962226688</t>
  </si>
  <si>
    <t>1688757868982321154</t>
  </si>
  <si>
    <t>1691189392977612801</t>
  </si>
  <si>
    <t>1695409009824587818</t>
  </si>
  <si>
    <t>1695408910000132385</t>
  </si>
  <si>
    <t>1695183174106525979</t>
  </si>
  <si>
    <t>1692649062682546555</t>
  </si>
  <si>
    <t>1692479475332608028</t>
  </si>
  <si>
    <t>1692479378892939303</t>
  </si>
  <si>
    <t>1692479302372139496</t>
  </si>
  <si>
    <t>1692294560410411182</t>
  </si>
  <si>
    <t>1694459292697428236</t>
  </si>
  <si>
    <t>1694284854265774539</t>
  </si>
  <si>
    <t>1694284583183786487</t>
  </si>
  <si>
    <t>1694284511540855028</t>
  </si>
  <si>
    <t>1694095657772913019</t>
  </si>
  <si>
    <t>1691751730122231906</t>
  </si>
  <si>
    <t>1691751636790645146</t>
  </si>
  <si>
    <t>1691751429705211971</t>
  </si>
  <si>
    <t>1691553494828716347</t>
  </si>
  <si>
    <t>1672366953174908928</t>
  </si>
  <si>
    <t>1696812647713288549</t>
  </si>
  <si>
    <t>1696812555774112016</t>
  </si>
  <si>
    <t>1696812485720846378</t>
  </si>
  <si>
    <t>1696633105073746360</t>
  </si>
  <si>
    <t>1696455518712135880</t>
  </si>
  <si>
    <t>1696455413376393547</t>
  </si>
  <si>
    <t>1696455333076418714</t>
  </si>
  <si>
    <t>1696265672328937961</t>
  </si>
  <si>
    <t>1696127584830890047</t>
  </si>
  <si>
    <t>1690706733289672704</t>
  </si>
  <si>
    <t>1690345555145166848</t>
  </si>
  <si>
    <t>1690345466595020800</t>
  </si>
  <si>
    <t>1678701003204358145</t>
  </si>
  <si>
    <t>1678690803080724483</t>
  </si>
  <si>
    <t>1697184579184930870</t>
  </si>
  <si>
    <t>1697184503058280868</t>
  </si>
  <si>
    <t>1697184403875590597</t>
  </si>
  <si>
    <t>1693920329435869365</t>
  </si>
  <si>
    <t>1693920240969650290</t>
  </si>
  <si>
    <t>1693920147772211373</t>
  </si>
  <si>
    <t>1693735396432114120</t>
  </si>
  <si>
    <t>1691384887964569600</t>
  </si>
  <si>
    <t>1691384753545527296</t>
  </si>
  <si>
    <t>1691384657936318464</t>
  </si>
  <si>
    <t>1697550246841053595</t>
  </si>
  <si>
    <t>1697550134148473056</t>
  </si>
  <si>
    <t>1697550056549654606</t>
  </si>
  <si>
    <t>1695011065078161425</t>
  </si>
  <si>
    <t>1695010969745863088</t>
  </si>
  <si>
    <t>1695010889793933796</t>
  </si>
  <si>
    <t>1694816532017135658</t>
  </si>
  <si>
    <t>1694648851142001086</t>
  </si>
  <si>
    <t>1694648662775779631</t>
  </si>
  <si>
    <t>1692113573638443198</t>
  </si>
  <si>
    <t>1692113379492573447</t>
  </si>
  <si>
    <t>1692113238224142547</t>
  </si>
  <si>
    <t>1691921055965757608</t>
  </si>
  <si>
    <t>1697363867465081340</t>
  </si>
  <si>
    <t>1696989947939406280</t>
  </si>
  <si>
    <t>1696108873151549458</t>
  </si>
  <si>
    <t>1696108794692956364</t>
  </si>
  <si>
    <t>1693589814937850294</t>
  </si>
  <si>
    <t>1693555494063935685</t>
  </si>
  <si>
    <t>1693555420692955219</t>
  </si>
  <si>
    <t>1692869927588249984</t>
  </si>
  <si>
    <t>1692869855714619858</t>
  </si>
  <si>
    <t>1691050360851324929</t>
  </si>
  <si>
    <t>1691018645504212992</t>
  </si>
  <si>
    <t>1691018487815094272</t>
  </si>
  <si>
    <t>1676320196879843329</t>
  </si>
  <si>
    <t>1670947545332211712</t>
  </si>
  <si>
    <t>1699314465756389456</t>
  </si>
  <si>
    <t>1706845297379606882</t>
  </si>
  <si>
    <t>1707185306397479416</t>
  </si>
  <si>
    <t>1658614092163104776</t>
  </si>
  <si>
    <t>1663671639714811908</t>
  </si>
  <si>
    <t>1652501958198960128</t>
  </si>
  <si>
    <t>1666551028819410951</t>
  </si>
  <si>
    <t>1678892200921292801</t>
  </si>
  <si>
    <t>1656078803733495808</t>
  </si>
  <si>
    <t>1686502799587102720</t>
  </si>
  <si>
    <t>1702473920564134097</t>
  </si>
  <si>
    <t>1687439402425790465</t>
  </si>
  <si>
    <t>1689615315729084416</t>
  </si>
  <si>
    <t>1685991007278518272</t>
  </si>
  <si>
    <t>1696174880549466336</t>
  </si>
  <si>
    <t>1692544049998094831</t>
  </si>
  <si>
    <t>1691810432128819537</t>
  </si>
  <si>
    <t>1691809996076364122</t>
  </si>
  <si>
    <t>1691779597925233099</t>
  </si>
  <si>
    <t>1691773019964813680</t>
  </si>
  <si>
    <t>1691537393742913536</t>
  </si>
  <si>
    <t>1691831036198440981</t>
  </si>
  <si>
    <t>1691817682553782594</t>
  </si>
  <si>
    <t>1691817428328554687</t>
  </si>
  <si>
    <t>1692148338752115055</t>
  </si>
  <si>
    <t>1692148133621358624</t>
  </si>
  <si>
    <t>1691912298766504000</t>
  </si>
  <si>
    <t>1691895430857023679</t>
  </si>
  <si>
    <t>1691840285741826186</t>
  </si>
  <si>
    <t>1693987569586065672</t>
  </si>
  <si>
    <t>1691456659561037825</t>
  </si>
  <si>
    <t>1688576482233167872</t>
  </si>
  <si>
    <t>1686752714800115713</t>
  </si>
  <si>
    <t>1661024198222020610</t>
  </si>
  <si>
    <t>1659926067207979008</t>
  </si>
  <si>
    <t>1704125351444549651</t>
  </si>
  <si>
    <t>1658585530269941760</t>
  </si>
  <si>
    <t>1656725900585467924</t>
  </si>
  <si>
    <t>1657439648971366401</t>
  </si>
  <si>
    <t>1660285576577269760</t>
  </si>
  <si>
    <t>1659661382273441794</t>
  </si>
  <si>
    <t>1659661377483554817</t>
  </si>
  <si>
    <t>1654131057925685251</t>
  </si>
  <si>
    <t>1653115532311400450</t>
  </si>
  <si>
    <t>1683482969908867078</t>
  </si>
  <si>
    <t>1657054470256074752</t>
  </si>
  <si>
    <t>1678690596532424704</t>
  </si>
  <si>
    <t>1678611319040212993</t>
  </si>
  <si>
    <t>1678607544384667648</t>
  </si>
  <si>
    <t>1678603769725222912</t>
  </si>
  <si>
    <t>1678599995816292353</t>
  </si>
  <si>
    <t>1669189234878496769</t>
  </si>
  <si>
    <t>1656143271423275009</t>
  </si>
  <si>
    <t>1686934916225785861</t>
  </si>
  <si>
    <t>1686931140488179712</t>
  </si>
  <si>
    <t>1691192974732902400</t>
  </si>
  <si>
    <t>1679139802350796807</t>
  </si>
  <si>
    <t>1702420000538304582</t>
  </si>
  <si>
    <t>1658484980086104069</t>
  </si>
  <si>
    <t>1684673106470694912</t>
  </si>
  <si>
    <t>1686056672244953088</t>
  </si>
  <si>
    <t>1686406433942974465</t>
  </si>
  <si>
    <t>1687454736092409856</t>
  </si>
  <si>
    <t>1683862671756754945</t>
  </si>
  <si>
    <t>1694697752586809735</t>
  </si>
  <si>
    <t>1684224304618307584</t>
  </si>
  <si>
    <t>1697242002696605892</t>
  </si>
  <si>
    <t>1705198257293459883</t>
  </si>
  <si>
    <t>1690019490493497344</t>
  </si>
  <si>
    <t>1696523384665055235</t>
  </si>
  <si>
    <t>1696502927571984466</t>
  </si>
  <si>
    <t>1663968021138878464</t>
  </si>
  <si>
    <t>1673747379067969539</t>
  </si>
  <si>
    <t>1671579429154299925</t>
  </si>
  <si>
    <t>1670784386734727172</t>
  </si>
  <si>
    <t>1698823077763629357</t>
  </si>
  <si>
    <t>1686350039294025728</t>
  </si>
  <si>
    <t>1687223611377991680</t>
  </si>
  <si>
    <t>1690522796529422337</t>
  </si>
  <si>
    <t>1691267162709602304</t>
  </si>
  <si>
    <t>1689348668925648896</t>
  </si>
  <si>
    <t>1653480581462671367</t>
  </si>
  <si>
    <t>1675221532195401728</t>
  </si>
  <si>
    <t>1697607881636417933</t>
  </si>
  <si>
    <t>1689157558425292800</t>
  </si>
  <si>
    <t>1693336656382927055</t>
  </si>
  <si>
    <t>1656091294077206529</t>
  </si>
  <si>
    <t>1693837854995357936</t>
  </si>
  <si>
    <t>1705364844101439950</t>
  </si>
  <si>
    <t>1684446111560499201</t>
  </si>
  <si>
    <t>1685476335593132032</t>
  </si>
  <si>
    <t>1653135005454041088</t>
  </si>
  <si>
    <t>1697024228275659096</t>
  </si>
  <si>
    <t>1704987610538746142</t>
  </si>
  <si>
    <t>1704578546717610229</t>
  </si>
  <si>
    <t>1693932431467065679</t>
  </si>
  <si>
    <t>1680182050509434882</t>
  </si>
  <si>
    <t>1698421672351879413</t>
  </si>
  <si>
    <t>1694441166467727427</t>
  </si>
  <si>
    <t>1682508702128164864</t>
  </si>
  <si>
    <t>1706736209211670565</t>
  </si>
  <si>
    <t>1704606728757940346</t>
  </si>
  <si>
    <t>1703547727978868922</t>
  </si>
  <si>
    <t>1706733958787219578</t>
  </si>
  <si>
    <t>1705147276291977563</t>
  </si>
  <si>
    <t>1690327499774058496</t>
  </si>
  <si>
    <t>1670537090227118080</t>
  </si>
  <si>
    <t>1688681648945074176</t>
  </si>
  <si>
    <t>1688266888139153408</t>
  </si>
  <si>
    <t>1690792218221498368</t>
  </si>
  <si>
    <t>1690739505391620097</t>
  </si>
  <si>
    <t>1687751545599787008</t>
  </si>
  <si>
    <t>1691806112104820800</t>
  </si>
  <si>
    <t>1693629691389694417</t>
  </si>
  <si>
    <t>1696641948642066507</t>
  </si>
  <si>
    <t>1696288682980831419</t>
  </si>
  <si>
    <t>1690722808328753152</t>
  </si>
  <si>
    <t>1690435152168542208</t>
  </si>
  <si>
    <t>1690338348584329216</t>
  </si>
  <si>
    <t>1690024118802923520</t>
  </si>
  <si>
    <t>1689758192656420865</t>
  </si>
  <si>
    <t>1655979585048018958</t>
  </si>
  <si>
    <t>1654491059555008523</t>
  </si>
  <si>
    <t>1694438287253831789</t>
  </si>
  <si>
    <t>1703781130179097027</t>
  </si>
  <si>
    <t>1684082528603238407</t>
  </si>
  <si>
    <t>1696347414657962211</t>
  </si>
  <si>
    <t>1678445229823672323</t>
  </si>
  <si>
    <t>1663617832725118976</t>
  </si>
  <si>
    <t>1663213790488326144</t>
  </si>
  <si>
    <t>1658123201862422530</t>
  </si>
  <si>
    <t>1666515821655367688</t>
  </si>
  <si>
    <t>1666491985006321687</t>
  </si>
  <si>
    <t>1666436998393987073</t>
  </si>
  <si>
    <t>1661366771398393857</t>
  </si>
  <si>
    <t>1665680989597605893</t>
  </si>
  <si>
    <t>1659192873815003136</t>
  </si>
  <si>
    <t>1669713182779228160</t>
  </si>
  <si>
    <t>1668253297684144135</t>
  </si>
  <si>
    <t>1658466945518411778</t>
  </si>
  <si>
    <t>1687519016514965510</t>
  </si>
  <si>
    <t>1671170039746269190</t>
  </si>
  <si>
    <t>1662088437682393091</t>
  </si>
  <si>
    <t>1688551456343805952</t>
  </si>
  <si>
    <t>1684560789431259136</t>
  </si>
  <si>
    <t>1684560692874203137</t>
  </si>
  <si>
    <t>1665746793059983360</t>
  </si>
  <si>
    <t>1684266821896003594</t>
  </si>
  <si>
    <t>1661745818548985862</t>
  </si>
  <si>
    <t>1669516796112564225</t>
  </si>
  <si>
    <t>1690183462253142019</t>
  </si>
  <si>
    <t>1660665289975930884</t>
  </si>
  <si>
    <t>1667174336292089857</t>
  </si>
  <si>
    <t>1669760653848920065</t>
  </si>
  <si>
    <t>1661962780109406211</t>
  </si>
  <si>
    <t>1668618046305624068</t>
  </si>
  <si>
    <t>1663955677067214849</t>
  </si>
  <si>
    <t>1652557624049631291</t>
  </si>
  <si>
    <t>1673407469081567234</t>
  </si>
  <si>
    <t>1680323448910802947</t>
  </si>
  <si>
    <t>1685560712280616960</t>
  </si>
  <si>
    <t>1686370110838321154</t>
  </si>
  <si>
    <t>1702019436675297560</t>
  </si>
  <si>
    <t>1700502299842412607</t>
  </si>
  <si>
    <t>1678520182686339072</t>
  </si>
  <si>
    <t>1696230251762762171</t>
  </si>
  <si>
    <t>1665742771330723840</t>
  </si>
  <si>
    <t>1686379304408825856</t>
  </si>
  <si>
    <t>1685621265992933376</t>
  </si>
  <si>
    <t>1679803288831574016</t>
  </si>
  <si>
    <t>1670795760135225351</t>
  </si>
  <si>
    <t>1668234654107807745</t>
  </si>
  <si>
    <t>1668211330489233408</t>
  </si>
  <si>
    <t>1664273388565848065</t>
  </si>
  <si>
    <t>1664266967480684557</t>
  </si>
  <si>
    <t>1662790835652423682</t>
  </si>
  <si>
    <t>1658173071134449710</t>
  </si>
  <si>
    <t>1653434160545923086</t>
  </si>
  <si>
    <t>1653369396213981185</t>
  </si>
  <si>
    <t>1693216309402615857</t>
  </si>
  <si>
    <t>1687574402840330240</t>
  </si>
  <si>
    <t>1681988950200549376</t>
  </si>
  <si>
    <t>1679129929689059330</t>
  </si>
  <si>
    <t>1679088729317572615</t>
  </si>
  <si>
    <t>1675863557026590720</t>
  </si>
  <si>
    <t>1675832984320999429</t>
  </si>
  <si>
    <t>1671168661992906760</t>
  </si>
  <si>
    <t>1671149503339188225</t>
  </si>
  <si>
    <t>1667136343988740097</t>
  </si>
  <si>
    <t>1667123877783191553</t>
  </si>
  <si>
    <t>1667120127299469317</t>
  </si>
  <si>
    <t>1662092241005887488</t>
  </si>
  <si>
    <t>1661749117432004608</t>
  </si>
  <si>
    <t>1661725478510575616</t>
  </si>
  <si>
    <t>1661715412684357633</t>
  </si>
  <si>
    <t>1661465992088649730</t>
  </si>
  <si>
    <t>1695768127521309088</t>
  </si>
  <si>
    <t>1692565893111337198</t>
  </si>
  <si>
    <t>1689291972396154880</t>
  </si>
  <si>
    <t>1689257270322900992</t>
  </si>
  <si>
    <t>1688968999575367680</t>
  </si>
  <si>
    <t>1688964151362654223</t>
  </si>
  <si>
    <t>1688961836140400643</t>
  </si>
  <si>
    <t>1688866917740625921</t>
  </si>
  <si>
    <t>1688617074178875393</t>
  </si>
  <si>
    <t>1688586827278565378</t>
  </si>
  <si>
    <t>1688554490654232576</t>
  </si>
  <si>
    <t>1677334035020783621</t>
  </si>
  <si>
    <t>1676915508816367617</t>
  </si>
  <si>
    <t>1663917364977573890</t>
  </si>
  <si>
    <t>1663882323534684160</t>
  </si>
  <si>
    <t>1663527363144032258</t>
  </si>
  <si>
    <t>1663517685928304641</t>
  </si>
  <si>
    <t>1663280976598843394</t>
  </si>
  <si>
    <t>1663203096984535040</t>
  </si>
  <si>
    <t>1663174336776208386</t>
  </si>
  <si>
    <t>1663167109453475841</t>
  </si>
  <si>
    <t>1663148010069536768</t>
  </si>
  <si>
    <t>1696119498518982931</t>
  </si>
  <si>
    <t>1692657314048651437</t>
  </si>
  <si>
    <t>1691163391816060930</t>
  </si>
  <si>
    <t>1686034504056549376</t>
  </si>
  <si>
    <t>1678011121033261062</t>
  </si>
  <si>
    <t>1675474400584560640</t>
  </si>
  <si>
    <t>1674764238491926533</t>
  </si>
  <si>
    <t>1666814684534804489</t>
  </si>
  <si>
    <t>1666796884545925121</t>
  </si>
  <si>
    <t>1666560239951400960</t>
  </si>
  <si>
    <t>1666399971929628673</t>
  </si>
  <si>
    <t>1661456753555394562</t>
  </si>
  <si>
    <t>1661350712637284356</t>
  </si>
  <si>
    <t>1661024147361636352</t>
  </si>
  <si>
    <t>1660982316523569153</t>
  </si>
  <si>
    <t>1660754419648978948</t>
  </si>
  <si>
    <t>1655180686599553024</t>
  </si>
  <si>
    <t>1654233690543734786</t>
  </si>
  <si>
    <t>1654144164810899456</t>
  </si>
  <si>
    <t>1654142314845970432</t>
  </si>
  <si>
    <t>1703753560255590503</t>
  </si>
  <si>
    <t>1697219829889933586</t>
  </si>
  <si>
    <t>1693602990920286551</t>
  </si>
  <si>
    <t>1691482491817758720</t>
  </si>
  <si>
    <t>1691397017572892672</t>
  </si>
  <si>
    <t>1686795282619527169</t>
  </si>
  <si>
    <t>1686779470517092362</t>
  </si>
  <si>
    <t>1681682423443062785</t>
  </si>
  <si>
    <t>1681438313008496647</t>
  </si>
  <si>
    <t>1680547835933229056</t>
  </si>
  <si>
    <t>1672189411059007488</t>
  </si>
  <si>
    <t>1671831537094893569</t>
  </si>
  <si>
    <t>1671192525254664197</t>
  </si>
  <si>
    <t>1664638525638074370</t>
  </si>
  <si>
    <t>1664636110381694979</t>
  </si>
  <si>
    <t>1658124239692615682</t>
  </si>
  <si>
    <t>1658084031936839680</t>
  </si>
  <si>
    <t>1657111313523306496</t>
  </si>
  <si>
    <t>1657043493359869953</t>
  </si>
  <si>
    <t>1705914985208303691</t>
  </si>
  <si>
    <t>1703378269439942817</t>
  </si>
  <si>
    <t>1697631619182411876</t>
  </si>
  <si>
    <t>1695025603873816984</t>
  </si>
  <si>
    <t>1694664321253384692</t>
  </si>
  <si>
    <t>1691887031041855717</t>
  </si>
  <si>
    <t>1688509275063087104</t>
  </si>
  <si>
    <t>1688157974681075713</t>
  </si>
  <si>
    <t>1685059558132047872</t>
  </si>
  <si>
    <t>1684987856136089603</t>
  </si>
  <si>
    <t>1674408443925475328</t>
  </si>
  <si>
    <t>1673694110060773378</t>
  </si>
  <si>
    <t>1673650623919554561</t>
  </si>
  <si>
    <t>1673645966509867010</t>
  </si>
  <si>
    <t>1660254119175790594</t>
  </si>
  <si>
    <t>1659665033410887681</t>
  </si>
  <si>
    <t>1659598352911155209</t>
  </si>
  <si>
    <t>1659578759131824128</t>
  </si>
  <si>
    <t>1659568461117284356</t>
  </si>
  <si>
    <t>1659296902544781330</t>
  </si>
  <si>
    <t>1706698684824486083</t>
  </si>
  <si>
    <t>1706346008064520619</t>
  </si>
  <si>
    <t>1706314262660968503</t>
  </si>
  <si>
    <t>1698304845327868052</t>
  </si>
  <si>
    <t>1694306377991098591</t>
  </si>
  <si>
    <t>1691810310020039131</t>
  </si>
  <si>
    <t>1691773353411965081</t>
  </si>
  <si>
    <t>1687169295564840960</t>
  </si>
  <si>
    <t>1687057960638242822</t>
  </si>
  <si>
    <t>1683509233772265474</t>
  </si>
  <si>
    <t>1683205344053305344</t>
  </si>
  <si>
    <t>1683084546504290304</t>
  </si>
  <si>
    <t>1682399345973293057</t>
  </si>
  <si>
    <t>1672249280172630018</t>
  </si>
  <si>
    <t>1665327539194036225</t>
  </si>
  <si>
    <t>1658931608693403652</t>
  </si>
  <si>
    <t>1658890646206259204</t>
  </si>
  <si>
    <t>1658839321519030275</t>
  </si>
  <si>
    <t>1658553046144626693</t>
  </si>
  <si>
    <t>1706733147449131016</t>
  </si>
  <si>
    <t>1706619998108623104</t>
  </si>
  <si>
    <t>1702685413297602862</t>
  </si>
  <si>
    <t>1701546299516936547</t>
  </si>
  <si>
    <t>1700194522494296219</t>
  </si>
  <si>
    <t>1699382845511180752</t>
  </si>
  <si>
    <t>1699016758995116115</t>
  </si>
  <si>
    <t>1696479316450705550</t>
  </si>
  <si>
    <t>1696163071503348071</t>
  </si>
  <si>
    <t>1690694690369064960</t>
  </si>
  <si>
    <t>1689958829805502466</t>
  </si>
  <si>
    <t>1678728603767324672</t>
  </si>
  <si>
    <t>1678359393954349058</t>
  </si>
  <si>
    <t>1670400979831861250</t>
  </si>
  <si>
    <t>1669365492912357376</t>
  </si>
  <si>
    <t>1669292889241710592</t>
  </si>
  <si>
    <t>1668997825013723139</t>
  </si>
  <si>
    <t>1656661958433869829</t>
  </si>
  <si>
    <t>1656657372012597248</t>
  </si>
  <si>
    <t>1656636778533601280</t>
  </si>
  <si>
    <t>1656314942688055296</t>
  </si>
  <si>
    <t>1706636304727810305</t>
  </si>
  <si>
    <t>1697192298067452355</t>
  </si>
  <si>
    <t>1697187620533469373</t>
  </si>
  <si>
    <t>1698708505203503469</t>
  </si>
  <si>
    <t>1698698624564146481</t>
  </si>
  <si>
    <t>1699830339084976568</t>
  </si>
  <si>
    <t>1699052186750320864</t>
  </si>
  <si>
    <t>1696455774795350137</t>
  </si>
  <si>
    <t>1696130540158480663</t>
  </si>
  <si>
    <t>1707385958209880340</t>
  </si>
  <si>
    <t>1694857762260373897</t>
  </si>
  <si>
    <t>1694816437729165716</t>
  </si>
  <si>
    <t>1691927171260960922</t>
  </si>
  <si>
    <t>1678756012503736322</t>
  </si>
  <si>
    <t>1655653411172278293</t>
  </si>
  <si>
    <t>1668400025741795333</t>
  </si>
  <si>
    <t>1664032757486600193</t>
  </si>
  <si>
    <t>1663694762451300352</t>
  </si>
  <si>
    <t>1667971408184459271</t>
  </si>
  <si>
    <t>1683990190849662976</t>
  </si>
  <si>
    <t>1683620748030533634</t>
  </si>
  <si>
    <t>1696310901450637322</t>
  </si>
  <si>
    <t>1678547148797882371</t>
  </si>
  <si>
    <t>1669502550364631042</t>
  </si>
  <si>
    <t>1669315190297448449</t>
  </si>
  <si>
    <t>1697753704089477381</t>
  </si>
  <si>
    <t>1666231586587549696</t>
  </si>
  <si>
    <t>1661438659466330140</t>
  </si>
  <si>
    <t>1660775086532468740</t>
  </si>
  <si>
    <t>1654197558674182156</t>
  </si>
  <si>
    <t>1654085713670062081</t>
  </si>
  <si>
    <t>1658473711811567619</t>
  </si>
  <si>
    <t>1658297562577641472</t>
  </si>
  <si>
    <t>1673366708592033800</t>
  </si>
  <si>
    <t>1684545973085691905</t>
  </si>
  <si>
    <t>1681433372206280705</t>
  </si>
  <si>
    <t>1696139531047604611</t>
  </si>
  <si>
    <t>1695056587080028379</t>
  </si>
  <si>
    <t>1677043912592990211</t>
  </si>
  <si>
    <t>1676567920816578561</t>
  </si>
  <si>
    <t>1661726385952399362</t>
  </si>
  <si>
    <t>1651579473525972997</t>
  </si>
  <si>
    <t>1670740722025222144</t>
  </si>
  <si>
    <t>1653346102777729027</t>
  </si>
  <si>
    <t>1696833152549847284</t>
  </si>
  <si>
    <t>1696802451066691964</t>
  </si>
  <si>
    <t>1678758564809129989</t>
  </si>
  <si>
    <t>1702313764278710457</t>
  </si>
  <si>
    <t>1701151108587045135</t>
  </si>
  <si>
    <t>1692529300228931955</t>
  </si>
  <si>
    <t>1704774988031479812</t>
  </si>
  <si>
    <t>1671435299417628672</t>
  </si>
  <si>
    <t>1658102449473814529</t>
  </si>
  <si>
    <t>1657015286149664773</t>
  </si>
  <si>
    <t>1706663423478583428</t>
  </si>
  <si>
    <t>1659189621022965761</t>
  </si>
  <si>
    <t>1706979510292251105</t>
  </si>
  <si>
    <t>1703718015437529471</t>
  </si>
  <si>
    <t>1674409903807397888</t>
  </si>
  <si>
    <t>1674047518617874432</t>
  </si>
  <si>
    <t>1673700982146859012</t>
  </si>
  <si>
    <t>1665999484340273152</t>
  </si>
  <si>
    <t>1660654267873493000</t>
  </si>
  <si>
    <t>1693342892918546617</t>
  </si>
  <si>
    <t>1671245323098791937</t>
  </si>
  <si>
    <t>1707071655472664728</t>
  </si>
  <si>
    <t>1670745458073894912</t>
  </si>
  <si>
    <t>1670727599696355328</t>
  </si>
  <si>
    <t>1670726260069203968</t>
  </si>
  <si>
    <t>1671006197560819713</t>
  </si>
  <si>
    <t>1676524247026466816</t>
  </si>
  <si>
    <t>1684135738944933888</t>
  </si>
  <si>
    <t>1674005801021612032</t>
  </si>
  <si>
    <t>1683473101491781635</t>
  </si>
  <si>
    <t>1663593097496756236</t>
  </si>
  <si>
    <t>1654127529056440326</t>
  </si>
  <si>
    <t>1653195997516820480</t>
  </si>
  <si>
    <t>1667250258282250240</t>
  </si>
  <si>
    <t>1673777005458857988</t>
  </si>
  <si>
    <t>1665720823984824322</t>
  </si>
  <si>
    <t>1692556221679567187</t>
  </si>
  <si>
    <t>1652088955146473473</t>
  </si>
  <si>
    <t>1653667977601101825</t>
  </si>
  <si>
    <t>1671835083265941504</t>
  </si>
  <si>
    <t>1662437175588167683</t>
  </si>
  <si>
    <t>1694422308843057170</t>
  </si>
  <si>
    <t>1670167083957514242</t>
  </si>
  <si>
    <t>1695787364805640676</t>
  </si>
  <si>
    <t>1668364480353296386</t>
  </si>
  <si>
    <t>1652685969877880832</t>
  </si>
  <si>
    <t>1707146648214778325</t>
  </si>
  <si>
    <t>1670854135682416640</t>
  </si>
  <si>
    <t>1674599095120412672</t>
  </si>
  <si>
    <t>1674209146520981506</t>
  </si>
  <si>
    <t>1659929533837987844</t>
  </si>
  <si>
    <t>1659929110750154752</t>
  </si>
  <si>
    <t>1689669204054544385</t>
  </si>
  <si>
    <t>1687609178754371584</t>
  </si>
  <si>
    <t>1679276607641460738</t>
  </si>
  <si>
    <t>1675935093955739648</t>
  </si>
  <si>
    <t>1667321397746495490</t>
  </si>
  <si>
    <t>1662054895501946881</t>
  </si>
  <si>
    <t>1702448337171993024</t>
  </si>
  <si>
    <t>1702384349704831095</t>
  </si>
  <si>
    <t>1700918166807773307</t>
  </si>
  <si>
    <t>1699715823844069492</t>
  </si>
  <si>
    <t>1698840460565864570</t>
  </si>
  <si>
    <t>1698839742316441794</t>
  </si>
  <si>
    <t>1695860350011232459</t>
  </si>
  <si>
    <t>1688876136892182528</t>
  </si>
  <si>
    <t>1663295833733836801</t>
  </si>
  <si>
    <t>1704866133176705531</t>
  </si>
  <si>
    <t>1704156474727903435</t>
  </si>
  <si>
    <t>1694103072077684995</t>
  </si>
  <si>
    <t>1687117472863059969</t>
  </si>
  <si>
    <t>1687114379056349186</t>
  </si>
  <si>
    <t>1673595013882626048</t>
  </si>
  <si>
    <t>1673058938529497091</t>
  </si>
  <si>
    <t>1659170902301372417</t>
  </si>
  <si>
    <t>1658872724574306304</t>
  </si>
  <si>
    <t>1706232961916379197</t>
  </si>
  <si>
    <t>1704261430680203713</t>
  </si>
  <si>
    <t>1702295726242316512</t>
  </si>
  <si>
    <t>1700259502275043831</t>
  </si>
  <si>
    <t>1700124907571466477</t>
  </si>
  <si>
    <t>1696689088537964582</t>
  </si>
  <si>
    <t>1670539465327013890</t>
  </si>
  <si>
    <t>1669133261983952898</t>
  </si>
  <si>
    <t>1656662062481948675</t>
  </si>
  <si>
    <t>1706768955648487511</t>
  </si>
  <si>
    <t>1703901860678054309</t>
  </si>
  <si>
    <t>1697039265136332858</t>
  </si>
  <si>
    <t>1686521833116381184</t>
  </si>
  <si>
    <t>1686519211034591232</t>
  </si>
  <si>
    <t>1674415252124082176</t>
  </si>
  <si>
    <t>1684876489383116800</t>
  </si>
  <si>
    <t>1684956600543379456</t>
  </si>
  <si>
    <t>1705422415906365588</t>
  </si>
  <si>
    <t>1705370637852668345</t>
  </si>
  <si>
    <t>1705719700850688047</t>
  </si>
  <si>
    <t>1671192890142339086</t>
  </si>
  <si>
    <t>1655362287941611521</t>
  </si>
  <si>
    <t>1657898273284259840</t>
  </si>
  <si>
    <t>1665508110570594304</t>
  </si>
  <si>
    <t>1669510324058243075</t>
  </si>
  <si>
    <t>1666960927445381120</t>
  </si>
  <si>
    <t>1654290464873299970</t>
  </si>
  <si>
    <t>1694866710019309643</t>
  </si>
  <si>
    <t>1660430185248747520</t>
  </si>
  <si>
    <t>1659344188654211074</t>
  </si>
  <si>
    <t>1701027181499949466</t>
  </si>
  <si>
    <t>1706421697857880102</t>
  </si>
  <si>
    <t>1704589425764671950</t>
  </si>
  <si>
    <t>1683977724904235008</t>
  </si>
  <si>
    <t>1689706737761169408</t>
  </si>
  <si>
    <t>1667622665954242566</t>
  </si>
  <si>
    <t>1664330719701639177</t>
  </si>
  <si>
    <t>1665540142201708544</t>
  </si>
  <si>
    <t>1674234407492755456</t>
  </si>
  <si>
    <t>1678834858217426945</t>
  </si>
  <si>
    <t>1670169145147641857</t>
  </si>
  <si>
    <t>1653741568136736773</t>
  </si>
  <si>
    <t>1653398349943324680</t>
  </si>
  <si>
    <t>1668615688171433985</t>
  </si>
  <si>
    <t>1672313120969183232</t>
  </si>
  <si>
    <t>1691107785147023360</t>
  </si>
  <si>
    <t>1690483650620477441</t>
  </si>
  <si>
    <t>1692189862705676687</t>
  </si>
  <si>
    <t>1688972191176527888</t>
  </si>
  <si>
    <t>1676683257880911876</t>
  </si>
  <si>
    <t>1691570849860501973</t>
  </si>
  <si>
    <t>1683512875489320960</t>
  </si>
  <si>
    <t>1691933297570381939</t>
  </si>
  <si>
    <t>1691208450531897344</t>
  </si>
  <si>
    <t>1690846084816314368</t>
  </si>
  <si>
    <t>1694047124596330644</t>
  </si>
  <si>
    <t>1693579252942119111</t>
  </si>
  <si>
    <t>1677650238117478401</t>
  </si>
  <si>
    <t>1665115116734480384</t>
  </si>
  <si>
    <t>1652506815643435010</t>
  </si>
  <si>
    <t>1697632743855710247</t>
  </si>
  <si>
    <t>1704293784832352646</t>
  </si>
  <si>
    <t>1707051239265935751</t>
  </si>
  <si>
    <t>1691604132199612526</t>
  </si>
  <si>
    <t>1691604109365743644</t>
  </si>
  <si>
    <t>1691598451039949147</t>
  </si>
  <si>
    <t>1684233523803168768</t>
  </si>
  <si>
    <t>1673757852660277272</t>
  </si>
  <si>
    <t>1652323183633002497</t>
  </si>
  <si>
    <t>1659627712577716258</t>
  </si>
  <si>
    <t>1659169642206711814</t>
  </si>
  <si>
    <t>1658783102435569664</t>
  </si>
  <si>
    <t>1658467353447768064</t>
  </si>
  <si>
    <t>1658466249683116032</t>
  </si>
  <si>
    <t>1661124657263542274</t>
  </si>
  <si>
    <t>1677656292486258690</t>
  </si>
  <si>
    <t>1664646065792905217</t>
  </si>
  <si>
    <t>1674445820576387073</t>
  </si>
  <si>
    <t>1654559306665152513</t>
  </si>
  <si>
    <t>1679599240715067398</t>
  </si>
  <si>
    <t>1676242897568448515</t>
  </si>
  <si>
    <t>1697746302958727337</t>
  </si>
  <si>
    <t>1707341800665423903</t>
  </si>
  <si>
    <t>1658142456171339776</t>
  </si>
  <si>
    <t>1689401922464124928</t>
  </si>
  <si>
    <t>1672533592767963137</t>
  </si>
  <si>
    <t>1694078859790983428</t>
  </si>
  <si>
    <t>1693455288387387603</t>
  </si>
  <si>
    <t>1697980417922490403</t>
  </si>
  <si>
    <t>1696982407029629209</t>
  </si>
  <si>
    <t>1677368449071210501</t>
  </si>
  <si>
    <t>1666913583567978504</t>
  </si>
  <si>
    <t>1653767095383891968</t>
  </si>
  <si>
    <t>1702477411575578823</t>
  </si>
  <si>
    <t>1702362870753685746</t>
  </si>
  <si>
    <t>1699594701949510044</t>
  </si>
  <si>
    <t>1704640036766199949</t>
  </si>
  <si>
    <t>1703812428977393790</t>
  </si>
  <si>
    <t>1704899592012079123</t>
  </si>
  <si>
    <t>1704899598509084688</t>
  </si>
  <si>
    <t>1704537201998954981</t>
  </si>
  <si>
    <t>1704174811428094393</t>
  </si>
  <si>
    <t>1707073905758732715</t>
  </si>
  <si>
    <t>1705001596726255908</t>
  </si>
  <si>
    <t>1704277291067437567</t>
  </si>
  <si>
    <t>1702827540019081624</t>
  </si>
  <si>
    <t>1702725606973014463</t>
  </si>
  <si>
    <t>1702725269604254056</t>
  </si>
  <si>
    <t>1702133995939488177</t>
  </si>
  <si>
    <t>1702133867937673216</t>
  </si>
  <si>
    <t>1707176401630069113</t>
  </si>
  <si>
    <t>1706451130383802600</t>
  </si>
  <si>
    <t>1705363919106187439</t>
  </si>
  <si>
    <t>1703914366087680141</t>
  </si>
  <si>
    <t>1683922568544419840</t>
  </si>
  <si>
    <t>1686096895066923009</t>
  </si>
  <si>
    <t>1700149206403445130</t>
  </si>
  <si>
    <t>1674468346291531776</t>
  </si>
  <si>
    <t>1702646376327188833</t>
  </si>
  <si>
    <t>1664618807975985153</t>
  </si>
  <si>
    <t>1703018048024613048</t>
  </si>
  <si>
    <t>1705375300971086173</t>
  </si>
  <si>
    <t>1701071457525133321</t>
  </si>
  <si>
    <t>1683097096365154304</t>
  </si>
  <si>
    <t>1653145531235827719</t>
  </si>
  <si>
    <t>1678492811878973440</t>
  </si>
  <si>
    <t>1678487772695261192</t>
  </si>
  <si>
    <t>1680275660009361409</t>
  </si>
  <si>
    <t>1677036261230477318</t>
  </si>
  <si>
    <t>1668347215318769666</t>
  </si>
  <si>
    <t>1691176613713522689</t>
  </si>
  <si>
    <t>1675865959133851650</t>
  </si>
  <si>
    <t>1655650013945495552</t>
  </si>
  <si>
    <t>1691153662557442048</t>
  </si>
  <si>
    <t>1706329873520668692</t>
  </si>
  <si>
    <t>1676555363687051266</t>
  </si>
  <si>
    <t>1652694312482664448</t>
  </si>
  <si>
    <t>1705560143851581465</t>
  </si>
  <si>
    <t>1705726928303370560</t>
  </si>
  <si>
    <t>1682089377135054848</t>
  </si>
  <si>
    <t>1674423281829691394</t>
  </si>
  <si>
    <t>1673756094831706112</t>
  </si>
  <si>
    <t>1676294118010396687</t>
  </si>
  <si>
    <t>1196493457663123468</t>
  </si>
  <si>
    <t>1691195902659022849</t>
  </si>
  <si>
    <t>1678188801372323840</t>
  </si>
  <si>
    <t>1676210414428758017</t>
  </si>
  <si>
    <t>1683459179732770817</t>
  </si>
  <si>
    <t>1662983486733529088</t>
  </si>
  <si>
    <t>1691141429920149514</t>
  </si>
  <si>
    <t>1695916489507778987</t>
  </si>
  <si>
    <t>1707191023800070424</t>
  </si>
  <si>
    <t>1707178498509451588</t>
  </si>
  <si>
    <t>1707424592841539590</t>
  </si>
  <si>
    <t>1671324677300469762</t>
  </si>
  <si>
    <t>1685651682133168128</t>
  </si>
  <si>
    <t>1679858387566116864</t>
  </si>
  <si>
    <t>1679817591500447747</t>
  </si>
  <si>
    <t>1662836495802138624</t>
  </si>
  <si>
    <t>1662458926548262917</t>
  </si>
  <si>
    <t>1658500731396141056</t>
  </si>
  <si>
    <t>1658489717913161731</t>
  </si>
  <si>
    <t>1658484220883505162</t>
  </si>
  <si>
    <t>1658465627772788736</t>
  </si>
  <si>
    <t>1691215351793496064</t>
  </si>
  <si>
    <t>1691196241328087040</t>
  </si>
  <si>
    <t>1690739424299003904</t>
  </si>
  <si>
    <t>1690725173744316416</t>
  </si>
  <si>
    <t>1689724676237320192</t>
  </si>
  <si>
    <t>1686357112337711104</t>
  </si>
  <si>
    <t>1686341321001246720</t>
  </si>
  <si>
    <t>1686331155040120832</t>
  </si>
  <si>
    <t>1686308582424268800</t>
  </si>
  <si>
    <t>1679125907900973062</t>
  </si>
  <si>
    <t>1679091325981937664</t>
  </si>
  <si>
    <t>1675897834535542785</t>
  </si>
  <si>
    <t>1675816263371706369</t>
  </si>
  <si>
    <t>1671138366090272768</t>
  </si>
  <si>
    <t>1670903533477019649</t>
  </si>
  <si>
    <t>1670874001143463936</t>
  </si>
  <si>
    <t>1661790979936976908</t>
  </si>
  <si>
    <t>1661460857392447490</t>
  </si>
  <si>
    <t>1651597071596548099</t>
  </si>
  <si>
    <t>1651583625614245890</t>
  </si>
  <si>
    <t>1693978042232685028</t>
  </si>
  <si>
    <t>1693704171378073931</t>
  </si>
  <si>
    <t>1693627025121001957</t>
  </si>
  <si>
    <t>1693617826706178097</t>
  </si>
  <si>
    <t>1691507041720737803</t>
  </si>
  <si>
    <t>1691485270007328771</t>
  </si>
  <si>
    <t>1691467047295717377</t>
  </si>
  <si>
    <t>1691466346960412673</t>
  </si>
  <si>
    <t>1691418269754744832</t>
  </si>
  <si>
    <t>1691410414142189568</t>
  </si>
  <si>
    <t>1686720360010387456</t>
  </si>
  <si>
    <t>1680578135799091203</t>
  </si>
  <si>
    <t>1680561871034757121</t>
  </si>
  <si>
    <t>1672241661668106240</t>
  </si>
  <si>
    <t>1671956590709145610</t>
  </si>
  <si>
    <t>1671907518983942145</t>
  </si>
  <si>
    <t>1671584001683857428</t>
  </si>
  <si>
    <t>1671515812404899848</t>
  </si>
  <si>
    <t>1671241972302921729</t>
  </si>
  <si>
    <t>1671238401201250306</t>
  </si>
  <si>
    <t>1671228674098462730</t>
  </si>
  <si>
    <t>1671185630175596548</t>
  </si>
  <si>
    <t>1664695516934832133</t>
  </si>
  <si>
    <t>1664659255952121857</t>
  </si>
  <si>
    <t>1664350517387051011</t>
  </si>
  <si>
    <t>1664328193333927937</t>
  </si>
  <si>
    <t>1658121064520507394</t>
  </si>
  <si>
    <t>1658120126275678211</t>
  </si>
  <si>
    <t>1657763114664833024</t>
  </si>
  <si>
    <t>1657420981785296898</t>
  </si>
  <si>
    <t>1657019331400613894</t>
  </si>
  <si>
    <t>1656973139551694848</t>
  </si>
  <si>
    <t>1696114802794361313</t>
  </si>
  <si>
    <t>1694070836309655995</t>
  </si>
  <si>
    <t>1694019841143738437</t>
  </si>
  <si>
    <t>1694013968677822489</t>
  </si>
  <si>
    <t>1693261894952407431</t>
  </si>
  <si>
    <t>1692884329074962777</t>
  </si>
  <si>
    <t>1691123688186302474</t>
  </si>
  <si>
    <t>1691109326679928832</t>
  </si>
  <si>
    <t>1689654192376598528</t>
  </si>
  <si>
    <t>1689633230578679808</t>
  </si>
  <si>
    <t>1689604415219433472</t>
  </si>
  <si>
    <t>1689578617787813889</t>
  </si>
  <si>
    <t>1689353192285356032</t>
  </si>
  <si>
    <t>1686042976747687936</t>
  </si>
  <si>
    <t>1685997887371489280</t>
  </si>
  <si>
    <t>1685979313764724736</t>
  </si>
  <si>
    <t>1677755611583328257</t>
  </si>
  <si>
    <t>1677704898438213634</t>
  </si>
  <si>
    <t>1677682324324974596</t>
  </si>
  <si>
    <t>1677369321197035525</t>
  </si>
  <si>
    <t>1675504891396075524</t>
  </si>
  <si>
    <t>1674797817100111878</t>
  </si>
  <si>
    <t>1674762145798533121</t>
  </si>
  <si>
    <t>1674437459269283843</t>
  </si>
  <si>
    <t>1666531470561669123</t>
  </si>
  <si>
    <t>1661440663777419265</t>
  </si>
  <si>
    <t>1661414681775308804</t>
  </si>
  <si>
    <t>1661402028315222016</t>
  </si>
  <si>
    <t>1661082244587372555</t>
  </si>
  <si>
    <t>1661016411769290754</t>
  </si>
  <si>
    <t>1655181109787754496</t>
  </si>
  <si>
    <t>1654504005316255749</t>
  </si>
  <si>
    <t>1654199848390873129</t>
  </si>
  <si>
    <t>1654141529621946368</t>
  </si>
  <si>
    <t>1653786319221407744</t>
  </si>
  <si>
    <t>1697622004902359124</t>
  </si>
  <si>
    <t>1697589913573625938</t>
  </si>
  <si>
    <t>1694802244774817844</t>
  </si>
  <si>
    <t>1691921206595711194</t>
  </si>
  <si>
    <t>1691877509954940942</t>
  </si>
  <si>
    <t>1691838779303109041</t>
  </si>
  <si>
    <t>1685002982474018818</t>
  </si>
  <si>
    <t>1684988496002330638</t>
  </si>
  <si>
    <t>1684643046887931904</t>
  </si>
  <si>
    <t>1684533682416111616</t>
  </si>
  <si>
    <t>1684296941608243201</t>
  </si>
  <si>
    <t>1684227353570836481</t>
  </si>
  <si>
    <t>1666150623996174337</t>
  </si>
  <si>
    <t>1666090828379623424</t>
  </si>
  <si>
    <t>1665817661404504065</t>
  </si>
  <si>
    <t>1660299861902647296</t>
  </si>
  <si>
    <t>1659650006314262536</t>
  </si>
  <si>
    <t>1659633750106316822</t>
  </si>
  <si>
    <t>1659514971351314435</t>
  </si>
  <si>
    <t>1701999341458674076</t>
  </si>
  <si>
    <t>1701646537695146093</t>
  </si>
  <si>
    <t>1701595146247401977</t>
  </si>
  <si>
    <t>1701310521851449663</t>
  </si>
  <si>
    <t>1701297106642718873</t>
  </si>
  <si>
    <t>1700524754493411382</t>
  </si>
  <si>
    <t>1699156170722685274</t>
  </si>
  <si>
    <t>1699126142811193419</t>
  </si>
  <si>
    <t>1699111470661857670</t>
  </si>
  <si>
    <t>1699074795353305581</t>
  </si>
  <si>
    <t>1696971630210060694</t>
  </si>
  <si>
    <t>1696598863451210034</t>
  </si>
  <si>
    <t>1696575659630358700</t>
  </si>
  <si>
    <t>1696550620029759905</t>
  </si>
  <si>
    <t>1696526772798648672</t>
  </si>
  <si>
    <t>1696221662113329185</t>
  </si>
  <si>
    <t>1696164986547028089</t>
  </si>
  <si>
    <t>1696155158990721053</t>
  </si>
  <si>
    <t>1690031144178208769</t>
  </si>
  <si>
    <t>1689996373741940736</t>
  </si>
  <si>
    <t>1689975977261117440</t>
  </si>
  <si>
    <t>1678791886209777665</t>
  </si>
  <si>
    <t>1678739810817564674</t>
  </si>
  <si>
    <t>1678474085003587585</t>
  </si>
  <si>
    <t>1670431360912175104</t>
  </si>
  <si>
    <t>1669415844256907264</t>
  </si>
  <si>
    <t>1668953311381270528</t>
  </si>
  <si>
    <t>1656757640171516155</t>
  </si>
  <si>
    <t>1707051511535091997</t>
  </si>
  <si>
    <t>1698376678852976735</t>
  </si>
  <si>
    <t>1698359074176249907</t>
  </si>
  <si>
    <t>1698320180898562182</t>
  </si>
  <si>
    <t>1697314866145435667</t>
  </si>
  <si>
    <t>1697281674193539174</t>
  </si>
  <si>
    <t>1697247958029525276</t>
  </si>
  <si>
    <t>1694404244558823721</t>
  </si>
  <si>
    <t>1694384152861188112</t>
  </si>
  <si>
    <t>1694365929793036742</t>
  </si>
  <si>
    <t>1694107956298633510</t>
  </si>
  <si>
    <t>1691800175189078371</t>
  </si>
  <si>
    <t>1687486925899186176</t>
  </si>
  <si>
    <t>1687174027616407552</t>
  </si>
  <si>
    <t>1687136479280025601</t>
  </si>
  <si>
    <t>1687068367637594112</t>
  </si>
  <si>
    <t>1683825970787020801</t>
  </si>
  <si>
    <t>1683504481185529860</t>
  </si>
  <si>
    <t>1683493499239268354</t>
  </si>
  <si>
    <t>1683114952888860673</t>
  </si>
  <si>
    <t>1682450802479095813</t>
  </si>
  <si>
    <t>1682398108808781824</t>
  </si>
  <si>
    <t>1673389099917426688</t>
  </si>
  <si>
    <t>1672968188009512961</t>
  </si>
  <si>
    <t>1665463646414155776</t>
  </si>
  <si>
    <t>1665372992489046029</t>
  </si>
  <si>
    <t>1665043259687616514</t>
  </si>
  <si>
    <t>1659259149195116544</t>
  </si>
  <si>
    <t>1658836601051529217</t>
  </si>
  <si>
    <t>1707416682191274361</t>
  </si>
  <si>
    <t>1701938459013795970</t>
  </si>
  <si>
    <t>1701699963388895272</t>
  </si>
  <si>
    <t>1701216804129980785</t>
  </si>
  <si>
    <t>1700856896910148008</t>
  </si>
  <si>
    <t>1699572405612446026</t>
  </si>
  <si>
    <t>1699555396715786731</t>
  </si>
  <si>
    <t>1699484029622378985</t>
  </si>
  <si>
    <t>1699440270939451846</t>
  </si>
  <si>
    <t>1699392382968410307</t>
  </si>
  <si>
    <t>1698754024793669737</t>
  </si>
  <si>
    <t>1698688529491005743</t>
  </si>
  <si>
    <t>1695492648734183588</t>
  </si>
  <si>
    <t>1695086035359744140</t>
  </si>
  <si>
    <t>1692540674678157632</t>
  </si>
  <si>
    <t>1692224569837302156</t>
  </si>
  <si>
    <t>1692199920579604929</t>
  </si>
  <si>
    <t>1692180548335161692</t>
  </si>
  <si>
    <t>1689312707881705474</t>
  </si>
  <si>
    <t>1689239314020921344</t>
  </si>
  <si>
    <t>1689039374409748480</t>
  </si>
  <si>
    <t>1688589529760858112</t>
  </si>
  <si>
    <t>1677021682618228736</t>
  </si>
  <si>
    <t>1676621423345913856</t>
  </si>
  <si>
    <t>1676612097604460544</t>
  </si>
  <si>
    <t>1668612393448996865</t>
  </si>
  <si>
    <t>1663931685178671105</t>
  </si>
  <si>
    <t>1663926947435479040</t>
  </si>
  <si>
    <t>1663923359451578369</t>
  </si>
  <si>
    <t>1663909777905254407</t>
  </si>
  <si>
    <t>1663906607212777472</t>
  </si>
  <si>
    <t>1663898851319717890</t>
  </si>
  <si>
    <t>1663891024651927552</t>
  </si>
  <si>
    <t>1663885310374346754</t>
  </si>
  <si>
    <t>1663252361320464392</t>
  </si>
  <si>
    <t>1651966625128562688</t>
  </si>
  <si>
    <t>1651956806711668737</t>
  </si>
  <si>
    <t>1651943881838043136</t>
  </si>
  <si>
    <t>1651623767053934599</t>
  </si>
  <si>
    <t>1707051578127990822</t>
  </si>
  <si>
    <t>1707419150908305475</t>
  </si>
  <si>
    <t>1679184469725413384</t>
  </si>
  <si>
    <t>1687461856938475520</t>
  </si>
  <si>
    <t>1691497777597915136</t>
  </si>
  <si>
    <t>1707091108684005570</t>
  </si>
  <si>
    <t>1673670903400472578</t>
  </si>
  <si>
    <t>1666554918612729857</t>
  </si>
  <si>
    <t>1665716039655489537</t>
  </si>
  <si>
    <t>1664587883963924485</t>
  </si>
  <si>
    <t>1686427590196678686</t>
  </si>
  <si>
    <t>1686109567392813057</t>
  </si>
  <si>
    <t>1705178638323155160</t>
  </si>
  <si>
    <t>1706269573958533471</t>
  </si>
  <si>
    <t>1700995001340317709</t>
  </si>
  <si>
    <t>1704989278919434681</t>
  </si>
  <si>
    <t>1689798242836340737</t>
  </si>
  <si>
    <t>1656911962897551361</t>
  </si>
  <si>
    <t>1696515822246900200</t>
  </si>
  <si>
    <t>1699788624827662422</t>
  </si>
  <si>
    <t>1657032032071962626</t>
  </si>
  <si>
    <t>1658454561504346114</t>
  </si>
  <si>
    <t>1669028024841379844</t>
  </si>
  <si>
    <t>1668608233391509504</t>
  </si>
  <si>
    <t>1686421322367225861</t>
  </si>
  <si>
    <t>1658765083894267910</t>
  </si>
  <si>
    <t>1663276554175037452</t>
  </si>
  <si>
    <t>1652013824214482944</t>
  </si>
  <si>
    <t>1653116295032741890</t>
  </si>
  <si>
    <t>1654233434045153280</t>
  </si>
  <si>
    <t>1654203353235177473</t>
  </si>
  <si>
    <t>1654158021491032086</t>
  </si>
  <si>
    <t>1653780389423611904</t>
  </si>
  <si>
    <t>1659004937639018496</t>
  </si>
  <si>
    <t>1656710240304349186</t>
  </si>
  <si>
    <t>1656075612388315136</t>
  </si>
  <si>
    <t>1660363892273324033</t>
  </si>
  <si>
    <t>1660031534437474310</t>
  </si>
  <si>
    <t>1659654083546849294</t>
  </si>
  <si>
    <t>1689691406162366464</t>
  </si>
  <si>
    <t>1660771107652227073</t>
  </si>
  <si>
    <t>1670212307090063361</t>
  </si>
  <si>
    <t>1663837905570111489</t>
  </si>
  <si>
    <t>1679222302536245248</t>
  </si>
  <si>
    <t>1686937636026372096</t>
  </si>
  <si>
    <t>1686938631032733696</t>
  </si>
  <si>
    <t>1706710084183527919</t>
  </si>
  <si>
    <t>1683595062632931329</t>
  </si>
  <si>
    <t>1683594625771008000</t>
  </si>
  <si>
    <t>1686184237802647552</t>
  </si>
  <si>
    <t>1679363564727877633</t>
  </si>
  <si>
    <t>1676108720361684992</t>
  </si>
  <si>
    <t>1686569975811624961</t>
  </si>
  <si>
    <t>1707384192831459559</t>
  </si>
  <si>
    <t>1663137448992309248</t>
  </si>
  <si>
    <t>1662972344824889345</t>
  </si>
  <si>
    <t>1653077572178133007</t>
  </si>
  <si>
    <t>1651902171724521474</t>
  </si>
  <si>
    <t>1668062419128598528</t>
  </si>
  <si>
    <t>1667907998801330177</t>
  </si>
  <si>
    <t>1662930992825352195</t>
  </si>
  <si>
    <t>1653352301237551104</t>
  </si>
  <si>
    <t>1690354809667297280</t>
  </si>
  <si>
    <t>1690053767373135872</t>
  </si>
  <si>
    <t>1669663367684931585</t>
  </si>
  <si>
    <t>1668936542943887361</t>
  </si>
  <si>
    <t>1688354735709978624</t>
  </si>
  <si>
    <t>1688318188935680000</t>
  </si>
  <si>
    <t>1660387575322877953</t>
  </si>
  <si>
    <t>1687819561280675840</t>
  </si>
  <si>
    <t>1675825205774544899</t>
  </si>
  <si>
    <t>1675617181126500352</t>
  </si>
  <si>
    <t>1667126276694454273</t>
  </si>
  <si>
    <t>1691498281996525583</t>
  </si>
  <si>
    <t>1657400623141212160</t>
  </si>
  <si>
    <t>1692916631423336815</t>
  </si>
  <si>
    <t>1677677414195896320</t>
  </si>
  <si>
    <t>1675138280512270339</t>
  </si>
  <si>
    <t>1698445874798440598</t>
  </si>
  <si>
    <t>1682754684619038720</t>
  </si>
  <si>
    <t>1673287981161955328</t>
  </si>
  <si>
    <t>1673100621967241220</t>
  </si>
  <si>
    <t>1672607649123168256</t>
  </si>
  <si>
    <t>1665674389310918660</t>
  </si>
  <si>
    <t>1665520845597429762</t>
  </si>
  <si>
    <t>1665380685278789634</t>
  </si>
  <si>
    <t>1664993903110438913</t>
  </si>
  <si>
    <t>1683123449961611264</t>
  </si>
  <si>
    <t>1693711183097073668</t>
  </si>
  <si>
    <t>1657722340799651842</t>
  </si>
  <si>
    <t>1661926510566014976</t>
  </si>
  <si>
    <t>1700471359665496194</t>
  </si>
  <si>
    <t>1682838174140338176</t>
  </si>
  <si>
    <t>1677500888078745601</t>
  </si>
  <si>
    <t>1677455574282260481</t>
  </si>
  <si>
    <t>1668408953095483395</t>
  </si>
  <si>
    <t>1667367088921407490</t>
  </si>
  <si>
    <t>1685689902162165760</t>
  </si>
  <si>
    <t>1651929412126867458</t>
  </si>
  <si>
    <t>1671246750735007747</t>
  </si>
  <si>
    <t>1657400503347683330</t>
  </si>
  <si>
    <t>1657053191572275201</t>
  </si>
  <si>
    <t>1673707943131316225</t>
  </si>
  <si>
    <t>1678811547072593930</t>
  </si>
  <si>
    <t>1669797183489449990</t>
  </si>
  <si>
    <t>1669359300622577664</t>
  </si>
  <si>
    <t>1669042205393051677</t>
  </si>
  <si>
    <t>1676308702935015429</t>
  </si>
  <si>
    <t>1664313949741891599</t>
  </si>
  <si>
    <t>1658442344151105538</t>
  </si>
  <si>
    <t>1659021717195423744</t>
  </si>
  <si>
    <t>1706401085223588226</t>
  </si>
  <si>
    <t>1698135129183428865</t>
  </si>
  <si>
    <t>1667157443732807682</t>
  </si>
  <si>
    <t>1667152409334824965</t>
  </si>
  <si>
    <t>1667149891200483329</t>
  </si>
  <si>
    <t>1667147361980760064</t>
  </si>
  <si>
    <t>1667144844706295809</t>
  </si>
  <si>
    <t>1667142326500597761</t>
  </si>
  <si>
    <t>1667096339342143488</t>
  </si>
  <si>
    <t>1667066033667026944</t>
  </si>
  <si>
    <t>1667055919413248000</t>
  </si>
  <si>
    <t>1667035629962526721</t>
  </si>
  <si>
    <t>1667025508662386689</t>
  </si>
  <si>
    <t>1667015392143835136</t>
  </si>
  <si>
    <t>1667005291483877376</t>
  </si>
  <si>
    <t>1666995203515793409</t>
  </si>
  <si>
    <t>1666985128659152896</t>
  </si>
  <si>
    <t>1655855914597990402</t>
  </si>
  <si>
    <t>1655805439253118976</t>
  </si>
  <si>
    <t>1655795367206584320</t>
  </si>
  <si>
    <t>1655754974599557129</t>
  </si>
  <si>
    <t>1655744905052815360</t>
  </si>
  <si>
    <t>1655734768711999488</t>
  </si>
  <si>
    <t>1655724654764384257</t>
  </si>
  <si>
    <t>1655714580054650881</t>
  </si>
  <si>
    <t>1655704488383062024</t>
  </si>
  <si>
    <t>1655694417846476802</t>
  </si>
  <si>
    <t>1655684295053156354</t>
  </si>
  <si>
    <t>1655654023079272477</t>
  </si>
  <si>
    <t>1655643900629876741</t>
  </si>
  <si>
    <t>1655623696701173783</t>
  </si>
  <si>
    <t>1655613601237856256</t>
  </si>
  <si>
    <t>1655603324631040000</t>
  </si>
  <si>
    <t>1655593198696185864</t>
  </si>
  <si>
    <t>1655583119708237826</t>
  </si>
  <si>
    <t>1655582277512855561</t>
  </si>
  <si>
    <t>1655577210424524819</t>
  </si>
  <si>
    <t>1655574696430034953</t>
  </si>
  <si>
    <t>1655573001767616515</t>
  </si>
  <si>
    <t>1655569646752350210</t>
  </si>
  <si>
    <t>1655562094463393795</t>
  </si>
  <si>
    <t>1655557050900856834</t>
  </si>
  <si>
    <t>1655551974027214850</t>
  </si>
  <si>
    <t>1655546759546798080</t>
  </si>
  <si>
    <t>1655279343864610817</t>
  </si>
  <si>
    <t>1655259090459717633</t>
  </si>
  <si>
    <t>1655238829886898177</t>
  </si>
  <si>
    <t>1651590158930550784</t>
  </si>
  <si>
    <t>1651587433580961792</t>
  </si>
  <si>
    <t>1651584706394177539</t>
  </si>
  <si>
    <t>1651582184690515968</t>
  </si>
  <si>
    <t>1651579663578193921</t>
  </si>
  <si>
    <t>1651574632141422597</t>
  </si>
  <si>
    <t>1651571914266103810</t>
  </si>
  <si>
    <t>1651566861987852288</t>
  </si>
  <si>
    <t>1651564342796582918</t>
  </si>
  <si>
    <t>1651561821537546241</t>
  </si>
  <si>
    <t>1668247207701520391</t>
  </si>
  <si>
    <t>1668244692310409217</t>
  </si>
  <si>
    <t>1668242174088019971</t>
  </si>
  <si>
    <t>1668239636957741058</t>
  </si>
  <si>
    <t>1668237108484399109</t>
  </si>
  <si>
    <t>1668234586659205121</t>
  </si>
  <si>
    <t>1664318499823534080</t>
  </si>
  <si>
    <t>1664298240911503360</t>
  </si>
  <si>
    <t>1664288162422685699</t>
  </si>
  <si>
    <t>1664267996251176962</t>
  </si>
  <si>
    <t>1664267362932236290</t>
  </si>
  <si>
    <t>1664264844864806912</t>
  </si>
  <si>
    <t>1664239219936567298</t>
  </si>
  <si>
    <t>1664237107169177600</t>
  </si>
  <si>
    <t>1664236680679768067</t>
  </si>
  <si>
    <t>1664234150595903492</t>
  </si>
  <si>
    <t>1658546254572290048</t>
  </si>
  <si>
    <t>1658526069714976799</t>
  </si>
  <si>
    <t>1658515993692340241</t>
  </si>
  <si>
    <t>1658505870462910466</t>
  </si>
  <si>
    <t>1658495786408091649</t>
  </si>
  <si>
    <t>1658455240209838080</t>
  </si>
  <si>
    <t>1658451887736094721</t>
  </si>
  <si>
    <t>1658449371296419840</t>
  </si>
  <si>
    <t>1658444159328428032</t>
  </si>
  <si>
    <t>1658293774244560897</t>
  </si>
  <si>
    <t>1658283687857778691</t>
  </si>
  <si>
    <t>1658253428366229507</t>
  </si>
  <si>
    <t>1658243362502189058</t>
  </si>
  <si>
    <t>1658213132030844953</t>
  </si>
  <si>
    <t>1658203018787975168</t>
  </si>
  <si>
    <t>1658182875655594035</t>
  </si>
  <si>
    <t>1653703103781142530</t>
  </si>
  <si>
    <t>1653612140232572929</t>
  </si>
  <si>
    <t>1653591855462858753</t>
  </si>
  <si>
    <t>1653581781801508864</t>
  </si>
  <si>
    <t>1653571595426840576</t>
  </si>
  <si>
    <t>1653551431608147968</t>
  </si>
  <si>
    <t>1653521199656316931</t>
  </si>
  <si>
    <t>1653511163223711745</t>
  </si>
  <si>
    <t>1653501039528628252</t>
  </si>
  <si>
    <t>1653490971764465665</t>
  </si>
  <si>
    <t>1653480857494081536</t>
  </si>
  <si>
    <t>1653470746432159751</t>
  </si>
  <si>
    <t>1653460629250883586</t>
  </si>
  <si>
    <t>1653450552661901324</t>
  </si>
  <si>
    <t>1653440448185217025</t>
  </si>
  <si>
    <t>1653430369998307329</t>
  </si>
  <si>
    <t>1653420274547662848</t>
  </si>
  <si>
    <t>1653410193693089793</t>
  </si>
  <si>
    <t>1653400109244088321</t>
  </si>
  <si>
    <t>1653394192964493314</t>
  </si>
  <si>
    <t>1653391654160572421</t>
  </si>
  <si>
    <t>1653389755080400896</t>
  </si>
  <si>
    <t>1653386197467553793</t>
  </si>
  <si>
    <t>1653383676409925634</t>
  </si>
  <si>
    <t>1653379685898674176</t>
  </si>
  <si>
    <t>1653378621031997441</t>
  </si>
  <si>
    <t>1653373568825081858</t>
  </si>
  <si>
    <t>1653371050254630914</t>
  </si>
  <si>
    <t>1701832720895115548</t>
  </si>
  <si>
    <t>1668743033540468736</t>
  </si>
  <si>
    <t>1668732966732808193</t>
  </si>
  <si>
    <t>1668702712471404544</t>
  </si>
  <si>
    <t>1668692584204476420</t>
  </si>
  <si>
    <t>1668652108097175554</t>
  </si>
  <si>
    <t>1668642032556945408</t>
  </si>
  <si>
    <t>1668621833997004801</t>
  </si>
  <si>
    <t>1668611768539643905</t>
  </si>
  <si>
    <t>1668610719980371968</t>
  </si>
  <si>
    <t>1668608195860783105</t>
  </si>
  <si>
    <t>1668605680415064066</t>
  </si>
  <si>
    <t>1668603162117263361</t>
  </si>
  <si>
    <t>1668601532823007234</t>
  </si>
  <si>
    <t>1668598117544099841</t>
  </si>
  <si>
    <t>1668595594179346432</t>
  </si>
  <si>
    <t>1668593069908713472</t>
  </si>
  <si>
    <t>1663954350593527808</t>
  </si>
  <si>
    <t>1663951830189998099</t>
  </si>
  <si>
    <t>1663911354858721289</t>
  </si>
  <si>
    <t>1663908829518614531</t>
  </si>
  <si>
    <t>1663903727999148034</t>
  </si>
  <si>
    <t>1652359960305565698</t>
  </si>
  <si>
    <t>1652349858475307010</t>
  </si>
  <si>
    <t>1652339774588346370</t>
  </si>
  <si>
    <t>1652319598048419841</t>
  </si>
  <si>
    <t>1652289183694585858</t>
  </si>
  <si>
    <t>1652198132099194881</t>
  </si>
  <si>
    <t>1652188054721908736</t>
  </si>
  <si>
    <t>1652177949368492034</t>
  </si>
  <si>
    <t>1652167794643943425</t>
  </si>
  <si>
    <t>1652157733536235520</t>
  </si>
  <si>
    <t>1652147614152835072</t>
  </si>
  <si>
    <t>1652127307736203265</t>
  </si>
  <si>
    <t>1652117162528587776</t>
  </si>
  <si>
    <t>1652107013709504514</t>
  </si>
  <si>
    <t>1652086834858536962</t>
  </si>
  <si>
    <t>1652076722806837249</t>
  </si>
  <si>
    <t>1652066617369526275</t>
  </si>
  <si>
    <t>1652046431023144964</t>
  </si>
  <si>
    <t>1652026255909306368</t>
  </si>
  <si>
    <t>1651985900018999296</t>
  </si>
  <si>
    <t>1651965679971573763</t>
  </si>
  <si>
    <t>1651955497019293705</t>
  </si>
  <si>
    <t>1651937416809181186</t>
  </si>
  <si>
    <t>1651935324631621632</t>
  </si>
  <si>
    <t>1651934899643752448</t>
  </si>
  <si>
    <t>1651932380045737998</t>
  </si>
  <si>
    <t>1651929863668867077</t>
  </si>
  <si>
    <t>1651927338362236928</t>
  </si>
  <si>
    <t>1651925223573258240</t>
  </si>
  <si>
    <t>1651924803333308417</t>
  </si>
  <si>
    <t>1651922076603670529</t>
  </si>
  <si>
    <t>1651919564119179265</t>
  </si>
  <si>
    <t>1651915140256653312</t>
  </si>
  <si>
    <t>1651905020147769346</t>
  </si>
  <si>
    <t>1651884829443538944</t>
  </si>
  <si>
    <t>1651864671379419136</t>
  </si>
  <si>
    <t>1651854599949627392</t>
  </si>
  <si>
    <t>1651844526103732226</t>
  </si>
  <si>
    <t>1651834457173774339</t>
  </si>
  <si>
    <t>1651824360527724547</t>
  </si>
  <si>
    <t>1651814276649107461</t>
  </si>
  <si>
    <t>1651804178182811648</t>
  </si>
  <si>
    <t>1651794039220338688</t>
  </si>
  <si>
    <t>1651773853016760320</t>
  </si>
  <si>
    <t>1651763778524946432</t>
  </si>
  <si>
    <t>1651753695682371587</t>
  </si>
  <si>
    <t>1651743614945357829</t>
  </si>
  <si>
    <t>1651733536875880456</t>
  </si>
  <si>
    <t>1651723467941634050</t>
  </si>
  <si>
    <t>1651713187027222536</t>
  </si>
  <si>
    <t>1651703110383935488</t>
  </si>
  <si>
    <t>1651693043857096706</t>
  </si>
  <si>
    <t>1651672890025078804</t>
  </si>
  <si>
    <t>1651662824714674197</t>
  </si>
  <si>
    <t>1651652756606689309</t>
  </si>
  <si>
    <t>1651646231104421890</t>
  </si>
  <si>
    <t>1651643566588928003</t>
  </si>
  <si>
    <t>1704848463739888049</t>
  </si>
  <si>
    <t>1704845947799220329</t>
  </si>
  <si>
    <t>1704845735936614502</t>
  </si>
  <si>
    <t>1668975546217164800</t>
  </si>
  <si>
    <t>1668973018192781319</t>
  </si>
  <si>
    <t>1668970499848675328</t>
  </si>
  <si>
    <t>1668967977251635202</t>
  </si>
  <si>
    <t>1668965460795170818</t>
  </si>
  <si>
    <t>1668965250274672641</t>
  </si>
  <si>
    <t>1668960214400286720</t>
  </si>
  <si>
    <t>1668957684513624065</t>
  </si>
  <si>
    <t>1668874501805752320</t>
  </si>
  <si>
    <t>1668844191210782721</t>
  </si>
  <si>
    <t>1668834078865367042</t>
  </si>
  <si>
    <t>1668823981833482246</t>
  </si>
  <si>
    <t>1668813891730636800</t>
  </si>
  <si>
    <t>1668803800629489665</t>
  </si>
  <si>
    <t>1668793702184042497</t>
  </si>
  <si>
    <t>1668783608700497922</t>
  </si>
  <si>
    <t>1668763201457074176</t>
  </si>
  <si>
    <t>1668753124998225920</t>
  </si>
  <si>
    <t>1656817829172084737</t>
  </si>
  <si>
    <t>1656807768907546624</t>
  </si>
  <si>
    <t>1656797674434068481</t>
  </si>
  <si>
    <t>1656767227280908288</t>
  </si>
  <si>
    <t>1656757149014323221</t>
  </si>
  <si>
    <t>1656747085037707265</t>
  </si>
  <si>
    <t>1656736962370207756</t>
  </si>
  <si>
    <t>1656706697841328129</t>
  </si>
  <si>
    <t>1656696426389282816</t>
  </si>
  <si>
    <t>1656656886282739712</t>
  </si>
  <si>
    <t>1656655622992011266</t>
  </si>
  <si>
    <t>1656654366743445504</t>
  </si>
  <si>
    <t>1656645523015598081</t>
  </si>
  <si>
    <t>1656644265164914689</t>
  </si>
  <si>
    <t>1656641751489163264</t>
  </si>
  <si>
    <t>1656636699600986113</t>
  </si>
  <si>
    <t>1656634188655734786</t>
  </si>
  <si>
    <t>1656554402772033536</t>
  </si>
  <si>
    <t>1656544283413954561</t>
  </si>
  <si>
    <t>1656534122511122432</t>
  </si>
  <si>
    <t>1656523962883481600</t>
  </si>
  <si>
    <t>1656513769030156291</t>
  </si>
  <si>
    <t>1656483300314165249</t>
  </si>
  <si>
    <t>1656473159556538368</t>
  </si>
  <si>
    <t>1656442804934004744</t>
  </si>
  <si>
    <t>1656432681398292481</t>
  </si>
  <si>
    <t>1656422602225713160</t>
  </si>
  <si>
    <t>1656412519085273090</t>
  </si>
  <si>
    <t>1656402440927731716</t>
  </si>
  <si>
    <t>1656372192081244166</t>
  </si>
  <si>
    <t>1656362106176798720</t>
  </si>
  <si>
    <t>1656331725453029377</t>
  </si>
  <si>
    <t>1656321589577764864</t>
  </si>
  <si>
    <t>1656301347136733185</t>
  </si>
  <si>
    <t>1656287018551324672</t>
  </si>
  <si>
    <t>1656281969552916483</t>
  </si>
  <si>
    <t>1656281124891504641</t>
  </si>
  <si>
    <t>1656276892419235841</t>
  </si>
  <si>
    <t>1656271845396447238</t>
  </si>
  <si>
    <t>1656271004363112450</t>
  </si>
  <si>
    <t>1656149263053733889</t>
  </si>
  <si>
    <t>1656128909698580485</t>
  </si>
  <si>
    <t>1656118835420835843</t>
  </si>
  <si>
    <t>1656078377827147776</t>
  </si>
  <si>
    <t>1656058207855341571</t>
  </si>
  <si>
    <t>1656048090233860097</t>
  </si>
  <si>
    <t>1656007760121610240</t>
  </si>
  <si>
    <t>1655997676524118026</t>
  </si>
  <si>
    <t>1655957312224329734</t>
  </si>
  <si>
    <t>1655941108344688645</t>
  </si>
  <si>
    <t>1655926624074838018</t>
  </si>
  <si>
    <t>1655920947675668481</t>
  </si>
  <si>
    <t>1655913345642373121</t>
  </si>
  <si>
    <t>1655910832516079616</t>
  </si>
  <si>
    <t>1655908313417019393</t>
  </si>
  <si>
    <t>1655906420045299712</t>
  </si>
  <si>
    <t>1705218348898734577</t>
  </si>
  <si>
    <t>1705215819028758749</t>
  </si>
  <si>
    <t>1705213470864491008</t>
  </si>
  <si>
    <t>1705210953967493243</t>
  </si>
  <si>
    <t>1705208438240809424</t>
  </si>
  <si>
    <t>1692018354154873335</t>
  </si>
  <si>
    <t>1666053637661925377</t>
  </si>
  <si>
    <t>1666051110367272962</t>
  </si>
  <si>
    <t>1665920909230612480</t>
  </si>
  <si>
    <t>1665910764895436800</t>
  </si>
  <si>
    <t>1665900648884215810</t>
  </si>
  <si>
    <t>1665890530708926466</t>
  </si>
  <si>
    <t>1665880414815223810</t>
  </si>
  <si>
    <t>1665860183128518658</t>
  </si>
  <si>
    <t>1665829867584208898</t>
  </si>
  <si>
    <t>1665819735861207041</t>
  </si>
  <si>
    <t>1665809617786470405</t>
  </si>
  <si>
    <t>1665769054861238272</t>
  </si>
  <si>
    <t>1665718296149098496</t>
  </si>
  <si>
    <t>1660663772669702144</t>
  </si>
  <si>
    <t>1659839365957181450</t>
  </si>
  <si>
    <t>1659829282644828161</t>
  </si>
  <si>
    <t>1659809106016755713</t>
  </si>
  <si>
    <t>1659788923080523777</t>
  </si>
  <si>
    <t>1659778831635415041</t>
  </si>
  <si>
    <t>1659758642093015041</t>
  </si>
  <si>
    <t>1659738447442067457</t>
  </si>
  <si>
    <t>1659718286848786439</t>
  </si>
  <si>
    <t>1659708197525938176</t>
  </si>
  <si>
    <t>1659698130743336960</t>
  </si>
  <si>
    <t>1659687834113003520</t>
  </si>
  <si>
    <t>1659677756836261889</t>
  </si>
  <si>
    <t>1659667691907559427</t>
  </si>
  <si>
    <t>1659657555805609984</t>
  </si>
  <si>
    <t>1659637204262559744</t>
  </si>
  <si>
    <t>1659627237266673664</t>
  </si>
  <si>
    <t>1659596869574467587</t>
  </si>
  <si>
    <t>1659569169082228736</t>
  </si>
  <si>
    <t>1659566732481028096</t>
  </si>
  <si>
    <t>1659563916756647938</t>
  </si>
  <si>
    <t>1659561396655337477</t>
  </si>
  <si>
    <t>1659551109877313538</t>
  </si>
  <si>
    <t>1659546055627661313</t>
  </si>
  <si>
    <t>1659541016121163778</t>
  </si>
  <si>
    <t>1659535761413222400</t>
  </si>
  <si>
    <t>1659533038877900800</t>
  </si>
  <si>
    <t>1659465607517986816</t>
  </si>
  <si>
    <t>1659455499564199937</t>
  </si>
  <si>
    <t>1659435122288934914</t>
  </si>
  <si>
    <t>1659425029380005888</t>
  </si>
  <si>
    <t>1659404826785067009</t>
  </si>
  <si>
    <t>1659384562886103040</t>
  </si>
  <si>
    <t>1659354308607983629</t>
  </si>
  <si>
    <t>1659344225589157890</t>
  </si>
  <si>
    <t>1659334093568368648</t>
  </si>
  <si>
    <t>1659323982703624192</t>
  </si>
  <si>
    <t>1659313892357447680</t>
  </si>
  <si>
    <t>1659293738110185482</t>
  </si>
  <si>
    <t>1659283507359670274</t>
  </si>
  <si>
    <t>1659273348067598352</t>
  </si>
  <si>
    <t>1659263238868201472</t>
  </si>
  <si>
    <t>1707390163314204689</t>
  </si>
  <si>
    <t>1704866170216554641</t>
  </si>
  <si>
    <t>1704863656691880119</t>
  </si>
  <si>
    <t>1704861087860961682</t>
  </si>
  <si>
    <t>1704858563204571152</t>
  </si>
  <si>
    <t>1704853508036431875</t>
  </si>
  <si>
    <t>1704850979504410969</t>
  </si>
  <si>
    <t>1665694563413917697</t>
  </si>
  <si>
    <t>1665692038493270022</t>
  </si>
  <si>
    <t>1665689521457885185</t>
  </si>
  <si>
    <t>1664966973388730370</t>
  </si>
  <si>
    <t>1664956863333519362</t>
  </si>
  <si>
    <t>1664916395581140999</t>
  </si>
  <si>
    <t>1664855586184347649</t>
  </si>
  <si>
    <t>1664845470810660866</t>
  </si>
  <si>
    <t>1664835350005415939</t>
  </si>
  <si>
    <t>1664825186728771585</t>
  </si>
  <si>
    <t>1664815018200772608</t>
  </si>
  <si>
    <t>1664804915150041089</t>
  </si>
  <si>
    <t>1664794811826593792</t>
  </si>
  <si>
    <t>1664784696696340483</t>
  </si>
  <si>
    <t>1664774587823927298</t>
  </si>
  <si>
    <t>1664764472429355009</t>
  </si>
  <si>
    <t>1664744133875970050</t>
  </si>
  <si>
    <t>1659253137885077508</t>
  </si>
  <si>
    <t>1659232891459497984</t>
  </si>
  <si>
    <t>1659213868067954688</t>
  </si>
  <si>
    <t>1659212609055502339</t>
  </si>
  <si>
    <t>1659211337841655811</t>
  </si>
  <si>
    <t>1659206292131692549</t>
  </si>
  <si>
    <t>1659202513319632897</t>
  </si>
  <si>
    <t>1659182361072787456</t>
  </si>
  <si>
    <t>1659178160003461128</t>
  </si>
  <si>
    <t>1659175643802750976</t>
  </si>
  <si>
    <t>1659172919543472129</t>
  </si>
  <si>
    <t>1659172081198661632</t>
  </si>
  <si>
    <t>1659170405838364672</t>
  </si>
  <si>
    <t>1659165357452537858</t>
  </si>
  <si>
    <t>1659141854732877824</t>
  </si>
  <si>
    <t>1659131770741174273</t>
  </si>
  <si>
    <t>1659121496554389504</t>
  </si>
  <si>
    <t>1659101304101150721</t>
  </si>
  <si>
    <t>1659081127380889600</t>
  </si>
  <si>
    <t>1659071032731262980</t>
  </si>
  <si>
    <t>1659060970075856898</t>
  </si>
  <si>
    <t>1659050828697681921</t>
  </si>
  <si>
    <t>1659040748879114240</t>
  </si>
  <si>
    <t>1659030676472037378</t>
  </si>
  <si>
    <t>1659010526624509952</t>
  </si>
  <si>
    <t>1658980257263656963</t>
  </si>
  <si>
    <t>1658970185263448064</t>
  </si>
  <si>
    <t>1658939948475580416</t>
  </si>
  <si>
    <t>1658929879415508994</t>
  </si>
  <si>
    <t>1658909738329939989</t>
  </si>
  <si>
    <t>1658899656493998095</t>
  </si>
  <si>
    <t>1658889559613009921</t>
  </si>
  <si>
    <t>1658879293458350095</t>
  </si>
  <si>
    <t>1658869198678786056</t>
  </si>
  <si>
    <t>1658845473770205185</t>
  </si>
  <si>
    <t>1658842947633176576</t>
  </si>
  <si>
    <t>1658837909670068227</t>
  </si>
  <si>
    <t>1658832864195104771</t>
  </si>
  <si>
    <t>1658828881112055810</t>
  </si>
  <si>
    <t>1658822793885102082</t>
  </si>
  <si>
    <t>1658818805169045506</t>
  </si>
  <si>
    <t>1658815239993819141</t>
  </si>
  <si>
    <t>1658808731033894914</t>
  </si>
  <si>
    <t>1658798655527084038</t>
  </si>
  <si>
    <t>1658788560843993088</t>
  </si>
  <si>
    <t>1658778465703739392</t>
  </si>
  <si>
    <t>1658738109222211584</t>
  </si>
  <si>
    <t>1658728043458842624</t>
  </si>
  <si>
    <t>1658687667691745280</t>
  </si>
  <si>
    <t>1658677567732301824</t>
  </si>
  <si>
    <t>1658667474227798016</t>
  </si>
  <si>
    <t>1658657409013800961</t>
  </si>
  <si>
    <t>1658627118262099971</t>
  </si>
  <si>
    <t>1658616868897210368</t>
  </si>
  <si>
    <t>1658576494539558912</t>
  </si>
  <si>
    <t>1658566419540332576</t>
  </si>
  <si>
    <t>1707385290371862732</t>
  </si>
  <si>
    <t>1678241147867594754</t>
  </si>
  <si>
    <t>1666975060031164418</t>
  </si>
  <si>
    <t>1666964978455179265</t>
  </si>
  <si>
    <t>1666934755621830659</t>
  </si>
  <si>
    <t>1666924664998821889</t>
  </si>
  <si>
    <t>1666884326674292736</t>
  </si>
  <si>
    <t>1666874226999951387</t>
  </si>
  <si>
    <t>1666833915770814464</t>
  </si>
  <si>
    <t>1666823823809806336</t>
  </si>
  <si>
    <t>1666415193537011712</t>
  </si>
  <si>
    <t>1666412668868018178</t>
  </si>
  <si>
    <t>1655208484088979459</t>
  </si>
  <si>
    <t>1655198383919755268</t>
  </si>
  <si>
    <t>1655188200485208066</t>
  </si>
  <si>
    <t>1655178060252020738</t>
  </si>
  <si>
    <t>1655137565509316608</t>
  </si>
  <si>
    <t>1655127469479936002</t>
  </si>
  <si>
    <t>1655107237336031232</t>
  </si>
  <si>
    <t>1655097148248141825</t>
  </si>
  <si>
    <t>1655087023290458112</t>
  </si>
  <si>
    <t>1655056771814154241</t>
  </si>
  <si>
    <t>1655046638241566721</t>
  </si>
  <si>
    <t>1655016330033020928</t>
  </si>
  <si>
    <t>1655006186360455169</t>
  </si>
  <si>
    <t>1654996066926723072</t>
  </si>
  <si>
    <t>1654985982695948289</t>
  </si>
  <si>
    <t>1654975862716915714</t>
  </si>
  <si>
    <t>1654955628773756928</t>
  </si>
  <si>
    <t>1654945535554379776</t>
  </si>
  <si>
    <t>1654935434777042944</t>
  </si>
  <si>
    <t>1654359161994354691</t>
  </si>
  <si>
    <t>1654349073439129600</t>
  </si>
  <si>
    <t>1654338978575777794</t>
  </si>
  <si>
    <t>1654328898430156801</t>
  </si>
  <si>
    <t>1654318806330736640</t>
  </si>
  <si>
    <t>1654308670761467905</t>
  </si>
  <si>
    <t>1654298603299524608</t>
  </si>
  <si>
    <t>1654278427455651842</t>
  </si>
  <si>
    <t>1654238113068118019</t>
  </si>
  <si>
    <t>1654228027759374336</t>
  </si>
  <si>
    <t>1654197762584465425</t>
  </si>
  <si>
    <t>1654177576732983326</t>
  </si>
  <si>
    <t>1654167448562683904</t>
  </si>
  <si>
    <t>1654126694368964610</t>
  </si>
  <si>
    <t>1654115988789510149</t>
  </si>
  <si>
    <t>1654113469380141057</t>
  </si>
  <si>
    <t>1654108428531388418</t>
  </si>
  <si>
    <t>1654105910157926401</t>
  </si>
  <si>
    <t>1654096481681391616</t>
  </si>
  <si>
    <t>1654095842347712512</t>
  </si>
  <si>
    <t>1654093322988732416</t>
  </si>
  <si>
    <t>1654066231480131585</t>
  </si>
  <si>
    <t>1654046063496425473</t>
  </si>
  <si>
    <t>1654035989067620352</t>
  </si>
  <si>
    <t>1654025876420415489</t>
  </si>
  <si>
    <t>1653995625820610561</t>
  </si>
  <si>
    <t>1653965386826543104</t>
  </si>
  <si>
    <t>1653904765007405058</t>
  </si>
  <si>
    <t>1653894700535885825</t>
  </si>
  <si>
    <t>1653834177937022977</t>
  </si>
  <si>
    <t>1653793812206977027</t>
  </si>
  <si>
    <t>1653783737207775235</t>
  </si>
  <si>
    <t>1653773655321595907</t>
  </si>
  <si>
    <t>1653763632952492034</t>
  </si>
  <si>
    <t>1653753506036166663</t>
  </si>
  <si>
    <t>1653751413975990277</t>
  </si>
  <si>
    <t>1653746170114584578</t>
  </si>
  <si>
    <t>1653736074810650626</t>
  </si>
  <si>
    <t>1653731037887995910</t>
  </si>
  <si>
    <t>1653723278081400835</t>
  </si>
  <si>
    <t>1653713181221462018</t>
  </si>
  <si>
    <t>1707387819432227150</t>
  </si>
  <si>
    <t>1706298086534898049</t>
  </si>
  <si>
    <t>1686576140968722432</t>
  </si>
  <si>
    <t>1664734025355874305</t>
  </si>
  <si>
    <t>1664723871784640514</t>
  </si>
  <si>
    <t>1664703528361955328</t>
  </si>
  <si>
    <t>1664693447947702288</t>
  </si>
  <si>
    <t>1664683318355296258</t>
  </si>
  <si>
    <t>1664673220652302336</t>
  </si>
  <si>
    <t>1664632759636176902</t>
  </si>
  <si>
    <t>1664613882277797888</t>
  </si>
  <si>
    <t>1664602545589825537</t>
  </si>
  <si>
    <t>1664601269892161536</t>
  </si>
  <si>
    <t>1664598734116626432</t>
  </si>
  <si>
    <t>1664511191769554947</t>
  </si>
  <si>
    <t>1664501001355767809</t>
  </si>
  <si>
    <t>1664480676886851588</t>
  </si>
  <si>
    <t>1664460415563177984</t>
  </si>
  <si>
    <t>1664450265402036227</t>
  </si>
  <si>
    <t>1664429952018657281</t>
  </si>
  <si>
    <t>1664409650626805761</t>
  </si>
  <si>
    <t>1664379295039406083</t>
  </si>
  <si>
    <t>1664369154034393089</t>
  </si>
  <si>
    <t>1664338738879528960</t>
  </si>
  <si>
    <t>1658132244333051905</t>
  </si>
  <si>
    <t>1658116913615060993</t>
  </si>
  <si>
    <t>1658112089326592000</t>
  </si>
  <si>
    <t>1658109153745797123</t>
  </si>
  <si>
    <t>1658106627432611842</t>
  </si>
  <si>
    <t>1658091928318083073</t>
  </si>
  <si>
    <t>1658086046725226499</t>
  </si>
  <si>
    <t>1658081846519840768</t>
  </si>
  <si>
    <t>1657555343734452225</t>
  </si>
  <si>
    <t>1657515003061194753</t>
  </si>
  <si>
    <t>1657504875003953152</t>
  </si>
  <si>
    <t>1657494803876069377</t>
  </si>
  <si>
    <t>1657484725026422784</t>
  </si>
  <si>
    <t>1657414081500815362</t>
  </si>
  <si>
    <t>1657383757576302593</t>
  </si>
  <si>
    <t>1657373636502716416</t>
  </si>
  <si>
    <t>1657343368182022146</t>
  </si>
  <si>
    <t>1657333306843619330</t>
  </si>
  <si>
    <t>1657323233656307716</t>
  </si>
  <si>
    <t>1657292938013990912</t>
  </si>
  <si>
    <t>1657272777810771969</t>
  </si>
  <si>
    <t>1657252572636278790</t>
  </si>
  <si>
    <t>1657232275698769921</t>
  </si>
  <si>
    <t>1657222193556647937</t>
  </si>
  <si>
    <t>1657212094389911552</t>
  </si>
  <si>
    <t>1657201986083627009</t>
  </si>
  <si>
    <t>1657171662180057088</t>
  </si>
  <si>
    <t>1657161585847070720</t>
  </si>
  <si>
    <t>1657141411047780352</t>
  </si>
  <si>
    <t>1657121196398333956</t>
  </si>
  <si>
    <t>1657081671663902720</t>
  </si>
  <si>
    <t>1657020703315488768</t>
  </si>
  <si>
    <t>1657020074782334978</t>
  </si>
  <si>
    <t>1657018184904462338</t>
  </si>
  <si>
    <t>1657015662550609922</t>
  </si>
  <si>
    <t>1657013149369790465</t>
  </si>
  <si>
    <t>1657009990366789634</t>
  </si>
  <si>
    <t>1657003032125620230</t>
  </si>
  <si>
    <t>1656999867426697218</t>
  </si>
  <si>
    <t>1656989798710517766</t>
  </si>
  <si>
    <t>1656979721886789635</t>
  </si>
  <si>
    <t>1656959575101255691</t>
  </si>
  <si>
    <t>1656888608500899842</t>
  </si>
  <si>
    <t>1656858310266728448</t>
  </si>
  <si>
    <t>1656838033763704834</t>
  </si>
  <si>
    <t>1656827947246927877</t>
  </si>
  <si>
    <t>1702466263681802565</t>
  </si>
  <si>
    <t>1706658858662506736</t>
  </si>
  <si>
    <t>1707383062026232268</t>
  </si>
  <si>
    <t>1706622732723433656</t>
  </si>
  <si>
    <t>1665102134080151554</t>
  </si>
  <si>
    <t>1689395679532048384</t>
  </si>
  <si>
    <t>1701291244624732199</t>
  </si>
  <si>
    <t>1658794850534273026</t>
  </si>
  <si>
    <t>1658157373242978320</t>
  </si>
  <si>
    <t>1667875867681337345</t>
  </si>
  <si>
    <t>1658034623224377347</t>
  </si>
  <si>
    <t>1672346488586813441</t>
  </si>
  <si>
    <t>1691222208796884992</t>
  </si>
  <si>
    <t>1662632159943749632</t>
  </si>
  <si>
    <t>1668354914852954149</t>
  </si>
  <si>
    <t>1672952813599571973</t>
  </si>
  <si>
    <t>1665665009618149377</t>
  </si>
  <si>
    <t>1664780577143234561</t>
  </si>
  <si>
    <t>1670201908001210369</t>
  </si>
  <si>
    <t>1673828735118630912</t>
  </si>
  <si>
    <t>1673826180653371392</t>
  </si>
  <si>
    <t>1672214360809259008</t>
  </si>
  <si>
    <t>1664549778108055552</t>
  </si>
  <si>
    <t>1675473030519087106</t>
  </si>
  <si>
    <t>1674915996971286532</t>
  </si>
  <si>
    <t>1666569026695249920</t>
  </si>
  <si>
    <t>1668257807597027328</t>
  </si>
  <si>
    <t>1700314539869212865</t>
  </si>
  <si>
    <t>1658973881678405637</t>
  </si>
  <si>
    <t>1652743406701932553</t>
  </si>
  <si>
    <t>1658734510765137922</t>
  </si>
  <si>
    <t>1673112520872153090</t>
  </si>
  <si>
    <t>1681793508196118528</t>
  </si>
  <si>
    <t>1696662746668974102</t>
  </si>
  <si>
    <t>1668828008461811712</t>
  </si>
  <si>
    <t>1703585045976322305</t>
  </si>
  <si>
    <t>1688373433707466752</t>
  </si>
  <si>
    <t>1692595656660238610</t>
  </si>
  <si>
    <t>1705365966157398507</t>
  </si>
  <si>
    <t>1706427280275185782</t>
  </si>
  <si>
    <t>1706427325368185053</t>
  </si>
  <si>
    <t>1656072685942722561</t>
  </si>
  <si>
    <t>1656264182084390913</t>
  </si>
  <si>
    <t>1658073126054371329</t>
  </si>
  <si>
    <t>1678441451540340736</t>
  </si>
  <si>
    <t>1677339186620403713</t>
  </si>
  <si>
    <t>1688965800194121729</t>
  </si>
  <si>
    <t>1677082498147434496</t>
  </si>
  <si>
    <t>1677067398200037376</t>
  </si>
  <si>
    <t>1668694728324395008</t>
  </si>
  <si>
    <t>1688543013465907200</t>
  </si>
  <si>
    <t>1703786702299377896</t>
  </si>
  <si>
    <t>1679939352342720512</t>
  </si>
  <si>
    <t>1682140491326926853</t>
  </si>
  <si>
    <t>1693950595458011225</t>
  </si>
  <si>
    <t>1670892120146690051</t>
  </si>
  <si>
    <t>1656207444865843201</t>
  </si>
  <si>
    <t>1663349101512073217</t>
  </si>
  <si>
    <t>1692675033259209020</t>
  </si>
  <si>
    <t>1679475765153234944</t>
  </si>
  <si>
    <t>1665010452148162560</t>
  </si>
  <si>
    <t>1670059204143374340</t>
  </si>
  <si>
    <t>1669338003880423430</t>
  </si>
  <si>
    <t>1659272647493181440</t>
  </si>
  <si>
    <t>1663186993822441476</t>
  </si>
  <si>
    <t>1704319039365947461</t>
  </si>
  <si>
    <t>1707165747019997274</t>
  </si>
  <si>
    <t>1679475825291194371</t>
  </si>
  <si>
    <t>1660736506812678144</t>
  </si>
  <si>
    <t>1668717181717344256</t>
  </si>
  <si>
    <t>1674127353113608192</t>
  </si>
  <si>
    <t>1698021839673430426</t>
  </si>
  <si>
    <t>1664399151478751232</t>
  </si>
  <si>
    <t>1659201065668202498</t>
  </si>
  <si>
    <t>1703925945168458214</t>
  </si>
  <si>
    <t>1657603998088560640</t>
  </si>
  <si>
    <t>1657140315151581186</t>
  </si>
  <si>
    <t>1704197308756222193</t>
  </si>
  <si>
    <t>1706762746958848510</t>
  </si>
  <si>
    <t>1670794270352060421</t>
  </si>
  <si>
    <t>1676681877720055813</t>
  </si>
  <si>
    <t>1696892232463257727</t>
  </si>
  <si>
    <t>1655560325477937154</t>
  </si>
  <si>
    <t>1699094683883127088</t>
  </si>
  <si>
    <t>1706724340245708968</t>
  </si>
  <si>
    <t>1658427081389121539</t>
  </si>
  <si>
    <t>1653397913572081673</t>
  </si>
  <si>
    <t>1676921291461255168</t>
  </si>
  <si>
    <t>1691087520459530242</t>
  </si>
  <si>
    <t>1697227394522796489</t>
  </si>
  <si>
    <t>1657097770342178818</t>
  </si>
  <si>
    <t>1697597139625324981</t>
  </si>
  <si>
    <t>1702667209191858207</t>
  </si>
  <si>
    <t>1696510402849386976</t>
  </si>
  <si>
    <t>1706613016823841270</t>
  </si>
  <si>
    <t>1694345310762369509</t>
  </si>
  <si>
    <t>1681779514735509506</t>
  </si>
  <si>
    <t>1684201148318613507</t>
  </si>
  <si>
    <t>1684200667836035073</t>
  </si>
  <si>
    <t>1674404675209027586</t>
  </si>
  <si>
    <t>1674126455129755658</t>
  </si>
  <si>
    <t>1673756463217377280</t>
  </si>
  <si>
    <t>1673745308755410956</t>
  </si>
  <si>
    <t>1666110911940050947</t>
  </si>
  <si>
    <t>1666086364792905729</t>
  </si>
  <si>
    <t>1665834729340301315</t>
  </si>
  <si>
    <t>1665736443564621825</t>
  </si>
  <si>
    <t>1660723917965631498</t>
  </si>
  <si>
    <t>1660670827124211712</t>
  </si>
  <si>
    <t>1660627888557703168</t>
  </si>
  <si>
    <t>1679115860718354434</t>
  </si>
  <si>
    <t>1675916318569115652</t>
  </si>
  <si>
    <t>1675854199421009921</t>
  </si>
  <si>
    <t>1667284068436701184</t>
  </si>
  <si>
    <t>1667186186471784449</t>
  </si>
  <si>
    <t>1662070026763923457</t>
  </si>
  <si>
    <t>1661710187172974597</t>
  </si>
  <si>
    <t>1655670652227952654</t>
  </si>
  <si>
    <t>1655532981522448386</t>
  </si>
  <si>
    <t>1678782501505101825</t>
  </si>
  <si>
    <t>1678762395366313984</t>
  </si>
  <si>
    <t>1678401026443952131</t>
  </si>
  <si>
    <t>1669420580712468485</t>
  </si>
  <si>
    <t>1669340345945956353</t>
  </si>
  <si>
    <t>1669340075572994051</t>
  </si>
  <si>
    <t>1656725502982250497</t>
  </si>
  <si>
    <t>1656685372313849857</t>
  </si>
  <si>
    <t>1656309159321653249</t>
  </si>
  <si>
    <t>1655920186782785541</t>
  </si>
  <si>
    <t>1677312277488304129</t>
  </si>
  <si>
    <t>1676964538636451842</t>
  </si>
  <si>
    <t>1676699156717420544</t>
  </si>
  <si>
    <t>1676586801048219653</t>
  </si>
  <si>
    <t>1668707743295840256</t>
  </si>
  <si>
    <t>1668706601019031555</t>
  </si>
  <si>
    <t>1668706062042640386</t>
  </si>
  <si>
    <t>1668582979969470473</t>
  </si>
  <si>
    <t>1663977693245784064</t>
  </si>
  <si>
    <t>1663889245524701184</t>
  </si>
  <si>
    <t>1663531663182241792</t>
  </si>
  <si>
    <t>1663296870767030272</t>
  </si>
  <si>
    <t>1651913369501196289</t>
  </si>
  <si>
    <t>1683825921667497984</t>
  </si>
  <si>
    <t>1683493329181261826</t>
  </si>
  <si>
    <t>1683493177599180803</t>
  </si>
  <si>
    <t>1659222051679358978</t>
  </si>
  <si>
    <t>1658857813119049729</t>
  </si>
  <si>
    <t>1686019613836935170</t>
  </si>
  <si>
    <t>1686008170752151552</t>
  </si>
  <si>
    <t>1674762302107648001</t>
  </si>
  <si>
    <t>1674746333104689155</t>
  </si>
  <si>
    <t>1666459490416312333</t>
  </si>
  <si>
    <t>1666458991247912961</t>
  </si>
  <si>
    <t>1666428706464645120</t>
  </si>
  <si>
    <t>1654448787853647872</t>
  </si>
  <si>
    <t>1653840378984898561</t>
  </si>
  <si>
    <t>1653824914732752914</t>
  </si>
  <si>
    <t>1686100502646255616</t>
  </si>
  <si>
    <t>1679833806184886272</t>
  </si>
  <si>
    <t>1679820228216094722</t>
  </si>
  <si>
    <t>1676236633308274689</t>
  </si>
  <si>
    <t>1676214558258520074</t>
  </si>
  <si>
    <t>1668253755643445252</t>
  </si>
  <si>
    <t>1668253526324125696</t>
  </si>
  <si>
    <t>1664249043189465089</t>
  </si>
  <si>
    <t>1658491639315468293</t>
  </si>
  <si>
    <t>1653422691896942599</t>
  </si>
  <si>
    <t>1653388562048450562</t>
  </si>
  <si>
    <t>1686722702965415936</t>
  </si>
  <si>
    <t>1681654161085984768</t>
  </si>
  <si>
    <t>1680903980723974144</t>
  </si>
  <si>
    <t>1672223780360400902</t>
  </si>
  <si>
    <t>1671585098288750592</t>
  </si>
  <si>
    <t>1664630492417671181</t>
  </si>
  <si>
    <t>1664608820914421760</t>
  </si>
  <si>
    <t>1658139006712815618</t>
  </si>
  <si>
    <t>1657087145901711360</t>
  </si>
  <si>
    <t>1657045555179139076</t>
  </si>
  <si>
    <t>1666790604838141952</t>
  </si>
  <si>
    <t>1678597295938457600</t>
  </si>
  <si>
    <t>1653422803113193474</t>
  </si>
  <si>
    <t>1653042299461304321</t>
  </si>
  <si>
    <t>1653039866093944832</t>
  </si>
  <si>
    <t>1653037616789442561</t>
  </si>
  <si>
    <t>1653036571073949699</t>
  </si>
  <si>
    <t>1653028724600610817</t>
  </si>
  <si>
    <t>1651671118627979264</t>
  </si>
  <si>
    <t>1651666951008133121</t>
  </si>
  <si>
    <t>1651666688687972354</t>
  </si>
  <si>
    <t>1654574956427067395</t>
  </si>
  <si>
    <t>1654573735855157248</t>
  </si>
  <si>
    <t>1654572668622893057</t>
  </si>
  <si>
    <t>1658987001561972743</t>
  </si>
  <si>
    <t>1658976896414019584</t>
  </si>
  <si>
    <t>1658956773179510784</t>
  </si>
  <si>
    <t>1658956582615412737</t>
  </si>
  <si>
    <t>1656665320986386433</t>
  </si>
  <si>
    <t>1656014131181363207</t>
  </si>
  <si>
    <t>1656010576059944960</t>
  </si>
  <si>
    <t>1673685995416322048</t>
  </si>
  <si>
    <t>1691814242393956682</t>
  </si>
  <si>
    <t>1691214514207817728</t>
  </si>
  <si>
    <t>1691182065851527169</t>
  </si>
  <si>
    <t>1690823426972303360</t>
  </si>
  <si>
    <t>1690797416495112192</t>
  </si>
  <si>
    <t>1690737660854231040</t>
  </si>
  <si>
    <t>1689668222222491649</t>
  </si>
  <si>
    <t>1687559428931747840</t>
  </si>
  <si>
    <t>1686316119139741697</t>
  </si>
  <si>
    <t>1682123105055961094</t>
  </si>
  <si>
    <t>1682100965720174593</t>
  </si>
  <si>
    <t>1682061984508919812</t>
  </si>
  <si>
    <t>1679509927369359361</t>
  </si>
  <si>
    <t>1679224194620436482</t>
  </si>
  <si>
    <t>1679186650575028224</t>
  </si>
  <si>
    <t>1679157080299585536</t>
  </si>
  <si>
    <t>1675972964842438664</t>
  </si>
  <si>
    <t>1675961891145895937</t>
  </si>
  <si>
    <t>1675957895437901825</t>
  </si>
  <si>
    <t>1675920749477912576</t>
  </si>
  <si>
    <t>1675895591757307904</t>
  </si>
  <si>
    <t>1675828410214498306</t>
  </si>
  <si>
    <t>1675822143030849540</t>
  </si>
  <si>
    <t>1675605416607088640</t>
  </si>
  <si>
    <t>1671183502186774528</t>
  </si>
  <si>
    <t>1671117648787013632</t>
  </si>
  <si>
    <t>1671099790099136513</t>
  </si>
  <si>
    <t>1670938348175720453</t>
  </si>
  <si>
    <t>1670889889963864089</t>
  </si>
  <si>
    <t>1670851691749449729</t>
  </si>
  <si>
    <t>1670847710277124097</t>
  </si>
  <si>
    <t>1670821574566453248</t>
  </si>
  <si>
    <t>1667638051131076613</t>
  </si>
  <si>
    <t>1667300543000133635</t>
  </si>
  <si>
    <t>1667260435375050781</t>
  </si>
  <si>
    <t>1667257585722970113</t>
  </si>
  <si>
    <t>1667247505111764994</t>
  </si>
  <si>
    <t>1667199612648583169</t>
  </si>
  <si>
    <t>1667153116381212674</t>
  </si>
  <si>
    <t>1667131293723680771</t>
  </si>
  <si>
    <t>1662095516748984324</t>
  </si>
  <si>
    <t>1662066794905886724</t>
  </si>
  <si>
    <t>1662054819316506624</t>
  </si>
  <si>
    <t>1662050643236749312</t>
  </si>
  <si>
    <t>1662045880306761737</t>
  </si>
  <si>
    <t>1661862225127129089</t>
  </si>
  <si>
    <t>1661828922915299350</t>
  </si>
  <si>
    <t>1661801207692705792</t>
  </si>
  <si>
    <t>1661784668084088835</t>
  </si>
  <si>
    <t>1661776431502831616</t>
  </si>
  <si>
    <t>1661763477151653889</t>
  </si>
  <si>
    <t>1661741989250093056</t>
  </si>
  <si>
    <t>1661740353555415042</t>
  </si>
  <si>
    <t>1661690930330492928</t>
  </si>
  <si>
    <t>1661688199100473344</t>
  </si>
  <si>
    <t>1661468472772116485</t>
  </si>
  <si>
    <t>1655894751999057928</t>
  </si>
  <si>
    <t>1655889932903170048</t>
  </si>
  <si>
    <t>1655653446299574297</t>
  </si>
  <si>
    <t>1655649166360469537</t>
  </si>
  <si>
    <t>1655640998872055810</t>
  </si>
  <si>
    <t>1655605579895717890</t>
  </si>
  <si>
    <t>1655602061474516996</t>
  </si>
  <si>
    <t>1655575122688765958</t>
  </si>
  <si>
    <t>1655542828728975361</t>
  </si>
  <si>
    <t>1655531216534224897</t>
  </si>
  <si>
    <t>1655524034644172801</t>
  </si>
  <si>
    <t>1655302121334382598</t>
  </si>
  <si>
    <t>1655286901673283592</t>
  </si>
  <si>
    <t>1651582679446437889</t>
  </si>
  <si>
    <t>1651577591382302721</t>
  </si>
  <si>
    <t>1651575355914825729</t>
  </si>
  <si>
    <t>1651555904284774401</t>
  </si>
  <si>
    <t>1651530514317078529</t>
  </si>
  <si>
    <t>1697751797748674834</t>
  </si>
  <si>
    <t>1697707864989507916</t>
  </si>
  <si>
    <t>1697684063547527453</t>
  </si>
  <si>
    <t>1696979335389823396</t>
  </si>
  <si>
    <t>1694020095377330573</t>
  </si>
  <si>
    <t>1692949808858697956</t>
  </si>
  <si>
    <t>1692659876197974188</t>
  </si>
  <si>
    <t>1691102598533685250</t>
  </si>
  <si>
    <t>1689667818176823297</t>
  </si>
  <si>
    <t>1689664722507890688</t>
  </si>
  <si>
    <t>1689620054919225345</t>
  </si>
  <si>
    <t>1689596758664384512</t>
  </si>
  <si>
    <t>1689418569635811328</t>
  </si>
  <si>
    <t>1689412747384033280</t>
  </si>
  <si>
    <t>1689388585609302017</t>
  </si>
  <si>
    <t>1689370505172660224</t>
  </si>
  <si>
    <t>1686050891416129537</t>
  </si>
  <si>
    <t>1686038353697722368</t>
  </si>
  <si>
    <t>1685968088783605761</t>
  </si>
  <si>
    <t>1685689858071621632</t>
  </si>
  <si>
    <t>1678132202578624513</t>
  </si>
  <si>
    <t>1677737718334234625</t>
  </si>
  <si>
    <t>1677698110179491841</t>
  </si>
  <si>
    <t>1677413623809843200</t>
  </si>
  <si>
    <t>1677354194037092352</t>
  </si>
  <si>
    <t>1675592958471544832</t>
  </si>
  <si>
    <t>1675530059833024513</t>
  </si>
  <si>
    <t>1675527948026216448</t>
  </si>
  <si>
    <t>1674876291479207944</t>
  </si>
  <si>
    <t>1674861124334805007</t>
  </si>
  <si>
    <t>1674840458906812419</t>
  </si>
  <si>
    <t>1674839402323771407</t>
  </si>
  <si>
    <t>1674806888741912576</t>
  </si>
  <si>
    <t>1674744545852940291</t>
  </si>
  <si>
    <t>1674513116263071744</t>
  </si>
  <si>
    <t>1674508493603106852</t>
  </si>
  <si>
    <t>1674452039311536131</t>
  </si>
  <si>
    <t>1666785232173891586</t>
  </si>
  <si>
    <t>1666771672068661250</t>
  </si>
  <si>
    <t>1666583045497929729</t>
  </si>
  <si>
    <t>1666541733667020807</t>
  </si>
  <si>
    <t>1666520422022520857</t>
  </si>
  <si>
    <t>1666482974575976467</t>
  </si>
  <si>
    <t>1666427317332193281</t>
  </si>
  <si>
    <t>1666414909821730816</t>
  </si>
  <si>
    <t>1666397910727049217</t>
  </si>
  <si>
    <t>1661458468962697218</t>
  </si>
  <si>
    <t>1661434862119649301</t>
  </si>
  <si>
    <t>1661432389548093441</t>
  </si>
  <si>
    <t>1661417804837290006</t>
  </si>
  <si>
    <t>1661403008687656963</t>
  </si>
  <si>
    <t>1661399810316943362</t>
  </si>
  <si>
    <t>1661392259676291072</t>
  </si>
  <si>
    <t>1661329208444944384</t>
  </si>
  <si>
    <t>1661323171037958144</t>
  </si>
  <si>
    <t>1661129515169468417</t>
  </si>
  <si>
    <t>1661107552166223888</t>
  </si>
  <si>
    <t>1661100004134596610</t>
  </si>
  <si>
    <t>1661086283093950493</t>
  </si>
  <si>
    <t>1661073169640222722</t>
  </si>
  <si>
    <t>1661038251409305600</t>
  </si>
  <si>
    <t>1661035202565611520</t>
  </si>
  <si>
    <t>1661025738391433219</t>
  </si>
  <si>
    <t>1661022978535211011</t>
  </si>
  <si>
    <t>1661018779181281280</t>
  </si>
  <si>
    <t>1660999235389538304</t>
  </si>
  <si>
    <t>1660998487184424960</t>
  </si>
  <si>
    <t>1660972425570295809</t>
  </si>
  <si>
    <t>1660790680480886784</t>
  </si>
  <si>
    <t>1660742584338206749</t>
  </si>
  <si>
    <t>1654538041820577800</t>
  </si>
  <si>
    <t>1654530905719832582</t>
  </si>
  <si>
    <t>1654522184763572239</t>
  </si>
  <si>
    <t>1654515834159595523</t>
  </si>
  <si>
    <t>1654440456661393413</t>
  </si>
  <si>
    <t>1654214178108760068</t>
  </si>
  <si>
    <t>1654172355977936910</t>
  </si>
  <si>
    <t>1654162024253751306</t>
  </si>
  <si>
    <t>1654135040555581441</t>
  </si>
  <si>
    <t>1654129460395003905</t>
  </si>
  <si>
    <t>1654123579192274944</t>
  </si>
  <si>
    <t>1654072630842884099</t>
  </si>
  <si>
    <t>1653880701488443394</t>
  </si>
  <si>
    <t>1653856326831726592</t>
  </si>
  <si>
    <t>1653838890975764485</t>
  </si>
  <si>
    <t>1653831733731532837</t>
  </si>
  <si>
    <t>1653801833566011392</t>
  </si>
  <si>
    <t>1653773264802521094</t>
  </si>
  <si>
    <t>1653760227664175109</t>
  </si>
  <si>
    <t>1653758936116346883</t>
  </si>
  <si>
    <t>1653718545363005442</t>
  </si>
  <si>
    <t>1653716389494939648</t>
  </si>
  <si>
    <t>1701710955929895207</t>
  </si>
  <si>
    <t>1701267814219239848</t>
  </si>
  <si>
    <t>1701225272316486121</t>
  </si>
  <si>
    <t>1701216315023720548</t>
  </si>
  <si>
    <t>1699800326105358569</t>
  </si>
  <si>
    <t>1699786627508531276</t>
  </si>
  <si>
    <t>1699537433170231298</t>
  </si>
  <si>
    <t>1699517508275818842</t>
  </si>
  <si>
    <t>1699498064422088761</t>
  </si>
  <si>
    <t>1699455350963867891</t>
  </si>
  <si>
    <t>1699454307509158376</t>
  </si>
  <si>
    <t>1699438950786412898</t>
  </si>
  <si>
    <t>1699419249700229123</t>
  </si>
  <si>
    <t>1699012781419237844</t>
  </si>
  <si>
    <t>1698767078797246659</t>
  </si>
  <si>
    <t>1698717836279951522</t>
  </si>
  <si>
    <t>1698714255497875667</t>
  </si>
  <si>
    <t>1698697787704041515</t>
  </si>
  <si>
    <t>1698691210162962493</t>
  </si>
  <si>
    <t>1698685807228293553</t>
  </si>
  <si>
    <t>1695889163508126026</t>
  </si>
  <si>
    <t>1695872971347247188</t>
  </si>
  <si>
    <t>1695837836002337159</t>
  </si>
  <si>
    <t>1695826804940878224</t>
  </si>
  <si>
    <t>1695813715042468086</t>
  </si>
  <si>
    <t>1695184792487145828</t>
  </si>
  <si>
    <t>1695171078249673054</t>
  </si>
  <si>
    <t>1695100950967455913</t>
  </si>
  <si>
    <t>1695095851629051963</t>
  </si>
  <si>
    <t>1695064819240460567</t>
  </si>
  <si>
    <t>1692632218605117866</t>
  </si>
  <si>
    <t>1692569549239910511</t>
  </si>
  <si>
    <t>1692270735085957510</t>
  </si>
  <si>
    <t>1692233004624585209</t>
  </si>
  <si>
    <t>1692205686095044914</t>
  </si>
  <si>
    <t>1689314749077495823</t>
  </si>
  <si>
    <t>1689305628739559424</t>
  </si>
  <si>
    <t>1689256479843323904</t>
  </si>
  <si>
    <t>1689255187217530880</t>
  </si>
  <si>
    <t>1689243761509834752</t>
  </si>
  <si>
    <t>1689224161850195969</t>
  </si>
  <si>
    <t>1689008210139590656</t>
  </si>
  <si>
    <t>1688969133583437835</t>
  </si>
  <si>
    <t>1688941841578680320</t>
  </si>
  <si>
    <t>1688928288406921216</t>
  </si>
  <si>
    <t>1688645758461886467</t>
  </si>
  <si>
    <t>1688636727009628160</t>
  </si>
  <si>
    <t>1688580263817682944</t>
  </si>
  <si>
    <t>1688570710501838848</t>
  </si>
  <si>
    <t>1677050732233588737</t>
  </si>
  <si>
    <t>1677036538666835968</t>
  </si>
  <si>
    <t>1676983831042113537</t>
  </si>
  <si>
    <t>1676912915343876096</t>
  </si>
  <si>
    <t>1676687989714427907</t>
  </si>
  <si>
    <t>1676655149970759684</t>
  </si>
  <si>
    <t>1676647103429222409</t>
  </si>
  <si>
    <t>1676619057901060097</t>
  </si>
  <si>
    <t>1676557542523109377</t>
  </si>
  <si>
    <t>1676552529990098944</t>
  </si>
  <si>
    <t>1676335581238894592</t>
  </si>
  <si>
    <t>1676324613242986496</t>
  </si>
  <si>
    <t>1668752480321126400</t>
  </si>
  <si>
    <t>1668663831323717651</t>
  </si>
  <si>
    <t>1668645414885572611</t>
  </si>
  <si>
    <t>1668638828582641665</t>
  </si>
  <si>
    <t>1668633856629706759</t>
  </si>
  <si>
    <t>1668561456894230528</t>
  </si>
  <si>
    <t>1668353206991110144</t>
  </si>
  <si>
    <t>1668307079189213213</t>
  </si>
  <si>
    <t>1664004876886482950</t>
  </si>
  <si>
    <t>1663956436139769895</t>
  </si>
  <si>
    <t>1663952243027062784</t>
  </si>
  <si>
    <t>1663936845376286720</t>
  </si>
  <si>
    <t>1663902160214523905</t>
  </si>
  <si>
    <t>1663896318408892417</t>
  </si>
  <si>
    <t>1663884819984441345</t>
  </si>
  <si>
    <t>1663861732605829121</t>
  </si>
  <si>
    <t>1663860738429968384</t>
  </si>
  <si>
    <t>1663686737241993220</t>
  </si>
  <si>
    <t>1663641200883056643</t>
  </si>
  <si>
    <t>1663579655033479168</t>
  </si>
  <si>
    <t>1663561714023972865</t>
  </si>
  <si>
    <t>1663560112404045824</t>
  </si>
  <si>
    <t>1663554040469544960</t>
  </si>
  <si>
    <t>1663533666075652096</t>
  </si>
  <si>
    <t>1663522463190335489</t>
  </si>
  <si>
    <t>1663500917423865856</t>
  </si>
  <si>
    <t>1663499329284235267</t>
  </si>
  <si>
    <t>1663496223163142144</t>
  </si>
  <si>
    <t>1663322349846818816</t>
  </si>
  <si>
    <t>1663284378179448838</t>
  </si>
  <si>
    <t>1663279416137469956</t>
  </si>
  <si>
    <t>1663242867505070080</t>
  </si>
  <si>
    <t>1663227103154782217</t>
  </si>
  <si>
    <t>1663222787966746654</t>
  </si>
  <si>
    <t>1663193994564624384</t>
  </si>
  <si>
    <t>1663171393486192640</t>
  </si>
  <si>
    <t>1663170955168849920</t>
  </si>
  <si>
    <t>1663135336854171648</t>
  </si>
  <si>
    <t>1663132641900605440</t>
  </si>
  <si>
    <t>1653021911822090240</t>
  </si>
  <si>
    <t>1652689825701527553</t>
  </si>
  <si>
    <t>1652360373817823233</t>
  </si>
  <si>
    <t>1652344095438667778</t>
  </si>
  <si>
    <t>1652342539544821761</t>
  </si>
  <si>
    <t>1652282208227414016</t>
  </si>
  <si>
    <t>1652094113175445505</t>
  </si>
  <si>
    <t>1652046454876422145</t>
  </si>
  <si>
    <t>1652028874568376325</t>
  </si>
  <si>
    <t>1652006039745617921</t>
  </si>
  <si>
    <t>1651981420271738882</t>
  </si>
  <si>
    <t>1651957507282141187</t>
  </si>
  <si>
    <t>1651937428851007489</t>
  </si>
  <si>
    <t>1651915239506472960</t>
  </si>
  <si>
    <t>1651902070256029697</t>
  </si>
  <si>
    <t>1651893914624770049</t>
  </si>
  <si>
    <t>1651733578525417474</t>
  </si>
  <si>
    <t>1651711986663661574</t>
  </si>
  <si>
    <t>1651692866597421061</t>
  </si>
  <si>
    <t>1651689486781145088</t>
  </si>
  <si>
    <t>1651683059681357842</t>
  </si>
  <si>
    <t>1706388890284605595</t>
  </si>
  <si>
    <t>1706352463735853484</t>
  </si>
  <si>
    <t>1705214366381965324</t>
  </si>
  <si>
    <t>1704921136671154180</t>
  </si>
  <si>
    <t>1704574228681376132</t>
  </si>
  <si>
    <t>1704506383196963159</t>
  </si>
  <si>
    <t>1704443228697636991</t>
  </si>
  <si>
    <t>1703744826871513450</t>
  </si>
  <si>
    <t>1703491176215506968</t>
  </si>
  <si>
    <t>1703470415794884885</t>
  </si>
  <si>
    <t>1703450360327667841</t>
  </si>
  <si>
    <t>1703401052807090290</t>
  </si>
  <si>
    <t>1703142494769144125</t>
  </si>
  <si>
    <t>1703099609239724163</t>
  </si>
  <si>
    <t>1703079717383881049</t>
  </si>
  <si>
    <t>1703063053137289218</t>
  </si>
  <si>
    <t>1703050908383281296</t>
  </si>
  <si>
    <t>1697614320492744968</t>
  </si>
  <si>
    <t>1697605536324133178</t>
  </si>
  <si>
    <t>1694806837986570376</t>
  </si>
  <si>
    <t>1694739496418344981</t>
  </si>
  <si>
    <t>1694738775417442702</t>
  </si>
  <si>
    <t>1692147702765683081</t>
  </si>
  <si>
    <t>1691934048392761406</t>
  </si>
  <si>
    <t>1691910658827116701</t>
  </si>
  <si>
    <t>1691897531968418085</t>
  </si>
  <si>
    <t>1691892082766426615</t>
  </si>
  <si>
    <t>1691843220039234003</t>
  </si>
  <si>
    <t>1688546085357121536</t>
  </si>
  <si>
    <t>1688279060831498240</t>
  </si>
  <si>
    <t>1687903390586564608</t>
  </si>
  <si>
    <t>1685022598801805312</t>
  </si>
  <si>
    <t>1684952657734115328</t>
  </si>
  <si>
    <t>1684925029429997568</t>
  </si>
  <si>
    <t>1684595629752774656</t>
  </si>
  <si>
    <t>1684304012751806466</t>
  </si>
  <si>
    <t>1684234798963781632</t>
  </si>
  <si>
    <t>1684215734526697472</t>
  </si>
  <si>
    <t>1683936417792024576</t>
  </si>
  <si>
    <t>1683900470585065472</t>
  </si>
  <si>
    <t>1674379932443475968</t>
  </si>
  <si>
    <t>1674372426145177600</t>
  </si>
  <si>
    <t>1674147450666270725</t>
  </si>
  <si>
    <t>1674109418357796865</t>
  </si>
  <si>
    <t>1674097428117454852</t>
  </si>
  <si>
    <t>1674088405515358211</t>
  </si>
  <si>
    <t>1674021362208329734</t>
  </si>
  <si>
    <t>1673813238457180160</t>
  </si>
  <si>
    <t>1673788569586991105</t>
  </si>
  <si>
    <t>1673756363313258498</t>
  </si>
  <si>
    <t>1673734184064413697</t>
  </si>
  <si>
    <t>1673725836849979392</t>
  </si>
  <si>
    <t>1666190298718896129</t>
  </si>
  <si>
    <t>1666179203362955265</t>
  </si>
  <si>
    <t>1666169603343491073</t>
  </si>
  <si>
    <t>1666114522015309824</t>
  </si>
  <si>
    <t>1666090886277771265</t>
  </si>
  <si>
    <t>1666065679693369349</t>
  </si>
  <si>
    <t>1666052435159154691</t>
  </si>
  <si>
    <t>1666045707709472768</t>
  </si>
  <si>
    <t>1665815319925882885</t>
  </si>
  <si>
    <t>1665767583998517250</t>
  </si>
  <si>
    <t>1665761794424438788</t>
  </si>
  <si>
    <t>1665753546896048133</t>
  </si>
  <si>
    <t>1665741771664502785</t>
  </si>
  <si>
    <t>1660712440206598151</t>
  </si>
  <si>
    <t>1660708535368294412</t>
  </si>
  <si>
    <t>1660700345368993792</t>
  </si>
  <si>
    <t>1660686171456827392</t>
  </si>
  <si>
    <t>1660628210566955010</t>
  </si>
  <si>
    <t>1660625396755230724</t>
  </si>
  <si>
    <t>1660601733301649410</t>
  </si>
  <si>
    <t>1660600176250355713</t>
  </si>
  <si>
    <t>1660375504447324160</t>
  </si>
  <si>
    <t>1659939285066301441</t>
  </si>
  <si>
    <t>1659566360832233478</t>
  </si>
  <si>
    <t>1659552248710537216</t>
  </si>
  <si>
    <t>1659517605680431104</t>
  </si>
  <si>
    <t>1659275898258878498</t>
  </si>
  <si>
    <t>1659264029435600919</t>
  </si>
  <si>
    <t>1707150210344919126</t>
  </si>
  <si>
    <t>1706346058136121471</t>
  </si>
  <si>
    <t>1706309866686398815</t>
  </si>
  <si>
    <t>1706307119803158784</t>
  </si>
  <si>
    <t>1706304930242249008</t>
  </si>
  <si>
    <t>1705339943101346223</t>
  </si>
  <si>
    <t>1705338856537522599</t>
  </si>
  <si>
    <t>1704114250808000898</t>
  </si>
  <si>
    <t>1704081726064988336</t>
  </si>
  <si>
    <t>1698661976740680132</t>
  </si>
  <si>
    <t>1697361141356253207</t>
  </si>
  <si>
    <t>1697343985818251687</t>
  </si>
  <si>
    <t>1697283453308248303</t>
  </si>
  <si>
    <t>1697276376431165656</t>
  </si>
  <si>
    <t>1694444661312475321</t>
  </si>
  <si>
    <t>1694378963773133258</t>
  </si>
  <si>
    <t>1694119515733332152</t>
  </si>
  <si>
    <t>1694081531050963046</t>
  </si>
  <si>
    <t>1691577693702176891</t>
  </si>
  <si>
    <t>1691557376464183684</t>
  </si>
  <si>
    <t>1691545515370926080</t>
  </si>
  <si>
    <t>1691531408831913985</t>
  </si>
  <si>
    <t>1687447618664710144</t>
  </si>
  <si>
    <t>1687223898499092480</t>
  </si>
  <si>
    <t>1687197783478943744</t>
  </si>
  <si>
    <t>1687144235391205376</t>
  </si>
  <si>
    <t>1687133094682279936</t>
  </si>
  <si>
    <t>1687131633973915648</t>
  </si>
  <si>
    <t>1683868753430208517</t>
  </si>
  <si>
    <t>1683574070242168833</t>
  </si>
  <si>
    <t>1683488636896002049</t>
  </si>
  <si>
    <t>1682823547520008192</t>
  </si>
  <si>
    <t>1682809903553949696</t>
  </si>
  <si>
    <t>1682485356682174468</t>
  </si>
  <si>
    <t>1682419761584517122</t>
  </si>
  <si>
    <t>1682370641612210179</t>
  </si>
  <si>
    <t>1682360902752825347</t>
  </si>
  <si>
    <t>1673453799396999168</t>
  </si>
  <si>
    <t>1673452448172634112</t>
  </si>
  <si>
    <t>1673426217523986432</t>
  </si>
  <si>
    <t>1673394942406696969</t>
  </si>
  <si>
    <t>1673382905878290434</t>
  </si>
  <si>
    <t>1673363401739759616</t>
  </si>
  <si>
    <t>1673363096310628352</t>
  </si>
  <si>
    <t>1673345497560502276</t>
  </si>
  <si>
    <t>1673336204496961536</t>
  </si>
  <si>
    <t>1673306838115164161</t>
  </si>
  <si>
    <t>1673291491618312192</t>
  </si>
  <si>
    <t>1673040995410116608</t>
  </si>
  <si>
    <t>1672620784731189251</t>
  </si>
  <si>
    <t>1672341155114098691</t>
  </si>
  <si>
    <t>1672297162388979712</t>
  </si>
  <si>
    <t>1672278523745120265</t>
  </si>
  <si>
    <t>1665708341979406336</t>
  </si>
  <si>
    <t>1665676087769137152</t>
  </si>
  <si>
    <t>1665668334472376321</t>
  </si>
  <si>
    <t>1665448624765935616</t>
  </si>
  <si>
    <t>1665433424734167040</t>
  </si>
  <si>
    <t>1659254032374931469</t>
  </si>
  <si>
    <t>1659251361202962442</t>
  </si>
  <si>
    <t>1659230959244279813</t>
  </si>
  <si>
    <t>1659196518350614530</t>
  </si>
  <si>
    <t>1659153568929128448</t>
  </si>
  <si>
    <t>1659151625133477890</t>
  </si>
  <si>
    <t>1659148783698030592</t>
  </si>
  <si>
    <t>1658909483978956829</t>
  </si>
  <si>
    <t>1658884006748864512</t>
  </si>
  <si>
    <t>1658879856967286792</t>
  </si>
  <si>
    <t>1658867969466724353</t>
  </si>
  <si>
    <t>1658845987165675525</t>
  </si>
  <si>
    <t>1658822999787569153</t>
  </si>
  <si>
    <t>1707377336818024952</t>
  </si>
  <si>
    <t>1707124981522419820</t>
  </si>
  <si>
    <t>1706809549196308495</t>
  </si>
  <si>
    <t>1706300764950270302</t>
  </si>
  <si>
    <t>1706299984516108379</t>
  </si>
  <si>
    <t>1706299264115126374</t>
  </si>
  <si>
    <t>1705657494909989289</t>
  </si>
  <si>
    <t>1705613523756216631</t>
  </si>
  <si>
    <t>1705612562895716396</t>
  </si>
  <si>
    <t>1705582831957586318</t>
  </si>
  <si>
    <t>1705582263327494252</t>
  </si>
  <si>
    <t>1704997878932947327</t>
  </si>
  <si>
    <t>1704997504822006177</t>
  </si>
  <si>
    <t>1704642366856999094</t>
  </si>
  <si>
    <t>1704639046570381548</t>
  </si>
  <si>
    <t>1704616442887344610</t>
  </si>
  <si>
    <t>1703851845972631728</t>
  </si>
  <si>
    <t>1703837373857923527</t>
  </si>
  <si>
    <t>1703784683622768830</t>
  </si>
  <si>
    <t>1703782707312914701</t>
  </si>
  <si>
    <t>1703773737202430187</t>
  </si>
  <si>
    <t>1703773594830909551</t>
  </si>
  <si>
    <t>1703751515859492910</t>
  </si>
  <si>
    <t>1698039358551404747</t>
  </si>
  <si>
    <t>1698033229415006629</t>
  </si>
  <si>
    <t>1697979528285475168</t>
  </si>
  <si>
    <t>1697242411599122537</t>
  </si>
  <si>
    <t>1693729364855108035</t>
  </si>
  <si>
    <t>1693719150584078469</t>
  </si>
  <si>
    <t>1693652222846926889</t>
  </si>
  <si>
    <t>1691479671282577408</t>
  </si>
  <si>
    <t>1686867249242492928</t>
  </si>
  <si>
    <t>1686833261232689152</t>
  </si>
  <si>
    <t>1686767125430456320</t>
  </si>
  <si>
    <t>1686565805519953922</t>
  </si>
  <si>
    <t>1686470977427759106</t>
  </si>
  <si>
    <t>1686463989008449536</t>
  </si>
  <si>
    <t>1681761248873009160</t>
  </si>
  <si>
    <t>1681692991520645120</t>
  </si>
  <si>
    <t>1681690049568555010</t>
  </si>
  <si>
    <t>1681634387807330304</t>
  </si>
  <si>
    <t>1681439772936482817</t>
  </si>
  <si>
    <t>1681430244652384256</t>
  </si>
  <si>
    <t>1681396663338905600</t>
  </si>
  <si>
    <t>1681329712424005632</t>
  </si>
  <si>
    <t>1681069804499750912</t>
  </si>
  <si>
    <t>1681040753420648451</t>
  </si>
  <si>
    <t>1680980836273778696</t>
  </si>
  <si>
    <t>1680970901330771968</t>
  </si>
  <si>
    <t>1680966702723366913</t>
  </si>
  <si>
    <t>1680668907193917440</t>
  </si>
  <si>
    <t>1672219674564612096</t>
  </si>
  <si>
    <t>1671986176700428289</t>
  </si>
  <si>
    <t>1671982212575535120</t>
  </si>
  <si>
    <t>1671977304614903834</t>
  </si>
  <si>
    <t>1671928228485775385</t>
  </si>
  <si>
    <t>1671917685796478977</t>
  </si>
  <si>
    <t>1671897309347454979</t>
  </si>
  <si>
    <t>1671844309400682496</t>
  </si>
  <si>
    <t>1671635467731718146</t>
  </si>
  <si>
    <t>1671614930842271744</t>
  </si>
  <si>
    <t>1671549272779628546</t>
  </si>
  <si>
    <t>1671546003034341379</t>
  </si>
  <si>
    <t>1671478096669687812</t>
  </si>
  <si>
    <t>1671251793311940609</t>
  </si>
  <si>
    <t>1671195537670909961</t>
  </si>
  <si>
    <t>1664729323729739776</t>
  </si>
  <si>
    <t>1664679721588621343</t>
  </si>
  <si>
    <t>1664670917073436673</t>
  </si>
  <si>
    <t>1664649762350530561</t>
  </si>
  <si>
    <t>1664640871457861632</t>
  </si>
  <si>
    <t>1664636094040645633</t>
  </si>
  <si>
    <t>1664621528518885376</t>
  </si>
  <si>
    <t>1664621303196790786</t>
  </si>
  <si>
    <t>1664617467128299525</t>
  </si>
  <si>
    <t>1664603412770570242</t>
  </si>
  <si>
    <t>1664590137768964099</t>
  </si>
  <si>
    <t>1664588043649441794</t>
  </si>
  <si>
    <t>1664368816967634946</t>
  </si>
  <si>
    <t>1664366760613625857</t>
  </si>
  <si>
    <t>1658129820314730498</t>
  </si>
  <si>
    <t>1658099363657273345</t>
  </si>
  <si>
    <t>1658081800378302465</t>
  </si>
  <si>
    <t>1658064245651648516</t>
  </si>
  <si>
    <t>1658061170962464769</t>
  </si>
  <si>
    <t>1658061169393901569</t>
  </si>
  <si>
    <t>1657838822325993472</t>
  </si>
  <si>
    <t>1657824092383326208</t>
  </si>
  <si>
    <t>1657823470061846533</t>
  </si>
  <si>
    <t>1657793589127139336</t>
  </si>
  <si>
    <t>1657452938183204864</t>
  </si>
  <si>
    <t>1657120522537259049</t>
  </si>
  <si>
    <t>1657112101196820482</t>
  </si>
  <si>
    <t>1657067515414040576</t>
  </si>
  <si>
    <t>1657059200424345608</t>
  </si>
  <si>
    <t>1657052610606649345</t>
  </si>
  <si>
    <t>1657045864731246593</t>
  </si>
  <si>
    <t>1657031447562055680</t>
  </si>
  <si>
    <t>1657011955054309376</t>
  </si>
  <si>
    <t>1656979379178688514</t>
  </si>
  <si>
    <t>1656973464580792322</t>
  </si>
  <si>
    <t>1707029123950854508</t>
  </si>
  <si>
    <t>1706734860092502341</t>
  </si>
  <si>
    <t>1706651862185680919</t>
  </si>
  <si>
    <t>1706643571573477679</t>
  </si>
  <si>
    <t>1706440706665964027</t>
  </si>
  <si>
    <t>1706288712810704972</t>
  </si>
  <si>
    <t>1706282573612171271</t>
  </si>
  <si>
    <t>1704838797739823372</t>
  </si>
  <si>
    <t>1704838613899313642</t>
  </si>
  <si>
    <t>1704837938176037046</t>
  </si>
  <si>
    <t>1704815868171919548</t>
  </si>
  <si>
    <t>1704269049914405233</t>
  </si>
  <si>
    <t>1704257271109214467</t>
  </si>
  <si>
    <t>1704198459199254832</t>
  </si>
  <si>
    <t>1702827333650919918</t>
  </si>
  <si>
    <t>1702787524651856204</t>
  </si>
  <si>
    <t>1702780099513245837</t>
  </si>
  <si>
    <t>1702762159283822970</t>
  </si>
  <si>
    <t>1701992556051980496</t>
  </si>
  <si>
    <t>1701691440185720925</t>
  </si>
  <si>
    <t>1701589294308032909</t>
  </si>
  <si>
    <t>1701569865314709789</t>
  </si>
  <si>
    <t>1701551601276633471</t>
  </si>
  <si>
    <t>1701330178209661091</t>
  </si>
  <si>
    <t>1701309506058059972</t>
  </si>
  <si>
    <t>1700600242587021429</t>
  </si>
  <si>
    <t>1700198201360359629</t>
  </si>
  <si>
    <t>1700177567381115180</t>
  </si>
  <si>
    <t>1699387342174253407</t>
  </si>
  <si>
    <t>1699201205317075117</t>
  </si>
  <si>
    <t>1699185901308346633</t>
  </si>
  <si>
    <t>1699155848373702922</t>
  </si>
  <si>
    <t>1699135174808616999</t>
  </si>
  <si>
    <t>1699077377689542990</t>
  </si>
  <si>
    <t>1699021552119943618</t>
  </si>
  <si>
    <t>1696914948012572817</t>
  </si>
  <si>
    <t>1696866924452331776</t>
  </si>
  <si>
    <t>1696620031130361906</t>
  </si>
  <si>
    <t>1696554327236579624</t>
  </si>
  <si>
    <t>1696286033363525723</t>
  </si>
  <si>
    <t>1696256208577888612</t>
  </si>
  <si>
    <t>1696189354916340029</t>
  </si>
  <si>
    <t>1696125619879207300</t>
  </si>
  <si>
    <t>1690447955193421824</t>
  </si>
  <si>
    <t>1690355238425788416</t>
  </si>
  <si>
    <t>1690083124028280832</t>
  </si>
  <si>
    <t>1690028340453801985</t>
  </si>
  <si>
    <t>1690026959101681665</t>
  </si>
  <si>
    <t>1689955097659285505</t>
  </si>
  <si>
    <t>1689733947515645952</t>
  </si>
  <si>
    <t>1679081939976822785</t>
  </si>
  <si>
    <t>1678904003629817857</t>
  </si>
  <si>
    <t>1678860612514742273</t>
  </si>
  <si>
    <t>1678793905729421317</t>
  </si>
  <si>
    <t>1678759664542949376</t>
  </si>
  <si>
    <t>1678535535558574083</t>
  </si>
  <si>
    <t>1678498345134829571</t>
  </si>
  <si>
    <t>1678440169291014151</t>
  </si>
  <si>
    <t>1670491775042043904</t>
  </si>
  <si>
    <t>1670421146330624001</t>
  </si>
  <si>
    <t>1669812722345582592</t>
  </si>
  <si>
    <t>1669803050666434560</t>
  </si>
  <si>
    <t>1669749617955680276</t>
  </si>
  <si>
    <t>1669743646155915265</t>
  </si>
  <si>
    <t>1669712405033545729</t>
  </si>
  <si>
    <t>1669686305947635720</t>
  </si>
  <si>
    <t>1669664186664644608</t>
  </si>
  <si>
    <t>1669664011833561090</t>
  </si>
  <si>
    <t>1669660247869255681</t>
  </si>
  <si>
    <t>1669652036902703106</t>
  </si>
  <si>
    <t>1669440302287933474</t>
  </si>
  <si>
    <t>1669394870861955072</t>
  </si>
  <si>
    <t>1669381576130428948</t>
  </si>
  <si>
    <t>1669365781820235777</t>
  </si>
  <si>
    <t>1669341839793455104</t>
  </si>
  <si>
    <t>1669298664894865410</t>
  </si>
  <si>
    <t>1669286236597485570</t>
  </si>
  <si>
    <t>1669077530127597569</t>
  </si>
  <si>
    <t>1669060134675402752</t>
  </si>
  <si>
    <t>1669051320123154450</t>
  </si>
  <si>
    <t>1669028245214306320</t>
  </si>
  <si>
    <t>1669019284146724875</t>
  </si>
  <si>
    <t>1669012147274219522</t>
  </si>
  <si>
    <t>1668969115514437634</t>
  </si>
  <si>
    <t>1668939709018435585</t>
  </si>
  <si>
    <t>1668932577548222465</t>
  </si>
  <si>
    <t>1668926143129346049</t>
  </si>
  <si>
    <t>1656762181805916163</t>
  </si>
  <si>
    <t>1656741715120726020</t>
  </si>
  <si>
    <t>1656736333857947673</t>
  </si>
  <si>
    <t>1656676736665534467</t>
  </si>
  <si>
    <t>1656676099869528066</t>
  </si>
  <si>
    <t>1656673578203648004</t>
  </si>
  <si>
    <t>1656664989208559616</t>
  </si>
  <si>
    <t>1656628836941934592</t>
  </si>
  <si>
    <t>1656379006764064770</t>
  </si>
  <si>
    <t>1656355878373670912</t>
  </si>
  <si>
    <t>1656350603407130638</t>
  </si>
  <si>
    <t>1656322490182823937</t>
  </si>
  <si>
    <t>1656267512642777089</t>
  </si>
  <si>
    <t>1656033535394807809</t>
  </si>
  <si>
    <t>1656018311296032768</t>
  </si>
  <si>
    <t>1656015664472104968</t>
  </si>
  <si>
    <t>1655981095148453912</t>
  </si>
  <si>
    <t>1655969267781599232</t>
  </si>
  <si>
    <t>1655950260081143813</t>
  </si>
  <si>
    <t>1655915561778331648</t>
  </si>
  <si>
    <t>1655896433306869761</t>
  </si>
  <si>
    <t>1707392611726630990</t>
  </si>
  <si>
    <t>1687838522747609088</t>
  </si>
  <si>
    <t>1687489783918981120</t>
  </si>
  <si>
    <t>1686458122951344134</t>
  </si>
  <si>
    <t>1686401765648814080</t>
  </si>
  <si>
    <t>1686126522908737536</t>
  </si>
  <si>
    <t>1686108916231356416</t>
  </si>
  <si>
    <t>1685681864026079232</t>
  </si>
  <si>
    <t>1685355150515343360</t>
  </si>
  <si>
    <t>1679948828966031361</t>
  </si>
  <si>
    <t>1679624610008948736</t>
  </si>
  <si>
    <t>1679586256953434115</t>
  </si>
  <si>
    <t>1679521636217679879</t>
  </si>
  <si>
    <t>1679519218692239360</t>
  </si>
  <si>
    <t>1676259476582572032</t>
  </si>
  <si>
    <t>1676258595992748039</t>
  </si>
  <si>
    <t>1676201653953871873</t>
  </si>
  <si>
    <t>1670795390893928454</t>
  </si>
  <si>
    <t>1670751071776436224</t>
  </si>
  <si>
    <t>1670735882859474948</t>
  </si>
  <si>
    <t>1668292347531018240</t>
  </si>
  <si>
    <t>1668288097228922883</t>
  </si>
  <si>
    <t>1668269808566038529</t>
  </si>
  <si>
    <t>1668216676834242561</t>
  </si>
  <si>
    <t>1668210216494612481</t>
  </si>
  <si>
    <t>1668198057198997504</t>
  </si>
  <si>
    <t>1667970182365474817</t>
  </si>
  <si>
    <t>1664306226518212609</t>
  </si>
  <si>
    <t>1664282223334543361</t>
  </si>
  <si>
    <t>1664279741011226628</t>
  </si>
  <si>
    <t>1664258378892210176</t>
  </si>
  <si>
    <t>1664246069079728128</t>
  </si>
  <si>
    <t>1664228901546065921</t>
  </si>
  <si>
    <t>1664225113770737664</t>
  </si>
  <si>
    <t>1662851514375757825</t>
  </si>
  <si>
    <t>1662549516141187072</t>
  </si>
  <si>
    <t>1662192465003139078</t>
  </si>
  <si>
    <t>1662178082482995232</t>
  </si>
  <si>
    <t>1662157216215101442</t>
  </si>
  <si>
    <t>1662140148908277777</t>
  </si>
  <si>
    <t>1658547628794077197</t>
  </si>
  <si>
    <t>1658526906453458951</t>
  </si>
  <si>
    <t>1658510429746855938</t>
  </si>
  <si>
    <t>1658504660884287490</t>
  </si>
  <si>
    <t>1658486843523084291</t>
  </si>
  <si>
    <t>1658475358893789184</t>
  </si>
  <si>
    <t>1658470540774985728</t>
  </si>
  <si>
    <t>1658251205020205058</t>
  </si>
  <si>
    <t>1658226502775832578</t>
  </si>
  <si>
    <t>1658226502226288641</t>
  </si>
  <si>
    <t>1658178976123084813</t>
  </si>
  <si>
    <t>1658157951939489803</t>
  </si>
  <si>
    <t>1658143621806211074</t>
  </si>
  <si>
    <t>1653705568144486401</t>
  </si>
  <si>
    <t>1653491989403377665</t>
  </si>
  <si>
    <t>1653488257827590151</t>
  </si>
  <si>
    <t>1653449353640411150</t>
  </si>
  <si>
    <t>1653419298566668288</t>
  </si>
  <si>
    <t>1653404787755438082</t>
  </si>
  <si>
    <t>1653387927034929153</t>
  </si>
  <si>
    <t>1653346770414456839</t>
  </si>
  <si>
    <t>1653107939995967507</t>
  </si>
  <si>
    <t>1705613113083445689</t>
  </si>
  <si>
    <t>1654195453074853912</t>
  </si>
  <si>
    <t>1656376889555009540</t>
  </si>
  <si>
    <t>1676321278070861825</t>
  </si>
  <si>
    <t>1676321274442788867</t>
  </si>
  <si>
    <t>1658950383492898822</t>
  </si>
  <si>
    <t>1672767790363693056</t>
  </si>
  <si>
    <t>1699897826698785117</t>
  </si>
  <si>
    <t>1666554672700686337</t>
  </si>
  <si>
    <t>1693388607594078416</t>
  </si>
  <si>
    <t>1672379656970948609</t>
  </si>
  <si>
    <t>1670707177453912065</t>
  </si>
  <si>
    <t>1668284275177693185</t>
  </si>
  <si>
    <t>1653518664233107457</t>
  </si>
  <si>
    <t>1678682280363999232</t>
  </si>
  <si>
    <t>1678503127866130433</t>
  </si>
  <si>
    <t>1670230821041582080</t>
  </si>
  <si>
    <t>1669102960666726407</t>
  </si>
  <si>
    <t>1656415544629768192</t>
  </si>
  <si>
    <t>1656048736743636992</t>
  </si>
  <si>
    <t>1684114947473567744</t>
  </si>
  <si>
    <t>1674333623200145409</t>
  </si>
  <si>
    <t>1674190427669364736</t>
  </si>
  <si>
    <t>1673793479053303808</t>
  </si>
  <si>
    <t>1673715557932081160</t>
  </si>
  <si>
    <t>1666184406225018883</t>
  </si>
  <si>
    <t>1666125074846318593</t>
  </si>
  <si>
    <t>1665734867504574468</t>
  </si>
  <si>
    <t>1660563780332298244</t>
  </si>
  <si>
    <t>1690901366913335296</t>
  </si>
  <si>
    <t>1675215647490359296</t>
  </si>
  <si>
    <t>1666465925590130688</t>
  </si>
  <si>
    <t>1655208793041403904</t>
  </si>
  <si>
    <t>1653891533320474625</t>
  </si>
  <si>
    <t>1693219146773725598</t>
  </si>
  <si>
    <t>1676156337179316224</t>
  </si>
  <si>
    <t>1661783775087321089</t>
  </si>
  <si>
    <t>1655584866539302917</t>
  </si>
  <si>
    <t>1697167526294118681</t>
  </si>
  <si>
    <t>1686868695954378752</t>
  </si>
  <si>
    <t>1681765329628790787</t>
  </si>
  <si>
    <t>1681616141972537346</t>
  </si>
  <si>
    <t>1671257758069567489</t>
  </si>
  <si>
    <t>1664650445686546435</t>
  </si>
  <si>
    <t>1698632635046641861</t>
  </si>
  <si>
    <t>1694264744893456871</t>
  </si>
  <si>
    <t>1673346430403051520</t>
  </si>
  <si>
    <t>1672970753765933058</t>
  </si>
  <si>
    <t>1672664257706573826</t>
  </si>
  <si>
    <t>1665659224624381952</t>
  </si>
  <si>
    <t>1665377896758755332</t>
  </si>
  <si>
    <t>1659141567699886081</t>
  </si>
  <si>
    <t>1658954934228860928</t>
  </si>
  <si>
    <t>1658590411902926848</t>
  </si>
  <si>
    <t>1700853510030418258</t>
  </si>
  <si>
    <t>1668548839161069568</t>
  </si>
  <si>
    <t>1664008866982494209</t>
  </si>
  <si>
    <t>1663822628509843460</t>
  </si>
  <si>
    <t>1663669773056503808</t>
  </si>
  <si>
    <t>1663283465125519360</t>
  </si>
  <si>
    <t>1652395881331662850</t>
  </si>
  <si>
    <t>1651610631898902530</t>
  </si>
  <si>
    <t>1662802468873404419</t>
  </si>
  <si>
    <t>1663977337652690962</t>
  </si>
  <si>
    <t>1663555709072723968</t>
  </si>
  <si>
    <t>1655728252818685956</t>
  </si>
  <si>
    <t>1699860729229373688</t>
  </si>
  <si>
    <t>1704106339465912560</t>
  </si>
  <si>
    <t>1704475278402318730</t>
  </si>
  <si>
    <t>1707200349298458666</t>
  </si>
  <si>
    <t>1671206558766895106</t>
  </si>
  <si>
    <t>1668392948017385477</t>
  </si>
  <si>
    <t>1664642412969377800</t>
  </si>
  <si>
    <t>1698092705195155661</t>
  </si>
  <si>
    <t>1694443122195853562</t>
  </si>
  <si>
    <t>1684669443337527296</t>
  </si>
  <si>
    <t>1686774532982411264</t>
  </si>
  <si>
    <t>1694059662511947908</t>
  </si>
  <si>
    <t>1694449168012484693</t>
  </si>
  <si>
    <t>1694409308283244790</t>
  </si>
  <si>
    <t>1694409311101841652</t>
  </si>
  <si>
    <t>1651731072164438017</t>
  </si>
  <si>
    <t>1665930246644744193</t>
  </si>
  <si>
    <t>1698378700654334406</t>
  </si>
  <si>
    <t>1662057262318252037</t>
  </si>
  <si>
    <t>1661929738988814336</t>
  </si>
  <si>
    <t>1657766290042372096</t>
  </si>
  <si>
    <t>1671192063382093825</t>
  </si>
  <si>
    <t>1655538296095645696</t>
  </si>
  <si>
    <t>1660583503254245376</t>
  </si>
  <si>
    <t>1660581835468832768</t>
  </si>
  <si>
    <t>1653584068036919297</t>
  </si>
  <si>
    <t>1653423567420153858</t>
  </si>
  <si>
    <t>1703771644731236388</t>
  </si>
  <si>
    <t>1678565890181218304</t>
  </si>
  <si>
    <t>1689402062302232576</t>
  </si>
  <si>
    <t>1673706423488741378</t>
  </si>
  <si>
    <t>1678763025975898115</t>
  </si>
  <si>
    <t>1679204908946341889</t>
  </si>
  <si>
    <t>1681340884074348547</t>
  </si>
  <si>
    <t>1671574468815118336</t>
  </si>
  <si>
    <t>1691532876267900929</t>
  </si>
  <si>
    <t>1691548369351512065</t>
  </si>
  <si>
    <t>1651946533628067840</t>
  </si>
  <si>
    <t>1668742674235400194</t>
  </si>
  <si>
    <t>1659200019688472578</t>
  </si>
  <si>
    <t>1668333912999985152</t>
  </si>
  <si>
    <t>1662067692281405440</t>
  </si>
  <si>
    <t>1662064076912992256</t>
  </si>
  <si>
    <t>1666562076301557761</t>
  </si>
  <si>
    <t>1671292714191581184</t>
  </si>
  <si>
    <t>1651680106140581888</t>
  </si>
  <si>
    <t>1651738971242655744</t>
  </si>
  <si>
    <t>1653516883512147968</t>
  </si>
  <si>
    <t>1698470325523042513</t>
  </si>
  <si>
    <t>1681621676188917760</t>
  </si>
  <si>
    <t>1704226683396514086</t>
  </si>
  <si>
    <t>1663249180578521088</t>
  </si>
  <si>
    <t>1684379575571079168</t>
  </si>
  <si>
    <t>1653061604538236932</t>
  </si>
  <si>
    <t>1702762911834288150</t>
  </si>
  <si>
    <t>1681447270921940992</t>
  </si>
  <si>
    <t>1686901351660335104</t>
  </si>
  <si>
    <t>1656042465818755080</t>
  </si>
  <si>
    <t>1654632900476948480</t>
  </si>
  <si>
    <t>1699517145871196451</t>
  </si>
  <si>
    <t>1669719972619120640</t>
  </si>
  <si>
    <t>1681805767605616640</t>
  </si>
  <si>
    <t>1683935747391234049</t>
  </si>
  <si>
    <t>1664861777354539008</t>
  </si>
  <si>
    <t>1664007827029913606</t>
  </si>
  <si>
    <t>1686093020381282304</t>
  </si>
  <si>
    <t>1691107048648560640</t>
  </si>
  <si>
    <t>1679119354288300032</t>
  </si>
  <si>
    <t>1692540780819165536</t>
  </si>
  <si>
    <t>1697739411851547073</t>
  </si>
  <si>
    <t>1677008618015846401</t>
  </si>
  <si>
    <t>1651619196789202945</t>
  </si>
  <si>
    <t>1686094269809831936</t>
  </si>
  <si>
    <t>1670747067394736129</t>
  </si>
  <si>
    <t>1668258459228274691</t>
  </si>
  <si>
    <t>1684174294870372352</t>
  </si>
  <si>
    <t>1339945027917795328</t>
  </si>
  <si>
    <t>1653041324642410496</t>
  </si>
  <si>
    <t>1691058550448046081</t>
  </si>
  <si>
    <t>1679209084841521168</t>
  </si>
  <si>
    <t>1658916335869460481</t>
  </si>
  <si>
    <t>1653812845182693402</t>
  </si>
  <si>
    <t>1655021531414577152</t>
  </si>
  <si>
    <t>1659229344051482629</t>
  </si>
  <si>
    <t>1696502908420825595</t>
  </si>
  <si>
    <t>1663968019557564432</t>
  </si>
  <si>
    <t>1671579427409473536</t>
  </si>
  <si>
    <t>1670784384482394116</t>
  </si>
  <si>
    <t>1653480574684626944</t>
  </si>
  <si>
    <t>1675221523651543043</t>
  </si>
  <si>
    <t>1693230430525288646</t>
  </si>
  <si>
    <t>1656091152137981953</t>
  </si>
  <si>
    <t>1684279437058097152</t>
  </si>
  <si>
    <t>1688681644775874560</t>
  </si>
  <si>
    <t>1688266884959895553</t>
  </si>
  <si>
    <t>1690789561599717376</t>
  </si>
  <si>
    <t>1687751539736162304</t>
  </si>
  <si>
    <t>1693629689472987325</t>
  </si>
  <si>
    <t>1696288680632062234</t>
  </si>
  <si>
    <t>1671245317612634113</t>
  </si>
  <si>
    <t>1704589417816404165</t>
  </si>
  <si>
    <t>1665115113882374152</t>
  </si>
  <si>
    <t>1691413637590573056</t>
  </si>
  <si>
    <t>1693623994216333623</t>
  </si>
  <si>
    <t>1693367302949871745</t>
  </si>
  <si>
    <t>1697695042134049087</t>
  </si>
  <si>
    <t>1674423278923046912</t>
  </si>
  <si>
    <t>1673756091048402950</t>
  </si>
  <si>
    <t>1676294116403978262</t>
  </si>
  <si>
    <t>1666554917035683841</t>
  </si>
  <si>
    <t>1696515813300375618</t>
  </si>
  <si>
    <t>1686412444627812352</t>
  </si>
  <si>
    <t>1679222299117903873</t>
  </si>
  <si>
    <t>1686869401247666176</t>
  </si>
  <si>
    <t>1706401077233332675</t>
  </si>
  <si>
    <t>1662631694472564736</t>
  </si>
  <si>
    <t>1679938598202753026</t>
  </si>
  <si>
    <t>1682140276201070594</t>
  </si>
  <si>
    <t>1692674858948169913</t>
  </si>
  <si>
    <t>1707165745275076652</t>
  </si>
  <si>
    <t>1676681872468844544</t>
  </si>
  <si>
    <t>1681779510432215041</t>
  </si>
  <si>
    <t>1684196716797362180</t>
  </si>
  <si>
    <t>1684192405723967488</t>
  </si>
  <si>
    <t>1674399789591429121</t>
  </si>
  <si>
    <t>1674115888813948928</t>
  </si>
  <si>
    <t>1673751891547766784</t>
  </si>
  <si>
    <t>1673743692291620880</t>
  </si>
  <si>
    <t>1666101217108295680</t>
  </si>
  <si>
    <t>1666067329791279105</t>
  </si>
  <si>
    <t>1665832154247446530</t>
  </si>
  <si>
    <t>1665723345902481410</t>
  </si>
  <si>
    <t>1660721827092504591</t>
  </si>
  <si>
    <t>1660670355218788353</t>
  </si>
  <si>
    <t>1660615731053047811</t>
  </si>
  <si>
    <t>1679096678102581250</t>
  </si>
  <si>
    <t>1675907630877769734</t>
  </si>
  <si>
    <t>1675848848671907840</t>
  </si>
  <si>
    <t>1667280845835579397</t>
  </si>
  <si>
    <t>1667167571513167872</t>
  </si>
  <si>
    <t>1662064143271116801</t>
  </si>
  <si>
    <t>1661702163049902081</t>
  </si>
  <si>
    <t>1655664368829210640</t>
  </si>
  <si>
    <t>1655499385856225280</t>
  </si>
  <si>
    <t>1678768739385475074</t>
  </si>
  <si>
    <t>1678745994920448001</t>
  </si>
  <si>
    <t>1678387571825467393</t>
  </si>
  <si>
    <t>1669374953836126213</t>
  </si>
  <si>
    <t>1669323061856817155</t>
  </si>
  <si>
    <t>1669318917506977792</t>
  </si>
  <si>
    <t>1656721506225856520</t>
  </si>
  <si>
    <t>1656669759369543681</t>
  </si>
  <si>
    <t>1656307466588639233</t>
  </si>
  <si>
    <t>1655916250411704323</t>
  </si>
  <si>
    <t>1677306810733060097</t>
  </si>
  <si>
    <t>1676940737303179264</t>
  </si>
  <si>
    <t>1676695367360958465</t>
  </si>
  <si>
    <t>1676575485357088768</t>
  </si>
  <si>
    <t>1668655841858269202</t>
  </si>
  <si>
    <t>1668682238454538249</t>
  </si>
  <si>
    <t>1668689321220513823</t>
  </si>
  <si>
    <t>1668575725404684288</t>
  </si>
  <si>
    <t>1663970043510521857</t>
  </si>
  <si>
    <t>1663882069494120448</t>
  </si>
  <si>
    <t>1663513574327681027</t>
  </si>
  <si>
    <t>1663290274582241280</t>
  </si>
  <si>
    <t>1651876968806088704</t>
  </si>
  <si>
    <t>1683811761009332225</t>
  </si>
  <si>
    <t>1683426709691834370</t>
  </si>
  <si>
    <t>1683442177119059969</t>
  </si>
  <si>
    <t>1659212721257164800</t>
  </si>
  <si>
    <t>1658853204518486021</t>
  </si>
  <si>
    <t>1686011283898867712</t>
  </si>
  <si>
    <t>1686004357592940544</t>
  </si>
  <si>
    <t>1674748154577649664</t>
  </si>
  <si>
    <t>1674741162819702787</t>
  </si>
  <si>
    <t>1666449906964340736</t>
  </si>
  <si>
    <t>1666430871568539652</t>
  </si>
  <si>
    <t>1666413107051110402</t>
  </si>
  <si>
    <t>1654444988976058372</t>
  </si>
  <si>
    <t>1653834810043912197</t>
  </si>
  <si>
    <t>1653788951587454978</t>
  </si>
  <si>
    <t>1686079865362006022</t>
  </si>
  <si>
    <t>1679832394658971651</t>
  </si>
  <si>
    <t>1679817537909927938</t>
  </si>
  <si>
    <t>1676225062083371008</t>
  </si>
  <si>
    <t>1676198616657022977</t>
  </si>
  <si>
    <t>1668248666333667331</t>
  </si>
  <si>
    <t>1668241077248114693</t>
  </si>
  <si>
    <t>1664243203384524801</t>
  </si>
  <si>
    <t>1658481805480312835</t>
  </si>
  <si>
    <t>1653411582682996737</t>
  </si>
  <si>
    <t>1653384651099062272</t>
  </si>
  <si>
    <t>1686717008170131456</t>
  </si>
  <si>
    <t>1681649186012385280</t>
  </si>
  <si>
    <t>1680865880584990720</t>
  </si>
  <si>
    <t>1672213943916298242</t>
  </si>
  <si>
    <t>1671566245986959378</t>
  </si>
  <si>
    <t>1664610943081349120</t>
  </si>
  <si>
    <t>1664603228833554433</t>
  </si>
  <si>
    <t>1658136154116423683</t>
  </si>
  <si>
    <t>1657079821455745040</t>
  </si>
  <si>
    <t>1657040697264881664</t>
  </si>
  <si>
    <t>1678681889538752512</t>
  </si>
  <si>
    <t>1684114724596891648</t>
  </si>
  <si>
    <t>1665734750730960896</t>
  </si>
  <si>
    <t>1693219022890811882</t>
  </si>
  <si>
    <t>1697167233053561077</t>
  </si>
  <si>
    <t>1681615963219718144</t>
  </si>
  <si>
    <t>1698632531053056498</t>
  </si>
  <si>
    <t>1694264493830733893</t>
  </si>
  <si>
    <t>1659141265169043459</t>
  </si>
  <si>
    <t>1663822357134278657</t>
  </si>
  <si>
    <t>1694443118643343786</t>
  </si>
  <si>
    <t>1684669428909166592</t>
  </si>
  <si>
    <t>1686774525583601665</t>
  </si>
  <si>
    <t>1694059659903082985</t>
  </si>
  <si>
    <t>1568461500297216002</t>
  </si>
  <si>
    <t>702560893318656001</t>
  </si>
  <si>
    <t>1649089578626695177</t>
  </si>
  <si>
    <t>1136418748439678977</t>
  </si>
  <si>
    <t>889483841840271360</t>
  </si>
  <si>
    <t>1120423731199975425</t>
  </si>
  <si>
    <t>2832157502</t>
  </si>
  <si>
    <t>1538890392640401408</t>
  </si>
  <si>
    <t>787025129729646592</t>
  </si>
  <si>
    <t>190292183</t>
  </si>
  <si>
    <t>1593642891708174340</t>
  </si>
  <si>
    <t>1597625291337306113</t>
  </si>
  <si>
    <t>1678416821299363841</t>
  </si>
  <si>
    <t>100118303</t>
  </si>
  <si>
    <t>86519869</t>
  </si>
  <si>
    <t>1887978842</t>
  </si>
  <si>
    <t>4827611891</t>
  </si>
  <si>
    <t>1562436415556046849</t>
  </si>
  <si>
    <t>340534433</t>
  </si>
  <si>
    <t>137911945</t>
  </si>
  <si>
    <t>625192155</t>
  </si>
  <si>
    <t>1025405007825436672</t>
  </si>
  <si>
    <t>1192909456075632640</t>
  </si>
  <si>
    <t>1393282716536299520</t>
  </si>
  <si>
    <t>1430994486277156879</t>
  </si>
  <si>
    <t>276983166</t>
  </si>
  <si>
    <t>198291992</t>
  </si>
  <si>
    <t>370629670</t>
  </si>
  <si>
    <t>1051938676400369664</t>
  </si>
  <si>
    <t>1124002177083740162</t>
  </si>
  <si>
    <t>25593062</t>
  </si>
  <si>
    <t>772123822409543680</t>
  </si>
  <si>
    <t>1255441395579523074</t>
  </si>
  <si>
    <t>858872888321089537</t>
  </si>
  <si>
    <t>1446487919682748419</t>
  </si>
  <si>
    <t>1665465606672461825</t>
  </si>
  <si>
    <t>985976864</t>
  </si>
  <si>
    <t>1631106165030387713</t>
  </si>
  <si>
    <t>84877345</t>
  </si>
  <si>
    <t>1442341201236033541</t>
  </si>
  <si>
    <t>2181374211</t>
  </si>
  <si>
    <t>1149765422360797184</t>
  </si>
  <si>
    <t>1377743124844445701</t>
  </si>
  <si>
    <t>1275534875550978060</t>
  </si>
  <si>
    <t>75281850</t>
  </si>
  <si>
    <t>995129812950896642</t>
  </si>
  <si>
    <t>74550038</t>
  </si>
  <si>
    <t>1532371924474544128</t>
  </si>
  <si>
    <t>1686086283305660417</t>
  </si>
  <si>
    <t>1664416457046802432</t>
  </si>
  <si>
    <t>1463818218905157645</t>
  </si>
  <si>
    <t>466084954</t>
  </si>
  <si>
    <t>52219429</t>
  </si>
  <si>
    <t>2825034016</t>
  </si>
  <si>
    <t>43943121</t>
  </si>
  <si>
    <t>209578308</t>
  </si>
  <si>
    <t>308031714</t>
  </si>
  <si>
    <t>1682078424804851727</t>
  </si>
  <si>
    <t>65085982</t>
  </si>
  <si>
    <t>174370381</t>
  </si>
  <si>
    <t>1399422760103952386</t>
  </si>
  <si>
    <t>1240329065292279809</t>
  </si>
  <si>
    <t>1603873155159842827</t>
  </si>
  <si>
    <t>1458078346730954754</t>
  </si>
  <si>
    <t>2467096693</t>
  </si>
  <si>
    <t>1689820654055374848</t>
  </si>
  <si>
    <t>1540004255012102144</t>
  </si>
  <si>
    <t>1676544011060871168</t>
  </si>
  <si>
    <t>1227589995411771392</t>
  </si>
  <si>
    <t>67743025</t>
  </si>
  <si>
    <t>1395541134932332553</t>
  </si>
  <si>
    <t>222157159</t>
  </si>
  <si>
    <t/>
  </si>
  <si>
    <t>1659200854619222020</t>
  </si>
  <si>
    <t>1666562089912086528</t>
  </si>
  <si>
    <t>1671292718763442177</t>
  </si>
  <si>
    <t>1651680607485718536</t>
  </si>
  <si>
    <t>1651738976854654978</t>
  </si>
  <si>
    <t>1653516887278469124</t>
  </si>
  <si>
    <t>1698470328345731482</t>
  </si>
  <si>
    <t>1684379589450006528</t>
  </si>
  <si>
    <t>1653061618555576320</t>
  </si>
  <si>
    <t>1686905834826010625</t>
  </si>
  <si>
    <t>1654632902448283648</t>
  </si>
  <si>
    <t>1681805772714393600</t>
  </si>
  <si>
    <t>1683984475246428160</t>
  </si>
  <si>
    <t>1664865873759285249</t>
  </si>
  <si>
    <t>1686179036794380288</t>
  </si>
  <si>
    <t>1677008652455010315</t>
  </si>
  <si>
    <t>1657030958992830471</t>
  </si>
  <si>
    <t>1651619205211471875</t>
  </si>
  <si>
    <t>1670747069970108417</t>
  </si>
  <si>
    <t>1668258468036239368</t>
  </si>
  <si>
    <t>1684174444024016897</t>
  </si>
  <si>
    <t>1657406256108167169</t>
  </si>
  <si>
    <t>1653041335182708736</t>
  </si>
  <si>
    <t>1658916342068650009</t>
  </si>
  <si>
    <t>1659661380343963659</t>
  </si>
  <si>
    <t>1696502925135052969</t>
  </si>
  <si>
    <t>1653480579256467475</t>
  </si>
  <si>
    <t>1675221530333020160</t>
  </si>
  <si>
    <t>1688681647082766336</t>
  </si>
  <si>
    <t>1687751542550540288</t>
  </si>
  <si>
    <t>1671245319311335424</t>
  </si>
  <si>
    <t>1704589423797526912</t>
  </si>
  <si>
    <t>1691532929057337344</t>
  </si>
  <si>
    <t>1691418487334297601</t>
  </si>
  <si>
    <t>1673756093153943559</t>
  </si>
  <si>
    <t>1696515820250427776</t>
  </si>
  <si>
    <t>1686936213062627328</t>
  </si>
  <si>
    <t>1706401083558367403</t>
  </si>
  <si>
    <t>1682140327904149509</t>
  </si>
  <si>
    <t>1676681875522310144</t>
  </si>
  <si>
    <t>1681779512684556288</t>
  </si>
  <si>
    <t>1678682229063467008</t>
  </si>
  <si>
    <t>1684114897167060992</t>
  </si>
  <si>
    <t>1693219089253085658</t>
  </si>
  <si>
    <t>1697167460783227124</t>
  </si>
  <si>
    <t>1681616094178541568</t>
  </si>
  <si>
    <t>1698632587747406106</t>
  </si>
  <si>
    <t>1694264688857481243</t>
  </si>
  <si>
    <t>1659141513811566594</t>
  </si>
  <si>
    <t>1663822553092182016</t>
  </si>
  <si>
    <t>1684669441206804480</t>
  </si>
  <si>
    <t>1686774530792996869</t>
  </si>
  <si>
    <t>1678788138557222916</t>
  </si>
  <si>
    <t>950409390179405824</t>
  </si>
  <si>
    <t>1472360234798784513</t>
  </si>
  <si>
    <t>1300601614470795264</t>
  </si>
  <si>
    <t>1290336746639708160</t>
  </si>
  <si>
    <t>1395000051861229571</t>
  </si>
  <si>
    <t>1474513441444532226</t>
  </si>
  <si>
    <t>1691614167927496704</t>
  </si>
  <si>
    <t>1294651137245806592</t>
  </si>
  <si>
    <t>1367537445529657353</t>
  </si>
  <si>
    <t>1662609376874577920</t>
  </si>
  <si>
    <t>901833989606051840</t>
  </si>
  <si>
    <t>1687079291312553984</t>
  </si>
  <si>
    <t>1099370663784185856</t>
  </si>
  <si>
    <t>975733599147315201</t>
  </si>
  <si>
    <t>961598718985285632</t>
  </si>
  <si>
    <t>955863946086486017</t>
  </si>
  <si>
    <t>1122297543835176960</t>
  </si>
  <si>
    <t>1346759748188831747</t>
  </si>
  <si>
    <t>1683907046750421002</t>
  </si>
  <si>
    <t>1404418856425299970</t>
  </si>
  <si>
    <t>1582020729733881859</t>
  </si>
  <si>
    <t>1087762990731051008</t>
  </si>
  <si>
    <t>1638575699861569538</t>
  </si>
  <si>
    <t>985212814750113794</t>
  </si>
  <si>
    <t>1678812904601026564</t>
  </si>
  <si>
    <t>1634221834966106113</t>
  </si>
  <si>
    <t>1661790129126604801</t>
  </si>
  <si>
    <t>1624092679989608448</t>
  </si>
  <si>
    <t>837325494248947713</t>
  </si>
  <si>
    <t>1473038877153705987</t>
  </si>
  <si>
    <t>1521275109075525633</t>
  </si>
  <si>
    <t>1626293474319368192</t>
  </si>
  <si>
    <t>1407028935360192517</t>
  </si>
  <si>
    <t>1592877910079291392</t>
  </si>
  <si>
    <t>966418582421811200</t>
  </si>
  <si>
    <t>883496098081517568</t>
  </si>
  <si>
    <t>1376917910363463681</t>
  </si>
  <si>
    <t>888798703393406976</t>
  </si>
  <si>
    <t>1660518420788441089</t>
  </si>
  <si>
    <t>1544118675933958144</t>
  </si>
  <si>
    <t>1274897503293448198</t>
  </si>
  <si>
    <t>1628036492839862272</t>
  </si>
  <si>
    <t>1257362360626491394</t>
  </si>
  <si>
    <t>744862819103965184</t>
  </si>
  <si>
    <t>1606063852457697280</t>
  </si>
  <si>
    <t>1422988019792060422</t>
  </si>
  <si>
    <t>1468387611064823808</t>
  </si>
  <si>
    <t>760227226549903360</t>
  </si>
  <si>
    <t>1698693012530860032</t>
  </si>
  <si>
    <t>1693798055047200768</t>
  </si>
  <si>
    <t>1031548103416049675</t>
  </si>
  <si>
    <t>1209228775453548545</t>
  </si>
  <si>
    <t>1531077995200401411</t>
  </si>
  <si>
    <t>1495515406374690816</t>
  </si>
  <si>
    <t>1661735129969201153</t>
  </si>
  <si>
    <t>1704657318036541440</t>
  </si>
  <si>
    <t>1535964607940108289</t>
  </si>
  <si>
    <t>1352981462967054336</t>
  </si>
  <si>
    <t>1582508580401455105</t>
  </si>
  <si>
    <t>1120116813822558208</t>
  </si>
  <si>
    <t>1681122314967023616</t>
  </si>
  <si>
    <t>1564985313742753792</t>
  </si>
  <si>
    <t>1584886557676380161</t>
  </si>
  <si>
    <t>1574712055646519296</t>
  </si>
  <si>
    <t>1508552275622608906</t>
  </si>
  <si>
    <t>1200062560306958336</t>
  </si>
  <si>
    <t>1520198320169406472</t>
  </si>
  <si>
    <t>1451635932172533764</t>
  </si>
  <si>
    <t>1593655516890284033</t>
  </si>
  <si>
    <t>1693515352599134209</t>
  </si>
  <si>
    <t>779333642061508609</t>
  </si>
  <si>
    <t>1261706053550473216</t>
  </si>
  <si>
    <t>1638935071754207239</t>
  </si>
  <si>
    <t>1426707668039782400</t>
  </si>
  <si>
    <t>1636414964247166977</t>
  </si>
  <si>
    <t>1597026840941666306</t>
  </si>
  <si>
    <t>1632501050555899904</t>
  </si>
  <si>
    <t>892348798537740290</t>
  </si>
  <si>
    <t>884863303448743937</t>
  </si>
  <si>
    <t>832340075086278656</t>
  </si>
  <si>
    <t>1660680509502914562</t>
  </si>
  <si>
    <t>1296117449390206978</t>
  </si>
  <si>
    <t>1659179945313161216</t>
  </si>
  <si>
    <t>1568042857449066496</t>
  </si>
  <si>
    <t>1049754099355439107</t>
  </si>
  <si>
    <t>1040661437423738882</t>
  </si>
  <si>
    <t>1397238293926801408</t>
  </si>
  <si>
    <t>1612105648036012036</t>
  </si>
  <si>
    <t>767763810409181188</t>
  </si>
  <si>
    <t>1454101639338598403</t>
  </si>
  <si>
    <t>1619161540866850818</t>
  </si>
  <si>
    <t>720482086688317440</t>
  </si>
  <si>
    <t>1463267332793327617</t>
  </si>
  <si>
    <t>1256982216292413441</t>
  </si>
  <si>
    <t>1226689020492746753</t>
  </si>
  <si>
    <t>1236003131244392448</t>
  </si>
  <si>
    <t>997231127776677889</t>
  </si>
  <si>
    <t>1042661282841862144</t>
  </si>
  <si>
    <t>1333496862435893250</t>
  </si>
  <si>
    <t>1473648506632032257</t>
  </si>
  <si>
    <t>1462350606627135493</t>
  </si>
  <si>
    <t>1441000214727471121</t>
  </si>
  <si>
    <t>877169347587919874</t>
  </si>
  <si>
    <t>996026004530434048</t>
  </si>
  <si>
    <t>1233213986595917824</t>
  </si>
  <si>
    <t>1488082842189975553</t>
  </si>
  <si>
    <t>1525524145659858947</t>
  </si>
  <si>
    <t>1361333840833376263</t>
  </si>
  <si>
    <t>1508809466803798021</t>
  </si>
  <si>
    <t>1662255263951343617</t>
  </si>
  <si>
    <t>914663722970435584</t>
  </si>
  <si>
    <t>1041724956839698433</t>
  </si>
  <si>
    <t>891820062839115777</t>
  </si>
  <si>
    <t>1652318496926179328</t>
  </si>
  <si>
    <t>1552287518913167362</t>
  </si>
  <si>
    <t>1650837402607386624</t>
  </si>
  <si>
    <t>1430665453488254979</t>
  </si>
  <si>
    <t>1590758849933443072</t>
  </si>
  <si>
    <t>1329388236519727105</t>
  </si>
  <si>
    <t>1259522744770797568</t>
  </si>
  <si>
    <t>1078618844007157761</t>
  </si>
  <si>
    <t>1489544001032273925</t>
  </si>
  <si>
    <t>1246548901936709633</t>
  </si>
  <si>
    <t>837093828129603584</t>
  </si>
  <si>
    <t>1504319197492436992</t>
  </si>
  <si>
    <t>1042107129224724485</t>
  </si>
  <si>
    <t>1518215974331297794</t>
  </si>
  <si>
    <t>1088416780463296513</t>
  </si>
  <si>
    <t>1667709287978741761</t>
  </si>
  <si>
    <t>1550092327284252672</t>
  </si>
  <si>
    <t>1529590160974876673</t>
  </si>
  <si>
    <t>1154060645861666816</t>
  </si>
  <si>
    <t>1647594155965595649</t>
  </si>
  <si>
    <t>833755553620959234</t>
  </si>
  <si>
    <t>1656677128640040965</t>
  </si>
  <si>
    <t>1675130387658407938</t>
  </si>
  <si>
    <t>1130143652146237440</t>
  </si>
  <si>
    <t>1349010483781709834</t>
  </si>
  <si>
    <t>1588912224625725440</t>
  </si>
  <si>
    <t>1385685363952324609</t>
  </si>
  <si>
    <t>1494033577427849218</t>
  </si>
  <si>
    <t>1585613866104406017</t>
  </si>
  <si>
    <t>1015933795629821954</t>
  </si>
  <si>
    <t>1668391245951934465</t>
  </si>
  <si>
    <t>1590016752381042688</t>
  </si>
  <si>
    <t>1516506688634986505</t>
  </si>
  <si>
    <t>1343185244384583681</t>
  </si>
  <si>
    <t>928023996377026561</t>
  </si>
  <si>
    <t>1463163550084521986</t>
  </si>
  <si>
    <t>1518464282589114373</t>
  </si>
  <si>
    <t>820462194282418176</t>
  </si>
  <si>
    <t>1275407666320465924</t>
  </si>
  <si>
    <t>1593249782637944835</t>
  </si>
  <si>
    <t>1320008883658686465</t>
  </si>
  <si>
    <t>1554749349061591040</t>
  </si>
  <si>
    <t>1487959577551327232</t>
  </si>
  <si>
    <t>1423241665419038729</t>
  </si>
  <si>
    <t>1021187088480260096</t>
  </si>
  <si>
    <t>1655344562749988864</t>
  </si>
  <si>
    <t>884430635288453120</t>
  </si>
  <si>
    <t>1346571321728184325</t>
  </si>
  <si>
    <t>1536178639741517825</t>
  </si>
  <si>
    <t>1417118645533151233</t>
  </si>
  <si>
    <t>760868823956328448</t>
  </si>
  <si>
    <t>1555740155440291841</t>
  </si>
  <si>
    <t>1377741813151371264</t>
  </si>
  <si>
    <t>1693234957055868928</t>
  </si>
  <si>
    <t>1658502179748020224</t>
  </si>
  <si>
    <t>1661542217268305920</t>
  </si>
  <si>
    <t>1428427211028287489</t>
  </si>
  <si>
    <t>1357659544978132993</t>
  </si>
  <si>
    <t>1019627125542797314</t>
  </si>
  <si>
    <t>842018736173400064</t>
  </si>
  <si>
    <t>843215121505816576</t>
  </si>
  <si>
    <t>1594376029589721088</t>
  </si>
  <si>
    <t>1457377604395208711</t>
  </si>
  <si>
    <t>1491927522648412161</t>
  </si>
  <si>
    <t>1693577571101728768</t>
  </si>
  <si>
    <t>1502602987155382278</t>
  </si>
  <si>
    <t>1628179051981557760</t>
  </si>
  <si>
    <t>949969019603480576</t>
  </si>
  <si>
    <t>1482062956548562946</t>
  </si>
  <si>
    <t>1643741359398944774</t>
  </si>
  <si>
    <t>1464070543242670081</t>
  </si>
  <si>
    <t>1392628928955797514</t>
  </si>
  <si>
    <t>910992556036706304</t>
  </si>
  <si>
    <t>730553197584998400</t>
  </si>
  <si>
    <t>818805955609657344</t>
  </si>
  <si>
    <t>1650469593952014340</t>
  </si>
  <si>
    <t>1623098958401732610</t>
  </si>
  <si>
    <t>1254925228242845697</t>
  </si>
  <si>
    <t>1283639563013914624</t>
  </si>
  <si>
    <t>1091767372485144576</t>
  </si>
  <si>
    <t>834547449113038850</t>
  </si>
  <si>
    <t>1669692402699755522</t>
  </si>
  <si>
    <t>1370375263356395524</t>
  </si>
  <si>
    <t>1674027874599280640</t>
  </si>
  <si>
    <t>996019610586701824</t>
  </si>
  <si>
    <t>1426573407450238978</t>
  </si>
  <si>
    <t>1656307557906907137</t>
  </si>
  <si>
    <t>1424424616601309186</t>
  </si>
  <si>
    <t>1629892214695370762</t>
  </si>
  <si>
    <t>1365394851131502592</t>
  </si>
  <si>
    <t>1392878850137329666</t>
  </si>
  <si>
    <t>1676573946269794307</t>
  </si>
  <si>
    <t>1704448598618816512</t>
  </si>
  <si>
    <t>1572442402618744837</t>
  </si>
  <si>
    <t>843811850643013632</t>
  </si>
  <si>
    <t>887045533331845120</t>
  </si>
  <si>
    <t>1699783432593960960</t>
  </si>
  <si>
    <t>1618958947293040641</t>
  </si>
  <si>
    <t>1310434639333527557</t>
  </si>
  <si>
    <t>1239360952233050112</t>
  </si>
  <si>
    <t>1141855544724119552</t>
  </si>
  <si>
    <t>1124182565592752128</t>
  </si>
  <si>
    <t>1355646361367146497</t>
  </si>
  <si>
    <t>1256430182396833792</t>
  </si>
  <si>
    <t>1216850804826628096</t>
  </si>
  <si>
    <t>1552955665345282050</t>
  </si>
  <si>
    <t>993334360408494080</t>
  </si>
  <si>
    <t>1629308872056774657</t>
  </si>
  <si>
    <t>1253651610619842560</t>
  </si>
  <si>
    <t>1540793265368158210</t>
  </si>
  <si>
    <t>1138028413774630913</t>
  </si>
  <si>
    <t>1517112746302656518</t>
  </si>
  <si>
    <t>1634395313225056256</t>
  </si>
  <si>
    <t>799809840554135552</t>
  </si>
  <si>
    <t>1034186374201663488</t>
  </si>
  <si>
    <t>1425837326693924874</t>
  </si>
  <si>
    <t>1701967711482335232</t>
  </si>
  <si>
    <t>1291353200814174208</t>
  </si>
  <si>
    <t>1448755794627997696</t>
  </si>
  <si>
    <t>1506668168726593542</t>
  </si>
  <si>
    <t>1657813541548638212</t>
  </si>
  <si>
    <t>1029552856343433217</t>
  </si>
  <si>
    <t>834561488690020352</t>
  </si>
  <si>
    <t>1414501510285758466</t>
  </si>
  <si>
    <t>1633605186823258112</t>
  </si>
  <si>
    <t>1232110252071493632</t>
  </si>
  <si>
    <t>1262073227968425985</t>
  </si>
  <si>
    <t>1417542239841103875</t>
  </si>
  <si>
    <t>1578088612305960991</t>
  </si>
  <si>
    <t>1522692798696280064</t>
  </si>
  <si>
    <t>1705362894152486912</t>
  </si>
  <si>
    <t>1697756048365367296</t>
  </si>
  <si>
    <t>1585791360224972802</t>
  </si>
  <si>
    <t>1297910632268943360</t>
  </si>
  <si>
    <t>1329529913016193027</t>
  </si>
  <si>
    <t>1661120600520237058</t>
  </si>
  <si>
    <t>1629520801710874625</t>
  </si>
  <si>
    <t>965964508534657024</t>
  </si>
  <si>
    <t>1113959212827193345</t>
  </si>
  <si>
    <t>858536044387586048</t>
  </si>
  <si>
    <t>1100500988744687618</t>
  </si>
  <si>
    <t>1427604079514169344</t>
  </si>
  <si>
    <t>1425606809327476738</t>
  </si>
  <si>
    <t>1620732790269513728</t>
  </si>
  <si>
    <t>1232941075750244352</t>
  </si>
  <si>
    <t>1665913936657494016</t>
  </si>
  <si>
    <t>807573349815767040</t>
  </si>
  <si>
    <t>1672260365491609602</t>
  </si>
  <si>
    <t>1277625335182434304</t>
  </si>
  <si>
    <t>1662185396111851565</t>
  </si>
  <si>
    <t>1634630405423788033</t>
  </si>
  <si>
    <t>1247535101954519044</t>
  </si>
  <si>
    <t>1505297647934091268</t>
  </si>
  <si>
    <t>1619338976338317312</t>
  </si>
  <si>
    <t>1665913665466368003</t>
  </si>
  <si>
    <t>1651012435556311040</t>
  </si>
  <si>
    <t>885229866437799936</t>
  </si>
  <si>
    <t>1479498456012050437</t>
  </si>
  <si>
    <t>1507083919111434240</t>
  </si>
  <si>
    <t>1612808504179302401</t>
  </si>
  <si>
    <t>1305903568642281473</t>
  </si>
  <si>
    <t>1686469062618972160</t>
  </si>
  <si>
    <t>1503378048531501058</t>
  </si>
  <si>
    <t>1601038981533138944</t>
  </si>
  <si>
    <t>montagcm</t>
  </si>
  <si>
    <t>fgc_br</t>
  </si>
  <si>
    <t>esvensena</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</si>
  <si>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</si>
  <si>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</si>
  <si>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</si>
  <si>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</si>
  <si>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</si>
  <si>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</si>
  <si>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</si>
  <si>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</si>
  <si>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</si>
  <si>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</si>
  <si>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</si>
  <si>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</si>
  <si>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</si>
  <si>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</si>
  <si>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</si>
  <si>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</si>
  <si>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</si>
  <si>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</si>
  <si>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</si>
  <si>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</si>
  <si>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</si>
  <si>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</si>
  <si>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</si>
  <si>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</si>
  <si>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</si>
  <si>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</si>
  <si>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</si>
  <si>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</si>
  <si>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</si>
  <si>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</si>
  <si>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</si>
  <si>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</si>
  <si>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</si>
  <si>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</si>
  <si>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</si>
  <si>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</si>
  <si>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</si>
  <si>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Finance News</t>
  </si>
  <si>
    <t>Análise de Ações</t>
  </si>
  <si>
    <t>Ações Importam</t>
  </si>
  <si>
    <t>Lucio Wagner</t>
  </si>
  <si>
    <t>Daniela Montori</t>
  </si>
  <si>
    <t>Robson Sobieski</t>
  </si>
  <si>
    <t>Economatica</t>
  </si>
  <si>
    <t>Tina DeBord</t>
  </si>
  <si>
    <t>Juan Fidalgo</t>
  </si>
  <si>
    <t>Vokin Investimentos</t>
  </si>
  <si>
    <t>Felippe Lopes - Analista Financeiro</t>
  </si>
  <si>
    <t>Daniel Guidotti Silva</t>
  </si>
  <si>
    <t>YouTube</t>
  </si>
  <si>
    <t>Invex Cripto</t>
  </si>
  <si>
    <t>Rudimar - Direito, Finanças e Fotografia</t>
  </si>
  <si>
    <t>Caio</t>
  </si>
  <si>
    <t>InvestidorGarimpeiro</t>
  </si>
  <si>
    <t>Daiane Randel</t>
  </si>
  <si>
    <t>We❤Bitcoin</t>
  </si>
  <si>
    <t>DIÁRIO DO VALE</t>
  </si>
  <si>
    <t>Perfil.com Brasil</t>
  </si>
  <si>
    <t>Diego Trindade</t>
  </si>
  <si>
    <t>Petrobras</t>
  </si>
  <si>
    <t>Paulo Borba</t>
  </si>
  <si>
    <t>Empiricus</t>
  </si>
  <si>
    <t>Ellen</t>
  </si>
  <si>
    <t>Cleudo Lima</t>
  </si>
  <si>
    <t>Bryeno Figueiredo</t>
  </si>
  <si>
    <t>🪢 hgtp://💎The Hunter💎🪢/</t>
  </si>
  <si>
    <t>CriptoFacil</t>
  </si>
  <si>
    <t>Academia do Dinheiro</t>
  </si>
  <si>
    <t>JACKSON DI DOMENICO</t>
  </si>
  <si>
    <t>Mundo SAP</t>
  </si>
  <si>
    <t>EDEX PRIME</t>
  </si>
  <si>
    <t>Alessandro Silva</t>
  </si>
  <si>
    <t>Nomos - Melhores Investidores</t>
  </si>
  <si>
    <t>Max Bohm (@chamaomax)</t>
  </si>
  <si>
    <t>Jovem Pan News</t>
  </si>
  <si>
    <t>Vinicius - Pingando na Conta</t>
  </si>
  <si>
    <t>Portal Gira Notícias</t>
  </si>
  <si>
    <t>EscolaCripto</t>
  </si>
  <si>
    <t>Fausto Botelho</t>
  </si>
  <si>
    <t>Denise C de Toledo</t>
  </si>
  <si>
    <t>TV Gazeta</t>
  </si>
  <si>
    <t>Jornal da Gazeta</t>
  </si>
  <si>
    <t>Botinhão 🇧🇷</t>
  </si>
  <si>
    <t>Investidores Brasil Oficial</t>
  </si>
  <si>
    <t>SParrelli</t>
  </si>
  <si>
    <t>Valmique A Figueiredo #Bolsa de Valores #ações #FI</t>
  </si>
  <si>
    <t>Francisco Bertoldi Neto</t>
  </si>
  <si>
    <t>perspective investimentos</t>
  </si>
  <si>
    <t>PMW Notícias</t>
  </si>
  <si>
    <t>Cultura Alternativa</t>
  </si>
  <si>
    <t>BedRock™</t>
  </si>
  <si>
    <t>Vinicio Carlos</t>
  </si>
  <si>
    <t>SolutionX Idiomas</t>
  </si>
  <si>
    <t>Bolsa Inteligente</t>
  </si>
  <si>
    <t>aleatoriando</t>
  </si>
  <si>
    <t>Marcos Sánchez Rubio</t>
  </si>
  <si>
    <t>Gorila</t>
  </si>
  <si>
    <t>Ambystoma Mexicanum</t>
  </si>
  <si>
    <t>Andrew Fonsêca</t>
  </si>
  <si>
    <t>Arthur Rodrigues</t>
  </si>
  <si>
    <t>Colombo / Investimentos / Educação Financeira</t>
  </si>
  <si>
    <t>Ayron Ferreira</t>
  </si>
  <si>
    <t>Heidy ハイジ</t>
  </si>
  <si>
    <t>COPE</t>
  </si>
  <si>
    <t>Instituto Ecovida</t>
  </si>
  <si>
    <t>André Lenski 🇧🇷</t>
  </si>
  <si>
    <t>Padtec</t>
  </si>
  <si>
    <t>Governo de Pernambuco</t>
  </si>
  <si>
    <t>Blog do Juares</t>
  </si>
  <si>
    <t>UManresa</t>
  </si>
  <si>
    <t>Henrique Guth Guerrero Trainini</t>
  </si>
  <si>
    <t>𝘗𝘳𝘰𝘧𝘦𝘴𝘴𝘰𝘳 Math 🇧🇷🇧🇷</t>
  </si>
  <si>
    <t>William Hunt - Finanças Pessoais e Investimentos</t>
  </si>
  <si>
    <t>Marcello Faria</t>
  </si>
  <si>
    <t>🦋Cláudia Cacau🍫⚘️💫♌️</t>
  </si>
  <si>
    <t>O Convergente</t>
  </si>
  <si>
    <t>Johanan Castellano</t>
  </si>
  <si>
    <t>Jefferson Lucas</t>
  </si>
  <si>
    <t>Visualmodo</t>
  </si>
  <si>
    <t>Antonio Santiago</t>
  </si>
  <si>
    <t>Wesley Luiz da Silva🇧🇷</t>
  </si>
  <si>
    <t>Nancy</t>
  </si>
  <si>
    <t>Łųčįą Sant'Anna</t>
  </si>
  <si>
    <t>Tuca Andrada</t>
  </si>
  <si>
    <t>Kaká, humano de humanas</t>
  </si>
  <si>
    <t>Jornal Semanário</t>
  </si>
  <si>
    <t>Dleon3211</t>
  </si>
  <si>
    <t>Vangoghiana</t>
  </si>
  <si>
    <t>Nubank</t>
  </si>
  <si>
    <t>Mais Superior</t>
  </si>
  <si>
    <t>Esʀᴏɴ Mᴇɴᴇᴢᴇs</t>
  </si>
  <si>
    <t>Relatório Reservado</t>
  </si>
  <si>
    <t>FunnyBet Brasil</t>
  </si>
  <si>
    <t>Hub do Investidor</t>
  </si>
  <si>
    <t>Alagoas na Net</t>
  </si>
  <si>
    <t>Conselho Regional de Farmácia de Minas Gerais</t>
  </si>
  <si>
    <t>Moprify</t>
  </si>
  <si>
    <t>smashup.brazil</t>
  </si>
  <si>
    <t>Forbes Brasil</t>
  </si>
  <si>
    <t>Borjaonstocks</t>
  </si>
  <si>
    <t>Mercado em alta</t>
  </si>
  <si>
    <t>Be Yours Co.</t>
  </si>
  <si>
    <t>SonarTrade</t>
  </si>
  <si>
    <t>Miguel Janning</t>
  </si>
  <si>
    <t>Eduardo Wolff Garufi</t>
  </si>
  <si>
    <t>iZZinvest</t>
  </si>
  <si>
    <t>Andre Torres</t>
  </si>
  <si>
    <t>Free Classificados</t>
  </si>
  <si>
    <t>Rafael Porcari</t>
  </si>
  <si>
    <t>Roleta Sala Grátis</t>
  </si>
  <si>
    <t>DEBRITO.INVEST</t>
  </si>
  <si>
    <t>André Buric | BrainPower</t>
  </si>
  <si>
    <t>Petrus Peters</t>
  </si>
  <si>
    <t>Leandro Amaral</t>
  </si>
  <si>
    <t>Município da Covilhã</t>
  </si>
  <si>
    <t>Eduardo Nishio</t>
  </si>
  <si>
    <t>Joao</t>
  </si>
  <si>
    <t>Luiz Uchiyama</t>
  </si>
  <si>
    <t>Willi, o CGA.</t>
  </si>
  <si>
    <t>Pr.marcos Brasil 🇧🇷</t>
  </si>
  <si>
    <t>Diego Dias</t>
  </si>
  <si>
    <t>Marcio</t>
  </si>
  <si>
    <t>Money Times</t>
  </si>
  <si>
    <t>André Charão</t>
  </si>
  <si>
    <t>daniel alva</t>
  </si>
  <si>
    <t>Gustavo Bernardes</t>
  </si>
  <si>
    <t>GiramundoAp</t>
  </si>
  <si>
    <t>2MV</t>
  </si>
  <si>
    <t>Investor Academy</t>
  </si>
  <si>
    <t>Wellington Torrejais da Silva 🏳️‍🌈🇧🇷</t>
  </si>
  <si>
    <t>Olhar Digital</t>
  </si>
  <si>
    <t>Crypto Times</t>
  </si>
  <si>
    <t>Alberto Rodrigues</t>
  </si>
  <si>
    <t>Agro Times</t>
  </si>
  <si>
    <t>Invisto Ad Eternum</t>
  </si>
  <si>
    <t>Investe Digital</t>
  </si>
  <si>
    <t>Magalhaes Investidor</t>
  </si>
  <si>
    <t>🎖️</t>
  </si>
  <si>
    <t>Lucas Veríssimo, CNPI</t>
  </si>
  <si>
    <t>Érica Martins</t>
  </si>
  <si>
    <t>Instituto Êxito de Empreendedorismo</t>
  </si>
  <si>
    <t>Sindifisco Nacional</t>
  </si>
  <si>
    <t>FLOR DO DESERTO</t>
  </si>
  <si>
    <t>Rafael Correa</t>
  </si>
  <si>
    <t>ISTOÉ Dinheiro</t>
  </si>
  <si>
    <t>RNA Invest</t>
  </si>
  <si>
    <t>UFPE</t>
  </si>
  <si>
    <t>Rafael Pereira</t>
  </si>
  <si>
    <t>[LUTO]saudades mãe!</t>
  </si>
  <si>
    <t>Inter, mais que um banco</t>
  </si>
  <si>
    <t>Planeta do Futebol 🌎</t>
  </si>
  <si>
    <t>Prof. Baroni</t>
  </si>
  <si>
    <t>Felipe Tadewald</t>
  </si>
  <si>
    <t>Nonô, o Vovô Investidor</t>
  </si>
  <si>
    <t>ANBIMA</t>
  </si>
  <si>
    <t>Mário | Neto Invest</t>
  </si>
  <si>
    <t>Ion Education</t>
  </si>
  <si>
    <t>B3</t>
  </si>
  <si>
    <t>Inteligência Financeira</t>
  </si>
  <si>
    <t>andrecerqueira.eth</t>
  </si>
  <si>
    <t>ÓRAMA</t>
  </si>
  <si>
    <t>Nicolas Licce</t>
  </si>
  <si>
    <t>Ibovespa Bipolar 🏠GO HOME 🏠</t>
  </si>
  <si>
    <t>Prefeitura de Araquari</t>
  </si>
  <si>
    <t>Jornal do Oeste</t>
  </si>
  <si>
    <t>Junior Lacerda</t>
  </si>
  <si>
    <t>Loucos por investimentos</t>
  </si>
  <si>
    <t>LP4 Planejamento e Consultoria</t>
  </si>
  <si>
    <t>Flávio Napoleão</t>
  </si>
  <si>
    <t>Bruno Mazzoni</t>
  </si>
  <si>
    <t>ForK the Banks</t>
  </si>
  <si>
    <t>Procuradoria Geral do Estado do Maranhão</t>
  </si>
  <si>
    <t>Vitor Lourenço</t>
  </si>
  <si>
    <t>Investucan0</t>
  </si>
  <si>
    <t>Pâmela Gregório</t>
  </si>
  <si>
    <t>Facilitando o Investidor (FacilitandooInvestidor)</t>
  </si>
  <si>
    <t>Flavio Xandó</t>
  </si>
  <si>
    <t>Jovem Pan Entretenimento</t>
  </si>
  <si>
    <t>PortalVIU!</t>
  </si>
  <si>
    <t>@josecarlosdearaujo</t>
  </si>
  <si>
    <t>Tarcísio Gomes de Freitas</t>
  </si>
  <si>
    <t>Felipe dos Pneus</t>
  </si>
  <si>
    <t>Eniac Polo SJC</t>
  </si>
  <si>
    <t>💚💛💙Darisa Patrocinio💚💛💙🫂</t>
  </si>
  <si>
    <t>Governo de Sergipe</t>
  </si>
  <si>
    <t>DOL CARAJÁS</t>
  </si>
  <si>
    <t>Sidney Nakatani</t>
  </si>
  <si>
    <t>Aline Cardoso</t>
  </si>
  <si>
    <t>Vinicius R. Ruscito</t>
  </si>
  <si>
    <t>Dinheirama.com</t>
  </si>
  <si>
    <t>Marcia Sigler - Radio Ação Brasil</t>
  </si>
  <si>
    <t>TC</t>
  </si>
  <si>
    <t>Javier Ramacciotti</t>
  </si>
  <si>
    <t>cantonio7.eth</t>
  </si>
  <si>
    <t>FR money Matters</t>
  </si>
  <si>
    <t>Polkadot</t>
  </si>
  <si>
    <t>Polkabridge</t>
  </si>
  <si>
    <t>Thiago Budni</t>
  </si>
  <si>
    <t>Falk Capital - Alertas</t>
  </si>
  <si>
    <t>Falk Capital</t>
  </si>
  <si>
    <t>Android Final</t>
  </si>
  <si>
    <t>Professor César Urtado</t>
  </si>
  <si>
    <t>Nelson peixoto</t>
  </si>
  <si>
    <t>Marcos Zanatta</t>
  </si>
  <si>
    <t>𝕰𝖉𝖎𝖛𝖆𝖓𝖎𝖔</t>
  </si>
  <si>
    <t> Edmar Bertolo</t>
  </si>
  <si>
    <t>E-Investidor</t>
  </si>
  <si>
    <t>TradeMap</t>
  </si>
  <si>
    <t>SuínoBrasil</t>
  </si>
  <si>
    <t>Simão Cassange</t>
  </si>
  <si>
    <t>Estoa</t>
  </si>
  <si>
    <t>Daniel Martins 🇧🇷</t>
  </si>
  <si>
    <t>EBS</t>
  </si>
  <si>
    <t>Cripto Leblon</t>
  </si>
  <si>
    <t>LEOMORBAN</t>
  </si>
  <si>
    <t>Filosofia de Trader</t>
  </si>
  <si>
    <t>MeUGamer (de 🕹🎬💽🏠) #Gamernéfilo 🇧🇷</t>
  </si>
  <si>
    <t>Revista Grandes Construções</t>
  </si>
  <si>
    <t>Jhonata S. Lima</t>
  </si>
  <si>
    <t>Pro Educacional</t>
  </si>
  <si>
    <t>Enfoque</t>
  </si>
  <si>
    <t>Ricardo Ferreira</t>
  </si>
  <si>
    <t>IQ Option Portuguese</t>
  </si>
  <si>
    <t>Bloomberg</t>
  </si>
  <si>
    <t>Seeking Alpha</t>
  </si>
  <si>
    <t>Bloomberg Markets</t>
  </si>
  <si>
    <t>Paulo Martins 🚀</t>
  </si>
  <si>
    <t>🎯No Alvo🎯</t>
  </si>
  <si>
    <t>George Telles</t>
  </si>
  <si>
    <t>Genial Investimentos</t>
  </si>
  <si>
    <t>Filipe Villegas</t>
  </si>
  <si>
    <t>Roberto Motta</t>
  </si>
  <si>
    <t>Invista Finanças</t>
  </si>
  <si>
    <t>Cointelegraph Brasil</t>
  </si>
  <si>
    <t>Seu Dinheiro</t>
  </si>
  <si>
    <t>Motor Show</t>
  </si>
  <si>
    <t>FinançaDescomplicada</t>
  </si>
  <si>
    <t>VnC</t>
  </si>
  <si>
    <t>Pitter Trader</t>
  </si>
  <si>
    <t>Money Markets</t>
  </si>
  <si>
    <t>EuQueroInvestir</t>
  </si>
  <si>
    <t>Paiva Piovesan</t>
  </si>
  <si>
    <t>O Turco</t>
  </si>
  <si>
    <t>Monica Brisolla</t>
  </si>
  <si>
    <t>Faria Lima Journal</t>
  </si>
  <si>
    <t>Luciano Costa</t>
  </si>
  <si>
    <t>Cleuza Zambélo</t>
  </si>
  <si>
    <t>Rio2016PTEducador 🇧🇷🚩🇦🇲</t>
  </si>
  <si>
    <t>Israel</t>
  </si>
  <si>
    <t>SóNotíciaBoa.com.br</t>
  </si>
  <si>
    <t>Mário CNPI</t>
  </si>
  <si>
    <t>Tiago Guitián Reis</t>
  </si>
  <si>
    <t>Daniel Arai</t>
  </si>
  <si>
    <t>Filipe Borges</t>
  </si>
  <si>
    <t>C&amp;M Software BR</t>
  </si>
  <si>
    <t>Jornal Daki</t>
  </si>
  <si>
    <t>SegurançaSP</t>
  </si>
  <si>
    <t>PIXTV HD</t>
  </si>
  <si>
    <t>GranjaNews Newspaper</t>
  </si>
  <si>
    <t>Prefeitura Municipal de Cotia</t>
  </si>
  <si>
    <t>Exnova Portuguese</t>
  </si>
  <si>
    <t>MarketWatch</t>
  </si>
  <si>
    <t>Litecoin</t>
  </si>
  <si>
    <t>MicroStrategy</t>
  </si>
  <si>
    <t>Reserve Bank of Australia</t>
  </si>
  <si>
    <t>Orgulhosomorfo</t>
  </si>
  <si>
    <t>matheus sales</t>
  </si>
  <si>
    <t>hsjeiwieei</t>
  </si>
  <si>
    <t>Portal O Antenado</t>
  </si>
  <si>
    <t>Viver de Dividendos</t>
  </si>
  <si>
    <t>Humberto Alexandre</t>
  </si>
  <si>
    <t>Rádio Tabajara</t>
  </si>
  <si>
    <t>Rafael de Mello</t>
  </si>
  <si>
    <t>Teg6</t>
  </si>
  <si>
    <t>Portal Juristec</t>
  </si>
  <si>
    <t>Adrieli Martins</t>
  </si>
  <si>
    <t>محمد بن سلمان بن عبد العزيز (Informal)</t>
  </si>
  <si>
    <t>Fumar Mata</t>
  </si>
  <si>
    <t>Jones Monteiro</t>
  </si>
  <si>
    <t>Bruno Venâncio</t>
  </si>
  <si>
    <t>André Oliveira</t>
  </si>
  <si>
    <t>Kabbalah.Info/pt</t>
  </si>
  <si>
    <t>Raphael Tesla</t>
  </si>
  <si>
    <t>Rico Monteiro</t>
  </si>
  <si>
    <t>LexLatinBr</t>
  </si>
  <si>
    <t>Nanna Luyza Santana</t>
  </si>
  <si>
    <t>de moeda em moeda</t>
  </si>
  <si>
    <t>Misael Nascimento,CEA ®️</t>
  </si>
  <si>
    <t>Drops Mercado</t>
  </si>
  <si>
    <t>Comdinheiro</t>
  </si>
  <si>
    <t>Luiz F.C.R.M.Botelho, ACSTH 🇧🇷🇵🇹🇮🇹🇲🇽🇺🇸</t>
  </si>
  <si>
    <t>José Antonio</t>
  </si>
  <si>
    <t>Alê LS - Análise Técnica</t>
  </si>
  <si>
    <t>True market Leader</t>
  </si>
  <si>
    <t>Yohel D. Larrauri</t>
  </si>
  <si>
    <t>Marcia Camargo - Clínica Washington Amancio</t>
  </si>
  <si>
    <t>Gilvan Bueno</t>
  </si>
  <si>
    <t>cayo cesar 🇧🇷</t>
  </si>
  <si>
    <t>pensarpiauioficial</t>
  </si>
  <si>
    <t>Pipeline</t>
  </si>
  <si>
    <t>Rodrigo Stigert</t>
  </si>
  <si>
    <t>InfoVeritas</t>
  </si>
  <si>
    <t>Caminho do Investimento</t>
  </si>
  <si>
    <t>Matt Allen</t>
  </si>
  <si>
    <t>Ion</t>
  </si>
  <si>
    <t>Ricardo Santos e Silva</t>
  </si>
  <si>
    <t>Rodrigo Vieira</t>
  </si>
  <si>
    <t>flávio souza</t>
  </si>
  <si>
    <t>Escola de Operadores</t>
  </si>
  <si>
    <t>W. B. #contraofascimo</t>
  </si>
  <si>
    <t>Política Distrital</t>
  </si>
  <si>
    <t>Renato Breia, CFP®</t>
  </si>
  <si>
    <t>Dinheiro de Verdade</t>
  </si>
  <si>
    <t>Gabriel Rigon</t>
  </si>
  <si>
    <t>Charles Phibonacci</t>
  </si>
  <si>
    <t>BM&amp;C News</t>
  </si>
  <si>
    <t>ActivTrades</t>
  </si>
  <si>
    <t>CM Capital</t>
  </si>
  <si>
    <t>ActivTrades Português</t>
  </si>
  <si>
    <t>Ygor Baicere</t>
  </si>
  <si>
    <t>PORTAL VIVA COTIA</t>
  </si>
  <si>
    <t>Fonte Certa</t>
  </si>
  <si>
    <t>Exxcede Gestão Condominial</t>
  </si>
  <si>
    <t>Freepik</t>
  </si>
  <si>
    <t>TRUXT Investimentos</t>
  </si>
  <si>
    <t>T2iD</t>
  </si>
  <si>
    <t>GB</t>
  </si>
  <si>
    <t>Digital Profit</t>
  </si>
  <si>
    <t>Fred Quintanilha | Cálculo Judicial</t>
  </si>
  <si>
    <t>ARTHUR SANTOS</t>
  </si>
  <si>
    <t>Rodrigo Jorge | Vício de Investidor</t>
  </si>
  <si>
    <t>Investidor Prudente</t>
  </si>
  <si>
    <t>Grana Capital</t>
  </si>
  <si>
    <t>SFA Investimentos</t>
  </si>
  <si>
    <t>Kaio Costa Silva</t>
  </si>
  <si>
    <t>Brian Feroldi (🧠,📈)</t>
  </si>
  <si>
    <t>CPTM</t>
  </si>
  <si>
    <t>JULIO BORBA</t>
  </si>
  <si>
    <t>Verdades inconvenientes sobre o mercado financeiro</t>
  </si>
  <si>
    <t>Valor Econômico</t>
  </si>
  <si>
    <t>Faria Lima Elevator</t>
  </si>
  <si>
    <t>Teva Indices</t>
  </si>
  <si>
    <t>Market Makers</t>
  </si>
  <si>
    <t>Status Invest</t>
  </si>
  <si>
    <t>Carlos Teles</t>
  </si>
  <si>
    <t>Portal de Prefeitura</t>
  </si>
  <si>
    <t>🎖️©️⌁</t>
  </si>
  <si>
    <t>Contraponto</t>
  </si>
  <si>
    <t>Cuidar e dar voz 💙</t>
  </si>
  <si>
    <t>Andrei B. Pacheco</t>
  </si>
  <si>
    <t>Heuler Andrey</t>
  </si>
  <si>
    <t>Cultivar Seu Futuro</t>
  </si>
  <si>
    <t>Investidor Frugal</t>
  </si>
  <si>
    <t>DEGIRO</t>
  </si>
  <si>
    <t>Ana Emilia Tassara</t>
  </si>
  <si>
    <t>David Washin</t>
  </si>
  <si>
    <t>InverPersonal</t>
  </si>
  <si>
    <t>Vagner Caldas ® 🤓💵💰</t>
  </si>
  <si>
    <t>Criptomoedas</t>
  </si>
  <si>
    <t>Bloomberg Línea Brasil</t>
  </si>
  <si>
    <t>Raphael Cordeiro</t>
  </si>
  <si>
    <t>FundsPeople (PT)</t>
  </si>
  <si>
    <t>Fragmentos</t>
  </si>
  <si>
    <t>EconoVisão</t>
  </si>
  <si>
    <t>Mael Silva</t>
  </si>
  <si>
    <t>MECFIN - MERCADO FINANCEIRO BR</t>
  </si>
  <si>
    <t>Rodrigo Fávaro</t>
  </si>
  <si>
    <t>Blog do Hiel Levy</t>
  </si>
  <si>
    <t>Plu7</t>
  </si>
  <si>
    <t>Coingraph | Notícias</t>
  </si>
  <si>
    <t>Anderson de Andrade</t>
  </si>
  <si>
    <t>Banco Central BR</t>
  </si>
  <si>
    <t>Jornal Panorama</t>
  </si>
  <si>
    <t>Neotel</t>
  </si>
  <si>
    <t>José Luís Laus</t>
  </si>
  <si>
    <t>Reuters World</t>
  </si>
  <si>
    <t>Info Global</t>
  </si>
  <si>
    <t>Bruno Mota🔭</t>
  </si>
  <si>
    <t>Felipe Veloso</t>
  </si>
  <si>
    <t>Fraternidade Cripto Mestres</t>
  </si>
  <si>
    <t>Perito Econômico</t>
  </si>
  <si>
    <t>Lucas Augusto</t>
  </si>
  <si>
    <t>WEBER TRADER</t>
  </si>
  <si>
    <t>Vitor Faustino Invest</t>
  </si>
  <si>
    <t>JornalCorreiodeMinas</t>
  </si>
  <si>
    <t>Lipe Investe</t>
  </si>
  <si>
    <t>Edson Ribeiro de Rothschild</t>
  </si>
  <si>
    <t>O EXterior</t>
  </si>
  <si>
    <t>Minerva Foods</t>
  </si>
  <si>
    <t>Osmar 🇪🇪</t>
  </si>
  <si>
    <t>cardoso</t>
  </si>
  <si>
    <t>Wagner Geremia</t>
  </si>
  <si>
    <t>Marcos Manguelli</t>
  </si>
  <si>
    <t>Espaço Recomeçar</t>
  </si>
  <si>
    <t>Daniel 💙</t>
  </si>
  <si>
    <t>Lucas Rodrigues</t>
  </si>
  <si>
    <t>O que os dados mostram?</t>
  </si>
  <si>
    <t>getthe</t>
  </si>
  <si>
    <t>b</t>
  </si>
  <si>
    <t>Vinicius</t>
  </si>
  <si>
    <t>Fernando Antonioli</t>
  </si>
  <si>
    <t>Jadson Lima🇧🇷</t>
  </si>
  <si>
    <t>Ben Popov</t>
  </si>
  <si>
    <t>BTG Pactual</t>
  </si>
  <si>
    <t>Investidor em Valor</t>
  </si>
  <si>
    <t>Mediterranean Investor</t>
  </si>
  <si>
    <t>Vanessa Dezem</t>
  </si>
  <si>
    <t>Vinícius Andrade</t>
  </si>
  <si>
    <t>Murilo ♫•🚩</t>
  </si>
  <si>
    <t>Brasil 247</t>
  </si>
  <si>
    <t>Ale Martuchelli</t>
  </si>
  <si>
    <t>Lu do Magalu 💙</t>
  </si>
  <si>
    <t>Diário do Comércio</t>
  </si>
  <si>
    <t>Mano Call 📈📉</t>
  </si>
  <si>
    <t>IFL Instituto de pesquisa</t>
  </si>
  <si>
    <t>Mais Educativa</t>
  </si>
  <si>
    <t>Tony Trader</t>
  </si>
  <si>
    <t>James Atayde</t>
  </si>
  <si>
    <t>celio balbi guida</t>
  </si>
  <si>
    <t>Marquinho da Pipa</t>
  </si>
  <si>
    <t>Onjornal</t>
  </si>
  <si>
    <t>Mayko Freitas</t>
  </si>
  <si>
    <t>Revista M&amp;T</t>
  </si>
  <si>
    <t>Sobratema Oficial</t>
  </si>
  <si>
    <t>Mano Investidor</t>
  </si>
  <si>
    <t>Brava Capital</t>
  </si>
  <si>
    <t>Hilton Boss</t>
  </si>
  <si>
    <t>Hilton</t>
  </si>
  <si>
    <t>Click Petróleo e Gás</t>
  </si>
  <si>
    <t>Glauco Jarzinski</t>
  </si>
  <si>
    <t>Jesuschrist 🌻</t>
  </si>
  <si>
    <t>Factu Trade Marketing</t>
  </si>
  <si>
    <t>Matheus Amancio</t>
  </si>
  <si>
    <t>DAMIÃO SOARES NUNES</t>
  </si>
  <si>
    <t>Rike Rodrigues</t>
  </si>
  <si>
    <t>AM ATUAL</t>
  </si>
  <si>
    <t>Elisabete Ramiro</t>
  </si>
  <si>
    <t>Exness Corretora</t>
  </si>
  <si>
    <t>Com Lucro</t>
  </si>
  <si>
    <t>Sir Hidden🔥🚀</t>
  </si>
  <si>
    <t>Phani</t>
  </si>
  <si>
    <t>Walter Correa</t>
  </si>
  <si>
    <t>Mais News</t>
  </si>
  <si>
    <t>TraderVlog</t>
  </si>
  <si>
    <t>Nomad Invest</t>
  </si>
  <si>
    <t>Inteligencia Monetaria</t>
  </si>
  <si>
    <t>Pense Mercado</t>
  </si>
  <si>
    <t>Carvalho-Alves</t>
  </si>
  <si>
    <t>Bruno Reis</t>
  </si>
  <si>
    <t>Victor Pinto</t>
  </si>
  <si>
    <t>Invista na bolsa</t>
  </si>
  <si>
    <t>MeusFii</t>
  </si>
  <si>
    <t>Investir na Bolsa</t>
  </si>
  <si>
    <t>Pedro Souza 🇧🇷</t>
  </si>
  <si>
    <t>Fii News Paper</t>
  </si>
  <si>
    <t>Rafael Perich</t>
  </si>
  <si>
    <t>Raquel Lyra</t>
  </si>
  <si>
    <t>Igor Serrano</t>
  </si>
  <si>
    <t>RintarouFX</t>
  </si>
  <si>
    <t>𝐉𝐎𝐍𝐀𝐓𝐇𝐀𝐍 𝐁𝐀𝐋𝐃𝐈 💲Outlier</t>
  </si>
  <si>
    <t>SmarttBot</t>
  </si>
  <si>
    <t>Fábio Oliveira | CFEd®</t>
  </si>
  <si>
    <t>Investidor Descoletizado</t>
  </si>
  <si>
    <t>Bora ficar rico</t>
  </si>
  <si>
    <t>edu</t>
  </si>
  <si>
    <t>JOÃO BATISTA PEREIRA PINTO</t>
  </si>
  <si>
    <t>Seguindo Tendência</t>
  </si>
  <si>
    <t>ExpressoPB</t>
  </si>
  <si>
    <t>S&amp;F Multi Investimentos</t>
  </si>
  <si>
    <t>Daniel Nigri</t>
  </si>
  <si>
    <t>Smartbrain</t>
  </si>
  <si>
    <t>India Brazil Chamber of Commerce</t>
  </si>
  <si>
    <t>💱 André Cardoso 🇵🇹 </t>
  </si>
  <si>
    <t>Ativos Garantem</t>
  </si>
  <si>
    <t>alcyr beltrame</t>
  </si>
  <si>
    <t>Ártica Asset Management</t>
  </si>
  <si>
    <t>Ivan Barboza, CFA</t>
  </si>
  <si>
    <t>Lucas 🇳🇱 𝕏</t>
  </si>
  <si>
    <t>Aprenda Investir Hoje</t>
  </si>
  <si>
    <t>Lumlux Art</t>
  </si>
  <si>
    <t>Ⓜ️astroianni</t>
  </si>
  <si>
    <t>Flavio Rodrigues - PenseExcel.com</t>
  </si>
  <si>
    <t>Cesar Kato</t>
  </si>
  <si>
    <t>ManIAm</t>
  </si>
  <si>
    <t>Bruno Valente | Clube do Investimento USA</t>
  </si>
  <si>
    <t>Moneyinvest</t>
  </si>
  <si>
    <t>Agora Piauí</t>
  </si>
  <si>
    <t>Como Ganhar Dinheiro Na Internet</t>
  </si>
  <si>
    <t>Cleydson Fernandes, CFP®</t>
  </si>
  <si>
    <t>O Canal da Lili</t>
  </si>
  <si>
    <t>Noticias da bolsa</t>
  </si>
  <si>
    <t>@seguroambiental</t>
  </si>
  <si>
    <t>regina bittencourt/ 雷吉娜 ·레지나 比滕科特,🇧🇷</t>
  </si>
  <si>
    <t>BLOCKBR - Digital Assets</t>
  </si>
  <si>
    <t>Pedro Pimenta</t>
  </si>
  <si>
    <t>Rodrigo Correa, CFA</t>
  </si>
  <si>
    <t>Panflix</t>
  </si>
  <si>
    <t>Pod Call</t>
  </si>
  <si>
    <t>Bipolarizado</t>
  </si>
  <si>
    <t>Ministério da Integração/Desenvolvimento Regional</t>
  </si>
  <si>
    <t>Waldez Góes</t>
  </si>
  <si>
    <t>Descomplica - Finanças para Todos</t>
  </si>
  <si>
    <t>Leandro Vasconcellos, CFP®</t>
  </si>
  <si>
    <t>Thomás Pessoa</t>
  </si>
  <si>
    <t>PRIME BROKERS</t>
  </si>
  <si>
    <t>Cristiane Fensterseifer, CNPI, CGA e consultora</t>
  </si>
  <si>
    <t>Erk Cvl</t>
  </si>
  <si>
    <t>Prático Forense</t>
  </si>
  <si>
    <t>O Alto Acre</t>
  </si>
  <si>
    <t>Diário de Goiás</t>
  </si>
  <si>
    <t>Keep Growing</t>
  </si>
  <si>
    <t>C$$.Finance</t>
  </si>
  <si>
    <t>Finanças</t>
  </si>
  <si>
    <t>MOVO</t>
  </si>
  <si>
    <t>CRISTIANO CARDOSO</t>
  </si>
  <si>
    <t>BP Money</t>
  </si>
  <si>
    <t>Pedro Paulo Spencer-Soares</t>
  </si>
  <si>
    <t>Paulo Henrique Hamam</t>
  </si>
  <si>
    <t>Daniela Lima</t>
  </si>
  <si>
    <t>Cryptonita Investments 🇧🇷 🇺🇸</t>
  </si>
  <si>
    <t>Dicionário News</t>
  </si>
  <si>
    <t>🇧🇷 C a p i v a r a 🇧🇷</t>
  </si>
  <si>
    <t>Correio Popular</t>
  </si>
  <si>
    <t>Empreender em Goiás</t>
  </si>
  <si>
    <t>Agência CMA</t>
  </si>
  <si>
    <t>Alyson Davalle Alves</t>
  </si>
  <si>
    <t>corridadostouros</t>
  </si>
  <si>
    <t>Revista Brasil Mineral</t>
  </si>
  <si>
    <t>Ronaldo Lundgren</t>
  </si>
  <si>
    <t>Duduh Rosa</t>
  </si>
  <si>
    <t>Rafael Costa</t>
  </si>
  <si>
    <t>InvestidorCiente</t>
  </si>
  <si>
    <t>SMART CRYPTO</t>
  </si>
  <si>
    <t>Foleto</t>
  </si>
  <si>
    <t>Quebrado Na Bolsa</t>
  </si>
  <si>
    <t>Revista Cães&amp;Gatos</t>
  </si>
  <si>
    <t>Rodrigo Barboza</t>
  </si>
  <si>
    <t>Consed</t>
  </si>
  <si>
    <t>ALLQAMARI Notícias</t>
  </si>
  <si>
    <t>Estante Virtual</t>
  </si>
  <si>
    <t>Marcelo Torres, MBA🇧🇷</t>
  </si>
  <si>
    <t>Jonas - Advogado de CER</t>
  </si>
  <si>
    <t>Nath Finanças 💰</t>
  </si>
  <si>
    <t>XP</t>
  </si>
  <si>
    <t>Vito Arts</t>
  </si>
  <si>
    <t>romero.financas</t>
  </si>
  <si>
    <t>YOMELIJAH</t>
  </si>
  <si>
    <t>Matheus Ehrenfredo Knop</t>
  </si>
  <si>
    <t>E-Money Brasil</t>
  </si>
  <si>
    <t>iG</t>
  </si>
  <si>
    <t>HENLE | Investimentos &amp; Macroeconomia</t>
  </si>
  <si>
    <t>Bloomberg em Português</t>
  </si>
  <si>
    <t>Investing.com Brasil 🇧🇷</t>
  </si>
  <si>
    <t>AI da Faria Lima</t>
  </si>
  <si>
    <t>Finance One</t>
  </si>
  <si>
    <t>ESVEN</t>
  </si>
  <si>
    <t>Carlos Montaño</t>
  </si>
  <si>
    <t>FGC</t>
  </si>
  <si>
    <t>Renato A. F. Reis | CNPI-P</t>
  </si>
  <si>
    <t>PEQUENOS ESTUDOS BÍBLICOS</t>
  </si>
  <si>
    <t>24598688</t>
  </si>
  <si>
    <t>67714638</t>
  </si>
  <si>
    <t>10228272</t>
  </si>
  <si>
    <t>51557374</t>
  </si>
  <si>
    <t>24753566</t>
  </si>
  <si>
    <t>45083460</t>
  </si>
  <si>
    <t>89153011</t>
  </si>
  <si>
    <t>564094567</t>
  </si>
  <si>
    <t>69918287</t>
  </si>
  <si>
    <t>953747168</t>
  </si>
  <si>
    <t>75173434</t>
  </si>
  <si>
    <t>97002987</t>
  </si>
  <si>
    <t>2744090561</t>
  </si>
  <si>
    <t>1113907482</t>
  </si>
  <si>
    <t>118116809</t>
  </si>
  <si>
    <t>106175018</t>
  </si>
  <si>
    <t>52870194</t>
  </si>
  <si>
    <t>2670530420</t>
  </si>
  <si>
    <t>119403684</t>
  </si>
  <si>
    <t>35005785</t>
  </si>
  <si>
    <t>16604637</t>
  </si>
  <si>
    <t>581194935</t>
  </si>
  <si>
    <t>86310384</t>
  </si>
  <si>
    <t>625443093</t>
  </si>
  <si>
    <t>9706822</t>
  </si>
  <si>
    <t>18760940</t>
  </si>
  <si>
    <t>568494327</t>
  </si>
  <si>
    <t>393440112</t>
  </si>
  <si>
    <t>183022394</t>
  </si>
  <si>
    <t>488289654</t>
  </si>
  <si>
    <t>898194865</t>
  </si>
  <si>
    <t>59500133</t>
  </si>
  <si>
    <t>1508101517009727488</t>
  </si>
  <si>
    <t>222416371</t>
  </si>
  <si>
    <t>60222160</t>
  </si>
  <si>
    <t>2319390320</t>
  </si>
  <si>
    <t>2862272213</t>
  </si>
  <si>
    <t>15536888</t>
  </si>
  <si>
    <t>17598453</t>
  </si>
  <si>
    <t>257625339</t>
  </si>
  <si>
    <t>510272910</t>
  </si>
  <si>
    <t>489723814</t>
  </si>
  <si>
    <t>51565827</t>
  </si>
  <si>
    <t>4876155353</t>
  </si>
  <si>
    <t>2780697111</t>
  </si>
  <si>
    <t>51150679</t>
  </si>
  <si>
    <t>28598257</t>
  </si>
  <si>
    <t>2517788041</t>
  </si>
  <si>
    <t>56852265</t>
  </si>
  <si>
    <t>2434180980</t>
  </si>
  <si>
    <t>37937416</t>
  </si>
  <si>
    <t>8315402</t>
  </si>
  <si>
    <t>2880483634</t>
  </si>
  <si>
    <t>958437799</t>
  </si>
  <si>
    <t>209780362</t>
  </si>
  <si>
    <t>42962996</t>
  </si>
  <si>
    <t>56862818</t>
  </si>
  <si>
    <t>12361362</t>
  </si>
  <si>
    <t>71041666</t>
  </si>
  <si>
    <t>93861945</t>
  </si>
  <si>
    <t>193500696</t>
  </si>
  <si>
    <t>399598534</t>
  </si>
  <si>
    <t>271907415</t>
  </si>
  <si>
    <t>89583768</t>
  </si>
  <si>
    <t>1169718466007437313</t>
  </si>
  <si>
    <t>46624815</t>
  </si>
  <si>
    <t>2182231625</t>
  </si>
  <si>
    <t>48850831</t>
  </si>
  <si>
    <t>27900594</t>
  </si>
  <si>
    <t>1017413287</t>
  </si>
  <si>
    <t>57341747</t>
  </si>
  <si>
    <t>114651521</t>
  </si>
  <si>
    <t>190271535</t>
  </si>
  <si>
    <t>373457750</t>
  </si>
  <si>
    <t>23408209</t>
  </si>
  <si>
    <t>142850730</t>
  </si>
  <si>
    <t>1595615893</t>
  </si>
  <si>
    <t>1371712820128096257</t>
  </si>
  <si>
    <t>57981116</t>
  </si>
  <si>
    <t>2147792989</t>
  </si>
  <si>
    <t>1195337472</t>
  </si>
  <si>
    <t>277177609</t>
  </si>
  <si>
    <t>99585604</t>
  </si>
  <si>
    <t>307533855</t>
  </si>
  <si>
    <t>830821595082063872</t>
  </si>
  <si>
    <t>136293095</t>
  </si>
  <si>
    <t>17863805</t>
  </si>
  <si>
    <t>34713362</t>
  </si>
  <si>
    <t>23059499</t>
  </si>
  <si>
    <t>69620713</t>
  </si>
  <si>
    <t>3353280789</t>
  </si>
  <si>
    <t>55700238</t>
  </si>
  <si>
    <t>1024287005058981888</t>
  </si>
  <si>
    <t>116852305</t>
  </si>
  <si>
    <t>2421006511</t>
  </si>
  <si>
    <t>43351877</t>
  </si>
  <si>
    <t>1583315124</t>
  </si>
  <si>
    <t>257906367</t>
  </si>
  <si>
    <t>2270546359</t>
  </si>
  <si>
    <t>329857969</t>
  </si>
  <si>
    <t>2428055045</t>
  </si>
  <si>
    <t>126173807</t>
  </si>
  <si>
    <t>2325810834</t>
  </si>
  <si>
    <t>3581596336</t>
  </si>
  <si>
    <t>53203723</t>
  </si>
  <si>
    <t>117089350</t>
  </si>
  <si>
    <t>239678012</t>
  </si>
  <si>
    <t>1108060841029615616</t>
  </si>
  <si>
    <t>624413</t>
  </si>
  <si>
    <t>385562752</t>
  </si>
  <si>
    <t>14883246</t>
  </si>
  <si>
    <t>202896989</t>
  </si>
  <si>
    <t>419646071</t>
  </si>
  <si>
    <t>1595648917</t>
  </si>
  <si>
    <t>3406447954</t>
  </si>
  <si>
    <t>83748411</t>
  </si>
  <si>
    <t>110151247</t>
  </si>
  <si>
    <t>74421223</t>
  </si>
  <si>
    <t>21410087</t>
  </si>
  <si>
    <t>159638345</t>
  </si>
  <si>
    <t>73877449</t>
  </si>
  <si>
    <t>40146795</t>
  </si>
  <si>
    <t>592291183</t>
  </si>
  <si>
    <t>2207524092</t>
  </si>
  <si>
    <t>1727074148</t>
  </si>
  <si>
    <t>1073582198</t>
  </si>
  <si>
    <t>343506818</t>
  </si>
  <si>
    <t>17884125</t>
  </si>
  <si>
    <t>292998364</t>
  </si>
  <si>
    <t>3671199437</t>
  </si>
  <si>
    <t>145317578</t>
  </si>
  <si>
    <t>40008185</t>
  </si>
  <si>
    <t>53469538</t>
  </si>
  <si>
    <t>61815962</t>
  </si>
  <si>
    <t>56782939</t>
  </si>
  <si>
    <t>1268982620047671297</t>
  </si>
  <si>
    <t>759465295</t>
  </si>
  <si>
    <t>1121139020115918849</t>
  </si>
  <si>
    <t>2578778256</t>
  </si>
  <si>
    <t>352118324</t>
  </si>
  <si>
    <t>266611119</t>
  </si>
  <si>
    <t>35049549</t>
  </si>
  <si>
    <t>586453534</t>
  </si>
  <si>
    <t>1707652002</t>
  </si>
  <si>
    <t>61558281</t>
  </si>
  <si>
    <t>32529120</t>
  </si>
  <si>
    <t>1234323918837645312</t>
  </si>
  <si>
    <t>3024436931</t>
  </si>
  <si>
    <t>92586313</t>
  </si>
  <si>
    <t>140099978</t>
  </si>
  <si>
    <t>4894646507</t>
  </si>
  <si>
    <t>177181222</t>
  </si>
  <si>
    <t>134918494</t>
  </si>
  <si>
    <t>255237609</t>
  </si>
  <si>
    <t>384623981</t>
  </si>
  <si>
    <t>1069121174</t>
  </si>
  <si>
    <t>33525637</t>
  </si>
  <si>
    <t>15514372</t>
  </si>
  <si>
    <t>239762397</t>
  </si>
  <si>
    <t>335455570</t>
  </si>
  <si>
    <t>283815297</t>
  </si>
  <si>
    <t>119024617</t>
  </si>
  <si>
    <t>634133167</t>
  </si>
  <si>
    <t>1235703799584563201</t>
  </si>
  <si>
    <t>2874080791</t>
  </si>
  <si>
    <t>438488077</t>
  </si>
  <si>
    <t>93418087</t>
  </si>
  <si>
    <t>966615637</t>
  </si>
  <si>
    <t>823982</t>
  </si>
  <si>
    <t>1398660120767258630</t>
  </si>
  <si>
    <t>37329759</t>
  </si>
  <si>
    <t>3996540737</t>
  </si>
  <si>
    <t>34957352</t>
  </si>
  <si>
    <t>61760838</t>
  </si>
  <si>
    <t>74198459</t>
  </si>
  <si>
    <t>248890506</t>
  </si>
  <si>
    <t>30299516</t>
  </si>
  <si>
    <t>94388843</t>
  </si>
  <si>
    <t>609260052</t>
  </si>
  <si>
    <t>171600153</t>
  </si>
  <si>
    <t>197450348</t>
  </si>
  <si>
    <t>36504210</t>
  </si>
  <si>
    <t>3393519442</t>
  </si>
  <si>
    <t>93754487</t>
  </si>
  <si>
    <t>71351432</t>
  </si>
  <si>
    <t>239241856</t>
  </si>
  <si>
    <t>4475302455</t>
  </si>
  <si>
    <t>1857286891</t>
  </si>
  <si>
    <t>594578926</t>
  </si>
  <si>
    <t>360619751</t>
  </si>
  <si>
    <t>254196118</t>
  </si>
  <si>
    <t>44006093</t>
  </si>
  <si>
    <t>70575051</t>
  </si>
  <si>
    <t>230005777</t>
  </si>
  <si>
    <t>60418599</t>
  </si>
  <si>
    <t>118477795</t>
  </si>
  <si>
    <t>281238704</t>
  </si>
  <si>
    <t>306358347</t>
  </si>
  <si>
    <t>60028547</t>
  </si>
  <si>
    <t>3331598860</t>
  </si>
  <si>
    <t>336690703</t>
  </si>
  <si>
    <t>3798705617</t>
  </si>
  <si>
    <t>90010417</t>
  </si>
  <si>
    <t>281544249</t>
  </si>
  <si>
    <t>965696565074714625</t>
  </si>
  <si>
    <t>261934851</t>
  </si>
  <si>
    <t>78807310</t>
  </si>
  <si>
    <t>161793323</t>
  </si>
  <si>
    <t>25371172</t>
  </si>
  <si>
    <t>67048206</t>
  </si>
  <si>
    <t>52359184</t>
  </si>
  <si>
    <t>2781389394</t>
  </si>
  <si>
    <t>236985635</t>
  </si>
  <si>
    <t>619476869</t>
  </si>
  <si>
    <t>41846500</t>
  </si>
  <si>
    <t>3127710448</t>
  </si>
  <si>
    <t>244707852</t>
  </si>
  <si>
    <t>74146257</t>
  </si>
  <si>
    <t>136452657</t>
  </si>
  <si>
    <t>193439905</t>
  </si>
  <si>
    <t>33412872</t>
  </si>
  <si>
    <t>3234532213</t>
  </si>
  <si>
    <t>916008599205359617</t>
  </si>
  <si>
    <t>44208467</t>
  </si>
  <si>
    <t>3341974577</t>
  </si>
  <si>
    <t>14311308</t>
  </si>
  <si>
    <t>49292227</t>
  </si>
  <si>
    <t>1073395940202070016</t>
  </si>
  <si>
    <t>4847445713</t>
  </si>
  <si>
    <t>1047496479273865217</t>
  </si>
  <si>
    <t>1366595349792632834</t>
  </si>
  <si>
    <t>Porto Alegre, Brasil</t>
  </si>
  <si>
    <t>Puerto Natales, Chile</t>
  </si>
  <si>
    <t>Aveiro, Portugal</t>
  </si>
  <si>
    <t>Porto Alegre, Brazil</t>
  </si>
  <si>
    <t>Rio de Janeiro - RJ</t>
  </si>
  <si>
    <t>Piracicaba, Brasil</t>
  </si>
  <si>
    <t>San Bruno, CA</t>
  </si>
  <si>
    <t>Pelo mundo</t>
  </si>
  <si>
    <t>Volta Redonda</t>
  </si>
  <si>
    <t>New Westminster, British Colum</t>
  </si>
  <si>
    <t>Ceará - Brasil</t>
  </si>
  <si>
    <t>Deixa ver no GPS</t>
  </si>
  <si>
    <t>CryptoLand</t>
  </si>
  <si>
    <t>Internet / Blog</t>
  </si>
  <si>
    <t>Brasil, São Paulo</t>
  </si>
  <si>
    <t>Brasília, Brasil</t>
  </si>
  <si>
    <t>Betim e região</t>
  </si>
  <si>
    <t>👇 Nossos Produtos</t>
  </si>
  <si>
    <t>São Paulo - Brasil</t>
  </si>
  <si>
    <t>Av. Paulista, 900 - São Paulo</t>
  </si>
  <si>
    <t>São Paulo, SP</t>
  </si>
  <si>
    <t>Sao Paulo</t>
  </si>
  <si>
    <t>São Carlos - São Paulo - Brasi</t>
  </si>
  <si>
    <t>Vitória / ES / Brasil</t>
  </si>
  <si>
    <t>Palmas-TO</t>
  </si>
  <si>
    <t>Florianópolis, Brasil</t>
  </si>
  <si>
    <t>Florianópolis, SC</t>
  </si>
  <si>
    <t>Curitiba, Brazil</t>
  </si>
  <si>
    <t>Galicia</t>
  </si>
  <si>
    <t>Madrid, Comunidad de Madrid</t>
  </si>
  <si>
    <t>Santa Catarina</t>
  </si>
  <si>
    <t>Campinas-SP, Brazil</t>
  </si>
  <si>
    <t>Camaquã/RS</t>
  </si>
  <si>
    <t>a Manresa</t>
  </si>
  <si>
    <t>Encruzilhada do Sul, Brasil</t>
  </si>
  <si>
    <t>Uberaba, Brasil</t>
  </si>
  <si>
    <t>Amazonas, Brasil</t>
  </si>
  <si>
    <t>Sorocaba SP Brasil</t>
  </si>
  <si>
    <t>Boston, MA</t>
  </si>
  <si>
    <t>Brazil</t>
  </si>
  <si>
    <t>Belo Jardim - PE</t>
  </si>
  <si>
    <t>Petrópolis - Rio de Janeiro</t>
  </si>
  <si>
    <t>Bento Gonçalves - RS - Brasil</t>
  </si>
  <si>
    <t>𝗠𝗼𝗿𝗲𝗻𝗼, 𝗣𝗘</t>
  </si>
  <si>
    <t>Santana do Ipanema</t>
  </si>
  <si>
    <t>Belo Horizonte, Brasil</t>
  </si>
  <si>
    <t>Jundiaí/SP - Brasil</t>
  </si>
  <si>
    <t>Belém do Pará, Brasil</t>
  </si>
  <si>
    <t>Covilhã</t>
  </si>
  <si>
    <t>Daqui mesmo.</t>
  </si>
  <si>
    <t xml:space="preserve">Brasília </t>
  </si>
  <si>
    <t>Rio Grande do Sul</t>
  </si>
  <si>
    <t xml:space="preserve">São Paulo,SP. </t>
  </si>
  <si>
    <t>Curitiba, Brasil</t>
  </si>
  <si>
    <t>Santa Maria, Brasil</t>
  </si>
  <si>
    <t>Amapá</t>
  </si>
  <si>
    <t>campo bom</t>
  </si>
  <si>
    <t>United Kingdom</t>
  </si>
  <si>
    <t>Maringá, Paraná, Brasil</t>
  </si>
  <si>
    <t>Brasília</t>
  </si>
  <si>
    <t>Ecuador</t>
  </si>
  <si>
    <t>Recife-PE</t>
  </si>
  <si>
    <t>são Paulo</t>
  </si>
  <si>
    <t>Mumbai</t>
  </si>
  <si>
    <t xml:space="preserve">Av. Coronel Almeida, 60. </t>
  </si>
  <si>
    <t>Toledo/PR - Brasil</t>
  </si>
  <si>
    <t>São Bernardo do Campo, Brasil</t>
  </si>
  <si>
    <t>Teresina, Brazil</t>
  </si>
  <si>
    <t>Jundiaí, Brasil</t>
  </si>
  <si>
    <t>Região dos lagos</t>
  </si>
  <si>
    <t>Cuiabá, Brasil</t>
  </si>
  <si>
    <t>R Euclides Miragaia 464 Centro</t>
  </si>
  <si>
    <t>Sergipe, Brasil</t>
  </si>
  <si>
    <t>Marabá, PA - Brasil</t>
  </si>
  <si>
    <t>Washington, USA</t>
  </si>
  <si>
    <t>New York, USA</t>
  </si>
  <si>
    <t>BZ</t>
  </si>
  <si>
    <t>São Paulo, Brasil.</t>
  </si>
  <si>
    <t>Criciúma - Santa Catarina</t>
  </si>
  <si>
    <t>criciuma - santa catarina</t>
  </si>
  <si>
    <t xml:space="preserve">Piracicaba </t>
  </si>
  <si>
    <t>Luanda, Angola</t>
  </si>
  <si>
    <t>Rio de Janeiro, Brazil</t>
  </si>
  <si>
    <t>Florianópolis - SC, Brasil</t>
  </si>
  <si>
    <t>New York and the World</t>
  </si>
  <si>
    <t>New York, NY</t>
  </si>
  <si>
    <t>New York</t>
  </si>
  <si>
    <t>Botafogo, Rio de Janeiro</t>
  </si>
  <si>
    <t>Salvador, Brasil</t>
  </si>
  <si>
    <t>São Paulo, BRAZIL</t>
  </si>
  <si>
    <t>Itaim Bibi, São Paulo</t>
  </si>
  <si>
    <t>Balneário Camboriú, Brasil</t>
  </si>
  <si>
    <t>Belo Horizonte - Brasil</t>
  </si>
  <si>
    <t>BELO HORIZONTE-MG-BRASIL</t>
  </si>
  <si>
    <t>Belo Horizonte, MG</t>
  </si>
  <si>
    <t>Sao Paulo, Brazil</t>
  </si>
  <si>
    <t>Japan</t>
  </si>
  <si>
    <t>Barueri - SP</t>
  </si>
  <si>
    <t>São Gonçalo, Brasil</t>
  </si>
  <si>
    <t>Garopaba, Brasil</t>
  </si>
  <si>
    <t>Cotia/SP</t>
  </si>
  <si>
    <t>Cotia, Brasil</t>
  </si>
  <si>
    <t>Tysons Corner, VA</t>
  </si>
  <si>
    <t>Sydney, Australia</t>
  </si>
  <si>
    <t>Texas, USA</t>
  </si>
  <si>
    <t>Düsseldorf, Deutschland</t>
  </si>
  <si>
    <t>Paraíba - PB</t>
  </si>
  <si>
    <t>São Benedito</t>
  </si>
  <si>
    <t>Cachoeirinha, Brasil</t>
  </si>
  <si>
    <t>Natal - RN</t>
  </si>
  <si>
    <t>Uchoa, Brasil</t>
  </si>
  <si>
    <t>المملكة العربية السعودية</t>
  </si>
  <si>
    <t>Escuela Steiner–Vallentyne</t>
  </si>
  <si>
    <t>España</t>
  </si>
  <si>
    <t>São Mateus-ES</t>
  </si>
  <si>
    <t>Salvador/Ba</t>
  </si>
  <si>
    <t>Curitiba-Pr</t>
  </si>
  <si>
    <t>Remote</t>
  </si>
  <si>
    <t>Brasil - Rio de Janeiro</t>
  </si>
  <si>
    <t>São Luís, Brasil</t>
  </si>
  <si>
    <t>Lisbon, Portugal</t>
  </si>
  <si>
    <t>Siga o nosso blog 👇</t>
  </si>
  <si>
    <t>Subscribe 👉🏻</t>
  </si>
  <si>
    <t>Sao Paulo, Brasil</t>
  </si>
  <si>
    <t>Brasília,DF Brasil</t>
  </si>
  <si>
    <t>London</t>
  </si>
  <si>
    <t>Nassau</t>
  </si>
  <si>
    <t>Campo Grande _MS</t>
  </si>
  <si>
    <t>Cotia</t>
  </si>
  <si>
    <t>Cabo Frio</t>
  </si>
  <si>
    <t>Málaga, Spain</t>
  </si>
  <si>
    <t>Niterói, Rio de Janeiro</t>
  </si>
  <si>
    <t xml:space="preserve">Brasil </t>
  </si>
  <si>
    <t>Maricá, Rio de Janeiro, Brasil</t>
  </si>
  <si>
    <t>Rio de janeiro - Brasil</t>
  </si>
  <si>
    <t>Guarulhos / SP</t>
  </si>
  <si>
    <t>Join 80k+ Investors ➜</t>
  </si>
  <si>
    <t>Presidente Prudente, Brasil</t>
  </si>
  <si>
    <t>Avenida Brigadeiro Faria Lima</t>
  </si>
  <si>
    <t>Iguatu, Brasil</t>
  </si>
  <si>
    <t>Recife, Brasil</t>
  </si>
  <si>
    <t>Minas Gerais, Brasil</t>
  </si>
  <si>
    <t>Cobertura Nacional</t>
  </si>
  <si>
    <t>Passo Fundo/RS - Brasil</t>
  </si>
  <si>
    <t>Curitiba-PR</t>
  </si>
  <si>
    <t>Amsterdam</t>
  </si>
  <si>
    <t>Sao Paulo, SP</t>
  </si>
  <si>
    <t>Salvador - Bahia - Brasil</t>
  </si>
  <si>
    <t>São José do Rio Preto - SP</t>
  </si>
  <si>
    <t>Manaus/AM</t>
  </si>
  <si>
    <t>Natal, Brasil</t>
  </si>
  <si>
    <t>Blumenau, Brasil</t>
  </si>
  <si>
    <t>Brasilia - DF</t>
  </si>
  <si>
    <t xml:space="preserve">Caxambu(MG) </t>
  </si>
  <si>
    <t>NYC</t>
  </si>
  <si>
    <t>Higienópolis - São Paulo/SP</t>
  </si>
  <si>
    <t>PIRACANJUBA -GO</t>
  </si>
  <si>
    <t>Conselheiro Lafaiete, MG</t>
  </si>
  <si>
    <t>Zurich, Switzerland</t>
  </si>
  <si>
    <t xml:space="preserve">Brasil, Porto Alegre </t>
  </si>
  <si>
    <t>Caxias do Sul, Brasil</t>
  </si>
  <si>
    <t>Rio de janeiro</t>
  </si>
  <si>
    <t>São Paulo - SP</t>
  </si>
  <si>
    <t>União, Piauí, Brasil</t>
  </si>
  <si>
    <t>São José dos Campos, Brasil</t>
  </si>
  <si>
    <t>Stock Exchange</t>
  </si>
  <si>
    <t>São Paulo, SP, Brasil</t>
  </si>
  <si>
    <t>Belo Horizonte - Minas Gerais</t>
  </si>
  <si>
    <t xml:space="preserve">Capão redondo </t>
  </si>
  <si>
    <t>Póvoa de Santa Iria</t>
  </si>
  <si>
    <t>RJ, Brasil</t>
  </si>
  <si>
    <t>Manaus</t>
  </si>
  <si>
    <t>Worldwide</t>
  </si>
  <si>
    <t>Macaé , RJ</t>
  </si>
  <si>
    <t xml:space="preserve"> One life In Jesuschrist ♥</t>
  </si>
  <si>
    <t>Manaus, Amazonas</t>
  </si>
  <si>
    <t>Itanhaém / SP</t>
  </si>
  <si>
    <t>EUA</t>
  </si>
  <si>
    <t>日本 兵庫県神戸市</t>
  </si>
  <si>
    <t>Bahia</t>
  </si>
  <si>
    <t>Salvador - Bahia</t>
  </si>
  <si>
    <t>Caruaru, Brasil</t>
  </si>
  <si>
    <t>Sorocaba, Brasil</t>
  </si>
  <si>
    <t>Belo Horizonte</t>
  </si>
  <si>
    <t>Orlando, FL</t>
  </si>
  <si>
    <t>Caraguatatuba, Brasil</t>
  </si>
  <si>
    <t>Paraíba, Brasil</t>
  </si>
  <si>
    <t>Teresina, Brasil</t>
  </si>
  <si>
    <t>Belo Horizonte/Rio de Janeiro</t>
  </si>
  <si>
    <t>Porto, Portugal</t>
  </si>
  <si>
    <t>brasil</t>
  </si>
  <si>
    <t>worldwide</t>
  </si>
  <si>
    <t>Guarapari, Brasil</t>
  </si>
  <si>
    <t>Maryland, USA</t>
  </si>
  <si>
    <t>Teresina</t>
  </si>
  <si>
    <t>BRASIL</t>
  </si>
  <si>
    <t>Brasília, DF,BRASIL</t>
  </si>
  <si>
    <t>Salvador / BA</t>
  </si>
  <si>
    <t>Santana do Livramento, RS, BR</t>
  </si>
  <si>
    <t>Macapá, Brasil</t>
  </si>
  <si>
    <t>Brasiléia, Acre</t>
  </si>
  <si>
    <t>Goiânia</t>
  </si>
  <si>
    <t>São Paulo, Brazil</t>
  </si>
  <si>
    <t>Recife, PE - Brasil</t>
  </si>
  <si>
    <t>United States</t>
  </si>
  <si>
    <t>Rondônia</t>
  </si>
  <si>
    <t>Goiânia, Brasil</t>
  </si>
  <si>
    <t>Recife</t>
  </si>
  <si>
    <t>Araguari - MG - Brasil</t>
  </si>
  <si>
    <t>Dourados, Brasil</t>
  </si>
  <si>
    <t>Brasília - DF</t>
  </si>
  <si>
    <t>São Bento do Sul/SC</t>
  </si>
  <si>
    <t>Planet EARTH Connection!!!</t>
  </si>
  <si>
    <t>Guayaquil, Ecuador</t>
  </si>
  <si>
    <t>Notícias de empresas, do mercado financeiro, análise gráfica e Bolsa de Valores</t>
  </si>
  <si>
    <t>Análise Fundamentalista de Ações Brasileiras : Como identificar empresas sólidas e rentáveis a longo prazo.</t>
  </si>
  <si>
    <t>Grêmio ⚽️, Steelers 🏈, F1 🏎️!</t>
  </si>
  <si>
    <t>Trader Autônoma | Análise Técnica</t>
  </si>
  <si>
    <t>📚Traduzo e edito livros sobre Mercado Financeiro e Bolsa de Valores na @editinvestbooks.
📈O que posto aqui são apenas estudos. Nada é recomendação.</t>
  </si>
  <si>
    <t>A mais completa, confiável e intuitiva plataforma de dados do mercado financeiro, ações e fundos do Brasil, América Latina e Estados Unidos.</t>
  </si>
  <si>
    <t>Site de notícias</t>
  </si>
  <si>
    <t>🇵🇹 Tecnology &amp; Economy</t>
  </si>
  <si>
    <t>A Vokin está presente em diversas plataforma de investimentos para você poder investir onde ficar mais confortável.</t>
  </si>
  <si>
    <t>CEO &amp; Founder
@FslGlobalsa
Apoios da #FSL 
@JPMorgan 
#XP 
#Rico</t>
  </si>
  <si>
    <t>Investidor e Educador de Investimento em Renda Variável</t>
  </si>
  <si>
    <t>like and subscribe.</t>
  </si>
  <si>
    <t>🔥 INVEX, um grupo de Trading focado no seu desempenho dentro do mercado financeiro!
🪙  Cripto 🌎  Macroeconomia 📈 Trading 
Acompanhe nosso dia a dia👇🏻</t>
  </si>
  <si>
    <t>Direito, Mercado Financeiro, Fotógrafo amador,adoro viajar, vinho
https://t.co/vf8lxi6wu9…
foto: http:https://t.co/aBtXaGyyCJ</t>
  </si>
  <si>
    <t>Analisando ações 📊
Apenas opiniões, os posts não são recomendações de investimentos!
https://t.co/GoFD0Sv9TN</t>
  </si>
  <si>
    <t>O Twitter mais sexy de todos. 🌶</t>
  </si>
  <si>
    <t>O seu portal de notícias sobre #Bitcoin e #blockchain, sua melhor fonte de informação com as mais recentes #notícias mundiais sobre #criptomoedas.</t>
  </si>
  <si>
    <t>Produzimos conteúdo digital, audiovisual e jornal impresso com maior alcance na região Sul Fluminense
WhatsApp: (24) 99926-5051</t>
  </si>
  <si>
    <t>Notícias a partir de São Paulo para todo Brasil. Jornalismo puro em tempo real.</t>
  </si>
  <si>
    <t>https://t.co/95hiPF7Mv9
Diversos alunos lucrando diariamente🔥 Trader na b3 e criptomoedas</t>
  </si>
  <si>
    <t>agência de notícias especializada em política energética | receba alertas diretamente no seu celular: https://t.co/bijQLKADF7</t>
  </si>
  <si>
    <t>O Brasil é a Nossa Energia.</t>
  </si>
  <si>
    <t>▪️ Inteligência financeira ao seu alcance ▫️ +420 mil assinantes ▪️ Transforme sua vida financeira ainda em 2023: https://t.co/35jE3G6WvT</t>
  </si>
  <si>
    <t>Horny girl 💐🤪😈</t>
  </si>
  <si>
    <t>Técnico, Engenheiro, Oficial de Náutica e Investidor amador.</t>
  </si>
  <si>
    <t>#Investor #Millionaire #Lucky #Reader 
#Athlete #Father
Looking for the next 100x #gems
#crypto #BTC 
*Tweets are opinion, not financial advice.*
#DYOR</t>
  </si>
  <si>
    <t>O CriptoFacil é um dos principais sites brasileiros com informações sobre Bitcoin, Blockchain, Criptoativos, DeFi, web3 e tecnologias disruptivas</t>
  </si>
  <si>
    <t>Palestrante, Consultor com + de 1.000 atendimentos, investidor na Bolsa há + de 20 anos. Mestre pela USP,  Autor de best-sellers em finanças pessoais.</t>
  </si>
  <si>
    <t>▪️Advogado nos Tribunais Superiores - CEO @domenicoadv, presidente @domenicoeditora;▪️Desembargador Eleitoral-TRE/DF17/19; ▪️Doutor em Direito; ▪️Escritor;</t>
  </si>
  <si>
    <t>Agregador de notícias sobre SAP. Conteúdo em Português. Não é um canal oficial da empresa.(portuguese only, not an oficial channel from SAP)</t>
  </si>
  <si>
    <t>outlier</t>
  </si>
  <si>
    <t>Somos a NOMOS, uma assessoria com a missão de criar um mundo com melhores investidores, um de cada vez. Vem com a gente?</t>
  </si>
  <si>
    <t>Economista, apaixonado por ações e futebol</t>
  </si>
  <si>
    <t>Facebook: https://t.co/117tqHc3sU
Instagram: @jovempannews 
Telegram: https://t.co/qKvdBLVYUT
Newsletter: https://t.co/yzW9nEWqXu</t>
  </si>
  <si>
    <t>Fala pessoal, tudo bem?
Todas as novidades sobre fundos imobiliários e ações.
YouTube:https://t.co/3N9puikSTf</t>
  </si>
  <si>
    <t>Portal de notícias da cidade de Betim e região. Programas, reportagens, dicas de eventos e muito mais. #PortalGiraNotícias</t>
  </si>
  <si>
    <t>🚨 Resumo semanal cripto (GRÁTIS):  https://t.co/iesPvSbXNG  
💎Comunidade fechada da EscolaCripto: https://t.co/tCp02f2o1l 
 #bitcoin #criptomoedas #podcast</t>
  </si>
  <si>
    <t>#Bitcoin</t>
  </si>
  <si>
    <t>Jornalista, palestrante, comentarista de Economia TV Gazeta, ex-Jovem Pan @denisecamposdetoledo no Instagram</t>
  </si>
  <si>
    <t>Seja bem-vindo ao nosso perfil oficial! 🧡 Aqui você fica por dentro de tudo o que rola na Avenida Paulista 900.</t>
  </si>
  <si>
    <t>Jornal da Gazeta. De segunda a sexta, às 19h, ao vivo na TV Gazeta.</t>
  </si>
  <si>
    <t>Atualmente atuando como analista grafico e trader na Bovespa</t>
  </si>
  <si>
    <t>Informação para você ter o controle de seu conhecimento e não permitir que manipulem sua vida e futuro</t>
  </si>
  <si>
    <t>Todo comportamento tem uma intenção positiva!</t>
  </si>
  <si>
    <t>Autor: do livro Aprenda a Investir em Bolsa de Valores - Ed. Ciência Moderna Formação: Engenharia Elétrica e Direito e Torcedor do Galão da massa Atlético MG</t>
  </si>
  <si>
    <t>Para cada sonho uma oportunidade.
🏅Top 20 - Escritórios @btgpactual
📈 Investir em pessoas é o nosso negócio.
https://t.co/yIE0EOuhPH…</t>
  </si>
  <si>
    <t>O Jornal Digital, que trás para você as notícias de Palmas e Tocantins, com um jornalismo moderno e independente.</t>
  </si>
  <si>
    <t>Portal de Notícias e Mídia</t>
  </si>
  <si>
    <t>A BedRock é uma Asset Management de páginas digitais e investimentos que são por ela administrados visando o aumento de seus rendimentos 
BedRock 2022-2023⭐🌈☁️</t>
  </si>
  <si>
    <t>Mercados | Investimentos |
Cripto Entusiasta e Investidor.
@_viniciocarlos perfil do Instagram.</t>
  </si>
  <si>
    <t>A SolutionX foi criada por professores com larga experiência no ensino de idiomas. Oferece as melhores soluções de ensino no ambiente in-Company.</t>
  </si>
  <si>
    <t>Site de notícias, informações e curiosidades. 
Acesse: https://t.co/9awgxobGDR 
Publi e parcerias: 
📬 contato@ https://t.co/9awgxobGDR
#notícias #curiosidades</t>
  </si>
  <si>
    <t>Maestro 👨‍🏫 | Fotógrafo aficionado 📸 | Cacereño 🌇| Cofrade ✝️| Comunicación 🎙️| Cofrade Joven 2023 ✝️ | @nexoplataforma |</t>
  </si>
  <si>
    <t>Organizando o mercado de investimentos</t>
  </si>
  <si>
    <t>📈💧 Explorando águas complexas! Estratégias únicas! Versatilidade! 🐾💰 #DecisõesAcertadas #AmbienteFinanceiro.</t>
  </si>
  <si>
    <t>Assessor de Investimentos na XP
Sócio da InvestSmart
Ajudo pessoas a investirem melhor com transparência e clareza</t>
  </si>
  <si>
    <t>Fundador da Monex | Economia • Mercados • Investimentos</t>
  </si>
  <si>
    <t>Experiência de 45 anos no M.Financeiro. Engenheiro Poli-USP. As opiniões são pessoais e não são recomendações ou ofertas de venda de qualquer natureza.</t>
  </si>
  <si>
    <t>#Bitcoin #Freedom #Inovation #Nostr: #npub1jqrax60z0lkxd5ydc7l53n24zqv7nhaj8hsw6fathsnlqp3vghns9j8q8r</t>
  </si>
  <si>
    <t>Catracha en tierras gallegas</t>
  </si>
  <si>
    <t>Está pasando, estás en COPE 📻 Toda la #información 💻, el mejor equipo de la #radio deportiva🏅, el mejor #entretenimiento y #podcast 🎙️</t>
  </si>
  <si>
    <t>Cultura e Inclusão Produtiva
Juntos impactamos vidas!
Somos @gerandofalcoes</t>
  </si>
  <si>
    <t>PMO, 36y, Corinthiano 🦅🖤🤍 - Países ✈️ : 🇧🇷🇨🇭🇩🇪 🇮🇹 🇫🇷 🇨🇱 🇩🇴 🇵🇦 🇲🇽 🇦🇷 🇵🇪 🇨🇴 🇺🇾 🇵🇾 🇺🇸 🇵🇹 🇳🇱 🇦🇹 🇭🇺 🇨🇿 🇸🇰 e...😎 🥃🥊</t>
  </si>
  <si>
    <t>Padtec is a company dedicated to the development, manufacturing and sales of high capacity optic communication systems.</t>
  </si>
  <si>
    <t>Perfil oficial do Governo de Pernambuco.</t>
  </si>
  <si>
    <t>Desde 22 de março de 2011.</t>
  </si>
  <si>
    <t>Universitat. Graus de Salut, Empresa i Educació. Formació Professional Superior. Màster, postgraus i programes d'especialització. Idiomes.</t>
  </si>
  <si>
    <t>Oi. 
Eu te amo. 
Tudo de bom para você!
😁👍❤️🌈🇧🇷</t>
  </si>
  <si>
    <t>Engenheiro Mecânico UnB 
Técnico em Eletrônica MO
Brasileiro Patriota 🇧🇷
-O Conhecimento liberta-</t>
  </si>
  <si>
    <t>🔥 Descubra como Desbloquear sua Liberdade Financeira de uma vez por todas. Clique no link da bio!</t>
  </si>
  <si>
    <t>SER HUMANO, com todo meu direito de ser!!!</t>
  </si>
  <si>
    <t>Interessada em leveza, bom humor e boas amizades ☕️🌺🌻🌿
Relacionamento: louca por ele  ❤️❤️
🚫Não sigo perfil com Pornografia 🚫</t>
  </si>
  <si>
    <t>Site de notícias que atua no ponto incomum da Política. 🗞</t>
  </si>
  <si>
    <t>Empreendedor AMWAY/NUTRILITE 🌎🇧🇷🇺🇸💎
Ajudo Pessoas e o Planeta a Viver Melhor!🎯
Cuidados Pessoais, do Lar e Nutrição!🍊    Rede e Produtos de Qualidade!♻️</t>
  </si>
  <si>
    <t>📊🌍 Twitter exclusivo para análises econômicas e políticas</t>
  </si>
  <si>
    <t>WordPress Themes and Web Design. We are a nimble team doing powerful tools for the web! #WordPress #WebDesign #website #webdeveloper #themes #templates</t>
  </si>
  <si>
    <t>Experienced @etoro Popular Investor with 35k+ followers. Sharing insights on trading, investing &amp; life. Check https://t.co/3uVUnG9Cl4 #NotFinancialAdvice</t>
  </si>
  <si>
    <t>Economista - UFPE - Existe uma enorme diferença entre tratar as pessoas igualmente e tentar torná-las iguais. (Friedrich Hayek)</t>
  </si>
  <si>
    <t>FOREX || COMEX
▪World Wide Service Provider
▪Market Strategies &amp; Analysis
▪Place to learn and earn 
▪dm to know more</t>
  </si>
  <si>
    <t>Loc Radialista, Prof de Filosofia, #TerapeutaFilosofiaClínica, de #Agué🌿❤️🌳amante da Vida Real, pq Amar é o propósito mais rico de nossa existência🌹📚</t>
  </si>
  <si>
    <t>Ninguém vai pro céu!</t>
  </si>
  <si>
    <t>Curta nossa página no Facebook: https://t.co/3g4n3CdTcD
Siga-nos no Instagram: ttps://www.instagram.com/jornalsemanario/</t>
  </si>
  <si>
    <t>Artista do pós impressionismo tardio. Reencarnação de Vincent Van Gogh. (coleciono CIDs psiquiátricos)</t>
  </si>
  <si>
    <t>Tudo o que você precisa no app e N Possibilidades na vida #ComNubankÉPossível</t>
  </si>
  <si>
    <t>O Twitter que te acompanha na melhor fase da tua vida!
Acompanha aqui as melhores notícias, dicas e passatempos!
Na Mais Superior, valorizamos o teu futuro!</t>
  </si>
  <si>
    <t>• VAREJO  • FINANÇAS  • TECNOLOGIA 
@consultei_  @gi.finance
Instagram: @esron</t>
  </si>
  <si>
    <t>Saiba hoje as informações de amanhã.</t>
  </si>
  <si>
    <t>💰100% de bônus de primeiro depósito
🛞Super big roulette grátis
🤙Compartilhamento para todos. bônus ilimitado !</t>
  </si>
  <si>
    <t>Somos uma casa de análise completa que ensina como expor seus investimentos aos mercados globais.
https://t.co/U4CHfdcgSn</t>
  </si>
  <si>
    <t>Site de Notícias de Alagoas</t>
  </si>
  <si>
    <t>Órgão fiscalizador que visa os princípios da ética e disciplina dos farmacêuticos em Minas Gerais.</t>
  </si>
  <si>
    <t>📈Controle de Investimentos
.
💸Cálculo de IR a cada Venda (DARF)
.
🦁Declaração de IR
.
💪Cálculo de Dividend Yield
.
🐂 Rentabilidade em Tempo Real
.
👇👇👇</t>
  </si>
  <si>
    <t>Bora falar sobre Tecnologia e Cibersegurança
Veja em primeira mão o que acontece no brasil e no mundo na area de cibersegurança, acessem meu site....</t>
  </si>
  <si>
    <t>Smash
🚀Líder do cassino de jogo social🎰
🔥Notícias quentes👇🏼
#bet #gaming #sport
https://t.co/sR7kOeRx3n</t>
  </si>
  <si>
    <t>Forbes é o maior título de negócios do mundo, dedicado à realizações e realizadores.</t>
  </si>
  <si>
    <t>O propósito dos nossos analistas é conhecer profundamente as empresas cotadas nas seguintes Bolsas: Lisboa, Madrid, Amesterdão e Nova Iorque.</t>
  </si>
  <si>
    <t>Vamos construir um legado juntos! 🚀 Dicas para ganhar dinheiro com a internet, através do link👇</t>
  </si>
  <si>
    <t>SonarTrade: Seu marketplace de recomendações e copy trading de trades e carteiras. Potencialize sua rentabilidade com insights de experts na palma da mão! 📈📲</t>
  </si>
  <si>
    <t>Mentor de investimentos 
💰 Te ensino a ganhar grande e perder pequeno no mercado
🥇 Mentalidade de riqueza
📊 Lucre nas altas e nas crises</t>
  </si>
  <si>
    <t>Empresário e Trader Referência em Gestão de Risco Criador do maior EAD gratuito da Bolsa de Valores  🎥YouTube #WeAreSST 💀@sst.trade Faça parte</t>
  </si>
  <si>
    <t>https://t.co/hpe0gAzYIV | Conectando Investidores</t>
  </si>
  <si>
    <t>Jornalista e esportista 
Mercado financeiro, economia,política,investimentos e esportes.</t>
  </si>
  <si>
    <t>Classificados Grátis Para Empresas, Produtos, Serviços.</t>
  </si>
  <si>
    <t>👨‍🏫 Prof Universit Ciências Gerenciais, ✍🏻 Administrador , ⚽️ ex-Árbitro de Futebol, 🎤 Comentarista Esport e 👨‍👧‍👧 Pai. - Meus Hobbies: 📸,🏃‍♂️ e 🌹</t>
  </si>
  <si>
    <t>Entre para a nossa sala da roleta</t>
  </si>
  <si>
    <t>📊 Inovação nas suas Finanças.
🚀 Empresa trás Novas Possibilidades &amp; Oportunidades de Investimentos.
💰 Realização dos seus Objetivos através do Consórcio.📌</t>
  </si>
  <si>
    <t>🧠Fundador #BrainPowerbr Academia Cerebral 👨‍🎓#Neurociência Comportamental 👨‍#NeuroPersuasão ⌛️ Ensino a Reprogramar Padrões Cerebrais 📈+ de 20 Mil Alunos</t>
  </si>
  <si>
    <t>Investidor no mercado de Criptomoedas. #BTC, #analisetecnica,  #timing</t>
  </si>
  <si>
    <t>Jornalista e Apresentador</t>
  </si>
  <si>
    <t>Página oficial da Câmara Municipal da Covilhã</t>
  </si>
  <si>
    <t>Investir é para todos! Até para quem tem pouco dinheiro.</t>
  </si>
  <si>
    <t>Gosto de operar sempre contra o mercado financeiro, na maioria das vezes acerto, as pessoas são burras, elas nunca acham que algo de ruim vai acontecer.</t>
  </si>
  <si>
    <t>Olá eu sou o @prmarcosbrasil1 servo do Deus altíssimo e consciente com a política brasileira. 
Patriota até o fim.</t>
  </si>
  <si>
    <t>Advogado, gremista e gaúcho! Falando sobre coisas importantes (ou nem tanto).</t>
  </si>
  <si>
    <t>Gestor financeiro.</t>
  </si>
  <si>
    <t>🗞️💰💡 Notícias que enriquecem seu dia! 
Não é apenas sobre publicar notícias, é sobre como pensamos o jornalismo. 
Siga 👉 @leiacryptotimes e @leiaagrotimes</t>
  </si>
  <si>
    <t>Day trader de ações * NÃO É RECOMENDAÇÃO DE COMPRA OU VENDA * Segue também @InvestirNa</t>
  </si>
  <si>
    <t>MOBILIDADE COM INCLUSÃO.
Pastor 
Pregador
Filantropia
Taxista
Esposo Andreia Charão
Pai da Keisy Vini Davi</t>
  </si>
  <si>
    <t>Software Engineer and Investor. Committed to innovation and excellence, transforming ideas into groundbreaking digital solutions</t>
  </si>
  <si>
    <t>Associação Cultural</t>
  </si>
  <si>
    <t>- Mentoria Fórmula do Trade.      - Copy Imvest 2MV                          - Robô 2Mav Force.                             - Parceiro Oficial Nelogica Brasil</t>
  </si>
  <si>
    <t>Investment and Property News and headlines from across the globe straight to the investors.</t>
  </si>
  <si>
    <t>🇧🇷 #Developer! Web, Mobile &amp; Desktop - 😍: #HTML5, #JS &amp; #CSS - ❤️: #Linux (He/Him) Instagram: https://t.co/p7w6zljmeV
As opiniões aqui são pessoais!</t>
  </si>
  <si>
    <t>Perfil oficial Crypto Times!
🌐Tudo o que você precisa saber sobre o mundo cripto está aqui.
🗞Uma marca @leiamoneytimes</t>
  </si>
  <si>
    <t>Perfil oficial Agro Times!
🌱🧑‍🌾Portal de notícias que cobre o mundo do agronegócio, porteira adentro e afora
🗞Uma marca @leiamoneytimes</t>
  </si>
  <si>
    <t>Página de Investimento da Odysee.</t>
  </si>
  <si>
    <t>Somos um portal de notícias que promove a educação financeira e ajuda seus leitores a investir, buscar as melhores opções de empréstimo e até a empreender.</t>
  </si>
  <si>
    <t>Em busca de renda passiva.</t>
  </si>
  <si>
    <t>É melhor viver um dia como leão do que cem anos como cordeiro.🦁</t>
  </si>
  <si>
    <t>Analista de Investimentos CNPI</t>
  </si>
  <si>
    <t>All Women are like diamonds, some still in rough mineral stone, others already polished like rare jewels!</t>
  </si>
  <si>
    <t>Êxito- instituto Latino-Americano de Empreendorismo e inovação💡</t>
  </si>
  <si>
    <t>Perfil Oficial do Sindicato Nacional dos Auditores-Fiscais da Receita Federal</t>
  </si>
  <si>
    <t>Eu sou o que posso ser a cada momento.
🚩🇧🇷🚩🤙🏽👊🏽</t>
  </si>
  <si>
    <t>Envidio a los luchadores incansables. Yo me canso, pero sigo luchando.😉</t>
  </si>
  <si>
    <t>A ISTOÉ Dinheiro é uma plataforma de informação sobre economia, negócios, finanças, tecnologia e investimentos.</t>
  </si>
  <si>
    <t>Escritório credenciado da XP Investimentos onde você encontra investimentos diversos, plataforma online completa e atendimento personalizado.</t>
  </si>
  <si>
    <t>Conta oficial da UFPE administrada pela Superintendência de Comunicação (Supercom) | https://t.co/WiAbbUXPHd
Av. Prof. Moraes Rego, 1235 - Cidade Universitária</t>
  </si>
  <si>
    <t>sou um entusiasta do mundo das criptos e de investimento em geral</t>
  </si>
  <si>
    <t>Pague o ÓDIO, com AMOR!!!
O Pecador Aki tbm tem alma
Pra vc #Vida #Longa e #Progressao
Eu creio em #Deus 
Eu #Amo a #Liberdade</t>
  </si>
  <si>
    <t>Tenha uma vida global de verdade com o Super App do Inter: conta internacional, viagens, investimentos no exterior e muito mais, tudo dentro do seu celular. 🌎</t>
  </si>
  <si>
    <t>Informando tudo sobre os bastidores do mundo do futebol. Publicidade/parceria: contato.planetadofutebol@gmail.com 🔔 Ative as notificações.</t>
  </si>
  <si>
    <t>Marcos Baroni, analista CNPI, @sunoresearch, co-autor de dois livros sobre FIIs e professor há 26 anos.
Baixe o Guia Suno FIIs DE GRAÇA ⬇</t>
  </si>
  <si>
    <t>Sócio do Grupo Suno 
| Investidor desde 2009 |
O melhor livro sobre Fiis: GRÁTIS 👇</t>
  </si>
  <si>
    <t>▫️PhD em Loss pela StopLoss University / B3 🇧🇷▫️O melhor perfil de Humor do Mercado Financeiro ▫️Eu ensino como perder dinheiro!!!!!!▫️ CLICA AQUI👇🏼</t>
  </si>
  <si>
    <t>Somos a Associação Brasileira das Entidades dos Mercados Financeiro e de Capitais e representamos instituições da indústria brasileira de investimentos.</t>
  </si>
  <si>
    <t>💰Educação financeira 🎥 127 mil inscritos no YouTube 📊 Canal Neto Invest</t>
  </si>
  <si>
    <t>Ion Education is India's First Interactive Training institute for Financial Markets. Our courses include:Financial Markets, Real Estate &amp; Entrepreneurship.</t>
  </si>
  <si>
    <t>Nosso compromisso é conduzir o desenvolvimento econômico sustentável para a sociedade prosperar.</t>
  </si>
  <si>
    <t>Nossa plataforma transforma a sua jornada financeira. Pra gente, informação é investimento.</t>
  </si>
  <si>
    <t>#AnaliseTecnica #AnaliseGrafica #Investimentos</t>
  </si>
  <si>
    <t>Eleita a melhor empresa de investimentos do Brasil. Venha e comprove. Abra a sua conta.</t>
  </si>
  <si>
    <t>administração - uninga</t>
  </si>
  <si>
    <t>sobe de escadinha, desce de elevador.</t>
  </si>
  <si>
    <t>Seja bem-vinda (o) à página oficial da Prefeitura de Araquari.</t>
  </si>
  <si>
    <t>Informando desde 1984 no Oeste do Paraná. 
Acompanhe nossas outras mídias sociais.</t>
  </si>
  <si>
    <t>Homens insatisfeitos produzem heranças, homens inconformados deixam legados. #quemvêcaranãovêhistoria 🌱</t>
  </si>
  <si>
    <t>Assessor Jurídico 
Pós graduado em Direito Penal 
Cristão,  anti corrupção 
#forapt</t>
  </si>
  <si>
    <t>Lawyer | CertiProf LGPDF Certified | Former Software Developer| Blockchain Enthusiast | Estonian e-Resident | Homeschooler | Kitesurfing &amp; Scuba Diving</t>
  </si>
  <si>
    <t>Analista de Investimentos Cnpi-T 2279 Blog | Tradingview https://t.co/I5ot7UuCeS Instagram | https://t.co/VS2ZQk2iXx</t>
  </si>
  <si>
    <t>#Investimento não tradicional para investidores nada tradicionais. - 
#Fork, significa bifurcação, caminho alternativo ao senso comum.
👇 |Relatório Semanal</t>
  </si>
  <si>
    <t>#bitcoin  🇧🇷</t>
  </si>
  <si>
    <t>Finanças, investimento, ações.
@investucan0 nas outras redes</t>
  </si>
  <si>
    <t>de Games até Mercado Financeiro.
Sofredora do Empreendedorismo Brasileiro 🇧🇷
Estudante de Nutrição 🍎
Instagram: @pamelagregorio</t>
  </si>
  <si>
    <t>Administrador por formação mas Informatólogo por vocação. Fanático por corridas de F1, correr pelas ruas da cidade e apaixonado pelos meus filhos.</t>
  </si>
  <si>
    <t>Seu momento de descontração na sua emissora multiplataforma!🎙🖥 📱📻📺</t>
  </si>
  <si>
    <t>✍️O Portal VIU! reúne uma equipe de profissionais e colaboradores gabaritados, enfocando assuntos de interesse nacional e regional.</t>
  </si>
  <si>
    <t>@joscarlosdearaujo
Sou de direita, casado, espirita, pela família e liberdade, contra o aborto! Democracia é Justiça ⚖️ 
#200anosdaindependênciadobrasil2022</t>
  </si>
  <si>
    <t>Governador do Estado de São Paulo e ex-Ministro da Infraestrutura do governo do presidente Jair Bolsonaro.</t>
  </si>
  <si>
    <t>Prefeito de Santa Inês - MA, a princesinha do Vale!! ❤ Casado com Paula Prata e pai da Maria Ester  👧🏼
https://t.co/5qNqG0OoUN</t>
  </si>
  <si>
    <t>Formando profissionais qualificados! instituição com nota máxima no MEC! ensino a distância (EAD)</t>
  </si>
  <si>
    <t>De direita, Evangélica, patriota. Luto por um futuro dígno e tenho a esperança de um Brasil melhor!!!!</t>
  </si>
  <si>
    <t>Twitter Oficial do Governo de Sergipe</t>
  </si>
  <si>
    <t>DOL Carajás</t>
  </si>
  <si>
    <t>Java System Analyst at @TOTVS</t>
  </si>
  <si>
    <t>As opiniões aqui sao pessoais e nao recomendacoes de investimento.
https://t.co/wjVkKLSmzP</t>
  </si>
  <si>
    <t>Boas empresas, que pagam bons dividendos, a bons preços. Simples assim!</t>
  </si>
  <si>
    <t>Where the world charts, chats and trades markets.</t>
  </si>
  <si>
    <t>Notícias que afetam você e o seu dinheiro</t>
  </si>
  <si>
    <t>Programa - Psicanálise e você
Todas às terças-feiras
às 19 horas</t>
  </si>
  <si>
    <t>Às vezes, tudo o que você precisa é de um impulso para a sua vida financeira! 🚀 Baixe o app e comece a sua revolução!</t>
  </si>
  <si>
    <t>Investimentos e Tecnologia. 🇦🇷🇧🇷🇮🇹🦁</t>
  </si>
  <si>
    <t>💡CEO e CTO - 2nd Market
💡Uso a tecnologia para mudar a forma como pessoas e empresas adotam e usam criptomoedas no dia a dia.</t>
  </si>
  <si>
    <t>CONTA PRINCIPAL  💸 VENDAS E DIVULGAÇÕES 💥FREELANCER 💼🤝 SOCIEDADE 📈 INVESTIMENTOS 📲💲MARKETING DIGITAL #TXP📨</t>
  </si>
  <si>
    <t>The blockspace ecosystem for boundless innovation. Secure, composable, flexible, efficient &amp; cost effective. Powering the movement for a better web.</t>
  </si>
  <si>
    <t>📚 Sapere Aude
👨🏼‍💼 Assessor de Investimentos
🏢 Nortus Investimentos - XP</t>
  </si>
  <si>
    <t>Comunicação em tempo real sobre Oferta Pública de Distribuição de Cotas, Fato Relevante, Comunicado ao Mercado, Relatório Gerencial e Rendimentos.</t>
  </si>
  <si>
    <t>A TECNOLOGIA que vai te auxiliar a tomar as MELHORES decisões para seus investimentos. Monitorar, acompanhar e fazer a gestão de toda a sua carteira de ativos.</t>
  </si>
  <si>
    <t>• Dev, AI, Forex Quant, Investor &amp; ₿.
Criando robôs para automatizar tudo. Sugestões? 🤖</t>
  </si>
  <si>
    <t>Android Final é um site de tecnologia, onde contém diversos aplicativos, jogos, dicas e tutoriais e muito mais. Seu smartphone fica feliz aqui! 😍</t>
  </si>
  <si>
    <t>YTB: https://t.co/a6CA60FR9S</t>
  </si>
  <si>
    <t>Marido, Pai , investidor.
Apaixonado por Economia, Finanças e Logística.
Tenho lugar de fala para opinar sobre tudo que quero.</t>
  </si>
  <si>
    <t>COMENTO SOBRE MEUS INVESTIMENTOS, STOCKS, AÇÕES, BDRs, FIIS E MUITO MAIS.</t>
  </si>
  <si>
    <t>Am a rig engineer</t>
  </si>
  <si>
    <t>Investidor mercado financeiro</t>
  </si>
  <si>
    <t>Notícias sobre mercado financeiro, economia e finanças pessoais. Este é o E-investidor, novo portal de investimentos do @estadao</t>
  </si>
  <si>
    <t>Maior ecossistema financeiro do Brasil! Faça como mais de 3 milhões de usuários e acompanhe seus investimentos em tempo real! Acesse agora 👇</t>
  </si>
  <si>
    <t>A SuínoBrasil é mídia do Grupo Agrinews, voltada para profissionais da suinocultura brasileira.</t>
  </si>
  <si>
    <t>💬🔥Converse Comigo!
👉 Não perca tempo! Agende agora mesmo. 💥🗓️ 
https://t.co/fNl89ZSEBG</t>
  </si>
  <si>
    <t>📈 Transformando informação, em melhores investimentos.</t>
  </si>
  <si>
    <t>Investidor Profissional | Assessor de Investimentos NSG Invest | ANCORD</t>
  </si>
  <si>
    <t>Informações sobre mercado de ações, FIIs e BDRs</t>
  </si>
  <si>
    <t>Cripto Influencer | Te ajudo a entender sobre Cripto | Investidora amadora👩🏼‍💻🤑🚀🔥#girlfromrio | meus conteúdos não são conselhos financeiros ‼️</t>
  </si>
  <si>
    <t>Motion designer e gamer https://t.co/Z6L3PsRXk6</t>
  </si>
  <si>
    <t>MeUGamer é um site sobre a cultura pop do mundo nerd, games, series, cinemas e colecionáveis. "parcerias at meugamer dot com"</t>
  </si>
  <si>
    <t>É uma publicação da @sobratema dedicada a obras de infraestrutura, construção industrial e imobiliária, sustentabilidade ambiental na construção, entre outras.</t>
  </si>
  <si>
    <t>Consultor CEA e Analista CNPI-T📊🖋️
Talvez eu possa te ajudar.. 👇</t>
  </si>
  <si>
    <t>Somos uma empresa que está promovendo educação financeira para profissionais de todo o Brasil por meio dos nossos cursos online.</t>
  </si>
  <si>
    <t>Fundada em 1983, a Enfoque é uma empresa provedora de informações, ferramentas e soluções para o mercado financeiro.
https://t.co/VH96ufg0le</t>
  </si>
  <si>
    <t>Consultoria em Negócios Digitais / Inbound Marketing / SEO / Gestao de Redes Sociais e Vendas Online</t>
  </si>
  <si>
    <t>Siga-nos para notícias de mercado e atualizações da plataforma.
Aviso: Este material não é direcionado a audiência brasileira.</t>
  </si>
  <si>
    <t>The first word in business news. 
Newsletters: https://t.co/nWaCxHTiks 
Podcasts: https://t.co/096e9xMJF7 
India Edition Newsletter: https://t.co/jNHJbY6vqN</t>
  </si>
  <si>
    <t>Official account | Market insight, analysis, and investment ideas | The world's leading community of equity investors</t>
  </si>
  <si>
    <t>Breaking news and analysis on global financial markets.
Sign up for our newsletters: https://t.co/3zp754sbuD</t>
  </si>
  <si>
    <t>Sênior Fullstack Engineer and  VIM User | React, React Native, Nodejs</t>
  </si>
  <si>
    <t>Economista, pós graduado em Finanças Corporativas, pós graduando em controladoria e compliance pela FGV e trader nas horas vagas🎯</t>
  </si>
  <si>
    <t>🏆Especialista em investimentos 💵
Apaixonado pela transformação que a Inteligência financeira pode fazer!</t>
  </si>
  <si>
    <t>Todo Mundo Pode Ser Genial. Baixe o app e abra sua conta já.</t>
  </si>
  <si>
    <t>🐻 vs 🐂 Equity Strategist - @genialinveste #fintwit #marketmovers 🌲 Linktree 🔗 https://t.co/5UKrdL9T0c 📤 Telegram 🔗 https://t.co/TQuTCRasAJ</t>
  </si>
  <si>
    <t>🐻 x 🐂 Notícias e comentários de economia política. Siga o meu instagram @robertomotta7</t>
  </si>
  <si>
    <t>Aprenda a controlar suas finanças.
Acesse: https://t.co/hQN2NcsHKR
Publi e parcerias: 
📬 contato@ https://t.co/hQN2NcsHKR
#investimento #finanças</t>
  </si>
  <si>
    <t>Finanças de alta tecnologia, notícias sobre Bitcoin &amp; Blockchain. Atualizações de mercado e análise de criptomoedas</t>
  </si>
  <si>
    <t>O Seu Dinheiro é um site de notícias e análises sobre investimentos voltado para a pessoa física</t>
  </si>
  <si>
    <t>Aqui você encontra curiosidades, novidades e o que ocorre na redação da revista Motor Show. Feito para você que, assim como nós, ama carros!</t>
  </si>
  <si>
    <t>💰 Planejamento Financeiro Pessoal e Empresarial
📖 Investimentos
💡Planilhas e E-books gratuitos</t>
  </si>
  <si>
    <t>I HAVE A DREAM</t>
  </si>
  <si>
    <t>Especialista e especular em gerenciamento de risco no mercado de capitais como, mercado futuro 
, ações, dólar, opções, cripto, forex renda fixa.</t>
  </si>
  <si>
    <t>Bem-vindo ao Money Markets, o seu portal financeiro global de confiança. 📈🌐
💻 info@moneymarkets.com.br</t>
  </si>
  <si>
    <t>Somos um site de educação financeira e nosso foco é te ensinar a investir 📊
Invista em aprender com os melhores. Inscreva-se na Money Week 👇🏻</t>
  </si>
  <si>
    <t>Te ajudamos a tomar a melhor decisão no controle do seu dinheiro através de soluções inovadoras.</t>
  </si>
  <si>
    <t>Aposentada municipal</t>
  </si>
  <si>
    <t>Quem investe, lê. 🎯 Notícias sobre economia, mercado financeiro, investimentos e todo o lifestyle da Faria Lima.</t>
  </si>
  <si>
    <t>Notícias do setor elétrico, petróleo, commodities. Editor de Empresas na Mover, agência do @tcinvestimentos. Ex-Reuters, CCEE, Jornal da Energia. UMESP/PUC/FGV</t>
  </si>
  <si>
    <t>Médico e Deputado Federal (Dr. Arnaldo Faivro Busato)
(In Memoriam) - Sábio é o pai que conhece (RECONHECE)
a sua prória filha. (Willian Shakespeare).</t>
  </si>
  <si>
    <t>Export Import Services as Custom Clearance &amp; Transport. Sales around Americas: Calzados y Eyeframes/Armazones, Lenses. Raw Material Optico. Brazil. India.China.</t>
  </si>
  <si>
    <t>Investidor da Bolsa de Valores.</t>
  </si>
  <si>
    <t>Bem vindo ao mundo da notícia boa! Somos o 1º portal de jornalismo positivo do Brasil. Comece o dia com notícia boa!!! i instagram @ sonoticiaboaoficial</t>
  </si>
  <si>
    <t>Mário CNPI | Expert em Bolsa de Valores
👑Aprenda com o Analista CNPI-T 2817
💵Clube da Renda Variável</t>
  </si>
  <si>
    <t>📈@SunoResearch
⚙️@StatusInvestBR
🖤 Suno Black, assinatura mais completa, com 15% OFF 👇</t>
  </si>
  <si>
    <t>Crypto Enthusiastic l Early Adopter l Futures Trading l NFT Collector
“I have no special talents. I am only passionately curious.”
— Albert Einstein</t>
  </si>
  <si>
    <t>O gráfico diz tudo!</t>
  </si>
  <si>
    <t>Criadora de Software e Soluções para Instituições Financeiras.
Automação, RPA, Pix e SPB, Open Banking, entre outros.</t>
  </si>
  <si>
    <t>Um jornal que cobre o leste fluminense com tantinho de Brasil e de mundo.</t>
  </si>
  <si>
    <t>Secretaria da Segurança Pública de SP - Disque Denúncia: 181; Emergência: 190; Ouvidoria: 0800177070</t>
  </si>
  <si>
    <t>Conectada com você! Música, tecnologia, notícias, informação, esportes e variedades.</t>
  </si>
  <si>
    <t>O Granja News, jornal voltado ao público da Granja Viana e região, tem circulação no centro comercial da Granja,Cotia e 90 condomínios. 4196-3590 /  98692-9616</t>
  </si>
  <si>
    <t>Twitter Oficial da Prefeitura de Cotia</t>
  </si>
  <si>
    <t>🏆 Trading Emocionante com o Parceiro de Trading nº 1,
🔝 Mais de 250 ativos para investir,
💯 100% de Lucro e Saques Rápidos.
Registre-se hoje 👇</t>
  </si>
  <si>
    <t>News, personal finance &amp; commentary from MarketWatch.
For customer support, visit https://t.co/Uu49STq7M6</t>
  </si>
  <si>
    <t>Litecoin is a decentralized digital currency that enables instant, near-zero cost payments to anyone in the world.
Telegram: https://t.co/xDdwb7Qx1P</t>
  </si>
  <si>
    <t>$MSTR is the world's leading enterprise #analytics platform and largest public company holder of #BTC</t>
  </si>
  <si>
    <t>We conduct monetary policy, work to maintain a strong financial system and issue the nation’s banknotes. Our social media guidelines: https://t.co/ExsVRGm333</t>
  </si>
  <si>
    <t>Natural é a fonte da juventude! 💪🏾🖤🚀</t>
  </si>
  <si>
    <t>economista;
colunista e professor:
broker de futuros;
derivativos;</t>
  </si>
  <si>
    <t>...!</t>
  </si>
  <si>
    <t>O site antenado nas notícias do Amazonas e do Brasil</t>
  </si>
  <si>
    <t>Investidor 🇧🇷 que vive na 🇩🇪 e ensina como investir em ações 💸 na bolsa de Nova York 🇺🇸</t>
  </si>
  <si>
    <t>Blog Pessoal</t>
  </si>
  <si>
    <t>👸 Pai | 🎯 Especialista em Vendas | 🍎 Expert em FLV |👆🏾 Christ of follower ✟</t>
  </si>
  <si>
    <t>As melhores notícias de tecnologia mobile, está no TEG6, somos um dos melhores sites do segmento, além disso, disponibilizamos dicas de apps e games.</t>
  </si>
  <si>
    <t>Portal de produção e curadoria de conteúdo voltado para estudantes e profissionais do Direito e com tema dedicado à inovação, tecnologia e empreendedorismo.</t>
  </si>
  <si>
    <t>"Deus na frente de tudo e de todos" Amém!</t>
  </si>
  <si>
    <t>حساب يهتم بأخبار صاحب السمو الملكي الأمير محمد بن سلمان بن عبدالعزيز آل سعود ولي العهد ورئيس مجلس الوزراء  HRH Prince Mohammad Bin Salman AISaud</t>
  </si>
  <si>
    <t>Mens sana in corpore sano.
Nada con exceso, todo con Medida. 
El cinismo es la llave de la anaideia.
Namaste.</t>
  </si>
  <si>
    <t>📰Primer diario digital https://t.co/uDFbANSvhX📲Síguenos en Instagram, Facebook, YouTube y LinkedIn</t>
  </si>
  <si>
    <t>Comunidade e Mentoria Sobre Investimentos!</t>
  </si>
  <si>
    <t>🚀 Serial #Entrepreneur 🏠 Real Estate Estrategist / @imo360crm / https://t.co/dSvHnaty95</t>
  </si>
  <si>
    <t>Jornalista e Radialista, Diretor de Jornalismo e Conteúdo do site CENSURA ZERO - https://t.co/8gxv6r2mWx e do BLOG DO ANDRÉ OLIVEIRA (https://t.co/iL9n3H2bY0)</t>
  </si>
  <si>
    <t>A Sabedoria da Cabalá é uma ferramenta científica para estudar o mundo espiritual.</t>
  </si>
  <si>
    <t>Investimentos Inteligentes</t>
  </si>
  <si>
    <t>Eu sou Rico
Por motivos além do dinheiro</t>
  </si>
  <si>
    <t>Bem vindo a LexLatin Brasil! O mais importante meio de comunicação especializado no setor jurídico latino-americano.</t>
  </si>
  <si>
    <t>Coach Comportamental 
Terapia Comportamental Dialética para tornar você ainda mais preparado para lidar com à vida....
insta, face, @NannaLuyza
Kwai id Nanna520</t>
  </si>
  <si>
    <t>incentivando ao investimento de um jeito tranquilo</t>
  </si>
  <si>
    <t>📈Especialista de investimentos ANBIMA 🖊️Planejo seus investimentos, de acordo com o seu bolso e momento de vida</t>
  </si>
  <si>
    <t>Seu drops de noticias sobre o mercado financeiro</t>
  </si>
  <si>
    <t>Soluções em software para o mercado financeiro.</t>
  </si>
  <si>
    <t>B&amp;G CEO | Psychologist/Coach/Mentor/Author; M&amp;A+Culture Facilitator; C+Suite Advisor/SMP Global Leadership @Könsalidön Dubai🇦🇪 | ConsciousBiz+EcoActivist🇧🇷</t>
  </si>
  <si>
    <t>Equity. / Markets- Apaixonado por ações futebol e cerveja!!!!!!. Pai da Rafa e Isa!!!!!!</t>
  </si>
  <si>
    <t>10 anos de mercado financeiro fazendo daytrade, swingtrade e position.
Não quero te vender sala, curso e nem operacional. 
Nada aqui é recomendação, hein.</t>
  </si>
  <si>
    <t>I help traders to have consistent results by using #CANSLIM strategy ………………………………………………………………………………………………………………………………truemarketleaders@gmail.com</t>
  </si>
  <si>
    <t>Investidor Amador, Especialista de TI na Tata Consultancy Services</t>
  </si>
  <si>
    <t>Psicanalista clínica - Grafóloga - Grafoterapeuta.
Experiência e abordagem integrativa, tem conduzido muitas pessoas a superarem problemas emocionais.</t>
  </si>
  <si>
    <t>sócio e gerente na @oramainvest</t>
  </si>
  <si>
    <t>o Twitter é meu #postit</t>
  </si>
  <si>
    <t>Pensar Piauí, pretende, como o nome diz,  pensar as coisas do Piauí e do Brasil sob a ótica da esquerda.</t>
  </si>
  <si>
    <t>Pipeline, site de negócios do Valor Econômico</t>
  </si>
  <si>
    <t>🌪🦅</t>
  </si>
  <si>
    <t>Demos acesso à internet para uma Inteligência Artificial, com o objetivo dela elencar as notícias mais importantes do momento.</t>
  </si>
  <si>
    <t>As #notícias mais relevantes nas áreas da #Economia, #Empresas e #Mercados. O Negócios tem as respostas: On time. On line. Nas bancas. Em qualquer lugar.</t>
  </si>
  <si>
    <t>Aficionado por finanças pessoais, poupança e investimento. Tentar criar valor. Não acredita em esquemas de enriquecimento rápido!</t>
  </si>
  <si>
    <t>Insights on Investing, Money, and Wealth | As Seen in Yahoo Finance and Bloomberg l Creator @Grit_Capital</t>
  </si>
  <si>
    <t>Ion - compartilhe ideias
A Ion desenvolve ferramentas para facilitar seu dia a dia</t>
  </si>
  <si>
    <t>Acionista da Tesla e proprietário de um Tesla. Entusiasta das novas tecnologias e defensor das energias renováveis. 🌍💡🔋</t>
  </si>
  <si>
    <t>▫️Consultor CVM na RF Invest®. ▫️Economista e especialista em Finanças pela USP.▫️Vivo de Bolsa de Valores desde 2019, após 15 anos investindo.</t>
  </si>
  <si>
    <t>Consultoria e cursos de Forex, Acoes, Day Trading BM&amp;F (Dolar e Indice) e Analise Tecnica. Aprenda a investir de maneira responsável com profissionais.</t>
  </si>
  <si>
    <t>sempre #elenao. vidas negras importam. ditaduras nunca mais. Bolsonaristas não me encham o saco.</t>
  </si>
  <si>
    <t>Turn your passion into a profession 🎙️
Create, distribute and make money with your #podcast from day one.</t>
  </si>
  <si>
    <t>Política Distrital
https://t.co/YoOx2MDOjg</t>
  </si>
  <si>
    <t>Sócio Fundador da Nord Research e Nord Wealth / 18 anos de mercado financeiro /Insta https://t.co/kDDRwAaECN</t>
  </si>
  <si>
    <t>Esse é um canal com o objetivo de explicar um pouco de investimentos e economia de forma descomplicada
⚡lnurl1dp68gurn8ghj7ampd3kx2ar0veekzar0wd5xjtnrdakj7tnh⚡</t>
  </si>
  <si>
    <t>AAI - Engenheiro Mecânico.    Gestor comercial Graham Investimentos - Xp Investimentos.  Amor pelo mercado.</t>
  </si>
  <si>
    <t>👑Entusiasta 💯Financeiro: 📰📉 Forex, Nyse, B3, Crypto Ativos. 🏹🎯  #Forex #B3 #Crypto #PlaytoEarn #Web3 #Empreendedor📈📊</t>
  </si>
  <si>
    <t>Informação que gera valor.</t>
  </si>
  <si>
    <t>ActivTrades, online broker since 2001. Trade more than 1000 instruments on the global markets with the best execution. Forex, Shares, Indices and Commodities.</t>
  </si>
  <si>
    <t>As notícias mais quentes do mercado e tudo que você precisa saber para investir seu dinheiro do jeito certo 💵🚀</t>
  </si>
  <si>
    <t>Sejam bem-vindos ao Banco Digital dos Investidores. Preparem-se: a revolução chegou mais de uma vez para vocês!</t>
  </si>
  <si>
    <t>Broker Online desde 2001. Negocie nos mercados globais. Acesso a mais de 1000 instrumentos com a melhor execução.</t>
  </si>
  <si>
    <t>Lâmpada queimada não se arruma, se troca.</t>
  </si>
  <si>
    <t>O seu site de notícias de Cotia e região, com atualizações dinâmicas durante todo o dia! Vencedor do "Melhores do Ano 2023 - categoria site de notícias - Cotia"</t>
  </si>
  <si>
    <t>O Fonte Certa é um conceito de Jornalismo na #regiaodoslagos</t>
  </si>
  <si>
    <t>Consultoria | Palestras | Administração</t>
  </si>
  <si>
    <t>Great design, faster! 💫 #FreepikNewEra
Need help? 👉 support@freepik.com</t>
  </si>
  <si>
    <t>Excelência, parcerias estreitas e rentabilidade são nossas bússolas.</t>
  </si>
  <si>
    <t>Com tecnologia de ponta a ponta, somos o novo website do antigo site de tecnologia e tutoriais EDTuttors, com novo design, mais tecnologia de segurança.</t>
  </si>
  <si>
    <t>Amante do café, jogador casual e estudante de Administração.</t>
  </si>
  <si>
    <t>Conheça os melhores cursos profissionalizantes e os melhores cursos online clicando no link abaixo.</t>
  </si>
  <si>
    <t>Contabilidade Médica, Cálculo Judicial (Trabalhista e  Previdenciário) &amp; Despachante Documentalista. WhatsApp (21) 98995-8645  em Maricá-RJ.</t>
  </si>
  <si>
    <t>Tomando ferro na bolsa desde 2019.  Opiniões sobre investimentos de modo geral. Nada aqui é recomendação de investimento.</t>
  </si>
  <si>
    <t>Procuramos bons investimentos em mercados desenvolvidos e com boa liquidez; preferimos negócios fáceis de entender e com vantagens competitivas duradouras.</t>
  </si>
  <si>
    <t>💚 Inteligência exclusiva para seus investimentos em Bolsa.
📌Acompanhe aqui o mercado financeiro.
⬇️ Baixe o Grana</t>
  </si>
  <si>
    <t>Seeking for Alpha - Gestora de Recursos</t>
  </si>
  <si>
    <t>Contador / Especialista em Análise de Ações - #GAInvest - @gerandoalfa / 📷 instagram @kaio.csilva</t>
  </si>
  <si>
    <t>I demystify the stock market | Author, Investor, Teacher | Tweets about money &amp; investing | 80,000+ investors read my free Long Term Mindset newsletter</t>
  </si>
  <si>
    <t>Perfil oficial da CPTM. Monitorado de seg a sex, das 7h10 às 19h50. Central 24h 0800-055-0121</t>
  </si>
  <si>
    <t>Assessor de Investimentos, Consórcios, Seguros</t>
  </si>
  <si>
    <t>Que tal investir sem ter tempo?
TRENDSET: Estratégia #Passiva de #Investimentos
https://t.co/l0d0t7n9hQ
Podcast: https://t.co/xF4WaKZ819</t>
  </si>
  <si>
    <t>A mais completa e admirada cobertura de economia, negócios e finanças. Notícias que geram negócios.</t>
  </si>
  <si>
    <t>Mercado Financeiro Raiz</t>
  </si>
  <si>
    <t>Índices financeiros para investidores.
Primeira provedora de índices para ETFs brasileiros.</t>
  </si>
  <si>
    <t>🎙️ Ações, investimentos e mercado financeiro, com Thiago Salomão e Renato Santiago
🎧 Escute agora e inscreva-se na CompoundLetter 👇🏻</t>
  </si>
  <si>
    <t>📊 Gerencie os seus investimentos em um só lugar.
🥳 Aniversário do Status Invest, assine as nossas ferramentas com 20% OFF👇</t>
  </si>
  <si>
    <t>Ensino você a conquistar a liberdade financeira                 /📊 Economista / Conteúdo exclusivo ⤵️</t>
  </si>
  <si>
    <t>Nacionalista⚡️ Extrema-direita🔰 Cristão ☦️ 𝗠𝗲𝗹𝗵𝗼𝗿 𝘃𝗶𝘃𝗲𝗿 𝘂𝗺 𝗱𝗶𝗮 𝗰𝗼𝗺𝗼 𝗹𝗲𝗮𝗼 𝗱𝗼 𝗾𝘂𝗲 𝗰𝗲𝗺 𝗮𝗻𝗼𝘀 𝗰𝗼𝗺𝗼 𝗰𝗼𝗿𝗱𝗲𝗶𝗿𝗼. ⚜️</t>
  </si>
  <si>
    <t>🩺 Planos de Saúde para cães e gatos I🐾 Mais opções para você escolher. Siga também: https://t.co/jX4SYjr1bS
Política de Privacidade: https://t.co/ZUk6RB1m8z</t>
  </si>
  <si>
    <t>I used to be an adventurer like you then I took an arrow in the knee</t>
  </si>
  <si>
    <t>Repórter fotográfico, CEO da agência de fotografia DiaEsportivo https://t.co/Np5MQJ50MK</t>
  </si>
  <si>
    <t>Educação financeira, informações sobre investimentos e serviços, para você "Cultivar seu Futuro" e alcançar seus objetivos, de forma segura e eficiente.</t>
  </si>
  <si>
    <t>Missão: Partilhar conhecimento que permita melhorar o bem-estar financeiro dos meus leitores. Finanças Pessoais em português.</t>
  </si>
  <si>
    <t>Make the most out of your investments with our low fees and award-winning platform.
Investing involves a risk of loss.</t>
  </si>
  <si>
    <t>https://t.co/I0tcecS9KP https://t.co/hbacvhmOoQ https://t.co/IKvHjCpvdB</t>
  </si>
  <si>
    <t>Normalmente eu discordo, mas concordo que tudo é relativo.</t>
  </si>
  <si>
    <t>cortes sobre investimentos</t>
  </si>
  <si>
    <t>Fornecemos atualizações de preços e notícias sobre criptomoedas. Acompanhe as tendências do mercado e fique por dentro</t>
  </si>
  <si>
    <t>Informação independente que conecta a América Latina.</t>
  </si>
  <si>
    <t>Investimentos - multi family office</t>
  </si>
  <si>
    <t>Informação sobre fundos de investimento, fundos de pensões, ETF e banca privada, em Portugal. Leia-nos também em @FundsPeople e em @FundsPeopleIT</t>
  </si>
  <si>
    <t>Aqui encontrará um alguém que foi muito quebrado por entregar - indevidamente - seu coração a um outro alguém. 💔</t>
  </si>
  <si>
    <t>📊ECONOVISÃO💡
🌐|Economia 
📉|Investimentos 
💰|Finanças</t>
  </si>
  <si>
    <t>📈 Apaixonado pelo mercado financeiro e pelo Tricolor Paulista ⚽. Explorando o universo da mente e do mercado! #SPFC #Finanças #SãoPauloFC 🌌🎭📚🙏🗳️</t>
  </si>
  <si>
    <t>A melhor cobertura jornalista sobre mercado financeiro do Brasil 📰💼
Insides, notícias e educação financeira!</t>
  </si>
  <si>
    <t>Gosto de falar sobre web, tecnologia, inovação, IA, negócios, empreendedorismo, marketing e finanças.
Criador da página Pense Mercado. @pensemercado</t>
  </si>
  <si>
    <t>🗞 Informação Pontual;
📍 Desde Abril de 2010;
Acesse agora mesmo 👇🏼</t>
  </si>
  <si>
    <t>Plu7 é um grande portal de notícias do Brasil e do mundo, esportes, entretenimento, economia, animais e muito mais está aqui esperando por você!</t>
  </si>
  <si>
    <t>Fonte inigualável e imparcial de notícias sobre #Bitcoin, #Ethereum, #NFT, #Fintech, #Web3, #DeFi e #Blockchain em tempo real. Divisão da @CoingraphNews.</t>
  </si>
  <si>
    <t>VP @ Organizze Membro do Conselho de Administração @ Brivia Group Empreendedor e investidor serial apaixonado por scale-ups e venture capital</t>
  </si>
  <si>
    <t>Fique por dentro de tudo que o BC publica: https://t.co/VrFnR3Etep…</t>
  </si>
  <si>
    <t>Segurança Digital</t>
  </si>
  <si>
    <t>Portal de notícias com conteúdo de #negócios #economia #tecnologia</t>
  </si>
  <si>
    <t>Your source for top international news and analysis.</t>
  </si>
  <si>
    <t>Informações Geopolíticas: GLOBAL e TURQUIA.</t>
  </si>
  <si>
    <t>🎓Master in Math Finance and Economics 🇺🇸 📍New York 🗽 💻Co-founder @4p.finance🦊@freezingfoxworldsociet</t>
  </si>
  <si>
    <t>Comunidade de Pensadores 🦉 • Fonte confiável para atualizações, análises e lives sobre o mundo Cripto, Economia e Finanças • Conecte-se, aprenda e compartilhe.</t>
  </si>
  <si>
    <t>+ 800 clientes PJ atendidos 📝 + 20 anos de experiência 💻 + Cálculos Judiciais | Revisionais</t>
  </si>
  <si>
    <t>Educação Financeira de forma descomplicada e ao alcance de todos!
Ações, FII, Altcoins, NFT.
Trading, Price Action.</t>
  </si>
  <si>
    <t>MERCADO FINANCEIRO DAY TRADE MINE DOLAR MINI ÍNDICE ANÁLISE GRÁFICA</t>
  </si>
  <si>
    <t>Estou aqui para compartilhar minha visão sobre investimentos.</t>
  </si>
  <si>
    <t>#Informação e análise jornalísticas com credibilidade, qualidade e agilidade, baseadas nos princípios editoriais do Jornal CORREIO DE MINAS.#ConselheiroLafaiete</t>
  </si>
  <si>
    <t>📊Trader Brasileiro💲
🎬Youtuber🎬
Canal do Youtube👉
https://t.co/5lrSTf6UbL…
Grupo do Telegram:
https://t.co/q0I4C13KqI…</t>
  </si>
  <si>
    <t>Trader, globalist, Financial markets and economy in 4 languages: ENG, FRA, SPA &amp; ITA.</t>
  </si>
  <si>
    <t>Comércio exterior, dados, investimentos, economia, oportunidades de negócios e opiniões</t>
  </si>
  <si>
    <t>Maior exportadora de carne bovina da América do Sul, com acesso a mais de 100 países e operações no Brasil, Argentina, Chile, Colômbia, Uruguai, Paraguai</t>
  </si>
  <si>
    <t>In God &amp; vol we trust!
Administração Unisinos, MBA em Mercado de Capitais FSG. Futebol, Finanças e política (sem ter político de estimação ou ser isentão)</t>
  </si>
  <si>
    <t>eu</t>
  </si>
  <si>
    <t>Quer conversar sobre #investimentos? Do início ao avançado 👉 https://t.co/baTRTtnSFN</t>
  </si>
  <si>
    <t>Licenciatura em Biblioteconomia - 8° período.
Bibliotecário Consultor da Numismática Nacional.
Consultas 👉 https://t.co/FlWxKKbyNK</t>
  </si>
  <si>
    <t>Espiritualista Maicon Paiva 👉🏾Consulta Espiritual 👉🏼União de Casais 👉🏿Encontrar a Pessoa Amada.</t>
  </si>
  <si>
    <t>"Uma longa jornada começa com um simples passo."
Confúcio</t>
  </si>
  <si>
    <t>Faço análise de dados, resumo notícias e compartilho. Falo sobre #economia, #mercadofinanceiro, #dados  e #educação.</t>
  </si>
  <si>
    <t>undefined</t>
  </si>
  <si>
    <t>Contribua com nosso trabalho 👆
Pilares: Deus, Pátria, Família e Liberdade.
Acesse: https://t.co/UHmcBoNW5O</t>
  </si>
  <si>
    <t>#Consultoria e #Mentoria em #Criptoativos e #Blockchain |
Website: https://t.co/6rxkieoB08</t>
  </si>
  <si>
    <t>O Banco ideal para apoiar seu momento de vida e a construção da sua história. Abra sua conta: https://t.co/i02fVRPwBC</t>
  </si>
  <si>
    <t>💡 Educação para investidores</t>
  </si>
  <si>
    <t>5+ anos investindo em Ações. 🤩 Dados e Estratégias. 20 anos de TI no 🇧🇷B3 🇬🇧HedgeFund 🇪🇺Bco.Invest. 🇺🇸Refinitiv. Opiniões pessoais, não recomendações!</t>
  </si>
  <si>
    <t>Bureau Chief Brazil - Bloomberg News.  #Brazil Opinions are my own.</t>
  </si>
  <si>
    <t>emerging markets reporter at @business | vandrade3@bloomberg.net | opinions are my own</t>
  </si>
  <si>
    <t>Socialista, Fotografia, Rock'n Roll, #Love #fashion #beautiful #happy #tbt #Brasil #SP #Engenharia</t>
  </si>
  <si>
    <t>Jornalismo independente, progressista, 24 horas por dia, 7 dias por semana. Assine: (https://t.co/9osqP6SbjD) Telegram: https://t.co/Hld10tstNN 📢</t>
  </si>
  <si>
    <t>Investidor na B3, Nasdaq e NYSE.</t>
  </si>
  <si>
    <t>Esse é o perfil oficial do Magazine Luiza. Aqui eu posto ofertas e todas as novidades do Magalu.</t>
  </si>
  <si>
    <t>Único jornal especializado em Economia, Gestão e Negócios de Minas Gerais</t>
  </si>
  <si>
    <t>Deus fez os loucos pra confundir os sábios! Libertarian! 
Entusiasta da Economia Austríaca! 
Trades e memes!
Price Action Al Brooks
#Bitcoin</t>
  </si>
  <si>
    <t>Aqui compartilhamos o conceito #GeologiaSalvaVidas 
🌎🙇🏽‍♀️⚒️</t>
  </si>
  <si>
    <t>O Twitter que te acompanha na fase das tuas maiores decisões!
Mais Educativa, aprende com quem sabe!</t>
  </si>
  <si>
    <t>Apaixonado por Daytrade!
Victor Garcia -  Campeão Brasileiro de POKER.
O Mercado financeiro é simples!
Canal Telegram: https://t.co/F1Z0OHOHxV</t>
  </si>
  <si>
    <t>🎯São Paulo    🏅 Enfermeiro, Letrólogo e Historiador    ♌ Leão 🏋🏽‍♂️Fitness 🎤 Canto 💯@jamesatayde</t>
  </si>
  <si>
    <t>Pediatra, perinatologista e jornalista.</t>
  </si>
  <si>
    <t>Vereador em Duque de Caxias</t>
  </si>
  <si>
    <t>O OnJornal é um veículo de comunicação com foco principal em notícias de Concursos, Empregos, Licitações e Negócios em geral.</t>
  </si>
  <si>
    <t>A Revista M&amp;T - Mercado &amp; Tecnologia é uma publicação da @sobratema dedicada à tecnologia, gerenciamento, manutenção e custos de equipamentos.</t>
  </si>
  <si>
    <t>Perfil institucional da SOBRATEMA - Associação Brasileira de Tecnologia para Construção e Mineração</t>
  </si>
  <si>
    <t>📈 | Te ensino a investir com pouco $$$ 🚀
📖 |Educação financeira
 🥇| Extremo Sul de SP 📈
 | GANHE DINHEIRO do seu BANCO 🤑🏦👇🏾</t>
  </si>
  <si>
    <t>Há mais de 13 anos educando e ajudando empresas, empresários e pessoas captarem recursos e a investirem de forma inteligente e saudável.</t>
  </si>
  <si>
    <t>Olá, sou o Hilton Luiz.. Formado em Direito e Publicidade, não satisfeito criei o canal no Youtube. Também estou nas demais mídias sociais só colocar HiltonBoss</t>
  </si>
  <si>
    <t>When you want to feel cared for wherever you go, it matters where you stay. #HiltonForTheStay</t>
  </si>
  <si>
    <t>O foco do Portal CPG é prover informações sobre o mercado de energia, vagas de emprego e outros assuntos macro/micro-economicos do ramo industrial.</t>
  </si>
  <si>
    <t>Instagram: https://t.co/SPbDF41tpe…
Site: https://t.co/a4RgVnOdt5</t>
  </si>
  <si>
    <t>La vida y la muerte está en nuestras palabras 👄 👄 
 #words #palavras #decreto #atarydesatar #energy #soul #change</t>
  </si>
  <si>
    <t>Novo post no blog da Factu: 
Produtividade e Eficiência no Trabalho
Confira!  
https://t.co/Ylib53zf1b</t>
  </si>
  <si>
    <t>Metodologia própria p/ operações Swing trade em Ações, Criptos e Opções 🇧🇷 *ATENÇÃO DISCLAIMER* Não faço recomendações, todas postagens são estudos pessoais!</t>
  </si>
  <si>
    <t>Perfil para compartilhamento de dados do grupo Ações e Valuations com autorização do administrador do Grupo.
#ValueInvesting</t>
  </si>
  <si>
    <t>O seu jornal on-line • #AmazonasAtual | Participe do nosso canal no Telegram 📲 https://t.co/mTdSj1EhJW Lista de Transmissão no Whatsapp (92) 98401-2888</t>
  </si>
  <si>
    <t>Querer é poder, ao acreditarmos que aprendemos todos os dias...!
Elisabete Ramiro.
#Designer #DesignerGráfico #Webdesigner
#vida #quererépoder #Acredito</t>
  </si>
  <si>
    <t>Perfil oficial da Câmara Municipal de São Paulo, com informações e cobertura da atividade legislativa em tempo real.
Instagram: @camarasaopaulo</t>
  </si>
  <si>
    <t>🌐 Página oficial em Português
📊 Mais de 350.000 clientes mundo afora
📈14 anos de experiência no mercado</t>
  </si>
  <si>
    <t>Bem-vindo ao Com Lucro!
Com Lucro é mais do que um simples site, é um portal criado com o objetivo de auxiliar e orientar os traders investidores a tomarem as m</t>
  </si>
  <si>
    <t>#Bitcoin Analyst - Swing Trader/scalp - Medium/long term investor | Encryption since 2015
Crypto - 2015
Finance - 2018
Philanthropist - 2021</t>
  </si>
  <si>
    <t>Informações Gerais</t>
  </si>
  <si>
    <t>Somos o portal Mais News com muita informação direto da fonte!</t>
  </si>
  <si>
    <t>Trading XAUUSD 🔥 — Análises, Dicas e Estratégias de Trading — Sinais Gratuitos XAUUSD no primeiro link abaixo 👇 — Posts como Referência Educacional</t>
  </si>
  <si>
    <t>Perfil de investimentos da @nomadglobalapp 🌎
Serviços intermediados por Mogno Capital DTVM Ltda.</t>
  </si>
  <si>
    <t>💸 Te ensino a investir seu dinheiro
💰 buy and hold
🎓+3000 alunos que desvendaram com sucesso os segredos das finanças.</t>
  </si>
  <si>
    <t>Aqui falamos sobre Investimentos, Negócios, Empresas, Empreendedorismo, Economia e Inovação.
Created by @rodmf</t>
  </si>
  <si>
    <t>As coisas realmente importantes levam tempo.</t>
  </si>
  <si>
    <t>▫️ Prefeito da primeira capital do Brasil ▫️ Professor 📚 ▫️ Apaixonado por Salvador! 😍</t>
  </si>
  <si>
    <t>Jornalista, advogado, comentarista político e apresentador na @bandba, @bandnewsfm_ssa e no site Band Notícias BA. Articulista na Tribuna da Bahia.</t>
  </si>
  <si>
    <t>Visitem o canal no YouTube: Invista na bolsa</t>
  </si>
  <si>
    <t>Fundos Imobiliários são investimento, informações.
#FII #FundosImobiliarios</t>
  </si>
  <si>
    <t>💵 Investidor nas Bolsas de Valores dos EUA (NYSE e NASDAQ).
⭕ Tweets não são recomendações de compra, venda ou investimento.</t>
  </si>
  <si>
    <t>Sou do bem, patriota, estou aqui para somar na vida das pessoas e levar informação e opinião! 
Amo minha esposa, filhas, família!
Deus acima de tudo!</t>
  </si>
  <si>
    <t>Dados de fundos listados de renda passiva e isentos de imposto na distribuição de rendimentos para pessoa física: #Fii #Fiagro #Fipie #Fiinfra 🤖</t>
  </si>
  <si>
    <t>PhD candidate in Political Science, work for the Legislative Assembly of the State of Paraná - Research crises and disasters in local politics - 政治学家</t>
  </si>
  <si>
    <t>💜Governadora de PE 💛2x prefeita de Caruaru 👩🏻‍💼2x deputada estadual 👩🏻‍💼Procuradora do Estado 👮🏻‍♀️Ex-delegada da Polícia Federal</t>
  </si>
  <si>
    <t>Investidor e trader, sempre em busca da constante evolução. 🔥🥇                                                         Corinthians 🦅🖤</t>
  </si>
  <si>
    <t>KAIRÓS&amp;CRONOS💀⚡☦
𝓝𝓞𝓣Ó𝓡𝓘𝓞𝓢</t>
  </si>
  <si>
    <t>🤖 Maior Plataforma de Robôs Traders do Brasil
💻 Opere no Mercado Financeiro de forma 100% Automatizada com a SmarttBot</t>
  </si>
  <si>
    <t>Jesus meu Amor Maior🙏🙌 Esposo de Rebeca😍 Pai de Letícia 😘 Educador Financeiro💵 Ajudar o próximo minha missão😀</t>
  </si>
  <si>
    <t>Investindo em fundos imobiliários</t>
  </si>
  <si>
    <t>Profissional liberal apaixonado por liberdade, investimento, mercado financeiro e por um estilo de vida mais easy going</t>
  </si>
  <si>
    <t>Comunicação e Marketing
Site Diário - REVISTA DIGITAL
https://t.co/zZ5nLgKGPj 
Instagram: https://t.co/9TvrxsERps</t>
  </si>
  <si>
    <t>📈 Análise técnica
📢 Notícias 
📈 Cryptomoedas
📉 Mercado Financeiro</t>
  </si>
  <si>
    <t>🏆 Casa de Análise Top 1 Anbima. Referência em investimentos no Brasil. + de 20 anos de experiência no mercado.</t>
  </si>
  <si>
    <t>Tecnologia avançada para gestão de carteiras de investimentos</t>
  </si>
  <si>
    <t>🇧🇷</t>
  </si>
  <si>
    <t>Promoting trade and cultural relations between 🇮🇳 and 🇧🇷.</t>
  </si>
  <si>
    <t>André Cardoso, 🇵🇹 trader &amp; founder of https://t.co/5MAw3TF29m project. Sharing insights on trading &amp; forex markets. Member of @ForexAnalytix team.</t>
  </si>
  <si>
    <t>Plataforma especializada em conteúdos sobre economia, mercado financeiro, investimentos e criptomoedas. Resumos diários dos principais sites do Brasil.</t>
  </si>
  <si>
    <t>Ativos geram renda passiva e garantem um ótimo futuro!</t>
  </si>
  <si>
    <t>VIP = "Velho Ignorante Pobre"</t>
  </si>
  <si>
    <t>Conheça a filosofia de investimento do fundo que rendeu 30,6% ao ano desde sua criação, em 2013. https://t.co/IpgA4sXC1o</t>
  </si>
  <si>
    <t>Sócio fundador do Ártica Asset Management. Nosso fundo de ações (Ártica Long Term FIA) teve retorno médio acima de 30% ao ano desde sua criação, em 2013.</t>
  </si>
  <si>
    <t>Médico, Investidor e Minimalista. Cristão. Hygge. Liberal. Lannister 🦁
(DISCLAIMER:  não recomendo compra/venda de ações, títulos ou outros inst. financeiros)</t>
  </si>
  <si>
    <t>💰Educação Financeira
🐊Dividendos
📽️ Canal no YouTube
⬇️ Links</t>
  </si>
  <si>
    <t>Passionate about art and the exciting world of NYSE, NASDAQ &amp; OTC stocks. 🎨📈 Exploring the intersection of creativity and financial markets.</t>
  </si>
  <si>
    <t>Tentando manter o bom senso nesse lugar chamado Twitter.</t>
  </si>
  <si>
    <t>🧑‍💻 | Aprenda a PENSAR com Excel e Power BI
📊 | Loja de Planilhas Prontas
📈 | Consultoria em Power BI 
#Excel #PowerBI #planilhas #pynthon #r #estatística</t>
  </si>
  <si>
    <t>🔞 Factos acima de Sentimentos.
🚸 A verdade dói mas constrói.</t>
  </si>
  <si>
    <t>Eu ensino brasileiros a multiplicarem sua renda investindo e trading nos Estados Unidos através do Clube do Investimento USA.</t>
  </si>
  <si>
    <t>Tudo sobre investimentos, as melhores carteiras de ações para investir, Criptomoedas tudo sobre o Bitcoin, Ethereum, Litecoin</t>
  </si>
  <si>
    <t>Site de notícias e Mídias.</t>
  </si>
  <si>
    <t>Como Ganhar Dinheiro Na Internet  👉 https://t.co/tmENzg9uQA</t>
  </si>
  <si>
    <t>Especialista com Certificação CNPI-T e CFP® | Há mais de 20 anos no mundo dos negócios | Vamos falar sobre suas finanças| Instagram: @ocleydsontrader</t>
  </si>
  <si>
    <t>Surgido em 8 de março de 2017, como o Blog O Canal da Lili - Mídia Positiva, após quatro anos de existência a plataforma passou a ser O Canal da Lili - Revista</t>
  </si>
  <si>
    <t>Fique por dentro dos últimos fatos relevantes e noticias da B3!</t>
  </si>
  <si>
    <t>Criação e divulgação de conteúdos sobre Seguro Ambiental - ESG em Finanças e Seguros - Meio ambiente - Sustentabilidade - Riscos Ambientais</t>
  </si>
  <si>
    <t>Head Research | Sócio Genial Investimentos</t>
  </si>
  <si>
    <t>Obrigado por se inscrever e fazer parte da nossa comunidade!
🖥️INFORMAÇÃO &amp; 🎓EDUCAÇÃO | FOUNDERS: @business.v.souza e @jay_coorner</t>
  </si>
  <si>
    <t>"Tudo vale a pena quando a alma não é pequena" Fernando Pessoa  Jornalista Profissional 74 anos, fotografa, produtora, pesquisadora, amo VIVER.GRATIDÃO,GRATIDÃO</t>
  </si>
  <si>
    <t>Prepare-se para nova economia! Tudo será tokenizado, entenda com a BLOCKBR! 🚀</t>
  </si>
  <si>
    <t>Analista CNPI-P
Opinions are my own</t>
  </si>
  <si>
    <t>Pai e marido zeloso; filho de Deus
Dinheiro 💰, Investimentos📈, Política🤡, Tecnologia📲. Pessoas importam👊🏼!
Sócio e estrategista @somosnomos</t>
  </si>
  <si>
    <t>Panflix é a TV digital da Jovem Pan. Assista onde estiver, a hora que quiser; baixe agora! 📱💻📺📻
https://t.co/a2vsR5231R</t>
  </si>
  <si>
    <t>Episódios no Ar!
Link abaixo!</t>
  </si>
  <si>
    <t>Streamer na Twitch nas horas vagas de Pokemon Go e se pedir posso jogar Valorant, mas sou muito ruim kkk</t>
  </si>
  <si>
    <t>Perfil oficial do Ministério da Integração e do Desenvolvimento Regional. Para mais informações, visite nosso site: https://t.co/58gFnGbDzi</t>
  </si>
  <si>
    <t>🇧🇷 Ministro da Integração e Desenvolvimento Regional 🇬🇦 Ex-Governador do Amapá || Casado com Marilia e pai de 7 filhos || Juntos vamos reconstruir o Brasil.</t>
  </si>
  <si>
    <t>Canal de YouTube 📹
✉️ descomplicaft@gmail.com</t>
  </si>
  <si>
    <t>Há 17 anos no mercado financeiro, Carioca, Colunista do TradeNews, músico e surfista nas raras horas vagas | Investimentos, Mercados, Política e Negócios.</t>
  </si>
  <si>
    <t>Compartilhando informações</t>
  </si>
  <si>
    <t>Assessor de Investimentos</t>
  </si>
  <si>
    <t>Compartilhando conhecimento sobre o mercado imobiliário.</t>
  </si>
  <si>
    <t>Analista, gestora e consultora de investimentos
Assine o ALL IN ONE: RENDA E ALTO POTENCIAL SEM TAXAS!</t>
  </si>
  <si>
    <t>Rodo cotidiano no mundo jurídico.</t>
  </si>
  <si>
    <t>Agência de Notícias, Publicidade e Propaganda. 18 anos levando noticias do Acre para o mundo.</t>
  </si>
  <si>
    <t>O jornal Diário de Goiás é publicação digital independente com informação e análise dos fatos. Publicado desde 2012. Visite o https://t.co/LOHq4fDK2E</t>
  </si>
  <si>
    <t>Você tem o sonho ✨, nós temos o conhecimento💡 para transformá-lo em realidade.
Venha aprender os SEGREDOS do SUCESSO!
Visite nosso site
https://t.co/c6QGORXc0J</t>
  </si>
  <si>
    <t>Dicas e Estudos de Cripto, Ações, Índice, Dólar, Índices Internacionais, ETF, Commodities, Forex e Indicadores do Mercado Financeiro.</t>
  </si>
  <si>
    <t>Dicas para lidar melhor com o seu dinheiro. Investimentos em ações, fundos, poupança? Títulos, análises e notícias setoriais? As melhores informações para você.</t>
  </si>
  <si>
    <t>Baixe agora!</t>
  </si>
  <si>
    <t>Eu sou obsessivo no meu Auto-desenvolvimento,li mais de 300 livros nos últimos 8 anos e apliquei esse conhecimento na minha vida. Me siga e mude sua mentalidade</t>
  </si>
  <si>
    <t>A notícia que rende.</t>
  </si>
  <si>
    <t>PEDRO PAULO SPENCER SOARES, BRASILEIRO, ADVOGADO, CONSULTOR JURÍDICO EM INOVAÇÃO, MESTRE EM PROPRIEDADE INTELECTUAL E TRANSFERÊNCIA DE TECNOLOGIA PELA UFPE.</t>
  </si>
  <si>
    <t>Jornalista. Apaixonada por informação. Em processo de despedida do TT. Esta é minha única conta. Se vir algo diferente, cheque data e histórico.</t>
  </si>
  <si>
    <t>"The key to successful investing is to have patience, discipline, and emotional control." - Benjamin Graham
📈📚 Tweets for educational purposes only.</t>
  </si>
  <si>
    <t>Seja bem-vindo! Aqui, compartilhamos informações sobre economia, investimentos e finanças pessoais.</t>
  </si>
  <si>
    <t>Sou o Roberto, CFO do Fundo Capivara Family/Previdenciário e Giro Loko. Não sou Analista de Valores Mobiliários. Busque profissional qualificado!</t>
  </si>
  <si>
    <t>Jornal Correio Popular de Rondônia. Um Jornal a Serviço da Comunidade.</t>
  </si>
  <si>
    <t>Somos especializados na produção, em tempo real, de notícias que explicam os movimentos dos mercados financeiros do Brasil, América Latina e internacionais.</t>
  </si>
  <si>
    <t>compartilhando minhas experiencias com Investimentos, criptos, empreendedorismo.</t>
  </si>
  <si>
    <t>Informações sobre criptos e bolsa de valores...</t>
  </si>
  <si>
    <t>A mais completa e tradicional revista brasileira do setor de mineração. Notícias, informações, artigos técnicos, opinião, entrevistas, produtos e serviços.</t>
  </si>
  <si>
    <t>Gestor de Carteiras Administradas (CGA)</t>
  </si>
  <si>
    <t>Exploro conteúdo sobre finanças, investimento, motivação e liderança. 
#duduhrosa13 #finanças #investimentos</t>
  </si>
  <si>
    <t>Conteúdo sobre investimentos no Brasil e exterior</t>
  </si>
  <si>
    <t>Invista sem medo</t>
  </si>
  <si>
    <t>#Bitcoin &amp; Criptomoedas // 🏆</t>
  </si>
  <si>
    <t>Site de notícias, opinião, vídeos, esportes, fofocas dos famosos, bichos e muito mais do Brasil e do mundo.</t>
  </si>
  <si>
    <t>📉 Investimentos |
🗞 Política |
 📲 Novos Negócios |
📚 Sempre buscando informações e trazendo a realidade do mercado, pois bolsa de valores, não é cassino 🎲</t>
  </si>
  <si>
    <t>A revista Cães&amp;Gatos VET FOOD é uma publicação mensal destinada aos médicos-veterinários. Acesse free em https://t.co/W5eD8vAGXK</t>
  </si>
  <si>
    <t>Economista - 
Especialista em Gestão Pública Especialista em Gestão Pública Municipal - 
Franquia @b2b_solucoes - 
App @nivelcashback - 
Sócio-Prop. @bprsolar</t>
  </si>
  <si>
    <t>Eu sou o Conselho Nacional de Secretários de Educação e tuíto sobre as redes estaduais de ensino</t>
  </si>
  <si>
    <t>Notícias a toda hora</t>
  </si>
  <si>
    <t>Bem-vindo à nossa loja virtual de e-books! Navegue pelo nosso catálogo e descubra novas histórias, conhecimentos e aventuras.</t>
  </si>
  <si>
    <t>Visão subjetiva de fatores #Corporativistas e/ou #Geopolíticos que direcionam as #Economias Mundiais e os #Mercados Tradicional, de #Futuros e de #Criptos.</t>
  </si>
  <si>
    <t>Levantou, a gente corta.</t>
  </si>
  <si>
    <t>Administradora| Finanças| Investimentos| Empresária| Vascaína 💢🌈| Amo Rap e memes💙| Contato :comercial@nathfinancas.com</t>
  </si>
  <si>
    <t>Conteúdo financeiro que estimula a conversa e vai te ajudar a encarar o que parece impossível hoje.</t>
  </si>
  <si>
    <t>Um pouco de arte todos os dias.
Brasil
Artes - AI (Dall-e 2 ; Bing) | No NFT
vitoartswow@gmail.com
Também faço capas e thumbnails.
IG - vito.artswow</t>
  </si>
  <si>
    <t>Há 22 anos ensinando pessoas a sair das dívidas, controlar bem e investir seu dinheiro.</t>
  </si>
  <si>
    <t>INTERNATIONAL BIBLICAL TEACHING PLATFORM
"Carefully examining the Scriptures daily" (Acts 17:11) (The advertisements are imposed by Twitter, we do not approve)</t>
  </si>
  <si>
    <t>Eng. eletrônico e desenvolvedor.  Twitter p/ compartilhar ideias de Algo Trader!
“Investir em conhecimento sempre rende os melhores juros.” – Benjamin Franklin</t>
  </si>
  <si>
    <t>Canal que mostra na prática como investir na bolsa de valores com as menores taxas, em ações nacionais, Stocks, FIIs, Reits, Criptomoedas e mais.</t>
  </si>
  <si>
    <t>Política, economia, esportes, celebs, pets e mais! #PortaliG</t>
  </si>
  <si>
    <t>Uma visão singular sobre os principais fatos macroeconômicos e do mercado financeiro.
Siga-nos também no Instagram: @ henleconsultoria</t>
  </si>
  <si>
    <t>Tudo sobre mercado financeiro, economia e política no Brasil e no mundo</t>
  </si>
  <si>
    <t>O principal portal financeiro que oferece cotações em tempo real, gráficos streaming, notícias financeiras atualizadas, análises técnicas e mais.</t>
  </si>
  <si>
    <t>Onde as suas finanças começam 🚀
Nossa missão é mostrar que qualquer um pode ter controle financeiro, fazer boas escolhas e conquistar seus sonhos.</t>
  </si>
  <si>
    <t>Lover of languages ​​and cultures of other peoples, of course, other sciences that our universe may contain.And you, what do you like?Can U speak in Portuguese?</t>
  </si>
  <si>
    <t>Certified Blockchain Solution Architect. Solidity, Lightning Network, Python, NodeJS. Asesor en Mkt Político y Digital. Especialista en inteligencia y contra…</t>
  </si>
  <si>
    <t>Desde 1995, o FGC protege depositantes e investidores e contribui para a estabilidade do Sistema Financeiro Nacional.</t>
  </si>
  <si>
    <t>Investidor e Analista Fundamentalista da DVinvest
Opinions are my own and not the views of my company</t>
  </si>
  <si>
    <t>bit.ly/3zJVoGh</t>
  </si>
  <si>
    <t>linktr.ee/danimontori_at</t>
  </si>
  <si>
    <t>linklist.bio/investbooks</t>
  </si>
  <si>
    <t>economatica.com</t>
  </si>
  <si>
    <t>linktr.ee/JuanFidalgo</t>
  </si>
  <si>
    <t>linktr.ee/vokin</t>
  </si>
  <si>
    <t>fsl.com</t>
  </si>
  <si>
    <t>danielguidotti.com</t>
  </si>
  <si>
    <t>linktr.ee/invexcripto</t>
  </si>
  <si>
    <t>bit.ly/GRUPO-VIP-TOTA…</t>
  </si>
  <si>
    <t>webitcoin.com.br</t>
  </si>
  <si>
    <t>diariodovale.com.br</t>
  </si>
  <si>
    <t>brasil.perfil.com</t>
  </si>
  <si>
    <t>youtu.be/O4oJIG7SpHM</t>
  </si>
  <si>
    <t>epbr.com.br</t>
  </si>
  <si>
    <t>petrobras.com.br</t>
  </si>
  <si>
    <t>criptofacil.com</t>
  </si>
  <si>
    <t>academiadodinheiro.com.br</t>
  </si>
  <si>
    <t>domenicoadvogados.com.br</t>
  </si>
  <si>
    <t>somosnomos.com.br</t>
  </si>
  <si>
    <t>jovempan.com.br</t>
  </si>
  <si>
    <t>youtube.com/@OVINNYINVEST</t>
  </si>
  <si>
    <t>giranoticias.com.br</t>
  </si>
  <si>
    <t>escolacripto.com.br</t>
  </si>
  <si>
    <t>faustobotelho.com.br/curso</t>
  </si>
  <si>
    <t>tvgazeta.com.br</t>
  </si>
  <si>
    <t>tvgazeta.com.br/jornaldagazeta</t>
  </si>
  <si>
    <t>facebook.com/groups/Ibovesp…</t>
  </si>
  <si>
    <t>investidoresbrasil.com.br</t>
  </si>
  <si>
    <t>instagram.com/franciscoberto…</t>
  </si>
  <si>
    <t>perspective.com.br</t>
  </si>
  <si>
    <t>pmwnoticias.com.br</t>
  </si>
  <si>
    <t>culturaalternativa.com.br</t>
  </si>
  <si>
    <t>sites.google.com/view/www-bedro…</t>
  </si>
  <si>
    <t>solutionx.net.br</t>
  </si>
  <si>
    <t>bolsainteligente.com.br</t>
  </si>
  <si>
    <t>gorila.com.br</t>
  </si>
  <si>
    <t>cadastro.xpi.com.br/passo/assessor…</t>
  </si>
  <si>
    <t>bit.ly/CanalMonex</t>
  </si>
  <si>
    <t>coletivoecovida.com</t>
  </si>
  <si>
    <t>padtec.com</t>
  </si>
  <si>
    <t>blogdojuares.com.br</t>
  </si>
  <si>
    <t>morfogog.blogspot.com</t>
  </si>
  <si>
    <t>williamhunt.com.br/segredos-dos-i…</t>
  </si>
  <si>
    <t>facebook.com/marcello.faria…</t>
  </si>
  <si>
    <t>oconvergente.com.br</t>
  </si>
  <si>
    <t>castellanoshop.com</t>
  </si>
  <si>
    <t>jeffersonlucas.com</t>
  </si>
  <si>
    <t>visualmodo.com</t>
  </si>
  <si>
    <t>santiago1000.it/en/</t>
  </si>
  <si>
    <t>chat.whatsapp.com/If4f2Z3lK1B0QB…</t>
  </si>
  <si>
    <t>jornalsemanario.com.br</t>
  </si>
  <si>
    <t>sou.nu/n-possibilidad…</t>
  </si>
  <si>
    <t>esron.com.br</t>
  </si>
  <si>
    <t>relatorioreservado.com.br</t>
  </si>
  <si>
    <t>funnybet.com</t>
  </si>
  <si>
    <t>hubdoinvestidor.com.br</t>
  </si>
  <si>
    <t>alagoasnanet.com.br</t>
  </si>
  <si>
    <t>crfmg.org.br</t>
  </si>
  <si>
    <t>linktr.ee/moprify</t>
  </si>
  <si>
    <t>Smashup23.com</t>
  </si>
  <si>
    <t>forbes.com.br</t>
  </si>
  <si>
    <t>linktr.ee/beyoursco</t>
  </si>
  <si>
    <t>linktr.ee/sonartradeofic…</t>
  </si>
  <si>
    <t>sst.trade</t>
  </si>
  <si>
    <t>izzinvest.com</t>
  </si>
  <si>
    <t>soutorres.blogspot.com/?zx=58b38b5b7e…</t>
  </si>
  <si>
    <t>freeclassificados.com</t>
  </si>
  <si>
    <t>professorrafaelporcari.com</t>
  </si>
  <si>
    <t>cutt.ly/SALA-DE-SINAIS…</t>
  </si>
  <si>
    <t>linktr.ee/Debrito.Invest</t>
  </si>
  <si>
    <t>bpower.com.br/clique-aqui</t>
  </si>
  <si>
    <t>linktr.ee/cmcovilha</t>
  </si>
  <si>
    <t>linktr.ee/investe1tempo</t>
  </si>
  <si>
    <t>bit.ly/3AmoZ7T</t>
  </si>
  <si>
    <t>moneytimes.com.br</t>
  </si>
  <si>
    <t>daytrader.pt</t>
  </si>
  <si>
    <t>youtu.be/skPXly2RbR0</t>
  </si>
  <si>
    <t>linklist.bio/2mv</t>
  </si>
  <si>
    <t>investor.academy</t>
  </si>
  <si>
    <t>about.me/torrejais</t>
  </si>
  <si>
    <t>moneytimes.com.br/cryptotimes/</t>
  </si>
  <si>
    <t>moneytimes.com.br/agrotimes/</t>
  </si>
  <si>
    <t>odysee.com/@contab_invest…</t>
  </si>
  <si>
    <t>investedigital.com.br</t>
  </si>
  <si>
    <t>vicisolutions.com.br</t>
  </si>
  <si>
    <t>beacons.ai/institutoexito</t>
  </si>
  <si>
    <t>sindifisconacional.org.br</t>
  </si>
  <si>
    <t>economiaenbicicleta.com</t>
  </si>
  <si>
    <t>istoedinheiro.com.br</t>
  </si>
  <si>
    <t>opensea.io/X_Brazil_Boys_…</t>
  </si>
  <si>
    <t>leadr.com.br/share/profile/…</t>
  </si>
  <si>
    <t>inter.co/pra-voce/globa…</t>
  </si>
  <si>
    <t>instagram.com/futebol_info0</t>
  </si>
  <si>
    <t>suno.me/3PwaCWk</t>
  </si>
  <si>
    <t>lp.suno.com.br/cl/distribuica…</t>
  </si>
  <si>
    <t>linktr.ee/nonoinvestidor</t>
  </si>
  <si>
    <t>anbima.com.br</t>
  </si>
  <si>
    <t>linktr.ee/neto.invest</t>
  </si>
  <si>
    <t>ioneducation.com</t>
  </si>
  <si>
    <t>B3.com.br</t>
  </si>
  <si>
    <t>inteligenciafinanceira.com.br</t>
  </si>
  <si>
    <t>bit.ly/3C0Bvv9</t>
  </si>
  <si>
    <t>araquari.sc.gov.br</t>
  </si>
  <si>
    <t>jornaldooeste.com.br</t>
  </si>
  <si>
    <t>linkter.ee/jr.lacerda</t>
  </si>
  <si>
    <t>napoleao.adv.br</t>
  </si>
  <si>
    <t>youtube.com/c/ClubedosDivi…</t>
  </si>
  <si>
    <t>forkthebanks.io/mercados</t>
  </si>
  <si>
    <t>linktr.ee/PapodeMilhao022</t>
  </si>
  <si>
    <t>gregorioimport.com.br</t>
  </si>
  <si>
    <t>fxreview.com.br</t>
  </si>
  <si>
    <t>jovempan.com.br/entretenimento</t>
  </si>
  <si>
    <t>portalviu.com.br</t>
  </si>
  <si>
    <t>felipedospneus.com</t>
  </si>
  <si>
    <t>eniacsjc.com.br</t>
  </si>
  <si>
    <t>se.gov.br</t>
  </si>
  <si>
    <t>dolcarajas.com.br</t>
  </si>
  <si>
    <t>nakatanis.wordpress.com</t>
  </si>
  <si>
    <t>youtube.com/playlist?list=…</t>
  </si>
  <si>
    <t>tc.com.br</t>
  </si>
  <si>
    <t>2ndmarket.com.br</t>
  </si>
  <si>
    <t>polkadot.network</t>
  </si>
  <si>
    <t>nortusinvestimentos.com.br</t>
  </si>
  <si>
    <t>falkcapital.com.br</t>
  </si>
  <si>
    <t>AndroidFinal.com.br</t>
  </si>
  <si>
    <t>bit.ly/3lpY4kb</t>
  </si>
  <si>
    <t>mla.bs/c1acb5b4</t>
  </si>
  <si>
    <t>trademap.com.br/links</t>
  </si>
  <si>
    <t>porcinews.com/pt-br/paises/b…</t>
  </si>
  <si>
    <t>calendly.com/simaocassange</t>
  </si>
  <si>
    <t>linktr.ee/estoaresearch</t>
  </si>
  <si>
    <t>youtube.com/@renda</t>
  </si>
  <si>
    <t>twitch.com/Leomorban</t>
  </si>
  <si>
    <t>grandesconstrucoes.com.br</t>
  </si>
  <si>
    <t>prospectinvestimentos.com</t>
  </si>
  <si>
    <t>proeducacional.com</t>
  </si>
  <si>
    <t>enfoque.com.br</t>
  </si>
  <si>
    <t>agencianoimd.com.br</t>
  </si>
  <si>
    <t>bit.ly/36fBBCu</t>
  </si>
  <si>
    <t>bit.ly/3bBUVdb</t>
  </si>
  <si>
    <t>bloomberg.com/graphics/2023-…</t>
  </si>
  <si>
    <t>bento.me/pmartinsdev</t>
  </si>
  <si>
    <t>idolink.com/noalvo</t>
  </si>
  <si>
    <t>genial.vc/linktree</t>
  </si>
  <si>
    <t>filipevillegas.substack.com</t>
  </si>
  <si>
    <t>bit.ly/2EY89Dq</t>
  </si>
  <si>
    <t>invistafinancas.com.br</t>
  </si>
  <si>
    <t>br.cointelegraph.com</t>
  </si>
  <si>
    <t>motorshow.com.br</t>
  </si>
  <si>
    <t>linkpop.com/financa</t>
  </si>
  <si>
    <t>youtube.com/@pittertrader</t>
  </si>
  <si>
    <t>moneymarkets.com.br</t>
  </si>
  <si>
    <t>bit.ly/EUQUEROMW9</t>
  </si>
  <si>
    <t>paivapiovesan.com</t>
  </si>
  <si>
    <t>flj.com.br</t>
  </si>
  <si>
    <t>sonoticiaboa.com.br</t>
  </si>
  <si>
    <t>bit.ly/ExpertRendaVar…</t>
  </si>
  <si>
    <t>suno.me/48tKqUM</t>
  </si>
  <si>
    <t>filipeborges.com.br</t>
  </si>
  <si>
    <t>heylink.me/cmsoftware/</t>
  </si>
  <si>
    <t>jornaldaki.com.br</t>
  </si>
  <si>
    <t>ssp.sp.gov.br</t>
  </si>
  <si>
    <t>linktr.ee/PIXTVHD</t>
  </si>
  <si>
    <t>granjanews.com.br</t>
  </si>
  <si>
    <t>cotia.sp.gov.br</t>
  </si>
  <si>
    <t>bit.ly/3SEidTO</t>
  </si>
  <si>
    <t>marketwatch.com</t>
  </si>
  <si>
    <t>litecoin.org</t>
  </si>
  <si>
    <t>microstrategy.com</t>
  </si>
  <si>
    <t>rba.gov.au</t>
  </si>
  <si>
    <t>omegaeducation.com</t>
  </si>
  <si>
    <t>portaloantenado.com.br</t>
  </si>
  <si>
    <t>teg6.com</t>
  </si>
  <si>
    <t>portaljuristec.com.br</t>
  </si>
  <si>
    <t>snapchat.com/add/hrh.mbs</t>
  </si>
  <si>
    <t>linktr.ee/brunovenancio</t>
  </si>
  <si>
    <t>censurazero.com.br</t>
  </si>
  <si>
    <t>biolinky.co/iarvut/</t>
  </si>
  <si>
    <t>br.lexlatin.com</t>
  </si>
  <si>
    <t>beacons.ai/misaelnascimen…</t>
  </si>
  <si>
    <t>youtube.com/@dropsdomercado</t>
  </si>
  <si>
    <t>comdinheiro.com.br</t>
  </si>
  <si>
    <t>luizbotelho.biz</t>
  </si>
  <si>
    <t>bit.ly/3nRmIzu</t>
  </si>
  <si>
    <t>gilvanbueno.com.br</t>
  </si>
  <si>
    <t>Pipelinevalor.globo.com</t>
  </si>
  <si>
    <t>instagram.com/r</t>
  </si>
  <si>
    <t>jornaldenegocios.pt/assinaturas</t>
  </si>
  <si>
    <t>linktr.ee/caminhodoinves…</t>
  </si>
  <si>
    <t>gritcap.io</t>
  </si>
  <si>
    <t>ionited.io</t>
  </si>
  <si>
    <t>escoladeoperadores.com.br</t>
  </si>
  <si>
    <t>linktr.ee/spreaker</t>
  </si>
  <si>
    <t>politicadistrital.com.br</t>
  </si>
  <si>
    <t>nordwealth.com.br</t>
  </si>
  <si>
    <t>youtube.com/@CharlesFibona…</t>
  </si>
  <si>
    <t>lnk.bio/bmcnews</t>
  </si>
  <si>
    <t>activtrades.co.uk/en</t>
  </si>
  <si>
    <t>cmcapital.com.br</t>
  </si>
  <si>
    <t>modalmais.com.br</t>
  </si>
  <si>
    <t>activtrades.com/pt/</t>
  </si>
  <si>
    <t>portalviva.com.br</t>
  </si>
  <si>
    <t>exxcede.com.br</t>
  </si>
  <si>
    <t>freepik.com</t>
  </si>
  <si>
    <t>truxt.com.br</t>
  </si>
  <si>
    <t>t2id.com</t>
  </si>
  <si>
    <t>embuscadaliberdade.com.br</t>
  </si>
  <si>
    <t>linktr.ee/digital.profit1</t>
  </si>
  <si>
    <t>conecta.bio/viciodeinvesti…</t>
  </si>
  <si>
    <t>linktr.ee/grana_capital</t>
  </si>
  <si>
    <t>sfainvestimentos.com.br</t>
  </si>
  <si>
    <t>gerandoalfa.com.br</t>
  </si>
  <si>
    <t>brianferoldi.com/newsletter</t>
  </si>
  <si>
    <t>cptm.sp.gov.br</t>
  </si>
  <si>
    <t>trendsetconsulting.com/pt</t>
  </si>
  <si>
    <t>valor.globo.com</t>
  </si>
  <si>
    <t>instagram.com/farialima.elev…</t>
  </si>
  <si>
    <t>tevaindices.com.br</t>
  </si>
  <si>
    <t>linktr.ee/mmakers</t>
  </si>
  <si>
    <t>suno.me/455Rynh</t>
  </si>
  <si>
    <t>linktr.ee/carlosteles_</t>
  </si>
  <si>
    <t>portaldeprefeitura.com.br</t>
  </si>
  <si>
    <t>plamev.com.br</t>
  </si>
  <si>
    <t>heulerandrey.com.br</t>
  </si>
  <si>
    <t>linktr.ee/cultivar.seu.f…</t>
  </si>
  <si>
    <t>degiro.eu</t>
  </si>
  <si>
    <t>louvareclamar.blogspot.com.br</t>
  </si>
  <si>
    <t>instagram.com/davidwashin</t>
  </si>
  <si>
    <t>ntnc.com.br/8d0173c8-de6e-…</t>
  </si>
  <si>
    <t>bloomberglinea.com.br</t>
  </si>
  <si>
    <t>fundspeople.com/pt/</t>
  </si>
  <si>
    <t>linktr.ee/econovisao</t>
  </si>
  <si>
    <t>rodrigofavaro.com</t>
  </si>
  <si>
    <t>blogdohiellevy.com.br</t>
  </si>
  <si>
    <t>plu7.net</t>
  </si>
  <si>
    <t>coingraph.news</t>
  </si>
  <si>
    <t>organizze.com.br</t>
  </si>
  <si>
    <t>bcb.gov.br</t>
  </si>
  <si>
    <t>jornalpanoramaminas.com.br</t>
  </si>
  <si>
    <t>neotel.com.br</t>
  </si>
  <si>
    <t>economicnewsbrasil.com.br</t>
  </si>
  <si>
    <t>reuters.com/world/</t>
  </si>
  <si>
    <t>youtube.com/@I.Global</t>
  </si>
  <si>
    <t>4p.finance</t>
  </si>
  <si>
    <t>discord.gg/criptomestres</t>
  </si>
  <si>
    <t>peritoeconomico.my.canva.site/peritoeconomico</t>
  </si>
  <si>
    <t>correiodeminas.com.br</t>
  </si>
  <si>
    <t>youtube.com/channel/UCdTFD…</t>
  </si>
  <si>
    <t>proeducacional.com/?ref=23</t>
  </si>
  <si>
    <t>ri.minervafoods.com</t>
  </si>
  <si>
    <t>profitsideblog.wixsite.com/profitside</t>
  </si>
  <si>
    <t>instagram.com/marcosmanguell…</t>
  </si>
  <si>
    <t>espacorecomecar.com.br</t>
  </si>
  <si>
    <t>youtube.com/c/ProfessorDan…</t>
  </si>
  <si>
    <t>jadsonlima.taplink.ws</t>
  </si>
  <si>
    <t>aulaplus.com.br</t>
  </si>
  <si>
    <t>btgpactual.com</t>
  </si>
  <si>
    <t>linktr.ee/investidoremva…</t>
  </si>
  <si>
    <t>bloomberg.com/authors/AR</t>
  </si>
  <si>
    <t>bloomberg.com/authors/ATq9Hj…</t>
  </si>
  <si>
    <t>linkedin.com/in/alemartuche…</t>
  </si>
  <si>
    <t>maga.lu/meseguenoinsta</t>
  </si>
  <si>
    <t>diariodocomercio.com.br</t>
  </si>
  <si>
    <t>youtube.com/channel/UCgVdy…</t>
  </si>
  <si>
    <t>maiseducativa.com/?r3d=revista-j…</t>
  </si>
  <si>
    <t>onjornal.com</t>
  </si>
  <si>
    <t>revistamt.com.br</t>
  </si>
  <si>
    <t>sobratema.org.br</t>
  </si>
  <si>
    <t>youtu.be/VUYPKy7pw2I</t>
  </si>
  <si>
    <t>youtube.com/@Creatorboss7</t>
  </si>
  <si>
    <t>hil.tn/s6V6a4</t>
  </si>
  <si>
    <t>clickpetroleoegas.com.br</t>
  </si>
  <si>
    <t>hermescapital.com.br</t>
  </si>
  <si>
    <t>youtube.com/@Jesuschrist77…</t>
  </si>
  <si>
    <t>factu.com.br</t>
  </si>
  <si>
    <t>t.me/acoesevaluatio…</t>
  </si>
  <si>
    <t>amazonasatual.com.br</t>
  </si>
  <si>
    <t>bit.ly/3bg26dGcomunic…</t>
  </si>
  <si>
    <t>saopaulo.sp.leg.br</t>
  </si>
  <si>
    <t>shor.by/exnesscorretora</t>
  </si>
  <si>
    <t>comlucro.com.br</t>
  </si>
  <si>
    <t>maisnews.com.br</t>
  </si>
  <si>
    <t>bit.ly/m/TraderVlogLi…</t>
  </si>
  <si>
    <t>nomadglobal.com</t>
  </si>
  <si>
    <t>kiwify.app/velJGLO?afid=Y…</t>
  </si>
  <si>
    <t>carvalhoalves.com.br</t>
  </si>
  <si>
    <t>bandnoticiasba.com.br/noticias-sobre…</t>
  </si>
  <si>
    <t>invistanabolsa.page.link/invistanabolsa</t>
  </si>
  <si>
    <t>raquellyra.com.br</t>
  </si>
  <si>
    <t>Instagram.com/igoor_serrano</t>
  </si>
  <si>
    <t>smarttbot.com</t>
  </si>
  <si>
    <t>fabiooliveirafinancas.com.br</t>
  </si>
  <si>
    <t>investidordescoletizado.com</t>
  </si>
  <si>
    <t>bit.ly/dominando_graf…</t>
  </si>
  <si>
    <t>smartbrain.com.br</t>
  </si>
  <si>
    <t>piauinet.com.br</t>
  </si>
  <si>
    <t>linktr.ee/ccib</t>
  </si>
  <si>
    <t>bit.ly/Andre-Link-to-…</t>
  </si>
  <si>
    <t>articainvest.com.br</t>
  </si>
  <si>
    <t>articainvest.com.br/home-asset/</t>
  </si>
  <si>
    <t>youtube.com/@aprendainvest…</t>
  </si>
  <si>
    <t>linktr.ee/penseexcel?fbc…</t>
  </si>
  <si>
    <t>bento.me/cesarkato</t>
  </si>
  <si>
    <t>linktr.ee/maniampodcast</t>
  </si>
  <si>
    <t>instagram.com/brunovalenteof…</t>
  </si>
  <si>
    <t>moneyinvest.com.br</t>
  </si>
  <si>
    <t>agorapiaui.com.br</t>
  </si>
  <si>
    <t>reviewprodutos.com</t>
  </si>
  <si>
    <t>ocanaldalili.com.br</t>
  </si>
  <si>
    <t>sustenseg.com.br</t>
  </si>
  <si>
    <t>2TMOBINVESTING.com.br</t>
  </si>
  <si>
    <t>regbit.blogspot.com</t>
  </si>
  <si>
    <t>linktr.ee/blockbr</t>
  </si>
  <si>
    <t>tradenews.com.br/rodrigo-spider/</t>
  </si>
  <si>
    <t>panflix.com.br</t>
  </si>
  <si>
    <t>podcasters.spotify.com/pod/show/pod-c…</t>
  </si>
  <si>
    <t>twitch.tv/bipolarizado01</t>
  </si>
  <si>
    <t>gov.br/mdr</t>
  </si>
  <si>
    <t>instagram.com/waldezgoesofic…</t>
  </si>
  <si>
    <t>linktr.ee/descomplicaft</t>
  </si>
  <si>
    <t>linktr.ee/lvasconcellos1</t>
  </si>
  <si>
    <t>instagram.com/2fbrokers?igsh…</t>
  </si>
  <si>
    <t>investe10.com.br</t>
  </si>
  <si>
    <t>diariodegoias.com.br</t>
  </si>
  <si>
    <t>keepgrowing.com.br</t>
  </si>
  <si>
    <t>linktr.ee/CSSFinance</t>
  </si>
  <si>
    <t>movotrade.onelink.me/DB5u/wjw6krsi</t>
  </si>
  <si>
    <t>bpmoney.com.br</t>
  </si>
  <si>
    <t>dicionarionews.com.br</t>
  </si>
  <si>
    <t>correiopopular.com.br</t>
  </si>
  <si>
    <t>agenciacma.com.br</t>
  </si>
  <si>
    <t>youtube.com/channel/UCAu1j…</t>
  </si>
  <si>
    <t>brasilmineral.com.br</t>
  </si>
  <si>
    <t>lpigestora.com.br</t>
  </si>
  <si>
    <t>duduhrosa13.my.canva.site</t>
  </si>
  <si>
    <t>investidorciente.com.br</t>
  </si>
  <si>
    <t>youtube.com/@SMARTCRYPTOBR…</t>
  </si>
  <si>
    <t>foleto.com.br</t>
  </si>
  <si>
    <t>caesegatos.com.br</t>
  </si>
  <si>
    <t>nivel.com.br/b2b_solucoes</t>
  </si>
  <si>
    <t>consed.org.br</t>
  </si>
  <si>
    <t>linktr.ee/estantevirtuall</t>
  </si>
  <si>
    <t>TradeWiser.pro</t>
  </si>
  <si>
    <t>nathfinancas.com.br/nathplay/</t>
  </si>
  <si>
    <t>xpi.com.br</t>
  </si>
  <si>
    <t>linktr.ee/romero.financas</t>
  </si>
  <si>
    <t>yomelyah.com</t>
  </si>
  <si>
    <t>emoneybrasil.com.br</t>
  </si>
  <si>
    <t>br.investing.com</t>
  </si>
  <si>
    <t>financeone.com.br</t>
  </si>
  <si>
    <t>defibyt.io</t>
  </si>
  <si>
    <t>fgc.org.br</t>
  </si>
  <si>
    <t>linktr.ee/renetous</t>
  </si>
  <si>
    <t>https://t.co/vf8lxi6wu9 https://t.co/aBtXaGyyCJ</t>
  </si>
  <si>
    <t>https://t.co/117tqHc3sU https://t.co/qKvdBLVYUT https://t.co/yzW9nEWqXu</t>
  </si>
  <si>
    <t>https://t.co/iesPvSbXNG https://t.co/tCp02f2o1l</t>
  </si>
  <si>
    <t>https://t.co/9awgxobGDR https://t.co/9awgxobGDR</t>
  </si>
  <si>
    <t>https://t.co/I5ot7UuCeS https://t.co/VS2ZQk2iXx</t>
  </si>
  <si>
    <t>https://t.co/nWaCxHTiks https://t.co/096e9xMJF7 https://t.co/jNHJbY6vqN</t>
  </si>
  <si>
    <t>https://t.co/5UKrdL9T0c https://t.co/TQuTCRasAJ</t>
  </si>
  <si>
    <t>https://t.co/hQN2NcsHKR https://t.co/hQN2NcsHKR</t>
  </si>
  <si>
    <t>https://t.co/8gxv6r2mWx https://t.co/iL9n3H2bY0</t>
  </si>
  <si>
    <t>https://t.co/l0d0t7n9hQ https://t.co/xF4WaKZ819</t>
  </si>
  <si>
    <t>https://t.co/jX4SYjr1bS https://t.co/ZUk6RB1m8z</t>
  </si>
  <si>
    <t>https://t.co/5lrSTf6UbL https://t.co/q0I4C13KqI</t>
  </si>
  <si>
    <t>https://t.co/9osqP6SbjD https://t.co/Hld10tstNN</t>
  </si>
  <si>
    <t>https://t.co/SPbDF41tpe https://t.co/a4RgVnOdt5</t>
  </si>
  <si>
    <t>https://t.co/zZ5nLgKGPj https://t.co/9TvrxsERps</t>
  </si>
  <si>
    <t>http://instagram.com/rudimarbenfatt http://Instagram.com/rudimarbenfatto</t>
  </si>
  <si>
    <t>http://facebook.com/jovempannews http://t.me/oficialjpnews http://bit.ly/41IoMIO</t>
  </si>
  <si>
    <t>http://swiy.co/ec-1ttrep http://swiy.co/ec-1tt</t>
  </si>
  <si>
    <t>http://aleatoriando.com.br http://aleatoriando.com.br</t>
  </si>
  <si>
    <t>http://br.tradingview.com/u/BrunoMazzoni/ https://bit.ly/InstaDividendos</t>
  </si>
  <si>
    <t>http://bloom.bg/newsletters http://bloom.bg/podcasts http://bloom.bg/45jP1GP</t>
  </si>
  <si>
    <t>http://linktr.ee/filipevillegas http://t.me/Infoacao</t>
  </si>
  <si>
    <t>http://invistafinancas.com.br http://invistafinancas.com.br</t>
  </si>
  <si>
    <t>http://censurazero.com.br http://blogdoandreoliveira.com.br</t>
  </si>
  <si>
    <t>http://trendset.com.br http://anchor.fm/trendset</t>
  </si>
  <si>
    <t>http://instagram.com/plamevoficial/ http://shre.ink/oGs</t>
  </si>
  <si>
    <t>http://maerainhavencedoratresvezesadmiravel.blogspot.com.br/ http://maejesus.blogspot.com.br/ http://rendendohomenagem.blogspot.com.br/</t>
  </si>
  <si>
    <t>http://youtube.com/channel/UCdTFD http://t.me/+rpr20FgNJIQyN</t>
  </si>
  <si>
    <t>http://brasil247.com/apoio http://t.me/brasil247oficial</t>
  </si>
  <si>
    <t>http://instagram.com/glaucojarzinsk http://hermescapital.com.br</t>
  </si>
  <si>
    <t>http://ExpressoPB.net http://instagram.com/expressopb</t>
  </si>
  <si>
    <t>instagram.com/acoesimportam/</t>
  </si>
  <si>
    <t>instagram.com/rudimarbenfatt Instagram.com/rudimarbenfatto</t>
  </si>
  <si>
    <t>beacons.ai/investidorgari…</t>
  </si>
  <si>
    <t>youtube.com/@DiegoTrindade…</t>
  </si>
  <si>
    <t>t.me/alerta_epbr</t>
  </si>
  <si>
    <t>dindinsemfim.blogspot.com</t>
  </si>
  <si>
    <t>emprc.us/JivZbP</t>
  </si>
  <si>
    <t>facebook.com/jovempannews t.me/oficialjpnews bit.ly/41IoMIO</t>
  </si>
  <si>
    <t>swiy.co/ec-1ttrep swiy.co/ec-1tt</t>
  </si>
  <si>
    <t>linktr.ee/perspectiveinv</t>
  </si>
  <si>
    <t>aleatoriando.com.br aleatoriando.com.br</t>
  </si>
  <si>
    <t>etoro.tw/46ogtDS</t>
  </si>
  <si>
    <t>fb.com/jornalsemanario</t>
  </si>
  <si>
    <t>linktr.ee/hubdoinvestidor</t>
  </si>
  <si>
    <t>smashup23.com</t>
  </si>
  <si>
    <t>tiktok.com/@mercado_em_al…</t>
  </si>
  <si>
    <t>iZZinvest.com</t>
  </si>
  <si>
    <t>instagram.com/wtorrejais/</t>
  </si>
  <si>
    <t>br.tradingview.com/u/BrunoMazzoni/ bit.ly/InstaDividendos</t>
  </si>
  <si>
    <t>instagram.com/felipedospneus</t>
  </si>
  <si>
    <t>instagram.com/aline_s_cardoso</t>
  </si>
  <si>
    <t>youtube.com/c/ProfessorCés…</t>
  </si>
  <si>
    <t>steamcommunity.com/id/Leomorban/</t>
  </si>
  <si>
    <t>facebook.com/enfoqueif</t>
  </si>
  <si>
    <t>bloom.bg/newsletters bloom.bg/podcasts bloom.bg/45jP1GP</t>
  </si>
  <si>
    <t>bloom.bg/40oQnhj</t>
  </si>
  <si>
    <t>linktr.ee/filipevillegas t.me/Infoacao</t>
  </si>
  <si>
    <t>invistafinancas.com.br invistafinancas.com.br</t>
  </si>
  <si>
    <t>customercenter.marketwatch.com</t>
  </si>
  <si>
    <t>t.me/litecoin</t>
  </si>
  <si>
    <t>bit.ly/3RgTFyH</t>
  </si>
  <si>
    <t>tickt.pt</t>
  </si>
  <si>
    <t>censurazero.com.br blogdoandreoliveira.com.br</t>
  </si>
  <si>
    <t>instagram.com/renatobreia</t>
  </si>
  <si>
    <t>trendset.com.br anchor.fm/trendset</t>
  </si>
  <si>
    <t>instagram.com/plamevoficial/ shre.ink/oGs</t>
  </si>
  <si>
    <t>diaesportivo.com.br</t>
  </si>
  <si>
    <t>…oratresvezesadmiravel.blogspot.com.br maejesus.blogspot.com.br rendendohomenagem.blogspot.com.br</t>
  </si>
  <si>
    <t>linktr.ee/bancocentraldo</t>
  </si>
  <si>
    <t>youtube.com/channel/UCdTFD t.me/+rpr20FgNJIQyN</t>
  </si>
  <si>
    <t>linktr.ee/MarcosManguelli</t>
  </si>
  <si>
    <t>brasilempauta.com</t>
  </si>
  <si>
    <t>l.btgpactual.com/abrasuaconta</t>
  </si>
  <si>
    <t>brasil247.com/apoio t.me/brasil247ofici…</t>
  </si>
  <si>
    <t>t.me/tonydaytrade</t>
  </si>
  <si>
    <t>instagram.com/glaucojarzinsk hermescapital.com.br</t>
  </si>
  <si>
    <t>factu.com.br/post/produtivi…</t>
  </si>
  <si>
    <t>t.me/amazonas_atual</t>
  </si>
  <si>
    <t>ExpressoPB.net instagram.com/expressopb</t>
  </si>
  <si>
    <t>TradingJazzfx.com</t>
  </si>
  <si>
    <t>linktr.ee/articainvest</t>
  </si>
  <si>
    <t>gov.br/mdr/</t>
  </si>
  <si>
    <t>revistacaesegatos.com.br</t>
  </si>
  <si>
    <t>none</t>
  </si>
  <si>
    <t>regular</t>
  </si>
  <si>
    <t>Open Twitter Page for This Person</t>
  </si>
  <si>
    <t>leiafinancenews
Agenda de dividendos da semana
- Finance News https://t.co/9UdBLAyOEb
#dividendo #provento #ações</t>
  </si>
  <si>
    <t>acoesbr
informando que realizará uma oferta
pública voluntária para aquisição
de ações da companhia. A oferta
pretende adquirir 32 milhões de
ações preferenciais da Alpargatas
pelo preço de R$ 10,50 por papel,
um prêmio de 17,2% em relação ao
fechamento de sexta-feira. #acoesbr
#ações</t>
  </si>
  <si>
    <t>acoesimportam
Siga @acoesimportam Olha quem está
a espreita, é o jacaré do velho
Luiz Barsi Filho, aguardando uma
oportunidade do mercado. ➡️ INSTAGRAM:
https://t.co/qaMkew3wbi #acoesimportam
#luizbarsi #barsi #investimento
#acoes #açõesgarantemfuturo https://t.co/2pws1T8NDM</t>
  </si>
  <si>
    <t>luciocw
Para sexta, quase final do dia,
um gráfico limpo de AAPL no semanal
para mostrar um pouco de price
action. #stockmarkets #stocks #acoes
https://t.co/98oXiNDJR3</t>
  </si>
  <si>
    <t>danimontori_at
A vida muda quando você entende
que não precisa comprar na mínima
e vender na máxima. Foque em entender
a tendência. 😉 Estamos em um bom
momento para aprender sobre isso.
#AnáliseTécnica #MédiasMóveis #Tendência
#RendaVariável #Investimentos #Ações</t>
  </si>
  <si>
    <t>robsob87
https://t.co/e5JfoXeOp2</t>
  </si>
  <si>
    <t>economaticabr
📊 Confira a tabela com o ranking
de performance das ações em maio:
[TABELA - https://t.co/0fw4JqRcNa]
ℹ️ Dados sujeitos a alterações
e análises adicionais. #Economia
#MercadoFinanceiro #Ações #Economatica</t>
  </si>
  <si>
    <t>tina_pimenteld
Native News Carajás: Governo vai
investir R$ 2 bilhões para segurança
n... https://t.co/CxyZWX8WtO #nativenewscarajás
#NNC #ações #segurança #AmazôniaLegal
#reforçonasegurança</t>
  </si>
  <si>
    <t>juanfidalgo_
E impossivel não comprar alguma
cena donde BlackRock não seja acionista
maioritario #blackRock #economy
#acões #negocios #bussiness #Obrigações
#Bolsa #investment https://t.co/CwQeVWI0lu</t>
  </si>
  <si>
    <t>vokininvest
📇 Do fechamento de atividade econômica
do trimestre no Brasil aos preços
ao consumidor dos EUA 🇺🇸 Confira
os destaques econômicos da semana
✅ 👉SIGA @vokininvestimentos para
mais conteúdos como esse! #economia
#bolsadevalores #acoes #ibovespa
#economiabrasileira https://t.co/F6dTLuo2Uv</t>
  </si>
  <si>
    <t>felippe_analyst
através dessa educação a pessoa
começa a se interessar essa questão
de investir como por exemplo o
#tesourodireto #fundos #ações e
entender que pode ter uma renda
a longo prazo, no mercado financeira
nada vai pra frente que é curto
prazo , não dá em nada</t>
  </si>
  <si>
    <t>guidottisilva
Qual é o seu negócio ?!? https://t.co/F7gyObOjju
via @YouTube me siga nas redes
sociais: - https://t.co/daVCzQUZMp...
https://t.co/lWLW1FKUnN... #bolsadevalores
#ações #b3 #rendaextra #rendavariavel
#dinheiro #educaçãofinanceira</t>
  </si>
  <si>
    <t xml:space="preserve">youtube
</t>
  </si>
  <si>
    <t>invexcripto
🔴 Índice de Medo e Ganância das
#Criptomoedas: 44/100 = MEDO 🔴
Índice de Medo e Ganância das #Ações:
25/100 = MEDO EXTREMO https://t.co/2xTlck0skq</t>
  </si>
  <si>
    <t>rudimarbenfatto
Banco do Brasil BBSA3 aprova 966,4
milhoes em JCP para o 2° trimestre
de 2023. #bancodobrasil #acoes</t>
  </si>
  <si>
    <t>caiohsr0
#Negócios #Fintwit #Ações #Gestão
#Oportunidades</t>
  </si>
  <si>
    <t>garimpeiroinvst
Aconteceu com vc? #nucoin #dividendos
#ações https://t.co/XAQ1Yy3mo9</t>
  </si>
  <si>
    <t>da_randel
Roleta sala grátis CADASTRE E GANHE:
https://t.co/VAtnq391Y2 #multiplicar
#roleta #cassino #roleta #investimentoimobiliário
#acoes #vidafinanceira #daytraders
#roletapremiada #vidasaudavel #roletapremiada
#premios https://t.co/tPPKLaytnz</t>
  </si>
  <si>
    <t>webtcoficial
Michael Saylor, CEO da MicroStrategy,
afirmou no Twitter que a estratégia
de Bitcoin da empresa superou ações,
índices e o próprio Bitcoin. #webtcoin
#cryptonews #notíciascripto #microstrategy
#bitcoin #investimento #btc #michaelsaylor
#ações #moedadigital #cryptocurrency</t>
  </si>
  <si>
    <t>diariodovale
Volta Redonda: CSN apresenta a
Neto ações imediatas contra o pó
preto #diariodovale #diario #jornalismo
#digital #voltaredonda #csn #poluição
#prefeito #reunião #ações https://t.co/pCwoAY2AFv
https://t.co/SChEveNnTq</t>
  </si>
  <si>
    <t>perfilcombrasil
#ações #brasil #BrasilSemFome #Lula
https://t.co/7TIYER7nn8</t>
  </si>
  <si>
    <t>diegotraderb3
Meta batida hoje 🔥 (06/07) #ibov
#ibovespa #miniindice #minidolar
#b3 #bolsabrasileira #winfut #wdofut
#dolar #indice #acoes #mercadofuturo
https://t.co/X6ir7DkG3T</t>
  </si>
  <si>
    <t>epbr
📈 @petrobras tem valorização acima
dos pares. As #ações sobem 4,75%
(#PETR3) e 3,83% (#PETR4) às 13h00,
batendo o índice Ibovespa na B3
(+1,49%)  e as petroleiras independentes
Prio (+1,15%), 3R Petroleum (0,34%),
Petroreconcavo (0,22%) e Enauta
(0,94%). https://t.co/L0ia3GNqMb</t>
  </si>
  <si>
    <t xml:space="preserve">petrobras
</t>
  </si>
  <si>
    <t>realpauloborba
Ações, por outro lado, representam
propriedade direta em empresas.
Têm potencial de alto retorno,
mas são mais arriscadas. Você é
o gerente das suas ações, sendo
assim o responsável por definir
quem entra na sua carteira. 🏢💰
#Ações #Investir</t>
  </si>
  <si>
    <t>empiricus
E você, compra ou vende Bolsa brasileira?
#bolsa #b3 #ações #investimentos
https://t.co/zMD6rG2qR7</t>
  </si>
  <si>
    <t>ellenaddison423
RT @Cleudo_Lima: Cenário Atual:
Os Riscos Ocultos #ibov #Bolsa
#Acoes https://t.co/PozmtZAhel</t>
  </si>
  <si>
    <t>cleudo_lima
Cenário Atual: Os Riscos Ocultos
#ibov #Bolsa #Acoes https://t.co/PozmtZAhel</t>
  </si>
  <si>
    <t>bryeno
#BRSR6 em uma região importante!!!
Espero ver um rompimento com força
semana que vem!!! #b3 #BANRISUL
#investimento #bolsadevalores #acoes
https://t.co/gUBLrhLMSN</t>
  </si>
  <si>
    <t>thegemshunter
@criptofacil Sim.. isso ocorre
em todos os mercados: #cripto #BTC
#acoes... e isso é ótimo, pois
traz liquidez!!!</t>
  </si>
  <si>
    <t xml:space="preserve">criptofacil
</t>
  </si>
  <si>
    <t>calilecalil
Enquanto eles falam, você constrói.
#Dividendos #Investimentos #Ações
#RendaPassiva #Investidores #FinançasPessoais
#BolsadeValores #IndependênciaFinanceira
#MercadoFinanceiro #EducaçãoFinanceira
https://t.co/FFZbPItQy8</t>
  </si>
  <si>
    <t>jacksondomenico
"A justiça não se alcança apenas
com palavras, mas com ações concretas
e decisões corajosas." - Martin
Luther King Jr. Desej0 um ótimo
final de semana! #justiça #ações
#decisões #coragem https://t.co/8vrvPoz8k0</t>
  </si>
  <si>
    <t>mundo_sap
A SAP elevou nesta terça-feira
previsão de receita total em 2025
em cerca de 4 bilhões de euros
e anunciou recompra de #ações de
até 5 bilhões, impulsionada pela
forte demanda por serviços de #computação
em nuvem https://t.co/vkkLLaNzkK</t>
  </si>
  <si>
    <t>edexprime
Veja 10 dicas PRIMES para você
investir em si mesmo! E lembre-se,
" Investir em você rende os melhores
juros" Benjamin Franklin... #investimentointeligente
#ações #rendavariavel #rendafixa
#dinheiro #conhecimento #investidor
#finanças #b3 #lucro #contabilidade
#professor https://t.co/VEaJOEXESZ</t>
  </si>
  <si>
    <t>ale_usilva
É a lei ta atração, são pensamentos
que se tornaram hábitos, hábitos
que se tornaram ações e ações que
se tornaram atitudes. #pensamentos
#motivacao #habitos #resultados
#ações</t>
  </si>
  <si>
    <t>somosnomos
Com uma sequência de escolhas assertivas,
a Carteira Max Ações vem acumulando
um retorno impressionante de 17,9%
desde o seu lançamento, contra
9,5% do Ibov. Saiba quais são as
ações que estão no radar do @mfbohm
atualmente: 📲 https://t.co/AkeMYzxBfL
#ações #sqia3 #mrve3 https://t.co/9Md1ykXha7</t>
  </si>
  <si>
    <t xml:space="preserve">mfbohm
</t>
  </si>
  <si>
    <t>jovempannews
#JornalJP | Jair Bolsonaro (PL)
deposita quase R$ 1 milhão para
pagar multas; ex-presidente ainda
mantém ações contestando valores
de algumas sanções 📺 Confira na
JP News #Brasil #Notícia #Informação
#Bolsonaro #Ações #Multas https://t.co/XtT7j0CR5d</t>
  </si>
  <si>
    <t>vsmolina3
Tem algum desses ativos em carteira?
Quem rendeu mais? https://t.co/SpnwCApuJC
#mxrf11 #fundosimobiliarios #açoes</t>
  </si>
  <si>
    <t>giranoticias
PF faz ação contra empresa suspeita
de monitorar operações https://t.co/2UakyChnEA
#PF #ações #operações #giranotícias</t>
  </si>
  <si>
    <t>escolacripto
GM família! 🔥 O episódio #4 do
Podcast EscolaCripto é HOJE!! E
temos um convidado de peso, que
dispensa apresentações 🚀 @FaustoBotelho
Analista gráfico com foco em #Criptomoedas,
#acoes e #commodities. 🗓️ 12/07/2023
⏰ ÀS 18 HORAS 👉 https://t.co/dfiKOxDJZC
https://t.co/sNHAmxxFOB</t>
  </si>
  <si>
    <t xml:space="preserve">faustobotelho
</t>
  </si>
  <si>
    <t>denisectoledo8
Comentário no @JornalDaGazeta @tvgazetaoficial
sobre #petrobras #balanço #ações
#preços 👇</t>
  </si>
  <si>
    <t xml:space="preserve">tvgazetaoficial
</t>
  </si>
  <si>
    <t>jornaldagazeta
E agora vamos ao comentário de
Economia, com Denise Campos de
Toledo. https://t.co/LUnNJMYDoB</t>
  </si>
  <si>
    <t>botinhao
Até onde o Índice Futuro pode descer?
https://t.co/nbkG82gTAy #GrupoBovespa
#Botinhao #Bovespa #Acoes #AnaliseGrafica
#Mercado @botinhao</t>
  </si>
  <si>
    <t>investidoreso
A CVC (CVCB3) apurou prejuízo líquido
de R$ 128 milhões no primeiro trimestre
de 2023, 23% menor do que no mesmo
período de 2022. #cvcb3 #cvc #resultado
#ações https://t.co/MYxbp3zjKf
https://t.co/M4x3g0kuTS</t>
  </si>
  <si>
    <t>sergioparrelli
#pensamentos #palavras #acoes #habitos
#carater #destino https://t.co/aAh35F1gU6</t>
  </si>
  <si>
    <t>wallfigueiredo
Rastreamento de #ações : GRÁFICO
DIÁRIO p/ 15/05/23, analise se
romper e Não deixe de curtir!:
Uso https://t.co/e9QdFtUAPS Clique
na figura pra vê-la melhor https://t.co/1BtTgCJpnK</t>
  </si>
  <si>
    <t>franciscob_at
RELÁTORIO DE RECOMENDAÇÃO - SWING
TRADE AÇÕES ATIVO: RENT3 EMPRESA:
LOCALIZA Analista Técnico Responsável
Francisco Bertoldi Neto CNPI-T
Nº 3803 #mercadofinanceiro #cnpi
#ações #swingtrading #investimentos
#analistacnpi #analisetecnicaclassica
#analisetecnica https://t.co/gyfwbSL2a0</t>
  </si>
  <si>
    <t>perspectiveinvs
A P360 é uma plataforma de planejamento
financeiro exclusiva no Brasil
que vai auxiliar você a investir
com propósito, objetividade e transparência.
Quer saber mais? Fale com nosso
time. #perspective #investimentos
#crescimento #bolsadevalores #ações
#btg https://t.co/kKNuSBDRSE</t>
  </si>
  <si>
    <t>pmw_noticias
De Norte a Sul do Tocantins, as
divisões especializadas da Polícia
Civil deflagraram várias operações
no sentido de desvendar crimes
diversos e identificar seus autores
#136kgdedrogas #62prisões #ações
#DRACCO #facçãocriminosa #homicídios
https://t.co/3JUN6EcPaF https://t.co/8EBNCnL9J2</t>
  </si>
  <si>
    <t>culturaalterna5
Devo Investir em #ações em 2023?
https://t.co/gYob3Y9aKm</t>
  </si>
  <si>
    <t>bedrock079tm
Ações da Tesla $TSLA supreendem
e sobem mais de 10%! Parece que
as apostas de Bill Gates de que
Elon não atingiria o nível de carros
autônomos estava errada. #ElonMusk
#Tesla #BillGates #stockmarkets
#Ações #Mercado #mercadofinanceiro
#ibovespa BedRock™💸 https://t.co/3SZEEexGmD</t>
  </si>
  <si>
    <t>viniciocarlos_
O mercado #spx e #Crypto vai cair,
não tô falando dessa queda recente,
estou falando dos treasures que
foram criados agora com o aumento
do teto da dívida americana, essa
liquidez vai vir de onde? #Bitcoin
#Apple #acoes #ethereum</t>
  </si>
  <si>
    <t>sxidiomas
Uma Exchange é uma plataforma online
que permite a compra, venda e troca
de ativos digitais. #exchange #bitcoin
#titulos #açoes #sxidiomas #solutionxidiomas
#inglês https://t.co/em9N4MY6I0</t>
  </si>
  <si>
    <t>inteligentbolsa
Direito de Subscrição da Itaúsa
(ITSA4): Vale a Pena? https://t.co/qyarLtrJzN
#ações #Itaú #ITSA4 #Subscrição
https://t.co/F54SPysNrL</t>
  </si>
  <si>
    <t>aleatoriando_o
Aumente o rendimento de seus investimentos
em tempos de instabilidade econômica.
Saiba mais: https://t.co/2Sf9tFDag3
#ações #economia #investimentos
#lucro #rendimento</t>
  </si>
  <si>
    <t>marcossanru
¿Qué medidas se han o están tomando?
¿Era conocedora la dirección del
centro del caso? ¿Qué protocolo
activó el #CoordinadorDeBienestar?
#Acoes #AcosoEscolar #Verguenza</t>
  </si>
  <si>
    <t>gorilainvest
Em um estudo encomendado pela InfoMoney,
o Gorila analisou as carteiras
de mais de 402 mil usuários para
entender as principais escolhas
dos investidores nos últimos 12
meses. 🔗 Confira no link: https://t.co/QsBWqN2TPl
#Investimentos #MercadoFinanceiro
#Ações #RendaFixa https://t.co/0XPx4FO4Jz</t>
  </si>
  <si>
    <t>salamandraamby
#B3 Enquanto o Ibovespa fica no
zero a zero no mês de setembro,
minha carteira está decolando!
💸💼🚀 #Investimentos #Acoes #BolsaDeValores
#Ganhos #Diversificacao #Estrategia
https://t.co/w96KSBFYF3</t>
  </si>
  <si>
    <t>andrewcfonseca
Video novo no Canal Mostrando como
o #Ibov e #SmallCaps subiram forte
desde o fundo em Março, e isso,
é apenas o começo para as #açōes
da nossa bolsa. Juros vão cair
e podemos ver #SELIC em 12% rm
2024. https://t.co/ilE3q2uRwZ</t>
  </si>
  <si>
    <t>arthurodriguex
Análise em 1 minuto de Intelbras
(INTB3). #investimentos #ações
#bolsadevalores #intelbras #intb3
#economia #mercadofinanceiro #ibovespa
#analisedeações https://t.co/Jcxqhg19lM</t>
  </si>
  <si>
    <t>facolommoney
"NÃO SEI COMO PREVER O MERCADO
ACIONÁRIO, NÃO SEI COMO PREVER
AS TAXAS DE JUROS E NÃO SEI COMO
PREVER OS NEGÓCIOS. TUDO O QUE
SEI, É QUE SE EU COMPRAR A TIPO
CERTO DE NEGÓCIO, PELO PREÇO CERTO,
COM PESSOAS CERTAS, TEREI SUCESSO
AO LONGO DO TEMPO." Warren Buffett
#ibovespa #ações https://t.co/5qnKu2jiaY</t>
  </si>
  <si>
    <t>ayronferreira
#federalreserve #mercadofinanceiro
#investing #money #economia #economy
#stocks #ações #trading #bitcoin
#ibovespa #nasdaq</t>
  </si>
  <si>
    <t>hmiacatracha
El abogado que da de comer a once
mil niños todos los días en Honduras
#padrealvaro #acoes https://t.co/XjLpO5PSQN
vía @COPE</t>
  </si>
  <si>
    <t xml:space="preserve">cope
</t>
  </si>
  <si>
    <t>instecovida
Juntos impactamos vidas! #institutoecovida
#coletivoecovida #ong #penhasc
#santacatarina #piçarras #barravelha
#navegantes #trabalho #ações #luta
#Juntosimpactamosvidas https://t.co/IU3kDxp8BQ</t>
  </si>
  <si>
    <t>andrelenski
Acredito que esse tenha sido um
dos mais importantes FRs que a
empresa soltou até hoje no mercado
financeiro. Apesar de não ter valores,
o que acho um erro, o mesmo deve
ser bem significativo. @Padtec
#Padtec #MercadoFinanceiro #acoes
https://t.co/AS3qaUuN7M</t>
  </si>
  <si>
    <t xml:space="preserve">padtec
</t>
  </si>
  <si>
    <t>governope
A tradutora de Libras teve um trabalhão
nesse vídeo, hein?! 🥵👏 Foram
tantas as ações do Governo do Estado
nesses primeiros sete meses de
ano, que a gente teve que acelerar
para caber tudo! Espia! 👀 #Ações
#GovernoPE #Pernambuco #EstadoDeMudança
https://t.co/SGkAgoFzgf</t>
  </si>
  <si>
    <t>blogdojuares
Ações acontecem em alusão ao Dia
Mundial de Conscientização sobre
a Violência contra a Pessoa Idosa,
celebrado em 15 de junho: #BlogdoJuares
#BJNews #PoliciaCivil #pessoaidosa
#acoes #violencia #PortoAlegre
https://t.co/QBibUPJPWf</t>
  </si>
  <si>
    <t>umanresa
📰UManresa completa la implantació
de l’avaluació de competències
de l’estudiantat d’Infermeria https://t.co/h3dsEwnPdc
#acoes #infermeria #simulacio https://t.co/49R0KeHKsR</t>
  </si>
  <si>
    <t>henriquehikgt
Lula no Reino Unido: Diálogo pela
paz e pelo meio ambiente https://t.co/daXlCwSzOP
via @YouTube #lula #governo #brasil
#consolidação #aperfeiçoamento
#proteção #proteçãoambiental #energialimpa
#ações #novosprojetos #relaçõesinternacionais
#cop2023 #G20</t>
  </si>
  <si>
    <t>candeprofessor
Foto: reprodução/TV Brasil Radar
Econômico – Veja #lula #mercadofinanceiro
#bolsadevalores #ações #foralula
#taxar #impostos</t>
  </si>
  <si>
    <t>williamhuntbr
🔥PROMOÇÃO: Descubra como desbloquear
sua Liberdade Financeira de uma
vez por todas: https://t.co/Bi0RwAaIzQ
#dividendos #proventos #lucro #bonificação
#investir #bolsadevalores #investimentos
#comoinvestir #finanças #ações
#educaçãofinanceira https://t.co/tgfUOynwB8</t>
  </si>
  <si>
    <t>10marcellofaria
@ClaudiacontaII minhas #ações</t>
  </si>
  <si>
    <t xml:space="preserve">claudiacontaii
</t>
  </si>
  <si>
    <t>oconvergente_
Segundo o Partido dos Trabalhadores,
Lula usará o espaço para fazer
uma avaliação dos primeiros seis
meses de trabalho neste terceiro
mandato na presidência da República.
Reprodução: Redes sociais #Lula
#Podcast #Novo #TVPT #Presidente
#Ações https://t.co/NicWNtsl3o</t>
  </si>
  <si>
    <t>johanancastell
Quando focamos nas coisas boas
ao nosso redor, nossos pensamentos
e ações mudam para melhor e os
resultados são excelentes! #positivo
#foco #bonspensamentos #ações #resultados
#excelencia #determinação https://t.co/r38UUZHXNh</t>
  </si>
  <si>
    <t>jeffersonlucabr
A Vale, por exemplo, viu suas #ações
subirem devido à alta do minério
de ferro. Por outro lado, as ações
da Petrobras, Itaú e Bradesco tiveram
desempenhos mistos, refletindo
os desafios e oportunidades únicos
que cada empresa enfrenta 👇</t>
  </si>
  <si>
    <t>visualmodo
Aportamos no Fiagro VGIA11 Gerando
Renda Passiva - VisuInvest: Comprando
Liberdade #24 🤑 https://t.co/0sgL5K1ABu
#Fiis #Fiagro #Ações #Investimentos</t>
  </si>
  <si>
    <t>awsan
📊 Agora é um bom momento para
comprar ações para aqueles que
planejam mantê-las por mais de
5 anos? #Enquete #Investimentos
#Ações #MercadoFinanceiro</t>
  </si>
  <si>
    <t>wesleyluiz01
https://t.co/wXQxJx7ktz Grupo para
acionista de Braskem #Braskem #BRKM5
#B3 #Acoes #Stock</t>
  </si>
  <si>
    <t>nancy_fxgold_
#GBPJPY SELL LIMIT @ 172.80 SL-
173.25 TARGET - 172.00 Join us
https://t.co/pWgysyzzPv #daytrader
#investimento #trading #mercado
#ações #indices #estratégias #conhecimento
#aprendizado #retorno #curtoprazo
#volatilidade #disciplina #planejamento
#especialistaseminvestimentos</t>
  </si>
  <si>
    <t>luciasantanna22
@luizmoura123 @TucaAndrada3 👏🏼👏🏼📚👏🏼👏🏼
Perfeita a sua colocação. O que
importa valores à nós, humanos
que permanecemos na luta diária,
são as #ações para que #Cessem
estes comportamentos antissociais,
principalmente dos governos do
RJ/SP. Abraços de Luz Kaká🌹</t>
  </si>
  <si>
    <t xml:space="preserve">tucaandrada3
</t>
  </si>
  <si>
    <t xml:space="preserve">luizmoura123
</t>
  </si>
  <si>
    <t>jsemanario
💜 BENTO GONÇALVES - Mês é dedicado
ao debate sobre a criação de mecanismos
de auxílio que possam encorajar
a mulher a enfrentar seus agressores
e recomeçar uma nova vida. 🔗 Leia
mais em: https://t.co/t2ej9aQM1g
#AgostoLilás #ViolênciaContraaMulher
#Ações</t>
  </si>
  <si>
    <t>dleon3211
CIELO RI 1T23! Mais um vídeo novo
no canal! vai lá! #CIEL3 #cielo
#ações linkdo canal: https://t.co/NArGtiN7CH
https://t.co/oNFHTaC26Z</t>
  </si>
  <si>
    <t>hellentaynan
O @nubank está me pressionando
para decidir o q fazer com meus
BDRS e eu não faço a MÍNIMA ideia
do q fazer. Alguém ajuda? #acoes
#bovespa #bdr #nubr3 #investidoraanalfabeta
#socorro</t>
  </si>
  <si>
    <t xml:space="preserve">nubank
</t>
  </si>
  <si>
    <t>mais_superior
👌O Conselho Coordenador dos Institutos
Superiores Politécnicos desenvolverá
trabalho de campo, no âmbito de
uma nova missão de reforço da colaboração.
Sabe mais, aqui!👇 #maissuperior
#missão #ações #ensinosuperior
#politécnico https://t.co/Fe9GLrUH7I</t>
  </si>
  <si>
    <t>esron
Hoje foi a última oportunidade
de surfar na onda dos desesperados
por conta da #SELIC. #opcoes #opcoesCALL
#mercadofinanceiro #acoes #viainvestimento</t>
  </si>
  <si>
    <t>relatorio
Há informações no mercado de que,
nos últimos dias, Luiz Barsi Filho
voltou a comprar um volume expressivo
de ações da AES Brasil. #energia
#mercado #bolsa #aesbrasil #acoes
#trader Leia na íntegra https://t.co/lbFganFCBz</t>
  </si>
  <si>
    <t>funnybetbrasil
#funnybet #funnybetbrasil #bet
#brasil #slots #jogo #win #bigwin
#chellenge #aces #casino #casinoonline
#betting #lucros #casinò #rendaextra
#jogosonline #palpites #brasil
#independenciafinanceira #ações
#rendafixa #dinheiro #milionário
#aposta #roboinvestidor #dinheiroextra
https://t.co/0aGkhpGaaK</t>
  </si>
  <si>
    <t>hubinvestidor
Desde ter alcançado cerca de 97
mil pontos no final de março, o
Ibovespa acumula uma alta de quase
20%, superando os 116 mil pontos.
Afinal, as ações da bolsa ainda
estão baratas? Confira: https://t.co/0lURMxkW4P
#Ibovespa #ações</t>
  </si>
  <si>
    <t>alnanet
#acoes IMA leva ações para o Sertão
de Alagoas durante o Governo Trabalhando
https://t.co/1zIxXCCqMP</t>
  </si>
  <si>
    <t>crfminas
O mês foi repleto de ações e novidades
para os farmacêuticos mineiros.
Ouça nas principais plataformas
de áudio os destaques de maio!
https://t.co/Hgk0rNcdmB #informação
#resumo #destaque #mensal #ações
https://t.co/abTghXjzhr</t>
  </si>
  <si>
    <t>moprify
Moprify é uma plataforma para controle
de #investimentos pessoais em renda
variável (#fiis #acoes) com ele
você terá:   - Posição atualizada;
- Percentual de alocação; - Yield
on Cost (#yoc); - Cálculo de DARF
a cada; - Consolidação de dados
para declaração anual #irpf. https://t.co/0Ep94mxj3w</t>
  </si>
  <si>
    <t>canalfs0ciety
#SamirNews: 8 AÇÕES QUE PODEM FAZER
O CARREGADOR AQUECER ALÉM DO NORMAL
https://t.co/9EqDoUV3qg #bolhadev
#8 #ações #que #podem #fazer #o
#carregador #aquecer #além #do
#normal</t>
  </si>
  <si>
    <t>smashupbrazil
#smashup #smashupbrasil #smashupbet
#smash #bet #brasil #slots #jogo
#win #bigwin #chellenge #aces #casino
#casinoonline #betting #lucros
#casinò #rendaextra #jogosonline
#palpites #brasil #independenciafinanceira
#ações #rendafixa #dinheiro #milionário
#aposta #roboinvestidor https://t.co/rF01UG27yV</t>
  </si>
  <si>
    <t>forbesbr
Segunda fase da reforma tributária
pode afetar mercado de #ações e
lucros das #empresas com novas
taxações. Leia mais em: https://t.co/Ra6VOOCPp9</t>
  </si>
  <si>
    <t>borja_on_stocks
Certamente conhece o ditado “Não
coloque todos os seus ovos numa
única cesta”, mas porque é que
isso também se aplica ao mercado
de ações? Descubra tudo neste vídeo!
#investimento #poupança #ações
#investir #finanças #comoinvestir
#borjaonstocks https://t.co/XxIb6Xte9i</t>
  </si>
  <si>
    <t>mercado_em_alta
A #Disney (NYSE: DIS) anunciou
hoje que planeja expandir investimentos
em Parques Temáticos e Produtos.
Às 12h40, suas #ações caíam 3,5%
para US$82,07.</t>
  </si>
  <si>
    <t>beyourscompany
🚀Descubra o poder de transformar
sua vida financeira com o Investidor
em 1 Hora! Se você sempre quis
aprender a investir e fazer seu
dinheiro trabalhar para você, este
curso é perfeito para você. Acesse
o conteúdo:👉 https://t.co/jfxKADQu3x
#investimento #emprendedor #ações</t>
  </si>
  <si>
    <t>sonartrade
📊📈 A Carteira Semanal da SonarTrade
já está disponível em nosso app!
Descubra as melhores oportunidades
de investimento para esta semana.
Acesse agora e aproveite! 💼🔍🚀
#CarteiraSemanal #Investimentos
#SonarTrade #Oportunidades #Ações</t>
  </si>
  <si>
    <t>janningmiguel
Quanto antes você começa antes
você colhe os frutos. 🍎 Tá esperando
o que? #mercadofinanceiro #ações
#criptomoedas #bitcoin #antifragil
#investimentos https://t.co/mH90ZS7UZE</t>
  </si>
  <si>
    <t>eduardo_garufi
Mas você deve operar aquilo que
te trás conforto, algo que você
entenda os fundamentos e sabe aplicar
com tranquilidade. De certa forma
o mercado de #ações é tão parecido
como qualquer outro ativo para
um grafista, e sem muito segredos
para ser adaptada.</t>
  </si>
  <si>
    <t>izzinvest
🆓 &amp;gt; Recomendações de opções
para o dia de hoje. O SaraOptions
Pró aponta as melhores relações
de RISCO X RETORNO, sugere os PREÇOS
LIMITES DE COMPRA e VENDA, além
de "STOP GAIN" e "STOP LOSS" de
acordo com cada perfil. #mercadofinanceiro
#acoes #opcoes https://t.co/8kkH20DEF1</t>
  </si>
  <si>
    <t>andreluiztorr11
Netflix: Empresa planeja reduzir
gastos em $300 bi de dólares e
ações caem 2% #netfliix #streaming
#empresas #acoes #wallstreet #mercado
#empregos #twitter #redessociais
https://t.co/nC8nUwEBZ8 https://t.co/ueWL22rxis</t>
  </si>
  <si>
    <t>freeclassific
Turma da Galinha Pintadinha 11948594445
festas e eventos https://t.co/6Bw48Gc6VI
#ações "Classificados Grátis"</t>
  </si>
  <si>
    <t>rafaelporcari
#FUTEBOL, #FINANÇAS E #NEGÓCIOS
- Temos 24 clubes que viraram #SAF
em nosso país. Agora, a CVM definiu
as regras para que elas possam
vender #ações na Bolsa de Valores,
inclusive aos torcedores. Em: https://t.co/AnCPPKjRUm
.</t>
  </si>
  <si>
    <t>roletasalafree
Roleta sala grátis CADASTRE E GANHE:
https://t.co/mzUemyAq09… #multiplicar
#roleta #cassino #roleta #investimentoimobiliário
#acoes #vidafinanceira #daytraders
https://t.co/Z9BPjUpQYm</t>
  </si>
  <si>
    <t>debritoinvest
Com a SELIC em baixa mais uma vez,
significa que esse é o momento
de você fazer seus Investimentos
em Fll (Fundos Imobiliários), Fiagros
(Fundos de Investimentos Agronegócio),
Ações que é Renda Variável e etc.
#investimentos #rendavariavel #fll
#fiagros #acoes #agro #imovel https://t.co/gNmkmYz725</t>
  </si>
  <si>
    <t>brainpowerbr
3⃣ Palavras influenciam nossas
ações 🏃‍♀️ As palavras que falamos
e ouvimos afetam nosso comportamento
e ações. Para agir de forma mais
alinhada com seus objetivos, cultive
um diálogo interno positivo e encorajador.
#Ações #Autofala</t>
  </si>
  <si>
    <t>petruspeters8
Tem video novo no canal. OCO no
S&amp;amp;P500, fatores de baixa aos
montes nos gráficos de ativos voláteis.
Criptomoedas e mais. #btc #ethereum
#mercado #ações #inflation https://t.co/ajnEFm0Ds7</t>
  </si>
  <si>
    <t>leandro25687644
Cracolândia: “É incalculável prejuízo
no Centro”, diz Tarcísio #leandroamaraljornalista
#tarcisiogovernador #tarcisio #cracolandia
#prejuizo #centro #sp #acoes https://t.co/bfTmGW7WFy</t>
  </si>
  <si>
    <t>cmcovilha
🌎 MANIFESTAÇÃO PELO CLIMA 👉A
Câmara Municipal da Covilhã, através
do Chefe de Gabinete do Presidente,
Hélio Fazendeiro, recebeu hoje
um grupo de #estudantes, que se
deslocou até à Praça do Município
para #defender a justiça #climática
e pedirem #ações face a esta #temática.
https://t.co/07oaTNd9Me</t>
  </si>
  <si>
    <t>nishioeduardo
🔴 Atualização carteira Top Ações
para 2023 | Podcast Genial Analisa
https://t.co/iU52uiV7H8 via @YouTube
#carteira #acoes #renda.variavel</t>
  </si>
  <si>
    <t>joaobrbrbr
#simh3 #simpar #acoes</t>
  </si>
  <si>
    <t>investe1tempo
Quanto rende 100 mil reais nas
ações de Caixa Seguridade (CXSE3)
#ações #investir #investimento
#dinheiro https://t.co/Knlut0V5Ce</t>
  </si>
  <si>
    <t>willinvestindo
Enchendo o carrinho de #ações o
#SuperQuant me deu tantas opções
que ficou fácil escolher.</t>
  </si>
  <si>
    <t>prmarcosbrasil1
Bolsonaro fala que vai entrar com
duas ações na justiça ⚖️ contra
o atual presidente. @PrmarcosBrasil1
Seguir #política #politicos #bolsonaro
#Ações #justiça https://t.co/6EjURY19Nr</t>
  </si>
  <si>
    <t>diego_dias_10
Alguém precisa fazer um curso sobre
"quem NÃO DEVE investir em ações
e ativos digitais". Fazendo centenas
de declarações de imposto de renda
é fácil perceber que há muitos
aventureiros perdendo dinheiro,
e o pior, nem percebem. #impostoderenda
#irpf #acoes #criptomoedas</t>
  </si>
  <si>
    <t>marcio_mendonc
RT @leiamoneytimes: Gestora bilionária
compra ações da CVC (CVCB3) #empresas
#ações #mercado #leiamoneytimes
https://t.co/WHHfHFyv4Q</t>
  </si>
  <si>
    <t>leiamoneytimes
CEO da Americanas (AMER3) renuncia
ao cargo #Ações #Americanas #BusinessTimes
https://t.co/IFdTcQnMzP</t>
  </si>
  <si>
    <t>daytraderpt
🔻A melhor corretora para short
selling de ações é... https://t.co/4E8mTLQMGc
#shortselling #acoes #bolsadevalores
#daytrading</t>
  </si>
  <si>
    <t>charao_andre
Tô desviado dos zoiudo, fofoqueiros
e mentirosos. #andrecharao #andrecharão
#conhecimento #ações #entidades
#mobilização #advertência #prevenção
#fofoqueiros #falador #menriroso
#cuidadasuavida https://t.co/Q456Vegc1x</t>
  </si>
  <si>
    <t>danielperu
Um prof falava que no Brasil apostar
pelo intervalo é sempre mais vantajoso
que apostar no direcional. As opcões
estruturadas permitem se aproveitar
do mercado lateralizado. Viste:
https://t.co/G0BrAgdc9k #Ibovespa
#Opções #Ações https://t.co/jdqS7oVvCj</t>
  </si>
  <si>
    <t>gustavober_59
📢🔥 Quer ficar por dentro das
últimas notícias sobre tecnologia
e ações? Me siga para conteúdos
atualizados, dicas de investimentos
e novidades do mundo da tecnologia.
Juntos, vamos explorar as oportunidades
desse universo em constante evolução!
💻💡 #Tecnologia #Ações…</t>
  </si>
  <si>
    <t>giramundoap
Meio ambiente, educação ambiental,
empreendedorismo sustentável e
eco-arte. 🏕️ As comunidades que
irão receber essas ações são: Vila
Progresso, Buritizal, Arraiol e
Igarapé do Meio. Confere a programação
completa 😉 #tecnobarca #bailique
#acoes #meioambiente https://t.co/BcgQO9HanW</t>
  </si>
  <si>
    <t>force2mv
Acompanhe os resultados dos trades
passados na Sala VIP 2MV essa semana!!!
Teste 7 dias grátis, acesso pela
NeloStore em todas as plataformas
da Nelogica! #2mv #Nelogica #DayTrade
#Finanças #Dinheiro #Ações https://t.co/1ShOHYi69N</t>
  </si>
  <si>
    <t xml:space="preserve">invest_academy
</t>
  </si>
  <si>
    <t>wellington_tds
Ações da Sony caem após Microsoft
comprar Activision Blizzard - Olhar
Digital https://t.co/ZbhXGf28Yx
#ações #Activision #activision
blizzard #Blizzard #Microsoft #Sony
via @OlharDigital</t>
  </si>
  <si>
    <t xml:space="preserve">olhardigital
</t>
  </si>
  <si>
    <t>leiacryptotimes
Quebra da FTX: Gisele Bündchen
perdeu R$ 232 milhões; entenda
#Ações #Criptoativos #Criptomoedas
https://t.co/voRpiwetQb</t>
  </si>
  <si>
    <t>rodrigues590804
RT @leiaagrotimes: Cenário mais
provável é que Marfrig eleve sua
participação na BRF para 50%, diz
BBI #ações #brf #marfrig #frigoríficos
h…</t>
  </si>
  <si>
    <t>leiaagrotimes
Queda de 98% no lucro: O que o
balanço da Pilgrim’s Pride indica
sobre o 1T23 da JBS? #1T23 #Ações
#AgroTimes https://t.co/QebOFkuyJs</t>
  </si>
  <si>
    <t>axcrestfall
https://t.co/Usph2fSwxa 📚📷 Quer
entender tudo sobre Ações? Descubra
como diversificar sua carteira
e obter renda passiva com ações
sem precisar comprá-los diretamente.
Não perca essa oportunidade de
conhecimento! #Ações #Investimentos
#Barsi #LuizBarsi</t>
  </si>
  <si>
    <t>investedigitall
Chamando todos os mestres da especulação
financeira! Se vc acredita que
ganhar na Bolsa de Valores é tão
fácil quanto acertar a senha do
Wi-Fi do vizinho, prepare-se para
uma montanha-russa de emoções!
🎢📉 #Ações #BolsaDeValores Leia
o artigo :https://t.co/c4vA9O5uBg</t>
  </si>
  <si>
    <t>investidorcltt
Bradesco anuncia JCP de 2 Bilhões.
#acoes #fiis #bolsa #bolsadevalores
#dividendos #investimentos #ativo
#rendapassiva #renda #corretora
#b3 #educacaofinanceira #milhas
#rendavariavel #jcp #proventos
#bbdc4 #bbdc3 #bradesco https://t.co/vca07jHko3</t>
  </si>
  <si>
    <t>xcadubr
Adquiri os melhores e-books de
investimento em Fundos Imobiliários
e ações. E-books ⬇️ https://t.co/FCi3LqPwPq
#açao #b3 #finanças #finance #FII
#fundosimobiliarios #fundoimobiliario
#ações #investir #investidor #fiis
#brasil #rendavariavel #açoes #rendafixa
#investimento</t>
  </si>
  <si>
    <t>lucas_nv_cnpi
Trate seus investimentos como a
conta mais importante do mês. Porque
de fato são. Aportar por um futuro
melhor é sacrificante para o consumo
imediato, mas muda completamente
o jogo no longo prazo. Pense nisso.
#investimentos #investing #ações
#stocks #fiis</t>
  </si>
  <si>
    <t>ericacamposmar1
Não é o cargo que faz o líder,
é a postura. #Deveres #Direitos
#Ações #Comoumtodo</t>
  </si>
  <si>
    <t>exito_oficial
Já é sabido que trabalhar datas
especiais na organização ajuda
a construir uma cultura organizacional
de reconhecimento profissional
e a promover um bom clima na empresa,
e para o Dia das Mães não é diferente.
#acoes #diadasmaes #endomarketing
#dicas #institutoexito https://t.co/ENPEekjrZW</t>
  </si>
  <si>
    <t>sindifisconac
🧵 Direção Nacional do Sindifisco
ainda visitará unidades de fronteira
no Paraná, Mato Grosso e Mato Grosso
do Sul entre 23 e 28 de julho.
Acompanhe as ações para garantir
o pleno funcionamento das unidades
da Receita Federal. #Fronteiras
#SindifiscoNacional #Ações</t>
  </si>
  <si>
    <t>flordeserto
@montagcm @MashiRafael Essas #ações
não pararam a #violência. Nas últimas
#semanas, #cabeças decepadas apareceram
nas #ruas, o #segurança de uma
#joalheria ligada a #explosivos,
#dezenas de #pessoas sequestradas
e desaparecidas e o #assassinato
do #diretor de um #hospital.</t>
  </si>
  <si>
    <t xml:space="preserve">mashirafael
</t>
  </si>
  <si>
    <t>istoe_dinheiro
Ibovespa tem queda de 2,40%, pressionada
por commodities #Ibovespa #B3 #Ações
https://t.co/DOv6KpPI78</t>
  </si>
  <si>
    <t>rnainvest
📢Descubra o guia definitivo para
investir em ações! Aprenda com
a RNA Invest as melhores estratégias
e práticas para alcançar o sucesso
financeiro. Acesse agora: https://t.co/HPtYGDTab7
#investimentos #ações #sucessofinanceiro
#RNAInvest #guiadeinvestimentos
https://t.co/uBbCfKijB4</t>
  </si>
  <si>
    <t>ufpeoficial
O NLGBT é o Núcleo de Políticas
LGBTda UFPE . Conheça mais sobre
o Núcleo LGBT e suas ações acessando:
📍 https://t.co/eImDPlxsae #ufpe
#núcleos #universidade #LGBTI #NLGBT
#diversidade #união #iniciativas
#ações #orgulho ##mesdoorgulho
https://t.co/9s2G67IbLr</t>
  </si>
  <si>
    <t xml:space="preserve">erer
</t>
  </si>
  <si>
    <t>rafaelalgodao
https://t.co/6NbIespDwr #omvestimemtps
#acoes #Criptomonedas #BTCUSD ,</t>
  </si>
  <si>
    <t>careca4p
@sigaif @IonEdu #LuizBarsi #Acoes
#Dividendos https://t.co/4xO0j5gJFe</t>
  </si>
  <si>
    <t xml:space="preserve">interbr
</t>
  </si>
  <si>
    <t xml:space="preserve">futebol_info
</t>
  </si>
  <si>
    <t xml:space="preserve">professorbaroni
</t>
  </si>
  <si>
    <t xml:space="preserve">felipetadewald
</t>
  </si>
  <si>
    <t xml:space="preserve">nonoinvestidor
</t>
  </si>
  <si>
    <t>anbima_br
Chegou o resumão dos resultados
do #mercadodecapitais no 1º semestre!
As #debêntures tiveram o maior
volume de emissões, seguidas de
#ações e #CRAs. Destaque também
para o crescimento dos Fiagros,
mostrando a força do agronegócio.
Confira o vídeo e saiba mais! https://t.co/NaCPbcPxsu</t>
  </si>
  <si>
    <t xml:space="preserve">netoinvest
</t>
  </si>
  <si>
    <t xml:space="preserve">ionedu
</t>
  </si>
  <si>
    <t>b3_oficial
#PraCegoVer #PraTodosVerem Um vídeo
com apresentação de Gaby, uma mulher
de cabelos e olhos castanhos, usando
uma camiseta verde. Ela conta os
principais acontecimentos da terça-feira
na B3. #educacaofinanceira #açoes
#rendavariavel</t>
  </si>
  <si>
    <t>sigaif
A maioria das ações que pagam dividendos
ou JCPs em agosto tem data-base
já vencida. Mas ainda há papéis
que podem ser comprados para que
o investidor receba algum dinheiro
até o final do mês. #investimentos
#dividendos #ações https://t.co/VwhXNGq7TC</t>
  </si>
  <si>
    <t>andrecerque
Hoje vou falar sobre análise gráfica
de ações 📈 Nesta thread, vou explicar
alguns conceitos básicos que podem
ajudar a entender melhor os movimentos
dos preços no mercado financeiro.
#AnáliseGráfica #Ações"</t>
  </si>
  <si>
    <t>oramainvest
👉🏼 Pra entender mais sobre como
investir em #ações na #bolsa com
a perspectiva de queda dos juros,
leia nosso relatório completo aqui:
https://t.co/i8SZHWU4xt</t>
  </si>
  <si>
    <t>nicolaslicce
Esse ano ainda dá pra chegar a
mais ou menos 4 mil investidos
na bolsa Com ações, FllS e ETF:
Ações: - KLBN3 - CPLE3 - BMGB4
FllS : - MXRF11 - KIZU11 ETF: -
EURP11 @B3Bipolar #bolsa #b3 #açoes
#FIIs #ETFs #Europa #beasil</t>
  </si>
  <si>
    <t xml:space="preserve">b3bipolar
</t>
  </si>
  <si>
    <t>prefesaraquari
A gente já fez tanta coisa, né?
🤗 ✔️Pavimentações em asfalto e
pavers por toda a cidade; ✔️Reformas,
ampliações e construções de novas
UBSs; E muito ainda temos para
fazer. Fique atento. Sempre temos
uma novidade passando por aqui.
😉 #obras #araquari #ações #saúde
https://t.co/WPRUPHGpr7</t>
  </si>
  <si>
    <t>jornaldooeste
Inverno: Assistência Social planeja
ações e orienta sobre acesso à
Casa de Passagem 📸Divulgação 🌐Leia
a matéria completa no site. Link
na BIO #inverno #assistenciasocial
#acoes #casadepassagem #toledo
https://t.co/IINGs9m5SF</t>
  </si>
  <si>
    <t>penselacerda
As fases da vida de um homem costumam
ser #reflexo das suas #ações e
#falas, e acabam servindo de exemplos
práticos que apontam o que deve-se
ou não fazer. Isso porque a mesma
luz que aponta o caminho, revela
os obstáculos.</t>
  </si>
  <si>
    <t>marciojuri
#investment #investimentos #ações
https://t.co/kpWd2YtSAE</t>
  </si>
  <si>
    <t>lp4planejamento
Quer começar a investir em ações,
mas não sabe por onde começar?
Não se preocupe! Temos um guia
completo para iniciantes sobre
como investir de forma segura e
lucrativa. Acesse agora mesmo o
artigo e comece a investir com
confiança. #investimentos #ações
#finanças #guiacompleto https://t.co/jqHUUNoxkX</t>
  </si>
  <si>
    <t>napoleaoadv
1/6 📢 Notícia Bomba! A Petrobras
(#PETR4) anuncia o pagamento de
R$ 1,89 por ação em dividendos,
totalizando impressionantes R$
24,6 bilhões! 💰🧵👇#Petrobras
#Dividendos #Ações #petr4</t>
  </si>
  <si>
    <t>brumazzoni
COMO INVESTIR EM AÇÕES DURANTE
CICLO DE ALTA DA BOLSA DE VALORES
#bolsadevalores #ações #ibovespa
#investir Vídeo completo ✅ https://t.co/j1Z0yzWRkJ</t>
  </si>
  <si>
    <t>forkthebanks_io
✴️#BTC #correlação #cripto #ações
A correlação positiva do BTC com
ativos de risco aumentou significativamente
desde agosto https://t.co/RGNTvEPpCh</t>
  </si>
  <si>
    <t>pge_ma
🚔👮🏻Na oportunidade, ocorreu
a entrega de 18 viaturas pronasci,
drones de vigilância e armamentos,
totalizando um investimento de
quase 4 milhões para aparelhar
a segurança pública maranhense.
#PGEMA #AgendaPGE #JustiçaeSegurançaPública
#Ações #InvestimentosMA https://t.co/STh00xERUb</t>
  </si>
  <si>
    <t>papodemilhao022
Diversificar e preciso, saber diversificar
e NECESSÁRIO! 😉 QUER APRENDER
A INVESTIR? ME CHAMA QUE TE AJUDO!
#mercadofinanceiro #ações #fundosimobiliários
#investir #rendapassiva https://t.co/xC5giO0JUS</t>
  </si>
  <si>
    <t>investucan0
https://t.co/mgw4mrTKU8 Ouro é
mesmo um investimento seguro? #finanças
#ações #ouro</t>
  </si>
  <si>
    <t>panksgo
Testando a venda de ações pelo
app da #Nubank e tem dado falha
faz algumas horas... App continua
instável e não é só para as #nucoin
seriam bom um comunicado oficial
da @nubank com mais detalhes. #Nucoins
#ações #nuinvest #investimentos
#rendavariavel https://t.co/WsQ6f4B7Vm</t>
  </si>
  <si>
    <t>facilinvestidor
Fala galera, Segue mais um vídeo!
se você gosta desse tipo de conteúdo,
vem visitar o canal e se inscreva.
link: https://t.co/1KWkek7dH5 #fundosimobiliários
#investimento #ações #analisefundamentalista
#1t23 #kisu11 https://t.co/M1xK4mHRTU</t>
  </si>
  <si>
    <t>fxando
#PapoFácil #887 #NetSecurity integra
amplas soluções de #segurança sob
medida para cada empresa https://t.co/P1pudn8MJF
Com Leonardo Fagnani, Dir Serviços
e CISO #informação #proteção #serviços
#gerenciados #SOC #ações #prevenção
#ameaças #LGPD #ISO27001 #integração
https://t.co/iZr9yARRtS</t>
  </si>
  <si>
    <t>jovempanentrete
#MorningShow | Ações contra Bolsonaro
(PL) no TSE podem colocar em risco
mandatos de 13 congressistas; processo
feito pela coligação de Lula (PT)
contesta suposta desinformação
na eleição de 2022 📺 Confira na
JP News #Ações #Bolsonaro #TSE
https://t.co/7uRijvhQdd</t>
  </si>
  <si>
    <t>portal_viu
#Ações da estatal tiveram a maior
queda desde 2 de janeiro. Link:
https://t.co/crB3JjwQ4f https://t.co/IPpIiAc2O9</t>
  </si>
  <si>
    <t>jocarlosdaraujo
Seguir firme na missão de combate
ao crime, sejam quais forem as
ações em detrimento ao seu povo.
Ações firmes e inteligentes de
nossas polícias, sem interesses
de grupos e ou oligarquias políticas.
Parabéns Governador!!! #saopaulo
#cracolandia #humanidade #ações
#inteligencia</t>
  </si>
  <si>
    <t>tarcisiogdf
Operação na Cracolândia na noite
desse sábado foi um sucesso. Inteligência
e estratégia da @SegurancaSP para
prender 16 bandidos em flagrante
por associação ao tráfico e mais
dois capturados que eram foragidos
da Justiça. É preciso separar o
bandido da vítima para enfrentar
o…</t>
  </si>
  <si>
    <t>felipedospneus
🥳 E é com esse entusiasmo, essa
garra e essa energia que nos preparamos
para receber agosto. Tudo planejado
para um mês inesquecível! Gratidão
Deus! Seguimos fazendo acontecer!
💪🏻✅ #mesdejulho #ações #fazendoacontecer
https://t.co/yfj64VuFoF</t>
  </si>
  <si>
    <t>eniacsjc
Quanto mais constante for suas
ações para alcançar seus objetivos
mais portas irá se abrir e permitirá
que grandes oportunidades façam
a diferença na sua vida!! #objetivos
#foco #oportunidades #ações #sonhos
https://t.co/f8oCbDs5d3</t>
  </si>
  <si>
    <t>darisamattos
Boa tarde!!! Pra movimentar um
pouco a nossa tarde...vamos de
análise das ações da CIELO. https://t.co/4DS6OZSsl4
Seja membro e compartilhe!!!👍
#acoes #cielo #mercado</t>
  </si>
  <si>
    <t>governosergipe
Chegamos, santoamarenses! 🤩 Vem
que tem mais de 150 serviços esperando
por vocês no Sergipe é Aqui! ✅✨
#Sergipe #SergipeéAqui #serviços
#ações #Governo https://t.co/xlbqUG3DIU</t>
  </si>
  <si>
    <t>dolcarajas
MARABÁ A iniciativa fortalece a
luta contra a violência a mulher
no interior do estado. Leia mais
⬇️ https://t.co/FVLPxYwj0I #pacientes
#regional #marabá #ações #educativas
#dolcarajas https://t.co/QAtJnFlJW0</t>
  </si>
  <si>
    <t>shnakatani
#Dinheiro #economia #finanças #financeiro
#b3 #ibovespa #rendaVariavel #rendaFixa
#ações #ativos A bolsa de valores
de São Paulo, a B3, teve 13 quedas
consecutivas neste mês de Agosto
de 2023. https://t.co/ha5F9usXCp</t>
  </si>
  <si>
    <t>alisc
#investimentos #santanderbrasil
#bolsadevalores #equities #acoes
https://t.co/fQwaRWWkgD</t>
  </si>
  <si>
    <t>vi_ruscito
No Alvo 🎯 Dia 18/07/2023: Encerramento
da operação com as ações da Marcopolo
(POMO4). Confira os detalhes do
trade abaixo. #POMO4 #TradeEncerrado
#Ações #Marcopolo Sai com uma gain
de +7%.</t>
  </si>
  <si>
    <t xml:space="preserve">tradingview
</t>
  </si>
  <si>
    <t>dinheirama
Em mais um dia repleto de resultados
corporativos, Grupo Soma (SOMA3)
e Rede D'Or (RDOR3) ficaram entre
as maiores perdas https://t.co/sXrZI2qE9I
#AÇÕES #AZUL #GRUPOSOMA #HAPVIDA
#IBOVESPA #MERCADOS #REDEDOR #VALE</t>
  </si>
  <si>
    <t>sigler_marcia
#acoes #açougue #acre #acupuntura
#acupunturista #Adamantina #Adubacao
#aeromoca #aes #agenda #agilidade
#Agricultura https://t.co/e2tINFF9cv
https://t.co/Ay4LlRUsin</t>
  </si>
  <si>
    <t>tcinvestimentos
“Escolha uma ação e compre sem
olhar o preço”. Você tem apetite
para risco? #ações #mercadofinanceiro
Opinião por: Jansen https://t.co/42uSzSsVD0</t>
  </si>
  <si>
    <t>j_ramacciotti
RT @tcinvestimentos: “Escolha uma
ação e compre sem olhar o preço”.
Você tem apetite para risco? #ações
#mercadofinanceiro Opinião por:
Jan…</t>
  </si>
  <si>
    <t>caio_c_antonio
Os principais índices de ações
apresentaram uma alta moderada.
Esta semana é marcada pela reunião
do Fomc do Fed, onde será decidida
a taxa de juros básica. #Ações
#Fomc #Fed</t>
  </si>
  <si>
    <t>francisinvicto
No one is watching this but I am
@polkabridge @polkadot #binance
#investimento #investidor #finanças
#mercado #ações #bolsadevalores
#investir #dinheiro #renda #negócios
https://t.co/jkNzpbwMW7</t>
  </si>
  <si>
    <t xml:space="preserve">polkadot
</t>
  </si>
  <si>
    <t xml:space="preserve">polkabridge
</t>
  </si>
  <si>
    <t>thiagobudni
“Ter ações é como ter crianças,
não se envolva com mais do que
você consegue lidar.” Peter Lynch
#economia #investimentos #dinheiro #mercadofinanceiro
#frasedodia #pensamentos #financas #educaçãofinanceira #comportamento 
#bolsadevalores #acoes #xp #finanças
#PeterLynch https://t.co/u2eAJhiKy8</t>
  </si>
  <si>
    <t>falkalertas
Fechamento do dia 19/05/2023 -
Ações ⬆ Maiores Altas: • #MRVE3:
(+7,54%) R$ 9,83 • #RAIZ4: (+6,34%)
R$ 3,69 • #MRFG3: (+5,33%) R$ 6,91
Mercado de #Acoes: (https://t.co/qpLh6TqP0T)</t>
  </si>
  <si>
    <t>falkcapital
Fechamento dia 18/09/2023 - #Ações
🟢 Maiores Altas ↑ • #BRKM5: R$23,21
(+5,83%) • #YDUQ3: R$21,21 (+4,74%)
• #BRFS3: R$9,35 (+4,35%) 🔴 Maiores
Baixas ↓ • #VAMO3: R$10,00 (-5,66%)
• #TOTS3: R$28,29 (-4,10%) • #VIIA3:
R$0,73 (-3,94%) https://t.co/mD5mbdsg08</t>
  </si>
  <si>
    <t>fcardan
Aparentemente tudo rodando liso.
Agora @falkalertas está com divulgando
comunicados e fatos relevantes
de #Ações, #BDRs e #ETFs. OBS:
#ITUB4 vai pagar JCP 🤑👇🏽 https://t.co/3m1dqU6aL8</t>
  </si>
  <si>
    <t>androidfinal
Gmail recebe novos avisos sobre
ações confidenciais realizadas
#Notícias #ações #avisos #confidenciais
#Gmail https://t.co/i3bnMJ8EqV</t>
  </si>
  <si>
    <t>urtado_cesar
Como DECLARAR BDR, AÇÕES e FUNDOS
IMOBILIARIOS e RENDIMENTOS, PREJUIZO
https://t.co/VCuerHy2vN via @YouTube
#ações #fundosimobiliarios #fii
#fiis #rendavariavel #alugueldeações
#alugueldeação #emprestimodeativo
#emprestimosdeativos #reembolsosdeativos
#proventos #dividentos #b3</t>
  </si>
  <si>
    <t>nelsonpeixoto20
Esse mês começo a investir 500/mês
em FIIs, fundos imobiliários. Vamos
vê o que acontece em 5 anos. Maio/2023
#FIIs #fundosimobiliarios #ações
#Ibovespa #dividendos</t>
  </si>
  <si>
    <t>mpzae
Amanhã a taxa de juros deve começar
a cair. Quais papéis tendem a ser
mais beneficiados no primeiro momento
? #ações #investimentos #lren3
#mglu3 #vvar3 #inbr32 #mrve3 #lpsb3
https://t.co/Z7Kok58bUi</t>
  </si>
  <si>
    <t>edivaniobs
Em julho, as ofertas subsequentes
de #ações (follow-on) tiveram o
melhor volume de captação dos últimos
12 meses, com R$ 8.6 bi em emissões.
#B3 #Ibovespa #IBOV</t>
  </si>
  <si>
    <t>edmarbertolo
#Ações Carteira para hoje #Clear
https://t.co/8QwQiVOppj</t>
  </si>
  <si>
    <t>einvestidor
🛫📉 Setor aéreo em queda no Ibovespa:
Gol e Azul enfrentam desafios com
quedas de 26,8% e 19,03% respectivamente
em julho. #MercadoFinanceiro #Ações
#investimentos https://t.co/X4RMT4Qrrb</t>
  </si>
  <si>
    <t>trademapapp
#Ações de #Apple, #Amazon, #Alphabet,
#Meta e #Microsoft já subiram mais
de 20% no ano, apesar do cenário
de aumento dos juros e queda no
consumo. É hora de comprar ações
das empresas? Na matéria publicada
pela Forbes Money você encontra
dados extraídos junto ao #TradeMap
além…</t>
  </si>
  <si>
    <t>brasilsuino
Acesse nosso #site e saiba mais
sobre estas #ações https://t.co/KsxiVqoUWc</t>
  </si>
  <si>
    <t>simaocassange
Suas ações falam mais alto do que
suas palavras. Seja coerente entre
o que diz e o que faz.🌟💪 #sejacoerente
#ações #caráter #valores #inspiração
#motivação #autenticidade #íntegro
#fazeradiferença #legado #exemplo
#sejalembrado #açõesfalammais #façaacontecer
#inspiração #legado https://t.co/fHmQe6sD0c</t>
  </si>
  <si>
    <t>estoaresearch
JBS (JBSS3): ações disparam com
anúncio de listagem dupla #JBS
#Açoes #ListagemDupla https://t.co/dbiHoAiepS</t>
  </si>
  <si>
    <t>daniel_bm92
Papel que me chama atenção, tendência
de alta, fez um respiro saudável
e agora volta pra retomar o movimento.
Empresa que se beneficia com ciclo
de corte de juros. mm200 pra cima,
mm20 virando. fundo mais alto que
o anterior. #ações #rendavariavel
#b3 #ibovespa https://t.co/v02EHG9QLm</t>
  </si>
  <si>
    <t>stelute
https://t.co/oR7HiNP71u #acoes
#carteira #fintwit</t>
  </si>
  <si>
    <t>cripto_leblon
O que te influencia antes de fazer
um investimento? 💰💰💰💰 Uma das
coisas que me influenciam são as
notícias do dia/semana/mês. #btc
#bonds #açoes</t>
  </si>
  <si>
    <t>leomorban
ganhar dinheiro de grandes sem
trabalhar nelas! Top 5 ações da
semana 12/07/23 empresas com bons
lucros e que estão baratas, e dívidas
controladas #investimento #ações
#finanças https://t.co/iE9cBGuW78</t>
  </si>
  <si>
    <t>filosofiadetrad
FÁBIO BARONI | “UMA ANÁLISE EXCELENTE
DAS AÇÕES DA CIELO " #ações #inves...
https://t.co/ElWrndiNY5 via @YouTube
#cielo3</t>
  </si>
  <si>
    <t>meugamerbr
Estúdio de Borderlands parece que
terá casa nova caso o Embracer
Group siga em frente com seu objetivo
de cortar custos ao adicionar para
venda o Gearbox Entertainment.
https://t.co/GMcSA74mZI #Ações
#Borderlands #Gaming</t>
  </si>
  <si>
    <t>revistagc1
Segundo a APAT, acessórios fazem
parte de um conjunto de ações que
visam mitigar riscos no ambiente
de trabalho. https://t.co/LIqv4Dl0zQ
#revistagc #revista_gc #sobratema
#brasil #APAT #acessórios #ações
#riscos #ambientedetrabalho #Observatório
#Saúde #Trabalho #acidentes https://t.co/1IQAaNv7NF</t>
  </si>
  <si>
    <t>jhonata13179362
Que Alegria ver essa galera sendo
aprovada nas certificações.. Mais
um Aluno que hoje se torna um Analista
CNPI-T.. Nosso grupo de Mentoria
da @Proeducacional mais uma vez
mostrando resultado! #proeducacional
#Certificacao #mercadofinanceiro
#cnpi #bolsadevalores #ações #fundos
https://t.co/yczyNxUen1</t>
  </si>
  <si>
    <t xml:space="preserve">proeducacional
</t>
  </si>
  <si>
    <t>enfoqueif
Com o início do simpósio de Jackson
Hole no radar dos investidores,
juros seguem em queda. Acompanhe
na íntegra: https://t.co/g3ucnvhMB7
#commodities #b3 #juros #açoes
#investidores #europa #mercadofinanceiro</t>
  </si>
  <si>
    <t>rferreirasbc
SETEMBRO AMARELO Prevenção ao Suicídio
Conscientização do Tratamento da
Saúde Mental #setembro #amarelo
#prevenção #suicídio #saúdemental
#ações #conscientização #tratamento
https://t.co/7ymSIl4dIT</t>
  </si>
  <si>
    <t>iqoption_pt
📈 As ações europeias sobem na
sexta-feira, com os investidores
analisando a trajetória das taxas
de juros e a temporada de ganhos
chegando ao fim, de acordo com
@markets. #iqoption #UE #ações
#Europa #trading #cfds #inflação
#bolsadevalores</t>
  </si>
  <si>
    <t xml:space="preserve">business
</t>
  </si>
  <si>
    <t xml:space="preserve">seekingalpha
</t>
  </si>
  <si>
    <t xml:space="preserve">markets
</t>
  </si>
  <si>
    <t>paulomartinsdev
Mês de maio é um mês de record
na minha carteira 💸🎉🎊 R$ 30,99
livres de impostos sem ter que
fazer nada 🥳 A meta é chegar em
R$ 1000,00 Bora !!!!! #dividends
#finance #acoes #fiis https://t.co/kOoQ6H1Ww8</t>
  </si>
  <si>
    <t>noalvo3
Resumo da manhã #trader #acoes
#ibovespa #petr4 #investimentos
https://t.co/kuHvlDQMtM</t>
  </si>
  <si>
    <t>georgestmattos
🎥📈 Conheça o mundo das ações!
💼💰 🔍 Se você já se perguntou
o que são ações e como elas funcionam,
você está no lugar certo! 🤔💡
📚 Prepare-se para uma aula rápida
e divertida sobre o mercado de
ações. 🎓✨ #Investimentos #Ações
#MercadodeAções #EducaçãoFinanceira
https://t.co/7j10YOQB0s</t>
  </si>
  <si>
    <t>genialinveste
A carteira recomendada de setembro
já está no ar! Confira quais foram
as sugestões de investimentos dos
nossos especialistas e acesse o
relatório completo no plataforma
Genial Analisa 🔗 https://t.co/lkH6IVtWoJ
#carteiras #carteirarecomendada
#ações #FIIs #BDRs https://t.co/1GcOT8OVPu</t>
  </si>
  <si>
    <t xml:space="preserve">filipevillegas
</t>
  </si>
  <si>
    <t xml:space="preserve">_robertomotta
</t>
  </si>
  <si>
    <t>invistafinancas
Descubra como investir em ações
e aproveitar o potencial de retorno
e diversificação no mercado de
valores. Saiba mais em nosso blog!
Saiba mais: https://t.co/AEWnD9rtIh
#ações #diversificação #gestãofinanceira
#investimento</t>
  </si>
  <si>
    <t>brcointelegraph
Descubra as últimas tendências
do mercado em ações expostas ao
Bitcoin! 🚀 #Bitcoin #Ações #TendênciasdoMercado
#Cripto" https://t.co/BHi5Dr5KVU</t>
  </si>
  <si>
    <t>seu_dinheiro_br
‘Homem-Aranha: Através do Aranhaverso’
vence nas bilheterias e supera
‘Vingadores: Ultimato’ nas críticas
do público #ações #AoVivo #Cinema
https://t.co/v6tmcoOzh8</t>
  </si>
  <si>
    <t>motorshow_ed3
A Azul registrou prejuízo líquido
no primeiro trimestre de 2023;
veja os resultados #Azul #balanco
#lucroazul #CVM #acoes #aviacao
#aviao #companhiaaerea #transporte
https://t.co/oXpR6ecfYP</t>
  </si>
  <si>
    <t>financad
Com o cenário voltando-se a um
ciclo de queda na taxa de juros
e aceleração da #economia, a renda
variável volta aos olhos dos investidores
pequenos e médios. #investimentos
#financas #dinheiro #investir #acoes
https://t.co/ogrtjJUOLe</t>
  </si>
  <si>
    <t>vnc_005
Não é uma recomendação, mais á
movida poderia estar sendo mais
falada #Ibovespa #Ações https://t.co/w9m6jnTWB6</t>
  </si>
  <si>
    <t>pittertrader
Quando chamamos barras de tendência,
são essas barras grandes que tem
relevância no gráfico e dependendo
do contexto pode ser uma boa opção
de entrada em uma operação. #b3
#mercadofinanceiro #bolsadevalores
#Candles #tendência #lateralidade
#setup #ações #criptomoedas #albrooks
https://t.co/p0Z0tJ7Kn1</t>
  </si>
  <si>
    <t>moneymarkets_br
As #ações globais atingiram uma
alta de um mês na sexta-feira,
refletindo o otimismo dos #investidores
com as negociações entre #democratas
e #republicanos sobre o limite
da dívida dos #EUA. Saiba mais
🎯 https://t.co/O2bNXR2Uaj #moneymarkets</t>
  </si>
  <si>
    <t>euqueroinvestir
Veja 5 ações que pagam dividendos
acima da Selic a 13,25% ao ano
#ações #dividendos #selic https://t.co/lXjKeQa46Q</t>
  </si>
  <si>
    <t>paivapiovesan
Essas foram as ações do Ibovespa
que mais valorizaram e desvalorizaram
no mês de maio/2023. E aí, tem
alguma delas em sua carteira? #ações
#bolsadevalores #daytrade #ibovespa
#investimentos #investidor #dividendos
https://t.co/7RmM7fUsvz</t>
  </si>
  <si>
    <t>o_turco_
Oportunidades sempre aparecem,
com o aumento da vol gerou uma
distorção nas opções da viia3.
Muitos shortearam o papel, compraram
call e venderam Put. #bolsadevalores
#ações #VIIA3 #opções #gregas</t>
  </si>
  <si>
    <t>monicabrisolla
#Ações falam mais alto que palavras.
Votar na pauta é uma ação concreta
em defesa dos aposentados. Vote
👇👇 https://t.co/lpscy8ZxBu #BrasilVote
https://t.co/S6YHWAFuDP</t>
  </si>
  <si>
    <t>leiaflj
Yduqs (YDUQ3): Ações disparam 19%
após resultado; o que fazer agora?
https://t.co/8SMSTF0qda #ações
#investimentos #yduqs #empresas
#yduq3</t>
  </si>
  <si>
    <t xml:space="preserve">analiseenergia
</t>
  </si>
  <si>
    <t>czambelo
➡️⬇️As #Ações #Indenizatórias foram
movidas por #Mutuários #da #CDHU
em reação a #COSESP, que #era a
Seguradora dos Imóveis da #CDHU,
e não se sabe por que foi #EXTINTA
no Curso desse Processo. No Comando
de Absolutamente Tudo, Sempre #Deus
☝️🙏</t>
  </si>
  <si>
    <t>maribh2
#CPIAmericanas Sistema LEMMANN
: empurrar pro máximo futuro prazo
pagamento corrupção dinheiro privado
MAIOR ROUBO NO BRASIL ESQUEMA CONTÁBIL
FRAUDULENTO MAIOR CORRUPÇÃO SISTEMA
INVESTIMENTOS AÇÕES NO BRASIL.
BANCOS OU FUNCIONÁRIOS ENVOLVIDOS?
#BolsaValores #acoes</t>
  </si>
  <si>
    <t>israelborba
Bom dia! Nada melhor que começar
o dia ganhando dividendos! 🤑💰#investir
#acoes #fiis #rendapassiva https://t.co/WA5WZ1mxTo</t>
  </si>
  <si>
    <t>sonoticiaboaofc
Uma especialista do Reino Unido
ensina quatro hábitos simples para
ter uma vida mais feliz. São ações
para colocar na sua rotina diária
e trazer felicidade para o dia
a dia. https://t.co/RxIbXD2v9R
#felicidade #serfeliz #dicas #acoes
#diaadia #pets #amigos #caminhar
#gratidão</t>
  </si>
  <si>
    <t>casal_trader
Ta com prejuízo na Oi? Na IRBR?
Ou em outra ação e acha que não
vai ter mais jeito? Calma, para
tudo tem uma solução! Se liga nesse
vídeo e entenda como você pode
sair da ação e ainda recuperar
o prejuízo! #mercadofinanceiro
#bolsadevalores #ações #swingtrade
https://t.co/NKOOjyoJvr</t>
  </si>
  <si>
    <t>tiagogreis
URGENTE Braskem com alta de 30%
hoje. Estatal árabe acaba de oferecer
incríveis R$47,00 por ação. #BRKM3
#BRKM5 #Braskem #ações #mercadofinanceiro</t>
  </si>
  <si>
    <t>japonews_eth
Vamos juntos rumo à liberdade financeira!
[6/6] #Investimentos #Criptomoedas
#Ações #RendaVariável #LiberdadeFinanceira</t>
  </si>
  <si>
    <t>filipeborgesfb
Enquanto tem influencer e casa
de análise dando compra de MGLU3...
Estamos vendidos e ganhando mais
de 13%.. e anota aí... alvo da
queda é entre R$1,00 e R$0,50...
e o melhor que foi enviado o call
para todos os clientes #MGLU3 #ações
#trading #b3 https://t.co/pVSFpoLNaJ</t>
  </si>
  <si>
    <t>cmswbr
Conheça nossa estrutura externa
e segura para as operações do seu
Piloto de Reserva, conheça nossas
Salas de Contingência! . . . .
#segurança #finanças #açoes #tecnologia
https://t.co/q3w6ck9XmV</t>
  </si>
  <si>
    <t>jornaldaki
Portaria foi publicada no Diário
Oficial #JornalDaki #AssistênciaSocial
#DireitosHumanos #PlanoBrasilSemFome
#Ações #PessoasemSituaçãodeRua
#Gestantes #Sistemas #SUAS #Sus
#Sisan https://t.co/iweTMJKt9H</t>
  </si>
  <si>
    <t xml:space="preserve">segurancasp
</t>
  </si>
  <si>
    <t>pixtvhd
[#RioGrandedoSul] O encontro teve
como objetivo reunir a governança
para tratar dos próximos passos
que o estado dará na reconstrução
das áreas atingidas pelo ciclone
extratropical que afetou dezenas
de municípios. #PIXTV #PixNasRedes
#Ciclone #Ações https://t.co/5iYizvk8Iz</t>
  </si>
  <si>
    <t>granjanews
Prefeitura de Carapicuíba realiza
ações de segurança contra a utilização
de linhas cortantes para soltar
pipa https://t.co/l0m24okABy #carapicuiba
#prefeituradecarapicuiba #ações
#segurança #pipa #linhas #linha
#cortante #cerol #contra #granjanews
#crianças #adolescentes #adulto
https://t.co/eEXAJcRQOK</t>
  </si>
  <si>
    <t xml:space="preserve">prefdecotia
</t>
  </si>
  <si>
    <t>exnova_pt
🏦 Ganhos desta semana: 🗓️10/05
Walt #Disney Company. Previsão:
0,96, Anterior: 1,08. E. OM SE.
Previsão: 0,30, Anterior: 0,34.
🗓️11/05 Merck KGAA. Previsão:
2.28, Anterior: 2.41. Telefonica
SA. Previsão: 0,10, Anterior: 0,34.
Negocie #ações conosco 👉 https://t.co/NUxhZUsHfk
https://t.co/3Aw9rH1fXf</t>
  </si>
  <si>
    <t xml:space="preserve">marketwatch
</t>
  </si>
  <si>
    <t xml:space="preserve">litecoin
</t>
  </si>
  <si>
    <t xml:space="preserve">microstrategy
</t>
  </si>
  <si>
    <t xml:space="preserve">rbainfo
</t>
  </si>
  <si>
    <t>dygosilvagraves
E há quem diga que não vale a pena
investir em #Bolsa (#Ações)...
https://t.co/o9mbR3nvUk</t>
  </si>
  <si>
    <t>matheuscdesales
Quando pensamos nas mais diversas
formas de montarmos uma carteira
de #ações, além de buscar os melhores
#ativos e mais descontados, devemos
levar em consideração outros fatores.
Não é uma #receita de bolo, mas
uma base a ser usada</t>
  </si>
  <si>
    <t>kratoncapital
#ações que mais subiram hoje! 21/06/2023
https://t.co/SJVN6vn4kH</t>
  </si>
  <si>
    <t>oantenado_
As projeções incluem iniciativas
para o trânsito, transporte e infraestrutura.
#IMMU #Manaus #Ações https://t.co/VDgVXTsYNg</t>
  </si>
  <si>
    <t>vdividendos
Temos uma carteira de membros onde
coloco as minhas compras e vendas
das Top Picks de #ações e #REIT
Esse foi o melhor mês do ano com
+18% de retorno anual contra um
#SP500 (já considerando reinvestimento
de dividendos) rendendo 12% https://t.co/4v9PSQgckX
Cola em nois 🥳🚀 https://t.co/trB8vY6eN3</t>
  </si>
  <si>
    <t>1bertoalexandre
Coronel Campos falando sobre a
segurança da região da Serra do
Teixeira. #RevistaEstadual @radiotabajara
@princesafm92.5 @luizhenriqueparahyb
#segurancapublica #policiamilitapb
#princesaisabel #serradoteixeirapb
#radio #FM #Paraíba #ODEstadual
#GovPb #Obras #ações #serviços
https://t.co/Ejp3feWO41</t>
  </si>
  <si>
    <t xml:space="preserve">radiotabajara
</t>
  </si>
  <si>
    <t>rafaeldemello_
Como transformar #estratégias em
#ações na loja a partir de insights
práticos O fato de o #consumidor
frequentar cerca de nove canais
diferentes para fazer suas #compras
e o desejo que ele tem de ser atendido
em necessidades muitos…https://t.co/dQiFnGL5z2
https://t.co/D3CUQqAj4X</t>
  </si>
  <si>
    <t>teg6oficial
O que os investidores do mercado
de ações buscam em IPOs? #Notícias
#ações #buscam #investidores #IPOs
https://t.co/vVG0efO5r9</t>
  </si>
  <si>
    <t>juristecadv
TSE REJEITA OBRIGAÇÃO DE INCLUIR
DIRIGENTES ... | ... Para ler na
íntegra, acesse https://t.co/j6fyZzmfaX
FONTE: Conjur| FOTO: Alejandro
Zambrana/Secom/TSE #portaljuristec
#eleições #ações #mulheres https://t.co/6Wdhc9Di7K</t>
  </si>
  <si>
    <t>adrieli05758330
@HRHMBNSALMAAN @HRHMBNSALMAAN do
q adianta um País livre + o cabeça
a aprisionado dentro de si mesmo!
Quer ser REI + ainda é príncipe!
A culpa é sua,pq ainda não tem
a #mente de 1 REI ,Os #sentimentos
de 1 REI,E #ações de 1 REI =príncipe
e limitado! na casa🇧🇷 de outra?
Ela👩‍👧manda! AMÉM🇧🇷✍️👩‍👧🌹</t>
  </si>
  <si>
    <t xml:space="preserve">hrhmbnsalmaan
</t>
  </si>
  <si>
    <t>fumarmata8
RT @estrelladigital: 👉🏾👧🏾El
caso ha sido archivado por la Fiscalía
de menores de Badajoz debido a
la edad de los agresores. La escuela
se…</t>
  </si>
  <si>
    <t>estrelladigital
👉🏾👧🏾El caso ha sido archivado
por la Fiscalía de menores de Badajoz
debido a la edad de los agresores.
La escuela se negó a estudiar el
suceso por falta de tiempo #ACOES
#Cáceres #Montijo #agresiónsexual
#Sucesos https://t.co/zNcEHAOrWJ</t>
  </si>
  <si>
    <t>jbmholding
3 Ações com Potencial Alta de Dividendos!
. . . #dividendos #investidores
#ações https://t.co/CLA4qZE64N</t>
  </si>
  <si>
    <t>brunovenancio
Liderar não é ciência. 🧬 Também
não é arte. 🖼️ 👉 Na verdade,
é uma atitude, que depende de pensamentos,
comportamentos e emoções. Que táticas
ou exemplos tens que te inspiram
a ser um melhor líder? 🫡 #lider
#lideranca #realestate #atitude
#pensamentos #acoes https://t.co/CzBaF1Akxf</t>
  </si>
  <si>
    <t>andreczero
Em um fato inédito e inusitado
na Câmara de São Mateus, a bancada
de apoio ao prefeito Daniel Santana,
o Daniel da Açaí (sem partido)
rejeitou diversas indicações dos
vereadores de oposição na sessão
ordinária realizada na terça-feira
(9/05). #ações https://t.co/P0rwxFzlnl
https://t.co/18mWKVGOEb</t>
  </si>
  <si>
    <t>kabbalahinfopt
Quando nos tornamos uma #pessoamelhor,
mudamos não somente as nossas #ações,
mudamos a nossa #mentalidade e
com isso, mudamos também os nossos
#corações. #BneiBaruchBrasil</t>
  </si>
  <si>
    <t>raphael_tesla
3 Ações por menos de 10 reais #açoes
#acoesgaratemofuturo #acoesdabolsa
#copel #klabin #sanepar #luizbarsi
#louisebarsi https://t.co/9wcSKAI3g6</t>
  </si>
  <si>
    <t>ricomonteiro76
Top5 #dividendos #acoes #petr4
#cmin3 #rendavariavel #economia
#investimentos https://t.co/N7MGy1ZPCY</t>
  </si>
  <si>
    <t>lexlatinbr
BRF obtém R$ 5,4 bi na maior oferta
pública do ano no Brasil Saiba
mais detalhes sobre a oferta, lendo
essa #notícia LexLatin https://t.co/7XzWIyTnB2
#mercadodecapitais #oferta #ações
#alimentos #carnes</t>
  </si>
  <si>
    <t>luyzananna
#Trabalho #protecao #Saúde #ações
#terapia #assédio #saudemental
#relacionamento #gestão #recursos
#gestordesucesso #equilíbrio #qualificação
#terapiacomportamentaldialetica</t>
  </si>
  <si>
    <t>demoedaemmoeda
Pra quem é focado em dividendos
segue um mapa de dividendos para
receber todos os meses. #Investimentos
#acoes #dividendos #patrimonio
https://t.co/kVcGrwPoZN</t>
  </si>
  <si>
    <t>nascimentomma
Sell in may and go away?? #finanças
#ações #Economia</t>
  </si>
  <si>
    <t>dropsdomercado
Dividendos da semana!! Estes são
os FIIs e Ações que pagaram dividendos
na semana. Vai pingar aí? #dividendos
#fii #acoes #investimentos https://t.co/o8DorTkWLP</t>
  </si>
  <si>
    <t>comdinheiro
👉Quer saber mais sobre as ferramentas
Comdinheiro e conhecer uma solução
completa para análise confiável
do mercado de #ações, #fundos,
renda fixa e consolidação de ativos?
Solicite agora a demonstração da
ferramenta e teste todas as funções
do ranking. https://t.co/xGzYIKGN0l</t>
  </si>
  <si>
    <t>lubashivaya
#TuesdayTalk 📢 23.05.2023 #paporeto
#paposério #tellingitlikeitis #decircómoes
"5 grandes segredos sobre #investimentos
em #ações (que você teria que gastar
alguns milhões de dólares em análise
e gerir bilhões de dólares para
descobrir sozinho/a)" https://t.co/nJgMVj2bzj</t>
  </si>
  <si>
    <t>jose_saragoza
@danimontori_at Brasil quase não
tem insider dani!!!!!!! https://t.co/AtVQSR7tdG</t>
  </si>
  <si>
    <t>alelansampa
@danimontori_at Temos 3 verdades
difíceis de engolir: 1- Olhando
só fundamentos você vai sempre
comprar muito cedo ou muito tarde.
2- Nós míseros sardinhas, sempre
saberemos dos FR depois dos grandões.
Por isso estaremos sempre em desvantagem.
3- Análise tecnica não pode ser
negligenciada.</t>
  </si>
  <si>
    <t>tmarketl
Price and volume https://t.co/QZoA6oSKY7</t>
  </si>
  <si>
    <t>ydlpizarro
Hoje acordo sem ver minhas ações
da vale3 na nuinvest, mais alguem
com o mesmo problema? #nuinvest
#acoes #b3 #vale3</t>
  </si>
  <si>
    <t>marcia23403
#AcademiaDoDinheiro #açafrãodaterra
#acessoriospvc #acoes #açougue
https://t.co/II4SI3BvIs https://t.co/8ZGaxWscZE</t>
  </si>
  <si>
    <t>buenocosta20
Mais flexíveis que fundos de #ações,
os #longbiased alcançaram ganhos
de quase 30% em um ano volátil
como 2022. O ano de 2023 começou
com o pé na porta. Entenda como
eles funcionam. https://t.co/WclrXCi8da
https://t.co/Psopb05qQC</t>
  </si>
  <si>
    <t>cayocesar89
#rendavariavel #investimentos #acoes
https://t.co/eJnKLhRujI</t>
  </si>
  <si>
    <t>pensarpiaui
Piauí terá protocolo para uso de
aeronaves em ações de emergência
#pensarpiaui #notíciasdopiauí #notícias
#aeronave #emergencia #ações https://t.co/Pkj1dpWtqu</t>
  </si>
  <si>
    <t>pipelinevalor
Santander passa a recomendar compra
da Fras-le #frasle #acoes https://t.co/ahp7aQTTkg</t>
  </si>
  <si>
    <t>stigertrodrigo
Momentos de #inflexão são frequentemente
precedidos de diversas #ações.
Estas, empilhadas no tempo, produzem
o potencial necessário para desencadear
#grandesmudanças. É algo parecido
com o #potencialdeação no processo
da #sinapse neuronal.</t>
  </si>
  <si>
    <t>theinfoveritas
🚨 NOTÍCIA: #FiquePorDentro: o
governo britânico planeja reformular
o sistema de ISAs para incentivar
a propriedade de ações e tornar
o investimento financeiro acessível
a todos. #Investimento #Ações #ReformaFinanceira
Fonte: France 24.</t>
  </si>
  <si>
    <t>jnegocios
Conglomerado do Oráculo de Omaha
recupera dos prejuízos de há um
ano e apresenta resultados operacionais
positivos de 10 mil milhões de
dólares https://t.co/uos8TMN4Zv</t>
  </si>
  <si>
    <t>caminhodoinves1
História interessante que demonstra
que investir é o caminho a seguir.
Felizmente também estiveram com
sorte devido à falta de diversificação,
terem entrado cedo e a empresa
possuir um mote forte 💪 #investir
#cocacola #açoes</t>
  </si>
  <si>
    <t>investmattallen
A small town in Florida was once
the richest town per capita all
because one man convinced the entire
city to invest in coca-cola stock.
Quincy, Florida is a very small
town that has a population of 7,000
people, but it won’t take very
long for you to find a coca-cola…
https://t.co/DjjowBSj8q</t>
  </si>
  <si>
    <t>ionited_io
Como usar tags no Ion Finances
#finanças #dinheiro #ações #fii
#irpf https://t.co/MJ9Sl3CfjF</t>
  </si>
  <si>
    <t>ricsantosesilva
A Tesla continua a ser a ação mais
"shortada" entre as grandes empresas
dos EUA. Elon Musk acredita que
Bill Gates ainda está a apostar
contra a empresa. Apesar dos lucros
da Tesla terem feito muitos "shorts"
recuarem, parece que o interesse
está a renascer. #Tesla #Ações…</t>
  </si>
  <si>
    <t>rodrigofv
Retorno na carteira de renda variável
em julho de 2023: RF Invest: 32,5%
IBOV: 11,1% #investimentos #rendavariavel
#bolsadevalores #b3 #ibov #acoes
#fintwitt https://t.co/mMJS1ceABh</t>
  </si>
  <si>
    <t>flaviosouza2810
#Atrio #AtrioInvestimentos #Ações
#Criptomoedas #EducaçãoFinanceira
#FinançasPessoais #investimentoglobal
https://t.co/5DVy6MtVhN</t>
  </si>
  <si>
    <t>operadoresbr
#ITUB4 com potencial de alta Veja
analise completa em https://t.co/mGc5QU9K2Z
#b3 #itau #acoes #SwingTrading
https://t.co/uvJ8utYH4x</t>
  </si>
  <si>
    <t>wladuarte
📣 New Podcast! "Sua marca com
Alta Performance em Eventos com
Lucy Deccache" on @Spreaker #acoes
#corporativo #deccache #especiais
#event #eventos #events #experiencia
#livemarketing #lucy #produzir
#producao #professora #rh https://t.co/bpzTjI8fDO</t>
  </si>
  <si>
    <t xml:space="preserve">spreaker
</t>
  </si>
  <si>
    <t>polidistrital
Publicação do CNMP detalha ações
coordenadas do Ministério Público
brasileiro no combate à covid-19
https://t.co/HEBXWamDRj #CNMP #Covid
#Coronavírus #Ações https://t.co/HhR27F5DtL</t>
  </si>
  <si>
    <t>rbreia
Quantas ações ter na carteira?
#ações #shorts #skininthegame https://t.co/QFItC73ADp</t>
  </si>
  <si>
    <t>dinheirovdd
No vídeo dessa semana, explico
como investir em ações dos EUA,
o maior mercado financeiro do mundo
e ter uma exposição ao dólar de
maneira simples e sem sair do país.
LINK DO VIDEO NA BIO. #avenue #stocks
#investimento #acoes #dinheiro
https://t.co/w3QG4iydcz</t>
  </si>
  <si>
    <t>gabrielrigon86
Mercado não é vídeo game! #ibov
#bolsa #ações https://t.co/rwF2VPV4La</t>
  </si>
  <si>
    <t>charlesfibonacc
BLOG #MODALMAIS S&amp;amp;P 500: Entenda
índice do Standard &amp;amp; Poor’s
500 Ele pode ser entendido como
uma carteira teórica com #ações
das 500 maiores empresas listadas
nas bolsas de valores norte-americanas:
a #NYSE e a #NASDAQ. #vemser @modalmais
💻🖱️📉📈⤵️ https://t.co/tydzkQWbM9</t>
  </si>
  <si>
    <t xml:space="preserve">bmcnewstv
</t>
  </si>
  <si>
    <t xml:space="preserve">activtrades
</t>
  </si>
  <si>
    <t xml:space="preserve">cmcapitaleplus
</t>
  </si>
  <si>
    <t>modalmais
💰 Dividendos do dia - Ações 🏦
BPAC11 - Pagará hoje R$ 0,40 de
JCP por ação 🪵 KLBN11 - Pagará
hoje R$ 0,24 por ação ⚡ SMTO3 -
Pagará hoje R$ 0,24 por ação #DeTraderParaTrader
#Trader #investimentos #noticias
#mercadofinanceiro #economia #açoes
#b3</t>
  </si>
  <si>
    <t>activtrades_pt
Papéis da Apple batem recorde hoje!
🚀📈 Valor chegou a USS 182,94!
Investidores estão animados com
o lançamento de um fone de ouvido
de 'realidade mista' em breve!
#Apple #Ações #Recorde 84% dos
negociadores de retalho perdem
dinheiro.</t>
  </si>
  <si>
    <t>ygor_fbc
Acabo de comprar #VAMO3 Preço alvo
🎯 R$19,75 #B3 #ações #vamo3 #Rico
https://t.co/umpzaahd3L</t>
  </si>
  <si>
    <t>portal_viva
Cotia: Bazar das ONGs acontece
no dia 21/5 em frente à Prefeitura.
Objetivo é fortalecer as ações
das entidades e suas causas. Saiba
mais em https://t.co/p4m9ic07me
#bazar #ongs #cotia #portalviva
#social #ações #entidades #terceirosetor
https://t.co/QtVxdNQ5zl</t>
  </si>
  <si>
    <t>fonte_certa
Acompanhamento psicossocial foi
uma das propostas na audiência
pública #alerj #acoes #combateaviolencianasecolas
#escolas #violencia #violenciaescolar
#bullying #estadodorio #governodorio
#deputados #regiaodoslagos https://t.co/x894qayNJM</t>
  </si>
  <si>
    <t>exxcedeoficial
. 𝗖𝗼𝗺𝗽𝗮𝗿𝘁𝗶𝗹𝗵𝗲!!! 👨🏻👩🏻⁉️💭
O importante para ter uma vida
saudável, próspera e feliz é se
conhecer e se ouvir. 📸 @freepik
➡️ Saiba mais no perfil da #Exxcede
https://t.co/CU7dpdgZXX #AjudarASeOuvir
#VidaProspera #Feliz #DeBemComAVida
#Otimismo #Ações #Querer #Poder
https://t.co/kGFEYtVJVv</t>
  </si>
  <si>
    <t xml:space="preserve">freepik
</t>
  </si>
  <si>
    <t>truxtinvest
Bruno Garcia, CIO da Truxt, participou
do podcast ItaúViews dessa semana:
"Bastidores da Itaú BBA LatAm CEO
Conference". (1/3) #Truxt #TruxtInvestimentos
#Bolsa #Equity #Ações https://t.co/ADlIlsasF4</t>
  </si>
  <si>
    <t>t2id_
Tencent adquire a maioria das ações
da Techland, desenvolvedora de
Dying Light #Notícias #ações #adquire
#das #desenvolvedora https://t.co/cvIc1vElcI</t>
  </si>
  <si>
    <t>gabriiiell_gb
https://t.co/XfupvCOGzH #Ibovespa
#ações</t>
  </si>
  <si>
    <t>digital_profit1
Cansado de ler notícias e depender
de "analistas" e ainda perder dinheiro
no mercado financeiro? Venha aprender
tudo sobre investimentos no longo
prazo em ações. #Investimentos
#ações #BolsaDeValores #MercadoDeCapitais
#Ibovespa Saiba mais ➡️ https://t.co/eMe0FccQHz
https://t.co/gD9KGeyDO0</t>
  </si>
  <si>
    <t>contadorfred
Boa tarde! Procurar Fred Quintanilha
(Contador &amp;amp; Calculista Judicial)
para obter mais detalhes: https://t.co/aJHATe7Ynd
#cálculos #calculostrabalhistas
#calculosprevidenciarios #trabalhista
#previdenciario #contador #calculista
#advogados #contabilidade #parcerias
#ações #tjrj https://t.co/qAEXptrI32</t>
  </si>
  <si>
    <t>arhursantos
Ações Hoje PETR4 (Petrobras) -6,97%
VALE3 (Vale) -6,53% BBAS3 (Banco
do Brasil) -5,93% ITUB4 (Itaú Unibanco)
-5,87% WEGE3 (Weg) -5,76% GMEL3
(Gerdau) -5,65% LREN3 (Lojas Renner)
-5,58% AZUL4 (Linhas Aéreas) -5,47%
CIEL3 (Hering)-5,42% MGLU3 (Revista
Luiza) -5,36% #ações #ibovespa</t>
  </si>
  <si>
    <t>viciodeinvestid
Quais os melhores investimentos
na bolsa brasileira vocês observam
hoje? Lembrando: melhor investimento
não é melhor empresa, é maior ASSIMETRIA.
Ou seja, maior chance de retorno
em cima de você trocar o seu dinheiro
suado pela a ação da empresa. #fintwit
#ações #bolsa</t>
  </si>
  <si>
    <t>prudente_ip
O calor e a praia pedem sempre
um bom livro e haverá melhor do
que descansar e aprender ao mesmo
tempo? ☀️📚 Se ainda não leu, adicione
à sua lista. Se já leu, conte-nos
o que achou nos comentários! #investimento
#poupança #ações #investir #finanças
#comoinvestir https://t.co/iT90rOSCNa</t>
  </si>
  <si>
    <t>granacapital
💰Preço do #minériodeferro recua
1,04% na Ásia, oscilação negativa
que movimenta #ações de mineradoras
e siderúrgicas. 💰Bancos da China
cortarão taxas sobre hipotecas,
os contratos imobiliários. 💰Índice
#Gfk de confiança do consumidor
da Alemanha para setembro fica
em -25,5.</t>
  </si>
  <si>
    <t>sfainvest
2. Para ver o estudo completo e
de outros grandes investidores,
acesse nossa carta trimestral pelo
link: https://t.co/YtToRGUcma #warrenbuffet
#investimentos #ações #SFA #fintwit
https://t.co/LJqCJRLGRZ</t>
  </si>
  <si>
    <t>kaio_csilva
LIVE RESULTADOS 2T23: PAGUE MENOS
E RAIA DROGASIL - #PGMN3 #RADL3
#AÇÕES Na live de hoje vamos olhar
mais a fundo o case de Pague Menos
e analisar rapidamente os resultados
de sua principal concorrente, a
Raia Drogasil. Começa às 18:05
#PGMN3 #RADL3 https://t.co/CAkWNp5rvx
https://t.co/RG8GtK82lG</t>
  </si>
  <si>
    <t xml:space="preserve">brianferoldi
</t>
  </si>
  <si>
    <t>cptm_oficial
#CPTM #Balanço #InfoCPTM #Junho2023
#Ações #SP #Reinauguração #CampanhaSocial
#Sustentabilidade #Doação #ResponsabilidadeSocial
#TransporteSustentável #CPTMconsciente</t>
  </si>
  <si>
    <t>juliocsborba27
E no #sicredi além de você ser
sócio da cooperativa financeira,
você também tem a opção de ter
acesso a Home Broker do Sicredi
e receber dividendos de suas #ações
na #rendavariável https://t.co/4pYlThHi75</t>
  </si>
  <si>
    <t>arthurvallephd
ABC para perder #dinheiro com #investimentos
A #Acoes individuais B #Bitcoin
e outras cripto C #CDBs (prefira
#TesouroDireto) D #DayTrade E #ETFs
setoriais F #FundosImobiliarios
mono-ativo G Giro de #carteira
Quer a lista ate o Z? Siga-me para
+ conteudo como esse #trendset
https://t.co/0QRJXs8MTD</t>
  </si>
  <si>
    <t xml:space="preserve">valoreconomico
</t>
  </si>
  <si>
    <t xml:space="preserve">farialimaelevat
</t>
  </si>
  <si>
    <t xml:space="preserve">tevaindices
</t>
  </si>
  <si>
    <t xml:space="preserve">mmakersoficial
</t>
  </si>
  <si>
    <t>statusinvestbr
📈 Você é acionista de alguma dessas
empresa? #investimento #investidor #ações #bolsadevalores #cyre3 #azul4 #mglu3 #yduq3 #irbr3 #cogn3 #mercadofinanceiro #statusinvest #pog
https://t.co/dSGl42Kjih</t>
  </si>
  <si>
    <t>carlosteles__
E você, já recebeu os dividendos?
. #dividendos #acoes #rendapassiva
#investimentos #liberdade #bolsadevalores
#estratégia https://t.co/FqGg04DR2k</t>
  </si>
  <si>
    <t>p_prefeitura
#Levantamento Ações policias em
FAVELAS causam PREJUÍZO de R$ 14
MILHÕES por ANO, segundo dados
de PESQUISA INÉDITA #PortaldePrefeitura
#Ações #Policiais #Favelas #Prejuízo
#14Milhões #Comunidade #Pesquisa
https://t.co/a8qzyRVDU3</t>
  </si>
  <si>
    <t>cadubr
Já passou da hora das corretoras
permitir comprar ações e fundos
imobiliários com o cartão de crédito
#açoes #açao #b3 #fiis #fundosimobiliarios
#Brasil</t>
  </si>
  <si>
    <t>contraponto_jor
Copel lança oferta de ações que
devem ir à Bolsa de Valores A Companhia
Paranaense de Energia (Copel) lançou
nesta quarta-feira (26) a oferta
pública de ações que deve resultar
na transformação da estatal em
corporação sem acionista control...
#ações ... https://t.co/PtXrKs6Re3</t>
  </si>
  <si>
    <t>plamevoficial
Plamev Pet e BEE4 são destaques
na Bloomberg News! Acesse o link
abaixo e confira na íntegra a matéria
sobre o crescimento da Plamev no
mercado de ações. https://t.co/Qbl1qi6GJy
#plamevpet #investimento #bee4
#acoes #mercado #mercadopet #bolsadevalores
https://t.co/yozc4OeNxW</t>
  </si>
  <si>
    <t>andreibecker
Surpreendeu Bill Gates? Microsoft
bate recorde de valor de mercado
com IA - Olhar Digital https://t.co/YN05ZvZrjq
#ações #Microsoft #valor de mercado
via @OlharDigital</t>
  </si>
  <si>
    <t>heulerandrey
E tem gente que acredita que está
tudo bem 👀 #Economia #bolsadevalores
#acoes #bvsp https://t.co/B2dDatQYaL</t>
  </si>
  <si>
    <t>cultivarofuturo
Seis estratégias para investir
em ações. Você já definiu a sua
estratégia para os seus investimentos?
#estrategia #buyandhold #valueinvesting
#dividendos #growth #growth #momentum
#indexinvesting #CSF #CultivarSeuFuturo
#investimento #acoes https://t.co/1PZ48O7xbX</t>
  </si>
  <si>
    <t>investfrugal
No meu mais recente artigo, explico
porque comprar ações individuais
vira as probabilidades de sucesso
contra o investidor. #investimentos
#ações #finançaspessoais #bolsadevalores
#dinheiro #riqueza #investir #EducaçãoFinanceira
https://t.co/oGJyC4JbQw</t>
  </si>
  <si>
    <t xml:space="preserve">degiro
</t>
  </si>
  <si>
    <t>anatassara
#DiaNacionaldoVoluntariado Dia
de lembrar e celebrar as #ações
daquelas #pessoas q #doam seu tempo
p/realizar trabalhos em prol #próximo
#Voluntário #Voluntária #Voluntariado
#doar #ajudar #Amar #amor #solidariedade
#28Agos #28agosto #DiadoVoluntariado
https://t.co/KwjVa48caQ https://t.co/MKnkZ1qGRt</t>
  </si>
  <si>
    <t>davidwashin
Gente, olha o email que eu recebi
da #nordresearch hoje! em pleno
junho de 2023! É sério? Isso que
eu chamo de bater no defunto exumado...
#oibr3 #vivt3 #stocks #ações https://t.co/yEKKk1dbM2</t>
  </si>
  <si>
    <t>1nverpersona1
RT @LeiaFLJ: Oi (OIBR3) levanta
US$300 milhões com BTG (BPAC11)
#Oi #oibr3 #empresa #ações #investimentos
https://t.co/aO0VExBuGQ</t>
  </si>
  <si>
    <t>vagner_caldas
05 FUNDOS IMOBILIÁRIOS QUE ESTÃO
COM DESCONTO #fiis #investidor
#acoes #rendapassiva #Flamengo
#Semifinal #corinthians #saopaulo
👇👇👇👇👇👇👇😎 Confira o vídeo
de Tu Pods ! Cortes! #TikTok https://t.co/aVlTGadt56</t>
  </si>
  <si>
    <t>incriptomoedas
VEJA O VÍDEO: Análise de Ações
ao vivo 07/07/23 - #Ações #Opções
#Criptos #criptomoedas Fique por
dentro das notícias! Siga @inCriptomoedas.
Atualizações diárias. #bitcoin
#btc #cripto #moedadigital... Link
da notícia: https://t.co/3lRXCYRz4w</t>
  </si>
  <si>
    <t>bloomberglineab
(04/05) Para conferir a matéria
completa e receber mais informações,
assine o BREAKFAST, a newsletter
de abertura de mercado da Bloomberg
Línea: https://t.co/HnwjgpqhqK
#Breakfast #mercados #ações #bolsa
#empresas #maio https://t.co/lfjzgpPJeY</t>
  </si>
  <si>
    <t>rcordeiro21
Investidores estrangeiros colocaram
mais de R$ 10 bilhões na bolsa
brasileira em junho. Enquanto isso,
os brasileiros venderam seus papeis?
Quem ganhará essa "aposta"? #investimentos
#multifamilyoffice #familyoffice
#ações #ibovespa #investidorestrangeiro
https://t.co/lgOBJvkOUj</t>
  </si>
  <si>
    <t>fundspeoplept
🔶 Equities Swiss Small and Mid
Cap: uma classe de ativos com um
track record invejável 👉 Daniele
Scilingo fala das vantagens de
investir no mercado de #ações suíço🇨🇭.
Comentário patrocinado pela Mirabaud
AM. #FundsPeopleOpinião https://t.co/Ig3PInyCTA</t>
  </si>
  <si>
    <t>fragmentos27
Meu mantra de vida será: por mais
#ações e menos #falas. Pq falar
é fácil, agora, dar a cara a tapa
é o que separa os adultos das crianças.</t>
  </si>
  <si>
    <t>econovisao
É importante estudar e analisar
bem antes de investir. #ações #fundosimobiliários
#investimentos #educaçãofinanceira
#economia #econovisão</t>
  </si>
  <si>
    <t>kingrodrigues0
#Ações S&amp;amp;P 500 4.273,53 ( -1,47%
) DJIA 33.618,88 ( -1,14% ) NASDAQ
14.545,83 ( -1,51% ) VIX 18,94
( 12,07% ) * Preços em 27 de setembro,
12h20 UTC</t>
  </si>
  <si>
    <t>mecfin
📢💰 JHSF (JHSF3) anunciou dividendos
para acionistas em 2023! Serão
R$90 milhões distribuídos em 3
parcelas iguais. A primeira, R$30
milhões, será paga em 02/08, base
26/07. Aproveite o rendimento!
💸🤑 #JHSF #Dividendos #Ações #Investimentos
https://t.co/YOVibjU86K</t>
  </si>
  <si>
    <t>rodmf
O que será que teremos de novidade
esse ano? #Apple #AAPL #Stocks
#Ações #rendavariável #nasdaq #mercado
#economia #negócios #iphone #ios
#ipad #macbook https://t.co/cBVNEZ0anS</t>
  </si>
  <si>
    <t>blogdohiel
Deputado amazonense se reúne em
Brasília com Bolsonaro para alinhar
ações Leia mais em https://t.co/YnrrmmvJou
#Deputado #Amazonas #reunião #Bolsonaro
#ações https://t.co/fAVOwEAVvm</t>
  </si>
  <si>
    <t>plu7oficial
Ações do supermercado on-line do
Reino Unido Ocado sobem com rumores
de interesse em oferta da Amazon
#Internacional #ações #Amazon #interesse
#Ocado https://t.co/AhHJp6xxAz</t>
  </si>
  <si>
    <t>coingraphnewspt
MEME: #Ações https://t.co/CDZ8XSfXlW</t>
  </si>
  <si>
    <t>anderson77i
#educacaofinanceira #aprendervalor
#bc #organizze</t>
  </si>
  <si>
    <t>bancocentralbr
O Aprender Valor já está em mais
de 22 mil escolas, chegando a 5,6
milhões de estudantes em mais de
3 mil municípios. #aprendervalor
#educacaofinanceira #cidadaniafinanceira
#bancocentraldobrasil #educacaobasica
#educacaofinanceiranasescolas #ensinofundamental</t>
  </si>
  <si>
    <t>jornal_panorama
Em Moções de Aplauso, Câmara da
Campanha reconhece ações dos cidadãos
https://t.co/qX5edtjq6F #jornalpanoramajp
#jornalpanorama #panorama #campanha
#Reconhece #minasgerais #brasil
#Ações</t>
  </si>
  <si>
    <t>adminneotel
Ataques cibernéticos derrubam valor
das ações. Saiba mais: https://t.co/c8OHaec4Ul
#neotel #ciberseguranca #segurancadigital
#gocryptwithneotel #gosafecloudwithneotel
#cybersecurity #acoes #bolsadevalores
https://t.co/nCIPuvKJew</t>
  </si>
  <si>
    <t>economicnewsbr
No mercado financeiro nesta terça-feira
(01/08), o Dólar Comercial registrou
alta de 1,269%, encerrando a sessão
cotada a R$ 4,789.#Ações #Dólar
#Economia #EconomicNewsBrasil #Ibovespa
#investimento #MercadoFinanceiro
#Negócios #Noticias #selic https://t.co/mkA87SOv8p
https://t.co/GAlGigzLfT</t>
  </si>
  <si>
    <t>joselaus
#povobrasileironaoconheceseuPoder
Só o #povo #poderá #gerar #mudanças
#açoes #movimenta uma #nação um
#dragaoadormecido https://t.co/VBh9Zts7DY</t>
  </si>
  <si>
    <t>reutersworld
Exclusive: India regulator seeks
curbs to limit retail investors'
derivatives risk -sources https://t.co/nSZQvMCZuK
https://t.co/fqwSaJkoyS</t>
  </si>
  <si>
    <t>info_global_
🇮🇳 Com os preços das #ações indianas
perto de recordes, atraindo maior
interesse do investidor de varejo,
o regulador está preocupado que
os pequenos players possam sofrer
perdas em derivativos se os mercados
se tornarem voláteis.</t>
  </si>
  <si>
    <t>bmp1357
RT @ocriptomestre: O mercado está
bem otimista 🫣 Esse Domingo farei
uma live no Discord explicando
o que está pegando na economia.
#acoes…</t>
  </si>
  <si>
    <t>ocriptomestre
O mercado está bem otimista 🫣
Esse Domingo farei uma live no
Discord explicando o que está pegando
na economia. #acoes #bolsadevalores
#investimentos https://t.co/KMD3AqpB1c</t>
  </si>
  <si>
    <t>criptomestres
RT @ocriptomestre: O mercado está
bem otimista 🫣 Esse Domingo farei
uma live no Discord explicando
o que está pegando na economia.
#acoes…</t>
  </si>
  <si>
    <t>peritofinanc
O que faz um Perito Econômico?
A Perito Econômico atua com a missão
de oferecer cálculos precisos e
com demonstração clara através
de pareceres e ou laudos tecnicamente
fundamentados nas melhores técnicas
econômico-financeiras #PeritoEconomico
#PeritoFinanceiro #Perito #Ações
https://t.co/dKePnkK9J5</t>
  </si>
  <si>
    <t>lucaspereira_ef
No vídeo de hoje eu falo com você
pode receber dividendos o ano todo,
tendo poucas ações encarteiradas,
quer aprender também? acessa lá!
https://t.co/NoGmEW72Sm #dinheiro
#economia #investimentos #ativos
#ações #educaçãofinanceira #rendapassiva
#mercadofinanceiro #bolsadevalores</t>
  </si>
  <si>
    <t>webercripim
MERCADO FUTURO #ações #b3 #daytrader
#mercado #bolsadevalores https://t.co/OA91iCtSGI
via @YouTube</t>
  </si>
  <si>
    <t>vitorfaustinoyt
O Morgan Stanley rebaixou a BBSE3
(BB Seguridade) e recomendou venda
dela em função de 3 motivos que
eu explico no vídeo e apresento
meus contrapontos. Clica no link
e confere o vídeo. https://t.co/OthkoCxz5o
#BBSE3 #ações https://t.co/4SCGP0xy4P</t>
  </si>
  <si>
    <t>correiodeminas
“Desenrola” deve beneficiar bancos
e varejistas, apontam analistas:
quais ações devem ganhar com programa?
#correiodeminas #desenrola #beneficio
#bancos #varejistas #analistas
#ações #programa #correiodeminasonline
https://t.co/kNGW1CgvNF https://t.co/FFS6EfSQ1r</t>
  </si>
  <si>
    <t>lipeinveste
KLABIN | "SE TIVESSE APENAS UMA
AÇÃO NA MINHA CARTEIRA, SERIA KLBN"
| A ... https://t.co/fJHn3Sam1G
via @YouTube VÍDEO NOVO no canal
LIPE INVESTE no Youtube #klabin
#klbn #klbn11 #klbn4 #klbn3 #celulose
#papel #papelao #papelcartao #suzano
#suzb3 #ações #dividendos #investir</t>
  </si>
  <si>
    <t>eddie_poker
Ações: Alpargatas, Renner e Braskem
têm piores quedas do Ibovespa;
índice cai - https://t.co/rv5IFOo1JB
#Ações</t>
  </si>
  <si>
    <t>ex_terior
#beef3 vingou 4% nelas, vendidas
semana passada!! @Minerva_BEEF3
😍 #pas #bolsadevalores #açoes
#mercadofinanceiro</t>
  </si>
  <si>
    <t xml:space="preserve">minerva_beef3
</t>
  </si>
  <si>
    <t>osmarangelin
Como está a sua carteira de ações?
Tá melhor ou pior que o IBOV e
SMLL? #b3 #ibovespa #rendavariavel
#acoes https://t.co/Tw3NSCmzmH</t>
  </si>
  <si>
    <t>yagocardoso_
Será que sobe ainda? #nucoin #nubank
#açoes #Criptomonedas https://t.co/aVamFWS6cp</t>
  </si>
  <si>
    <t>wagnergeremia
🚨QUAL O MELHOR INVESTIMENTO DO
MERCADO HOJE? Veja mais👇 https://t.co/DPhOZ6MKWE
#mercadofinanceiro #mercadoamericano
#mercadobrasileiro #wagnergeremia
#investimento #valuation #AÇÕES
#fundosinvestimentos https://t.co/aEgQWDqKz8</t>
  </si>
  <si>
    <t>marcosmanguelli
Em 2023 pode ser um péssimo ano
para se investir em ações da #Netflix
#B3 #BolsaDeValores #Ações</t>
  </si>
  <si>
    <t>espacorecomecar
Pare de sofrer por amor, nós podemos
te ajudar! ❤ Saiba como em: https://t.co/Ev04oZYham
#EspacoRecomecar #EspiitualistaMaiconPaiva
#ChicoXavier #Espiritualidade #Ações
#Resiliencia #PazdeEspirito #Recomeco
#Recomecar https://t.co/0Q0n9hnLG4</t>
  </si>
  <si>
    <t>piauidaniel
😌Meus amigos, mais um resultado
satisfatório. Foco no longo prazo.
Que venha setembro. #investimento
#ações #opções #rendafixa https://t.co/B3IKQ8lUY7</t>
  </si>
  <si>
    <t>lucasrdgx
#Ações de bancos nos #EUA caem
depois de declaração do CEO do
JPMorgan Chase. Jamie Dimon alertou
que as taxas de juros podem precisar
subir ainda mais para conter a
inflação.</t>
  </si>
  <si>
    <t>osdadosmostram
Estou vivendo uma bizarrice na
@nubank. Minhas ações da Vale sumiram
da minha carteira. O que é isso?
#VALE #ações #b3</t>
  </si>
  <si>
    <t xml:space="preserve">getthejb
</t>
  </si>
  <si>
    <t xml:space="preserve">b3
</t>
  </si>
  <si>
    <t xml:space="preserve">viniciu06354450
</t>
  </si>
  <si>
    <t xml:space="preserve">feantonioli21
</t>
  </si>
  <si>
    <t>jadsonlimanovo
Toffoli #manda #suspender e #enviar
ao #STF #ações #sobre #Tacla #Duran
O ministro Dias Toffoli, do Supremo
... Saiba mais sobre ese conteúdo
no site Brasil em Pauta Noticias.
Clique no Link: https://t.co/16d7H9mUQ4
#brasil #economia #política https://t.co/NI5xpNsQH6</t>
  </si>
  <si>
    <t>aulaplusbr
Volatilidade do mercado de #ações
e estratégias de investimento https://t.co/UFFUBRQi0K
#investimentos</t>
  </si>
  <si>
    <t>btgpactual
A partir das 12h, em instantes,
começa a live: Melhores #ações
para julho de 2023 https://t.co/gqanssjdyd</t>
  </si>
  <si>
    <t>investemvalor
Quando smartphones ficam 20% mais
baratos, todo mundo corre para
a loja para comprá-los. Quando
as #ações ficam 20% mais baratas,
todos correm para a saída. Faça
o oposto. O #investimento em valor
envolve se aproveitar de discrepâncias
do preço e valor.</t>
  </si>
  <si>
    <t>seiacoes
📊 Resultado intraday da Carteira
SEI Ações: As ações de ATAQUE estão
garantindo um resultado positivo
até o momento! 💪 #SEIAções #Investimentos
#Ações https://t.co/uHi8AWfMcv</t>
  </si>
  <si>
    <t>vanessadezem
O GIC, fundo soberano de Singapura,
está entre os investidores que
compraram ações da Copel na oferta
pública de R$ 5,2 bilhões que teve
preço fixado nesta terça-feira.
#energia #mercado #ações Por @andradevini3
e Cristiane Lucchesi https://t.co/a35PE2L1TX</t>
  </si>
  <si>
    <t xml:space="preserve">andradevini3
</t>
  </si>
  <si>
    <t>murilo_sobral
#mercadofinanceiro #finanças #ações
#b3 #bovespa #índice #real #moeda
#Brasil #história #LulaPresidentedoPovo
#LulaEstadistaDoPlaneta</t>
  </si>
  <si>
    <t>brasil247
Efeito Lula: Ibovespa tem 9 altas
semanais consecutivas pela primeira
vez na história, apesar de BC https://t.co/NR5yWcuLHw</t>
  </si>
  <si>
    <t>alemartuchelli
@magalu Porque se você fosse falar
das #ações. Kkkkkk. #mglu3</t>
  </si>
  <si>
    <t xml:space="preserve">magalu
</t>
  </si>
  <si>
    <t>diario_comercio
As ações da Petrobras subiam nesta
segunda-feira após a companhia
divulgar sua nova política de dividendos.
Leia mais no site do Diário do
Comércio! #petrobras #ações #alta
#política https://t.co/ptSLtWPYVQ</t>
  </si>
  <si>
    <t>mcmanocall
Quem tiver interesse cola la no
grupo https://t.co/2sL8qXtLLc #ibovespa
#ibov #ações #smallcap https://t.co/RlgqTUzTBn</t>
  </si>
  <si>
    <t>ingridflima87
Diálogos #ABMGeo: "FORTALECENDO
#POLÍTICAS E #AÇÕES PRÓ-EQUIDADE:
O papel da ABMGeo na construção
de um mundo #sustentável" #mulheres
#geociencias #geologiasalvavidas
#ODS #SDG #defesacivil #equidade
#diversidade https://t.co/D0rKkq0F3w</t>
  </si>
  <si>
    <t>mais_educativa
👉A Sociedade Ponto Verde e a Universidade
NOVA de Lisboa, desenvolveram um
conjunto de ações de proximidade
para a receção aos novos alunos.
Sabe mais, aqui!👇 #maiseducativa
#ações #reciclar #sensibilização
https://t.co/dQATcDSI3v</t>
  </si>
  <si>
    <t>toninhodocall
"As verdades do mercado costumam
ser simples, se não forem simples
não são verdades." Dow #Ações #Investimentos
#finanças #b3 #ibov #Trader #Trading
https://t.co/ntKRblPB4D</t>
  </si>
  <si>
    <t>jamesatayde
vencedores não precisam de palavras
vazias para vencer na vida, suas
ações falam mais alto que qualquer
crítica. #vencedores #vencer #vida
#ações https://t.co/xVWRDxYEeS</t>
  </si>
  <si>
    <t>celiobalbi
#ATITUDES #AÇÕES #VIVER https://t.co/q2lzx6s97h</t>
  </si>
  <si>
    <t>marquinhodapipa
Agir corretamente é sempre mais
eficiente do que perder tempo falando
sobre quem faz errado. Foque suas
energias em fazer a diferença com
suas ações e escolhas. 💪 . . .
. . . . . #MarquinhoDaPipa #FaçaOCerto
#Exemplo #Ética #Respeito #Bondade
#Ações #Eficiência #SejaAMudança
https://t.co/8uace0ZhXh</t>
  </si>
  <si>
    <t>onjornal1
ONJORNAL | Bolsas &amp;amp; Ações #Ações
e esperança de investidores de
fintechs caem com juros altos nos
#EUA. Acesse: https://t.co/jqx0wvc4ma
https://t.co/gcavaoKZd5</t>
  </si>
  <si>
    <t>maykoonayk
Audio noticia 05/JULHO, informações
sobre mundo financeiro, brasil,
mund... https://t.co/1CDVDl86T5
via @YouTube #ações #BolsaDeValores
#Indices</t>
  </si>
  <si>
    <t>revistamt1
O desafio do ICL no segmento de
lubrificantes inclui o desenvolvimento
de ações contra as irregularidades
e ilicitudes que afetam esse setor.
https://t.co/TUsqU4NMZC #sobratema
#revistamt #revista_mt #brasil
#desafio #ICL #lubrificantes #desenvolvimento
#ações #irregularidades https://t.co/xju4JgRBM3</t>
  </si>
  <si>
    <t>sobratema
RT @revistamt1: O desafio do ICL
no segmento de lubrificantes inclui
o desenvolvimento de ações contra
as irregularidades e ilicitudes
que…</t>
  </si>
  <si>
    <t>mano_investidor
ENTENDA a DIFERENÇA ENTRE AS AÇÕES
3, 4, 5, 6 e 11 🤑📈🚀 #ações #bolsadevalores
#mercadofinanceiro #investidoriniciante
#educacaofinanceira #dinheiro #rendavariavel
#rendapassiva #dinheiroonline https://t.co/tConM8axZR</t>
  </si>
  <si>
    <t>bravacapital
Quer saber como é o racional por
trás da compra e venda de ações?
Veja tudo isso no artigo no blog
Capital Inteligente, o blog da
Brava Capital! Link: https://t.co/KNKa7E6WSF
#riscos #mercadofinanceiro #ações
#rendavariável</t>
  </si>
  <si>
    <t>hiltonboss90841
5,2 Bilhões e o governo é o maior
acionista!😭 #creator #economia
#investimentos #copel #ações #sell
https://t.co/v5AxnvVWf7 Meu maior
erro!!!😭🥲😭 Sigam-me no Instagram
@hilton.boss7 e @accessories.Boss</t>
  </si>
  <si>
    <t xml:space="preserve">hilton
</t>
  </si>
  <si>
    <t>clickpetroleoeg
Situação de emergência em plataforma
de petróleo da Petrobras é revelada
após decréscimo em ações da estatal:
#Cpgvagasenoticias #Acidente #Ações
#P31 #Petrobras https://t.co/OS1dwn7wW4</t>
  </si>
  <si>
    <t>glaucojarzinski
Carteira sugerida de ações com
alto potencial de valorização rende
26,3% desde janeiro Carteira de
Small Caps é composta por ações
de empresas com alto potencial
de valorização e capitalização
de mercado de até R$ 10 bi #investimentos
#acoes #smallcaps https://t.co/ahvz5Plwyu</t>
  </si>
  <si>
    <t>light_love7
Sempre há influências espirituais,
pode ser uma imagem, um som ou
palavras,tudo influência nossa
mente. https://t.co/qvQj70eg62
#mente #coraçao #emoçoes #som #poder
#palavras #açoes</t>
  </si>
  <si>
    <t>factutrade
Ações nos PDVs para o dia dos pais.
Promotores (as) Factu Trade Marketing.
Confira! #ações #pdv #factutrademarketing
#promotor #promotora #jundiasorvetes
#simonetto https://t.co/oH3Mm3X9PS</t>
  </si>
  <si>
    <t>amanciomatheus1
Mais uma planilha para as operações
pronta #bolsadevalores #swingtrade
#ações https://t.co/jlaKEOCAQX</t>
  </si>
  <si>
    <t>damiosoaresnun
#Ações falam mais alto que palavras.
Votar na pauta é uma ação concreta
em defesa dos aposentados. Nos
ajudem! Não aguentamos mais esse
confisco! Vote 👇👇 https://t.co/DbqB585WML…
#BrasilVoteBrasilVote Com certeza</t>
  </si>
  <si>
    <t>hsrodrigues2
As 20 #ações hoje com maior %Free
Float #Short e resultado vs PM
short: &amp;lt;-10%: #MRVE3 #IRBR3
#TEND3 #MBLY3 &amp;lt;-5%: #EZTC3 #CYRE3
#CEAB3 Outras: #SEQL3 #MOVI3 #PETZ3
#RRRP3 #USIM5 #TAEE11 #VIIA3 #AESB3
#ARZZ3 #ALPA4 #MRFG3 #TRAD3 #CSNA3
#B3 #Ibovespa #stocks https://t.co/HziBnKgKLU</t>
  </si>
  <si>
    <t>amazonasatual
Prefeito de Manaus, David Almeida
relatou ações na educação, saúde
e infraestrutura em pronunciamento
na Câmara Municipal #DavidAlmeida
#Hospitais #Amazonas #Manaus #Gestão
#Ações #AmazonasAtual Leia mais
🗞️📰 https://t.co/ne1MMzAUHS</t>
  </si>
  <si>
    <t>guiaindicador
A vida é um espelho; reflexos dos
pensamentos, escolhas e ações.
Nada acontece que não seja consequência
de atitudes. Bom dia! #vida #espelho
#ações #Acredito https://t.co/aTbiIlOVh2</t>
  </si>
  <si>
    <t>camarasaopaulo
#JornaldaCâmara: #Câmara participa
de evento sobre #ações de #requalificação
do #centro https://t.co/bSsGfeWlrV</t>
  </si>
  <si>
    <t>exnesscorretora
➡️Criptomoedas agora encaram pânico
pré-anúncio do FED após a alta
dos preços do Bitcoin e do Ethereum;
➡️Nasdaq e S&amp;amp;P 500 fecham nos
níveis mais altos desde agosto
com otimismo sobre o projeto de
lei do teto da dívida. #Forex #Cripto
#CFDs #ações</t>
  </si>
  <si>
    <t>canalcomlucro
https://t.co/e0BSfTpfkt #DojiQuatroPreços
#AnáliseTécnica #Candlestick #MercadoFinanceiro
#PadrãoDeReversão #GerenciamentoDeRisco
#Ações #criptomoedas https://t.co/Z0746ycOkV</t>
  </si>
  <si>
    <t>senhorhidden
A cada 10-20 anos surge um setor
dominante que supera todos os outros.
Obviamente tecnologia e começou
em 2006/2008 e nem sempre será
tecnologia. Você pode ganhar uma
fortuna se escolher aquele que
está por vir. Ao meu ver será comida
e agricultura. #ações #b3 #ibovespa
#brasil</t>
  </si>
  <si>
    <t>phani_29
RT @senhorhidden: A cada 10-20
anos surge um setor dominante que
supera todos os outros. Obviamente
tecnologia e começou em 2006/2008
e ne…</t>
  </si>
  <si>
    <t>correa899
Ministro da Agricultura, FPA discute
as ações de apoio ao setor leiteiro
- https://t.co/uRm69qaoni - #MinistrodaAgricultura
- #Ações - #SetorLeiteiro</t>
  </si>
  <si>
    <t>maisnewsoficial
Dicas de Atos de bondade Como podemos
espalhar o amor de Deus para outras
pessoas, é através de atos de bondade,
porque é através de atitudes que
mostramos... https://t.co/ZOjHvhVEdV
#AtosDeBondade #Ações #MaisNews
#Artigo #PrMarcioBatista https://t.co/5HDMC5j984</t>
  </si>
  <si>
    <t>tradervlog
Conheça mais sobre a Minha Corretora
de Forex 👇 https://t.co/IjddRQ6p47
A Vantage é uma corretora global
de vários ativos que oferece aos
clientes acesso a um serviço ágil
e poderoso para negociar CFDs em
#Forex, #Commodities , #Indices
, #Ações e #Criptomoedas Abrir
uma… https://t.co/dpulcNoucS</t>
  </si>
  <si>
    <t>invest_nomad
Agora vamos às notícias do dia!
📰 1️⃣ Agosto está sendo um mês
difícil para os investidores de
#ações americanas. O principal
índice da bolsa dos EUA, S&amp;amp;P
500, assegurou pela primeira vez
no mês uma alta consecutiva de
2 pregões. 👇</t>
  </si>
  <si>
    <t>i_monetaria
Este é só um exemplo que com menos
de 10 reais você já pode virar
sócio de grandes empresas! * Isso
não é recomendação de compra. **
Os valores podem oscilar de acordo
com o dia e momento atual do mercado.
#ações #empresasdabolsa #itausa
#copel #klabin #cielo #csn #cogna
https://t.co/0TsTm4pqVU</t>
  </si>
  <si>
    <t>pensemercado
Quando a gente para de seguir "analista"
e carteiras recomendadas e foca
em entender das empresas que estamos
investindo dá nisso aí. #investimento
#bolsadevalores #b3 #ações #stocks
#rendavariável #cdi #ibov #ibovespa
#ifix https://t.co/LmCknttpcQ</t>
  </si>
  <si>
    <t>carvalhoalves
@victordojornal @brunoreisba Quais
são essas #ações? Pq facilitar
a #abertura de empresas não aumenta
os investimentos. A redução da
taxa de #juros, sim, aumenta a
circulação do dinheiro, além da
criação de linhas de #crédito empresarial.</t>
  </si>
  <si>
    <t xml:space="preserve">brunoreisba
</t>
  </si>
  <si>
    <t xml:space="preserve">victordojornal
</t>
  </si>
  <si>
    <t>invista_nabolsa
https://t.co/8Kr3wbDzqI #Sanepar
#ações</t>
  </si>
  <si>
    <t>meusfii
🌇FII | https://t.co/Qtfrl3M5Ta
pvbi11 para longo prazo? #fiifacil
#investimentos #rendaextra #ações
#b3 #rendapassiva #renda #fiis
FII FACIL | fundosimobiliarios
fiis</t>
  </si>
  <si>
    <t>investirna
🍕Como comprar ações fracionadas?
https://t.co/07p5oLZ32g #acoes
#acoesfracionadas #bolsadevalores</t>
  </si>
  <si>
    <t>pedroalegre17
O que fazer com o pouco de dinheiro
que tem na atual condição do Brasil?
Investir? Em que? Comprar? O que?
Casa? Tem risco? Terras? E as invasões?
Guardar no colchão? Quais as perspectivas?
#investimento #ganhos #acoes #ações
#dinheiro #Economia #Reserva #financeira
#finanças</t>
  </si>
  <si>
    <t>fiinewspaper
#editorial🗞️📰 @fiinewspaper 🤖Você
já consegue associar notícia de
#Ações com seu #FII? #RBRX11 8,4%
alocado em ações de shopping (67%
ALSO3 + 33% #IGTI11) 🔗 https://t.co/GJHmclrG1o
#ItaúBBA enxerga upside de 20%-40%
para shoppings; #ALSO3 é top pick.
https://t.co/ZCVQVJsqsb https://t.co/3BTe0yz6hd</t>
  </si>
  <si>
    <t>publishorperich
O plugin de hoje do #Chatgpt é
o DAIZY. Esse é mais pra quem opera
na #bolsadevalores com #ações .
Se você insere uma mensagem simples
como "Me mostre como estão as ações
da Copel" ele te mostra alguns
resultados interessantes. Segue
o fio! (1/9) https://t.co/Dt1Y2tALET</t>
  </si>
  <si>
    <t>raquellyra
mais saúde, mais água e mais segurança
para nossa gente. É assim, com
muito trabalho, que nosso estado
vai mudar para melhor. #Investimentos
#Ações #Pernambuco #EstadoDeMudança
#RaquelLyra</t>
  </si>
  <si>
    <t>igoor_serrano
#AÇÕES #TRPL #ISA #ISACTEEP 🧶🧵-
Acabei de assistir o ISA CTEEP
DAY, obviamente que números passados
não são garantia de números futuros,
mas é incrível como a empresa cresceu
nessa última década com bastante
eficiência, se tornando até mesmo
um benchmark do setor +++</t>
  </si>
  <si>
    <t>rintaroufx
NFLX Stock Outlook: Netflix Surges
on UK Subscription Increase. What
Will the End of August Bring? https://t.co/Z5HSPNxQLg
Após uma queda, a NFLX se recupera,
atingindo US$ 438,97 por ação #NetflixStock
#StreamingWars #Açoes https://t.co/lYbkTgS8h4</t>
  </si>
  <si>
    <t>jonathan_baldi_
Ação, criptomoedas, titulos, fundos
imobiliários etc. Qual? Na minha
visão todos, quanto mas verticificar
uma carteira de investimento, mais
seguro de baixas eu estou! #investimento
#ações #Criptomonedas</t>
  </si>
  <si>
    <t>smarttbot
Companhias que divulgaram informações
sobre dividendos e JCP na semana
- Finance News https://t.co/q9NmBZq0G7
#ações #provento #dividendo</t>
  </si>
  <si>
    <t>fabiooliveira18
COMO COMPRAR SUA PRIMEIRA AÇÃO?
#b3 #ações #investimentos https://t.co/3NxadfuKbV
via @YouTube https://t.co/PPPGhXaViw</t>
  </si>
  <si>
    <t>descoletizado
Quanto ganhei alugando minhas ações?
#newblogpost #investimentos #btc
#ações #Bolsadevalores https://t.co/RKMoWrPgTC</t>
  </si>
  <si>
    <t>cavalachepedro
- APORTE DE MAIO | COMPRANDO ATIVOS
| RUMO AO MILAO 5 - Confere Lá:
https://t.co/zcwYHfoxPl . . . #investimento
#ações #fundosimobiliarios via
@YouTube https://t.co/XjEsaAUWDw</t>
  </si>
  <si>
    <t>edu_manthis
Nossa 🫨 #nada #nyse #acoes https://t.co/kC1dJmMb3O</t>
  </si>
  <si>
    <t>joaobppsp2070
A #Rússia de #Putin está usando
o #Brasil para suas #ações de #espionagem
#internacional? https://t.co/a2w4K7tnRv
- #AllandosSantos #povo #caminhoneiros</t>
  </si>
  <si>
    <t>cebolasurf
Análise Ibov semanal e diário pela
metodologia phicube. #ibov #phicube
#ações https://t.co/7qRKTOKaoQ</t>
  </si>
  <si>
    <t>expressopb
A cidade de Duas Estradas, na região
da grande Guarabira, é administrada
pela competente gestora Joyce Renally,
desde 2017 e ao longo de quase
sete anos de governo é possível
constar o desenvolvimento que o
pequeno município vem apresentando.
#ações https://t.co/kZGGgpvtdp
https://t.co/ql3Ry9iYE6</t>
  </si>
  <si>
    <t>sef_multi
Descubra o segredo para interpretar
os gráficos a seu favor com o nosso
ebook. nele você aprenderá as técnicas
e estratégias essenciais para lucrar
no mercado financeiro ou nas #criptomoedas
. #btc #bitcoin #ETH #XRP #Crypto
#ações #mercadofinanceiro --- https://t.co/xW8AXdSLK6
https://t.co/fK9DRvsFRV</t>
  </si>
  <si>
    <t>dicadehoje7
Qual a sua opinião? Muitos investidores
vão vender #PETR4? 👉 SIGA @dicadehoje_7
para mais conteúdos como esse!
#ibovespa #ibov #educacaofinanceira
#bolsadevalores #dividendos #rendapassiva
#acoes #dinheiro #rendaextra https://t.co/Ed0HBmhSrd</t>
  </si>
  <si>
    <t>smartbrain_br
💡As Ações mais investidas de abril.
Baixe o estudo completo. Link:
https://t.co/E7MmEbpduV #ações
#rendavariável #bpac11 #vale3 #bbse3
#verz34 #pssa3 https://t.co/gkzU68NtsP</t>
  </si>
  <si>
    <t>piauinet
O valor de mercado da Petrobras
registrou uma queda de R$ 84,8
bilhões desde a eleição de Luiz
Inácio Lula da Silva para a Presidência
da República, de acordo com um
cálculo divulgado pelo site Poder360
nesta terça-feira (16). #Ações
#Lula #Petrobras https://t.co/L4EI4hpx2d
https://t.co/IKW4tcT5mz</t>
  </si>
  <si>
    <t>indiabrazilcha1
Através do Setor em Foco, exploramos
as tendências, oportunidades e
desafios que moldam os mercados
globais. Fiquem ligados para mais
insights e análises! 💼🌟 Fonte:
CNN 🇮🇳💫🇧🇷 #MercadoFinanceiro
#Ações #Investimentos #Índia</t>
  </si>
  <si>
    <t>trading_jazz
📈💻🤑📉 Será que a AI pode mudar
a tendência de setembro? Descubra
no artigo completo! #inteligênciaartificial
#setembro #ações #investimentos
🔗 https://t.co/ulPwF4jLKT 👈 https://t.co/zOh6LtthIp</t>
  </si>
  <si>
    <t>pauta_economica
Receita lança programa de regularização
de empresas após decisão do STJ
sobre benefícios tributários #economia
#investimentos #negócios #investidor
#ibovespa #ações #mercadofinaceiro
https://t.co/w90pkI5Ja5</t>
  </si>
  <si>
    <t>ativosgarantem
Bom dia, mas nem tão bom para as
Casas Bahia que entrou em leilão
e o Ibovespa não perdoa. Será que
a Magalu vai seguir o caminho?
#CasasBahia #BHIA3 #MGLU3 #ações
#ibovespa Fonte: Suno https://t.co/Zxt95pMzcx</t>
  </si>
  <si>
    <t>alcyrbeltrame
A verdade sobre a inflação no Brasil
#louisebarsi #ações #investimentos
... https://t.co/v6BF6vvGah via
@YouTube</t>
  </si>
  <si>
    <t>articainvest
🛑A live “A virada da maré na bolsa”
está começando! @ivanbarboza_ ,
gestor do Ártica Long Term FIA,
comentará sobre as perspectivas
do #mercado de #ações, alta da
#bolsa e se ainda há boas oportunidades
de #investimento. Acesse o link
do Youtube: https://t.co/I4pTDpyxlv
https://t.co/jV1pruq11A</t>
  </si>
  <si>
    <t xml:space="preserve">ivanbarboza_
</t>
  </si>
  <si>
    <t>lucasholandacl
TOP 10 Ações/BDRs - Setembro/23
1. JPMC 2. B3SA 3. IGTI 4. GOAU
5. GOGL 6. ITUB 7. RADL 8. PCAR
9. MELI 10. YDUQ #ranking #ações
#jpmc34 #b3sa3 #igti11 #goau4</t>
  </si>
  <si>
    <t>hojeinvestir
LOUISE BARSI, DIZ QUE NÃO É MILIONÁRIA
! . . . . . . #louisebarsi #ações
#investing #investment #InvestRightInvestNow
https://t.co/hxGnKaLms1</t>
  </si>
  <si>
    <t>lumluxart
Omid Holdings Inc. ( OMID ) Stock
Defies Short Sellers: A Promising
Sign for Investors? https://t.co/1Rda6pBrjC
via @lumluxart #股票 #acciones #स्टॉक्स
#أسهم #ações #স্টক #акции #株式 #ਸਟਾਕ
#Aktien #saham #股票 #주식 #actions
#azioni #股票</t>
  </si>
  <si>
    <t>celinhomedeiros
Brasil, 3 dias de alta das ações
a 1% , no quarto dia ações caem
7% kkkk … são 6 meses com papéis
valendo muito pouco… dizem ser
oportunidade … mas 6 meses sem
ganhar grana é foda #investimentos
#acoes #bolsa</t>
  </si>
  <si>
    <t>penseexcel
Planilha de Gestão de Investimento
para controlar 4 tipos de investimentos
diferentes. Acesse agora, https://t.co/UDuY06oYIm
Digite "Eu quero" nos comentários.
#Excel #investimentos #planilha
#rendafixa #rendavariavel #ações
#planilhadeações #fundoimobiliario
#tesourodireto https://t.co/pLhq0cwK2B</t>
  </si>
  <si>
    <t>ocesarkato
🚨E-BOOK GRATUITO POR POUCAS HORAS
🚨 📕 O 101 Perguntas e Respostas
é dedicado aos investidores que
estão iniciando a sua jornada na
Bolsa de Valores e ainda não se
sentem 100% seguros. https://t.co/c0raHGcACc
#ebook #evookgratuito #investidor
#INVESTIMENTOS #acoes</t>
  </si>
  <si>
    <t>maniam_podcast
Quebrar o ciclo: Sê o líder que
os teus precisam! . Segue @maniampodcast
para mais conteúdo❗️❗️ . #desenvolvimentopessoal
#autoconhecimento #metas #objetivos
#habitos #autoajuda #determinação
#inspiração #crescimento #sucesso
#ações #mindset #goals #proposito
#maniampodcast https://t.co/1PW278KwXw</t>
  </si>
  <si>
    <t>brunova56701023
🔎 Você considera esses fatores
na hora de escolher um Stock de
qualidade para longo prazo? Me
conta!!! #ações #stocks #investimento
#investimentos #mercadofinanceiro
#mercadodeações #rendaextra #rendapassiva
#juroscompostos #rendimentos #bolsadevalores
#investirnoexterior https://t.co/J45O6naHQY</t>
  </si>
  <si>
    <t>moneyiinvest
https://t.co/jz0fIIO4vI #Ações</t>
  </si>
  <si>
    <t>agorapiauisite
O valor de mercado da Petrobras
registrou uma queda de R$ 84,8
bilhões desde a eleição de Luiz
Inácio Lula da Silva para a Presidência
da República, de acordo com um
cálculo divulgado pelo site Poder360
nesta terça-feira (16). #Ações
#Lula #Petrobras https://t.co/PfyUMpgxn5
https://t.co/nJ14E75fF7</t>
  </si>
  <si>
    <t>bytresloucado
QUAL É O MELHOR INVESTIMENTO PRA
MONTAR UMA CARTEIRA | ONDE INVESTIR
#fundosimobiliarios #ações https://t.co/9M16osljnD</t>
  </si>
  <si>
    <t>ocleydsontrader
#acoes https://t.co/0BGS0v3P3Y</t>
  </si>
  <si>
    <t>ocanaldalili
Ações levam serviços de saúde gratuitos
a diferentes bairros de Limeira
%28SP%29, neste sábado %2819%29
#Limeira #ações #saúde #ocanaldalili
#ocanaldalilitv https://t.co/XtAB25ia5q</t>
  </si>
  <si>
    <t>noticias_b3
https://t.co/5ze8liawLm Você sabia
que a BlackRock, a maior gestora
de ativos do mundo, vendeu ações
más não diminuiu sua participação
na BHIA3, mas sim a "transformou"
em parte em bônus de subscrição?
#viia3 #bhia3 #blackrock #acoes
#ibov</t>
  </si>
  <si>
    <t>seguroambiental
RT @seguroambiental: 🌱 🌍 🏭 📢
Saiba mais sobre as definições
de termos chave do #seguroambiental
sites fixos! Neste post apresentamos
a def…</t>
  </si>
  <si>
    <t>eduardonishio
🔴 Atualização carteira Top Ações
para 2023 | Podcast Genial Analisa
https://t.co/q3AONG4vsX via @YouTube
#carteira #acoes</t>
  </si>
  <si>
    <t>2tmobinvesting
🔴MORNING CALL 15/05/23 A SEMANA
COMEÇA OTIMISTA NAS BOLSAS COM
ALTA NESSA SEGUNDA-FEIRA #2TMOBINVESTING
#MERCADOFINANCEIRO #CRIPTOMOEDAS
#BRASIL #MORNINGCALL #INVESTIMENTOS
#NOTICIAS #BRASIL #CAFE #AGRO #B3BRASIL
#ACOES #CHINA https://t.co/1kcCu8pIVN</t>
  </si>
  <si>
    <t>regbit1
#Ações de montadoras dos EUA no
foco dos investidores após greve
de trabalhadores do setor https://t.co/qTzJ3WKPTj
#InteligênciaFinanceira #SigaIF
via @sigaif</t>
  </si>
  <si>
    <t>blockbr_
Normalmente, os investimentos mais
conservadores, como títulos do
governo, oferecem retornos mais
baixos em comparação com investimentos
de maior risco, como #ações.</t>
  </si>
  <si>
    <t>peupimenta
Estava lendo a última carta da
gestora Squadra e é realmente uma
aula de análise de balanços e resultados.
Todos deveriam ler e entender os
riscos para seus investimentos.
#B3 #investimentos #Squadra #ações</t>
  </si>
  <si>
    <t>rodrigo__correa
O Brasil é pequeno (do ponto de
investimentos). Bora investir fora
do Brasil? @somosnomos #investimentos
#globais #bdr #ações https://t.co/fRTbUYHwJu</t>
  </si>
  <si>
    <t>panflixoficial
#DiretoaoPonto 🎯 Rogério Marinho
(PL) avaliou o papel do STF desde
as eleições até o início do governo
Lula (PT) Segundo no senador: “Eu
já ingressei com pelo menos 6 ações
contra o STF” 📺 Baixe agora. É
grátis: https://t.co/454HXZLVer
#RogérioMarinho #Ações #STF https://t.co/R5zIoNvVTH</t>
  </si>
  <si>
    <t>podcall2023
Descubra o caminho para a consistência
no mundo do trading! Neste episódio
especial do nosso podcast, mergulhamos
fundo e revelamos os 5 erros básicos
que todo trader deve evitar em
sua jornada rumo ao sucesso. https://t.co/HXccTITx4e
#Ibovespa #IBOV #Bitcoin #trading
#ações https://t.co/0hORVGgNaA</t>
  </si>
  <si>
    <t>pabloricksom
#FIIs #ações</t>
  </si>
  <si>
    <t>midregional
🦺 Nesta quarta-feira (12), o ministro
@waldezoficial recebeu mais de
40 prefeitos de cidades do Rio
Grande do Sul para coordenar #ações
conjuntas com os municípios afetados
por desastres, além de reforçar
a #assistência à população afetada.
⤵️ Saiba mais: https://t.co/0jA1wVPmRV</t>
  </si>
  <si>
    <t xml:space="preserve">waldezoficial
</t>
  </si>
  <si>
    <t>descomplicaft
O vídeo sobre 𝐃𝐞𝐦𝐨𝐧𝐬𝐭𝐫𝐚𝐜̧𝐚̃𝐨
𝐝𝐞 𝐄𝐦𝐩𝐫𝐞𝐬𝐚𝐬 já se encontra
disponível🎥 Vídeo disponível em
https://t.co/rqxPeOEygK #Descomplica
#Finanças #FinançasParaTodos #Dinheiro
#YouTube #Investir #Ações #AvaliarUmaEmpresa
#EstruturaSimplesDeUmBalanço https://t.co/pvFSfMfGmA</t>
  </si>
  <si>
    <t>vasconcellos984
A dica de investimento de hoje
pode te render 15 MILHÕES DE DÓLARES
em apenas uma operação e sem precisar
gastar nem 1 centavo. . .Detalhes
na imagem👇 . . Me siga para mais
dicas infalíveis. . . #dinheiro
#ações #investimentos https://t.co/BcQQeyz13S</t>
  </si>
  <si>
    <t>otimistaoficial
🚨De graça!!! Inacreditável ✅Mande
pros seus amigos #investimentos
#ações #dividendos https://t.co/EkEKZJHqOT</t>
  </si>
  <si>
    <t>thomasppessoaa
Como podemos pensar nessa diversificação?
#Ações: Embora as #BlueChips possam
resistir melhor às altas taxas
de juros, não ignore as #SmallCaps,
pois podem ter grande potencial
a longo prazo.</t>
  </si>
  <si>
    <t>_primebrokers
Valor é o que o cliente leva, preço
é o que o cliente deixa. #investimentos
#imovel #imoveis #fii #acoes</t>
  </si>
  <si>
    <t>crisinveste
VAI TER "NEW" FIES? COMPRE ESTA
EDUCACIONAL! NOVA SMALL CAP RECOMENDADA
com + de 100% de potencial #AÇÕES
#EDUCAÇÃO #FIES #SMALLCAPS https://t.co/TxjKgaS7cR</t>
  </si>
  <si>
    <t>erkcvl
Anteontem e ontem, soltaram vários
vídeos com título parecido a esse
a respeito de #mglu3 Me digam,
é esse tipo de vídeo que sai em
topos de mercado e pré crash? Euforia
em topos, pessimismo e depressão
em fundos. Let's go! 🚀 #magalu
#ações #ibovespa #mglu3 https://t.co/ITD8rK1FYR</t>
  </si>
  <si>
    <t>lenoar75
Se no meio da causa paiarem dúvidas
sobre o como prosseguir, volte-se
ao motivo da ação. Porque foi escolhido
aquele rito? Onde chegar com ele?
Por certo direcionará com segurança
as etapas seguintes. Mais ainda
em ações nas quais o rito não é
muito "engessado". #ritos #ações</t>
  </si>
  <si>
    <t>oaltoacre
#TRF1 #acolhe #recurso do #MPF
e #ordena #ações para #melhoria
de #trechos da #BR-317, no #Acre
https://t.co/xedq801YPA</t>
  </si>
  <si>
    <t>diariodegoias
Saúde de Goiás realiza eventos
para incentivar a vacinação no
estado By @diariodegoias #ses #saude
#acoes #eventos #incentivar #vacinacao
#estado https://t.co/MBMnq6KAsu</t>
  </si>
  <si>
    <t>keepgrowing_
Programe sua aposentadoria o mais
rápido possível. #keepgrowingmentoria
#realização #liberdadefinanceira
#aposentadoria #inteligenciafinanceira
#dinheiro #investir #investimentos
#ações #inss #dinheiro #velhice
#educaçãofinanceira #inteligenciafinanceira
https://t.co/of4IUdsHGb</t>
  </si>
  <si>
    <t>cssfinance
Banco Inter reverte prejuízo de
R$ 28,8 milhões do 1T22 e reporta
lucro líquido de R$ 24,2 milhões
no 1T23. O banco afirma que tem
reprecificado de forma contínua
as carteiras de longa duração,
além de ter aumentado a base de
depósitos. #INBR32 #rendavariavel
#acoes #dinheiro</t>
  </si>
  <si>
    <t>financas
Investindo em ações com menos de
R$10 #investimentos #ações #econoweek
https://t.co/v6zhFF0VlA https://t.co/locMCarfAU</t>
  </si>
  <si>
    <t>movo_trade
📈Acompanhar o mercado financeiro
e global é essencial para mitigar
possíveis percas, quando falamos
de investimento. 🌐 Leia: https://t.co/swW9rsNhri
#ações #cripto #resultados #investimentos
#movotrade https://t.co/ZZzJyOB8j0</t>
  </si>
  <si>
    <t>cbcardoso01
A jornada nunca termina, o destino
final se torna as #realizações
ao longo do caminho. É um ciclo
contínuo e com o passar do tempo
o que fica são suas #ações, suas
#ideias, suas #conquistas. Que
se transformam em ideias, talvez
inspirações que outros passam a
seguir.</t>
  </si>
  <si>
    <t>bpmoney_
#Light #Ligt3 #Rj #Ações #Papéis
#1T23 #RecuperaçãoJudicial</t>
  </si>
  <si>
    <t>ppspencersoares
CAPES NEWS: 30/05 a 05/06/2023
#capes #PAEInt #programa #apoio
#ações #estratégicas #pesquisadores
#instituições #ensinosuperior https://t.co/BATjsWbJZl
via @YouTube</t>
  </si>
  <si>
    <t>hamampaulo
@DanielaLima_ Baita call de venda
que você deu pra galera e ninguém
pegou esse trade. Quem vendeu nesse
dia vendeu no topo. 🤣🤣🤣🤣🤣🤣
#daytrade #CNNBrasil #investimento
#acoes #swingtrade #lren3 #cvcb3
#asai3 https://t.co/NOflNcptVn</t>
  </si>
  <si>
    <t xml:space="preserve">danielalima_
</t>
  </si>
  <si>
    <t>cryptonita_ta
$NET Daily chart update #tradingstrategies
#investing #tradingtips #stocks
#StockMarket #OptionsTrading #stockanalysis
#BolsadeValores #MercadoFinanceiro
#AnáliseTécnica #Ações #stocktrading
#daytrading #stockcharts #marketanalysis
#technicalanalysis https://t.co/ctVAOuT4Lj</t>
  </si>
  <si>
    <t>dicionario_news
Itaú Unibanco vendeu 10 milhões
de ações da XP Inc. na segunda-feira,
reduzindo sua participação de cerca
de 10,5% para cerca de 8,6%. A
operação ocorreu por meio de block
trade. #ItauUnibanco #XPInc #blocktrade
#ações</t>
  </si>
  <si>
    <t>capivaranab3
RT @leiamoneytimes: Quer dividendos?
Copel (CPLE6), Itaú (ITUB4) e mais
8 têm ‘data com’ para R$ 2 bilhões
na última semana do mês #ações
#…</t>
  </si>
  <si>
    <t>correiopopular_
Prefeitura inicia ações da Campanha
Maio Laranja https://t.co/GA2MHJWl1W
#jiparana #maiolaranja #acoes #semasf
#combate #denuncia #vulneraveis
https://t.co/DxzzXkbWYT</t>
  </si>
  <si>
    <t>empreendegoias
As recompras de ações atingiram
um novo recorde no Brasil em 2022:
US$ 6,7 bilhões, crescimento de
18,5% em relação a 2021. #ações
#recompra #recorde https://t.co/jYkdTZt1wp</t>
  </si>
  <si>
    <t>agenciacma
🔝 #TOP5: Confira os ativos que
tiveram melhor desempenho em Junho.
Você já investe em algum desses
ativos da lista? Responda nos comentários.
👇 #ações #ibov #mercadofinanceiro
#cma #b3 #bolsadevalores #investimentos
https://t.co/Ew1bTwHjsl</t>
  </si>
  <si>
    <t>alyson_davalle
https://t.co/YUkyBI8B0i E a saga
continua... Agora querem mexer
com nossos investimentos no exterior,
parece que a intenção é não deixar
você se proteger, mas não vamos
nos precipitar! Dolar em queda,
ibovespa subindo, as blusinha tão
liberada. #viverderenda #dividendos
#ações</t>
  </si>
  <si>
    <t>corridasdetouro
Alguns dividendos e JCP anunciados
essa semana... ITSA4 = 0,16 B3sa3
= 0,10 SMTO3 = 0,38 #ações #dividendos
#itsa4 #bolsadevalores https://t.co/AMM6hvgw0T</t>
  </si>
  <si>
    <t>brazilmineral
AÇÕES | Kinross renova programa
de emissão NCIB | Brasil Mineral
#Kinross #ações #ouro https://t.co/a6TxkeN9vV</t>
  </si>
  <si>
    <t>ronaldolundgren
Explore o potencial do mercado
de ações em Palmas e amplie seus
horizontes financeiros. Descubra
oportunidades de investimento que
podem impulsionar seus ganhos.
📈💼 #Investimentos #Ações #Palmas
https://t.co/wOtKL8arT6</t>
  </si>
  <si>
    <t>duduhrosa13
Fica esperto Leia o post #dinheiro
#finanças #investimento #poupar
#renda #economia #economizar #rico
#rica #ações #duduhrosa13 https://t.co/6FmANV65Rx</t>
  </si>
  <si>
    <t>rafael__costa__
Os países do G20 que produzem a
maior parte de sua eletricidade
a partir da energia nuclear. #investimentosbrasileexterior
#investimentobrasil #investimentoexterior
#FII #fundoimobiliario #ações 
#stocks #etf #reit #cripto #btc
#eth #bnb #dot #dinheiro #financas
#nuclear #energy https://t.co/YJJrW1dw25</t>
  </si>
  <si>
    <t>investciente
Saiba se ações são seguras e entenda
a segurança desse tipo de investimento.
Conheça a importância de escolher
uma corretora regularizada e declarar
as suas posições no imposto de
renda. #ações #empresas #investimento
#mercadodecapitais https://t.co/pBAIJYrU3Y</t>
  </si>
  <si>
    <t>smartcryptobr
Posição de compra em KLBN3- Postei
a um tempo atrás no meu canal do
youtube. Ação já paga 12.67% Payoff
já pago de 2 pra 1. #bmf #ações
#daytrade #trading #ibovespa #miniindice
#minidolar #forex #forextrading
#scalping https://t.co/8KCUOu5HWF</t>
  </si>
  <si>
    <t>foletooficial
‘Isso pode aliviar as pessoas da
responsabilidade por suas ações’:
Christopher Nolan cai na real sobre
a maior ameaça representada pela
IA #FilmeseSéries #ações #aliviar
#ameaça #cai https://t.co/GYGP7m8Y3f</t>
  </si>
  <si>
    <t>quebradob
Os investidores no geral estão
com grandes expectativas sobre
a próxima reunião do FED (Banco
Central Americano), que pode dar
um freio na alta dos juros, e dar
um norte a economia americana.
#ibovespa #investimentos #ações
#negócios https://t.co/QJgl68UjtJ</t>
  </si>
  <si>
    <t>caesgatos
Os mais de cinco mil visitantes
do evento puderam ter contato com
os produtos da marca, receber atendimento
personalizado de especialistas
e participar de dinâmicas 🤩 #cãesegatos
#CBA #premierpet #stand #ações
#veterinários #congresso #feiradenegócios
https://t.co/95kUwoCM04</t>
  </si>
  <si>
    <t>rodrigobarboza7
Dia de análise semanal para avaliar
as operações Trade #trade #trading
#mercadofinanceiro #acoes #Indices
#FTMO https://t.co/fPKtKQazxi</t>
  </si>
  <si>
    <t xml:space="preserve">consedbr
</t>
  </si>
  <si>
    <t>allqamarin
#Universidades de #Curitiba #oferecem
#ações #gratuitas #sobre #declaração
de #imposto de #renda https://t.co/QDweVh6T1a</t>
  </si>
  <si>
    <t>estantevirtuall
Já se perguntou como algumas pessoas
conseguem multiplicar seu dinheiro
enquanto outras lutam para pagar
as contas? A resposta é simples:
INVESTIMENTO EM AÇÕES. https://t.co/GvrBh8Xgev
#ações #investimentos #bolsa #dividendos
#renda #wealth #strategy #profit
#risk #return https://t.co/vFtZC4kvLo</t>
  </si>
  <si>
    <t>mtteixeira
Um #dolar do ano de 1800 vale pouco
mais de US$ 0,04 hoje, mas esse
mesmo dólar investido em #ações
valeria US$ 2,3Mi hoje, após 223
anos. Era só saber que a #moeda
e o mercado financeiro seriam absurdamente
manipulados para chegarem nessa
cifra, simples assim! https://t.co/D0GEpOqelm</t>
  </si>
  <si>
    <t>midimashup
Encontrei mais gente explanando
o #golpe da carteira automatizada
de #ações e #FIIs. Fujam dessa
armadilha! @xpinvestimentos https://t.co/mrMexYdkOe
@nathfinancas #investimentos</t>
  </si>
  <si>
    <t xml:space="preserve">nathfinancas
</t>
  </si>
  <si>
    <t xml:space="preserve">xpinvestimentos
</t>
  </si>
  <si>
    <t>vitoartswow
📈 #seahorse #stonks #value #money
#cavalomarinho #ações #bolsadevalores
#dinheiro #AIart #ai #aiartgenerator
#generativeart #InteligenciaArtificial
#ArtificialIntelligence #photo
#Bing #bingimagecreator #aiartcommunity
#AIArtwork https://t.co/LSmcd32tLy</t>
  </si>
  <si>
    <t>romerofinancas
Existem diversas formas de ganhar
dinheiro online, e a escolha depende
dos seus interesses, habilidades
e disposição para trabalhar. #FinançasPessoais
#Investimentos #EducaçãoFinanceira
#TesouroDireto #FundosdeInvestimento
#Ações #RendaFixa #Diversificação
#PlanejamentoFinanceiro https://t.co/bkp5XXHbvw</t>
  </si>
  <si>
    <t>yomelijah
#Jeová #Deus #Jesus #Cristo #Jesus_Cristo
#ensino #madureza #perfeição #bíblia
#justiça #lealtade #modéstia #cristãos
A #Congregação de #Éfeso: #Conheço
as suas #ações, o seu #trabalho_árduo
e a sua #perseverança (#Apocalipse
2:1-7) (Ler em Linkedin) https://t.co/icYzqpB13v</t>
  </si>
  <si>
    <t>knop_op
Estou animado para compartilhar
com vocês um código Python que
criei para analisar o desempenho
de algumas ações do mercado financeiro!
Link para o código no Github: [https://t.co/pLbC7GSxuD]
#Python #MercadoFinanceiro #Ações
#AnáliseDeDados 🚀📈</t>
  </si>
  <si>
    <t>emoneybrasil
Conheça ETFs para momentos de crise
em: https://t.co/69Jn57S1Rm #ações
#bolsasdevalores #proteçãodecarteira</t>
  </si>
  <si>
    <t>ig
Pesquisa foi feita com 800 moradores
de dois complexos no Rio. #PortaliG
#Ações #Policiais https://t.co/ZCXNqUBKMa</t>
  </si>
  <si>
    <t>henleinvest
#investimentos #investimento #bolsadevalores
#bovespa #rendavariavel #ações
#mercadofinanceiro #liberdadefinanceira
#finanças #planejamentofinanceiro
#trader #stocks #dinheiro #henleinvestimentos
#economia #dividendos #ibovespa
#agro #agronegocio #soja #milho
#keplerweber https://t.co/6OtaOVbeb4</t>
  </si>
  <si>
    <t>bbgemportugues
O GIC, fundo soberano de Singapura,
está entre os investidores que
compraram ações da Copel na oferta
pública de R$ 5,2 bilhões que teve
preço fixado nesta terça-feira.
#energia #mercado #ações Por @andradevini3
e Cristiane Lucchesi. https://t.co/9TakxpaZlH</t>
  </si>
  <si>
    <t>investingbrasil
Pesquisa XP com assessores mostra
baixa alocação de clientes em ações
- https://t.co/nq78jua15m</t>
  </si>
  <si>
    <t>farialima_aai
Como será que o time de assessoria
vai se comportar? Vou mostrar aqui
na reunião de alocação... #investimentos
#ações #Ibovespa</t>
  </si>
  <si>
    <t>financeone_br
Ações do First Republic Bank caem
60% em dois dias. O que está acontecendo?
#FirstRepublicBank #acoes https://t.co/13ev0KfAuo</t>
  </si>
  <si>
    <t>esvensena
☝️🧐Exatamente! 🙂🫴Ñ é Culpando
à Deus ou Julgando O Diabo Q Iremos
Evoluir.#Evolução denota a #Consciência
d Nossas #Ações,o #SerHumano só
chegará a Maturidade quando assumir
seus erros e Ñ repetí-los ou jogá-los
P/os outros,o #LivreArbítrio tá
aí,senão,#Robôs seríamos. 😏Hum?
https://t.co/XyXT4UjZ8c</t>
  </si>
  <si>
    <t xml:space="preserve">montagcm
</t>
  </si>
  <si>
    <t xml:space="preserve">fgc_br
</t>
  </si>
  <si>
    <t xml:space="preserve">renetous
</t>
  </si>
  <si>
    <t>pequenosestudos
Motivacional 22 "56 Segundos de
Poder" #atitudes #ações #oração
#perseverança #isso #mudatudo https://t.co/35Spw5bLSt</t>
  </si>
  <si>
    <t>GraphSource░TwitterSearch3▓GraphTerm░#ações OR #aprendervalor▓ImportDescription░The graph represents a network of 580 Twitter users whose recent tweets contained "#ações OR #aprendervalor", or who were replied to, mentioned, retweeted or quoted in those tweets, taken from a data set limited to a maximum of 4.000 tweets, tweeted between 01/01/2023 14:27:08 and 28/09/2023 14:27:08.  The network was obtained from Twitter on Thursday, 28 September 2023 at 17:29 UTC._x000D_
_x000D_
The tweets in the network were tweeted over the 154-day, 5-hour, 43-minute period from Thursday, 27 April 2023 at 10:15 UTC to Thursday, 28 September 2023 at 15:58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above.▓ImportSuggestedTitle░#ações OR #aprendervalor Twitter NodeXL SNA Map and Report for quinta-feira, 28 setembro 2023 at 16:28 UTC▓ImportSuggestedFileNameNoExtension░2023-09-28 16-28-06 NodeXL Twitter Search #ações OR #aprendervalor</t>
  </si>
  <si>
    <t>Directed</t>
  </si>
  <si>
    <t>&lt;?xml version="1.0" encoding="utf-8"?&gt;_x000D_
&lt;configuration&gt;_x000D_
  &lt;configSections&gt;_x000D_
    &lt;sectionGroup name="userSettings" type="System.Configuration.UserSettingsGroup, System, Version=2.0.0.0, Culture=neutral, PublicKeyToken=b77a5c561934e089"&gt;_x000D_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&lt;/sectionGroup&gt;_x000D_
  &lt;/configSections&gt;_x000D_
  &lt;userSettings&gt;_x000D_
    &lt;GraphMetricUserSettings&gt;_x000D_
      &lt;setting name="GraphMetricsToCalculate" serializeAs="String"&gt;_x000D_
        &lt;value&gt;OverallMetrics&lt;/value&gt;_x000D_
      &lt;/setting&gt;_x000D_
    &lt;/GraphMetricUserSettings&gt;_x000D_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&lt;setting name="NewWorkbookGraphDirectedness" serializeAs="String"&gt;_x000D_
        &lt;value&gt;Directed&lt;/value&gt;_x000D_
      &lt;/setting&gt;_x000D_
    &lt;/GeneralUserSettings4&gt;_x000D_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&lt;/userSettings&gt;_x000D_
&lt;/configuration&gt;</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</si>
  <si>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</si>
  <si>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</si>
  <si>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</si>
  <si>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</si>
  <si>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</si>
  <si>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</si>
  <si>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</si>
  <si>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</si>
  <si>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</si>
  <si>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</si>
  <si>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</si>
  <si>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</si>
  <si>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</si>
  <si>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</si>
  <si>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</si>
  <si>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</si>
  <si>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</si>
  <si>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</si>
  <si>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</si>
  <si>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</si>
  <si>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#ações OR #aprendervalor</t>
  </si>
  <si>
    <t>The graph represents a network of 580 Twitter users whose recent tweets contained "#ações OR #aprendervalor", or who were replied to, mentioned, retweeted or quoted in those tweets, taken from a data set limited to a maximum of 4.000 tweets, tweeted between 01/01/2023 14:27:08 and 28/09/2023 14:27:08.  The network was obtained from Twitter on Thursday, 28 September 2023 at 17:29 UTC._x000D_
_x000D_
The tweets in the network were tweeted over the 154-day, 5-hour, 43-minute period from Thursday, 27 April 2023 at 10:15 UTC to Thursday, 28 September 2023 at 15:58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</si>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</sst>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6">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Alignment="1"/>
    <xf numFmtId="0" fontId="0" fillId="0" borderId="0" xfId="0" quotePrefix="1" applyFill="1" applyAlignment="1"/>
    <xf numFmtId="0" fontId="13" fillId="0" borderId="0" xfId="9" applyAlignment="1"/>
    <xf numFmtId="14" fontId="0" fillId="0" borderId="0" xfId="0" applyNumberFormat="1" applyAlignment="1"/>
    <xf numFmtId="14" fontId="0" fillId="0" borderId="0" xfId="0" applyNumberFormat="1" applyFill="1" applyAlignment="1"/>
    <xf numFmtId="11"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B1CC-4FEB-A1F4-829CB57C1AD9}"/>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9F9-406B-A474-3EDBB483491A}"/>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0AB-4989-8207-7027E77BCB2D}"/>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472-40C2-96F4-1A033C54C650}"/>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27C-4792-8827-D73E2DE8836D}"/>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37A-4EC8-8B00-9F00D8626215}"/>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742-4B00-85A6-DB8CC954DBB1}"/>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74F-4EB1-8872-A13D191FE61F}"/>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3A5-4DD1-BADE-DD58EE9C247C}"/>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4052" totalsRowShown="0" headerRowDxfId="184" dataDxfId="125">
  <autoFilter ref="A2:BI4052"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6C4C0BA0-41FE-4FA9-BBC5-79C175D45E5E}" name="Relationship" dataDxfId="97" dataCellStyle="Normal"/>
    <tableColumn id="16" xr3:uid="{60B207C3-9F4E-4A0D-A5B6-570A26269E83}" name="Relationship Date (UTC)" dataDxfId="96" dataCellStyle="Normal"/>
    <tableColumn id="17" xr3:uid="{5214050D-CE21-47B2-9658-06EECF9FBB85}" name="Tweet" dataDxfId="95" dataCellStyle="Normal"/>
    <tableColumn id="18" xr3:uid="{2A569A2A-2F14-4765-AB9B-5603F7A6DF05}" name="Retweet Count" dataDxfId="94" dataCellStyle="Normal"/>
    <tableColumn id="19" xr3:uid="{6DB8D43E-2CEF-4287-AD3A-85891416947B}" name="Favorite Count" dataDxfId="93" dataCellStyle="Normal"/>
    <tableColumn id="20" xr3:uid="{2F680DAC-9BC5-4F6C-AF4C-B2E193824C32}" name="Reply Count" dataDxfId="92" dataCellStyle="Normal"/>
    <tableColumn id="21" xr3:uid="{2508A08C-2437-499E-A3BB-297E80926E55}" name="Quote Count" dataDxfId="91" dataCellStyle="Normal"/>
    <tableColumn id="22" xr3:uid="{96AE265C-1AA2-4B3B-9243-4A1F53C2E758}" name="Impression Count" dataDxfId="90" dataCellStyle="Normal"/>
    <tableColumn id="23" xr3:uid="{6A67045A-F9B4-49BC-87C8-C7B8E9D069BA}" name="Hashtags in Tweet" dataDxfId="89" dataCellStyle="Normal"/>
    <tableColumn id="24" xr3:uid="{961A0271-96D4-4E43-A721-46511A4B2ACB}" name="URLs in Tweet" dataDxfId="88" dataCellStyle="Normal"/>
    <tableColumn id="25" xr3:uid="{CF6C13DA-CA65-4FFC-BD35-BDEBE7BFD416}" name="Domains in Tweet" dataDxfId="87" dataCellStyle="Normal"/>
    <tableColumn id="26" xr3:uid="{4436136D-CB1A-4D4F-B4CA-B374D518A9C3}" name="Mentions in Tweet" dataDxfId="86" dataCellStyle="Normal"/>
    <tableColumn id="27" xr3:uid="{1D6F044B-8BD5-42F2-80D8-FBEAD5942FE5}" name="Media in Tweet" dataDxfId="85" dataCellStyle="Normal"/>
    <tableColumn id="28" xr3:uid="{DBA1E370-DE26-4025-B4F1-AC329FEC1010}" name="Media Type" dataDxfId="84" dataCellStyle="Normal"/>
    <tableColumn id="29" xr3:uid="{D4F56E5D-5799-45CF-8DF1-D8A55F692150}" name="Source" dataDxfId="83" dataCellStyle="Normal"/>
    <tableColumn id="30" xr3:uid="{7EE9C094-5F05-400C-AEE2-467528BEE103}" name="Language" dataDxfId="82" dataCellStyle="Normal"/>
    <tableColumn id="31" xr3:uid="{87E170EE-70E7-40E6-B607-E9665C930F93}" name="Twitter Page for Tweet" dataDxfId="81" dataCellStyle="Normal"/>
    <tableColumn id="32" xr3:uid="{ED51A620-234F-4701-B2A1-A57B05560C4E}" name="Tweet Date (UTC)" dataDxfId="80" dataCellStyle="Normal"/>
    <tableColumn id="33" xr3:uid="{943AB42D-F561-4FB3-AABF-0C97D7E6E60F}" name="Date" dataDxfId="79" dataCellStyle="Normal"/>
    <tableColumn id="34" xr3:uid="{49412BC3-CDFF-40B6-AD80-BCE67CA399DC}" name="Time" dataDxfId="78" dataCellStyle="Normal"/>
    <tableColumn id="35" xr3:uid="{3A8142C0-6C89-43B0-808F-0DD79FACD209}" name="Possibly Sensitive" dataDxfId="77" dataCellStyle="Normal"/>
    <tableColumn id="36" xr3:uid="{3A88A0A9-6FFD-4990-8C86-6BC03E8649E5}" name="Place Bounding Box" dataDxfId="76" dataCellStyle="Normal"/>
    <tableColumn id="37" xr3:uid="{490C63A5-AF92-4CAD-BC30-217251A478EF}" name="Place Country" dataDxfId="75" dataCellStyle="Normal"/>
    <tableColumn id="38" xr3:uid="{7D3375A9-7EBC-48CE-BD6E-A351C461DA76}" name="Place Country Code" dataDxfId="74" dataCellStyle="Normal"/>
    <tableColumn id="39" xr3:uid="{C714D2F0-7BC8-456F-933F-E8B5D4830972}" name="Place Full Name" dataDxfId="73" dataCellStyle="Normal"/>
    <tableColumn id="40" xr3:uid="{8F82FE73-802E-40E9-AF74-989AE2F313F7}" name="Place ID" dataDxfId="72" dataCellStyle="Normal"/>
    <tableColumn id="41" xr3:uid="{1C3100C3-8F73-44AC-B02B-9C113F7FE442}" name="Place Name" dataDxfId="71" dataCellStyle="Normal"/>
    <tableColumn id="42" xr3:uid="{CA00278B-DD08-4E11-96AE-E5B0F9437610}" name="Place Type" dataDxfId="70" dataCellStyle="Normal"/>
    <tableColumn id="43" xr3:uid="{996B2973-82D7-4675-BDF7-F134096C942E}" name="Media Key" dataDxfId="69" dataCellStyle="Normal"/>
    <tableColumn id="44" xr3:uid="{C3BC3AAD-2AAE-4B0D-9B20-07640EF9CBD3}" name="Media Duration (ms)" dataDxfId="68" dataCellStyle="Normal"/>
    <tableColumn id="45" xr3:uid="{551DFA00-3080-42A7-B1B1-713156AED7D8}" name="Media Height" dataDxfId="67" dataCellStyle="Normal"/>
    <tableColumn id="46" xr3:uid="{EFDFAAD3-FD22-4B7E-85FA-6D89EC20C73B}" name="Media Width" dataDxfId="66" dataCellStyle="Normal"/>
    <tableColumn id="47" xr3:uid="{6739586F-6855-4C39-A00D-1AFF0520A7EB}" name="Media View Count" dataDxfId="65" dataCellStyle="Normal"/>
    <tableColumn id="48" xr3:uid="{DA99E3CE-5D99-4D25-9DE9-A4945C1F9CA7}" name="Tweet Image File" dataDxfId="64" dataCellStyle="Normal"/>
    <tableColumn id="49" xr3:uid="{BDC4FFAC-934D-46C2-88EE-4C7703911B8B}" name="Imported ID" dataDxfId="63" dataCellStyle="Normal"/>
    <tableColumn id="50" xr3:uid="{38457B10-E34B-4031-A3BB-B1A9EE8C4B1B}" name="Conversation ID" dataDxfId="62" dataCellStyle="Normal"/>
    <tableColumn id="51" xr3:uid="{05C9AD46-FC39-4E11-9693-AA267D39C59B}" name="In Reply To User ID" dataDxfId="61" dataCellStyle="Normal"/>
    <tableColumn id="52" xr3:uid="{46B19675-FABA-4727-8988-90DC442CD4D8}" name="In Reply To Tweet ID" dataDxfId="60" dataCellStyle="Normal"/>
    <tableColumn id="53" xr3:uid="{349981C2-CF3B-4472-97CA-0BED7CCF964B}" name="Quoted Status ID" dataDxfId="59" dataCellStyle="Normal"/>
    <tableColumn id="54" xr3:uid="{BFF37E0C-0DA5-424C-A9EC-74ABCA97EF0C}" name="Retweet ID" dataDxfId="58" dataCellStyle="Normal"/>
    <tableColumn id="55" xr3:uid="{30AC42A5-DFD0-4E0C-853B-E6AED478B816}" name="Unified Twitter ID" dataDxfId="57" dataCellStyle="Normal"/>
    <tableColumn id="56" xr3:uid="{BFF10D87-0C0F-446D-950D-4CC7FA58F4F3}" name="Author ID" dataDxfId="56" dataCellStyle="Normal"/>
    <tableColumn id="57" xr3:uid="{584200F3-A36F-460C-A04C-40A98917BEB7}" name="Poll ID" dataDxfId="55" dataCellStyle="Normal"/>
    <tableColumn id="58" xr3:uid="{457C671F-1648-4F66-B12C-16DC42098285}" name="Poll Options" dataDxfId="54" dataCellStyle="Normal"/>
    <tableColumn id="59" xr3:uid="{8FAD6B43-6F87-4851-BF3E-0DEE0C7EE02B}" name="Poll Duration" dataDxfId="53" dataCellStyle="Normal"/>
    <tableColumn id="60" xr3:uid="{77A66611-0632-431F-85DA-B91FC44A5526}" name="Poll End Date" dataDxfId="52" dataCellStyle="Normal"/>
    <tableColumn id="61" xr3:uid="{2AA0B9A3-B820-4434-ABA2-CAD54826F0BA}"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582" totalsRowShown="0" headerRowDxfId="183" dataDxfId="102">
  <autoFilter ref="A2:BO582"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A3506702-B1A9-43AD-8C45-018467E50F29}" name="Name" dataDxfId="49" dataCellStyle="Normal"/>
    <tableColumn id="31" xr3:uid="{962D134E-57E3-4F7E-92C1-5A74B59F4A50}" name="User ID" dataDxfId="48" dataCellStyle="Normal"/>
    <tableColumn id="32" xr3:uid="{6B8D5E64-E82E-440E-B4BF-B2171CC7AC30}" name="Followers" dataDxfId="47" dataCellStyle="Normal"/>
    <tableColumn id="33" xr3:uid="{F2FEF6D9-BC52-4FF8-9EED-FC4C52816F24}" name="Followed" dataDxfId="46" dataCellStyle="Normal"/>
    <tableColumn id="34" xr3:uid="{51317425-F9A1-441B-8EBA-6A7BFE6F3AC8}" name="Tweets" dataDxfId="45" dataCellStyle="Normal"/>
    <tableColumn id="35" xr3:uid="{2B57C9AC-0E37-4BD9-8564-84B5A5DD3FD9}" name="Listed Count" dataDxfId="44" dataCellStyle="Normal"/>
    <tableColumn id="36" xr3:uid="{A1694D40-76B5-49DF-9528-C4E687A3A011}" name="Favourites Count" dataDxfId="43" dataCellStyle="Normal"/>
    <tableColumn id="37" xr3:uid="{7B258668-8040-4021-AF38-A8B23D2EC972}" name="Media Count" dataDxfId="42" dataCellStyle="Normal"/>
    <tableColumn id="38" xr3:uid="{3F7919F2-0061-4EA4-8874-C9418E75F9B6}" name="Verified" dataDxfId="41" dataCellStyle="Normal"/>
    <tableColumn id="39" xr3:uid="{F0949E7C-239A-45CF-871F-6E1BFC714772}" name="Joined Twitter Date (UTC)" dataDxfId="40" dataCellStyle="Normal"/>
    <tableColumn id="40" xr3:uid="{70625601-E9FC-436C-BBDA-BE38314F8F84}" name="Location" dataDxfId="39" dataCellStyle="Normal"/>
    <tableColumn id="41" xr3:uid="{3218C8F7-CC85-4576-A403-2895D4226BA9}" name="Description" dataDxfId="38" dataCellStyle="Normal"/>
    <tableColumn id="42" xr3:uid="{30FBA4FA-8059-4822-B1C9-37AE93086213}" name="URLs (Details)" dataDxfId="37" dataCellStyle="Normal"/>
    <tableColumn id="43" xr3:uid="{EEDC45EE-03B7-4FE7-AA6D-0E9A794F20CD}" name="Expanded URLs (Details)" dataDxfId="36" dataCellStyle="Normal"/>
    <tableColumn id="44" xr3:uid="{A8DFFF7E-0CEC-4844-BCBB-DC88A149255F}" name="Display URLs (Details)" dataDxfId="35" dataCellStyle="Normal"/>
    <tableColumn id="45" xr3:uid="{B02FA690-FFA1-4F56-AEB7-57914394E16B}" name="Description URLs (Details)" dataDxfId="34" dataCellStyle="Normal"/>
    <tableColumn id="46" xr3:uid="{5F6ABD42-4108-4C5C-9C84-F31708B863AF}" name="Description Expanded URLs (Details)" dataDxfId="33" dataCellStyle="Normal"/>
    <tableColumn id="47" xr3:uid="{D82D05B0-FE26-4C9E-9E02-E0A9BE43B072}" name="Description Display URLS (Details)" dataDxfId="32" dataCellStyle="Normal"/>
    <tableColumn id="48" xr3:uid="{F66BEEDC-8F5D-4E40-BCB6-789180D53585}" name="Pinned Tweet ID" dataDxfId="31" dataCellStyle="Normal"/>
    <tableColumn id="49" xr3:uid="{6E4C7BE8-3302-4969-A612-FF730F72FAB6}" name="URL" dataDxfId="30" dataCellStyle="Normal"/>
    <tableColumn id="50" xr3:uid="{F5820D73-4902-4725-B07B-45FE6C32B6F8}" name="Is Blue Verified" dataDxfId="29" dataCellStyle="Normal"/>
    <tableColumn id="51" xr3:uid="{46554522-057A-4D34-BC5B-4E8960549AC5}" name="You Are Followed By" dataDxfId="28" dataCellStyle="Normal"/>
    <tableColumn id="52" xr3:uid="{87789970-EFD7-4210-9EC4-71B6E217B484}" name="You Are Following" dataDxfId="27" dataCellStyle="Normal"/>
    <tableColumn id="53" xr3:uid="{AEE54BAB-4B1B-4DCF-9108-4A848488670E}" name="Can DM" dataDxfId="26" dataCellStyle="Normal"/>
    <tableColumn id="54" xr3:uid="{F58F83B1-3319-4D11-B4E2-9EFB4894BA1E}" name="Can Media Tag" dataDxfId="25" dataCellStyle="Normal"/>
    <tableColumn id="55" xr3:uid="{E0D31BF3-A570-4180-9F0D-F4E2A5B22E06}" name="Default Profile" dataDxfId="24" dataCellStyle="Normal"/>
    <tableColumn id="56" xr3:uid="{148F1B1B-9659-4C28-B997-F8EC17712397}" name="Default Profile Image" dataDxfId="23" dataCellStyle="Normal"/>
    <tableColumn id="57" xr3:uid="{6124F671-229C-4A87-90CC-5C09CE01CE0E}" name="Has Custom Timelines" dataDxfId="22" dataCellStyle="Normal"/>
    <tableColumn id="58" xr3:uid="{9129615B-B7E5-4025-BBCF-D4C86AF110C4}" name="Is Translator" dataDxfId="21" dataCellStyle="Normal"/>
    <tableColumn id="59" xr3:uid="{4D544E8C-5A9F-4743-B958-16F35701BE0F}" name="Possibly Sensitive" dataDxfId="20" dataCellStyle="Normal"/>
    <tableColumn id="60" xr3:uid="{4B5522F6-D7BF-4D53-89F4-67147B86EB47}" name="Profile Banner URL" dataDxfId="19" dataCellStyle="Normal"/>
    <tableColumn id="61" xr3:uid="{CE23D0EA-5369-40EF-AD3C-CBB6B8D49345}" name="Profile Interstitial Type" dataDxfId="18" dataCellStyle="Normal"/>
    <tableColumn id="62" xr3:uid="{D0F176C8-FF88-4127-AE3E-AFCF411A2455}" name="Translator Type" dataDxfId="17" dataCellStyle="Normal"/>
    <tableColumn id="63" xr3:uid="{97065227-1B04-4401-A0A1-E091DF289C8B}" name="Want Retweets" dataDxfId="16" dataCellStyle="Normal"/>
    <tableColumn id="64" xr3:uid="{DA892348-6A84-422A-949F-F8E319C148E7}" name="Withheld" dataDxfId="15" dataCellStyle="Normal"/>
    <tableColumn id="65" xr3:uid="{3CA626C8-BF31-4FC5-9572-167413CCB8BB}" name="Tweeted Search Term?" dataDxfId="11" dataCellStyle="Normal"/>
    <tableColumn id="66" xr3:uid="{0C920DA6-5A82-4143-8543-FB9ACAD8CD2A}" name="Custom Menu Item Text" dataDxfId="10" dataCellStyle="Normal"/>
    <tableColumn id="67" xr3:uid="{0180E3C3-C60B-4831-985F-7DAA0A539F17}"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69EF197-232A-4E81-BC82-753C0D48CC81}" name="ExportOptions" displayName="ExportOptions" ref="A1:B7" totalsRowShown="0" headerRowDxfId="3" dataDxfId="2" dataCellStyle="Normal">
  <autoFilter ref="A1:B7" xr:uid="{069EF197-232A-4E81-BC82-753C0D48CC81}"/>
  <tableColumns count="2">
    <tableColumn id="1" xr3:uid="{A69B6616-1677-42E2-917D-A16D986D088B}" name="Key" dataDxfId="1" dataCellStyle="Normal"/>
    <tableColumn id="2" xr3:uid="{4E1D0191-F2B6-4914-B03B-E1A7200476ED}"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orcinews.com/pt-br/acoes-da-secretaria-de-agricultura-e-abastecimento-de-sp-contribuem-para-uma-cadeia-suinicola-tecnificada-e-economicamente-forte/?utm_source=RRSS&amp;utm_medium=Twitter&amp;utm_campaign=A%C3%A7%C3%B5es+da+Secretaria+de+Agricultura+e+Abastecimento+de+SP+contribuem+para+uma+cadeia+suin%C3%ADcola+tecnificada+e+economicamente+forte" TargetMode="External"/><Relationship Id="rId1" Type="http://schemas.openxmlformats.org/officeDocument/2006/relationships/hyperlink" Target="https://maissuperior.com/2023/07/11/politecnicos-portugueses-em-missao-ccisp-a-macau-para-intensificar-cooperacao-no-ensino-superior-investigacao-e-ciencia/?feed_id=2774&amp;_unique_id=64ad1d788b915&amp;fbclid=IwAR2E10gUWZ3GhqsFAcnTwpY_5BkwUty-FISdNkLrNKic67wR-qrW-pEpAIY" TargetMode="External"/><Relationship Id="rId6" Type="http://schemas.openxmlformats.org/officeDocument/2006/relationships/comments" Target="../comments1.xml"/><Relationship Id="rId5" Type="http://schemas.openxmlformats.org/officeDocument/2006/relationships/table" Target="../tables/table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4052"/>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730</v>
      </c>
      <c r="B3" s="62" t="s">
        <v>730</v>
      </c>
      <c r="C3" s="63"/>
      <c r="D3" s="64"/>
      <c r="E3" s="65"/>
      <c r="F3" s="66"/>
      <c r="G3" s="63"/>
      <c r="H3" s="67"/>
      <c r="I3" s="68"/>
      <c r="J3" s="68"/>
      <c r="K3" s="32"/>
      <c r="L3" s="69">
        <v>3</v>
      </c>
      <c r="M3" s="69"/>
      <c r="N3" s="70"/>
      <c r="O3" s="76" t="s">
        <v>179</v>
      </c>
      <c r="P3" s="78">
        <v>45090.92396990741</v>
      </c>
      <c r="Q3" s="76" t="s">
        <v>4822</v>
      </c>
      <c r="R3" s="76">
        <v>0</v>
      </c>
      <c r="S3" s="76">
        <v>0</v>
      </c>
      <c r="T3" s="76">
        <v>0</v>
      </c>
      <c r="U3" s="76">
        <v>0</v>
      </c>
      <c r="V3" s="76">
        <v>5</v>
      </c>
      <c r="W3" s="81" t="s">
        <v>6999</v>
      </c>
      <c r="X3" s="76"/>
      <c r="Y3" s="76"/>
      <c r="Z3" s="76"/>
      <c r="AA3" s="76" t="s">
        <v>8224</v>
      </c>
      <c r="AB3" s="76" t="s">
        <v>8227</v>
      </c>
      <c r="AC3" s="81" t="s">
        <v>8234</v>
      </c>
      <c r="AD3" s="76" t="s">
        <v>8278</v>
      </c>
      <c r="AE3" s="83" t="str">
        <f>HYPERLINK("https://twitter.com/pequenosestudos/status/1668742674235400194")</f>
        <v>https://twitter.com/pequenosestudos/status/1668742674235400194</v>
      </c>
      <c r="AF3" s="78">
        <v>45090.92396990741</v>
      </c>
      <c r="AG3" s="84">
        <v>45090</v>
      </c>
      <c r="AH3" s="81" t="s">
        <v>11992</v>
      </c>
      <c r="AI3" s="76" t="b">
        <v>0</v>
      </c>
      <c r="AJ3" s="76"/>
      <c r="AK3" s="76"/>
      <c r="AL3" s="76"/>
      <c r="AM3" s="76"/>
      <c r="AN3" s="76"/>
      <c r="AO3" s="76"/>
      <c r="AP3" s="76"/>
      <c r="AQ3" s="76" t="s">
        <v>13109</v>
      </c>
      <c r="AR3" s="76">
        <v>56599</v>
      </c>
      <c r="AS3" s="76"/>
      <c r="AT3" s="76"/>
      <c r="AU3" s="76"/>
      <c r="AV3" s="83" t="str">
        <f>HYPERLINK("https://pbs.twimg.com/ext_tw_video_thumb/1668742565678530562/pu/img/i23qolhoLrWO4nb4.jpg")</f>
        <v>https://pbs.twimg.com/ext_tw_video_thumb/1668742565678530562/pu/img/i23qolhoLrWO4nb4.jpg</v>
      </c>
      <c r="AW3" s="81" t="s">
        <v>17134</v>
      </c>
      <c r="AX3" s="81" t="s">
        <v>17134</v>
      </c>
      <c r="AY3" s="76"/>
      <c r="AZ3" s="81" t="s">
        <v>17385</v>
      </c>
      <c r="BA3" s="81" t="s">
        <v>17385</v>
      </c>
      <c r="BB3" s="81" t="s">
        <v>17385</v>
      </c>
      <c r="BC3" s="81" t="s">
        <v>17134</v>
      </c>
      <c r="BD3" s="81" t="s">
        <v>17715</v>
      </c>
      <c r="BE3" s="76"/>
      <c r="BF3" s="76"/>
      <c r="BG3" s="76"/>
      <c r="BH3" s="76"/>
      <c r="BI3" s="76"/>
    </row>
    <row r="4" spans="1:61" ht="15" customHeight="1" x14ac:dyDescent="0.25">
      <c r="A4" s="62" t="s">
        <v>224</v>
      </c>
      <c r="B4" s="62" t="s">
        <v>224</v>
      </c>
      <c r="C4" s="63"/>
      <c r="D4" s="64"/>
      <c r="E4" s="65"/>
      <c r="F4" s="66"/>
      <c r="G4" s="63"/>
      <c r="H4" s="67"/>
      <c r="I4" s="68"/>
      <c r="J4" s="68"/>
      <c r="K4" s="32"/>
      <c r="L4" s="75">
        <v>4</v>
      </c>
      <c r="M4" s="75"/>
      <c r="N4" s="70"/>
      <c r="O4" s="77" t="s">
        <v>179</v>
      </c>
      <c r="P4" s="79">
        <v>45075.004976851851</v>
      </c>
      <c r="Q4" s="77" t="s">
        <v>806</v>
      </c>
      <c r="R4" s="77">
        <v>0</v>
      </c>
      <c r="S4" s="77">
        <v>0</v>
      </c>
      <c r="T4" s="77">
        <v>0</v>
      </c>
      <c r="U4" s="77">
        <v>0</v>
      </c>
      <c r="V4" s="77">
        <v>100</v>
      </c>
      <c r="W4" s="82" t="s">
        <v>4823</v>
      </c>
      <c r="X4" s="80" t="str">
        <f>HYPERLINK("https://financenews.com.br/2023/05/eventos-que-podem-impactar-a-bolsa-nesta-semana-53/")</f>
        <v>https://financenews.com.br/2023/05/eventos-que-podem-impactar-a-bolsa-nesta-semana-53/</v>
      </c>
      <c r="Y4" s="77" t="s">
        <v>7053</v>
      </c>
      <c r="Z4" s="77"/>
      <c r="AA4" s="77"/>
      <c r="AB4" s="77"/>
      <c r="AC4" s="82" t="s">
        <v>8232</v>
      </c>
      <c r="AD4" s="77" t="s">
        <v>8278</v>
      </c>
      <c r="AE4" s="80" t="str">
        <f>HYPERLINK("https://twitter.com/leiafinancenews/status/1662973820901179394")</f>
        <v>https://twitter.com/leiafinancenews/status/1662973820901179394</v>
      </c>
      <c r="AF4" s="79">
        <v>45075.004976851851</v>
      </c>
      <c r="AG4" s="85">
        <v>45075</v>
      </c>
      <c r="AH4" s="82" t="s">
        <v>8290</v>
      </c>
      <c r="AI4" s="77" t="b">
        <v>0</v>
      </c>
      <c r="AJ4" s="77"/>
      <c r="AK4" s="77"/>
      <c r="AL4" s="77"/>
      <c r="AM4" s="77"/>
      <c r="AN4" s="77"/>
      <c r="AO4" s="77"/>
      <c r="AP4" s="77"/>
      <c r="AQ4" s="77"/>
      <c r="AR4" s="77"/>
      <c r="AS4" s="77"/>
      <c r="AT4" s="77"/>
      <c r="AU4" s="77"/>
      <c r="AV4" s="80" t="str">
        <f>HYPERLINK("https://pbs.twimg.com/profile_images/950426805168758786/a1N8DXvv_normal.jpg")</f>
        <v>https://pbs.twimg.com/profile_images/950426805168758786/a1N8DXvv_normal.jpg</v>
      </c>
      <c r="AW4" s="82" t="s">
        <v>13110</v>
      </c>
      <c r="AX4" s="82" t="s">
        <v>13110</v>
      </c>
      <c r="AY4" s="77"/>
      <c r="AZ4" s="82" t="s">
        <v>17385</v>
      </c>
      <c r="BA4" s="82" t="s">
        <v>17385</v>
      </c>
      <c r="BB4" s="82" t="s">
        <v>17385</v>
      </c>
      <c r="BC4" s="82" t="s">
        <v>13110</v>
      </c>
      <c r="BD4" s="82" t="s">
        <v>17439</v>
      </c>
      <c r="BE4" s="77"/>
      <c r="BF4" s="77"/>
      <c r="BG4" s="77"/>
      <c r="BH4" s="77"/>
      <c r="BI4" s="77"/>
    </row>
    <row r="5" spans="1:61" x14ac:dyDescent="0.25">
      <c r="A5" s="62" t="s">
        <v>224</v>
      </c>
      <c r="B5" s="62" t="s">
        <v>224</v>
      </c>
      <c r="C5" s="63"/>
      <c r="D5" s="64"/>
      <c r="E5" s="65"/>
      <c r="F5" s="66"/>
      <c r="G5" s="63"/>
      <c r="H5" s="67"/>
      <c r="I5" s="68"/>
      <c r="J5" s="68"/>
      <c r="K5" s="32"/>
      <c r="L5" s="75">
        <v>5</v>
      </c>
      <c r="M5" s="75"/>
      <c r="N5" s="70"/>
      <c r="O5" s="77" t="s">
        <v>179</v>
      </c>
      <c r="P5" s="79">
        <v>45059.626666666663</v>
      </c>
      <c r="Q5" s="77" t="s">
        <v>807</v>
      </c>
      <c r="R5" s="77">
        <v>0</v>
      </c>
      <c r="S5" s="77">
        <v>2</v>
      </c>
      <c r="T5" s="77">
        <v>0</v>
      </c>
      <c r="U5" s="77">
        <v>0</v>
      </c>
      <c r="V5" s="77">
        <v>260</v>
      </c>
      <c r="W5" s="82" t="s">
        <v>4824</v>
      </c>
      <c r="X5" s="80" t="str">
        <f>HYPERLINK("https://financenews.com.br/2023/05/companhias-que-divulgaram-informacoes-sobre-dividendos-e-jcp-na-semana-68/")</f>
        <v>https://financenews.com.br/2023/05/companhias-que-divulgaram-informacoes-sobre-dividendos-e-jcp-na-semana-68/</v>
      </c>
      <c r="Y5" s="77" t="s">
        <v>7053</v>
      </c>
      <c r="Z5" s="77"/>
      <c r="AA5" s="77"/>
      <c r="AB5" s="77"/>
      <c r="AC5" s="82" t="s">
        <v>8232</v>
      </c>
      <c r="AD5" s="77" t="s">
        <v>8278</v>
      </c>
      <c r="AE5" s="80" t="str">
        <f>HYPERLINK("https://twitter.com/leiafinancenews/status/1657400909154926593")</f>
        <v>https://twitter.com/leiafinancenews/status/1657400909154926593</v>
      </c>
      <c r="AF5" s="79">
        <v>45059.626666666663</v>
      </c>
      <c r="AG5" s="85">
        <v>45059</v>
      </c>
      <c r="AH5" s="82" t="s">
        <v>8291</v>
      </c>
      <c r="AI5" s="77" t="b">
        <v>0</v>
      </c>
      <c r="AJ5" s="77"/>
      <c r="AK5" s="77"/>
      <c r="AL5" s="77"/>
      <c r="AM5" s="77"/>
      <c r="AN5" s="77"/>
      <c r="AO5" s="77"/>
      <c r="AP5" s="77"/>
      <c r="AQ5" s="77"/>
      <c r="AR5" s="77"/>
      <c r="AS5" s="77"/>
      <c r="AT5" s="77"/>
      <c r="AU5" s="77"/>
      <c r="AV5" s="80" t="str">
        <f>HYPERLINK("https://pbs.twimg.com/profile_images/950426805168758786/a1N8DXvv_normal.jpg")</f>
        <v>https://pbs.twimg.com/profile_images/950426805168758786/a1N8DXvv_normal.jpg</v>
      </c>
      <c r="AW5" s="82" t="s">
        <v>13111</v>
      </c>
      <c r="AX5" s="82" t="s">
        <v>13111</v>
      </c>
      <c r="AY5" s="77"/>
      <c r="AZ5" s="82" t="s">
        <v>17385</v>
      </c>
      <c r="BA5" s="82" t="s">
        <v>17385</v>
      </c>
      <c r="BB5" s="82" t="s">
        <v>17385</v>
      </c>
      <c r="BC5" s="82" t="s">
        <v>13111</v>
      </c>
      <c r="BD5" s="82" t="s">
        <v>17439</v>
      </c>
      <c r="BE5" s="77"/>
      <c r="BF5" s="77"/>
      <c r="BG5" s="77"/>
      <c r="BH5" s="77"/>
      <c r="BI5" s="77"/>
    </row>
    <row r="6" spans="1:61" x14ac:dyDescent="0.25">
      <c r="A6" s="62" t="s">
        <v>224</v>
      </c>
      <c r="B6" s="62" t="s">
        <v>224</v>
      </c>
      <c r="C6" s="63"/>
      <c r="D6" s="64"/>
      <c r="E6" s="65"/>
      <c r="F6" s="66"/>
      <c r="G6" s="63"/>
      <c r="H6" s="67"/>
      <c r="I6" s="68"/>
      <c r="J6" s="68"/>
      <c r="K6" s="32"/>
      <c r="L6" s="75">
        <v>6</v>
      </c>
      <c r="M6" s="75"/>
      <c r="N6" s="70"/>
      <c r="O6" s="77" t="s">
        <v>179</v>
      </c>
      <c r="P6" s="79">
        <v>45108.572268518517</v>
      </c>
      <c r="Q6" s="77" t="s">
        <v>808</v>
      </c>
      <c r="R6" s="77">
        <v>0</v>
      </c>
      <c r="S6" s="77">
        <v>0</v>
      </c>
      <c r="T6" s="77">
        <v>0</v>
      </c>
      <c r="U6" s="77">
        <v>0</v>
      </c>
      <c r="V6" s="77">
        <v>52</v>
      </c>
      <c r="W6" s="82" t="s">
        <v>4825</v>
      </c>
      <c r="X6" s="80" t="str">
        <f>HYPERLINK("https://financenews.com.br/2023/07/companhias-que-divulgaram-informacoes-sobre-dividendos-e-jcp-na-semana-75/")</f>
        <v>https://financenews.com.br/2023/07/companhias-que-divulgaram-informacoes-sobre-dividendos-e-jcp-na-semana-75/</v>
      </c>
      <c r="Y6" s="77" t="s">
        <v>7053</v>
      </c>
      <c r="Z6" s="77"/>
      <c r="AA6" s="77"/>
      <c r="AB6" s="77"/>
      <c r="AC6" s="82" t="s">
        <v>8232</v>
      </c>
      <c r="AD6" s="77" t="s">
        <v>8278</v>
      </c>
      <c r="AE6" s="80" t="str">
        <f>HYPERLINK("https://twitter.com/leiafinancenews/status/1675138202859114497")</f>
        <v>https://twitter.com/leiafinancenews/status/1675138202859114497</v>
      </c>
      <c r="AF6" s="79">
        <v>45108.572268518517</v>
      </c>
      <c r="AG6" s="85">
        <v>45108</v>
      </c>
      <c r="AH6" s="82" t="s">
        <v>8292</v>
      </c>
      <c r="AI6" s="77" t="b">
        <v>0</v>
      </c>
      <c r="AJ6" s="77"/>
      <c r="AK6" s="77"/>
      <c r="AL6" s="77"/>
      <c r="AM6" s="77"/>
      <c r="AN6" s="77"/>
      <c r="AO6" s="77"/>
      <c r="AP6" s="77"/>
      <c r="AQ6" s="77"/>
      <c r="AR6" s="77"/>
      <c r="AS6" s="77"/>
      <c r="AT6" s="77"/>
      <c r="AU6" s="77"/>
      <c r="AV6" s="80" t="str">
        <f>HYPERLINK("https://pbs.twimg.com/profile_images/950426805168758786/a1N8DXvv_normal.jpg")</f>
        <v>https://pbs.twimg.com/profile_images/950426805168758786/a1N8DXvv_normal.jpg</v>
      </c>
      <c r="AW6" s="82" t="s">
        <v>13112</v>
      </c>
      <c r="AX6" s="82" t="s">
        <v>13112</v>
      </c>
      <c r="AY6" s="77"/>
      <c r="AZ6" s="82" t="s">
        <v>17385</v>
      </c>
      <c r="BA6" s="82" t="s">
        <v>17385</v>
      </c>
      <c r="BB6" s="82" t="s">
        <v>17385</v>
      </c>
      <c r="BC6" s="82" t="s">
        <v>13112</v>
      </c>
      <c r="BD6" s="82" t="s">
        <v>17439</v>
      </c>
      <c r="BE6" s="77"/>
      <c r="BF6" s="77"/>
      <c r="BG6" s="77"/>
      <c r="BH6" s="77"/>
      <c r="BI6" s="77"/>
    </row>
    <row r="7" spans="1:61" x14ac:dyDescent="0.25">
      <c r="A7" s="62" t="s">
        <v>224</v>
      </c>
      <c r="B7" s="62" t="s">
        <v>224</v>
      </c>
      <c r="C7" s="63"/>
      <c r="D7" s="64"/>
      <c r="E7" s="65"/>
      <c r="F7" s="66"/>
      <c r="G7" s="63"/>
      <c r="H7" s="67"/>
      <c r="I7" s="68"/>
      <c r="J7" s="68"/>
      <c r="K7" s="32"/>
      <c r="L7" s="75">
        <v>7</v>
      </c>
      <c r="M7" s="75"/>
      <c r="N7" s="70"/>
      <c r="O7" s="77" t="s">
        <v>179</v>
      </c>
      <c r="P7" s="79">
        <v>45129.589282407411</v>
      </c>
      <c r="Q7" s="77" t="s">
        <v>809</v>
      </c>
      <c r="R7" s="77">
        <v>0</v>
      </c>
      <c r="S7" s="77">
        <v>0</v>
      </c>
      <c r="T7" s="77">
        <v>0</v>
      </c>
      <c r="U7" s="77">
        <v>0</v>
      </c>
      <c r="V7" s="77">
        <v>59</v>
      </c>
      <c r="W7" s="82" t="s">
        <v>4826</v>
      </c>
      <c r="X7" s="80" t="str">
        <f>HYPERLINK("https://financenews.com.br/2023/07/companhias-que-divulgaram-informacoes-sobre-dividendos-e-jcp-na-semana-77/")</f>
        <v>https://financenews.com.br/2023/07/companhias-que-divulgaram-informacoes-sobre-dividendos-e-jcp-na-semana-77/</v>
      </c>
      <c r="Y7" s="77" t="s">
        <v>7053</v>
      </c>
      <c r="Z7" s="77"/>
      <c r="AA7" s="77"/>
      <c r="AB7" s="77"/>
      <c r="AC7" s="82" t="s">
        <v>8232</v>
      </c>
      <c r="AD7" s="77" t="s">
        <v>8278</v>
      </c>
      <c r="AE7" s="80" t="str">
        <f>HYPERLINK("https://twitter.com/leiafinancenews/status/1682754514321829890")</f>
        <v>https://twitter.com/leiafinancenews/status/1682754514321829890</v>
      </c>
      <c r="AF7" s="79">
        <v>45129.589282407411</v>
      </c>
      <c r="AG7" s="85">
        <v>45129</v>
      </c>
      <c r="AH7" s="82" t="s">
        <v>8293</v>
      </c>
      <c r="AI7" s="77" t="b">
        <v>0</v>
      </c>
      <c r="AJ7" s="77"/>
      <c r="AK7" s="77"/>
      <c r="AL7" s="77"/>
      <c r="AM7" s="77"/>
      <c r="AN7" s="77"/>
      <c r="AO7" s="77"/>
      <c r="AP7" s="77"/>
      <c r="AQ7" s="77"/>
      <c r="AR7" s="77"/>
      <c r="AS7" s="77"/>
      <c r="AT7" s="77"/>
      <c r="AU7" s="77"/>
      <c r="AV7" s="80" t="str">
        <f>HYPERLINK("https://pbs.twimg.com/profile_images/950426805168758786/a1N8DXvv_normal.jpg")</f>
        <v>https://pbs.twimg.com/profile_images/950426805168758786/a1N8DXvv_normal.jpg</v>
      </c>
      <c r="AW7" s="82" t="s">
        <v>13113</v>
      </c>
      <c r="AX7" s="82" t="s">
        <v>13113</v>
      </c>
      <c r="AY7" s="77"/>
      <c r="AZ7" s="82" t="s">
        <v>17385</v>
      </c>
      <c r="BA7" s="82" t="s">
        <v>17385</v>
      </c>
      <c r="BB7" s="82" t="s">
        <v>17385</v>
      </c>
      <c r="BC7" s="82" t="s">
        <v>13113</v>
      </c>
      <c r="BD7" s="82" t="s">
        <v>17439</v>
      </c>
      <c r="BE7" s="77"/>
      <c r="BF7" s="77"/>
      <c r="BG7" s="77"/>
      <c r="BH7" s="77"/>
      <c r="BI7" s="77"/>
    </row>
    <row r="8" spans="1:61" x14ac:dyDescent="0.25">
      <c r="A8" s="62" t="s">
        <v>224</v>
      </c>
      <c r="B8" s="62" t="s">
        <v>224</v>
      </c>
      <c r="C8" s="63"/>
      <c r="D8" s="64"/>
      <c r="E8" s="65"/>
      <c r="F8" s="66"/>
      <c r="G8" s="63"/>
      <c r="H8" s="67"/>
      <c r="I8" s="68"/>
      <c r="J8" s="68"/>
      <c r="K8" s="32"/>
      <c r="L8" s="75">
        <v>8</v>
      </c>
      <c r="M8" s="75"/>
      <c r="N8" s="70"/>
      <c r="O8" s="77" t="s">
        <v>179</v>
      </c>
      <c r="P8" s="79">
        <v>45101.586956018517</v>
      </c>
      <c r="Q8" s="77" t="s">
        <v>810</v>
      </c>
      <c r="R8" s="77">
        <v>0</v>
      </c>
      <c r="S8" s="77">
        <v>0</v>
      </c>
      <c r="T8" s="77">
        <v>0</v>
      </c>
      <c r="U8" s="77">
        <v>0</v>
      </c>
      <c r="V8" s="77">
        <v>76</v>
      </c>
      <c r="W8" s="82" t="s">
        <v>4827</v>
      </c>
      <c r="X8" s="80" t="str">
        <f>HYPERLINK("https://financenews.com.br/2023/06/companhias-que-divulgaram-informacoes-sobre-dividendos-e-jcp-na-semana-74/")</f>
        <v>https://financenews.com.br/2023/06/companhias-que-divulgaram-informacoes-sobre-dividendos-e-jcp-na-semana-74/</v>
      </c>
      <c r="Y8" s="77" t="s">
        <v>7053</v>
      </c>
      <c r="Z8" s="77"/>
      <c r="AA8" s="77"/>
      <c r="AB8" s="77"/>
      <c r="AC8" s="82" t="s">
        <v>8232</v>
      </c>
      <c r="AD8" s="77" t="s">
        <v>8278</v>
      </c>
      <c r="AE8" s="80" t="str">
        <f>HYPERLINK("https://twitter.com/leiafinancenews/status/1672606811055071236")</f>
        <v>https://twitter.com/leiafinancenews/status/1672606811055071236</v>
      </c>
      <c r="AF8" s="79">
        <v>45101.586956018517</v>
      </c>
      <c r="AG8" s="85">
        <v>45101</v>
      </c>
      <c r="AH8" s="82" t="s">
        <v>8294</v>
      </c>
      <c r="AI8" s="77" t="b">
        <v>0</v>
      </c>
      <c r="AJ8" s="77"/>
      <c r="AK8" s="77"/>
      <c r="AL8" s="77"/>
      <c r="AM8" s="77"/>
      <c r="AN8" s="77"/>
      <c r="AO8" s="77"/>
      <c r="AP8" s="77"/>
      <c r="AQ8" s="77"/>
      <c r="AR8" s="77"/>
      <c r="AS8" s="77"/>
      <c r="AT8" s="77"/>
      <c r="AU8" s="77"/>
      <c r="AV8" s="80" t="str">
        <f>HYPERLINK("https://pbs.twimg.com/profile_images/950426805168758786/a1N8DXvv_normal.jpg")</f>
        <v>https://pbs.twimg.com/profile_images/950426805168758786/a1N8DXvv_normal.jpg</v>
      </c>
      <c r="AW8" s="82" t="s">
        <v>13114</v>
      </c>
      <c r="AX8" s="82" t="s">
        <v>13114</v>
      </c>
      <c r="AY8" s="77"/>
      <c r="AZ8" s="82" t="s">
        <v>17385</v>
      </c>
      <c r="BA8" s="82" t="s">
        <v>17385</v>
      </c>
      <c r="BB8" s="82" t="s">
        <v>17385</v>
      </c>
      <c r="BC8" s="82" t="s">
        <v>13114</v>
      </c>
      <c r="BD8" s="82" t="s">
        <v>17439</v>
      </c>
      <c r="BE8" s="77"/>
      <c r="BF8" s="77"/>
      <c r="BG8" s="77"/>
      <c r="BH8" s="77"/>
      <c r="BI8" s="77"/>
    </row>
    <row r="9" spans="1:61" x14ac:dyDescent="0.25">
      <c r="A9" s="62" t="s">
        <v>224</v>
      </c>
      <c r="B9" s="62" t="s">
        <v>224</v>
      </c>
      <c r="C9" s="63"/>
      <c r="D9" s="64"/>
      <c r="E9" s="65"/>
      <c r="F9" s="66"/>
      <c r="G9" s="63"/>
      <c r="H9" s="67"/>
      <c r="I9" s="68"/>
      <c r="J9" s="68"/>
      <c r="K9" s="32"/>
      <c r="L9" s="75">
        <v>9</v>
      </c>
      <c r="M9" s="75"/>
      <c r="N9" s="70"/>
      <c r="O9" s="77" t="s">
        <v>179</v>
      </c>
      <c r="P9" s="79">
        <v>45144.938275462962</v>
      </c>
      <c r="Q9" s="77" t="s">
        <v>811</v>
      </c>
      <c r="R9" s="77">
        <v>0</v>
      </c>
      <c r="S9" s="77">
        <v>1</v>
      </c>
      <c r="T9" s="77">
        <v>0</v>
      </c>
      <c r="U9" s="77">
        <v>0</v>
      </c>
      <c r="V9" s="77">
        <v>67</v>
      </c>
      <c r="W9" s="82" t="s">
        <v>4825</v>
      </c>
      <c r="X9" s="80" t="str">
        <f>HYPERLINK("https://financenews.com.br/2023/08/agenda-de-dividendo-da-semana-7/")</f>
        <v>https://financenews.com.br/2023/08/agenda-de-dividendo-da-semana-7/</v>
      </c>
      <c r="Y9" s="77" t="s">
        <v>7053</v>
      </c>
      <c r="Z9" s="77"/>
      <c r="AA9" s="77"/>
      <c r="AB9" s="77"/>
      <c r="AC9" s="82" t="s">
        <v>8232</v>
      </c>
      <c r="AD9" s="77" t="s">
        <v>8279</v>
      </c>
      <c r="AE9" s="80" t="str">
        <f>HYPERLINK("https://twitter.com/leiafinancenews/status/1688316800386101248")</f>
        <v>https://twitter.com/leiafinancenews/status/1688316800386101248</v>
      </c>
      <c r="AF9" s="79">
        <v>45144.938275462962</v>
      </c>
      <c r="AG9" s="85">
        <v>45144</v>
      </c>
      <c r="AH9" s="82" t="s">
        <v>8295</v>
      </c>
      <c r="AI9" s="77" t="b">
        <v>0</v>
      </c>
      <c r="AJ9" s="77"/>
      <c r="AK9" s="77"/>
      <c r="AL9" s="77"/>
      <c r="AM9" s="77"/>
      <c r="AN9" s="77"/>
      <c r="AO9" s="77"/>
      <c r="AP9" s="77"/>
      <c r="AQ9" s="77"/>
      <c r="AR9" s="77"/>
      <c r="AS9" s="77"/>
      <c r="AT9" s="77"/>
      <c r="AU9" s="77"/>
      <c r="AV9" s="80" t="str">
        <f>HYPERLINK("https://pbs.twimg.com/profile_images/950426805168758786/a1N8DXvv_normal.jpg")</f>
        <v>https://pbs.twimg.com/profile_images/950426805168758786/a1N8DXvv_normal.jpg</v>
      </c>
      <c r="AW9" s="82" t="s">
        <v>13115</v>
      </c>
      <c r="AX9" s="82" t="s">
        <v>13115</v>
      </c>
      <c r="AY9" s="77"/>
      <c r="AZ9" s="82" t="s">
        <v>17385</v>
      </c>
      <c r="BA9" s="82" t="s">
        <v>17385</v>
      </c>
      <c r="BB9" s="82" t="s">
        <v>17385</v>
      </c>
      <c r="BC9" s="82" t="s">
        <v>13115</v>
      </c>
      <c r="BD9" s="82" t="s">
        <v>17439</v>
      </c>
      <c r="BE9" s="77"/>
      <c r="BF9" s="77"/>
      <c r="BG9" s="77"/>
      <c r="BH9" s="77"/>
      <c r="BI9" s="77"/>
    </row>
    <row r="10" spans="1:61" x14ac:dyDescent="0.25">
      <c r="A10" s="62" t="s">
        <v>224</v>
      </c>
      <c r="B10" s="62" t="s">
        <v>224</v>
      </c>
      <c r="C10" s="63"/>
      <c r="D10" s="64"/>
      <c r="E10" s="65"/>
      <c r="F10" s="66"/>
      <c r="G10" s="63"/>
      <c r="H10" s="67"/>
      <c r="I10" s="68"/>
      <c r="J10" s="68"/>
      <c r="K10" s="32"/>
      <c r="L10" s="75">
        <v>10</v>
      </c>
      <c r="M10" s="75"/>
      <c r="N10" s="70"/>
      <c r="O10" s="77" t="s">
        <v>179</v>
      </c>
      <c r="P10" s="79">
        <v>45143.566678240742</v>
      </c>
      <c r="Q10" s="77" t="s">
        <v>812</v>
      </c>
      <c r="R10" s="77">
        <v>0</v>
      </c>
      <c r="S10" s="77">
        <v>0</v>
      </c>
      <c r="T10" s="77">
        <v>0</v>
      </c>
      <c r="U10" s="77">
        <v>0</v>
      </c>
      <c r="V10" s="77">
        <v>133</v>
      </c>
      <c r="W10" s="82" t="s">
        <v>4828</v>
      </c>
      <c r="X10" s="80" t="str">
        <f>HYPERLINK("https://financenews.com.br/2023/08/companhias-que-divulgaram-informacoes-sobre-dividendos-e-jcp-na-semana-79/")</f>
        <v>https://financenews.com.br/2023/08/companhias-que-divulgaram-informacoes-sobre-dividendos-e-jcp-na-semana-79/</v>
      </c>
      <c r="Y10" s="77" t="s">
        <v>7053</v>
      </c>
      <c r="Z10" s="77"/>
      <c r="AA10" s="77"/>
      <c r="AB10" s="77"/>
      <c r="AC10" s="82" t="s">
        <v>8232</v>
      </c>
      <c r="AD10" s="77" t="s">
        <v>8278</v>
      </c>
      <c r="AE10" s="80" t="str">
        <f>HYPERLINK("https://twitter.com/leiafinancenews/status/1687819752817807360")</f>
        <v>https://twitter.com/leiafinancenews/status/1687819752817807360</v>
      </c>
      <c r="AF10" s="79">
        <v>45143.566678240742</v>
      </c>
      <c r="AG10" s="85">
        <v>45143</v>
      </c>
      <c r="AH10" s="82" t="s">
        <v>8296</v>
      </c>
      <c r="AI10" s="77" t="b">
        <v>0</v>
      </c>
      <c r="AJ10" s="77"/>
      <c r="AK10" s="77"/>
      <c r="AL10" s="77"/>
      <c r="AM10" s="77"/>
      <c r="AN10" s="77"/>
      <c r="AO10" s="77"/>
      <c r="AP10" s="77"/>
      <c r="AQ10" s="77"/>
      <c r="AR10" s="77"/>
      <c r="AS10" s="77"/>
      <c r="AT10" s="77"/>
      <c r="AU10" s="77"/>
      <c r="AV10" s="80" t="str">
        <f>HYPERLINK("https://pbs.twimg.com/profile_images/950426805168758786/a1N8DXvv_normal.jpg")</f>
        <v>https://pbs.twimg.com/profile_images/950426805168758786/a1N8DXvv_normal.jpg</v>
      </c>
      <c r="AW10" s="82" t="s">
        <v>13116</v>
      </c>
      <c r="AX10" s="82" t="s">
        <v>13116</v>
      </c>
      <c r="AY10" s="77"/>
      <c r="AZ10" s="82" t="s">
        <v>17385</v>
      </c>
      <c r="BA10" s="82" t="s">
        <v>17385</v>
      </c>
      <c r="BB10" s="82" t="s">
        <v>17385</v>
      </c>
      <c r="BC10" s="82" t="s">
        <v>13116</v>
      </c>
      <c r="BD10" s="82" t="s">
        <v>17439</v>
      </c>
      <c r="BE10" s="77"/>
      <c r="BF10" s="77"/>
      <c r="BG10" s="77"/>
      <c r="BH10" s="77"/>
      <c r="BI10" s="77"/>
    </row>
    <row r="11" spans="1:61" x14ac:dyDescent="0.25">
      <c r="A11" s="62" t="s">
        <v>224</v>
      </c>
      <c r="B11" s="62" t="s">
        <v>224</v>
      </c>
      <c r="C11" s="63"/>
      <c r="D11" s="64"/>
      <c r="E11" s="65"/>
      <c r="F11" s="66"/>
      <c r="G11" s="63"/>
      <c r="H11" s="67"/>
      <c r="I11" s="68"/>
      <c r="J11" s="68"/>
      <c r="K11" s="32"/>
      <c r="L11" s="75">
        <v>11</v>
      </c>
      <c r="M11" s="75"/>
      <c r="N11" s="70"/>
      <c r="O11" s="77" t="s">
        <v>179</v>
      </c>
      <c r="P11" s="79">
        <v>45109.898506944446</v>
      </c>
      <c r="Q11" s="77" t="s">
        <v>813</v>
      </c>
      <c r="R11" s="77">
        <v>0</v>
      </c>
      <c r="S11" s="77">
        <v>0</v>
      </c>
      <c r="T11" s="77">
        <v>0</v>
      </c>
      <c r="U11" s="77">
        <v>0</v>
      </c>
      <c r="V11" s="77">
        <v>84</v>
      </c>
      <c r="W11" s="82" t="s">
        <v>4827</v>
      </c>
      <c r="X11" s="80" t="str">
        <f>HYPERLINK("https://financenews.com.br/2023/07/agenda-de-dividendos-da-semana-6/")</f>
        <v>https://financenews.com.br/2023/07/agenda-de-dividendos-da-semana-6/</v>
      </c>
      <c r="Y11" s="77" t="s">
        <v>7053</v>
      </c>
      <c r="Z11" s="77"/>
      <c r="AA11" s="77"/>
      <c r="AB11" s="77"/>
      <c r="AC11" s="82" t="s">
        <v>8232</v>
      </c>
      <c r="AD11" s="77" t="s">
        <v>8278</v>
      </c>
      <c r="AE11" s="80" t="str">
        <f>HYPERLINK("https://twitter.com/leiafinancenews/status/1675618814501834752")</f>
        <v>https://twitter.com/leiafinancenews/status/1675618814501834752</v>
      </c>
      <c r="AF11" s="79">
        <v>45109.898506944446</v>
      </c>
      <c r="AG11" s="85">
        <v>45109</v>
      </c>
      <c r="AH11" s="82" t="s">
        <v>8297</v>
      </c>
      <c r="AI11" s="77" t="b">
        <v>0</v>
      </c>
      <c r="AJ11" s="77"/>
      <c r="AK11" s="77"/>
      <c r="AL11" s="77"/>
      <c r="AM11" s="77"/>
      <c r="AN11" s="77"/>
      <c r="AO11" s="77"/>
      <c r="AP11" s="77"/>
      <c r="AQ11" s="77"/>
      <c r="AR11" s="77"/>
      <c r="AS11" s="77"/>
      <c r="AT11" s="77"/>
      <c r="AU11" s="77"/>
      <c r="AV11" s="80" t="str">
        <f>HYPERLINK("https://pbs.twimg.com/profile_images/950426805168758786/a1N8DXvv_normal.jpg")</f>
        <v>https://pbs.twimg.com/profile_images/950426805168758786/a1N8DXvv_normal.jpg</v>
      </c>
      <c r="AW11" s="82" t="s">
        <v>13117</v>
      </c>
      <c r="AX11" s="82" t="s">
        <v>13117</v>
      </c>
      <c r="AY11" s="77"/>
      <c r="AZ11" s="82" t="s">
        <v>17385</v>
      </c>
      <c r="BA11" s="82" t="s">
        <v>17385</v>
      </c>
      <c r="BB11" s="82" t="s">
        <v>17385</v>
      </c>
      <c r="BC11" s="82" t="s">
        <v>13117</v>
      </c>
      <c r="BD11" s="82" t="s">
        <v>17439</v>
      </c>
      <c r="BE11" s="77"/>
      <c r="BF11" s="77"/>
      <c r="BG11" s="77"/>
      <c r="BH11" s="77"/>
      <c r="BI11" s="77"/>
    </row>
    <row r="12" spans="1:61" x14ac:dyDescent="0.25">
      <c r="A12" s="62" t="s">
        <v>225</v>
      </c>
      <c r="B12" s="62" t="s">
        <v>225</v>
      </c>
      <c r="C12" s="63"/>
      <c r="D12" s="64"/>
      <c r="E12" s="65"/>
      <c r="F12" s="66"/>
      <c r="G12" s="63"/>
      <c r="H12" s="67"/>
      <c r="I12" s="68"/>
      <c r="J12" s="68"/>
      <c r="K12" s="32"/>
      <c r="L12" s="75">
        <v>12</v>
      </c>
      <c r="M12" s="75"/>
      <c r="N12" s="70"/>
      <c r="O12" s="77" t="s">
        <v>179</v>
      </c>
      <c r="P12" s="79">
        <v>45059.5627662037</v>
      </c>
      <c r="Q12" s="77" t="s">
        <v>814</v>
      </c>
      <c r="R12" s="77">
        <v>0</v>
      </c>
      <c r="S12" s="77">
        <v>1</v>
      </c>
      <c r="T12" s="77">
        <v>0</v>
      </c>
      <c r="U12" s="77">
        <v>0</v>
      </c>
      <c r="V12" s="77">
        <v>61</v>
      </c>
      <c r="W12" s="82" t="s">
        <v>4829</v>
      </c>
      <c r="X12" s="77"/>
      <c r="Y12" s="77"/>
      <c r="Z12" s="77"/>
      <c r="AA12" s="77" t="s">
        <v>7169</v>
      </c>
      <c r="AB12" s="77" t="s">
        <v>8225</v>
      </c>
      <c r="AC12" s="82" t="s">
        <v>8233</v>
      </c>
      <c r="AD12" s="77" t="s">
        <v>8278</v>
      </c>
      <c r="AE12" s="80" t="str">
        <f>HYPERLINK("https://twitter.com/acoesbr/status/1657377753543368704")</f>
        <v>https://twitter.com/acoesbr/status/1657377753543368704</v>
      </c>
      <c r="AF12" s="79">
        <v>45059.5627662037</v>
      </c>
      <c r="AG12" s="85">
        <v>45059</v>
      </c>
      <c r="AH12" s="82" t="s">
        <v>8298</v>
      </c>
      <c r="AI12" s="77" t="b">
        <v>0</v>
      </c>
      <c r="AJ12" s="77"/>
      <c r="AK12" s="77"/>
      <c r="AL12" s="77"/>
      <c r="AM12" s="77"/>
      <c r="AN12" s="77"/>
      <c r="AO12" s="77"/>
      <c r="AP12" s="77"/>
      <c r="AQ12" s="77" t="s">
        <v>12054</v>
      </c>
      <c r="AR12" s="77"/>
      <c r="AS12" s="77"/>
      <c r="AT12" s="77"/>
      <c r="AU12" s="77"/>
      <c r="AV12" s="80" t="str">
        <f>HYPERLINK("https://pbs.twimg.com/media/FwAwSCBX0AM8hQF.jpg")</f>
        <v>https://pbs.twimg.com/media/FwAwSCBX0AM8hQF.jpg</v>
      </c>
      <c r="AW12" s="82" t="s">
        <v>13118</v>
      </c>
      <c r="AX12" s="82" t="s">
        <v>13118</v>
      </c>
      <c r="AY12" s="77"/>
      <c r="AZ12" s="82" t="s">
        <v>17385</v>
      </c>
      <c r="BA12" s="82" t="s">
        <v>17385</v>
      </c>
      <c r="BB12" s="82" t="s">
        <v>17385</v>
      </c>
      <c r="BC12" s="82" t="s">
        <v>13118</v>
      </c>
      <c r="BD12" s="82" t="s">
        <v>17313</v>
      </c>
      <c r="BE12" s="77"/>
      <c r="BF12" s="77"/>
      <c r="BG12" s="77"/>
      <c r="BH12" s="77"/>
      <c r="BI12" s="77"/>
    </row>
    <row r="13" spans="1:61" x14ac:dyDescent="0.25">
      <c r="A13" s="62" t="s">
        <v>225</v>
      </c>
      <c r="B13" s="62" t="s">
        <v>225</v>
      </c>
      <c r="C13" s="63"/>
      <c r="D13" s="64"/>
      <c r="E13" s="65"/>
      <c r="F13" s="66"/>
      <c r="G13" s="63"/>
      <c r="H13" s="67"/>
      <c r="I13" s="68"/>
      <c r="J13" s="68"/>
      <c r="K13" s="32"/>
      <c r="L13" s="75">
        <v>13</v>
      </c>
      <c r="M13" s="75"/>
      <c r="N13" s="70"/>
      <c r="O13" s="77" t="s">
        <v>179</v>
      </c>
      <c r="P13" s="79">
        <v>45058.7890162037</v>
      </c>
      <c r="Q13" s="77" t="s">
        <v>815</v>
      </c>
      <c r="R13" s="77">
        <v>0</v>
      </c>
      <c r="S13" s="77">
        <v>0</v>
      </c>
      <c r="T13" s="77">
        <v>0</v>
      </c>
      <c r="U13" s="77">
        <v>0</v>
      </c>
      <c r="V13" s="77">
        <v>16</v>
      </c>
      <c r="W13" s="82" t="s">
        <v>4830</v>
      </c>
      <c r="X13" s="77"/>
      <c r="Y13" s="77"/>
      <c r="Z13" s="77"/>
      <c r="AA13" s="77" t="s">
        <v>7170</v>
      </c>
      <c r="AB13" s="77" t="s">
        <v>8225</v>
      </c>
      <c r="AC13" s="82" t="s">
        <v>8233</v>
      </c>
      <c r="AD13" s="77" t="s">
        <v>8278</v>
      </c>
      <c r="AE13" s="80" t="str">
        <f>HYPERLINK("https://twitter.com/acoesbr/status/1657097357052239872")</f>
        <v>https://twitter.com/acoesbr/status/1657097357052239872</v>
      </c>
      <c r="AF13" s="79">
        <v>45058.7890162037</v>
      </c>
      <c r="AG13" s="85">
        <v>45058</v>
      </c>
      <c r="AH13" s="82" t="s">
        <v>8299</v>
      </c>
      <c r="AI13" s="77" t="b">
        <v>0</v>
      </c>
      <c r="AJ13" s="77"/>
      <c r="AK13" s="77"/>
      <c r="AL13" s="77"/>
      <c r="AM13" s="77"/>
      <c r="AN13" s="77"/>
      <c r="AO13" s="77"/>
      <c r="AP13" s="77"/>
      <c r="AQ13" s="77" t="s">
        <v>12055</v>
      </c>
      <c r="AR13" s="77"/>
      <c r="AS13" s="77"/>
      <c r="AT13" s="77"/>
      <c r="AU13" s="77"/>
      <c r="AV13" s="80" t="str">
        <f>HYPERLINK("https://pbs.twimg.com/media/Fv8xQ1JWYAsj6zq.jpg")</f>
        <v>https://pbs.twimg.com/media/Fv8xQ1JWYAsj6zq.jpg</v>
      </c>
      <c r="AW13" s="82" t="s">
        <v>13119</v>
      </c>
      <c r="AX13" s="82" t="s">
        <v>13119</v>
      </c>
      <c r="AY13" s="77"/>
      <c r="AZ13" s="82" t="s">
        <v>17385</v>
      </c>
      <c r="BA13" s="82" t="s">
        <v>17385</v>
      </c>
      <c r="BB13" s="82" t="s">
        <v>17385</v>
      </c>
      <c r="BC13" s="82" t="s">
        <v>13119</v>
      </c>
      <c r="BD13" s="82" t="s">
        <v>17313</v>
      </c>
      <c r="BE13" s="77"/>
      <c r="BF13" s="77"/>
      <c r="BG13" s="77"/>
      <c r="BH13" s="77"/>
      <c r="BI13" s="77"/>
    </row>
    <row r="14" spans="1:61" x14ac:dyDescent="0.25">
      <c r="A14" s="62" t="s">
        <v>225</v>
      </c>
      <c r="B14" s="62" t="s">
        <v>225</v>
      </c>
      <c r="C14" s="63"/>
      <c r="D14" s="64"/>
      <c r="E14" s="65"/>
      <c r="F14" s="66"/>
      <c r="G14" s="63"/>
      <c r="H14" s="67"/>
      <c r="I14" s="68"/>
      <c r="J14" s="68"/>
      <c r="K14" s="32"/>
      <c r="L14" s="75">
        <v>14</v>
      </c>
      <c r="M14" s="75"/>
      <c r="N14" s="70"/>
      <c r="O14" s="77" t="s">
        <v>800</v>
      </c>
      <c r="P14" s="79">
        <v>45064.594641203701</v>
      </c>
      <c r="Q14" s="77" t="s">
        <v>816</v>
      </c>
      <c r="R14" s="77">
        <v>0</v>
      </c>
      <c r="S14" s="77">
        <v>0</v>
      </c>
      <c r="T14" s="77">
        <v>0</v>
      </c>
      <c r="U14" s="77">
        <v>0</v>
      </c>
      <c r="V14" s="77">
        <v>15</v>
      </c>
      <c r="W14" s="82" t="s">
        <v>4831</v>
      </c>
      <c r="X14" s="77"/>
      <c r="Y14" s="77"/>
      <c r="Z14" s="77"/>
      <c r="AA14" s="77"/>
      <c r="AB14" s="77"/>
      <c r="AC14" s="82" t="s">
        <v>8233</v>
      </c>
      <c r="AD14" s="77" t="s">
        <v>8278</v>
      </c>
      <c r="AE14" s="80" t="str">
        <f>HYPERLINK("https://twitter.com/acoesbr/status/1659201242843971586")</f>
        <v>https://twitter.com/acoesbr/status/1659201242843971586</v>
      </c>
      <c r="AF14" s="79">
        <v>45064.594641203701</v>
      </c>
      <c r="AG14" s="85">
        <v>45064</v>
      </c>
      <c r="AH14" s="82" t="s">
        <v>8300</v>
      </c>
      <c r="AI14" s="77"/>
      <c r="AJ14" s="77"/>
      <c r="AK14" s="77"/>
      <c r="AL14" s="77"/>
      <c r="AM14" s="77"/>
      <c r="AN14" s="77"/>
      <c r="AO14" s="77"/>
      <c r="AP14" s="77"/>
      <c r="AQ14" s="77"/>
      <c r="AR14" s="77"/>
      <c r="AS14" s="77"/>
      <c r="AT14" s="77"/>
      <c r="AU14" s="77"/>
      <c r="AV14" s="80" t="str">
        <f>HYPERLINK("https://pbs.twimg.com/profile_images/1669410750891188225/eqFXcsqj_normal.jpg")</f>
        <v>https://pbs.twimg.com/profile_images/1669410750891188225/eqFXcsqj_normal.jpg</v>
      </c>
      <c r="AW14" s="82" t="s">
        <v>13120</v>
      </c>
      <c r="AX14" s="82" t="s">
        <v>17135</v>
      </c>
      <c r="AY14" s="82" t="s">
        <v>17313</v>
      </c>
      <c r="AZ14" s="82" t="s">
        <v>17386</v>
      </c>
      <c r="BA14" s="82" t="s">
        <v>17385</v>
      </c>
      <c r="BB14" s="82" t="s">
        <v>17385</v>
      </c>
      <c r="BC14" s="82" t="s">
        <v>17386</v>
      </c>
      <c r="BD14" s="82" t="s">
        <v>17313</v>
      </c>
      <c r="BE14" s="77"/>
      <c r="BF14" s="77"/>
      <c r="BG14" s="77"/>
      <c r="BH14" s="77"/>
      <c r="BI14" s="77"/>
    </row>
    <row r="15" spans="1:61" x14ac:dyDescent="0.25">
      <c r="A15" s="62" t="s">
        <v>225</v>
      </c>
      <c r="B15" s="62" t="s">
        <v>225</v>
      </c>
      <c r="C15" s="63"/>
      <c r="D15" s="64"/>
      <c r="E15" s="65"/>
      <c r="F15" s="66"/>
      <c r="G15" s="63"/>
      <c r="H15" s="67"/>
      <c r="I15" s="68"/>
      <c r="J15" s="68"/>
      <c r="K15" s="32"/>
      <c r="L15" s="75">
        <v>15</v>
      </c>
      <c r="M15" s="75"/>
      <c r="N15" s="70"/>
      <c r="O15" s="77" t="s">
        <v>179</v>
      </c>
      <c r="P15" s="79">
        <v>45063.700567129628</v>
      </c>
      <c r="Q15" s="77" t="s">
        <v>817</v>
      </c>
      <c r="R15" s="77">
        <v>0</v>
      </c>
      <c r="S15" s="77">
        <v>0</v>
      </c>
      <c r="T15" s="77">
        <v>0</v>
      </c>
      <c r="U15" s="77">
        <v>0</v>
      </c>
      <c r="V15" s="77">
        <v>30</v>
      </c>
      <c r="W15" s="82" t="s">
        <v>4832</v>
      </c>
      <c r="X15" s="77"/>
      <c r="Y15" s="77"/>
      <c r="Z15" s="77"/>
      <c r="AA15" s="77" t="s">
        <v>7171</v>
      </c>
      <c r="AB15" s="77" t="s">
        <v>8225</v>
      </c>
      <c r="AC15" s="82" t="s">
        <v>8233</v>
      </c>
      <c r="AD15" s="77" t="s">
        <v>8278</v>
      </c>
      <c r="AE15" s="80" t="str">
        <f>HYPERLINK("https://twitter.com/acoesbr/status/1658877240501846016")</f>
        <v>https://twitter.com/acoesbr/status/1658877240501846016</v>
      </c>
      <c r="AF15" s="79">
        <v>45063.700567129628</v>
      </c>
      <c r="AG15" s="85">
        <v>45063</v>
      </c>
      <c r="AH15" s="82" t="s">
        <v>8301</v>
      </c>
      <c r="AI15" s="77" t="b">
        <v>0</v>
      </c>
      <c r="AJ15" s="77"/>
      <c r="AK15" s="77"/>
      <c r="AL15" s="77"/>
      <c r="AM15" s="77"/>
      <c r="AN15" s="77"/>
      <c r="AO15" s="77"/>
      <c r="AP15" s="77"/>
      <c r="AQ15" s="77" t="s">
        <v>12056</v>
      </c>
      <c r="AR15" s="77"/>
      <c r="AS15" s="77"/>
      <c r="AT15" s="77"/>
      <c r="AU15" s="77"/>
      <c r="AV15" s="80" t="str">
        <f>HYPERLINK("https://pbs.twimg.com/media/FwWEDtAWAAUA_Sk.jpg")</f>
        <v>https://pbs.twimg.com/media/FwWEDtAWAAUA_Sk.jpg</v>
      </c>
      <c r="AW15" s="82" t="s">
        <v>13121</v>
      </c>
      <c r="AX15" s="82" t="s">
        <v>13121</v>
      </c>
      <c r="AY15" s="77"/>
      <c r="AZ15" s="82" t="s">
        <v>17385</v>
      </c>
      <c r="BA15" s="82" t="s">
        <v>17385</v>
      </c>
      <c r="BB15" s="82" t="s">
        <v>17385</v>
      </c>
      <c r="BC15" s="82" t="s">
        <v>13121</v>
      </c>
      <c r="BD15" s="82" t="s">
        <v>17313</v>
      </c>
      <c r="BE15" s="77"/>
      <c r="BF15" s="77"/>
      <c r="BG15" s="77"/>
      <c r="BH15" s="77"/>
      <c r="BI15" s="77"/>
    </row>
    <row r="16" spans="1:61" x14ac:dyDescent="0.25">
      <c r="A16" s="62" t="s">
        <v>225</v>
      </c>
      <c r="B16" s="62" t="s">
        <v>225</v>
      </c>
      <c r="C16" s="63"/>
      <c r="D16" s="64"/>
      <c r="E16" s="65"/>
      <c r="F16" s="66"/>
      <c r="G16" s="63"/>
      <c r="H16" s="67"/>
      <c r="I16" s="68"/>
      <c r="J16" s="68"/>
      <c r="K16" s="32"/>
      <c r="L16" s="75">
        <v>16</v>
      </c>
      <c r="M16" s="75"/>
      <c r="N16" s="70"/>
      <c r="O16" s="77" t="s">
        <v>179</v>
      </c>
      <c r="P16" s="79">
        <v>45063.651574074072</v>
      </c>
      <c r="Q16" s="77" t="s">
        <v>818</v>
      </c>
      <c r="R16" s="77">
        <v>2</v>
      </c>
      <c r="S16" s="77">
        <v>7</v>
      </c>
      <c r="T16" s="77">
        <v>0</v>
      </c>
      <c r="U16" s="77">
        <v>0</v>
      </c>
      <c r="V16" s="77">
        <v>374</v>
      </c>
      <c r="W16" s="82" t="s">
        <v>4833</v>
      </c>
      <c r="X16" s="77"/>
      <c r="Y16" s="77"/>
      <c r="Z16" s="77"/>
      <c r="AA16" s="77" t="s">
        <v>7172</v>
      </c>
      <c r="AB16" s="77" t="s">
        <v>8226</v>
      </c>
      <c r="AC16" s="82" t="s">
        <v>8233</v>
      </c>
      <c r="AD16" s="77" t="s">
        <v>8278</v>
      </c>
      <c r="AE16" s="80" t="str">
        <f>HYPERLINK("https://twitter.com/acoesbr/status/1658859485077667843")</f>
        <v>https://twitter.com/acoesbr/status/1658859485077667843</v>
      </c>
      <c r="AF16" s="79">
        <v>45063.651574074072</v>
      </c>
      <c r="AG16" s="85">
        <v>45063</v>
      </c>
      <c r="AH16" s="82" t="s">
        <v>8302</v>
      </c>
      <c r="AI16" s="77" t="b">
        <v>0</v>
      </c>
      <c r="AJ16" s="77"/>
      <c r="AK16" s="77"/>
      <c r="AL16" s="77"/>
      <c r="AM16" s="77"/>
      <c r="AN16" s="77"/>
      <c r="AO16" s="77"/>
      <c r="AP16" s="77"/>
      <c r="AQ16" s="77" t="s">
        <v>12057</v>
      </c>
      <c r="AR16" s="77"/>
      <c r="AS16" s="77"/>
      <c r="AT16" s="77"/>
      <c r="AU16" s="77"/>
      <c r="AV16" s="80" t="str">
        <f>HYPERLINK("https://pbs.twimg.com/media/FwVz6FPX0AIXQIK.jpg")</f>
        <v>https://pbs.twimg.com/media/FwVz6FPX0AIXQIK.jpg</v>
      </c>
      <c r="AW16" s="82" t="s">
        <v>13122</v>
      </c>
      <c r="AX16" s="82" t="s">
        <v>13122</v>
      </c>
      <c r="AY16" s="77"/>
      <c r="AZ16" s="82" t="s">
        <v>17385</v>
      </c>
      <c r="BA16" s="82" t="s">
        <v>17385</v>
      </c>
      <c r="BB16" s="82" t="s">
        <v>17385</v>
      </c>
      <c r="BC16" s="82" t="s">
        <v>13122</v>
      </c>
      <c r="BD16" s="82" t="s">
        <v>17313</v>
      </c>
      <c r="BE16" s="77"/>
      <c r="BF16" s="77"/>
      <c r="BG16" s="77"/>
      <c r="BH16" s="77"/>
      <c r="BI16" s="77"/>
    </row>
    <row r="17" spans="1:61" x14ac:dyDescent="0.25">
      <c r="A17" s="62" t="s">
        <v>225</v>
      </c>
      <c r="B17" s="62" t="s">
        <v>225</v>
      </c>
      <c r="C17" s="63"/>
      <c r="D17" s="64"/>
      <c r="E17" s="65"/>
      <c r="F17" s="66"/>
      <c r="G17" s="63"/>
      <c r="H17" s="67"/>
      <c r="I17" s="68"/>
      <c r="J17" s="68"/>
      <c r="K17" s="32"/>
      <c r="L17" s="75">
        <v>17</v>
      </c>
      <c r="M17" s="75"/>
      <c r="N17" s="70"/>
      <c r="O17" s="77" t="s">
        <v>179</v>
      </c>
      <c r="P17" s="79">
        <v>45090.71266203704</v>
      </c>
      <c r="Q17" s="77" t="s">
        <v>819</v>
      </c>
      <c r="R17" s="77">
        <v>0</v>
      </c>
      <c r="S17" s="77">
        <v>1</v>
      </c>
      <c r="T17" s="77">
        <v>0</v>
      </c>
      <c r="U17" s="77">
        <v>0</v>
      </c>
      <c r="V17" s="77">
        <v>37</v>
      </c>
      <c r="W17" s="82" t="s">
        <v>4834</v>
      </c>
      <c r="X17" s="77"/>
      <c r="Y17" s="77"/>
      <c r="Z17" s="77"/>
      <c r="AA17" s="77" t="s">
        <v>7173</v>
      </c>
      <c r="AB17" s="77" t="s">
        <v>8225</v>
      </c>
      <c r="AC17" s="82" t="s">
        <v>8233</v>
      </c>
      <c r="AD17" s="77" t="s">
        <v>8280</v>
      </c>
      <c r="AE17" s="80" t="str">
        <f>HYPERLINK("https://twitter.com/acoesbr/status/1668666096742744064")</f>
        <v>https://twitter.com/acoesbr/status/1668666096742744064</v>
      </c>
      <c r="AF17" s="79">
        <v>45090.71266203704</v>
      </c>
      <c r="AG17" s="85">
        <v>45090</v>
      </c>
      <c r="AH17" s="82" t="s">
        <v>8303</v>
      </c>
      <c r="AI17" s="77" t="b">
        <v>0</v>
      </c>
      <c r="AJ17" s="77"/>
      <c r="AK17" s="77"/>
      <c r="AL17" s="77"/>
      <c r="AM17" s="77"/>
      <c r="AN17" s="77"/>
      <c r="AO17" s="77"/>
      <c r="AP17" s="77"/>
      <c r="AQ17" s="77" t="s">
        <v>12058</v>
      </c>
      <c r="AR17" s="77"/>
      <c r="AS17" s="77"/>
      <c r="AT17" s="77"/>
      <c r="AU17" s="77"/>
      <c r="AV17" s="80" t="str">
        <f>HYPERLINK("https://pbs.twimg.com/media/FyhK-IOXsCMQlZL.jpg")</f>
        <v>https://pbs.twimg.com/media/FyhK-IOXsCMQlZL.jpg</v>
      </c>
      <c r="AW17" s="82" t="s">
        <v>13123</v>
      </c>
      <c r="AX17" s="82" t="s">
        <v>13123</v>
      </c>
      <c r="AY17" s="77"/>
      <c r="AZ17" s="82" t="s">
        <v>17385</v>
      </c>
      <c r="BA17" s="82" t="s">
        <v>17385</v>
      </c>
      <c r="BB17" s="82" t="s">
        <v>17385</v>
      </c>
      <c r="BC17" s="82" t="s">
        <v>13123</v>
      </c>
      <c r="BD17" s="82" t="s">
        <v>17313</v>
      </c>
      <c r="BE17" s="77"/>
      <c r="BF17" s="77"/>
      <c r="BG17" s="77"/>
      <c r="BH17" s="77"/>
      <c r="BI17" s="77"/>
    </row>
    <row r="18" spans="1:61" x14ac:dyDescent="0.25">
      <c r="A18" s="62" t="s">
        <v>225</v>
      </c>
      <c r="B18" s="62" t="s">
        <v>225</v>
      </c>
      <c r="C18" s="63"/>
      <c r="D18" s="64"/>
      <c r="E18" s="65"/>
      <c r="F18" s="66"/>
      <c r="G18" s="63"/>
      <c r="H18" s="67"/>
      <c r="I18" s="68"/>
      <c r="J18" s="68"/>
      <c r="K18" s="32"/>
      <c r="L18" s="75">
        <v>18</v>
      </c>
      <c r="M18" s="75"/>
      <c r="N18" s="70"/>
      <c r="O18" s="77" t="s">
        <v>800</v>
      </c>
      <c r="P18" s="79">
        <v>45089.796018518522</v>
      </c>
      <c r="Q18" s="77" t="s">
        <v>820</v>
      </c>
      <c r="R18" s="77">
        <v>0</v>
      </c>
      <c r="S18" s="77">
        <v>0</v>
      </c>
      <c r="T18" s="77">
        <v>0</v>
      </c>
      <c r="U18" s="77">
        <v>0</v>
      </c>
      <c r="V18" s="77">
        <v>49</v>
      </c>
      <c r="W18" s="82" t="s">
        <v>4835</v>
      </c>
      <c r="X18" s="77"/>
      <c r="Y18" s="77"/>
      <c r="Z18" s="77"/>
      <c r="AA18" s="77"/>
      <c r="AB18" s="77"/>
      <c r="AC18" s="82" t="s">
        <v>8233</v>
      </c>
      <c r="AD18" s="77" t="s">
        <v>8278</v>
      </c>
      <c r="AE18" s="80" t="str">
        <f>HYPERLINK("https://twitter.com/acoesbr/status/1668333915545952258")</f>
        <v>https://twitter.com/acoesbr/status/1668333915545952258</v>
      </c>
      <c r="AF18" s="79">
        <v>45089.796018518522</v>
      </c>
      <c r="AG18" s="85">
        <v>45089</v>
      </c>
      <c r="AH18" s="82" t="s">
        <v>8304</v>
      </c>
      <c r="AI18" s="77"/>
      <c r="AJ18" s="77"/>
      <c r="AK18" s="77"/>
      <c r="AL18" s="77"/>
      <c r="AM18" s="77"/>
      <c r="AN18" s="77"/>
      <c r="AO18" s="77"/>
      <c r="AP18" s="77"/>
      <c r="AQ18" s="77"/>
      <c r="AR18" s="77"/>
      <c r="AS18" s="77"/>
      <c r="AT18" s="77"/>
      <c r="AU18" s="77"/>
      <c r="AV18" s="80" t="str">
        <f>HYPERLINK("https://pbs.twimg.com/profile_images/1669410750891188225/eqFXcsqj_normal.jpg")</f>
        <v>https://pbs.twimg.com/profile_images/1669410750891188225/eqFXcsqj_normal.jpg</v>
      </c>
      <c r="AW18" s="82" t="s">
        <v>13124</v>
      </c>
      <c r="AX18" s="82" t="s">
        <v>17136</v>
      </c>
      <c r="AY18" s="82" t="s">
        <v>17313</v>
      </c>
      <c r="AZ18" s="82" t="s">
        <v>17136</v>
      </c>
      <c r="BA18" s="82" t="s">
        <v>17385</v>
      </c>
      <c r="BB18" s="82" t="s">
        <v>17385</v>
      </c>
      <c r="BC18" s="82" t="s">
        <v>17136</v>
      </c>
      <c r="BD18" s="82" t="s">
        <v>17313</v>
      </c>
      <c r="BE18" s="77"/>
      <c r="BF18" s="77"/>
      <c r="BG18" s="77"/>
      <c r="BH18" s="77"/>
      <c r="BI18" s="77"/>
    </row>
    <row r="19" spans="1:61" x14ac:dyDescent="0.25">
      <c r="A19" s="62" t="s">
        <v>225</v>
      </c>
      <c r="B19" s="62" t="s">
        <v>225</v>
      </c>
      <c r="C19" s="63"/>
      <c r="D19" s="64"/>
      <c r="E19" s="65"/>
      <c r="F19" s="66"/>
      <c r="G19" s="63"/>
      <c r="H19" s="67"/>
      <c r="I19" s="68"/>
      <c r="J19" s="68"/>
      <c r="K19" s="32"/>
      <c r="L19" s="75">
        <v>19</v>
      </c>
      <c r="M19" s="75"/>
      <c r="N19" s="70"/>
      <c r="O19" s="77" t="s">
        <v>179</v>
      </c>
      <c r="P19" s="79">
        <v>45095.608194444445</v>
      </c>
      <c r="Q19" s="77" t="s">
        <v>821</v>
      </c>
      <c r="R19" s="77">
        <v>1</v>
      </c>
      <c r="S19" s="77">
        <v>3</v>
      </c>
      <c r="T19" s="77">
        <v>0</v>
      </c>
      <c r="U19" s="77">
        <v>0</v>
      </c>
      <c r="V19" s="77">
        <v>291</v>
      </c>
      <c r="W19" s="82" t="s">
        <v>4836</v>
      </c>
      <c r="X19" s="77"/>
      <c r="Y19" s="77"/>
      <c r="Z19" s="77"/>
      <c r="AA19" s="77" t="s">
        <v>7174</v>
      </c>
      <c r="AB19" s="77" t="s">
        <v>8225</v>
      </c>
      <c r="AC19" s="82" t="s">
        <v>8233</v>
      </c>
      <c r="AD19" s="77" t="s">
        <v>8278</v>
      </c>
      <c r="AE19" s="80" t="str">
        <f>HYPERLINK("https://twitter.com/acoesbr/status/1670440176919642112")</f>
        <v>https://twitter.com/acoesbr/status/1670440176919642112</v>
      </c>
      <c r="AF19" s="79">
        <v>45095.608194444445</v>
      </c>
      <c r="AG19" s="85">
        <v>45095</v>
      </c>
      <c r="AH19" s="82" t="s">
        <v>8305</v>
      </c>
      <c r="AI19" s="77" t="b">
        <v>0</v>
      </c>
      <c r="AJ19" s="77"/>
      <c r="AK19" s="77"/>
      <c r="AL19" s="77"/>
      <c r="AM19" s="77"/>
      <c r="AN19" s="77"/>
      <c r="AO19" s="77"/>
      <c r="AP19" s="77"/>
      <c r="AQ19" s="77" t="s">
        <v>12059</v>
      </c>
      <c r="AR19" s="77"/>
      <c r="AS19" s="77"/>
      <c r="AT19" s="77"/>
      <c r="AU19" s="77"/>
      <c r="AV19" s="80" t="str">
        <f>HYPERLINK("https://pbs.twimg.com/media/Fy6YfF9WcAEPr_6.jpg")</f>
        <v>https://pbs.twimg.com/media/Fy6YfF9WcAEPr_6.jpg</v>
      </c>
      <c r="AW19" s="82" t="s">
        <v>13125</v>
      </c>
      <c r="AX19" s="82" t="s">
        <v>13125</v>
      </c>
      <c r="AY19" s="77"/>
      <c r="AZ19" s="82" t="s">
        <v>17385</v>
      </c>
      <c r="BA19" s="82" t="s">
        <v>17385</v>
      </c>
      <c r="BB19" s="82" t="s">
        <v>17385</v>
      </c>
      <c r="BC19" s="82" t="s">
        <v>13125</v>
      </c>
      <c r="BD19" s="82" t="s">
        <v>17313</v>
      </c>
      <c r="BE19" s="77"/>
      <c r="BF19" s="77"/>
      <c r="BG19" s="77"/>
      <c r="BH19" s="77"/>
      <c r="BI19" s="77"/>
    </row>
    <row r="20" spans="1:61" x14ac:dyDescent="0.25">
      <c r="A20" s="62" t="s">
        <v>225</v>
      </c>
      <c r="B20" s="62" t="s">
        <v>225</v>
      </c>
      <c r="C20" s="63"/>
      <c r="D20" s="64"/>
      <c r="E20" s="65"/>
      <c r="F20" s="66"/>
      <c r="G20" s="63"/>
      <c r="H20" s="67"/>
      <c r="I20" s="68"/>
      <c r="J20" s="68"/>
      <c r="K20" s="32"/>
      <c r="L20" s="75">
        <v>20</v>
      </c>
      <c r="M20" s="75"/>
      <c r="N20" s="70"/>
      <c r="O20" s="77" t="s">
        <v>179</v>
      </c>
      <c r="P20" s="79">
        <v>45095.599722222221</v>
      </c>
      <c r="Q20" s="77" t="s">
        <v>822</v>
      </c>
      <c r="R20" s="77">
        <v>1</v>
      </c>
      <c r="S20" s="77">
        <v>2</v>
      </c>
      <c r="T20" s="77">
        <v>0</v>
      </c>
      <c r="U20" s="77">
        <v>0</v>
      </c>
      <c r="V20" s="77">
        <v>112</v>
      </c>
      <c r="W20" s="82" t="s">
        <v>4837</v>
      </c>
      <c r="X20" s="77"/>
      <c r="Y20" s="77"/>
      <c r="Z20" s="77"/>
      <c r="AA20" s="77" t="s">
        <v>7175</v>
      </c>
      <c r="AB20" s="77" t="s">
        <v>8225</v>
      </c>
      <c r="AC20" s="82" t="s">
        <v>8233</v>
      </c>
      <c r="AD20" s="77" t="s">
        <v>8278</v>
      </c>
      <c r="AE20" s="80" t="str">
        <f>HYPERLINK("https://twitter.com/acoesbr/status/1670437106605334528")</f>
        <v>https://twitter.com/acoesbr/status/1670437106605334528</v>
      </c>
      <c r="AF20" s="79">
        <v>45095.599722222221</v>
      </c>
      <c r="AG20" s="85">
        <v>45095</v>
      </c>
      <c r="AH20" s="82" t="s">
        <v>8306</v>
      </c>
      <c r="AI20" s="77" t="b">
        <v>0</v>
      </c>
      <c r="AJ20" s="77"/>
      <c r="AK20" s="77"/>
      <c r="AL20" s="77"/>
      <c r="AM20" s="77"/>
      <c r="AN20" s="77"/>
      <c r="AO20" s="77"/>
      <c r="AP20" s="77"/>
      <c r="AQ20" s="77" t="s">
        <v>12060</v>
      </c>
      <c r="AR20" s="77"/>
      <c r="AS20" s="77"/>
      <c r="AT20" s="77"/>
      <c r="AU20" s="77"/>
      <c r="AV20" s="80" t="str">
        <f>HYPERLINK("https://pbs.twimg.com/media/Fy6VsYmWcAIp6Cy.jpg")</f>
        <v>https://pbs.twimg.com/media/Fy6VsYmWcAIp6Cy.jpg</v>
      </c>
      <c r="AW20" s="82" t="s">
        <v>13126</v>
      </c>
      <c r="AX20" s="82" t="s">
        <v>13126</v>
      </c>
      <c r="AY20" s="77"/>
      <c r="AZ20" s="82" t="s">
        <v>17385</v>
      </c>
      <c r="BA20" s="82" t="s">
        <v>17385</v>
      </c>
      <c r="BB20" s="82" t="s">
        <v>17385</v>
      </c>
      <c r="BC20" s="82" t="s">
        <v>13126</v>
      </c>
      <c r="BD20" s="82" t="s">
        <v>17313</v>
      </c>
      <c r="BE20" s="77"/>
      <c r="BF20" s="77"/>
      <c r="BG20" s="77"/>
      <c r="BH20" s="77"/>
      <c r="BI20" s="77"/>
    </row>
    <row r="21" spans="1:61" x14ac:dyDescent="0.25">
      <c r="A21" s="62" t="s">
        <v>225</v>
      </c>
      <c r="B21" s="62" t="s">
        <v>225</v>
      </c>
      <c r="C21" s="63"/>
      <c r="D21" s="64"/>
      <c r="E21" s="65"/>
      <c r="F21" s="66"/>
      <c r="G21" s="63"/>
      <c r="H21" s="67"/>
      <c r="I21" s="68"/>
      <c r="J21" s="68"/>
      <c r="K21" s="32"/>
      <c r="L21" s="75">
        <v>21</v>
      </c>
      <c r="M21" s="75"/>
      <c r="N21" s="70"/>
      <c r="O21" s="77" t="s">
        <v>179</v>
      </c>
      <c r="P21" s="79">
        <v>45099.776458333334</v>
      </c>
      <c r="Q21" s="77" t="s">
        <v>823</v>
      </c>
      <c r="R21" s="77">
        <v>0</v>
      </c>
      <c r="S21" s="77">
        <v>0</v>
      </c>
      <c r="T21" s="77">
        <v>0</v>
      </c>
      <c r="U21" s="77">
        <v>1</v>
      </c>
      <c r="V21" s="77">
        <v>111</v>
      </c>
      <c r="W21" s="77"/>
      <c r="X21" s="77"/>
      <c r="Y21" s="77"/>
      <c r="Z21" s="77"/>
      <c r="AA21" s="77"/>
      <c r="AB21" s="77"/>
      <c r="AC21" s="82" t="s">
        <v>8233</v>
      </c>
      <c r="AD21" s="77" t="s">
        <v>8278</v>
      </c>
      <c r="AE21" s="80" t="str">
        <f>HYPERLINK("https://twitter.com/acoesbr/status/1671950708793376791")</f>
        <v>https://twitter.com/acoesbr/status/1671950708793376791</v>
      </c>
      <c r="AF21" s="79">
        <v>45099.776458333334</v>
      </c>
      <c r="AG21" s="85">
        <v>45099</v>
      </c>
      <c r="AH21" s="82" t="s">
        <v>8307</v>
      </c>
      <c r="AI21" s="77"/>
      <c r="AJ21" s="77"/>
      <c r="AK21" s="77"/>
      <c r="AL21" s="77"/>
      <c r="AM21" s="77"/>
      <c r="AN21" s="77"/>
      <c r="AO21" s="77"/>
      <c r="AP21" s="77"/>
      <c r="AQ21" s="77"/>
      <c r="AR21" s="77"/>
      <c r="AS21" s="77"/>
      <c r="AT21" s="77"/>
      <c r="AU21" s="77"/>
      <c r="AV21" s="80" t="str">
        <f>HYPERLINK("https://pbs.twimg.com/profile_images/1669410750891188225/eqFXcsqj_normal.jpg")</f>
        <v>https://pbs.twimg.com/profile_images/1669410750891188225/eqFXcsqj_normal.jpg</v>
      </c>
      <c r="AW21" s="82" t="s">
        <v>13127</v>
      </c>
      <c r="AX21" s="82" t="s">
        <v>13127</v>
      </c>
      <c r="AY21" s="77"/>
      <c r="AZ21" s="82" t="s">
        <v>17385</v>
      </c>
      <c r="BA21" s="82" t="s">
        <v>17385</v>
      </c>
      <c r="BB21" s="82" t="s">
        <v>17385</v>
      </c>
      <c r="BC21" s="82" t="s">
        <v>13127</v>
      </c>
      <c r="BD21" s="82" t="s">
        <v>17313</v>
      </c>
      <c r="BE21" s="77"/>
      <c r="BF21" s="77"/>
      <c r="BG21" s="77"/>
      <c r="BH21" s="77"/>
      <c r="BI21" s="77"/>
    </row>
    <row r="22" spans="1:61" x14ac:dyDescent="0.25">
      <c r="A22" s="62" t="s">
        <v>225</v>
      </c>
      <c r="B22" s="62" t="s">
        <v>225</v>
      </c>
      <c r="C22" s="63"/>
      <c r="D22" s="64"/>
      <c r="E22" s="65"/>
      <c r="F22" s="66"/>
      <c r="G22" s="63"/>
      <c r="H22" s="67"/>
      <c r="I22" s="68"/>
      <c r="J22" s="68"/>
      <c r="K22" s="32"/>
      <c r="L22" s="75">
        <v>22</v>
      </c>
      <c r="M22" s="75"/>
      <c r="N22" s="70"/>
      <c r="O22" s="77" t="s">
        <v>801</v>
      </c>
      <c r="P22" s="79">
        <v>45155.53565972222</v>
      </c>
      <c r="Q22" s="77" t="s">
        <v>824</v>
      </c>
      <c r="R22" s="77">
        <v>1</v>
      </c>
      <c r="S22" s="77">
        <v>1</v>
      </c>
      <c r="T22" s="77">
        <v>0</v>
      </c>
      <c r="U22" s="77">
        <v>0</v>
      </c>
      <c r="V22" s="77">
        <v>51</v>
      </c>
      <c r="W22" s="82" t="s">
        <v>4838</v>
      </c>
      <c r="X22" s="77"/>
      <c r="Y22" s="77"/>
      <c r="Z22" s="77"/>
      <c r="AA22" s="77"/>
      <c r="AB22" s="77"/>
      <c r="AC22" s="82" t="s">
        <v>8232</v>
      </c>
      <c r="AD22" s="77" t="s">
        <v>8278</v>
      </c>
      <c r="AE22" s="80" t="str">
        <f>HYPERLINK("https://twitter.com/acoesbr/status/1692157165895610738")</f>
        <v>https://twitter.com/acoesbr/status/1692157165895610738</v>
      </c>
      <c r="AF22" s="79">
        <v>45155.53565972222</v>
      </c>
      <c r="AG22" s="85">
        <v>45155</v>
      </c>
      <c r="AH22" s="82" t="s">
        <v>8308</v>
      </c>
      <c r="AI22" s="77"/>
      <c r="AJ22" s="77"/>
      <c r="AK22" s="77"/>
      <c r="AL22" s="77"/>
      <c r="AM22" s="77"/>
      <c r="AN22" s="77"/>
      <c r="AO22" s="77"/>
      <c r="AP22" s="77"/>
      <c r="AQ22" s="77"/>
      <c r="AR22" s="77"/>
      <c r="AS22" s="77"/>
      <c r="AT22" s="77"/>
      <c r="AU22" s="77"/>
      <c r="AV22" s="80" t="str">
        <f>HYPERLINK("https://pbs.twimg.com/profile_images/1669410750891188225/eqFXcsqj_normal.jpg")</f>
        <v>https://pbs.twimg.com/profile_images/1669410750891188225/eqFXcsqj_normal.jpg</v>
      </c>
      <c r="AW22" s="82" t="s">
        <v>13128</v>
      </c>
      <c r="AX22" s="82" t="s">
        <v>13128</v>
      </c>
      <c r="AY22" s="77"/>
      <c r="AZ22" s="82" t="s">
        <v>17385</v>
      </c>
      <c r="BA22" s="82" t="s">
        <v>13127</v>
      </c>
      <c r="BB22" s="82" t="s">
        <v>17385</v>
      </c>
      <c r="BC22" s="82" t="s">
        <v>13127</v>
      </c>
      <c r="BD22" s="82" t="s">
        <v>17313</v>
      </c>
      <c r="BE22" s="77"/>
      <c r="BF22" s="77"/>
      <c r="BG22" s="77"/>
      <c r="BH22" s="77"/>
      <c r="BI22" s="77"/>
    </row>
    <row r="23" spans="1:61" x14ac:dyDescent="0.25">
      <c r="A23" s="62" t="s">
        <v>225</v>
      </c>
      <c r="B23" s="62" t="s">
        <v>225</v>
      </c>
      <c r="C23" s="63"/>
      <c r="D23" s="64"/>
      <c r="E23" s="65"/>
      <c r="F23" s="66"/>
      <c r="G23" s="63"/>
      <c r="H23" s="67"/>
      <c r="I23" s="68"/>
      <c r="J23" s="68"/>
      <c r="K23" s="32"/>
      <c r="L23" s="75">
        <v>23</v>
      </c>
      <c r="M23" s="75"/>
      <c r="N23" s="70"/>
      <c r="O23" s="77" t="s">
        <v>800</v>
      </c>
      <c r="P23" s="79">
        <v>45072.504537037035</v>
      </c>
      <c r="Q23" s="77" t="s">
        <v>825</v>
      </c>
      <c r="R23" s="77">
        <v>0</v>
      </c>
      <c r="S23" s="77">
        <v>0</v>
      </c>
      <c r="T23" s="77">
        <v>0</v>
      </c>
      <c r="U23" s="77">
        <v>0</v>
      </c>
      <c r="V23" s="77">
        <v>13</v>
      </c>
      <c r="W23" s="82" t="s">
        <v>4839</v>
      </c>
      <c r="X23" s="77"/>
      <c r="Y23" s="77"/>
      <c r="Z23" s="77"/>
      <c r="AA23" s="77"/>
      <c r="AB23" s="77"/>
      <c r="AC23" s="82" t="s">
        <v>8233</v>
      </c>
      <c r="AD23" s="77" t="s">
        <v>8278</v>
      </c>
      <c r="AE23" s="80" t="str">
        <f>HYPERLINK("https://twitter.com/acoesbr/status/1662067694487719936")</f>
        <v>https://twitter.com/acoesbr/status/1662067694487719936</v>
      </c>
      <c r="AF23" s="79">
        <v>45072.504537037035</v>
      </c>
      <c r="AG23" s="85">
        <v>45072</v>
      </c>
      <c r="AH23" s="82" t="s">
        <v>8309</v>
      </c>
      <c r="AI23" s="77"/>
      <c r="AJ23" s="77"/>
      <c r="AK23" s="77"/>
      <c r="AL23" s="77"/>
      <c r="AM23" s="77"/>
      <c r="AN23" s="77"/>
      <c r="AO23" s="77"/>
      <c r="AP23" s="77"/>
      <c r="AQ23" s="77"/>
      <c r="AR23" s="77"/>
      <c r="AS23" s="77"/>
      <c r="AT23" s="77"/>
      <c r="AU23" s="77"/>
      <c r="AV23" s="80" t="str">
        <f>HYPERLINK("https://pbs.twimg.com/profile_images/1669410750891188225/eqFXcsqj_normal.jpg")</f>
        <v>https://pbs.twimg.com/profile_images/1669410750891188225/eqFXcsqj_normal.jpg</v>
      </c>
      <c r="AW23" s="82" t="s">
        <v>13129</v>
      </c>
      <c r="AX23" s="82" t="s">
        <v>17137</v>
      </c>
      <c r="AY23" s="82" t="s">
        <v>17313</v>
      </c>
      <c r="AZ23" s="82" t="s">
        <v>17137</v>
      </c>
      <c r="BA23" s="82" t="s">
        <v>17385</v>
      </c>
      <c r="BB23" s="82" t="s">
        <v>17385</v>
      </c>
      <c r="BC23" s="82" t="s">
        <v>17137</v>
      </c>
      <c r="BD23" s="82" t="s">
        <v>17313</v>
      </c>
      <c r="BE23" s="77"/>
      <c r="BF23" s="77"/>
      <c r="BG23" s="77"/>
      <c r="BH23" s="77"/>
      <c r="BI23" s="77"/>
    </row>
    <row r="24" spans="1:61" x14ac:dyDescent="0.25">
      <c r="A24" s="62" t="s">
        <v>225</v>
      </c>
      <c r="B24" s="62" t="s">
        <v>225</v>
      </c>
      <c r="C24" s="63"/>
      <c r="D24" s="64"/>
      <c r="E24" s="65"/>
      <c r="F24" s="66"/>
      <c r="G24" s="63"/>
      <c r="H24" s="67"/>
      <c r="I24" s="68"/>
      <c r="J24" s="68"/>
      <c r="K24" s="32"/>
      <c r="L24" s="75">
        <v>24</v>
      </c>
      <c r="M24" s="75"/>
      <c r="N24" s="70"/>
      <c r="O24" s="77" t="s">
        <v>800</v>
      </c>
      <c r="P24" s="79">
        <v>45072.494560185187</v>
      </c>
      <c r="Q24" s="77" t="s">
        <v>826</v>
      </c>
      <c r="R24" s="77">
        <v>0</v>
      </c>
      <c r="S24" s="77">
        <v>0</v>
      </c>
      <c r="T24" s="77">
        <v>0</v>
      </c>
      <c r="U24" s="77">
        <v>0</v>
      </c>
      <c r="V24" s="77">
        <v>11</v>
      </c>
      <c r="W24" s="82" t="s">
        <v>4840</v>
      </c>
      <c r="X24" s="77"/>
      <c r="Y24" s="77"/>
      <c r="Z24" s="77"/>
      <c r="AA24" s="77"/>
      <c r="AB24" s="77"/>
      <c r="AC24" s="82" t="s">
        <v>8233</v>
      </c>
      <c r="AD24" s="77" t="s">
        <v>8278</v>
      </c>
      <c r="AE24" s="80" t="str">
        <f>HYPERLINK("https://twitter.com/acoesbr/status/1662064079534538756")</f>
        <v>https://twitter.com/acoesbr/status/1662064079534538756</v>
      </c>
      <c r="AF24" s="79">
        <v>45072.494560185187</v>
      </c>
      <c r="AG24" s="85">
        <v>45072</v>
      </c>
      <c r="AH24" s="82" t="s">
        <v>8310</v>
      </c>
      <c r="AI24" s="77"/>
      <c r="AJ24" s="77"/>
      <c r="AK24" s="77"/>
      <c r="AL24" s="77"/>
      <c r="AM24" s="77"/>
      <c r="AN24" s="77"/>
      <c r="AO24" s="77"/>
      <c r="AP24" s="77"/>
      <c r="AQ24" s="77"/>
      <c r="AR24" s="77"/>
      <c r="AS24" s="77"/>
      <c r="AT24" s="77"/>
      <c r="AU24" s="77"/>
      <c r="AV24" s="80" t="str">
        <f>HYPERLINK("https://pbs.twimg.com/profile_images/1669410750891188225/eqFXcsqj_normal.jpg")</f>
        <v>https://pbs.twimg.com/profile_images/1669410750891188225/eqFXcsqj_normal.jpg</v>
      </c>
      <c r="AW24" s="82" t="s">
        <v>13130</v>
      </c>
      <c r="AX24" s="82" t="s">
        <v>17138</v>
      </c>
      <c r="AY24" s="82" t="s">
        <v>17313</v>
      </c>
      <c r="AZ24" s="82" t="s">
        <v>17138</v>
      </c>
      <c r="BA24" s="82" t="s">
        <v>17385</v>
      </c>
      <c r="BB24" s="82" t="s">
        <v>17385</v>
      </c>
      <c r="BC24" s="82" t="s">
        <v>17138</v>
      </c>
      <c r="BD24" s="82" t="s">
        <v>17313</v>
      </c>
      <c r="BE24" s="77"/>
      <c r="BF24" s="77"/>
      <c r="BG24" s="77"/>
      <c r="BH24" s="77"/>
      <c r="BI24" s="77"/>
    </row>
    <row r="25" spans="1:61" x14ac:dyDescent="0.25">
      <c r="A25" s="62" t="s">
        <v>226</v>
      </c>
      <c r="B25" s="62" t="s">
        <v>226</v>
      </c>
      <c r="C25" s="63"/>
      <c r="D25" s="64"/>
      <c r="E25" s="65"/>
      <c r="F25" s="66"/>
      <c r="G25" s="63"/>
      <c r="H25" s="67"/>
      <c r="I25" s="68"/>
      <c r="J25" s="68"/>
      <c r="K25" s="32"/>
      <c r="L25" s="75">
        <v>25</v>
      </c>
      <c r="M25" s="75"/>
      <c r="N25" s="70"/>
      <c r="O25" s="77" t="s">
        <v>179</v>
      </c>
      <c r="P25" s="79">
        <v>45063.981400462966</v>
      </c>
      <c r="Q25" s="77" t="s">
        <v>827</v>
      </c>
      <c r="R25" s="77">
        <v>0</v>
      </c>
      <c r="S25" s="77">
        <v>0</v>
      </c>
      <c r="T25" s="77">
        <v>0</v>
      </c>
      <c r="U25" s="77">
        <v>0</v>
      </c>
      <c r="V25" s="77">
        <v>19</v>
      </c>
      <c r="W25" s="82" t="s">
        <v>4841</v>
      </c>
      <c r="X25" s="77" t="s">
        <v>7002</v>
      </c>
      <c r="Y25" s="77" t="s">
        <v>7054</v>
      </c>
      <c r="Z25" s="77"/>
      <c r="AA25" s="77" t="s">
        <v>7176</v>
      </c>
      <c r="AB25" s="77" t="s">
        <v>8227</v>
      </c>
      <c r="AC25" s="82" t="s">
        <v>8232</v>
      </c>
      <c r="AD25" s="77" t="s">
        <v>8278</v>
      </c>
      <c r="AE25" s="80" t="str">
        <f>HYPERLINK("https://twitter.com/acoesimportam/status/1658979010108432384")</f>
        <v>https://twitter.com/acoesimportam/status/1658979010108432384</v>
      </c>
      <c r="AF25" s="79">
        <v>45063.981400462966</v>
      </c>
      <c r="AG25" s="85">
        <v>45063</v>
      </c>
      <c r="AH25" s="82" t="s">
        <v>8311</v>
      </c>
      <c r="AI25" s="77" t="b">
        <v>0</v>
      </c>
      <c r="AJ25" s="77"/>
      <c r="AK25" s="77"/>
      <c r="AL25" s="77"/>
      <c r="AM25" s="77"/>
      <c r="AN25" s="77"/>
      <c r="AO25" s="77"/>
      <c r="AP25" s="77"/>
      <c r="AQ25" s="77" t="s">
        <v>12061</v>
      </c>
      <c r="AR25" s="77">
        <v>13306</v>
      </c>
      <c r="AS25" s="77"/>
      <c r="AT25" s="77"/>
      <c r="AU25" s="77"/>
      <c r="AV25" s="80" t="str">
        <f>HYPERLINK("https://pbs.twimg.com/ext_tw_video_thumb/1658978694520512512/pu/img/MsiYESQmdEVx0vrg.jpg")</f>
        <v>https://pbs.twimg.com/ext_tw_video_thumb/1658978694520512512/pu/img/MsiYESQmdEVx0vrg.jpg</v>
      </c>
      <c r="AW25" s="82" t="s">
        <v>13131</v>
      </c>
      <c r="AX25" s="82" t="s">
        <v>13131</v>
      </c>
      <c r="AY25" s="77"/>
      <c r="AZ25" s="82" t="s">
        <v>17385</v>
      </c>
      <c r="BA25" s="82" t="s">
        <v>17385</v>
      </c>
      <c r="BB25" s="82" t="s">
        <v>17385</v>
      </c>
      <c r="BC25" s="82" t="s">
        <v>13131</v>
      </c>
      <c r="BD25" s="82" t="s">
        <v>17440</v>
      </c>
      <c r="BE25" s="77"/>
      <c r="BF25" s="77"/>
      <c r="BG25" s="77"/>
      <c r="BH25" s="77"/>
      <c r="BI25" s="77"/>
    </row>
    <row r="26" spans="1:61" x14ac:dyDescent="0.25">
      <c r="A26" s="62" t="s">
        <v>226</v>
      </c>
      <c r="B26" s="62" t="s">
        <v>226</v>
      </c>
      <c r="C26" s="63"/>
      <c r="D26" s="64"/>
      <c r="E26" s="65"/>
      <c r="F26" s="66"/>
      <c r="G26" s="63"/>
      <c r="H26" s="67"/>
      <c r="I26" s="68"/>
      <c r="J26" s="68"/>
      <c r="K26" s="32"/>
      <c r="L26" s="75">
        <v>26</v>
      </c>
      <c r="M26" s="75"/>
      <c r="N26" s="70"/>
      <c r="O26" s="77" t="s">
        <v>179</v>
      </c>
      <c r="P26" s="79">
        <v>45061.457881944443</v>
      </c>
      <c r="Q26" s="77" t="s">
        <v>828</v>
      </c>
      <c r="R26" s="77">
        <v>0</v>
      </c>
      <c r="S26" s="77">
        <v>0</v>
      </c>
      <c r="T26" s="77">
        <v>0</v>
      </c>
      <c r="U26" s="77">
        <v>0</v>
      </c>
      <c r="V26" s="77">
        <v>69</v>
      </c>
      <c r="W26" s="82" t="s">
        <v>4842</v>
      </c>
      <c r="X26" s="77"/>
      <c r="Y26" s="77"/>
      <c r="Z26" s="77"/>
      <c r="AA26" s="77" t="s">
        <v>7177</v>
      </c>
      <c r="AB26" s="77" t="s">
        <v>8227</v>
      </c>
      <c r="AC26" s="82" t="s">
        <v>8232</v>
      </c>
      <c r="AD26" s="77" t="s">
        <v>8278</v>
      </c>
      <c r="AE26" s="80" t="str">
        <f>HYPERLINK("https://twitter.com/acoesimportam/status/1658064520298868736")</f>
        <v>https://twitter.com/acoesimportam/status/1658064520298868736</v>
      </c>
      <c r="AF26" s="79">
        <v>45061.457881944443</v>
      </c>
      <c r="AG26" s="85">
        <v>45061</v>
      </c>
      <c r="AH26" s="82" t="s">
        <v>8312</v>
      </c>
      <c r="AI26" s="77" t="b">
        <v>0</v>
      </c>
      <c r="AJ26" s="77"/>
      <c r="AK26" s="77"/>
      <c r="AL26" s="77"/>
      <c r="AM26" s="77"/>
      <c r="AN26" s="77"/>
      <c r="AO26" s="77"/>
      <c r="AP26" s="77"/>
      <c r="AQ26" s="77" t="s">
        <v>12062</v>
      </c>
      <c r="AR26" s="77">
        <v>57540</v>
      </c>
      <c r="AS26" s="77"/>
      <c r="AT26" s="77"/>
      <c r="AU26" s="77"/>
      <c r="AV26" s="80" t="str">
        <f>HYPERLINK("https://pbs.twimg.com/ext_tw_video_thumb/1658064246725394437/pu/img/uoTo5k3m34ExGwTb.jpg")</f>
        <v>https://pbs.twimg.com/ext_tw_video_thumb/1658064246725394437/pu/img/uoTo5k3m34ExGwTb.jpg</v>
      </c>
      <c r="AW26" s="82" t="s">
        <v>13132</v>
      </c>
      <c r="AX26" s="82" t="s">
        <v>13132</v>
      </c>
      <c r="AY26" s="77"/>
      <c r="AZ26" s="82" t="s">
        <v>17385</v>
      </c>
      <c r="BA26" s="82" t="s">
        <v>17385</v>
      </c>
      <c r="BB26" s="82" t="s">
        <v>17385</v>
      </c>
      <c r="BC26" s="82" t="s">
        <v>13132</v>
      </c>
      <c r="BD26" s="82" t="s">
        <v>17440</v>
      </c>
      <c r="BE26" s="77"/>
      <c r="BF26" s="77"/>
      <c r="BG26" s="77"/>
      <c r="BH26" s="77"/>
      <c r="BI26" s="77"/>
    </row>
    <row r="27" spans="1:61" x14ac:dyDescent="0.25">
      <c r="A27" s="62" t="s">
        <v>226</v>
      </c>
      <c r="B27" s="62" t="s">
        <v>226</v>
      </c>
      <c r="C27" s="63"/>
      <c r="D27" s="64"/>
      <c r="E27" s="65"/>
      <c r="F27" s="66"/>
      <c r="G27" s="63"/>
      <c r="H27" s="67"/>
      <c r="I27" s="68"/>
      <c r="J27" s="68"/>
      <c r="K27" s="32"/>
      <c r="L27" s="75">
        <v>27</v>
      </c>
      <c r="M27" s="75"/>
      <c r="N27" s="70"/>
      <c r="O27" s="77" t="s">
        <v>179</v>
      </c>
      <c r="P27" s="79">
        <v>45060.438101851854</v>
      </c>
      <c r="Q27" s="77" t="s">
        <v>829</v>
      </c>
      <c r="R27" s="77">
        <v>0</v>
      </c>
      <c r="S27" s="77">
        <v>0</v>
      </c>
      <c r="T27" s="77">
        <v>0</v>
      </c>
      <c r="U27" s="77">
        <v>0</v>
      </c>
      <c r="V27" s="77">
        <v>27</v>
      </c>
      <c r="W27" s="82" t="s">
        <v>4843</v>
      </c>
      <c r="X27" s="77"/>
      <c r="Y27" s="77"/>
      <c r="Z27" s="77"/>
      <c r="AA27" s="77" t="s">
        <v>7178</v>
      </c>
      <c r="AB27" s="77" t="s">
        <v>8228</v>
      </c>
      <c r="AC27" s="82" t="s">
        <v>8232</v>
      </c>
      <c r="AD27" s="77" t="s">
        <v>8281</v>
      </c>
      <c r="AE27" s="80" t="str">
        <f>HYPERLINK("https://twitter.com/acoesimportam/status/1657694963944022018")</f>
        <v>https://twitter.com/acoesimportam/status/1657694963944022018</v>
      </c>
      <c r="AF27" s="79">
        <v>45060.438101851854</v>
      </c>
      <c r="AG27" s="85">
        <v>45060</v>
      </c>
      <c r="AH27" s="82" t="s">
        <v>8313</v>
      </c>
      <c r="AI27" s="77" t="b">
        <v>0</v>
      </c>
      <c r="AJ27" s="77"/>
      <c r="AK27" s="77"/>
      <c r="AL27" s="77"/>
      <c r="AM27" s="77"/>
      <c r="AN27" s="77"/>
      <c r="AO27" s="77"/>
      <c r="AP27" s="77"/>
      <c r="AQ27" s="77" t="s">
        <v>12063</v>
      </c>
      <c r="AR27" s="77"/>
      <c r="AS27" s="77"/>
      <c r="AT27" s="77"/>
      <c r="AU27" s="77"/>
      <c r="AV27" s="80" t="str">
        <f>HYPERLINK("https://pbs.twimg.com/media/FwFQxHoXwAI4hsB.jpg")</f>
        <v>https://pbs.twimg.com/media/FwFQxHoXwAI4hsB.jpg</v>
      </c>
      <c r="AW27" s="82" t="s">
        <v>13133</v>
      </c>
      <c r="AX27" s="82" t="s">
        <v>13133</v>
      </c>
      <c r="AY27" s="77"/>
      <c r="AZ27" s="82" t="s">
        <v>17385</v>
      </c>
      <c r="BA27" s="82" t="s">
        <v>17385</v>
      </c>
      <c r="BB27" s="82" t="s">
        <v>17385</v>
      </c>
      <c r="BC27" s="82" t="s">
        <v>13133</v>
      </c>
      <c r="BD27" s="82" t="s">
        <v>17440</v>
      </c>
      <c r="BE27" s="77"/>
      <c r="BF27" s="77"/>
      <c r="BG27" s="77"/>
      <c r="BH27" s="77"/>
      <c r="BI27" s="77"/>
    </row>
    <row r="28" spans="1:61" x14ac:dyDescent="0.25">
      <c r="A28" s="62" t="s">
        <v>226</v>
      </c>
      <c r="B28" s="62" t="s">
        <v>226</v>
      </c>
      <c r="C28" s="63"/>
      <c r="D28" s="64"/>
      <c r="E28" s="65"/>
      <c r="F28" s="66"/>
      <c r="G28" s="63"/>
      <c r="H28" s="67"/>
      <c r="I28" s="68"/>
      <c r="J28" s="68"/>
      <c r="K28" s="32"/>
      <c r="L28" s="75">
        <v>28</v>
      </c>
      <c r="M28" s="75"/>
      <c r="N28" s="70"/>
      <c r="O28" s="77" t="s">
        <v>802</v>
      </c>
      <c r="P28" s="79">
        <v>45114.934884259259</v>
      </c>
      <c r="Q28" s="77" t="s">
        <v>830</v>
      </c>
      <c r="R28" s="77">
        <v>0</v>
      </c>
      <c r="S28" s="77">
        <v>0</v>
      </c>
      <c r="T28" s="77">
        <v>0</v>
      </c>
      <c r="U28" s="77">
        <v>0</v>
      </c>
      <c r="V28" s="77">
        <v>229</v>
      </c>
      <c r="W28" s="82" t="s">
        <v>4844</v>
      </c>
      <c r="X28" s="77"/>
      <c r="Y28" s="77"/>
      <c r="Z28" s="77" t="s">
        <v>226</v>
      </c>
      <c r="AA28" s="77" t="s">
        <v>7179</v>
      </c>
      <c r="AB28" s="77" t="s">
        <v>8225</v>
      </c>
      <c r="AC28" s="82" t="s">
        <v>8232</v>
      </c>
      <c r="AD28" s="77" t="s">
        <v>8278</v>
      </c>
      <c r="AE28" s="80" t="str">
        <f>HYPERLINK("https://twitter.com/acoesimportam/status/1677443937601028096")</f>
        <v>https://twitter.com/acoesimportam/status/1677443937601028096</v>
      </c>
      <c r="AF28" s="79">
        <v>45114.934884259259</v>
      </c>
      <c r="AG28" s="85">
        <v>45114</v>
      </c>
      <c r="AH28" s="82" t="s">
        <v>8314</v>
      </c>
      <c r="AI28" s="77" t="b">
        <v>0</v>
      </c>
      <c r="AJ28" s="77"/>
      <c r="AK28" s="77"/>
      <c r="AL28" s="77"/>
      <c r="AM28" s="77"/>
      <c r="AN28" s="77"/>
      <c r="AO28" s="77"/>
      <c r="AP28" s="77"/>
      <c r="AQ28" s="77" t="s">
        <v>12064</v>
      </c>
      <c r="AR28" s="77"/>
      <c r="AS28" s="77"/>
      <c r="AT28" s="77"/>
      <c r="AU28" s="77"/>
      <c r="AV28" s="80" t="str">
        <f>HYPERLINK("https://pbs.twimg.com/media/F0d6WmjXoAAuQQ8.jpg")</f>
        <v>https://pbs.twimg.com/media/F0d6WmjXoAAuQQ8.jpg</v>
      </c>
      <c r="AW28" s="82" t="s">
        <v>13134</v>
      </c>
      <c r="AX28" s="82" t="s">
        <v>13134</v>
      </c>
      <c r="AY28" s="77"/>
      <c r="AZ28" s="82" t="s">
        <v>17385</v>
      </c>
      <c r="BA28" s="82" t="s">
        <v>17385</v>
      </c>
      <c r="BB28" s="82" t="s">
        <v>17385</v>
      </c>
      <c r="BC28" s="82" t="s">
        <v>13134</v>
      </c>
      <c r="BD28" s="82" t="s">
        <v>17440</v>
      </c>
      <c r="BE28" s="77"/>
      <c r="BF28" s="77"/>
      <c r="BG28" s="77"/>
      <c r="BH28" s="77"/>
      <c r="BI28" s="77"/>
    </row>
    <row r="29" spans="1:61" x14ac:dyDescent="0.25">
      <c r="A29" s="62" t="s">
        <v>226</v>
      </c>
      <c r="B29" s="62" t="s">
        <v>226</v>
      </c>
      <c r="C29" s="63"/>
      <c r="D29" s="64"/>
      <c r="E29" s="65"/>
      <c r="F29" s="66"/>
      <c r="G29" s="63"/>
      <c r="H29" s="67"/>
      <c r="I29" s="68"/>
      <c r="J29" s="68"/>
      <c r="K29" s="32"/>
      <c r="L29" s="75">
        <v>29</v>
      </c>
      <c r="M29" s="75"/>
      <c r="N29" s="70"/>
      <c r="O29" s="77" t="s">
        <v>179</v>
      </c>
      <c r="P29" s="79">
        <v>45070.585925925923</v>
      </c>
      <c r="Q29" s="77" t="s">
        <v>831</v>
      </c>
      <c r="R29" s="77">
        <v>0</v>
      </c>
      <c r="S29" s="77">
        <v>1</v>
      </c>
      <c r="T29" s="77">
        <v>0</v>
      </c>
      <c r="U29" s="77">
        <v>0</v>
      </c>
      <c r="V29" s="77">
        <v>135</v>
      </c>
      <c r="W29" s="82" t="s">
        <v>4845</v>
      </c>
      <c r="X29" s="77"/>
      <c r="Y29" s="77"/>
      <c r="Z29" s="77"/>
      <c r="AA29" s="77" t="s">
        <v>7180</v>
      </c>
      <c r="AB29" s="77" t="s">
        <v>8228</v>
      </c>
      <c r="AC29" s="82" t="s">
        <v>8232</v>
      </c>
      <c r="AD29" s="77" t="s">
        <v>8281</v>
      </c>
      <c r="AE29" s="80" t="str">
        <f>HYPERLINK("https://twitter.com/acoesimportam/status/1661372412275949569")</f>
        <v>https://twitter.com/acoesimportam/status/1661372412275949569</v>
      </c>
      <c r="AF29" s="79">
        <v>45070.585925925923</v>
      </c>
      <c r="AG29" s="85">
        <v>45070</v>
      </c>
      <c r="AH29" s="82" t="s">
        <v>8315</v>
      </c>
      <c r="AI29" s="77" t="b">
        <v>0</v>
      </c>
      <c r="AJ29" s="77"/>
      <c r="AK29" s="77"/>
      <c r="AL29" s="77"/>
      <c r="AM29" s="77"/>
      <c r="AN29" s="77"/>
      <c r="AO29" s="77"/>
      <c r="AP29" s="77"/>
      <c r="AQ29" s="77" t="s">
        <v>12065</v>
      </c>
      <c r="AR29" s="77"/>
      <c r="AS29" s="77"/>
      <c r="AT29" s="77"/>
      <c r="AU29" s="77"/>
      <c r="AV29" s="80" t="str">
        <f>HYPERLINK("https://pbs.twimg.com/media/Fw5hX0jWwAEYPow.jpg")</f>
        <v>https://pbs.twimg.com/media/Fw5hX0jWwAEYPow.jpg</v>
      </c>
      <c r="AW29" s="82" t="s">
        <v>13135</v>
      </c>
      <c r="AX29" s="82" t="s">
        <v>13135</v>
      </c>
      <c r="AY29" s="77"/>
      <c r="AZ29" s="82" t="s">
        <v>17385</v>
      </c>
      <c r="BA29" s="82" t="s">
        <v>17385</v>
      </c>
      <c r="BB29" s="82" t="s">
        <v>17385</v>
      </c>
      <c r="BC29" s="82" t="s">
        <v>13135</v>
      </c>
      <c r="BD29" s="82" t="s">
        <v>17440</v>
      </c>
      <c r="BE29" s="77"/>
      <c r="BF29" s="77"/>
      <c r="BG29" s="77"/>
      <c r="BH29" s="77"/>
      <c r="BI29" s="77"/>
    </row>
    <row r="30" spans="1:61" x14ac:dyDescent="0.25">
      <c r="A30" s="62" t="s">
        <v>226</v>
      </c>
      <c r="B30" s="62" t="s">
        <v>226</v>
      </c>
      <c r="C30" s="63"/>
      <c r="D30" s="64"/>
      <c r="E30" s="65"/>
      <c r="F30" s="66"/>
      <c r="G30" s="63"/>
      <c r="H30" s="67"/>
      <c r="I30" s="68"/>
      <c r="J30" s="68"/>
      <c r="K30" s="32"/>
      <c r="L30" s="75">
        <v>30</v>
      </c>
      <c r="M30" s="75"/>
      <c r="N30" s="70"/>
      <c r="O30" s="77" t="s">
        <v>179</v>
      </c>
      <c r="P30" s="79">
        <v>45069.402881944443</v>
      </c>
      <c r="Q30" s="77" t="s">
        <v>832</v>
      </c>
      <c r="R30" s="77">
        <v>0</v>
      </c>
      <c r="S30" s="77">
        <v>1</v>
      </c>
      <c r="T30" s="77">
        <v>0</v>
      </c>
      <c r="U30" s="77">
        <v>0</v>
      </c>
      <c r="V30" s="77">
        <v>67</v>
      </c>
      <c r="W30" s="82" t="s">
        <v>4846</v>
      </c>
      <c r="X30" s="77"/>
      <c r="Y30" s="77"/>
      <c r="Z30" s="77"/>
      <c r="AA30" s="77" t="s">
        <v>7181</v>
      </c>
      <c r="AB30" s="77" t="s">
        <v>8228</v>
      </c>
      <c r="AC30" s="82" t="s">
        <v>8232</v>
      </c>
      <c r="AD30" s="77" t="s">
        <v>8281</v>
      </c>
      <c r="AE30" s="80" t="str">
        <f>HYPERLINK("https://twitter.com/acoesimportam/status/1660943690448134144")</f>
        <v>https://twitter.com/acoesimportam/status/1660943690448134144</v>
      </c>
      <c r="AF30" s="79">
        <v>45069.402881944443</v>
      </c>
      <c r="AG30" s="85">
        <v>45069</v>
      </c>
      <c r="AH30" s="82" t="s">
        <v>8316</v>
      </c>
      <c r="AI30" s="77" t="b">
        <v>0</v>
      </c>
      <c r="AJ30" s="77"/>
      <c r="AK30" s="77"/>
      <c r="AL30" s="77"/>
      <c r="AM30" s="77"/>
      <c r="AN30" s="77"/>
      <c r="AO30" s="77"/>
      <c r="AP30" s="77"/>
      <c r="AQ30" s="77" t="s">
        <v>12066</v>
      </c>
      <c r="AR30" s="77"/>
      <c r="AS30" s="77"/>
      <c r="AT30" s="77"/>
      <c r="AU30" s="77"/>
      <c r="AV30" s="80" t="str">
        <f>HYPERLINK("https://pbs.twimg.com/media/FwzbdEsWYAID0v_.jpg")</f>
        <v>https://pbs.twimg.com/media/FwzbdEsWYAID0v_.jpg</v>
      </c>
      <c r="AW30" s="82" t="s">
        <v>13136</v>
      </c>
      <c r="AX30" s="82" t="s">
        <v>13136</v>
      </c>
      <c r="AY30" s="77"/>
      <c r="AZ30" s="82" t="s">
        <v>17385</v>
      </c>
      <c r="BA30" s="82" t="s">
        <v>17385</v>
      </c>
      <c r="BB30" s="82" t="s">
        <v>17385</v>
      </c>
      <c r="BC30" s="82" t="s">
        <v>13136</v>
      </c>
      <c r="BD30" s="82" t="s">
        <v>17440</v>
      </c>
      <c r="BE30" s="77"/>
      <c r="BF30" s="77"/>
      <c r="BG30" s="77"/>
      <c r="BH30" s="77"/>
      <c r="BI30" s="77"/>
    </row>
    <row r="31" spans="1:61" x14ac:dyDescent="0.25">
      <c r="A31" s="62" t="s">
        <v>226</v>
      </c>
      <c r="B31" s="62" t="s">
        <v>226</v>
      </c>
      <c r="C31" s="63"/>
      <c r="D31" s="64"/>
      <c r="E31" s="65"/>
      <c r="F31" s="66"/>
      <c r="G31" s="63"/>
      <c r="H31" s="67"/>
      <c r="I31" s="68"/>
      <c r="J31" s="68"/>
      <c r="K31" s="32"/>
      <c r="L31" s="75">
        <v>31</v>
      </c>
      <c r="M31" s="75"/>
      <c r="N31" s="70"/>
      <c r="O31" s="77" t="s">
        <v>802</v>
      </c>
      <c r="P31" s="79">
        <v>45139.403252314813</v>
      </c>
      <c r="Q31" s="77" t="s">
        <v>833</v>
      </c>
      <c r="R31" s="77">
        <v>0</v>
      </c>
      <c r="S31" s="77">
        <v>0</v>
      </c>
      <c r="T31" s="77">
        <v>0</v>
      </c>
      <c r="U31" s="77">
        <v>0</v>
      </c>
      <c r="V31" s="77">
        <v>350</v>
      </c>
      <c r="W31" s="82" t="s">
        <v>4847</v>
      </c>
      <c r="X31" s="77"/>
      <c r="Y31" s="77"/>
      <c r="Z31" s="77" t="s">
        <v>226</v>
      </c>
      <c r="AA31" s="77" t="s">
        <v>7182</v>
      </c>
      <c r="AB31" s="77" t="s">
        <v>8229</v>
      </c>
      <c r="AC31" s="82" t="s">
        <v>8232</v>
      </c>
      <c r="AD31" s="77" t="s">
        <v>8278</v>
      </c>
      <c r="AE31" s="80" t="str">
        <f>HYPERLINK("https://twitter.com/acoesimportam/status/1686310976843341824")</f>
        <v>https://twitter.com/acoesimportam/status/1686310976843341824</v>
      </c>
      <c r="AF31" s="79">
        <v>45139.403252314813</v>
      </c>
      <c r="AG31" s="85">
        <v>45139</v>
      </c>
      <c r="AH31" s="82" t="s">
        <v>8317</v>
      </c>
      <c r="AI31" s="77" t="b">
        <v>0</v>
      </c>
      <c r="AJ31" s="77"/>
      <c r="AK31" s="77"/>
      <c r="AL31" s="77"/>
      <c r="AM31" s="77"/>
      <c r="AN31" s="77"/>
      <c r="AO31" s="77"/>
      <c r="AP31" s="77"/>
      <c r="AQ31" s="77" t="s">
        <v>12067</v>
      </c>
      <c r="AR31" s="77"/>
      <c r="AS31" s="77"/>
      <c r="AT31" s="77"/>
      <c r="AU31" s="77"/>
      <c r="AV31" s="80" t="str">
        <f>HYPERLINK("https://pbs.twimg.com/media/F2b64xhWgAEq-CG.jpg")</f>
        <v>https://pbs.twimg.com/media/F2b64xhWgAEq-CG.jpg</v>
      </c>
      <c r="AW31" s="82" t="s">
        <v>13137</v>
      </c>
      <c r="AX31" s="82" t="s">
        <v>13137</v>
      </c>
      <c r="AY31" s="77"/>
      <c r="AZ31" s="82" t="s">
        <v>17385</v>
      </c>
      <c r="BA31" s="82" t="s">
        <v>17385</v>
      </c>
      <c r="BB31" s="82" t="s">
        <v>17385</v>
      </c>
      <c r="BC31" s="82" t="s">
        <v>13137</v>
      </c>
      <c r="BD31" s="82" t="s">
        <v>17440</v>
      </c>
      <c r="BE31" s="77"/>
      <c r="BF31" s="77"/>
      <c r="BG31" s="77"/>
      <c r="BH31" s="77"/>
      <c r="BI31" s="77"/>
    </row>
    <row r="32" spans="1:61" x14ac:dyDescent="0.25">
      <c r="A32" s="62" t="s">
        <v>226</v>
      </c>
      <c r="B32" s="62" t="s">
        <v>226</v>
      </c>
      <c r="C32" s="63"/>
      <c r="D32" s="64"/>
      <c r="E32" s="65"/>
      <c r="F32" s="66"/>
      <c r="G32" s="63"/>
      <c r="H32" s="67"/>
      <c r="I32" s="68"/>
      <c r="J32" s="68"/>
      <c r="K32" s="32"/>
      <c r="L32" s="75">
        <v>32</v>
      </c>
      <c r="M32" s="75"/>
      <c r="N32" s="70"/>
      <c r="O32" s="77" t="s">
        <v>802</v>
      </c>
      <c r="P32" s="79">
        <v>45109.865787037037</v>
      </c>
      <c r="Q32" s="77" t="s">
        <v>834</v>
      </c>
      <c r="R32" s="77">
        <v>0</v>
      </c>
      <c r="S32" s="77">
        <v>0</v>
      </c>
      <c r="T32" s="77">
        <v>0</v>
      </c>
      <c r="U32" s="77">
        <v>0</v>
      </c>
      <c r="V32" s="77">
        <v>17</v>
      </c>
      <c r="W32" s="82" t="s">
        <v>4848</v>
      </c>
      <c r="X32" s="77"/>
      <c r="Y32" s="77"/>
      <c r="Z32" s="77" t="s">
        <v>226</v>
      </c>
      <c r="AA32" s="77" t="s">
        <v>7183</v>
      </c>
      <c r="AB32" s="77" t="s">
        <v>8225</v>
      </c>
      <c r="AC32" s="82" t="s">
        <v>8232</v>
      </c>
      <c r="AD32" s="77" t="s">
        <v>8278</v>
      </c>
      <c r="AE32" s="80" t="str">
        <f>HYPERLINK("https://twitter.com/acoesimportam/status/1675606955195236355")</f>
        <v>https://twitter.com/acoesimportam/status/1675606955195236355</v>
      </c>
      <c r="AF32" s="79">
        <v>45109.865787037037</v>
      </c>
      <c r="AG32" s="85">
        <v>45109</v>
      </c>
      <c r="AH32" s="82" t="s">
        <v>8318</v>
      </c>
      <c r="AI32" s="77" t="b">
        <v>0</v>
      </c>
      <c r="AJ32" s="77"/>
      <c r="AK32" s="77"/>
      <c r="AL32" s="77"/>
      <c r="AM32" s="77"/>
      <c r="AN32" s="77"/>
      <c r="AO32" s="77"/>
      <c r="AP32" s="77"/>
      <c r="AQ32" s="77" t="s">
        <v>12068</v>
      </c>
      <c r="AR32" s="77"/>
      <c r="AS32" s="77"/>
      <c r="AT32" s="77"/>
      <c r="AU32" s="77"/>
      <c r="AV32" s="80" t="str">
        <f>HYPERLINK("https://pbs.twimg.com/media/F0DzgQ_WYAUrcQy.png")</f>
        <v>https://pbs.twimg.com/media/F0DzgQ_WYAUrcQy.png</v>
      </c>
      <c r="AW32" s="82" t="s">
        <v>13138</v>
      </c>
      <c r="AX32" s="82" t="s">
        <v>13138</v>
      </c>
      <c r="AY32" s="77"/>
      <c r="AZ32" s="82" t="s">
        <v>17385</v>
      </c>
      <c r="BA32" s="82" t="s">
        <v>17385</v>
      </c>
      <c r="BB32" s="82" t="s">
        <v>17385</v>
      </c>
      <c r="BC32" s="82" t="s">
        <v>13138</v>
      </c>
      <c r="BD32" s="82" t="s">
        <v>17440</v>
      </c>
      <c r="BE32" s="77"/>
      <c r="BF32" s="77"/>
      <c r="BG32" s="77"/>
      <c r="BH32" s="77"/>
      <c r="BI32" s="77"/>
    </row>
    <row r="33" spans="1:61" x14ac:dyDescent="0.25">
      <c r="A33" s="62" t="s">
        <v>226</v>
      </c>
      <c r="B33" s="62" t="s">
        <v>226</v>
      </c>
      <c r="C33" s="63"/>
      <c r="D33" s="64"/>
      <c r="E33" s="65"/>
      <c r="F33" s="66"/>
      <c r="G33" s="63"/>
      <c r="H33" s="67"/>
      <c r="I33" s="68"/>
      <c r="J33" s="68"/>
      <c r="K33" s="32"/>
      <c r="L33" s="75">
        <v>33</v>
      </c>
      <c r="M33" s="75"/>
      <c r="N33" s="70"/>
      <c r="O33" s="77" t="s">
        <v>179</v>
      </c>
      <c r="P33" s="79">
        <v>45072.073310185187</v>
      </c>
      <c r="Q33" s="77" t="s">
        <v>835</v>
      </c>
      <c r="R33" s="77">
        <v>1</v>
      </c>
      <c r="S33" s="77">
        <v>1</v>
      </c>
      <c r="T33" s="77">
        <v>0</v>
      </c>
      <c r="U33" s="77">
        <v>0</v>
      </c>
      <c r="V33" s="77">
        <v>347</v>
      </c>
      <c r="W33" s="82" t="s">
        <v>4849</v>
      </c>
      <c r="X33" s="77"/>
      <c r="Y33" s="77"/>
      <c r="Z33" s="77"/>
      <c r="AA33" s="77" t="s">
        <v>7184</v>
      </c>
      <c r="AB33" s="77" t="s">
        <v>8227</v>
      </c>
      <c r="AC33" s="82" t="s">
        <v>8232</v>
      </c>
      <c r="AD33" s="77" t="s">
        <v>8281</v>
      </c>
      <c r="AE33" s="80" t="str">
        <f>HYPERLINK("https://twitter.com/acoesimportam/status/1661911422727602177")</f>
        <v>https://twitter.com/acoesimportam/status/1661911422727602177</v>
      </c>
      <c r="AF33" s="79">
        <v>45072.073310185187</v>
      </c>
      <c r="AG33" s="85">
        <v>45072</v>
      </c>
      <c r="AH33" s="82" t="s">
        <v>8319</v>
      </c>
      <c r="AI33" s="77" t="b">
        <v>0</v>
      </c>
      <c r="AJ33" s="77"/>
      <c r="AK33" s="77"/>
      <c r="AL33" s="77"/>
      <c r="AM33" s="77"/>
      <c r="AN33" s="77"/>
      <c r="AO33" s="77"/>
      <c r="AP33" s="77"/>
      <c r="AQ33" s="77" t="s">
        <v>12069</v>
      </c>
      <c r="AR33" s="77">
        <v>7383</v>
      </c>
      <c r="AS33" s="77"/>
      <c r="AT33" s="77"/>
      <c r="AU33" s="77"/>
      <c r="AV33" s="80" t="str">
        <f>HYPERLINK("https://pbs.twimg.com/ext_tw_video_thumb/1661911244557672452/pu/img/iMntSsqQiJrHuOSD.jpg")</f>
        <v>https://pbs.twimg.com/ext_tw_video_thumb/1661911244557672452/pu/img/iMntSsqQiJrHuOSD.jpg</v>
      </c>
      <c r="AW33" s="82" t="s">
        <v>13139</v>
      </c>
      <c r="AX33" s="82" t="s">
        <v>13139</v>
      </c>
      <c r="AY33" s="77"/>
      <c r="AZ33" s="82" t="s">
        <v>17385</v>
      </c>
      <c r="BA33" s="82" t="s">
        <v>17385</v>
      </c>
      <c r="BB33" s="82" t="s">
        <v>17385</v>
      </c>
      <c r="BC33" s="82" t="s">
        <v>13139</v>
      </c>
      <c r="BD33" s="82" t="s">
        <v>17440</v>
      </c>
      <c r="BE33" s="77"/>
      <c r="BF33" s="77"/>
      <c r="BG33" s="77"/>
      <c r="BH33" s="77"/>
      <c r="BI33" s="77"/>
    </row>
    <row r="34" spans="1:61" x14ac:dyDescent="0.25">
      <c r="A34" s="62" t="s">
        <v>226</v>
      </c>
      <c r="B34" s="62" t="s">
        <v>226</v>
      </c>
      <c r="C34" s="63"/>
      <c r="D34" s="64"/>
      <c r="E34" s="65"/>
      <c r="F34" s="66"/>
      <c r="G34" s="63"/>
      <c r="H34" s="67"/>
      <c r="I34" s="68"/>
      <c r="J34" s="68"/>
      <c r="K34" s="32"/>
      <c r="L34" s="75">
        <v>34</v>
      </c>
      <c r="M34" s="75"/>
      <c r="N34" s="70"/>
      <c r="O34" s="77" t="s">
        <v>802</v>
      </c>
      <c r="P34" s="79">
        <v>45071.643622685187</v>
      </c>
      <c r="Q34" s="77" t="s">
        <v>836</v>
      </c>
      <c r="R34" s="77">
        <v>0</v>
      </c>
      <c r="S34" s="77">
        <v>0</v>
      </c>
      <c r="T34" s="77">
        <v>0</v>
      </c>
      <c r="U34" s="77">
        <v>0</v>
      </c>
      <c r="V34" s="77">
        <v>224</v>
      </c>
      <c r="W34" s="82" t="s">
        <v>4850</v>
      </c>
      <c r="X34" s="77"/>
      <c r="Y34" s="77"/>
      <c r="Z34" s="77" t="s">
        <v>226</v>
      </c>
      <c r="AA34" s="77" t="s">
        <v>7185</v>
      </c>
      <c r="AB34" s="77" t="s">
        <v>8225</v>
      </c>
      <c r="AC34" s="82" t="s">
        <v>8232</v>
      </c>
      <c r="AD34" s="77" t="s">
        <v>8278</v>
      </c>
      <c r="AE34" s="80" t="str">
        <f>HYPERLINK("https://twitter.com/acoesimportam/status/1661755707363061761")</f>
        <v>https://twitter.com/acoesimportam/status/1661755707363061761</v>
      </c>
      <c r="AF34" s="79">
        <v>45071.643622685187</v>
      </c>
      <c r="AG34" s="85">
        <v>45071</v>
      </c>
      <c r="AH34" s="82" t="s">
        <v>8320</v>
      </c>
      <c r="AI34" s="77" t="b">
        <v>0</v>
      </c>
      <c r="AJ34" s="77"/>
      <c r="AK34" s="77"/>
      <c r="AL34" s="77"/>
      <c r="AM34" s="77"/>
      <c r="AN34" s="77"/>
      <c r="AO34" s="77"/>
      <c r="AP34" s="77"/>
      <c r="AQ34" s="77" t="s">
        <v>12070</v>
      </c>
      <c r="AR34" s="77"/>
      <c r="AS34" s="77"/>
      <c r="AT34" s="77"/>
      <c r="AU34" s="77"/>
      <c r="AV34" s="80" t="str">
        <f>HYPERLINK("https://pbs.twimg.com/media/Fw-91pMacAIcMIv.jpg")</f>
        <v>https://pbs.twimg.com/media/Fw-91pMacAIcMIv.jpg</v>
      </c>
      <c r="AW34" s="82" t="s">
        <v>13140</v>
      </c>
      <c r="AX34" s="82" t="s">
        <v>13140</v>
      </c>
      <c r="AY34" s="77"/>
      <c r="AZ34" s="82" t="s">
        <v>17385</v>
      </c>
      <c r="BA34" s="82" t="s">
        <v>17385</v>
      </c>
      <c r="BB34" s="82" t="s">
        <v>17385</v>
      </c>
      <c r="BC34" s="82" t="s">
        <v>13140</v>
      </c>
      <c r="BD34" s="82" t="s">
        <v>17440</v>
      </c>
      <c r="BE34" s="77"/>
      <c r="BF34" s="77"/>
      <c r="BG34" s="77"/>
      <c r="BH34" s="77"/>
      <c r="BI34" s="77"/>
    </row>
    <row r="35" spans="1:61" x14ac:dyDescent="0.25">
      <c r="A35" s="62" t="s">
        <v>226</v>
      </c>
      <c r="B35" s="62" t="s">
        <v>226</v>
      </c>
      <c r="C35" s="63"/>
      <c r="D35" s="64"/>
      <c r="E35" s="65"/>
      <c r="F35" s="66"/>
      <c r="G35" s="63"/>
      <c r="H35" s="67"/>
      <c r="I35" s="68"/>
      <c r="J35" s="68"/>
      <c r="K35" s="32"/>
      <c r="L35" s="75">
        <v>35</v>
      </c>
      <c r="M35" s="75"/>
      <c r="N35" s="70"/>
      <c r="O35" s="77" t="s">
        <v>802</v>
      </c>
      <c r="P35" s="79">
        <v>45149.932245370372</v>
      </c>
      <c r="Q35" s="77" t="s">
        <v>837</v>
      </c>
      <c r="R35" s="77">
        <v>0</v>
      </c>
      <c r="S35" s="77">
        <v>0</v>
      </c>
      <c r="T35" s="77">
        <v>0</v>
      </c>
      <c r="U35" s="77">
        <v>0</v>
      </c>
      <c r="V35" s="77">
        <v>22</v>
      </c>
      <c r="W35" s="82" t="s">
        <v>4851</v>
      </c>
      <c r="X35" s="77"/>
      <c r="Y35" s="77"/>
      <c r="Z35" s="77" t="s">
        <v>226</v>
      </c>
      <c r="AA35" s="77"/>
      <c r="AB35" s="77"/>
      <c r="AC35" s="82" t="s">
        <v>8232</v>
      </c>
      <c r="AD35" s="77" t="s">
        <v>8278</v>
      </c>
      <c r="AE35" s="80" t="str">
        <f>HYPERLINK("https://twitter.com/acoesimportam/status/1690126556893421569")</f>
        <v>https://twitter.com/acoesimportam/status/1690126556893421569</v>
      </c>
      <c r="AF35" s="79">
        <v>45149.932245370372</v>
      </c>
      <c r="AG35" s="85">
        <v>45149</v>
      </c>
      <c r="AH35" s="82" t="s">
        <v>8321</v>
      </c>
      <c r="AI35" s="77"/>
      <c r="AJ35" s="77"/>
      <c r="AK35" s="77"/>
      <c r="AL35" s="77"/>
      <c r="AM35" s="77"/>
      <c r="AN35" s="77"/>
      <c r="AO35" s="77"/>
      <c r="AP35" s="77"/>
      <c r="AQ35" s="77"/>
      <c r="AR35" s="77"/>
      <c r="AS35" s="77"/>
      <c r="AT35" s="77"/>
      <c r="AU35" s="77"/>
      <c r="AV35" s="80" t="str">
        <f>HYPERLINK("https://pbs.twimg.com/profile_images/1498585810316181504/Q-noc7Ef_normal.jpg")</f>
        <v>https://pbs.twimg.com/profile_images/1498585810316181504/Q-noc7Ef_normal.jpg</v>
      </c>
      <c r="AW35" s="82" t="s">
        <v>13141</v>
      </c>
      <c r="AX35" s="82" t="s">
        <v>13141</v>
      </c>
      <c r="AY35" s="77"/>
      <c r="AZ35" s="82" t="s">
        <v>17385</v>
      </c>
      <c r="BA35" s="82" t="s">
        <v>17385</v>
      </c>
      <c r="BB35" s="82" t="s">
        <v>17385</v>
      </c>
      <c r="BC35" s="82" t="s">
        <v>13141</v>
      </c>
      <c r="BD35" s="82" t="s">
        <v>17440</v>
      </c>
      <c r="BE35" s="77"/>
      <c r="BF35" s="77"/>
      <c r="BG35" s="77"/>
      <c r="BH35" s="77"/>
      <c r="BI35" s="77"/>
    </row>
    <row r="36" spans="1:61" x14ac:dyDescent="0.25">
      <c r="A36" s="62" t="s">
        <v>226</v>
      </c>
      <c r="B36" s="62" t="s">
        <v>226</v>
      </c>
      <c r="C36" s="63"/>
      <c r="D36" s="64"/>
      <c r="E36" s="65"/>
      <c r="F36" s="66"/>
      <c r="G36" s="63"/>
      <c r="H36" s="67"/>
      <c r="I36" s="68"/>
      <c r="J36" s="68"/>
      <c r="K36" s="32"/>
      <c r="L36" s="75">
        <v>36</v>
      </c>
      <c r="M36" s="75"/>
      <c r="N36" s="70"/>
      <c r="O36" s="77" t="s">
        <v>179</v>
      </c>
      <c r="P36" s="79">
        <v>45057.491238425922</v>
      </c>
      <c r="Q36" s="77" t="s">
        <v>838</v>
      </c>
      <c r="R36" s="77">
        <v>0</v>
      </c>
      <c r="S36" s="77">
        <v>1</v>
      </c>
      <c r="T36" s="77">
        <v>0</v>
      </c>
      <c r="U36" s="77">
        <v>0</v>
      </c>
      <c r="V36" s="77">
        <v>153</v>
      </c>
      <c r="W36" s="82" t="s">
        <v>4852</v>
      </c>
      <c r="X36" s="77"/>
      <c r="Y36" s="77"/>
      <c r="Z36" s="77"/>
      <c r="AA36" s="77" t="s">
        <v>7186</v>
      </c>
      <c r="AB36" s="77" t="s">
        <v>8225</v>
      </c>
      <c r="AC36" s="82" t="s">
        <v>8232</v>
      </c>
      <c r="AD36" s="77" t="s">
        <v>8278</v>
      </c>
      <c r="AE36" s="80" t="str">
        <f>HYPERLINK("https://twitter.com/acoesimportam/status/1656627057424515077")</f>
        <v>https://twitter.com/acoesimportam/status/1656627057424515077</v>
      </c>
      <c r="AF36" s="79">
        <v>45057.491238425922</v>
      </c>
      <c r="AG36" s="85">
        <v>45057</v>
      </c>
      <c r="AH36" s="82" t="s">
        <v>8322</v>
      </c>
      <c r="AI36" s="77" t="b">
        <v>0</v>
      </c>
      <c r="AJ36" s="77"/>
      <c r="AK36" s="77"/>
      <c r="AL36" s="77"/>
      <c r="AM36" s="77"/>
      <c r="AN36" s="77"/>
      <c r="AO36" s="77"/>
      <c r="AP36" s="77"/>
      <c r="AQ36" s="77" t="s">
        <v>12071</v>
      </c>
      <c r="AR36" s="77"/>
      <c r="AS36" s="77"/>
      <c r="AT36" s="77"/>
      <c r="AU36" s="77"/>
      <c r="AV36" s="80" t="str">
        <f>HYPERLINK("https://pbs.twimg.com/media/Fv2FTk8WIAAT4ac.jpg")</f>
        <v>https://pbs.twimg.com/media/Fv2FTk8WIAAT4ac.jpg</v>
      </c>
      <c r="AW36" s="82" t="s">
        <v>13142</v>
      </c>
      <c r="AX36" s="82" t="s">
        <v>13142</v>
      </c>
      <c r="AY36" s="77"/>
      <c r="AZ36" s="82" t="s">
        <v>17385</v>
      </c>
      <c r="BA36" s="82" t="s">
        <v>17385</v>
      </c>
      <c r="BB36" s="82" t="s">
        <v>17385</v>
      </c>
      <c r="BC36" s="82" t="s">
        <v>13142</v>
      </c>
      <c r="BD36" s="82" t="s">
        <v>17440</v>
      </c>
      <c r="BE36" s="77"/>
      <c r="BF36" s="77"/>
      <c r="BG36" s="77"/>
      <c r="BH36" s="77"/>
      <c r="BI36" s="77"/>
    </row>
    <row r="37" spans="1:61" x14ac:dyDescent="0.25">
      <c r="A37" s="62" t="s">
        <v>226</v>
      </c>
      <c r="B37" s="62" t="s">
        <v>226</v>
      </c>
      <c r="C37" s="63"/>
      <c r="D37" s="64"/>
      <c r="E37" s="65"/>
      <c r="F37" s="66"/>
      <c r="G37" s="63"/>
      <c r="H37" s="67"/>
      <c r="I37" s="68"/>
      <c r="J37" s="68"/>
      <c r="K37" s="32"/>
      <c r="L37" s="75">
        <v>37</v>
      </c>
      <c r="M37" s="75"/>
      <c r="N37" s="70"/>
      <c r="O37" s="77" t="s">
        <v>179</v>
      </c>
      <c r="P37" s="79">
        <v>45056.427557870367</v>
      </c>
      <c r="Q37" s="77" t="s">
        <v>839</v>
      </c>
      <c r="R37" s="77">
        <v>0</v>
      </c>
      <c r="S37" s="77">
        <v>0</v>
      </c>
      <c r="T37" s="77">
        <v>0</v>
      </c>
      <c r="U37" s="77">
        <v>0</v>
      </c>
      <c r="V37" s="77">
        <v>25</v>
      </c>
      <c r="W37" s="82" t="s">
        <v>4853</v>
      </c>
      <c r="X37" s="77"/>
      <c r="Y37" s="77"/>
      <c r="Z37" s="77"/>
      <c r="AA37" s="77" t="s">
        <v>7187</v>
      </c>
      <c r="AB37" s="77" t="s">
        <v>8225</v>
      </c>
      <c r="AC37" s="82" t="s">
        <v>8232</v>
      </c>
      <c r="AD37" s="77" t="s">
        <v>8278</v>
      </c>
      <c r="AE37" s="80" t="str">
        <f>HYPERLINK("https://twitter.com/acoesimportam/status/1656241591449706499")</f>
        <v>https://twitter.com/acoesimportam/status/1656241591449706499</v>
      </c>
      <c r="AF37" s="79">
        <v>45056.427557870367</v>
      </c>
      <c r="AG37" s="85">
        <v>45056</v>
      </c>
      <c r="AH37" s="82" t="s">
        <v>8323</v>
      </c>
      <c r="AI37" s="77" t="b">
        <v>0</v>
      </c>
      <c r="AJ37" s="77"/>
      <c r="AK37" s="77"/>
      <c r="AL37" s="77"/>
      <c r="AM37" s="77"/>
      <c r="AN37" s="77"/>
      <c r="AO37" s="77"/>
      <c r="AP37" s="77"/>
      <c r="AQ37" s="77" t="s">
        <v>12072</v>
      </c>
      <c r="AR37" s="77"/>
      <c r="AS37" s="77"/>
      <c r="AT37" s="77"/>
      <c r="AU37" s="77"/>
      <c r="AV37" s="80" t="str">
        <f>HYPERLINK("https://pbs.twimg.com/media/Fvwm8WMWYAEBWwd.jpg")</f>
        <v>https://pbs.twimg.com/media/Fvwm8WMWYAEBWwd.jpg</v>
      </c>
      <c r="AW37" s="82" t="s">
        <v>13143</v>
      </c>
      <c r="AX37" s="82" t="s">
        <v>13143</v>
      </c>
      <c r="AY37" s="77"/>
      <c r="AZ37" s="82" t="s">
        <v>17385</v>
      </c>
      <c r="BA37" s="82" t="s">
        <v>17385</v>
      </c>
      <c r="BB37" s="82" t="s">
        <v>17385</v>
      </c>
      <c r="BC37" s="82" t="s">
        <v>13143</v>
      </c>
      <c r="BD37" s="82" t="s">
        <v>17440</v>
      </c>
      <c r="BE37" s="77"/>
      <c r="BF37" s="77"/>
      <c r="BG37" s="77"/>
      <c r="BH37" s="77"/>
      <c r="BI37" s="77"/>
    </row>
    <row r="38" spans="1:61" x14ac:dyDescent="0.25">
      <c r="A38" s="62" t="s">
        <v>226</v>
      </c>
      <c r="B38" s="62" t="s">
        <v>226</v>
      </c>
      <c r="C38" s="63"/>
      <c r="D38" s="64"/>
      <c r="E38" s="65"/>
      <c r="F38" s="66"/>
      <c r="G38" s="63"/>
      <c r="H38" s="67"/>
      <c r="I38" s="68"/>
      <c r="J38" s="68"/>
      <c r="K38" s="32"/>
      <c r="L38" s="75">
        <v>38</v>
      </c>
      <c r="M38" s="75"/>
      <c r="N38" s="70"/>
      <c r="O38" s="77" t="s">
        <v>802</v>
      </c>
      <c r="P38" s="79">
        <v>45144.479490740741</v>
      </c>
      <c r="Q38" s="77" t="s">
        <v>840</v>
      </c>
      <c r="R38" s="77">
        <v>0</v>
      </c>
      <c r="S38" s="77">
        <v>0</v>
      </c>
      <c r="T38" s="77">
        <v>0</v>
      </c>
      <c r="U38" s="77">
        <v>0</v>
      </c>
      <c r="V38" s="77">
        <v>236</v>
      </c>
      <c r="W38" s="82" t="s">
        <v>4854</v>
      </c>
      <c r="X38" s="77"/>
      <c r="Y38" s="77"/>
      <c r="Z38" s="77" t="s">
        <v>226</v>
      </c>
      <c r="AA38" s="77" t="s">
        <v>7188</v>
      </c>
      <c r="AB38" s="77" t="s">
        <v>8225</v>
      </c>
      <c r="AC38" s="82" t="s">
        <v>8232</v>
      </c>
      <c r="AD38" s="77" t="s">
        <v>8278</v>
      </c>
      <c r="AE38" s="80" t="str">
        <f>HYPERLINK("https://twitter.com/acoesimportam/status/1688150545284882432")</f>
        <v>https://twitter.com/acoesimportam/status/1688150545284882432</v>
      </c>
      <c r="AF38" s="79">
        <v>45144.479490740741</v>
      </c>
      <c r="AG38" s="85">
        <v>45144</v>
      </c>
      <c r="AH38" s="82" t="s">
        <v>8324</v>
      </c>
      <c r="AI38" s="77" t="b">
        <v>0</v>
      </c>
      <c r="AJ38" s="77"/>
      <c r="AK38" s="77"/>
      <c r="AL38" s="77"/>
      <c r="AM38" s="77"/>
      <c r="AN38" s="77"/>
      <c r="AO38" s="77"/>
      <c r="AP38" s="77"/>
      <c r="AQ38" s="77" t="s">
        <v>12073</v>
      </c>
      <c r="AR38" s="77"/>
      <c r="AS38" s="77"/>
      <c r="AT38" s="77"/>
      <c r="AU38" s="77"/>
      <c r="AV38" s="80" t="str">
        <f>HYPERLINK("https://pbs.twimg.com/media/F22Dx3dX0AAp_fp.jpg")</f>
        <v>https://pbs.twimg.com/media/F22Dx3dX0AAp_fp.jpg</v>
      </c>
      <c r="AW38" s="82" t="s">
        <v>13144</v>
      </c>
      <c r="AX38" s="82" t="s">
        <v>13144</v>
      </c>
      <c r="AY38" s="77"/>
      <c r="AZ38" s="82" t="s">
        <v>17385</v>
      </c>
      <c r="BA38" s="82" t="s">
        <v>17385</v>
      </c>
      <c r="BB38" s="82" t="s">
        <v>17385</v>
      </c>
      <c r="BC38" s="82" t="s">
        <v>13144</v>
      </c>
      <c r="BD38" s="82" t="s">
        <v>17440</v>
      </c>
      <c r="BE38" s="77"/>
      <c r="BF38" s="77"/>
      <c r="BG38" s="77"/>
      <c r="BH38" s="77"/>
      <c r="BI38" s="77"/>
    </row>
    <row r="39" spans="1:61" x14ac:dyDescent="0.25">
      <c r="A39" s="62" t="s">
        <v>226</v>
      </c>
      <c r="B39" s="62" t="s">
        <v>226</v>
      </c>
      <c r="C39" s="63"/>
      <c r="D39" s="64"/>
      <c r="E39" s="65"/>
      <c r="F39" s="66"/>
      <c r="G39" s="63"/>
      <c r="H39" s="67"/>
      <c r="I39" s="68"/>
      <c r="J39" s="68"/>
      <c r="K39" s="32"/>
      <c r="L39" s="75">
        <v>39</v>
      </c>
      <c r="M39" s="75"/>
      <c r="N39" s="70"/>
      <c r="O39" s="77" t="s">
        <v>802</v>
      </c>
      <c r="P39" s="79">
        <v>45105.068101851852</v>
      </c>
      <c r="Q39" s="77" t="s">
        <v>841</v>
      </c>
      <c r="R39" s="77">
        <v>0</v>
      </c>
      <c r="S39" s="77">
        <v>0</v>
      </c>
      <c r="T39" s="77">
        <v>0</v>
      </c>
      <c r="U39" s="77">
        <v>0</v>
      </c>
      <c r="V39" s="77">
        <v>11</v>
      </c>
      <c r="W39" s="82" t="s">
        <v>4855</v>
      </c>
      <c r="X39" s="77"/>
      <c r="Y39" s="77"/>
      <c r="Z39" s="77" t="s">
        <v>226</v>
      </c>
      <c r="AA39" s="77" t="s">
        <v>7189</v>
      </c>
      <c r="AB39" s="77" t="s">
        <v>8225</v>
      </c>
      <c r="AC39" s="82" t="s">
        <v>8232</v>
      </c>
      <c r="AD39" s="77" t="s">
        <v>8278</v>
      </c>
      <c r="AE39" s="80" t="str">
        <f>HYPERLINK("https://twitter.com/acoesimportam/status/1673868332246654976")</f>
        <v>https://twitter.com/acoesimportam/status/1673868332246654976</v>
      </c>
      <c r="AF39" s="79">
        <v>45105.068101851852</v>
      </c>
      <c r="AG39" s="85">
        <v>45105</v>
      </c>
      <c r="AH39" s="82" t="s">
        <v>8325</v>
      </c>
      <c r="AI39" s="77" t="b">
        <v>0</v>
      </c>
      <c r="AJ39" s="77"/>
      <c r="AK39" s="77"/>
      <c r="AL39" s="77"/>
      <c r="AM39" s="77"/>
      <c r="AN39" s="77"/>
      <c r="AO39" s="77"/>
      <c r="AP39" s="77"/>
      <c r="AQ39" s="77" t="s">
        <v>12074</v>
      </c>
      <c r="AR39" s="77"/>
      <c r="AS39" s="77"/>
      <c r="AT39" s="77"/>
      <c r="AU39" s="77"/>
      <c r="AV39" s="80" t="str">
        <f>HYPERLINK("https://pbs.twimg.com/media/FzrGIxUWcAQF_iY.jpg")</f>
        <v>https://pbs.twimg.com/media/FzrGIxUWcAQF_iY.jpg</v>
      </c>
      <c r="AW39" s="82" t="s">
        <v>13145</v>
      </c>
      <c r="AX39" s="82" t="s">
        <v>13145</v>
      </c>
      <c r="AY39" s="77"/>
      <c r="AZ39" s="82" t="s">
        <v>17385</v>
      </c>
      <c r="BA39" s="82" t="s">
        <v>17385</v>
      </c>
      <c r="BB39" s="82" t="s">
        <v>17385</v>
      </c>
      <c r="BC39" s="82" t="s">
        <v>13145</v>
      </c>
      <c r="BD39" s="82" t="s">
        <v>17440</v>
      </c>
      <c r="BE39" s="77"/>
      <c r="BF39" s="77"/>
      <c r="BG39" s="77"/>
      <c r="BH39" s="77"/>
      <c r="BI39" s="77"/>
    </row>
    <row r="40" spans="1:61" x14ac:dyDescent="0.25">
      <c r="A40" s="62" t="s">
        <v>226</v>
      </c>
      <c r="B40" s="62" t="s">
        <v>226</v>
      </c>
      <c r="C40" s="63"/>
      <c r="D40" s="64"/>
      <c r="E40" s="65"/>
      <c r="F40" s="66"/>
      <c r="G40" s="63"/>
      <c r="H40" s="67"/>
      <c r="I40" s="68"/>
      <c r="J40" s="68"/>
      <c r="K40" s="32"/>
      <c r="L40" s="75">
        <v>40</v>
      </c>
      <c r="M40" s="75"/>
      <c r="N40" s="70"/>
      <c r="O40" s="77" t="s">
        <v>802</v>
      </c>
      <c r="P40" s="79">
        <v>45175.595706018517</v>
      </c>
      <c r="Q40" s="77" t="s">
        <v>842</v>
      </c>
      <c r="R40" s="77">
        <v>0</v>
      </c>
      <c r="S40" s="77">
        <v>0</v>
      </c>
      <c r="T40" s="77">
        <v>0</v>
      </c>
      <c r="U40" s="77">
        <v>0</v>
      </c>
      <c r="V40" s="77">
        <v>17</v>
      </c>
      <c r="W40" s="82" t="s">
        <v>4856</v>
      </c>
      <c r="X40" s="77"/>
      <c r="Y40" s="77"/>
      <c r="Z40" s="77" t="s">
        <v>226</v>
      </c>
      <c r="AA40" s="77" t="s">
        <v>7190</v>
      </c>
      <c r="AB40" s="77" t="s">
        <v>8225</v>
      </c>
      <c r="AC40" s="82" t="s">
        <v>8232</v>
      </c>
      <c r="AD40" s="77" t="s">
        <v>8278</v>
      </c>
      <c r="AE40" s="80" t="str">
        <f>HYPERLINK("https://twitter.com/acoesimportam/status/1699426682044579907")</f>
        <v>https://twitter.com/acoesimportam/status/1699426682044579907</v>
      </c>
      <c r="AF40" s="79">
        <v>45175.595706018517</v>
      </c>
      <c r="AG40" s="85">
        <v>45175</v>
      </c>
      <c r="AH40" s="82" t="s">
        <v>8326</v>
      </c>
      <c r="AI40" s="77" t="b">
        <v>0</v>
      </c>
      <c r="AJ40" s="77"/>
      <c r="AK40" s="77"/>
      <c r="AL40" s="77"/>
      <c r="AM40" s="77"/>
      <c r="AN40" s="77"/>
      <c r="AO40" s="77"/>
      <c r="AP40" s="77"/>
      <c r="AQ40" s="77" t="s">
        <v>12075</v>
      </c>
      <c r="AR40" s="77"/>
      <c r="AS40" s="77"/>
      <c r="AT40" s="77"/>
      <c r="AU40" s="77"/>
      <c r="AV40" s="80" t="str">
        <f>HYPERLINK("https://pbs.twimg.com/media/F5WTiDoWQAAeTG1.jpg")</f>
        <v>https://pbs.twimg.com/media/F5WTiDoWQAAeTG1.jpg</v>
      </c>
      <c r="AW40" s="82" t="s">
        <v>13146</v>
      </c>
      <c r="AX40" s="82" t="s">
        <v>13146</v>
      </c>
      <c r="AY40" s="77"/>
      <c r="AZ40" s="82" t="s">
        <v>17385</v>
      </c>
      <c r="BA40" s="82" t="s">
        <v>17385</v>
      </c>
      <c r="BB40" s="82" t="s">
        <v>17385</v>
      </c>
      <c r="BC40" s="82" t="s">
        <v>13146</v>
      </c>
      <c r="BD40" s="82" t="s">
        <v>17440</v>
      </c>
      <c r="BE40" s="77"/>
      <c r="BF40" s="77"/>
      <c r="BG40" s="77"/>
      <c r="BH40" s="77"/>
      <c r="BI40" s="77"/>
    </row>
    <row r="41" spans="1:61" x14ac:dyDescent="0.25">
      <c r="A41" s="62" t="s">
        <v>226</v>
      </c>
      <c r="B41" s="62" t="s">
        <v>226</v>
      </c>
      <c r="C41" s="63"/>
      <c r="D41" s="64"/>
      <c r="E41" s="65"/>
      <c r="F41" s="66"/>
      <c r="G41" s="63"/>
      <c r="H41" s="67"/>
      <c r="I41" s="68"/>
      <c r="J41" s="68"/>
      <c r="K41" s="32"/>
      <c r="L41" s="75">
        <v>41</v>
      </c>
      <c r="M41" s="75"/>
      <c r="N41" s="70"/>
      <c r="O41" s="77" t="s">
        <v>802</v>
      </c>
      <c r="P41" s="79">
        <v>45112.913275462961</v>
      </c>
      <c r="Q41" s="77" t="s">
        <v>843</v>
      </c>
      <c r="R41" s="77">
        <v>0</v>
      </c>
      <c r="S41" s="77">
        <v>1</v>
      </c>
      <c r="T41" s="77">
        <v>0</v>
      </c>
      <c r="U41" s="77">
        <v>0</v>
      </c>
      <c r="V41" s="77">
        <v>45</v>
      </c>
      <c r="W41" s="82" t="s">
        <v>4857</v>
      </c>
      <c r="X41" s="77"/>
      <c r="Y41" s="77"/>
      <c r="Z41" s="77" t="s">
        <v>226</v>
      </c>
      <c r="AA41" s="77" t="s">
        <v>7191</v>
      </c>
      <c r="AB41" s="77" t="s">
        <v>8229</v>
      </c>
      <c r="AC41" s="82" t="s">
        <v>8232</v>
      </c>
      <c r="AD41" s="77" t="s">
        <v>8278</v>
      </c>
      <c r="AE41" s="80" t="str">
        <f>HYPERLINK("https://twitter.com/acoesimportam/status/1676711331146133504")</f>
        <v>https://twitter.com/acoesimportam/status/1676711331146133504</v>
      </c>
      <c r="AF41" s="79">
        <v>45112.913275462961</v>
      </c>
      <c r="AG41" s="85">
        <v>45112</v>
      </c>
      <c r="AH41" s="82" t="s">
        <v>8327</v>
      </c>
      <c r="AI41" s="77" t="b">
        <v>0</v>
      </c>
      <c r="AJ41" s="77"/>
      <c r="AK41" s="77"/>
      <c r="AL41" s="77"/>
      <c r="AM41" s="77"/>
      <c r="AN41" s="77"/>
      <c r="AO41" s="77"/>
      <c r="AP41" s="77"/>
      <c r="AQ41" s="77" t="s">
        <v>12076</v>
      </c>
      <c r="AR41" s="77"/>
      <c r="AS41" s="77"/>
      <c r="AT41" s="77"/>
      <c r="AU41" s="77"/>
      <c r="AV41" s="80" t="str">
        <f>HYPERLINK("https://pbs.twimg.com/media/F0Tf_y7X0AAGkjp.jpg")</f>
        <v>https://pbs.twimg.com/media/F0Tf_y7X0AAGkjp.jpg</v>
      </c>
      <c r="AW41" s="82" t="s">
        <v>13147</v>
      </c>
      <c r="AX41" s="82" t="s">
        <v>13147</v>
      </c>
      <c r="AY41" s="77"/>
      <c r="AZ41" s="82" t="s">
        <v>17385</v>
      </c>
      <c r="BA41" s="82" t="s">
        <v>17385</v>
      </c>
      <c r="BB41" s="82" t="s">
        <v>17385</v>
      </c>
      <c r="BC41" s="82" t="s">
        <v>13147</v>
      </c>
      <c r="BD41" s="82" t="s">
        <v>17440</v>
      </c>
      <c r="BE41" s="77"/>
      <c r="BF41" s="77"/>
      <c r="BG41" s="77"/>
      <c r="BH41" s="77"/>
      <c r="BI41" s="77"/>
    </row>
    <row r="42" spans="1:61" x14ac:dyDescent="0.25">
      <c r="A42" s="62" t="s">
        <v>226</v>
      </c>
      <c r="B42" s="62" t="s">
        <v>226</v>
      </c>
      <c r="C42" s="63"/>
      <c r="D42" s="64"/>
      <c r="E42" s="65"/>
      <c r="F42" s="66"/>
      <c r="G42" s="63"/>
      <c r="H42" s="67"/>
      <c r="I42" s="68"/>
      <c r="J42" s="68"/>
      <c r="K42" s="32"/>
      <c r="L42" s="75">
        <v>42</v>
      </c>
      <c r="M42" s="75"/>
      <c r="N42" s="70"/>
      <c r="O42" s="77" t="s">
        <v>802</v>
      </c>
      <c r="P42" s="79">
        <v>45111.941655092596</v>
      </c>
      <c r="Q42" s="77" t="s">
        <v>844</v>
      </c>
      <c r="R42" s="77">
        <v>0</v>
      </c>
      <c r="S42" s="77">
        <v>0</v>
      </c>
      <c r="T42" s="77">
        <v>0</v>
      </c>
      <c r="U42" s="77">
        <v>0</v>
      </c>
      <c r="V42" s="77">
        <v>293</v>
      </c>
      <c r="W42" s="82" t="s">
        <v>4858</v>
      </c>
      <c r="X42" s="77"/>
      <c r="Y42" s="77"/>
      <c r="Z42" s="77" t="s">
        <v>226</v>
      </c>
      <c r="AA42" s="77" t="s">
        <v>7192</v>
      </c>
      <c r="AB42" s="77" t="s">
        <v>8225</v>
      </c>
      <c r="AC42" s="82" t="s">
        <v>8232</v>
      </c>
      <c r="AD42" s="77" t="s">
        <v>8278</v>
      </c>
      <c r="AE42" s="80" t="str">
        <f>HYPERLINK("https://twitter.com/acoesimportam/status/1676359226531147776")</f>
        <v>https://twitter.com/acoesimportam/status/1676359226531147776</v>
      </c>
      <c r="AF42" s="79">
        <v>45111.941655092596</v>
      </c>
      <c r="AG42" s="85">
        <v>45111</v>
      </c>
      <c r="AH42" s="82" t="s">
        <v>8328</v>
      </c>
      <c r="AI42" s="77" t="b">
        <v>0</v>
      </c>
      <c r="AJ42" s="77"/>
      <c r="AK42" s="77"/>
      <c r="AL42" s="77"/>
      <c r="AM42" s="77"/>
      <c r="AN42" s="77"/>
      <c r="AO42" s="77"/>
      <c r="AP42" s="77"/>
      <c r="AQ42" s="77" t="s">
        <v>12077</v>
      </c>
      <c r="AR42" s="77"/>
      <c r="AS42" s="77"/>
      <c r="AT42" s="77"/>
      <c r="AU42" s="77"/>
      <c r="AV42" s="80" t="str">
        <f>HYPERLINK("https://pbs.twimg.com/media/F0Of0u2XwAEAzj5.jpg")</f>
        <v>https://pbs.twimg.com/media/F0Of0u2XwAEAzj5.jpg</v>
      </c>
      <c r="AW42" s="82" t="s">
        <v>13148</v>
      </c>
      <c r="AX42" s="82" t="s">
        <v>13148</v>
      </c>
      <c r="AY42" s="77"/>
      <c r="AZ42" s="82" t="s">
        <v>17385</v>
      </c>
      <c r="BA42" s="82" t="s">
        <v>17385</v>
      </c>
      <c r="BB42" s="82" t="s">
        <v>17385</v>
      </c>
      <c r="BC42" s="82" t="s">
        <v>13148</v>
      </c>
      <c r="BD42" s="82" t="s">
        <v>17440</v>
      </c>
      <c r="BE42" s="77"/>
      <c r="BF42" s="77"/>
      <c r="BG42" s="77"/>
      <c r="BH42" s="77"/>
      <c r="BI42" s="77"/>
    </row>
    <row r="43" spans="1:61" x14ac:dyDescent="0.25">
      <c r="A43" s="62" t="s">
        <v>226</v>
      </c>
      <c r="B43" s="62" t="s">
        <v>226</v>
      </c>
      <c r="C43" s="63"/>
      <c r="D43" s="64"/>
      <c r="E43" s="65"/>
      <c r="F43" s="66"/>
      <c r="G43" s="63"/>
      <c r="H43" s="67"/>
      <c r="I43" s="68"/>
      <c r="J43" s="68"/>
      <c r="K43" s="32"/>
      <c r="L43" s="75">
        <v>43</v>
      </c>
      <c r="M43" s="75"/>
      <c r="N43" s="70"/>
      <c r="O43" s="77" t="s">
        <v>802</v>
      </c>
      <c r="P43" s="79">
        <v>45047.053287037037</v>
      </c>
      <c r="Q43" s="77" t="s">
        <v>845</v>
      </c>
      <c r="R43" s="77">
        <v>0</v>
      </c>
      <c r="S43" s="77">
        <v>0</v>
      </c>
      <c r="T43" s="77">
        <v>0</v>
      </c>
      <c r="U43" s="77">
        <v>0</v>
      </c>
      <c r="V43" s="77">
        <v>63</v>
      </c>
      <c r="W43" s="82" t="s">
        <v>4859</v>
      </c>
      <c r="X43" s="80" t="str">
        <f>HYPERLINK("https://www.instagram.com/acoesimportam/")</f>
        <v>https://www.instagram.com/acoesimportam/</v>
      </c>
      <c r="Y43" s="77" t="s">
        <v>7055</v>
      </c>
      <c r="Z43" s="77" t="s">
        <v>226</v>
      </c>
      <c r="AA43" s="77" t="s">
        <v>7193</v>
      </c>
      <c r="AB43" s="77" t="s">
        <v>8227</v>
      </c>
      <c r="AC43" s="82" t="s">
        <v>8232</v>
      </c>
      <c r="AD43" s="77" t="s">
        <v>8278</v>
      </c>
      <c r="AE43" s="80" t="str">
        <f>HYPERLINK("https://twitter.com/acoesimportam/status/1652844468104470531")</f>
        <v>https://twitter.com/acoesimportam/status/1652844468104470531</v>
      </c>
      <c r="AF43" s="79">
        <v>45047.053287037037</v>
      </c>
      <c r="AG43" s="85">
        <v>45047</v>
      </c>
      <c r="AH43" s="82" t="s">
        <v>8329</v>
      </c>
      <c r="AI43" s="77" t="b">
        <v>0</v>
      </c>
      <c r="AJ43" s="77"/>
      <c r="AK43" s="77"/>
      <c r="AL43" s="77"/>
      <c r="AM43" s="77"/>
      <c r="AN43" s="77"/>
      <c r="AO43" s="77"/>
      <c r="AP43" s="77"/>
      <c r="AQ43" s="77" t="s">
        <v>12078</v>
      </c>
      <c r="AR43" s="77">
        <v>12492</v>
      </c>
      <c r="AS43" s="77"/>
      <c r="AT43" s="77"/>
      <c r="AU43" s="77"/>
      <c r="AV43" s="80" t="str">
        <f>HYPERLINK("https://pbs.twimg.com/ext_tw_video_thumb/1652844174075371521/pu/img/b_OfYhToRafhsvCj.jpg")</f>
        <v>https://pbs.twimg.com/ext_tw_video_thumb/1652844174075371521/pu/img/b_OfYhToRafhsvCj.jpg</v>
      </c>
      <c r="AW43" s="82" t="s">
        <v>13149</v>
      </c>
      <c r="AX43" s="82" t="s">
        <v>13149</v>
      </c>
      <c r="AY43" s="77"/>
      <c r="AZ43" s="82" t="s">
        <v>17385</v>
      </c>
      <c r="BA43" s="82" t="s">
        <v>17385</v>
      </c>
      <c r="BB43" s="82" t="s">
        <v>17385</v>
      </c>
      <c r="BC43" s="82" t="s">
        <v>13149</v>
      </c>
      <c r="BD43" s="82" t="s">
        <v>17440</v>
      </c>
      <c r="BE43" s="77"/>
      <c r="BF43" s="77"/>
      <c r="BG43" s="77"/>
      <c r="BH43" s="77"/>
      <c r="BI43" s="77"/>
    </row>
    <row r="44" spans="1:61" x14ac:dyDescent="0.25">
      <c r="A44" s="62" t="s">
        <v>227</v>
      </c>
      <c r="B44" s="62" t="s">
        <v>475</v>
      </c>
      <c r="C44" s="63"/>
      <c r="D44" s="64"/>
      <c r="E44" s="65"/>
      <c r="F44" s="66"/>
      <c r="G44" s="63"/>
      <c r="H44" s="67"/>
      <c r="I44" s="68"/>
      <c r="J44" s="68"/>
      <c r="K44" s="32"/>
      <c r="L44" s="75">
        <v>44</v>
      </c>
      <c r="M44" s="75"/>
      <c r="N44" s="70"/>
      <c r="O44" s="77" t="s">
        <v>802</v>
      </c>
      <c r="P44" s="79">
        <v>45107.598171296297</v>
      </c>
      <c r="Q44" s="77" t="s">
        <v>846</v>
      </c>
      <c r="R44" s="77">
        <v>2</v>
      </c>
      <c r="S44" s="77">
        <v>8</v>
      </c>
      <c r="T44" s="77">
        <v>1</v>
      </c>
      <c r="U44" s="77">
        <v>0</v>
      </c>
      <c r="V44" s="77">
        <v>1547</v>
      </c>
      <c r="W44" s="82" t="s">
        <v>4860</v>
      </c>
      <c r="X44" s="77"/>
      <c r="Y44" s="77"/>
      <c r="Z44" s="77" t="s">
        <v>7152</v>
      </c>
      <c r="AA44" s="77" t="s">
        <v>7194</v>
      </c>
      <c r="AB44" s="77" t="s">
        <v>8225</v>
      </c>
      <c r="AC44" s="82" t="s">
        <v>8232</v>
      </c>
      <c r="AD44" s="77" t="s">
        <v>8278</v>
      </c>
      <c r="AE44" s="80" t="str">
        <f>HYPERLINK("https://twitter.com/luciocw/status/1674785201833275403")</f>
        <v>https://twitter.com/luciocw/status/1674785201833275403</v>
      </c>
      <c r="AF44" s="79">
        <v>45107.598171296297</v>
      </c>
      <c r="AG44" s="85">
        <v>45107</v>
      </c>
      <c r="AH44" s="82" t="s">
        <v>8330</v>
      </c>
      <c r="AI44" s="77" t="b">
        <v>0</v>
      </c>
      <c r="AJ44" s="77"/>
      <c r="AK44" s="77"/>
      <c r="AL44" s="77"/>
      <c r="AM44" s="77"/>
      <c r="AN44" s="77"/>
      <c r="AO44" s="77"/>
      <c r="AP44" s="77"/>
      <c r="AQ44" s="77" t="s">
        <v>12079</v>
      </c>
      <c r="AR44" s="77"/>
      <c r="AS44" s="77"/>
      <c r="AT44" s="77"/>
      <c r="AU44" s="77"/>
      <c r="AV44" s="80" t="str">
        <f>HYPERLINK("https://pbs.twimg.com/media/Fz4IQs9acAIi4MQ.jpg")</f>
        <v>https://pbs.twimg.com/media/Fz4IQs9acAIi4MQ.jpg</v>
      </c>
      <c r="AW44" s="82" t="s">
        <v>13150</v>
      </c>
      <c r="AX44" s="82" t="s">
        <v>13150</v>
      </c>
      <c r="AY44" s="77"/>
      <c r="AZ44" s="82" t="s">
        <v>17385</v>
      </c>
      <c r="BA44" s="82" t="s">
        <v>17385</v>
      </c>
      <c r="BB44" s="82" t="s">
        <v>17385</v>
      </c>
      <c r="BC44" s="82" t="s">
        <v>13150</v>
      </c>
      <c r="BD44" s="77">
        <v>24598688</v>
      </c>
      <c r="BE44" s="77"/>
      <c r="BF44" s="77"/>
      <c r="BG44" s="77"/>
      <c r="BH44" s="77"/>
      <c r="BI44" s="77"/>
    </row>
    <row r="45" spans="1:61" x14ac:dyDescent="0.25">
      <c r="A45" s="62" t="s">
        <v>227</v>
      </c>
      <c r="B45" s="62" t="s">
        <v>474</v>
      </c>
      <c r="C45" s="63"/>
      <c r="D45" s="64"/>
      <c r="E45" s="65"/>
      <c r="F45" s="66"/>
      <c r="G45" s="63"/>
      <c r="H45" s="67"/>
      <c r="I45" s="68"/>
      <c r="J45" s="68"/>
      <c r="K45" s="32"/>
      <c r="L45" s="75">
        <v>45</v>
      </c>
      <c r="M45" s="75"/>
      <c r="N45" s="70"/>
      <c r="O45" s="77" t="s">
        <v>802</v>
      </c>
      <c r="P45" s="79">
        <v>45107.598171296297</v>
      </c>
      <c r="Q45" s="77" t="s">
        <v>846</v>
      </c>
      <c r="R45" s="77">
        <v>2</v>
      </c>
      <c r="S45" s="77">
        <v>8</v>
      </c>
      <c r="T45" s="77">
        <v>1</v>
      </c>
      <c r="U45" s="77">
        <v>0</v>
      </c>
      <c r="V45" s="77">
        <v>1547</v>
      </c>
      <c r="W45" s="82" t="s">
        <v>4860</v>
      </c>
      <c r="X45" s="77"/>
      <c r="Y45" s="77"/>
      <c r="Z45" s="77" t="s">
        <v>7152</v>
      </c>
      <c r="AA45" s="77" t="s">
        <v>7194</v>
      </c>
      <c r="AB45" s="77" t="s">
        <v>8225</v>
      </c>
      <c r="AC45" s="82" t="s">
        <v>8232</v>
      </c>
      <c r="AD45" s="77" t="s">
        <v>8278</v>
      </c>
      <c r="AE45" s="80" t="str">
        <f>HYPERLINK("https://twitter.com/luciocw/status/1674785201833275403")</f>
        <v>https://twitter.com/luciocw/status/1674785201833275403</v>
      </c>
      <c r="AF45" s="79">
        <v>45107.598171296297</v>
      </c>
      <c r="AG45" s="85">
        <v>45107</v>
      </c>
      <c r="AH45" s="82" t="s">
        <v>8330</v>
      </c>
      <c r="AI45" s="77" t="b">
        <v>0</v>
      </c>
      <c r="AJ45" s="77"/>
      <c r="AK45" s="77"/>
      <c r="AL45" s="77"/>
      <c r="AM45" s="77"/>
      <c r="AN45" s="77"/>
      <c r="AO45" s="77"/>
      <c r="AP45" s="77"/>
      <c r="AQ45" s="77" t="s">
        <v>12079</v>
      </c>
      <c r="AR45" s="77"/>
      <c r="AS45" s="77"/>
      <c r="AT45" s="77"/>
      <c r="AU45" s="77"/>
      <c r="AV45" s="80" t="str">
        <f>HYPERLINK("https://pbs.twimg.com/media/Fz4IQs9acAIi4MQ.jpg")</f>
        <v>https://pbs.twimg.com/media/Fz4IQs9acAIi4MQ.jpg</v>
      </c>
      <c r="AW45" s="82" t="s">
        <v>13150</v>
      </c>
      <c r="AX45" s="82" t="s">
        <v>13150</v>
      </c>
      <c r="AY45" s="77"/>
      <c r="AZ45" s="82" t="s">
        <v>17385</v>
      </c>
      <c r="BA45" s="82" t="s">
        <v>17385</v>
      </c>
      <c r="BB45" s="82" t="s">
        <v>17385</v>
      </c>
      <c r="BC45" s="82" t="s">
        <v>13150</v>
      </c>
      <c r="BD45" s="77">
        <v>24598688</v>
      </c>
      <c r="BE45" s="77"/>
      <c r="BF45" s="77"/>
      <c r="BG45" s="77"/>
      <c r="BH45" s="77"/>
      <c r="BI45" s="77"/>
    </row>
    <row r="46" spans="1:61" x14ac:dyDescent="0.25">
      <c r="A46" s="62" t="s">
        <v>227</v>
      </c>
      <c r="B46" s="62" t="s">
        <v>227</v>
      </c>
      <c r="C46" s="63"/>
      <c r="D46" s="64"/>
      <c r="E46" s="65"/>
      <c r="F46" s="66"/>
      <c r="G46" s="63"/>
      <c r="H46" s="67"/>
      <c r="I46" s="68"/>
      <c r="J46" s="68"/>
      <c r="K46" s="32"/>
      <c r="L46" s="75">
        <v>46</v>
      </c>
      <c r="M46" s="75"/>
      <c r="N46" s="70"/>
      <c r="O46" s="77" t="s">
        <v>179</v>
      </c>
      <c r="P46" s="79">
        <v>45149.778506944444</v>
      </c>
      <c r="Q46" s="77" t="s">
        <v>847</v>
      </c>
      <c r="R46" s="77">
        <v>0</v>
      </c>
      <c r="S46" s="77">
        <v>3</v>
      </c>
      <c r="T46" s="77">
        <v>0</v>
      </c>
      <c r="U46" s="77">
        <v>0</v>
      </c>
      <c r="V46" s="77">
        <v>137</v>
      </c>
      <c r="W46" s="82" t="s">
        <v>4861</v>
      </c>
      <c r="X46" s="77"/>
      <c r="Y46" s="77"/>
      <c r="Z46" s="77"/>
      <c r="AA46" s="77" t="s">
        <v>7195</v>
      </c>
      <c r="AB46" s="77" t="s">
        <v>8225</v>
      </c>
      <c r="AC46" s="82" t="s">
        <v>8232</v>
      </c>
      <c r="AD46" s="77" t="s">
        <v>8278</v>
      </c>
      <c r="AE46" s="80" t="str">
        <f>HYPERLINK("https://twitter.com/luciocw/status/1690070842921598979")</f>
        <v>https://twitter.com/luciocw/status/1690070842921598979</v>
      </c>
      <c r="AF46" s="79">
        <v>45149.778506944444</v>
      </c>
      <c r="AG46" s="85">
        <v>45149</v>
      </c>
      <c r="AH46" s="82" t="s">
        <v>8331</v>
      </c>
      <c r="AI46" s="77" t="b">
        <v>0</v>
      </c>
      <c r="AJ46" s="77"/>
      <c r="AK46" s="77"/>
      <c r="AL46" s="77"/>
      <c r="AM46" s="77"/>
      <c r="AN46" s="77"/>
      <c r="AO46" s="77"/>
      <c r="AP46" s="77"/>
      <c r="AQ46" s="77" t="s">
        <v>12080</v>
      </c>
      <c r="AR46" s="77"/>
      <c r="AS46" s="77"/>
      <c r="AT46" s="77"/>
      <c r="AU46" s="77"/>
      <c r="AV46" s="80" t="str">
        <f>HYPERLINK("https://pbs.twimg.com/media/F3RV-tiWUAAzUGd.jpg")</f>
        <v>https://pbs.twimg.com/media/F3RV-tiWUAAzUGd.jpg</v>
      </c>
      <c r="AW46" s="82" t="s">
        <v>13151</v>
      </c>
      <c r="AX46" s="82" t="s">
        <v>13151</v>
      </c>
      <c r="AY46" s="77"/>
      <c r="AZ46" s="82" t="s">
        <v>17385</v>
      </c>
      <c r="BA46" s="82" t="s">
        <v>17385</v>
      </c>
      <c r="BB46" s="82" t="s">
        <v>17385</v>
      </c>
      <c r="BC46" s="82" t="s">
        <v>13151</v>
      </c>
      <c r="BD46" s="77">
        <v>24598688</v>
      </c>
      <c r="BE46" s="77"/>
      <c r="BF46" s="77"/>
      <c r="BG46" s="77"/>
      <c r="BH46" s="77"/>
      <c r="BI46" s="77"/>
    </row>
    <row r="47" spans="1:61" x14ac:dyDescent="0.25">
      <c r="A47" s="62" t="s">
        <v>228</v>
      </c>
      <c r="B47" s="62" t="s">
        <v>228</v>
      </c>
      <c r="C47" s="63"/>
      <c r="D47" s="64"/>
      <c r="E47" s="65"/>
      <c r="F47" s="66"/>
      <c r="G47" s="63"/>
      <c r="H47" s="67"/>
      <c r="I47" s="68"/>
      <c r="J47" s="68"/>
      <c r="K47" s="32"/>
      <c r="L47" s="75">
        <v>47</v>
      </c>
      <c r="M47" s="75"/>
      <c r="N47" s="70"/>
      <c r="O47" s="77" t="s">
        <v>800</v>
      </c>
      <c r="P47" s="79">
        <v>45084.906712962962</v>
      </c>
      <c r="Q47" s="77" t="s">
        <v>848</v>
      </c>
      <c r="R47" s="77">
        <v>0</v>
      </c>
      <c r="S47" s="77">
        <v>3</v>
      </c>
      <c r="T47" s="77">
        <v>0</v>
      </c>
      <c r="U47" s="77">
        <v>0</v>
      </c>
      <c r="V47" s="77">
        <v>349</v>
      </c>
      <c r="W47" s="82" t="s">
        <v>4862</v>
      </c>
      <c r="X47" s="80" t="str">
        <f>HYPERLINK("https://www.dropbox.com/s/3u4efo65xv8rmba/PETROLEO_Twitter.png?dl=0")</f>
        <v>https://www.dropbox.com/s/3u4efo65xv8rmba/PETROLEO_Twitter.png?dl=0</v>
      </c>
      <c r="Y47" s="77" t="s">
        <v>7056</v>
      </c>
      <c r="Z47" s="77"/>
      <c r="AA47" s="77"/>
      <c r="AB47" s="77"/>
      <c r="AC47" s="82" t="s">
        <v>8232</v>
      </c>
      <c r="AD47" s="77" t="s">
        <v>8278</v>
      </c>
      <c r="AE47" s="80" t="str">
        <f>HYPERLINK("https://twitter.com/economaticabr/status/1666562091946332160")</f>
        <v>https://twitter.com/economaticabr/status/1666562091946332160</v>
      </c>
      <c r="AF47" s="79">
        <v>45084.906712962962</v>
      </c>
      <c r="AG47" s="85">
        <v>45084</v>
      </c>
      <c r="AH47" s="82" t="s">
        <v>8332</v>
      </c>
      <c r="AI47" s="77" t="b">
        <v>0</v>
      </c>
      <c r="AJ47" s="77"/>
      <c r="AK47" s="77"/>
      <c r="AL47" s="77"/>
      <c r="AM47" s="77"/>
      <c r="AN47" s="77"/>
      <c r="AO47" s="77"/>
      <c r="AP47" s="77"/>
      <c r="AQ47" s="77"/>
      <c r="AR47" s="77"/>
      <c r="AS47" s="77"/>
      <c r="AT47" s="77"/>
      <c r="AU47" s="77"/>
      <c r="AV47" s="80" t="str">
        <f>HYPERLINK("https://pbs.twimg.com/profile_images/1562086987846361088/dVhRWm0v_normal.jpg")</f>
        <v>https://pbs.twimg.com/profile_images/1562086987846361088/dVhRWm0v_normal.jpg</v>
      </c>
      <c r="AW47" s="82" t="s">
        <v>13152</v>
      </c>
      <c r="AX47" s="82" t="s">
        <v>17139</v>
      </c>
      <c r="AY47" s="82" t="s">
        <v>17314</v>
      </c>
      <c r="AZ47" s="82" t="s">
        <v>17387</v>
      </c>
      <c r="BA47" s="82" t="s">
        <v>17385</v>
      </c>
      <c r="BB47" s="82" t="s">
        <v>17385</v>
      </c>
      <c r="BC47" s="82" t="s">
        <v>17387</v>
      </c>
      <c r="BD47" s="82" t="s">
        <v>17314</v>
      </c>
      <c r="BE47" s="77"/>
      <c r="BF47" s="77"/>
      <c r="BG47" s="77"/>
      <c r="BH47" s="77"/>
      <c r="BI47" s="77"/>
    </row>
    <row r="48" spans="1:61" x14ac:dyDescent="0.25">
      <c r="A48" s="62" t="s">
        <v>229</v>
      </c>
      <c r="B48" s="62" t="s">
        <v>229</v>
      </c>
      <c r="C48" s="63"/>
      <c r="D48" s="64"/>
      <c r="E48" s="65"/>
      <c r="F48" s="66"/>
      <c r="G48" s="63"/>
      <c r="H48" s="67"/>
      <c r="I48" s="68"/>
      <c r="J48" s="68"/>
      <c r="K48" s="32"/>
      <c r="L48" s="75">
        <v>48</v>
      </c>
      <c r="M48" s="75"/>
      <c r="N48" s="70"/>
      <c r="O48" s="77" t="s">
        <v>179</v>
      </c>
      <c r="P48" s="79">
        <v>45194.998935185184</v>
      </c>
      <c r="Q48" s="77" t="s">
        <v>849</v>
      </c>
      <c r="R48" s="77">
        <v>0</v>
      </c>
      <c r="S48" s="77">
        <v>0</v>
      </c>
      <c r="T48" s="77">
        <v>0</v>
      </c>
      <c r="U48" s="77">
        <v>0</v>
      </c>
      <c r="V48" s="77">
        <v>10</v>
      </c>
      <c r="W48" s="82" t="s">
        <v>4863</v>
      </c>
      <c r="X48" s="80" t="str">
        <f>HYPERLINK("https://nativenewscarajas.blogspot.com/2023/09/governo-vai-investir-r-2-bilhoes-para.html?spref=tw")</f>
        <v>https://nativenewscarajas.blogspot.com/2023/09/governo-vai-investir-r-2-bilhoes-para.html?spref=tw</v>
      </c>
      <c r="Y48" s="77" t="s">
        <v>7057</v>
      </c>
      <c r="Z48" s="77"/>
      <c r="AA48" s="77"/>
      <c r="AB48" s="77"/>
      <c r="AC48" s="82" t="s">
        <v>8232</v>
      </c>
      <c r="AD48" s="77" t="s">
        <v>8278</v>
      </c>
      <c r="AE48" s="80" t="str">
        <f>HYPERLINK("https://twitter.com/tina_pimenteld/status/1706458175065485592")</f>
        <v>https://twitter.com/tina_pimenteld/status/1706458175065485592</v>
      </c>
      <c r="AF48" s="79">
        <v>45194.998935185184</v>
      </c>
      <c r="AG48" s="85">
        <v>45194</v>
      </c>
      <c r="AH48" s="82" t="s">
        <v>8333</v>
      </c>
      <c r="AI48" s="77" t="b">
        <v>0</v>
      </c>
      <c r="AJ48" s="77"/>
      <c r="AK48" s="77"/>
      <c r="AL48" s="77"/>
      <c r="AM48" s="77"/>
      <c r="AN48" s="77"/>
      <c r="AO48" s="77"/>
      <c r="AP48" s="77"/>
      <c r="AQ48" s="77"/>
      <c r="AR48" s="77"/>
      <c r="AS48" s="77"/>
      <c r="AT48" s="77"/>
      <c r="AU48" s="77"/>
      <c r="AV48" s="80" t="str">
        <f>HYPERLINK("https://pbs.twimg.com/profile_images/1487984438793457665/7bpqxtcY_normal.jpg")</f>
        <v>https://pbs.twimg.com/profile_images/1487984438793457665/7bpqxtcY_normal.jpg</v>
      </c>
      <c r="AW48" s="82" t="s">
        <v>13153</v>
      </c>
      <c r="AX48" s="82" t="s">
        <v>13153</v>
      </c>
      <c r="AY48" s="77"/>
      <c r="AZ48" s="82" t="s">
        <v>17385</v>
      </c>
      <c r="BA48" s="82" t="s">
        <v>17385</v>
      </c>
      <c r="BB48" s="82" t="s">
        <v>17385</v>
      </c>
      <c r="BC48" s="82" t="s">
        <v>13153</v>
      </c>
      <c r="BD48" s="77">
        <v>67714638</v>
      </c>
      <c r="BE48" s="77"/>
      <c r="BF48" s="77"/>
      <c r="BG48" s="77"/>
      <c r="BH48" s="77"/>
      <c r="BI48" s="77"/>
    </row>
    <row r="49" spans="1:61" x14ac:dyDescent="0.25">
      <c r="A49" s="62" t="s">
        <v>230</v>
      </c>
      <c r="B49" s="62" t="s">
        <v>230</v>
      </c>
      <c r="C49" s="63"/>
      <c r="D49" s="64"/>
      <c r="E49" s="65"/>
      <c r="F49" s="66"/>
      <c r="G49" s="63"/>
      <c r="H49" s="67"/>
      <c r="I49" s="68"/>
      <c r="J49" s="68"/>
      <c r="K49" s="32"/>
      <c r="L49" s="75">
        <v>49</v>
      </c>
      <c r="M49" s="75"/>
      <c r="N49" s="70"/>
      <c r="O49" s="77" t="s">
        <v>179</v>
      </c>
      <c r="P49" s="79">
        <v>45087.697800925926</v>
      </c>
      <c r="Q49" s="77" t="s">
        <v>850</v>
      </c>
      <c r="R49" s="77">
        <v>0</v>
      </c>
      <c r="S49" s="77">
        <v>1</v>
      </c>
      <c r="T49" s="77">
        <v>0</v>
      </c>
      <c r="U49" s="77">
        <v>1</v>
      </c>
      <c r="V49" s="77">
        <v>30</v>
      </c>
      <c r="W49" s="82" t="s">
        <v>4864</v>
      </c>
      <c r="X49" s="77"/>
      <c r="Y49" s="77"/>
      <c r="Z49" s="77"/>
      <c r="AA49" s="77" t="s">
        <v>7196</v>
      </c>
      <c r="AB49" s="77" t="s">
        <v>8225</v>
      </c>
      <c r="AC49" s="82" t="s">
        <v>8234</v>
      </c>
      <c r="AD49" s="77" t="s">
        <v>8278</v>
      </c>
      <c r="AE49" s="80" t="str">
        <f>HYPERLINK("https://twitter.com/juanfidalgo_/status/1667573547634393089")</f>
        <v>https://twitter.com/juanfidalgo_/status/1667573547634393089</v>
      </c>
      <c r="AF49" s="79">
        <v>45087.697800925926</v>
      </c>
      <c r="AG49" s="85">
        <v>45087</v>
      </c>
      <c r="AH49" s="82" t="s">
        <v>8334</v>
      </c>
      <c r="AI49" s="77" t="b">
        <v>0</v>
      </c>
      <c r="AJ49" s="77"/>
      <c r="AK49" s="77"/>
      <c r="AL49" s="77"/>
      <c r="AM49" s="77"/>
      <c r="AN49" s="77"/>
      <c r="AO49" s="77"/>
      <c r="AP49" s="77"/>
      <c r="AQ49" s="77" t="s">
        <v>12081</v>
      </c>
      <c r="AR49" s="77"/>
      <c r="AS49" s="77"/>
      <c r="AT49" s="77"/>
      <c r="AU49" s="77"/>
      <c r="AV49" s="80" t="str">
        <f>HYPERLINK("https://pbs.twimg.com/media/FyRpTc3WIAQV_H0.jpg")</f>
        <v>https://pbs.twimg.com/media/FyRpTc3WIAQV_H0.jpg</v>
      </c>
      <c r="AW49" s="82" t="s">
        <v>13154</v>
      </c>
      <c r="AX49" s="82" t="s">
        <v>13154</v>
      </c>
      <c r="AY49" s="77"/>
      <c r="AZ49" s="82" t="s">
        <v>17385</v>
      </c>
      <c r="BA49" s="82" t="s">
        <v>17385</v>
      </c>
      <c r="BB49" s="82" t="s">
        <v>17385</v>
      </c>
      <c r="BC49" s="82" t="s">
        <v>13154</v>
      </c>
      <c r="BD49" s="82" t="s">
        <v>17441</v>
      </c>
      <c r="BE49" s="77"/>
      <c r="BF49" s="77"/>
      <c r="BG49" s="77"/>
      <c r="BH49" s="77"/>
      <c r="BI49" s="77"/>
    </row>
    <row r="50" spans="1:61" x14ac:dyDescent="0.25">
      <c r="A50" s="62" t="s">
        <v>231</v>
      </c>
      <c r="B50" s="62" t="s">
        <v>231</v>
      </c>
      <c r="C50" s="63"/>
      <c r="D50" s="64"/>
      <c r="E50" s="65"/>
      <c r="F50" s="66"/>
      <c r="G50" s="63"/>
      <c r="H50" s="67"/>
      <c r="I50" s="68"/>
      <c r="J50" s="68"/>
      <c r="K50" s="32"/>
      <c r="L50" s="75">
        <v>50</v>
      </c>
      <c r="M50" s="75"/>
      <c r="N50" s="70"/>
      <c r="O50" s="77" t="s">
        <v>179</v>
      </c>
      <c r="P50" s="79">
        <v>45138.912997685184</v>
      </c>
      <c r="Q50" s="77" t="s">
        <v>851</v>
      </c>
      <c r="R50" s="77">
        <v>0</v>
      </c>
      <c r="S50" s="77">
        <v>2</v>
      </c>
      <c r="T50" s="77">
        <v>0</v>
      </c>
      <c r="U50" s="77">
        <v>0</v>
      </c>
      <c r="V50" s="77">
        <v>127</v>
      </c>
      <c r="W50" s="82" t="s">
        <v>4865</v>
      </c>
      <c r="X50" s="77"/>
      <c r="Y50" s="77"/>
      <c r="Z50" s="77"/>
      <c r="AA50" s="77" t="s">
        <v>7197</v>
      </c>
      <c r="AB50" s="77" t="s">
        <v>8227</v>
      </c>
      <c r="AC50" s="82" t="s">
        <v>8233</v>
      </c>
      <c r="AD50" s="77" t="s">
        <v>8278</v>
      </c>
      <c r="AE50" s="80" t="str">
        <f>HYPERLINK("https://twitter.com/vokininvest/status/1686133312081870848")</f>
        <v>https://twitter.com/vokininvest/status/1686133312081870848</v>
      </c>
      <c r="AF50" s="79">
        <v>45138.912997685184</v>
      </c>
      <c r="AG50" s="85">
        <v>45138</v>
      </c>
      <c r="AH50" s="82" t="s">
        <v>8335</v>
      </c>
      <c r="AI50" s="77" t="b">
        <v>0</v>
      </c>
      <c r="AJ50" s="77"/>
      <c r="AK50" s="77"/>
      <c r="AL50" s="77"/>
      <c r="AM50" s="77"/>
      <c r="AN50" s="77"/>
      <c r="AO50" s="77"/>
      <c r="AP50" s="77"/>
      <c r="AQ50" s="77" t="s">
        <v>12082</v>
      </c>
      <c r="AR50" s="77">
        <v>40500</v>
      </c>
      <c r="AS50" s="77"/>
      <c r="AT50" s="77"/>
      <c r="AU50" s="77"/>
      <c r="AV50" s="80" t="str">
        <f>HYPERLINK("https://pbs.twimg.com/ext_tw_video_thumb/1686133259279687680/pu/img/rVOo-bmkzUC-uCdH.jpg")</f>
        <v>https://pbs.twimg.com/ext_tw_video_thumb/1686133259279687680/pu/img/rVOo-bmkzUC-uCdH.jpg</v>
      </c>
      <c r="AW50" s="82" t="s">
        <v>13155</v>
      </c>
      <c r="AX50" s="82" t="s">
        <v>13155</v>
      </c>
      <c r="AY50" s="77"/>
      <c r="AZ50" s="82" t="s">
        <v>17385</v>
      </c>
      <c r="BA50" s="82" t="s">
        <v>17385</v>
      </c>
      <c r="BB50" s="82" t="s">
        <v>17385</v>
      </c>
      <c r="BC50" s="82" t="s">
        <v>13155</v>
      </c>
      <c r="BD50" s="82" t="s">
        <v>17442</v>
      </c>
      <c r="BE50" s="77"/>
      <c r="BF50" s="77"/>
      <c r="BG50" s="77"/>
      <c r="BH50" s="77"/>
      <c r="BI50" s="77"/>
    </row>
    <row r="51" spans="1:61" x14ac:dyDescent="0.25">
      <c r="A51" s="62" t="s">
        <v>231</v>
      </c>
      <c r="B51" s="62" t="s">
        <v>231</v>
      </c>
      <c r="C51" s="63"/>
      <c r="D51" s="64"/>
      <c r="E51" s="65"/>
      <c r="F51" s="66"/>
      <c r="G51" s="63"/>
      <c r="H51" s="67"/>
      <c r="I51" s="68"/>
      <c r="J51" s="68"/>
      <c r="K51" s="32"/>
      <c r="L51" s="75">
        <v>51</v>
      </c>
      <c r="M51" s="75"/>
      <c r="N51" s="70"/>
      <c r="O51" s="77" t="s">
        <v>802</v>
      </c>
      <c r="P51" s="79">
        <v>45142.663969907408</v>
      </c>
      <c r="Q51" s="77" t="s">
        <v>852</v>
      </c>
      <c r="R51" s="77">
        <v>0</v>
      </c>
      <c r="S51" s="77">
        <v>2</v>
      </c>
      <c r="T51" s="77">
        <v>0</v>
      </c>
      <c r="U51" s="77">
        <v>0</v>
      </c>
      <c r="V51" s="77">
        <v>68</v>
      </c>
      <c r="W51" s="82" t="s">
        <v>4866</v>
      </c>
      <c r="X51" s="77"/>
      <c r="Y51" s="77"/>
      <c r="Z51" s="77" t="s">
        <v>231</v>
      </c>
      <c r="AA51" s="77" t="s">
        <v>7198</v>
      </c>
      <c r="AB51" s="77" t="s">
        <v>8227</v>
      </c>
      <c r="AC51" s="82" t="s">
        <v>8233</v>
      </c>
      <c r="AD51" s="77" t="s">
        <v>8278</v>
      </c>
      <c r="AE51" s="80" t="str">
        <f>HYPERLINK("https://twitter.com/vokininvest/status/1687492621482991622")</f>
        <v>https://twitter.com/vokininvest/status/1687492621482991622</v>
      </c>
      <c r="AF51" s="79">
        <v>45142.663969907408</v>
      </c>
      <c r="AG51" s="85">
        <v>45142</v>
      </c>
      <c r="AH51" s="82" t="s">
        <v>8336</v>
      </c>
      <c r="AI51" s="77" t="b">
        <v>0</v>
      </c>
      <c r="AJ51" s="77"/>
      <c r="AK51" s="77"/>
      <c r="AL51" s="77"/>
      <c r="AM51" s="77"/>
      <c r="AN51" s="77"/>
      <c r="AO51" s="77"/>
      <c r="AP51" s="77"/>
      <c r="AQ51" s="77" t="s">
        <v>12083</v>
      </c>
      <c r="AR51" s="77">
        <v>86000</v>
      </c>
      <c r="AS51" s="77"/>
      <c r="AT51" s="77"/>
      <c r="AU51" s="77"/>
      <c r="AV51" s="80" t="str">
        <f>HYPERLINK("https://pbs.twimg.com/ext_tw_video_thumb/1687492540100919298/pu/img/zzM0ocqcJM4dh1pL.jpg")</f>
        <v>https://pbs.twimg.com/ext_tw_video_thumb/1687492540100919298/pu/img/zzM0ocqcJM4dh1pL.jpg</v>
      </c>
      <c r="AW51" s="82" t="s">
        <v>13156</v>
      </c>
      <c r="AX51" s="82" t="s">
        <v>13156</v>
      </c>
      <c r="AY51" s="77"/>
      <c r="AZ51" s="82" t="s">
        <v>17385</v>
      </c>
      <c r="BA51" s="82" t="s">
        <v>17385</v>
      </c>
      <c r="BB51" s="82" t="s">
        <v>17385</v>
      </c>
      <c r="BC51" s="82" t="s">
        <v>13156</v>
      </c>
      <c r="BD51" s="82" t="s">
        <v>17442</v>
      </c>
      <c r="BE51" s="77"/>
      <c r="BF51" s="77"/>
      <c r="BG51" s="77"/>
      <c r="BH51" s="77"/>
      <c r="BI51" s="77"/>
    </row>
    <row r="52" spans="1:61" x14ac:dyDescent="0.25">
      <c r="A52" s="62" t="s">
        <v>231</v>
      </c>
      <c r="B52" s="62" t="s">
        <v>231</v>
      </c>
      <c r="C52" s="63"/>
      <c r="D52" s="64"/>
      <c r="E52" s="65"/>
      <c r="F52" s="66"/>
      <c r="G52" s="63"/>
      <c r="H52" s="67"/>
      <c r="I52" s="68"/>
      <c r="J52" s="68"/>
      <c r="K52" s="32"/>
      <c r="L52" s="75">
        <v>52</v>
      </c>
      <c r="M52" s="75"/>
      <c r="N52" s="70"/>
      <c r="O52" s="77" t="s">
        <v>179</v>
      </c>
      <c r="P52" s="79">
        <v>45141.897939814815</v>
      </c>
      <c r="Q52" s="77" t="s">
        <v>853</v>
      </c>
      <c r="R52" s="77">
        <v>1</v>
      </c>
      <c r="S52" s="77">
        <v>2</v>
      </c>
      <c r="T52" s="77">
        <v>0</v>
      </c>
      <c r="U52" s="77">
        <v>0</v>
      </c>
      <c r="V52" s="77">
        <v>49</v>
      </c>
      <c r="W52" s="82" t="s">
        <v>4867</v>
      </c>
      <c r="X52" s="77"/>
      <c r="Y52" s="77"/>
      <c r="Z52" s="77"/>
      <c r="AA52" s="77" t="s">
        <v>7199</v>
      </c>
      <c r="AB52" s="77" t="s">
        <v>8225</v>
      </c>
      <c r="AC52" s="82" t="s">
        <v>8233</v>
      </c>
      <c r="AD52" s="77" t="s">
        <v>8278</v>
      </c>
      <c r="AE52" s="80" t="str">
        <f>HYPERLINK("https://twitter.com/vokininvest/status/1687215018859794437")</f>
        <v>https://twitter.com/vokininvest/status/1687215018859794437</v>
      </c>
      <c r="AF52" s="79">
        <v>45141.897939814815</v>
      </c>
      <c r="AG52" s="85">
        <v>45141</v>
      </c>
      <c r="AH52" s="82" t="s">
        <v>8337</v>
      </c>
      <c r="AI52" s="77" t="b">
        <v>0</v>
      </c>
      <c r="AJ52" s="77"/>
      <c r="AK52" s="77"/>
      <c r="AL52" s="77"/>
      <c r="AM52" s="77"/>
      <c r="AN52" s="77"/>
      <c r="AO52" s="77"/>
      <c r="AP52" s="77"/>
      <c r="AQ52" s="77" t="s">
        <v>12084</v>
      </c>
      <c r="AR52" s="77"/>
      <c r="AS52" s="77"/>
      <c r="AT52" s="77"/>
      <c r="AU52" s="77"/>
      <c r="AV52" s="80" t="str">
        <f>HYPERLINK("https://pbs.twimg.com/media/F2oxHcIWIAA0J_d.jpg")</f>
        <v>https://pbs.twimg.com/media/F2oxHcIWIAA0J_d.jpg</v>
      </c>
      <c r="AW52" s="82" t="s">
        <v>13157</v>
      </c>
      <c r="AX52" s="82" t="s">
        <v>13157</v>
      </c>
      <c r="AY52" s="77"/>
      <c r="AZ52" s="82" t="s">
        <v>17385</v>
      </c>
      <c r="BA52" s="82" t="s">
        <v>17385</v>
      </c>
      <c r="BB52" s="82" t="s">
        <v>17385</v>
      </c>
      <c r="BC52" s="82" t="s">
        <v>13157</v>
      </c>
      <c r="BD52" s="82" t="s">
        <v>17442</v>
      </c>
      <c r="BE52" s="77"/>
      <c r="BF52" s="77"/>
      <c r="BG52" s="77"/>
      <c r="BH52" s="77"/>
      <c r="BI52" s="77"/>
    </row>
    <row r="53" spans="1:61" x14ac:dyDescent="0.25">
      <c r="A53" s="62" t="s">
        <v>231</v>
      </c>
      <c r="B53" s="62" t="s">
        <v>231</v>
      </c>
      <c r="C53" s="63"/>
      <c r="D53" s="64"/>
      <c r="E53" s="65"/>
      <c r="F53" s="66"/>
      <c r="G53" s="63"/>
      <c r="H53" s="67"/>
      <c r="I53" s="68"/>
      <c r="J53" s="68"/>
      <c r="K53" s="32"/>
      <c r="L53" s="75">
        <v>53</v>
      </c>
      <c r="M53" s="75"/>
      <c r="N53" s="70"/>
      <c r="O53" s="77" t="s">
        <v>179</v>
      </c>
      <c r="P53" s="79">
        <v>45182.794398148151</v>
      </c>
      <c r="Q53" s="77" t="s">
        <v>854</v>
      </c>
      <c r="R53" s="77">
        <v>0</v>
      </c>
      <c r="S53" s="77">
        <v>1</v>
      </c>
      <c r="T53" s="77">
        <v>0</v>
      </c>
      <c r="U53" s="77">
        <v>0</v>
      </c>
      <c r="V53" s="77">
        <v>78</v>
      </c>
      <c r="W53" s="82" t="s">
        <v>4868</v>
      </c>
      <c r="X53" s="77"/>
      <c r="Y53" s="77"/>
      <c r="Z53" s="77"/>
      <c r="AA53" s="77" t="s">
        <v>7200</v>
      </c>
      <c r="AB53" s="77" t="s">
        <v>8225</v>
      </c>
      <c r="AC53" s="82" t="s">
        <v>8233</v>
      </c>
      <c r="AD53" s="77" t="s">
        <v>8278</v>
      </c>
      <c r="AE53" s="80" t="str">
        <f>HYPERLINK("https://twitter.com/vokininvest/status/1702035399432876437")</f>
        <v>https://twitter.com/vokininvest/status/1702035399432876437</v>
      </c>
      <c r="AF53" s="79">
        <v>45182.794398148151</v>
      </c>
      <c r="AG53" s="85">
        <v>45182</v>
      </c>
      <c r="AH53" s="82" t="s">
        <v>8338</v>
      </c>
      <c r="AI53" s="77" t="b">
        <v>0</v>
      </c>
      <c r="AJ53" s="77"/>
      <c r="AK53" s="77"/>
      <c r="AL53" s="77"/>
      <c r="AM53" s="77"/>
      <c r="AN53" s="77"/>
      <c r="AO53" s="77"/>
      <c r="AP53" s="77"/>
      <c r="AQ53" s="77" t="s">
        <v>12085</v>
      </c>
      <c r="AR53" s="77"/>
      <c r="AS53" s="77"/>
      <c r="AT53" s="77"/>
      <c r="AU53" s="77"/>
      <c r="AV53" s="80" t="str">
        <f>HYPERLINK("https://pbs.twimg.com/media/F57YLIsWkAId-hz.jpg")</f>
        <v>https://pbs.twimg.com/media/F57YLIsWkAId-hz.jpg</v>
      </c>
      <c r="AW53" s="82" t="s">
        <v>13158</v>
      </c>
      <c r="AX53" s="82" t="s">
        <v>13158</v>
      </c>
      <c r="AY53" s="77"/>
      <c r="AZ53" s="82" t="s">
        <v>17385</v>
      </c>
      <c r="BA53" s="82" t="s">
        <v>17385</v>
      </c>
      <c r="BB53" s="82" t="s">
        <v>17385</v>
      </c>
      <c r="BC53" s="82" t="s">
        <v>13158</v>
      </c>
      <c r="BD53" s="82" t="s">
        <v>17442</v>
      </c>
      <c r="BE53" s="77"/>
      <c r="BF53" s="77"/>
      <c r="BG53" s="77"/>
      <c r="BH53" s="77"/>
      <c r="BI53" s="77"/>
    </row>
    <row r="54" spans="1:61" x14ac:dyDescent="0.25">
      <c r="A54" s="62" t="s">
        <v>231</v>
      </c>
      <c r="B54" s="62" t="s">
        <v>231</v>
      </c>
      <c r="C54" s="63"/>
      <c r="D54" s="64"/>
      <c r="E54" s="65"/>
      <c r="F54" s="66"/>
      <c r="G54" s="63"/>
      <c r="H54" s="67"/>
      <c r="I54" s="68"/>
      <c r="J54" s="68"/>
      <c r="K54" s="32"/>
      <c r="L54" s="75">
        <v>54</v>
      </c>
      <c r="M54" s="75"/>
      <c r="N54" s="70"/>
      <c r="O54" s="77" t="s">
        <v>179</v>
      </c>
      <c r="P54" s="79">
        <v>45181.839548611111</v>
      </c>
      <c r="Q54" s="77" t="s">
        <v>855</v>
      </c>
      <c r="R54" s="77">
        <v>1</v>
      </c>
      <c r="S54" s="77">
        <v>2</v>
      </c>
      <c r="T54" s="77">
        <v>0</v>
      </c>
      <c r="U54" s="77">
        <v>0</v>
      </c>
      <c r="V54" s="77">
        <v>250</v>
      </c>
      <c r="W54" s="82" t="s">
        <v>4869</v>
      </c>
      <c r="X54" s="77"/>
      <c r="Y54" s="77"/>
      <c r="Z54" s="77"/>
      <c r="AA54" s="77" t="s">
        <v>7201</v>
      </c>
      <c r="AB54" s="77" t="s">
        <v>8227</v>
      </c>
      <c r="AC54" s="82" t="s">
        <v>8233</v>
      </c>
      <c r="AD54" s="77" t="s">
        <v>8278</v>
      </c>
      <c r="AE54" s="80" t="str">
        <f>HYPERLINK("https://twitter.com/vokininvest/status/1701689375975743501")</f>
        <v>https://twitter.com/vokininvest/status/1701689375975743501</v>
      </c>
      <c r="AF54" s="79">
        <v>45181.839548611111</v>
      </c>
      <c r="AG54" s="85">
        <v>45181</v>
      </c>
      <c r="AH54" s="82" t="s">
        <v>8339</v>
      </c>
      <c r="AI54" s="77" t="b">
        <v>0</v>
      </c>
      <c r="AJ54" s="77"/>
      <c r="AK54" s="77"/>
      <c r="AL54" s="77"/>
      <c r="AM54" s="77"/>
      <c r="AN54" s="77"/>
      <c r="AO54" s="77"/>
      <c r="AP54" s="77"/>
      <c r="AQ54" s="77" t="s">
        <v>12086</v>
      </c>
      <c r="AR54" s="77">
        <v>83461</v>
      </c>
      <c r="AS54" s="77"/>
      <c r="AT54" s="77"/>
      <c r="AU54" s="77"/>
      <c r="AV54" s="80" t="str">
        <f>HYPERLINK("https://pbs.twimg.com/ext_tw_video_thumb/1701689301145141248/pu/img/NWIQNHtQtcK7OQdL.jpg")</f>
        <v>https://pbs.twimg.com/ext_tw_video_thumb/1701689301145141248/pu/img/NWIQNHtQtcK7OQdL.jpg</v>
      </c>
      <c r="AW54" s="82" t="s">
        <v>13159</v>
      </c>
      <c r="AX54" s="82" t="s">
        <v>13159</v>
      </c>
      <c r="AY54" s="77"/>
      <c r="AZ54" s="82" t="s">
        <v>17385</v>
      </c>
      <c r="BA54" s="82" t="s">
        <v>17385</v>
      </c>
      <c r="BB54" s="82" t="s">
        <v>17385</v>
      </c>
      <c r="BC54" s="82" t="s">
        <v>13159</v>
      </c>
      <c r="BD54" s="82" t="s">
        <v>17442</v>
      </c>
      <c r="BE54" s="77"/>
      <c r="BF54" s="77"/>
      <c r="BG54" s="77"/>
      <c r="BH54" s="77"/>
      <c r="BI54" s="77"/>
    </row>
    <row r="55" spans="1:61" x14ac:dyDescent="0.25">
      <c r="A55" s="62" t="s">
        <v>231</v>
      </c>
      <c r="B55" s="62" t="s">
        <v>231</v>
      </c>
      <c r="C55" s="63"/>
      <c r="D55" s="64"/>
      <c r="E55" s="65"/>
      <c r="F55" s="66"/>
      <c r="G55" s="63"/>
      <c r="H55" s="67"/>
      <c r="I55" s="68"/>
      <c r="J55" s="68"/>
      <c r="K55" s="32"/>
      <c r="L55" s="75">
        <v>55</v>
      </c>
      <c r="M55" s="75"/>
      <c r="N55" s="70"/>
      <c r="O55" s="77" t="s">
        <v>179</v>
      </c>
      <c r="P55" s="79">
        <v>45183.846608796295</v>
      </c>
      <c r="Q55" s="77" t="s">
        <v>856</v>
      </c>
      <c r="R55" s="77">
        <v>0</v>
      </c>
      <c r="S55" s="77">
        <v>1</v>
      </c>
      <c r="T55" s="77">
        <v>0</v>
      </c>
      <c r="U55" s="77">
        <v>0</v>
      </c>
      <c r="V55" s="77">
        <v>132</v>
      </c>
      <c r="W55" s="82" t="s">
        <v>4870</v>
      </c>
      <c r="X55" s="77"/>
      <c r="Y55" s="77"/>
      <c r="Z55" s="77"/>
      <c r="AA55" s="77" t="s">
        <v>7202</v>
      </c>
      <c r="AB55" s="77" t="s">
        <v>8227</v>
      </c>
      <c r="AC55" s="82" t="s">
        <v>8233</v>
      </c>
      <c r="AD55" s="77" t="s">
        <v>8278</v>
      </c>
      <c r="AE55" s="80" t="str">
        <f>HYPERLINK("https://twitter.com/vokininvest/status/1702416708386926595")</f>
        <v>https://twitter.com/vokininvest/status/1702416708386926595</v>
      </c>
      <c r="AF55" s="79">
        <v>45183.846608796295</v>
      </c>
      <c r="AG55" s="85">
        <v>45183</v>
      </c>
      <c r="AH55" s="82" t="s">
        <v>8340</v>
      </c>
      <c r="AI55" s="77" t="b">
        <v>0</v>
      </c>
      <c r="AJ55" s="77"/>
      <c r="AK55" s="77"/>
      <c r="AL55" s="77"/>
      <c r="AM55" s="77"/>
      <c r="AN55" s="77"/>
      <c r="AO55" s="77"/>
      <c r="AP55" s="77"/>
      <c r="AQ55" s="77" t="s">
        <v>12087</v>
      </c>
      <c r="AR55" s="77">
        <v>82993</v>
      </c>
      <c r="AS55" s="77"/>
      <c r="AT55" s="77"/>
      <c r="AU55" s="77"/>
      <c r="AV55" s="80" t="str">
        <f>HYPERLINK("https://pbs.twimg.com/ext_tw_video_thumb/1702416623645216768/pu/img/3MI4GWyfgmOksPWz.jpg")</f>
        <v>https://pbs.twimg.com/ext_tw_video_thumb/1702416623645216768/pu/img/3MI4GWyfgmOksPWz.jpg</v>
      </c>
      <c r="AW55" s="82" t="s">
        <v>13160</v>
      </c>
      <c r="AX55" s="82" t="s">
        <v>13160</v>
      </c>
      <c r="AY55" s="77"/>
      <c r="AZ55" s="82" t="s">
        <v>17385</v>
      </c>
      <c r="BA55" s="82" t="s">
        <v>17385</v>
      </c>
      <c r="BB55" s="82" t="s">
        <v>17385</v>
      </c>
      <c r="BC55" s="82" t="s">
        <v>13160</v>
      </c>
      <c r="BD55" s="82" t="s">
        <v>17442</v>
      </c>
      <c r="BE55" s="77"/>
      <c r="BF55" s="77"/>
      <c r="BG55" s="77"/>
      <c r="BH55" s="77"/>
      <c r="BI55" s="77"/>
    </row>
    <row r="56" spans="1:61" x14ac:dyDescent="0.25">
      <c r="A56" s="62" t="s">
        <v>231</v>
      </c>
      <c r="B56" s="62" t="s">
        <v>231</v>
      </c>
      <c r="C56" s="63"/>
      <c r="D56" s="64"/>
      <c r="E56" s="65"/>
      <c r="F56" s="66"/>
      <c r="G56" s="63"/>
      <c r="H56" s="67"/>
      <c r="I56" s="68"/>
      <c r="J56" s="68"/>
      <c r="K56" s="32"/>
      <c r="L56" s="75">
        <v>56</v>
      </c>
      <c r="M56" s="75"/>
      <c r="N56" s="70"/>
      <c r="O56" s="77" t="s">
        <v>179</v>
      </c>
      <c r="P56" s="79">
        <v>45145.870532407411</v>
      </c>
      <c r="Q56" s="77" t="s">
        <v>857</v>
      </c>
      <c r="R56" s="77">
        <v>0</v>
      </c>
      <c r="S56" s="77">
        <v>1</v>
      </c>
      <c r="T56" s="77">
        <v>0</v>
      </c>
      <c r="U56" s="77">
        <v>0</v>
      </c>
      <c r="V56" s="77">
        <v>114</v>
      </c>
      <c r="W56" s="82" t="s">
        <v>4865</v>
      </c>
      <c r="X56" s="77"/>
      <c r="Y56" s="77"/>
      <c r="Z56" s="77"/>
      <c r="AA56" s="77" t="s">
        <v>7203</v>
      </c>
      <c r="AB56" s="77" t="s">
        <v>8227</v>
      </c>
      <c r="AC56" s="82" t="s">
        <v>8233</v>
      </c>
      <c r="AD56" s="77" t="s">
        <v>8278</v>
      </c>
      <c r="AE56" s="80" t="str">
        <f>HYPERLINK("https://twitter.com/vokininvest/status/1688654639569252352")</f>
        <v>https://twitter.com/vokininvest/status/1688654639569252352</v>
      </c>
      <c r="AF56" s="79">
        <v>45145.870532407411</v>
      </c>
      <c r="AG56" s="85">
        <v>45145</v>
      </c>
      <c r="AH56" s="82" t="s">
        <v>8341</v>
      </c>
      <c r="AI56" s="77" t="b">
        <v>0</v>
      </c>
      <c r="AJ56" s="77"/>
      <c r="AK56" s="77"/>
      <c r="AL56" s="77"/>
      <c r="AM56" s="77"/>
      <c r="AN56" s="77"/>
      <c r="AO56" s="77"/>
      <c r="AP56" s="77"/>
      <c r="AQ56" s="77" t="s">
        <v>12088</v>
      </c>
      <c r="AR56" s="77">
        <v>31933</v>
      </c>
      <c r="AS56" s="77"/>
      <c r="AT56" s="77"/>
      <c r="AU56" s="77"/>
      <c r="AV56" s="80" t="str">
        <f>HYPERLINK("https://pbs.twimg.com/ext_tw_video_thumb/1688654591267643392/pu/img/MtyzsQHd-0D2413r.jpg")</f>
        <v>https://pbs.twimg.com/ext_tw_video_thumb/1688654591267643392/pu/img/MtyzsQHd-0D2413r.jpg</v>
      </c>
      <c r="AW56" s="82" t="s">
        <v>13161</v>
      </c>
      <c r="AX56" s="82" t="s">
        <v>13161</v>
      </c>
      <c r="AY56" s="77"/>
      <c r="AZ56" s="82" t="s">
        <v>17385</v>
      </c>
      <c r="BA56" s="82" t="s">
        <v>17385</v>
      </c>
      <c r="BB56" s="82" t="s">
        <v>17385</v>
      </c>
      <c r="BC56" s="82" t="s">
        <v>13161</v>
      </c>
      <c r="BD56" s="82" t="s">
        <v>17442</v>
      </c>
      <c r="BE56" s="77"/>
      <c r="BF56" s="77"/>
      <c r="BG56" s="77"/>
      <c r="BH56" s="77"/>
      <c r="BI56" s="77"/>
    </row>
    <row r="57" spans="1:61" x14ac:dyDescent="0.25">
      <c r="A57" s="62" t="s">
        <v>232</v>
      </c>
      <c r="B57" s="62" t="s">
        <v>232</v>
      </c>
      <c r="C57" s="63"/>
      <c r="D57" s="64"/>
      <c r="E57" s="65"/>
      <c r="F57" s="66"/>
      <c r="G57" s="63"/>
      <c r="H57" s="67"/>
      <c r="I57" s="68"/>
      <c r="J57" s="68"/>
      <c r="K57" s="32"/>
      <c r="L57" s="75">
        <v>57</v>
      </c>
      <c r="M57" s="75"/>
      <c r="N57" s="70"/>
      <c r="O57" s="77" t="s">
        <v>800</v>
      </c>
      <c r="P57" s="79">
        <v>45097.960763888892</v>
      </c>
      <c r="Q57" s="77" t="s">
        <v>858</v>
      </c>
      <c r="R57" s="77">
        <v>0</v>
      </c>
      <c r="S57" s="77">
        <v>0</v>
      </c>
      <c r="T57" s="77">
        <v>1</v>
      </c>
      <c r="U57" s="77">
        <v>0</v>
      </c>
      <c r="V57" s="77">
        <v>47</v>
      </c>
      <c r="W57" s="82" t="s">
        <v>4871</v>
      </c>
      <c r="X57" s="77"/>
      <c r="Y57" s="77"/>
      <c r="Z57" s="77"/>
      <c r="AA57" s="77"/>
      <c r="AB57" s="77"/>
      <c r="AC57" s="82" t="s">
        <v>8232</v>
      </c>
      <c r="AD57" s="77" t="s">
        <v>8278</v>
      </c>
      <c r="AE57" s="80" t="str">
        <f>HYPERLINK("https://twitter.com/felippe_analyst/status/1671292721066045441")</f>
        <v>https://twitter.com/felippe_analyst/status/1671292721066045441</v>
      </c>
      <c r="AF57" s="79">
        <v>45097.960763888892</v>
      </c>
      <c r="AG57" s="85">
        <v>45097</v>
      </c>
      <c r="AH57" s="82" t="s">
        <v>8342</v>
      </c>
      <c r="AI57" s="77"/>
      <c r="AJ57" s="77" t="s">
        <v>11993</v>
      </c>
      <c r="AK57" s="77" t="s">
        <v>12007</v>
      </c>
      <c r="AL57" s="77" t="s">
        <v>12010</v>
      </c>
      <c r="AM57" s="77" t="s">
        <v>12013</v>
      </c>
      <c r="AN57" s="77" t="s">
        <v>12025</v>
      </c>
      <c r="AO57" s="77" t="s">
        <v>12039</v>
      </c>
      <c r="AP57" s="77" t="s">
        <v>12051</v>
      </c>
      <c r="AQ57" s="77"/>
      <c r="AR57" s="77"/>
      <c r="AS57" s="77"/>
      <c r="AT57" s="77"/>
      <c r="AU57" s="77"/>
      <c r="AV57" s="80" t="str">
        <f>HYPERLINK("https://pbs.twimg.com/profile_images/1655944882991796226/hLtmoAw5_normal.jpg")</f>
        <v>https://pbs.twimg.com/profile_images/1655944882991796226/hLtmoAw5_normal.jpg</v>
      </c>
      <c r="AW57" s="82" t="s">
        <v>13162</v>
      </c>
      <c r="AX57" s="82" t="s">
        <v>17140</v>
      </c>
      <c r="AY57" s="82" t="s">
        <v>17315</v>
      </c>
      <c r="AZ57" s="82" t="s">
        <v>17388</v>
      </c>
      <c r="BA57" s="82" t="s">
        <v>17385</v>
      </c>
      <c r="BB57" s="82" t="s">
        <v>17385</v>
      </c>
      <c r="BC57" s="82" t="s">
        <v>17388</v>
      </c>
      <c r="BD57" s="82" t="s">
        <v>17315</v>
      </c>
      <c r="BE57" s="77"/>
      <c r="BF57" s="77"/>
      <c r="BG57" s="77"/>
      <c r="BH57" s="77"/>
      <c r="BI57" s="77"/>
    </row>
    <row r="58" spans="1:61" x14ac:dyDescent="0.25">
      <c r="A58" s="62" t="s">
        <v>233</v>
      </c>
      <c r="B58" s="62" t="s">
        <v>731</v>
      </c>
      <c r="C58" s="63"/>
      <c r="D58" s="64"/>
      <c r="E58" s="65"/>
      <c r="F58" s="66"/>
      <c r="G58" s="63"/>
      <c r="H58" s="67"/>
      <c r="I58" s="68"/>
      <c r="J58" s="68"/>
      <c r="K58" s="32"/>
      <c r="L58" s="75">
        <v>58</v>
      </c>
      <c r="M58" s="75"/>
      <c r="N58" s="70"/>
      <c r="O58" s="77" t="s">
        <v>802</v>
      </c>
      <c r="P58" s="79">
        <v>45055.512731481482</v>
      </c>
      <c r="Q58" s="77" t="s">
        <v>859</v>
      </c>
      <c r="R58" s="77">
        <v>0</v>
      </c>
      <c r="S58" s="77">
        <v>1</v>
      </c>
      <c r="T58" s="77">
        <v>0</v>
      </c>
      <c r="U58" s="77">
        <v>0</v>
      </c>
      <c r="V58" s="77">
        <v>6</v>
      </c>
      <c r="W58" s="82" t="s">
        <v>4872</v>
      </c>
      <c r="X58" s="77" t="s">
        <v>7003</v>
      </c>
      <c r="Y58" s="77" t="s">
        <v>7058</v>
      </c>
      <c r="Z58" s="77" t="s">
        <v>731</v>
      </c>
      <c r="AA58" s="77"/>
      <c r="AB58" s="77"/>
      <c r="AC58" s="82" t="s">
        <v>8232</v>
      </c>
      <c r="AD58" s="77" t="s">
        <v>8278</v>
      </c>
      <c r="AE58" s="80" t="str">
        <f>HYPERLINK("https://twitter.com/guidottisilva/status/1655910067659497474")</f>
        <v>https://twitter.com/guidottisilva/status/1655910067659497474</v>
      </c>
      <c r="AF58" s="79">
        <v>45055.512731481482</v>
      </c>
      <c r="AG58" s="85">
        <v>45055</v>
      </c>
      <c r="AH58" s="82" t="s">
        <v>8343</v>
      </c>
      <c r="AI58" s="77" t="b">
        <v>0</v>
      </c>
      <c r="AJ58" s="77"/>
      <c r="AK58" s="77"/>
      <c r="AL58" s="77"/>
      <c r="AM58" s="77"/>
      <c r="AN58" s="77"/>
      <c r="AO58" s="77"/>
      <c r="AP58" s="77"/>
      <c r="AQ58" s="77"/>
      <c r="AR58" s="77"/>
      <c r="AS58" s="77"/>
      <c r="AT58" s="77"/>
      <c r="AU58" s="77"/>
      <c r="AV58" s="80" t="str">
        <f>HYPERLINK("https://pbs.twimg.com/profile_images/1618978012300562435/a2HHjZv4_normal.jpg")</f>
        <v>https://pbs.twimg.com/profile_images/1618978012300562435/a2HHjZv4_normal.jpg</v>
      </c>
      <c r="AW58" s="82" t="s">
        <v>13163</v>
      </c>
      <c r="AX58" s="82" t="s">
        <v>13163</v>
      </c>
      <c r="AY58" s="77"/>
      <c r="AZ58" s="82" t="s">
        <v>17385</v>
      </c>
      <c r="BA58" s="82" t="s">
        <v>17385</v>
      </c>
      <c r="BB58" s="82" t="s">
        <v>17385</v>
      </c>
      <c r="BC58" s="82" t="s">
        <v>13163</v>
      </c>
      <c r="BD58" s="82" t="s">
        <v>17443</v>
      </c>
      <c r="BE58" s="77"/>
      <c r="BF58" s="77"/>
      <c r="BG58" s="77"/>
      <c r="BH58" s="77"/>
      <c r="BI58" s="77"/>
    </row>
    <row r="59" spans="1:61" x14ac:dyDescent="0.25">
      <c r="A59" s="62" t="s">
        <v>234</v>
      </c>
      <c r="B59" s="62" t="s">
        <v>234</v>
      </c>
      <c r="C59" s="63"/>
      <c r="D59" s="64"/>
      <c r="E59" s="65"/>
      <c r="F59" s="66"/>
      <c r="G59" s="63"/>
      <c r="H59" s="67"/>
      <c r="I59" s="68"/>
      <c r="J59" s="68"/>
      <c r="K59" s="32"/>
      <c r="L59" s="75">
        <v>59</v>
      </c>
      <c r="M59" s="75"/>
      <c r="N59" s="70"/>
      <c r="O59" s="77" t="s">
        <v>179</v>
      </c>
      <c r="P59" s="79">
        <v>45114.781793981485</v>
      </c>
      <c r="Q59" s="77" t="s">
        <v>860</v>
      </c>
      <c r="R59" s="77">
        <v>0</v>
      </c>
      <c r="S59" s="77">
        <v>0</v>
      </c>
      <c r="T59" s="77">
        <v>0</v>
      </c>
      <c r="U59" s="77">
        <v>0</v>
      </c>
      <c r="V59" s="77">
        <v>34</v>
      </c>
      <c r="W59" s="82" t="s">
        <v>4873</v>
      </c>
      <c r="X59" s="77"/>
      <c r="Y59" s="77"/>
      <c r="Z59" s="77"/>
      <c r="AA59" s="77" t="s">
        <v>7204</v>
      </c>
      <c r="AB59" s="77" t="s">
        <v>8226</v>
      </c>
      <c r="AC59" s="82" t="s">
        <v>8232</v>
      </c>
      <c r="AD59" s="77" t="s">
        <v>8278</v>
      </c>
      <c r="AE59" s="80" t="str">
        <f>HYPERLINK("https://twitter.com/invexcripto/status/1677388457511886861")</f>
        <v>https://twitter.com/invexcripto/status/1677388457511886861</v>
      </c>
      <c r="AF59" s="79">
        <v>45114.781793981485</v>
      </c>
      <c r="AG59" s="85">
        <v>45114</v>
      </c>
      <c r="AH59" s="82" t="s">
        <v>8344</v>
      </c>
      <c r="AI59" s="77" t="b">
        <v>0</v>
      </c>
      <c r="AJ59" s="77"/>
      <c r="AK59" s="77"/>
      <c r="AL59" s="77"/>
      <c r="AM59" s="77"/>
      <c r="AN59" s="77"/>
      <c r="AO59" s="77"/>
      <c r="AP59" s="77"/>
      <c r="AQ59" s="77" t="s">
        <v>12089</v>
      </c>
      <c r="AR59" s="77"/>
      <c r="AS59" s="77"/>
      <c r="AT59" s="77"/>
      <c r="AU59" s="77"/>
      <c r="AV59" s="80" t="str">
        <f>HYPERLINK("https://pbs.twimg.com/media/F0dH4U-WwAA8dQS.png")</f>
        <v>https://pbs.twimg.com/media/F0dH4U-WwAA8dQS.png</v>
      </c>
      <c r="AW59" s="82" t="s">
        <v>13164</v>
      </c>
      <c r="AX59" s="82" t="s">
        <v>13164</v>
      </c>
      <c r="AY59" s="77"/>
      <c r="AZ59" s="82" t="s">
        <v>17385</v>
      </c>
      <c r="BA59" s="82" t="s">
        <v>17385</v>
      </c>
      <c r="BB59" s="82" t="s">
        <v>17385</v>
      </c>
      <c r="BC59" s="82" t="s">
        <v>13164</v>
      </c>
      <c r="BD59" s="82" t="s">
        <v>17444</v>
      </c>
      <c r="BE59" s="77"/>
      <c r="BF59" s="77"/>
      <c r="BG59" s="77"/>
      <c r="BH59" s="77"/>
      <c r="BI59" s="77"/>
    </row>
    <row r="60" spans="1:61" x14ac:dyDescent="0.25">
      <c r="A60" s="62" t="s">
        <v>234</v>
      </c>
      <c r="B60" s="62" t="s">
        <v>234</v>
      </c>
      <c r="C60" s="63"/>
      <c r="D60" s="64"/>
      <c r="E60" s="65"/>
      <c r="F60" s="66"/>
      <c r="G60" s="63"/>
      <c r="H60" s="67"/>
      <c r="I60" s="68"/>
      <c r="J60" s="68"/>
      <c r="K60" s="32"/>
      <c r="L60" s="75">
        <v>60</v>
      </c>
      <c r="M60" s="75"/>
      <c r="N60" s="70"/>
      <c r="O60" s="77" t="s">
        <v>179</v>
      </c>
      <c r="P60" s="79">
        <v>45196.970682870371</v>
      </c>
      <c r="Q60" s="77" t="s">
        <v>861</v>
      </c>
      <c r="R60" s="77">
        <v>0</v>
      </c>
      <c r="S60" s="77">
        <v>0</v>
      </c>
      <c r="T60" s="77">
        <v>0</v>
      </c>
      <c r="U60" s="77">
        <v>0</v>
      </c>
      <c r="V60" s="77">
        <v>15</v>
      </c>
      <c r="W60" s="82" t="s">
        <v>4873</v>
      </c>
      <c r="X60" s="77"/>
      <c r="Y60" s="77"/>
      <c r="Z60" s="77"/>
      <c r="AA60" s="77" t="s">
        <v>7205</v>
      </c>
      <c r="AB60" s="77" t="s">
        <v>8226</v>
      </c>
      <c r="AC60" s="82" t="s">
        <v>8232</v>
      </c>
      <c r="AD60" s="77" t="s">
        <v>8278</v>
      </c>
      <c r="AE60" s="80" t="str">
        <f>HYPERLINK("https://twitter.com/invexcripto/status/1707172715415633947")</f>
        <v>https://twitter.com/invexcripto/status/1707172715415633947</v>
      </c>
      <c r="AF60" s="79">
        <v>45196.970682870371</v>
      </c>
      <c r="AG60" s="85">
        <v>45196</v>
      </c>
      <c r="AH60" s="82" t="s">
        <v>8345</v>
      </c>
      <c r="AI60" s="77" t="b">
        <v>0</v>
      </c>
      <c r="AJ60" s="77"/>
      <c r="AK60" s="77"/>
      <c r="AL60" s="77"/>
      <c r="AM60" s="77"/>
      <c r="AN60" s="77"/>
      <c r="AO60" s="77"/>
      <c r="AP60" s="77"/>
      <c r="AQ60" s="77" t="s">
        <v>12090</v>
      </c>
      <c r="AR60" s="77"/>
      <c r="AS60" s="77"/>
      <c r="AT60" s="77"/>
      <c r="AU60" s="77"/>
      <c r="AV60" s="80" t="str">
        <f>HYPERLINK("https://pbs.twimg.com/media/F7EX6ZEWcAA44jX.png")</f>
        <v>https://pbs.twimg.com/media/F7EX6ZEWcAA44jX.png</v>
      </c>
      <c r="AW60" s="82" t="s">
        <v>13165</v>
      </c>
      <c r="AX60" s="82" t="s">
        <v>13165</v>
      </c>
      <c r="AY60" s="77"/>
      <c r="AZ60" s="82" t="s">
        <v>17385</v>
      </c>
      <c r="BA60" s="82" t="s">
        <v>17385</v>
      </c>
      <c r="BB60" s="82" t="s">
        <v>17385</v>
      </c>
      <c r="BC60" s="82" t="s">
        <v>13165</v>
      </c>
      <c r="BD60" s="82" t="s">
        <v>17444</v>
      </c>
      <c r="BE60" s="77"/>
      <c r="BF60" s="77"/>
      <c r="BG60" s="77"/>
      <c r="BH60" s="77"/>
      <c r="BI60" s="77"/>
    </row>
    <row r="61" spans="1:61" x14ac:dyDescent="0.25">
      <c r="A61" s="62" t="s">
        <v>235</v>
      </c>
      <c r="B61" s="62" t="s">
        <v>235</v>
      </c>
      <c r="C61" s="63"/>
      <c r="D61" s="64"/>
      <c r="E61" s="65"/>
      <c r="F61" s="66"/>
      <c r="G61" s="63"/>
      <c r="H61" s="67"/>
      <c r="I61" s="68"/>
      <c r="J61" s="68"/>
      <c r="K61" s="32"/>
      <c r="L61" s="75">
        <v>61</v>
      </c>
      <c r="M61" s="75"/>
      <c r="N61" s="70"/>
      <c r="O61" s="77" t="s">
        <v>179</v>
      </c>
      <c r="P61" s="79">
        <v>45073.494745370372</v>
      </c>
      <c r="Q61" s="77" t="s">
        <v>862</v>
      </c>
      <c r="R61" s="77">
        <v>0</v>
      </c>
      <c r="S61" s="77">
        <v>0</v>
      </c>
      <c r="T61" s="77">
        <v>0</v>
      </c>
      <c r="U61" s="77">
        <v>0</v>
      </c>
      <c r="V61" s="77">
        <v>34</v>
      </c>
      <c r="W61" s="82" t="s">
        <v>4874</v>
      </c>
      <c r="X61" s="77"/>
      <c r="Y61" s="77"/>
      <c r="Z61" s="77"/>
      <c r="AA61" s="77"/>
      <c r="AB61" s="77"/>
      <c r="AC61" s="82" t="s">
        <v>8234</v>
      </c>
      <c r="AD61" s="77" t="s">
        <v>8278</v>
      </c>
      <c r="AE61" s="80" t="str">
        <f>HYPERLINK("https://twitter.com/rudimarbenfatto/status/1662426531619061760")</f>
        <v>https://twitter.com/rudimarbenfatto/status/1662426531619061760</v>
      </c>
      <c r="AF61" s="79">
        <v>45073.494745370372</v>
      </c>
      <c r="AG61" s="85">
        <v>45073</v>
      </c>
      <c r="AH61" s="82" t="s">
        <v>8346</v>
      </c>
      <c r="AI61" s="77"/>
      <c r="AJ61" s="77"/>
      <c r="AK61" s="77"/>
      <c r="AL61" s="77"/>
      <c r="AM61" s="77"/>
      <c r="AN61" s="77"/>
      <c r="AO61" s="77"/>
      <c r="AP61" s="77"/>
      <c r="AQ61" s="77"/>
      <c r="AR61" s="77"/>
      <c r="AS61" s="77"/>
      <c r="AT61" s="77"/>
      <c r="AU61" s="77"/>
      <c r="AV61" s="80" t="str">
        <f>HYPERLINK("https://pbs.twimg.com/profile_images/1211011898256379904/78YYd-W0_normal.jpg")</f>
        <v>https://pbs.twimg.com/profile_images/1211011898256379904/78YYd-W0_normal.jpg</v>
      </c>
      <c r="AW61" s="82" t="s">
        <v>13166</v>
      </c>
      <c r="AX61" s="82" t="s">
        <v>13166</v>
      </c>
      <c r="AY61" s="77"/>
      <c r="AZ61" s="82" t="s">
        <v>17385</v>
      </c>
      <c r="BA61" s="82" t="s">
        <v>17385</v>
      </c>
      <c r="BB61" s="82" t="s">
        <v>17385</v>
      </c>
      <c r="BC61" s="82" t="s">
        <v>13166</v>
      </c>
      <c r="BD61" s="77">
        <v>51557374</v>
      </c>
      <c r="BE61" s="77"/>
      <c r="BF61" s="77"/>
      <c r="BG61" s="77"/>
      <c r="BH61" s="77"/>
      <c r="BI61" s="77"/>
    </row>
    <row r="62" spans="1:61" x14ac:dyDescent="0.25">
      <c r="A62" s="62" t="s">
        <v>236</v>
      </c>
      <c r="B62" s="62" t="s">
        <v>236</v>
      </c>
      <c r="C62" s="63"/>
      <c r="D62" s="64"/>
      <c r="E62" s="65"/>
      <c r="F62" s="66"/>
      <c r="G62" s="63"/>
      <c r="H62" s="67"/>
      <c r="I62" s="68"/>
      <c r="J62" s="68"/>
      <c r="K62" s="32"/>
      <c r="L62" s="75">
        <v>62</v>
      </c>
      <c r="M62" s="75"/>
      <c r="N62" s="70"/>
      <c r="O62" s="77" t="s">
        <v>800</v>
      </c>
      <c r="P62" s="79">
        <v>45043.842534722222</v>
      </c>
      <c r="Q62" s="77" t="s">
        <v>863</v>
      </c>
      <c r="R62" s="77">
        <v>0</v>
      </c>
      <c r="S62" s="77">
        <v>0</v>
      </c>
      <c r="T62" s="77">
        <v>0</v>
      </c>
      <c r="U62" s="77">
        <v>0</v>
      </c>
      <c r="V62" s="77">
        <v>15</v>
      </c>
      <c r="W62" s="82" t="s">
        <v>4875</v>
      </c>
      <c r="X62" s="77"/>
      <c r="Y62" s="77"/>
      <c r="Z62" s="77"/>
      <c r="AA62" s="77"/>
      <c r="AB62" s="77"/>
      <c r="AC62" s="82" t="s">
        <v>8232</v>
      </c>
      <c r="AD62" s="77" t="s">
        <v>8282</v>
      </c>
      <c r="AE62" s="80" t="str">
        <f>HYPERLINK("https://twitter.com/caiohsr0/status/1651680932556840960")</f>
        <v>https://twitter.com/caiohsr0/status/1651680932556840960</v>
      </c>
      <c r="AF62" s="79">
        <v>45043.842534722222</v>
      </c>
      <c r="AG62" s="85">
        <v>45043</v>
      </c>
      <c r="AH62" s="82" t="s">
        <v>8347</v>
      </c>
      <c r="AI62" s="77"/>
      <c r="AJ62" s="77"/>
      <c r="AK62" s="77"/>
      <c r="AL62" s="77"/>
      <c r="AM62" s="77"/>
      <c r="AN62" s="77"/>
      <c r="AO62" s="77"/>
      <c r="AP62" s="77"/>
      <c r="AQ62" s="77"/>
      <c r="AR62" s="77"/>
      <c r="AS62" s="77"/>
      <c r="AT62" s="77"/>
      <c r="AU62" s="77"/>
      <c r="AV62" s="80" t="str">
        <f>HYPERLINK("https://pbs.twimg.com/profile_images/1202689140631973888/f8HT8OFq_normal.jpg")</f>
        <v>https://pbs.twimg.com/profile_images/1202689140631973888/f8HT8OFq_normal.jpg</v>
      </c>
      <c r="AW62" s="82" t="s">
        <v>13167</v>
      </c>
      <c r="AX62" s="82" t="s">
        <v>17141</v>
      </c>
      <c r="AY62" s="82" t="s">
        <v>17316</v>
      </c>
      <c r="AZ62" s="82" t="s">
        <v>17389</v>
      </c>
      <c r="BA62" s="82" t="s">
        <v>17385</v>
      </c>
      <c r="BB62" s="82" t="s">
        <v>17385</v>
      </c>
      <c r="BC62" s="82" t="s">
        <v>17389</v>
      </c>
      <c r="BD62" s="82" t="s">
        <v>17316</v>
      </c>
      <c r="BE62" s="77"/>
      <c r="BF62" s="77"/>
      <c r="BG62" s="77"/>
      <c r="BH62" s="77"/>
      <c r="BI62" s="77"/>
    </row>
    <row r="63" spans="1:61" x14ac:dyDescent="0.25">
      <c r="A63" s="62" t="s">
        <v>237</v>
      </c>
      <c r="B63" s="62" t="s">
        <v>237</v>
      </c>
      <c r="C63" s="63"/>
      <c r="D63" s="64"/>
      <c r="E63" s="65"/>
      <c r="F63" s="66"/>
      <c r="G63" s="63"/>
      <c r="H63" s="67"/>
      <c r="I63" s="68"/>
      <c r="J63" s="68"/>
      <c r="K63" s="32"/>
      <c r="L63" s="75">
        <v>63</v>
      </c>
      <c r="M63" s="75"/>
      <c r="N63" s="70"/>
      <c r="O63" s="77" t="s">
        <v>179</v>
      </c>
      <c r="P63" s="79">
        <v>45155.169965277775</v>
      </c>
      <c r="Q63" s="77" t="s">
        <v>864</v>
      </c>
      <c r="R63" s="77">
        <v>0</v>
      </c>
      <c r="S63" s="77">
        <v>1</v>
      </c>
      <c r="T63" s="77">
        <v>0</v>
      </c>
      <c r="U63" s="77">
        <v>0</v>
      </c>
      <c r="V63" s="77">
        <v>314</v>
      </c>
      <c r="W63" s="82" t="s">
        <v>4876</v>
      </c>
      <c r="X63" s="77"/>
      <c r="Y63" s="77"/>
      <c r="Z63" s="77"/>
      <c r="AA63" s="77" t="s">
        <v>7206</v>
      </c>
      <c r="AB63" s="77" t="s">
        <v>8227</v>
      </c>
      <c r="AC63" s="82" t="s">
        <v>8232</v>
      </c>
      <c r="AD63" s="77" t="s">
        <v>8278</v>
      </c>
      <c r="AE63" s="80" t="str">
        <f>HYPERLINK("https://twitter.com/garimpeiroinvst/status/1692024641211019447")</f>
        <v>https://twitter.com/garimpeiroinvst/status/1692024641211019447</v>
      </c>
      <c r="AF63" s="79">
        <v>45155.169965277775</v>
      </c>
      <c r="AG63" s="85">
        <v>45155</v>
      </c>
      <c r="AH63" s="82" t="s">
        <v>8348</v>
      </c>
      <c r="AI63" s="77" t="b">
        <v>0</v>
      </c>
      <c r="AJ63" s="77"/>
      <c r="AK63" s="77"/>
      <c r="AL63" s="77"/>
      <c r="AM63" s="77"/>
      <c r="AN63" s="77"/>
      <c r="AO63" s="77"/>
      <c r="AP63" s="77"/>
      <c r="AQ63" s="77" t="s">
        <v>12091</v>
      </c>
      <c r="AR63" s="77">
        <v>17809</v>
      </c>
      <c r="AS63" s="77"/>
      <c r="AT63" s="77"/>
      <c r="AU63" s="77"/>
      <c r="AV63" s="80" t="str">
        <f>HYPERLINK("https://pbs.twimg.com/ext_tw_video_thumb/1692024435081981953/pu/img/8W9mDXbz64d_hVFz.jpg")</f>
        <v>https://pbs.twimg.com/ext_tw_video_thumb/1692024435081981953/pu/img/8W9mDXbz64d_hVFz.jpg</v>
      </c>
      <c r="AW63" s="82" t="s">
        <v>13168</v>
      </c>
      <c r="AX63" s="82" t="s">
        <v>13168</v>
      </c>
      <c r="AY63" s="77"/>
      <c r="AZ63" s="82" t="s">
        <v>17385</v>
      </c>
      <c r="BA63" s="82" t="s">
        <v>17385</v>
      </c>
      <c r="BB63" s="82" t="s">
        <v>17385</v>
      </c>
      <c r="BC63" s="82" t="s">
        <v>13168</v>
      </c>
      <c r="BD63" s="82" t="s">
        <v>17445</v>
      </c>
      <c r="BE63" s="77"/>
      <c r="BF63" s="77"/>
      <c r="BG63" s="77"/>
      <c r="BH63" s="77"/>
      <c r="BI63" s="77"/>
    </row>
    <row r="64" spans="1:61" x14ac:dyDescent="0.25">
      <c r="A64" s="62" t="s">
        <v>238</v>
      </c>
      <c r="B64" s="62" t="s">
        <v>238</v>
      </c>
      <c r="C64" s="63"/>
      <c r="D64" s="64"/>
      <c r="E64" s="65"/>
      <c r="F64" s="66"/>
      <c r="G64" s="63"/>
      <c r="H64" s="67"/>
      <c r="I64" s="68"/>
      <c r="J64" s="68"/>
      <c r="K64" s="32"/>
      <c r="L64" s="75">
        <v>64</v>
      </c>
      <c r="M64" s="75"/>
      <c r="N64" s="70"/>
      <c r="O64" s="77" t="s">
        <v>179</v>
      </c>
      <c r="P64" s="79">
        <v>45072.541331018518</v>
      </c>
      <c r="Q64" s="77" t="s">
        <v>865</v>
      </c>
      <c r="R64" s="77">
        <v>0</v>
      </c>
      <c r="S64" s="77">
        <v>0</v>
      </c>
      <c r="T64" s="77">
        <v>0</v>
      </c>
      <c r="U64" s="77">
        <v>0</v>
      </c>
      <c r="V64" s="77">
        <v>138</v>
      </c>
      <c r="W64" s="82" t="s">
        <v>4877</v>
      </c>
      <c r="X64" s="80" t="str">
        <f>HYPERLINK("https://cutt.ly/SALA-DE-SINAIS-CRASH-ROLETA-GRATIS")</f>
        <v>https://cutt.ly/SALA-DE-SINAIS-CRASH-ROLETA-GRATIS</v>
      </c>
      <c r="Y64" s="77" t="s">
        <v>7059</v>
      </c>
      <c r="Z64" s="77"/>
      <c r="AA64" s="77" t="s">
        <v>7207</v>
      </c>
      <c r="AB64" s="77" t="s">
        <v>8227</v>
      </c>
      <c r="AC64" s="82" t="s">
        <v>8232</v>
      </c>
      <c r="AD64" s="77" t="s">
        <v>8278</v>
      </c>
      <c r="AE64" s="80" t="str">
        <f>HYPERLINK("https://twitter.com/da_randel/status/1662081025839706113")</f>
        <v>https://twitter.com/da_randel/status/1662081025839706113</v>
      </c>
      <c r="AF64" s="79">
        <v>45072.541331018518</v>
      </c>
      <c r="AG64" s="85">
        <v>45072</v>
      </c>
      <c r="AH64" s="82" t="s">
        <v>8349</v>
      </c>
      <c r="AI64" s="77" t="b">
        <v>0</v>
      </c>
      <c r="AJ64" s="77"/>
      <c r="AK64" s="77"/>
      <c r="AL64" s="77"/>
      <c r="AM64" s="77"/>
      <c r="AN64" s="77"/>
      <c r="AO64" s="77"/>
      <c r="AP64" s="77"/>
      <c r="AQ64" s="77" t="s">
        <v>12092</v>
      </c>
      <c r="AR64" s="77">
        <v>20246</v>
      </c>
      <c r="AS64" s="77"/>
      <c r="AT64" s="77"/>
      <c r="AU64" s="77"/>
      <c r="AV64" s="80" t="str">
        <f>HYPERLINK("https://pbs.twimg.com/ext_tw_video_thumb/1662080956415483913/pu/img/LVdMQYE6eEvxb1da.jpg")</f>
        <v>https://pbs.twimg.com/ext_tw_video_thumb/1662080956415483913/pu/img/LVdMQYE6eEvxb1da.jpg</v>
      </c>
      <c r="AW64" s="82" t="s">
        <v>13169</v>
      </c>
      <c r="AX64" s="82" t="s">
        <v>13169</v>
      </c>
      <c r="AY64" s="77"/>
      <c r="AZ64" s="82" t="s">
        <v>17385</v>
      </c>
      <c r="BA64" s="82" t="s">
        <v>17385</v>
      </c>
      <c r="BB64" s="82" t="s">
        <v>17385</v>
      </c>
      <c r="BC64" s="82" t="s">
        <v>13169</v>
      </c>
      <c r="BD64" s="82" t="s">
        <v>17446</v>
      </c>
      <c r="BE64" s="77"/>
      <c r="BF64" s="77"/>
      <c r="BG64" s="77"/>
      <c r="BH64" s="77"/>
      <c r="BI64" s="77"/>
    </row>
    <row r="65" spans="1:61" x14ac:dyDescent="0.25">
      <c r="A65" s="62" t="s">
        <v>238</v>
      </c>
      <c r="B65" s="62" t="s">
        <v>238</v>
      </c>
      <c r="C65" s="63"/>
      <c r="D65" s="64"/>
      <c r="E65" s="65"/>
      <c r="F65" s="66"/>
      <c r="G65" s="63"/>
      <c r="H65" s="67"/>
      <c r="I65" s="68"/>
      <c r="J65" s="68"/>
      <c r="K65" s="32"/>
      <c r="L65" s="75">
        <v>65</v>
      </c>
      <c r="M65" s="75"/>
      <c r="N65" s="70"/>
      <c r="O65" s="77" t="s">
        <v>179</v>
      </c>
      <c r="P65" s="79">
        <v>45072.540162037039</v>
      </c>
      <c r="Q65" s="77" t="s">
        <v>866</v>
      </c>
      <c r="R65" s="77">
        <v>0</v>
      </c>
      <c r="S65" s="77">
        <v>0</v>
      </c>
      <c r="T65" s="77">
        <v>0</v>
      </c>
      <c r="U65" s="77">
        <v>0</v>
      </c>
      <c r="V65" s="77">
        <v>138</v>
      </c>
      <c r="W65" s="82" t="s">
        <v>4878</v>
      </c>
      <c r="X65" s="80" t="str">
        <f>HYPERLINK("https://cutt.ly/SALA-DE-SINAIS-CRASH-ROLETA-GRATIS")</f>
        <v>https://cutt.ly/SALA-DE-SINAIS-CRASH-ROLETA-GRATIS</v>
      </c>
      <c r="Y65" s="77" t="s">
        <v>7059</v>
      </c>
      <c r="Z65" s="77"/>
      <c r="AA65" s="77" t="s">
        <v>7208</v>
      </c>
      <c r="AB65" s="77" t="s">
        <v>8227</v>
      </c>
      <c r="AC65" s="82" t="s">
        <v>8232</v>
      </c>
      <c r="AD65" s="77" t="s">
        <v>8278</v>
      </c>
      <c r="AE65" s="80" t="str">
        <f>HYPERLINK("https://twitter.com/da_randel/status/1662080605583036417")</f>
        <v>https://twitter.com/da_randel/status/1662080605583036417</v>
      </c>
      <c r="AF65" s="79">
        <v>45072.540162037039</v>
      </c>
      <c r="AG65" s="85">
        <v>45072</v>
      </c>
      <c r="AH65" s="82" t="s">
        <v>8350</v>
      </c>
      <c r="AI65" s="77" t="b">
        <v>0</v>
      </c>
      <c r="AJ65" s="77"/>
      <c r="AK65" s="77"/>
      <c r="AL65" s="77"/>
      <c r="AM65" s="77"/>
      <c r="AN65" s="77"/>
      <c r="AO65" s="77"/>
      <c r="AP65" s="77"/>
      <c r="AQ65" s="77" t="s">
        <v>12093</v>
      </c>
      <c r="AR65" s="77">
        <v>26631</v>
      </c>
      <c r="AS65" s="77"/>
      <c r="AT65" s="77"/>
      <c r="AU65" s="77"/>
      <c r="AV65" s="80" t="str">
        <f>HYPERLINK("https://pbs.twimg.com/ext_tw_video_thumb/1662080391669325828/pu/img/2ZOBEE5nr2ogJkvW.jpg")</f>
        <v>https://pbs.twimg.com/ext_tw_video_thumb/1662080391669325828/pu/img/2ZOBEE5nr2ogJkvW.jpg</v>
      </c>
      <c r="AW65" s="82" t="s">
        <v>13170</v>
      </c>
      <c r="AX65" s="82" t="s">
        <v>13170</v>
      </c>
      <c r="AY65" s="77"/>
      <c r="AZ65" s="82" t="s">
        <v>17385</v>
      </c>
      <c r="BA65" s="82" t="s">
        <v>17385</v>
      </c>
      <c r="BB65" s="82" t="s">
        <v>17385</v>
      </c>
      <c r="BC65" s="82" t="s">
        <v>13170</v>
      </c>
      <c r="BD65" s="82" t="s">
        <v>17446</v>
      </c>
      <c r="BE65" s="77"/>
      <c r="BF65" s="77"/>
      <c r="BG65" s="77"/>
      <c r="BH65" s="77"/>
      <c r="BI65" s="77"/>
    </row>
    <row r="66" spans="1:61" x14ac:dyDescent="0.25">
      <c r="A66" s="62" t="s">
        <v>239</v>
      </c>
      <c r="B66" s="62" t="s">
        <v>239</v>
      </c>
      <c r="C66" s="63"/>
      <c r="D66" s="64"/>
      <c r="E66" s="65"/>
      <c r="F66" s="66"/>
      <c r="G66" s="63"/>
      <c r="H66" s="67"/>
      <c r="I66" s="68"/>
      <c r="J66" s="68"/>
      <c r="K66" s="32"/>
      <c r="L66" s="75">
        <v>66</v>
      </c>
      <c r="M66" s="75"/>
      <c r="N66" s="70"/>
      <c r="O66" s="77" t="s">
        <v>800</v>
      </c>
      <c r="P66" s="79">
        <v>45044.00271990741</v>
      </c>
      <c r="Q66" s="77" t="s">
        <v>867</v>
      </c>
      <c r="R66" s="77">
        <v>0</v>
      </c>
      <c r="S66" s="77">
        <v>1</v>
      </c>
      <c r="T66" s="77">
        <v>1</v>
      </c>
      <c r="U66" s="77">
        <v>0</v>
      </c>
      <c r="V66" s="77">
        <v>76</v>
      </c>
      <c r="W66" s="82" t="s">
        <v>4879</v>
      </c>
      <c r="X66" s="77"/>
      <c r="Y66" s="77"/>
      <c r="Z66" s="77"/>
      <c r="AA66" s="77"/>
      <c r="AB66" s="77"/>
      <c r="AC66" s="82" t="s">
        <v>8232</v>
      </c>
      <c r="AD66" s="77" t="s">
        <v>8282</v>
      </c>
      <c r="AE66" s="80" t="str">
        <f>HYPERLINK("https://twitter.com/webtcoficial/status/1651738980872855552")</f>
        <v>https://twitter.com/webtcoficial/status/1651738980872855552</v>
      </c>
      <c r="AF66" s="79">
        <v>45044.00271990741</v>
      </c>
      <c r="AG66" s="85">
        <v>45044</v>
      </c>
      <c r="AH66" s="82" t="s">
        <v>8351</v>
      </c>
      <c r="AI66" s="77"/>
      <c r="AJ66" s="77"/>
      <c r="AK66" s="77"/>
      <c r="AL66" s="77"/>
      <c r="AM66" s="77"/>
      <c r="AN66" s="77"/>
      <c r="AO66" s="77"/>
      <c r="AP66" s="77"/>
      <c r="AQ66" s="77"/>
      <c r="AR66" s="77"/>
      <c r="AS66" s="77"/>
      <c r="AT66" s="77"/>
      <c r="AU66" s="77"/>
      <c r="AV66" s="80" t="str">
        <f>HYPERLINK("https://pbs.twimg.com/profile_images/1533150462186295300/XvsnzVW9_normal.jpg")</f>
        <v>https://pbs.twimg.com/profile_images/1533150462186295300/XvsnzVW9_normal.jpg</v>
      </c>
      <c r="AW66" s="82" t="s">
        <v>13171</v>
      </c>
      <c r="AX66" s="82" t="s">
        <v>17142</v>
      </c>
      <c r="AY66" s="82" t="s">
        <v>17317</v>
      </c>
      <c r="AZ66" s="82" t="s">
        <v>17390</v>
      </c>
      <c r="BA66" s="82" t="s">
        <v>17385</v>
      </c>
      <c r="BB66" s="82" t="s">
        <v>17385</v>
      </c>
      <c r="BC66" s="82" t="s">
        <v>17390</v>
      </c>
      <c r="BD66" s="82" t="s">
        <v>17317</v>
      </c>
      <c r="BE66" s="77"/>
      <c r="BF66" s="77"/>
      <c r="BG66" s="77"/>
      <c r="BH66" s="77"/>
      <c r="BI66" s="77"/>
    </row>
    <row r="67" spans="1:61" x14ac:dyDescent="0.25">
      <c r="A67" s="62" t="s">
        <v>239</v>
      </c>
      <c r="B67" s="62" t="s">
        <v>239</v>
      </c>
      <c r="C67" s="63"/>
      <c r="D67" s="64"/>
      <c r="E67" s="65"/>
      <c r="F67" s="66"/>
      <c r="G67" s="63"/>
      <c r="H67" s="67"/>
      <c r="I67" s="68"/>
      <c r="J67" s="68"/>
      <c r="K67" s="32"/>
      <c r="L67" s="75">
        <v>67</v>
      </c>
      <c r="M67" s="75"/>
      <c r="N67" s="70"/>
      <c r="O67" s="77" t="s">
        <v>800</v>
      </c>
      <c r="P67" s="79">
        <v>45048.908819444441</v>
      </c>
      <c r="Q67" s="77" t="s">
        <v>868</v>
      </c>
      <c r="R67" s="77">
        <v>0</v>
      </c>
      <c r="S67" s="77">
        <v>0</v>
      </c>
      <c r="T67" s="77">
        <v>0</v>
      </c>
      <c r="U67" s="77">
        <v>0</v>
      </c>
      <c r="V67" s="77">
        <v>94</v>
      </c>
      <c r="W67" s="82" t="s">
        <v>4880</v>
      </c>
      <c r="X67" s="77"/>
      <c r="Y67" s="77"/>
      <c r="Z67" s="77"/>
      <c r="AA67" s="77"/>
      <c r="AB67" s="77"/>
      <c r="AC67" s="82" t="s">
        <v>8232</v>
      </c>
      <c r="AD67" s="77" t="s">
        <v>8278</v>
      </c>
      <c r="AE67" s="80" t="str">
        <f>HYPERLINK("https://twitter.com/webtcoficial/status/1653516890352898048")</f>
        <v>https://twitter.com/webtcoficial/status/1653516890352898048</v>
      </c>
      <c r="AF67" s="79">
        <v>45048.908819444441</v>
      </c>
      <c r="AG67" s="85">
        <v>45048</v>
      </c>
      <c r="AH67" s="82" t="s">
        <v>8352</v>
      </c>
      <c r="AI67" s="77"/>
      <c r="AJ67" s="77"/>
      <c r="AK67" s="77"/>
      <c r="AL67" s="77"/>
      <c r="AM67" s="77"/>
      <c r="AN67" s="77"/>
      <c r="AO67" s="77"/>
      <c r="AP67" s="77"/>
      <c r="AQ67" s="77"/>
      <c r="AR67" s="77"/>
      <c r="AS67" s="77"/>
      <c r="AT67" s="77"/>
      <c r="AU67" s="77"/>
      <c r="AV67" s="80" t="str">
        <f>HYPERLINK("https://pbs.twimg.com/profile_images/1533150462186295300/XvsnzVW9_normal.jpg")</f>
        <v>https://pbs.twimg.com/profile_images/1533150462186295300/XvsnzVW9_normal.jpg</v>
      </c>
      <c r="AW67" s="82" t="s">
        <v>13172</v>
      </c>
      <c r="AX67" s="82" t="s">
        <v>17143</v>
      </c>
      <c r="AY67" s="82" t="s">
        <v>17317</v>
      </c>
      <c r="AZ67" s="82" t="s">
        <v>17391</v>
      </c>
      <c r="BA67" s="82" t="s">
        <v>17385</v>
      </c>
      <c r="BB67" s="82" t="s">
        <v>17385</v>
      </c>
      <c r="BC67" s="82" t="s">
        <v>17391</v>
      </c>
      <c r="BD67" s="82" t="s">
        <v>17317</v>
      </c>
      <c r="BE67" s="77"/>
      <c r="BF67" s="77"/>
      <c r="BG67" s="77"/>
      <c r="BH67" s="77"/>
      <c r="BI67" s="77"/>
    </row>
    <row r="68" spans="1:61" x14ac:dyDescent="0.25">
      <c r="A68" s="62" t="s">
        <v>240</v>
      </c>
      <c r="B68" s="62" t="s">
        <v>240</v>
      </c>
      <c r="C68" s="63"/>
      <c r="D68" s="64"/>
      <c r="E68" s="65"/>
      <c r="F68" s="66"/>
      <c r="G68" s="63"/>
      <c r="H68" s="67"/>
      <c r="I68" s="68"/>
      <c r="J68" s="68"/>
      <c r="K68" s="32"/>
      <c r="L68" s="75">
        <v>68</v>
      </c>
      <c r="M68" s="75"/>
      <c r="N68" s="70"/>
      <c r="O68" s="77" t="s">
        <v>179</v>
      </c>
      <c r="P68" s="79">
        <v>45118.74659722222</v>
      </c>
      <c r="Q68" s="77" t="s">
        <v>869</v>
      </c>
      <c r="R68" s="77">
        <v>0</v>
      </c>
      <c r="S68" s="77">
        <v>0</v>
      </c>
      <c r="T68" s="77">
        <v>1</v>
      </c>
      <c r="U68" s="77">
        <v>0</v>
      </c>
      <c r="V68" s="77">
        <v>177</v>
      </c>
      <c r="W68" s="82" t="s">
        <v>4881</v>
      </c>
      <c r="X68" s="80" t="str">
        <f>HYPERLINK("https://diariodovale.com.br/tempo-real/volta-redonda-csn-apresenta-a-neto-acoes-imediatas-contra-o-po-preto/")</f>
        <v>https://diariodovale.com.br/tempo-real/volta-redonda-csn-apresenta-a-neto-acoes-imediatas-contra-o-po-preto/</v>
      </c>
      <c r="Y68" s="77" t="s">
        <v>7053</v>
      </c>
      <c r="Z68" s="77"/>
      <c r="AA68" s="77" t="s">
        <v>7209</v>
      </c>
      <c r="AB68" s="77" t="s">
        <v>8225</v>
      </c>
      <c r="AC68" s="82" t="s">
        <v>8235</v>
      </c>
      <c r="AD68" s="77" t="s">
        <v>8278</v>
      </c>
      <c r="AE68" s="80" t="str">
        <f>HYPERLINK("https://twitter.com/diariodovale/status/1678825255920365573")</f>
        <v>https://twitter.com/diariodovale/status/1678825255920365573</v>
      </c>
      <c r="AF68" s="79">
        <v>45118.74659722222</v>
      </c>
      <c r="AG68" s="85">
        <v>45118</v>
      </c>
      <c r="AH68" s="82" t="s">
        <v>8353</v>
      </c>
      <c r="AI68" s="77" t="b">
        <v>0</v>
      </c>
      <c r="AJ68" s="77"/>
      <c r="AK68" s="77"/>
      <c r="AL68" s="77"/>
      <c r="AM68" s="77"/>
      <c r="AN68" s="77"/>
      <c r="AO68" s="77"/>
      <c r="AP68" s="77"/>
      <c r="AQ68" s="77" t="s">
        <v>12094</v>
      </c>
      <c r="AR68" s="77"/>
      <c r="AS68" s="77"/>
      <c r="AT68" s="77"/>
      <c r="AU68" s="77"/>
      <c r="AV68" s="80" t="str">
        <f>HYPERLINK("https://pbs.twimg.com/media/F0xirIFXsAEdPeM.jpg")</f>
        <v>https://pbs.twimg.com/media/F0xirIFXsAEdPeM.jpg</v>
      </c>
      <c r="AW68" s="82" t="s">
        <v>13173</v>
      </c>
      <c r="AX68" s="82" t="s">
        <v>13173</v>
      </c>
      <c r="AY68" s="77"/>
      <c r="AZ68" s="82" t="s">
        <v>17385</v>
      </c>
      <c r="BA68" s="82" t="s">
        <v>17385</v>
      </c>
      <c r="BB68" s="82" t="s">
        <v>17385</v>
      </c>
      <c r="BC68" s="82" t="s">
        <v>13173</v>
      </c>
      <c r="BD68" s="77">
        <v>24753566</v>
      </c>
      <c r="BE68" s="77"/>
      <c r="BF68" s="77"/>
      <c r="BG68" s="77"/>
      <c r="BH68" s="77"/>
      <c r="BI68" s="77"/>
    </row>
    <row r="69" spans="1:61" x14ac:dyDescent="0.25">
      <c r="A69" s="62" t="s">
        <v>241</v>
      </c>
      <c r="B69" s="62" t="s">
        <v>241</v>
      </c>
      <c r="C69" s="63"/>
      <c r="D69" s="64"/>
      <c r="E69" s="65"/>
      <c r="F69" s="66"/>
      <c r="G69" s="63"/>
      <c r="H69" s="67"/>
      <c r="I69" s="68"/>
      <c r="J69" s="68"/>
      <c r="K69" s="32"/>
      <c r="L69" s="75">
        <v>69</v>
      </c>
      <c r="M69" s="75"/>
      <c r="N69" s="70"/>
      <c r="O69" s="77" t="s">
        <v>179</v>
      </c>
      <c r="P69" s="79">
        <v>45173.64570601852</v>
      </c>
      <c r="Q69" s="77" t="s">
        <v>870</v>
      </c>
      <c r="R69" s="77">
        <v>0</v>
      </c>
      <c r="S69" s="77">
        <v>0</v>
      </c>
      <c r="T69" s="77">
        <v>0</v>
      </c>
      <c r="U69" s="77">
        <v>0</v>
      </c>
      <c r="V69" s="77">
        <v>8</v>
      </c>
      <c r="W69" s="82" t="s">
        <v>4882</v>
      </c>
      <c r="X69" s="80" t="str">
        <f>HYPERLINK("https://brasil.perfil.com/brasil/acoes-do-brasil-sem-fome-vao-atender-331-milhoes-de-pessoas.phtml")</f>
        <v>https://brasil.perfil.com/brasil/acoes-do-brasil-sem-fome-vao-atender-331-milhoes-de-pessoas.phtml</v>
      </c>
      <c r="Y69" s="77" t="s">
        <v>7060</v>
      </c>
      <c r="Z69" s="77"/>
      <c r="AA69" s="77"/>
      <c r="AB69" s="77"/>
      <c r="AC69" s="82" t="s">
        <v>8232</v>
      </c>
      <c r="AD69" s="77" t="s">
        <v>8280</v>
      </c>
      <c r="AE69" s="80" t="str">
        <f>HYPERLINK("https://twitter.com/perfilcombrasil/status/1698720024033189998")</f>
        <v>https://twitter.com/perfilcombrasil/status/1698720024033189998</v>
      </c>
      <c r="AF69" s="79">
        <v>45173.64570601852</v>
      </c>
      <c r="AG69" s="85">
        <v>45173</v>
      </c>
      <c r="AH69" s="82" t="s">
        <v>8354</v>
      </c>
      <c r="AI69" s="77" t="b">
        <v>0</v>
      </c>
      <c r="AJ69" s="77"/>
      <c r="AK69" s="77"/>
      <c r="AL69" s="77"/>
      <c r="AM69" s="77"/>
      <c r="AN69" s="77"/>
      <c r="AO69" s="77"/>
      <c r="AP69" s="77"/>
      <c r="AQ69" s="77"/>
      <c r="AR69" s="77"/>
      <c r="AS69" s="77"/>
      <c r="AT69" s="77"/>
      <c r="AU69" s="77"/>
      <c r="AV69" s="80" t="str">
        <f>HYPERLINK("https://pbs.twimg.com/profile_images/1373348274288099328/X9OehZDj_normal.jpg")</f>
        <v>https://pbs.twimg.com/profile_images/1373348274288099328/X9OehZDj_normal.jpg</v>
      </c>
      <c r="AW69" s="82" t="s">
        <v>13174</v>
      </c>
      <c r="AX69" s="82" t="s">
        <v>13174</v>
      </c>
      <c r="AY69" s="77"/>
      <c r="AZ69" s="82" t="s">
        <v>17385</v>
      </c>
      <c r="BA69" s="82" t="s">
        <v>17385</v>
      </c>
      <c r="BB69" s="82" t="s">
        <v>17385</v>
      </c>
      <c r="BC69" s="82" t="s">
        <v>13174</v>
      </c>
      <c r="BD69" s="82" t="s">
        <v>17447</v>
      </c>
      <c r="BE69" s="77"/>
      <c r="BF69" s="77"/>
      <c r="BG69" s="77"/>
      <c r="BH69" s="77"/>
      <c r="BI69" s="77"/>
    </row>
    <row r="70" spans="1:61" x14ac:dyDescent="0.25">
      <c r="A70" s="62" t="s">
        <v>242</v>
      </c>
      <c r="B70" s="62" t="s">
        <v>242</v>
      </c>
      <c r="C70" s="63"/>
      <c r="D70" s="64"/>
      <c r="E70" s="65"/>
      <c r="F70" s="66"/>
      <c r="G70" s="63"/>
      <c r="H70" s="67"/>
      <c r="I70" s="68"/>
      <c r="J70" s="68"/>
      <c r="K70" s="32"/>
      <c r="L70" s="75">
        <v>70</v>
      </c>
      <c r="M70" s="75"/>
      <c r="N70" s="70"/>
      <c r="O70" s="77" t="s">
        <v>179</v>
      </c>
      <c r="P70" s="79">
        <v>45113.792129629626</v>
      </c>
      <c r="Q70" s="77" t="s">
        <v>871</v>
      </c>
      <c r="R70" s="77">
        <v>0</v>
      </c>
      <c r="S70" s="77">
        <v>1</v>
      </c>
      <c r="T70" s="77">
        <v>0</v>
      </c>
      <c r="U70" s="77">
        <v>0</v>
      </c>
      <c r="V70" s="77">
        <v>86</v>
      </c>
      <c r="W70" s="82" t="s">
        <v>4883</v>
      </c>
      <c r="X70" s="77"/>
      <c r="Y70" s="77"/>
      <c r="Z70" s="77"/>
      <c r="AA70" s="77" t="s">
        <v>7210</v>
      </c>
      <c r="AB70" s="77" t="s">
        <v>8227</v>
      </c>
      <c r="AC70" s="82" t="s">
        <v>8234</v>
      </c>
      <c r="AD70" s="77" t="s">
        <v>8278</v>
      </c>
      <c r="AE70" s="80" t="str">
        <f>HYPERLINK("https://twitter.com/diegotraderb3/status/1677029816476790784")</f>
        <v>https://twitter.com/diegotraderb3/status/1677029816476790784</v>
      </c>
      <c r="AF70" s="79">
        <v>45113.792129629626</v>
      </c>
      <c r="AG70" s="85">
        <v>45113</v>
      </c>
      <c r="AH70" s="82" t="s">
        <v>8355</v>
      </c>
      <c r="AI70" s="77" t="b">
        <v>0</v>
      </c>
      <c r="AJ70" s="77" t="s">
        <v>11993</v>
      </c>
      <c r="AK70" s="77" t="s">
        <v>12007</v>
      </c>
      <c r="AL70" s="77" t="s">
        <v>12010</v>
      </c>
      <c r="AM70" s="77" t="s">
        <v>12013</v>
      </c>
      <c r="AN70" s="77" t="s">
        <v>12025</v>
      </c>
      <c r="AO70" s="77" t="s">
        <v>12039</v>
      </c>
      <c r="AP70" s="77" t="s">
        <v>12051</v>
      </c>
      <c r="AQ70" s="77" t="s">
        <v>12095</v>
      </c>
      <c r="AR70" s="77">
        <v>5700</v>
      </c>
      <c r="AS70" s="77"/>
      <c r="AT70" s="77"/>
      <c r="AU70" s="77"/>
      <c r="AV70" s="80" t="str">
        <f>HYPERLINK("https://pbs.twimg.com/ext_tw_video_thumb/1677029783568252929/pu/img/dWWV5hroGRfQhzQT.jpg")</f>
        <v>https://pbs.twimg.com/ext_tw_video_thumb/1677029783568252929/pu/img/dWWV5hroGRfQhzQT.jpg</v>
      </c>
      <c r="AW70" s="82" t="s">
        <v>13175</v>
      </c>
      <c r="AX70" s="82" t="s">
        <v>13175</v>
      </c>
      <c r="AY70" s="77"/>
      <c r="AZ70" s="82" t="s">
        <v>17385</v>
      </c>
      <c r="BA70" s="82" t="s">
        <v>17385</v>
      </c>
      <c r="BB70" s="82" t="s">
        <v>17385</v>
      </c>
      <c r="BC70" s="82" t="s">
        <v>13175</v>
      </c>
      <c r="BD70" s="82" t="s">
        <v>17448</v>
      </c>
      <c r="BE70" s="77"/>
      <c r="BF70" s="77"/>
      <c r="BG70" s="77"/>
      <c r="BH70" s="77"/>
      <c r="BI70" s="77"/>
    </row>
    <row r="71" spans="1:61" x14ac:dyDescent="0.25">
      <c r="A71" s="62" t="s">
        <v>243</v>
      </c>
      <c r="B71" s="62" t="s">
        <v>732</v>
      </c>
      <c r="C71" s="63"/>
      <c r="D71" s="64"/>
      <c r="E71" s="65"/>
      <c r="F71" s="66"/>
      <c r="G71" s="63"/>
      <c r="H71" s="67"/>
      <c r="I71" s="68"/>
      <c r="J71" s="68"/>
      <c r="K71" s="32"/>
      <c r="L71" s="75">
        <v>71</v>
      </c>
      <c r="M71" s="75"/>
      <c r="N71" s="70"/>
      <c r="O71" s="77" t="s">
        <v>802</v>
      </c>
      <c r="P71" s="79">
        <v>45138.717094907406</v>
      </c>
      <c r="Q71" s="77" t="s">
        <v>872</v>
      </c>
      <c r="R71" s="77">
        <v>1</v>
      </c>
      <c r="S71" s="77">
        <v>2</v>
      </c>
      <c r="T71" s="77">
        <v>0</v>
      </c>
      <c r="U71" s="77">
        <v>0</v>
      </c>
      <c r="V71" s="77">
        <v>261</v>
      </c>
      <c r="W71" s="82" t="s">
        <v>4884</v>
      </c>
      <c r="X71" s="80" t="str">
        <f>HYPERLINK("https://epbr.com.br/petrobras-tem-valorizacao-acima-dos-pares-apos-nova-regra-de-dividendos/?utm_source=twitter&amp;utm_medium=organico&amp;utm_campaign=post_share")</f>
        <v>https://epbr.com.br/petrobras-tem-valorizacao-acima-dos-pares-apos-nova-regra-de-dividendos/?utm_source=twitter&amp;utm_medium=organico&amp;utm_campaign=post_share</v>
      </c>
      <c r="Y71" s="77" t="s">
        <v>7053</v>
      </c>
      <c r="Z71" s="77" t="s">
        <v>732</v>
      </c>
      <c r="AA71" s="77"/>
      <c r="AB71" s="77"/>
      <c r="AC71" s="82" t="s">
        <v>8232</v>
      </c>
      <c r="AD71" s="77" t="s">
        <v>8278</v>
      </c>
      <c r="AE71" s="80" t="str">
        <f>HYPERLINK("https://twitter.com/epbr/status/1686062320869425161")</f>
        <v>https://twitter.com/epbr/status/1686062320869425161</v>
      </c>
      <c r="AF71" s="79">
        <v>45138.717094907406</v>
      </c>
      <c r="AG71" s="85">
        <v>45138</v>
      </c>
      <c r="AH71" s="82" t="s">
        <v>8356</v>
      </c>
      <c r="AI71" s="77" t="b">
        <v>0</v>
      </c>
      <c r="AJ71" s="77"/>
      <c r="AK71" s="77"/>
      <c r="AL71" s="77"/>
      <c r="AM71" s="77"/>
      <c r="AN71" s="77"/>
      <c r="AO71" s="77"/>
      <c r="AP71" s="77"/>
      <c r="AQ71" s="77"/>
      <c r="AR71" s="77"/>
      <c r="AS71" s="77"/>
      <c r="AT71" s="77"/>
      <c r="AU71" s="77"/>
      <c r="AV71" s="80" t="str">
        <f>HYPERLINK("https://pbs.twimg.com/profile_images/1672219707045298176/9lDVeZfU_normal.png")</f>
        <v>https://pbs.twimg.com/profile_images/1672219707045298176/9lDVeZfU_normal.png</v>
      </c>
      <c r="AW71" s="82" t="s">
        <v>13176</v>
      </c>
      <c r="AX71" s="82" t="s">
        <v>13176</v>
      </c>
      <c r="AY71" s="77"/>
      <c r="AZ71" s="82" t="s">
        <v>17385</v>
      </c>
      <c r="BA71" s="82" t="s">
        <v>17385</v>
      </c>
      <c r="BB71" s="82" t="s">
        <v>17385</v>
      </c>
      <c r="BC71" s="82" t="s">
        <v>13176</v>
      </c>
      <c r="BD71" s="82" t="s">
        <v>17449</v>
      </c>
      <c r="BE71" s="77"/>
      <c r="BF71" s="77"/>
      <c r="BG71" s="77"/>
      <c r="BH71" s="77"/>
      <c r="BI71" s="77"/>
    </row>
    <row r="72" spans="1:61" x14ac:dyDescent="0.25">
      <c r="A72" s="62" t="s">
        <v>244</v>
      </c>
      <c r="B72" s="62" t="s">
        <v>244</v>
      </c>
      <c r="C72" s="63"/>
      <c r="D72" s="64"/>
      <c r="E72" s="65"/>
      <c r="F72" s="66"/>
      <c r="G72" s="63"/>
      <c r="H72" s="67"/>
      <c r="I72" s="68"/>
      <c r="J72" s="68"/>
      <c r="K72" s="32"/>
      <c r="L72" s="75">
        <v>72</v>
      </c>
      <c r="M72" s="75"/>
      <c r="N72" s="70"/>
      <c r="O72" s="77" t="s">
        <v>800</v>
      </c>
      <c r="P72" s="79">
        <v>45172.956678240742</v>
      </c>
      <c r="Q72" s="77" t="s">
        <v>873</v>
      </c>
      <c r="R72" s="77">
        <v>0</v>
      </c>
      <c r="S72" s="77">
        <v>1</v>
      </c>
      <c r="T72" s="77">
        <v>1</v>
      </c>
      <c r="U72" s="77">
        <v>0</v>
      </c>
      <c r="V72" s="77">
        <v>19</v>
      </c>
      <c r="W72" s="82" t="s">
        <v>4885</v>
      </c>
      <c r="X72" s="77"/>
      <c r="Y72" s="77"/>
      <c r="Z72" s="77"/>
      <c r="AA72" s="77"/>
      <c r="AB72" s="77"/>
      <c r="AC72" s="82" t="s">
        <v>8232</v>
      </c>
      <c r="AD72" s="77" t="s">
        <v>8278</v>
      </c>
      <c r="AE72" s="80" t="str">
        <f>HYPERLINK("https://twitter.com/realpauloborba/status/1698470329859846169")</f>
        <v>https://twitter.com/realpauloborba/status/1698470329859846169</v>
      </c>
      <c r="AF72" s="79">
        <v>45172.956678240742</v>
      </c>
      <c r="AG72" s="85">
        <v>45172</v>
      </c>
      <c r="AH72" s="82" t="s">
        <v>8357</v>
      </c>
      <c r="AI72" s="77"/>
      <c r="AJ72" s="77"/>
      <c r="AK72" s="77"/>
      <c r="AL72" s="77"/>
      <c r="AM72" s="77"/>
      <c r="AN72" s="77"/>
      <c r="AO72" s="77"/>
      <c r="AP72" s="77"/>
      <c r="AQ72" s="77"/>
      <c r="AR72" s="77"/>
      <c r="AS72" s="77"/>
      <c r="AT72" s="77"/>
      <c r="AU72" s="77"/>
      <c r="AV72" s="80" t="str">
        <f>HYPERLINK("https://pbs.twimg.com/profile_images/1677000136701124608/bkma_mNv_normal.jpg")</f>
        <v>https://pbs.twimg.com/profile_images/1677000136701124608/bkma_mNv_normal.jpg</v>
      </c>
      <c r="AW72" s="82" t="s">
        <v>13177</v>
      </c>
      <c r="AX72" s="82" t="s">
        <v>17144</v>
      </c>
      <c r="AY72" s="82" t="s">
        <v>17318</v>
      </c>
      <c r="AZ72" s="82" t="s">
        <v>17392</v>
      </c>
      <c r="BA72" s="82" t="s">
        <v>17385</v>
      </c>
      <c r="BB72" s="82" t="s">
        <v>17385</v>
      </c>
      <c r="BC72" s="82" t="s">
        <v>17392</v>
      </c>
      <c r="BD72" s="82" t="s">
        <v>17318</v>
      </c>
      <c r="BE72" s="77"/>
      <c r="BF72" s="77"/>
      <c r="BG72" s="77"/>
      <c r="BH72" s="77"/>
      <c r="BI72" s="77"/>
    </row>
    <row r="73" spans="1:61" x14ac:dyDescent="0.25">
      <c r="A73" s="62" t="s">
        <v>245</v>
      </c>
      <c r="B73" s="62" t="s">
        <v>245</v>
      </c>
      <c r="C73" s="63"/>
      <c r="D73" s="64"/>
      <c r="E73" s="65"/>
      <c r="F73" s="66"/>
      <c r="G73" s="63"/>
      <c r="H73" s="67"/>
      <c r="I73" s="68"/>
      <c r="J73" s="68"/>
      <c r="K73" s="32"/>
      <c r="L73" s="75">
        <v>73</v>
      </c>
      <c r="M73" s="75"/>
      <c r="N73" s="70"/>
      <c r="O73" s="77" t="s">
        <v>179</v>
      </c>
      <c r="P73" s="79">
        <v>45197.01295138889</v>
      </c>
      <c r="Q73" s="77" t="s">
        <v>874</v>
      </c>
      <c r="R73" s="77">
        <v>0</v>
      </c>
      <c r="S73" s="77">
        <v>0</v>
      </c>
      <c r="T73" s="77">
        <v>2</v>
      </c>
      <c r="U73" s="77">
        <v>0</v>
      </c>
      <c r="V73" s="77">
        <v>1467</v>
      </c>
      <c r="W73" s="82" t="s">
        <v>4886</v>
      </c>
      <c r="X73" s="77"/>
      <c r="Y73" s="77"/>
      <c r="Z73" s="77"/>
      <c r="AA73" s="77" t="s">
        <v>7211</v>
      </c>
      <c r="AB73" s="77" t="s">
        <v>8227</v>
      </c>
      <c r="AC73" s="82" t="s">
        <v>8232</v>
      </c>
      <c r="AD73" s="77" t="s">
        <v>8278</v>
      </c>
      <c r="AE73" s="80" t="str">
        <f>HYPERLINK("https://twitter.com/empiricus/status/1707188033915638162")</f>
        <v>https://twitter.com/empiricus/status/1707188033915638162</v>
      </c>
      <c r="AF73" s="79">
        <v>45197.01295138889</v>
      </c>
      <c r="AG73" s="85">
        <v>45197</v>
      </c>
      <c r="AH73" s="82" t="s">
        <v>8358</v>
      </c>
      <c r="AI73" s="77" t="b">
        <v>0</v>
      </c>
      <c r="AJ73" s="77"/>
      <c r="AK73" s="77"/>
      <c r="AL73" s="77"/>
      <c r="AM73" s="77"/>
      <c r="AN73" s="77"/>
      <c r="AO73" s="77"/>
      <c r="AP73" s="77"/>
      <c r="AQ73" s="77" t="s">
        <v>12096</v>
      </c>
      <c r="AR73" s="77">
        <v>25133</v>
      </c>
      <c r="AS73" s="77"/>
      <c r="AT73" s="77"/>
      <c r="AU73" s="77"/>
      <c r="AV73" s="80" t="str">
        <f>HYPERLINK("https://pbs.twimg.com/ext_tw_video_thumb/1707187857058586624/pu/img/9Yq2E1uFIgtMeWcp.jpg")</f>
        <v>https://pbs.twimg.com/ext_tw_video_thumb/1707187857058586624/pu/img/9Yq2E1uFIgtMeWcp.jpg</v>
      </c>
      <c r="AW73" s="82" t="s">
        <v>13178</v>
      </c>
      <c r="AX73" s="82" t="s">
        <v>13178</v>
      </c>
      <c r="AY73" s="77"/>
      <c r="AZ73" s="82" t="s">
        <v>17385</v>
      </c>
      <c r="BA73" s="82" t="s">
        <v>17385</v>
      </c>
      <c r="BB73" s="82" t="s">
        <v>17385</v>
      </c>
      <c r="BC73" s="82" t="s">
        <v>13178</v>
      </c>
      <c r="BD73" s="77">
        <v>89153011</v>
      </c>
      <c r="BE73" s="77"/>
      <c r="BF73" s="77"/>
      <c r="BG73" s="77"/>
      <c r="BH73" s="77"/>
      <c r="BI73" s="77"/>
    </row>
    <row r="74" spans="1:61" x14ac:dyDescent="0.25">
      <c r="A74" s="62" t="s">
        <v>246</v>
      </c>
      <c r="B74" s="62" t="s">
        <v>596</v>
      </c>
      <c r="C74" s="63"/>
      <c r="D74" s="64"/>
      <c r="E74" s="65"/>
      <c r="F74" s="66"/>
      <c r="G74" s="63"/>
      <c r="H74" s="67"/>
      <c r="I74" s="68"/>
      <c r="J74" s="68"/>
      <c r="K74" s="32"/>
      <c r="L74" s="75">
        <v>74</v>
      </c>
      <c r="M74" s="75"/>
      <c r="N74" s="70"/>
      <c r="O74" s="77" t="s">
        <v>803</v>
      </c>
      <c r="P74" s="79">
        <v>45195.793310185189</v>
      </c>
      <c r="Q74" s="77" t="s">
        <v>875</v>
      </c>
      <c r="R74" s="77">
        <v>1</v>
      </c>
      <c r="S74" s="77">
        <v>0</v>
      </c>
      <c r="T74" s="77">
        <v>0</v>
      </c>
      <c r="U74" s="77">
        <v>0</v>
      </c>
      <c r="V74" s="77"/>
      <c r="W74" s="82" t="s">
        <v>4887</v>
      </c>
      <c r="X74" s="80" t="str">
        <f>HYPERLINK("https://www.economiadepalito.com/2019/11/cenario-atual-os-riscos-ocultos.html")</f>
        <v>https://www.economiadepalito.com/2019/11/cenario-atual-os-riscos-ocultos.html</v>
      </c>
      <c r="Y74" s="77" t="s">
        <v>7061</v>
      </c>
      <c r="Z74" s="77" t="s">
        <v>596</v>
      </c>
      <c r="AA74" s="77"/>
      <c r="AB74" s="77"/>
      <c r="AC74" s="82" t="s">
        <v>8234</v>
      </c>
      <c r="AD74" s="77" t="s">
        <v>8278</v>
      </c>
      <c r="AE74" s="80" t="str">
        <f>HYPERLINK("https://twitter.com/ellenaddison423/status/1706746048918540732")</f>
        <v>https://twitter.com/ellenaddison423/status/1706746048918540732</v>
      </c>
      <c r="AF74" s="79">
        <v>45195.793310185189</v>
      </c>
      <c r="AG74" s="85">
        <v>45195</v>
      </c>
      <c r="AH74" s="82" t="s">
        <v>8359</v>
      </c>
      <c r="AI74" s="77" t="b">
        <v>0</v>
      </c>
      <c r="AJ74" s="77"/>
      <c r="AK74" s="77"/>
      <c r="AL74" s="77"/>
      <c r="AM74" s="77"/>
      <c r="AN74" s="77"/>
      <c r="AO74" s="77"/>
      <c r="AP74" s="77"/>
      <c r="AQ74" s="77"/>
      <c r="AR74" s="77"/>
      <c r="AS74" s="77"/>
      <c r="AT74" s="77"/>
      <c r="AU74" s="77"/>
      <c r="AV74" s="80" t="str">
        <f>HYPERLINK("https://pbs.twimg.com/profile_images/1703594884643360768/EUby5ZqC_normal.jpg")</f>
        <v>https://pbs.twimg.com/profile_images/1703594884643360768/EUby5ZqC_normal.jpg</v>
      </c>
      <c r="AW74" s="82" t="s">
        <v>13179</v>
      </c>
      <c r="AX74" s="82" t="s">
        <v>13179</v>
      </c>
      <c r="AY74" s="77"/>
      <c r="AZ74" s="82" t="s">
        <v>17385</v>
      </c>
      <c r="BA74" s="82" t="s">
        <v>17385</v>
      </c>
      <c r="BB74" s="82" t="s">
        <v>15231</v>
      </c>
      <c r="BC74" s="82" t="s">
        <v>15231</v>
      </c>
      <c r="BD74" s="82" t="s">
        <v>17450</v>
      </c>
      <c r="BE74" s="77"/>
      <c r="BF74" s="77"/>
      <c r="BG74" s="77"/>
      <c r="BH74" s="77"/>
      <c r="BI74" s="77"/>
    </row>
    <row r="75" spans="1:61" x14ac:dyDescent="0.25">
      <c r="A75" s="62" t="s">
        <v>247</v>
      </c>
      <c r="B75" s="62" t="s">
        <v>247</v>
      </c>
      <c r="C75" s="63"/>
      <c r="D75" s="64"/>
      <c r="E75" s="65"/>
      <c r="F75" s="66"/>
      <c r="G75" s="63"/>
      <c r="H75" s="67"/>
      <c r="I75" s="68"/>
      <c r="J75" s="68"/>
      <c r="K75" s="32"/>
      <c r="L75" s="75">
        <v>75</v>
      </c>
      <c r="M75" s="75"/>
      <c r="N75" s="70"/>
      <c r="O75" s="77" t="s">
        <v>179</v>
      </c>
      <c r="P75" s="79">
        <v>45083.664537037039</v>
      </c>
      <c r="Q75" s="77" t="s">
        <v>876</v>
      </c>
      <c r="R75" s="77">
        <v>0</v>
      </c>
      <c r="S75" s="77">
        <v>1</v>
      </c>
      <c r="T75" s="77">
        <v>1</v>
      </c>
      <c r="U75" s="77">
        <v>0</v>
      </c>
      <c r="V75" s="77">
        <v>124</v>
      </c>
      <c r="W75" s="82" t="s">
        <v>4888</v>
      </c>
      <c r="X75" s="77"/>
      <c r="Y75" s="77"/>
      <c r="Z75" s="77"/>
      <c r="AA75" s="77" t="s">
        <v>7212</v>
      </c>
      <c r="AB75" s="77" t="s">
        <v>8225</v>
      </c>
      <c r="AC75" s="82" t="s">
        <v>8232</v>
      </c>
      <c r="AD75" s="77" t="s">
        <v>8278</v>
      </c>
      <c r="AE75" s="80" t="str">
        <f>HYPERLINK("https://twitter.com/bryeno/status/1666111942140764160")</f>
        <v>https://twitter.com/bryeno/status/1666111942140764160</v>
      </c>
      <c r="AF75" s="79">
        <v>45083.664537037039</v>
      </c>
      <c r="AG75" s="85">
        <v>45083</v>
      </c>
      <c r="AH75" s="82" t="s">
        <v>8360</v>
      </c>
      <c r="AI75" s="77" t="b">
        <v>0</v>
      </c>
      <c r="AJ75" s="77"/>
      <c r="AK75" s="77"/>
      <c r="AL75" s="77"/>
      <c r="AM75" s="77"/>
      <c r="AN75" s="77"/>
      <c r="AO75" s="77"/>
      <c r="AP75" s="77"/>
      <c r="AQ75" s="77" t="s">
        <v>12097</v>
      </c>
      <c r="AR75" s="77"/>
      <c r="AS75" s="77"/>
      <c r="AT75" s="77"/>
      <c r="AU75" s="77"/>
      <c r="AV75" s="80" t="str">
        <f>HYPERLINK("https://pbs.twimg.com/media/Fx83U8VX0AUxptF.png")</f>
        <v>https://pbs.twimg.com/media/Fx83U8VX0AUxptF.png</v>
      </c>
      <c r="AW75" s="82" t="s">
        <v>13180</v>
      </c>
      <c r="AX75" s="82" t="s">
        <v>13180</v>
      </c>
      <c r="AY75" s="77"/>
      <c r="AZ75" s="82" t="s">
        <v>17385</v>
      </c>
      <c r="BA75" s="82" t="s">
        <v>17385</v>
      </c>
      <c r="BB75" s="82" t="s">
        <v>17385</v>
      </c>
      <c r="BC75" s="82" t="s">
        <v>13180</v>
      </c>
      <c r="BD75" s="77">
        <v>69918287</v>
      </c>
      <c r="BE75" s="77"/>
      <c r="BF75" s="77"/>
      <c r="BG75" s="77"/>
      <c r="BH75" s="77"/>
      <c r="BI75" s="77"/>
    </row>
    <row r="76" spans="1:61" x14ac:dyDescent="0.25">
      <c r="A76" s="62" t="s">
        <v>248</v>
      </c>
      <c r="B76" s="62" t="s">
        <v>733</v>
      </c>
      <c r="C76" s="63"/>
      <c r="D76" s="64"/>
      <c r="E76" s="65"/>
      <c r="F76" s="66"/>
      <c r="G76" s="63"/>
      <c r="H76" s="67"/>
      <c r="I76" s="68"/>
      <c r="J76" s="68"/>
      <c r="K76" s="32"/>
      <c r="L76" s="75">
        <v>76</v>
      </c>
      <c r="M76" s="75"/>
      <c r="N76" s="70"/>
      <c r="O76" s="77" t="s">
        <v>800</v>
      </c>
      <c r="P76" s="79">
        <v>45126.510127314818</v>
      </c>
      <c r="Q76" s="77" t="s">
        <v>877</v>
      </c>
      <c r="R76" s="77">
        <v>0</v>
      </c>
      <c r="S76" s="77">
        <v>0</v>
      </c>
      <c r="T76" s="77">
        <v>0</v>
      </c>
      <c r="U76" s="77">
        <v>0</v>
      </c>
      <c r="V76" s="77">
        <v>17</v>
      </c>
      <c r="W76" s="82" t="s">
        <v>4889</v>
      </c>
      <c r="X76" s="77"/>
      <c r="Y76" s="77"/>
      <c r="Z76" s="77" t="s">
        <v>733</v>
      </c>
      <c r="AA76" s="77"/>
      <c r="AB76" s="77"/>
      <c r="AC76" s="82" t="s">
        <v>8234</v>
      </c>
      <c r="AD76" s="77" t="s">
        <v>8278</v>
      </c>
      <c r="AE76" s="80" t="str">
        <f>HYPERLINK("https://twitter.com/thegemshunter/status/1681638663032123394")</f>
        <v>https://twitter.com/thegemshunter/status/1681638663032123394</v>
      </c>
      <c r="AF76" s="79">
        <v>45126.510127314818</v>
      </c>
      <c r="AG76" s="85">
        <v>45126</v>
      </c>
      <c r="AH76" s="82" t="s">
        <v>8361</v>
      </c>
      <c r="AI76" s="77"/>
      <c r="AJ76" s="77"/>
      <c r="AK76" s="77"/>
      <c r="AL76" s="77"/>
      <c r="AM76" s="77"/>
      <c r="AN76" s="77"/>
      <c r="AO76" s="77"/>
      <c r="AP76" s="77"/>
      <c r="AQ76" s="77"/>
      <c r="AR76" s="77"/>
      <c r="AS76" s="77"/>
      <c r="AT76" s="77"/>
      <c r="AU76" s="77"/>
      <c r="AV76" s="80" t="str">
        <f>HYPERLINK("https://pbs.twimg.com/profile_images/1525656506741534720/Va_fWwiB_normal.jpg")</f>
        <v>https://pbs.twimg.com/profile_images/1525656506741534720/Va_fWwiB_normal.jpg</v>
      </c>
      <c r="AW76" s="82" t="s">
        <v>13181</v>
      </c>
      <c r="AX76" s="82" t="s">
        <v>17145</v>
      </c>
      <c r="AY76" s="82" t="s">
        <v>17319</v>
      </c>
      <c r="AZ76" s="82" t="s">
        <v>17145</v>
      </c>
      <c r="BA76" s="82" t="s">
        <v>17385</v>
      </c>
      <c r="BB76" s="82" t="s">
        <v>17385</v>
      </c>
      <c r="BC76" s="82" t="s">
        <v>17145</v>
      </c>
      <c r="BD76" s="77">
        <v>953747168</v>
      </c>
      <c r="BE76" s="77"/>
      <c r="BF76" s="77"/>
      <c r="BG76" s="77"/>
      <c r="BH76" s="77"/>
      <c r="BI76" s="77"/>
    </row>
    <row r="77" spans="1:61" x14ac:dyDescent="0.25">
      <c r="A77" s="62" t="s">
        <v>249</v>
      </c>
      <c r="B77" s="62" t="s">
        <v>249</v>
      </c>
      <c r="C77" s="63"/>
      <c r="D77" s="64"/>
      <c r="E77" s="65"/>
      <c r="F77" s="66"/>
      <c r="G77" s="63"/>
      <c r="H77" s="67"/>
      <c r="I77" s="68"/>
      <c r="J77" s="68"/>
      <c r="K77" s="32"/>
      <c r="L77" s="75">
        <v>77</v>
      </c>
      <c r="M77" s="75"/>
      <c r="N77" s="70"/>
      <c r="O77" s="77" t="s">
        <v>179</v>
      </c>
      <c r="P77" s="79">
        <v>45125.657905092594</v>
      </c>
      <c r="Q77" s="77" t="s">
        <v>878</v>
      </c>
      <c r="R77" s="77">
        <v>1</v>
      </c>
      <c r="S77" s="77">
        <v>2</v>
      </c>
      <c r="T77" s="77">
        <v>0</v>
      </c>
      <c r="U77" s="77">
        <v>0</v>
      </c>
      <c r="V77" s="77">
        <v>103</v>
      </c>
      <c r="W77" s="82" t="s">
        <v>4890</v>
      </c>
      <c r="X77" s="77"/>
      <c r="Y77" s="77"/>
      <c r="Z77" s="77"/>
      <c r="AA77" s="77" t="s">
        <v>7213</v>
      </c>
      <c r="AB77" s="77" t="s">
        <v>8227</v>
      </c>
      <c r="AC77" s="82" t="s">
        <v>8234</v>
      </c>
      <c r="AD77" s="77" t="s">
        <v>8278</v>
      </c>
      <c r="AE77" s="80" t="str">
        <f>HYPERLINK("https://twitter.com/calilecalil/status/1681329827729604608")</f>
        <v>https://twitter.com/calilecalil/status/1681329827729604608</v>
      </c>
      <c r="AF77" s="79">
        <v>45125.657905092594</v>
      </c>
      <c r="AG77" s="85">
        <v>45125</v>
      </c>
      <c r="AH77" s="82" t="s">
        <v>8362</v>
      </c>
      <c r="AI77" s="77" t="b">
        <v>0</v>
      </c>
      <c r="AJ77" s="77"/>
      <c r="AK77" s="77"/>
      <c r="AL77" s="77"/>
      <c r="AM77" s="77"/>
      <c r="AN77" s="77"/>
      <c r="AO77" s="77"/>
      <c r="AP77" s="77"/>
      <c r="AQ77" s="77" t="s">
        <v>12098</v>
      </c>
      <c r="AR77" s="77">
        <v>30300</v>
      </c>
      <c r="AS77" s="77"/>
      <c r="AT77" s="77"/>
      <c r="AU77" s="77"/>
      <c r="AV77" s="80" t="str">
        <f>HYPERLINK("https://pbs.twimg.com/ext_tw_video_thumb/1681329755667177473/pu/img/U9CtMrF84c0fzAmM.jpg")</f>
        <v>https://pbs.twimg.com/ext_tw_video_thumb/1681329755667177473/pu/img/U9CtMrF84c0fzAmM.jpg</v>
      </c>
      <c r="AW77" s="82" t="s">
        <v>13182</v>
      </c>
      <c r="AX77" s="82" t="s">
        <v>13182</v>
      </c>
      <c r="AY77" s="77"/>
      <c r="AZ77" s="82" t="s">
        <v>17385</v>
      </c>
      <c r="BA77" s="82" t="s">
        <v>17385</v>
      </c>
      <c r="BB77" s="82" t="s">
        <v>17385</v>
      </c>
      <c r="BC77" s="82" t="s">
        <v>13182</v>
      </c>
      <c r="BD77" s="77">
        <v>75173434</v>
      </c>
      <c r="BE77" s="77"/>
      <c r="BF77" s="77"/>
      <c r="BG77" s="77"/>
      <c r="BH77" s="77"/>
      <c r="BI77" s="77"/>
    </row>
    <row r="78" spans="1:61" x14ac:dyDescent="0.25">
      <c r="A78" s="62" t="s">
        <v>250</v>
      </c>
      <c r="B78" s="62" t="s">
        <v>250</v>
      </c>
      <c r="C78" s="63"/>
      <c r="D78" s="64"/>
      <c r="E78" s="65"/>
      <c r="F78" s="66"/>
      <c r="G78" s="63"/>
      <c r="H78" s="67"/>
      <c r="I78" s="68"/>
      <c r="J78" s="68"/>
      <c r="K78" s="32"/>
      <c r="L78" s="75">
        <v>78</v>
      </c>
      <c r="M78" s="75"/>
      <c r="N78" s="70"/>
      <c r="O78" s="77" t="s">
        <v>179</v>
      </c>
      <c r="P78" s="79">
        <v>45079.894560185188</v>
      </c>
      <c r="Q78" s="77" t="s">
        <v>879</v>
      </c>
      <c r="R78" s="77">
        <v>0</v>
      </c>
      <c r="S78" s="77">
        <v>0</v>
      </c>
      <c r="T78" s="77">
        <v>0</v>
      </c>
      <c r="U78" s="77">
        <v>0</v>
      </c>
      <c r="V78" s="77">
        <v>24</v>
      </c>
      <c r="W78" s="82" t="s">
        <v>4891</v>
      </c>
      <c r="X78" s="77"/>
      <c r="Y78" s="77"/>
      <c r="Z78" s="77"/>
      <c r="AA78" s="77" t="s">
        <v>7214</v>
      </c>
      <c r="AB78" s="77" t="s">
        <v>8225</v>
      </c>
      <c r="AC78" s="82" t="s">
        <v>8232</v>
      </c>
      <c r="AD78" s="77" t="s">
        <v>8278</v>
      </c>
      <c r="AE78" s="80" t="str">
        <f>HYPERLINK("https://twitter.com/jacksondomenico/status/1664745749093965828")</f>
        <v>https://twitter.com/jacksondomenico/status/1664745749093965828</v>
      </c>
      <c r="AF78" s="79">
        <v>45079.894560185188</v>
      </c>
      <c r="AG78" s="85">
        <v>45079</v>
      </c>
      <c r="AH78" s="82" t="s">
        <v>8363</v>
      </c>
      <c r="AI78" s="77" t="b">
        <v>0</v>
      </c>
      <c r="AJ78" s="77"/>
      <c r="AK78" s="77"/>
      <c r="AL78" s="77"/>
      <c r="AM78" s="77"/>
      <c r="AN78" s="77"/>
      <c r="AO78" s="77"/>
      <c r="AP78" s="77"/>
      <c r="AQ78" s="77" t="s">
        <v>12099</v>
      </c>
      <c r="AR78" s="77"/>
      <c r="AS78" s="77"/>
      <c r="AT78" s="77"/>
      <c r="AU78" s="77"/>
      <c r="AV78" s="80" t="str">
        <f>HYPERLINK("https://pbs.twimg.com/media/FxpdWkrXwAE8d-Q.jpg")</f>
        <v>https://pbs.twimg.com/media/FxpdWkrXwAE8d-Q.jpg</v>
      </c>
      <c r="AW78" s="82" t="s">
        <v>13183</v>
      </c>
      <c r="AX78" s="82" t="s">
        <v>13183</v>
      </c>
      <c r="AY78" s="77"/>
      <c r="AZ78" s="82" t="s">
        <v>17385</v>
      </c>
      <c r="BA78" s="82" t="s">
        <v>17385</v>
      </c>
      <c r="BB78" s="82" t="s">
        <v>17385</v>
      </c>
      <c r="BC78" s="82" t="s">
        <v>13183</v>
      </c>
      <c r="BD78" s="77">
        <v>97002987</v>
      </c>
      <c r="BE78" s="77"/>
      <c r="BF78" s="77"/>
      <c r="BG78" s="77"/>
      <c r="BH78" s="77"/>
      <c r="BI78" s="77"/>
    </row>
    <row r="79" spans="1:61" x14ac:dyDescent="0.25">
      <c r="A79" s="62" t="s">
        <v>251</v>
      </c>
      <c r="B79" s="62" t="s">
        <v>251</v>
      </c>
      <c r="C79" s="63"/>
      <c r="D79" s="64"/>
      <c r="E79" s="65"/>
      <c r="F79" s="66"/>
      <c r="G79" s="63"/>
      <c r="H79" s="67"/>
      <c r="I79" s="68"/>
      <c r="J79" s="68"/>
      <c r="K79" s="32"/>
      <c r="L79" s="75">
        <v>79</v>
      </c>
      <c r="M79" s="75"/>
      <c r="N79" s="70"/>
      <c r="O79" s="77" t="s">
        <v>179</v>
      </c>
      <c r="P79" s="79">
        <v>45068.760787037034</v>
      </c>
      <c r="Q79" s="77" t="s">
        <v>880</v>
      </c>
      <c r="R79" s="77">
        <v>0</v>
      </c>
      <c r="S79" s="77">
        <v>0</v>
      </c>
      <c r="T79" s="77">
        <v>0</v>
      </c>
      <c r="U79" s="77">
        <v>0</v>
      </c>
      <c r="V79" s="77">
        <v>34</v>
      </c>
      <c r="W79" s="82" t="s">
        <v>4892</v>
      </c>
      <c r="X79" s="80" t="str">
        <f>HYPERLINK("https://livesocial.seismic.com/tBDeIZ")</f>
        <v>https://livesocial.seismic.com/tBDeIZ</v>
      </c>
      <c r="Y79" s="77" t="s">
        <v>7062</v>
      </c>
      <c r="Z79" s="77"/>
      <c r="AA79" s="77"/>
      <c r="AB79" s="77"/>
      <c r="AC79" s="82" t="s">
        <v>8236</v>
      </c>
      <c r="AD79" s="77" t="s">
        <v>8278</v>
      </c>
      <c r="AE79" s="80" t="str">
        <f>HYPERLINK("https://twitter.com/mundo_sap/status/1660711005629083649")</f>
        <v>https://twitter.com/mundo_sap/status/1660711005629083649</v>
      </c>
      <c r="AF79" s="79">
        <v>45068.760787037034</v>
      </c>
      <c r="AG79" s="85">
        <v>45068</v>
      </c>
      <c r="AH79" s="82" t="s">
        <v>8364</v>
      </c>
      <c r="AI79" s="77" t="b">
        <v>0</v>
      </c>
      <c r="AJ79" s="77"/>
      <c r="AK79" s="77"/>
      <c r="AL79" s="77"/>
      <c r="AM79" s="77"/>
      <c r="AN79" s="77"/>
      <c r="AO79" s="77"/>
      <c r="AP79" s="77"/>
      <c r="AQ79" s="77"/>
      <c r="AR79" s="77"/>
      <c r="AS79" s="77"/>
      <c r="AT79" s="77"/>
      <c r="AU79" s="77"/>
      <c r="AV79" s="80" t="str">
        <f>HYPERLINK("https://pbs.twimg.com/profile_images/501810887028899841/z5GOKh8y_normal.jpeg")</f>
        <v>https://pbs.twimg.com/profile_images/501810887028899841/z5GOKh8y_normal.jpeg</v>
      </c>
      <c r="AW79" s="82" t="s">
        <v>13184</v>
      </c>
      <c r="AX79" s="82" t="s">
        <v>13184</v>
      </c>
      <c r="AY79" s="77"/>
      <c r="AZ79" s="82" t="s">
        <v>17385</v>
      </c>
      <c r="BA79" s="82" t="s">
        <v>17385</v>
      </c>
      <c r="BB79" s="82" t="s">
        <v>17385</v>
      </c>
      <c r="BC79" s="82" t="s">
        <v>13184</v>
      </c>
      <c r="BD79" s="77">
        <v>2744090561</v>
      </c>
      <c r="BE79" s="77"/>
      <c r="BF79" s="77"/>
      <c r="BG79" s="77"/>
      <c r="BH79" s="77"/>
      <c r="BI79" s="77"/>
    </row>
    <row r="80" spans="1:61" x14ac:dyDescent="0.25">
      <c r="A80" s="62" t="s">
        <v>252</v>
      </c>
      <c r="B80" s="62" t="s">
        <v>252</v>
      </c>
      <c r="C80" s="63"/>
      <c r="D80" s="64"/>
      <c r="E80" s="65"/>
      <c r="F80" s="66"/>
      <c r="G80" s="63"/>
      <c r="H80" s="67"/>
      <c r="I80" s="68"/>
      <c r="J80" s="68"/>
      <c r="K80" s="32"/>
      <c r="L80" s="75">
        <v>80</v>
      </c>
      <c r="M80" s="75"/>
      <c r="N80" s="70"/>
      <c r="O80" s="77" t="s">
        <v>179</v>
      </c>
      <c r="P80" s="79">
        <v>45132.790243055555</v>
      </c>
      <c r="Q80" s="77" t="s">
        <v>881</v>
      </c>
      <c r="R80" s="77">
        <v>0</v>
      </c>
      <c r="S80" s="77">
        <v>1</v>
      </c>
      <c r="T80" s="77">
        <v>0</v>
      </c>
      <c r="U80" s="77">
        <v>0</v>
      </c>
      <c r="V80" s="77">
        <v>59</v>
      </c>
      <c r="W80" s="82" t="s">
        <v>4893</v>
      </c>
      <c r="X80" s="77"/>
      <c r="Y80" s="77"/>
      <c r="Z80" s="77"/>
      <c r="AA80" s="77" t="s">
        <v>7215</v>
      </c>
      <c r="AB80" s="77" t="s">
        <v>8225</v>
      </c>
      <c r="AC80" s="82" t="s">
        <v>8234</v>
      </c>
      <c r="AD80" s="77" t="s">
        <v>8278</v>
      </c>
      <c r="AE80" s="80" t="str">
        <f>HYPERLINK("https://twitter.com/edexprime/status/1683914502268411906")</f>
        <v>https://twitter.com/edexprime/status/1683914502268411906</v>
      </c>
      <c r="AF80" s="79">
        <v>45132.790243055555</v>
      </c>
      <c r="AG80" s="85">
        <v>45132</v>
      </c>
      <c r="AH80" s="82" t="s">
        <v>8365</v>
      </c>
      <c r="AI80" s="77" t="b">
        <v>0</v>
      </c>
      <c r="AJ80" s="77"/>
      <c r="AK80" s="77"/>
      <c r="AL80" s="77"/>
      <c r="AM80" s="77"/>
      <c r="AN80" s="77"/>
      <c r="AO80" s="77"/>
      <c r="AP80" s="77"/>
      <c r="AQ80" s="77" t="s">
        <v>12100</v>
      </c>
      <c r="AR80" s="77"/>
      <c r="AS80" s="77"/>
      <c r="AT80" s="77"/>
      <c r="AU80" s="77"/>
      <c r="AV80" s="80" t="str">
        <f>HYPERLINK("https://pbs.twimg.com/media/F153UKVWYBIi6LO.jpg")</f>
        <v>https://pbs.twimg.com/media/F153UKVWYBIi6LO.jpg</v>
      </c>
      <c r="AW80" s="82" t="s">
        <v>13185</v>
      </c>
      <c r="AX80" s="82" t="s">
        <v>13185</v>
      </c>
      <c r="AY80" s="77"/>
      <c r="AZ80" s="82" t="s">
        <v>17385</v>
      </c>
      <c r="BA80" s="82" t="s">
        <v>17385</v>
      </c>
      <c r="BB80" s="82" t="s">
        <v>17385</v>
      </c>
      <c r="BC80" s="82" t="s">
        <v>13185</v>
      </c>
      <c r="BD80" s="82" t="s">
        <v>17451</v>
      </c>
      <c r="BE80" s="77"/>
      <c r="BF80" s="77"/>
      <c r="BG80" s="77"/>
      <c r="BH80" s="77"/>
      <c r="BI80" s="77"/>
    </row>
    <row r="81" spans="1:61" x14ac:dyDescent="0.25">
      <c r="A81" s="62" t="s">
        <v>253</v>
      </c>
      <c r="B81" s="62" t="s">
        <v>253</v>
      </c>
      <c r="C81" s="63"/>
      <c r="D81" s="64"/>
      <c r="E81" s="65"/>
      <c r="F81" s="66"/>
      <c r="G81" s="63"/>
      <c r="H81" s="67"/>
      <c r="I81" s="68"/>
      <c r="J81" s="68"/>
      <c r="K81" s="32"/>
      <c r="L81" s="75">
        <v>81</v>
      </c>
      <c r="M81" s="75"/>
      <c r="N81" s="70"/>
      <c r="O81" s="77" t="s">
        <v>179</v>
      </c>
      <c r="P81" s="79">
        <v>45101.725162037037</v>
      </c>
      <c r="Q81" s="77" t="s">
        <v>882</v>
      </c>
      <c r="R81" s="77">
        <v>0</v>
      </c>
      <c r="S81" s="77">
        <v>0</v>
      </c>
      <c r="T81" s="77">
        <v>0</v>
      </c>
      <c r="U81" s="77">
        <v>0</v>
      </c>
      <c r="V81" s="77">
        <v>9</v>
      </c>
      <c r="W81" s="82" t="s">
        <v>4894</v>
      </c>
      <c r="X81" s="77"/>
      <c r="Y81" s="77"/>
      <c r="Z81" s="77"/>
      <c r="AA81" s="77"/>
      <c r="AB81" s="77"/>
      <c r="AC81" s="82" t="s">
        <v>8233</v>
      </c>
      <c r="AD81" s="77" t="s">
        <v>8278</v>
      </c>
      <c r="AE81" s="80" t="str">
        <f>HYPERLINK("https://twitter.com/ale_usilva/status/1672656892164726785")</f>
        <v>https://twitter.com/ale_usilva/status/1672656892164726785</v>
      </c>
      <c r="AF81" s="79">
        <v>45101.725162037037</v>
      </c>
      <c r="AG81" s="85">
        <v>45101</v>
      </c>
      <c r="AH81" s="82" t="s">
        <v>8366</v>
      </c>
      <c r="AI81" s="77"/>
      <c r="AJ81" s="77" t="s">
        <v>11994</v>
      </c>
      <c r="AK81" s="77" t="s">
        <v>12007</v>
      </c>
      <c r="AL81" s="77" t="s">
        <v>12010</v>
      </c>
      <c r="AM81" s="77" t="s">
        <v>12014</v>
      </c>
      <c r="AN81" s="77" t="s">
        <v>12026</v>
      </c>
      <c r="AO81" s="77" t="s">
        <v>12040</v>
      </c>
      <c r="AP81" s="77" t="s">
        <v>12051</v>
      </c>
      <c r="AQ81" s="77"/>
      <c r="AR81" s="77"/>
      <c r="AS81" s="77"/>
      <c r="AT81" s="77"/>
      <c r="AU81" s="77"/>
      <c r="AV81" s="80" t="str">
        <f>HYPERLINK("https://pbs.twimg.com/profile_images/1592682982392872962/gjQPIQM8_normal.jpg")</f>
        <v>https://pbs.twimg.com/profile_images/1592682982392872962/gjQPIQM8_normal.jpg</v>
      </c>
      <c r="AW81" s="82" t="s">
        <v>13186</v>
      </c>
      <c r="AX81" s="82" t="s">
        <v>13186</v>
      </c>
      <c r="AY81" s="77"/>
      <c r="AZ81" s="82" t="s">
        <v>17385</v>
      </c>
      <c r="BA81" s="82" t="s">
        <v>17385</v>
      </c>
      <c r="BB81" s="82" t="s">
        <v>17385</v>
      </c>
      <c r="BC81" s="82" t="s">
        <v>13186</v>
      </c>
      <c r="BD81" s="77">
        <v>1113907482</v>
      </c>
      <c r="BE81" s="77"/>
      <c r="BF81" s="77"/>
      <c r="BG81" s="77"/>
      <c r="BH81" s="77"/>
      <c r="BI81" s="77"/>
    </row>
    <row r="82" spans="1:61" x14ac:dyDescent="0.25">
      <c r="A82" s="62" t="s">
        <v>254</v>
      </c>
      <c r="B82" s="62" t="s">
        <v>734</v>
      </c>
      <c r="C82" s="63"/>
      <c r="D82" s="64"/>
      <c r="E82" s="65"/>
      <c r="F82" s="66"/>
      <c r="G82" s="63"/>
      <c r="H82" s="67"/>
      <c r="I82" s="68"/>
      <c r="J82" s="68"/>
      <c r="K82" s="32"/>
      <c r="L82" s="75">
        <v>82</v>
      </c>
      <c r="M82" s="75"/>
      <c r="N82" s="70"/>
      <c r="O82" s="77" t="s">
        <v>802</v>
      </c>
      <c r="P82" s="79">
        <v>45132.621180555558</v>
      </c>
      <c r="Q82" s="77" t="s">
        <v>883</v>
      </c>
      <c r="R82" s="77">
        <v>0</v>
      </c>
      <c r="S82" s="77">
        <v>1</v>
      </c>
      <c r="T82" s="77">
        <v>0</v>
      </c>
      <c r="U82" s="77">
        <v>0</v>
      </c>
      <c r="V82" s="77">
        <v>158</v>
      </c>
      <c r="W82" s="82" t="s">
        <v>4895</v>
      </c>
      <c r="X82" s="80" t="str">
        <f>HYPERLINK("https://bit.ly/44YIlh1")</f>
        <v>https://bit.ly/44YIlh1</v>
      </c>
      <c r="Y82" s="77" t="s">
        <v>7063</v>
      </c>
      <c r="Z82" s="77" t="s">
        <v>734</v>
      </c>
      <c r="AA82" s="77" t="s">
        <v>7216</v>
      </c>
      <c r="AB82" s="77" t="s">
        <v>8225</v>
      </c>
      <c r="AC82" s="82" t="s">
        <v>8232</v>
      </c>
      <c r="AD82" s="77" t="s">
        <v>8278</v>
      </c>
      <c r="AE82" s="80" t="str">
        <f>HYPERLINK("https://twitter.com/somosnomos/status/1683853233804943362")</f>
        <v>https://twitter.com/somosnomos/status/1683853233804943362</v>
      </c>
      <c r="AF82" s="79">
        <v>45132.621180555558</v>
      </c>
      <c r="AG82" s="85">
        <v>45132</v>
      </c>
      <c r="AH82" s="82" t="s">
        <v>8367</v>
      </c>
      <c r="AI82" s="77" t="b">
        <v>0</v>
      </c>
      <c r="AJ82" s="77"/>
      <c r="AK82" s="77"/>
      <c r="AL82" s="77"/>
      <c r="AM82" s="77"/>
      <c r="AN82" s="77"/>
      <c r="AO82" s="77"/>
      <c r="AP82" s="77"/>
      <c r="AQ82" s="77" t="s">
        <v>12101</v>
      </c>
      <c r="AR82" s="77"/>
      <c r="AS82" s="77"/>
      <c r="AT82" s="77"/>
      <c r="AU82" s="77"/>
      <c r="AV82" s="80" t="str">
        <f>HYPERLINK("https://pbs.twimg.com/media/F14xnJlaQAA5vpP.jpg")</f>
        <v>https://pbs.twimg.com/media/F14xnJlaQAA5vpP.jpg</v>
      </c>
      <c r="AW82" s="82" t="s">
        <v>13187</v>
      </c>
      <c r="AX82" s="82" t="s">
        <v>13187</v>
      </c>
      <c r="AY82" s="77"/>
      <c r="AZ82" s="82" t="s">
        <v>17385</v>
      </c>
      <c r="BA82" s="82" t="s">
        <v>17385</v>
      </c>
      <c r="BB82" s="82" t="s">
        <v>17385</v>
      </c>
      <c r="BC82" s="82" t="s">
        <v>13187</v>
      </c>
      <c r="BD82" s="82" t="s">
        <v>17452</v>
      </c>
      <c r="BE82" s="77"/>
      <c r="BF82" s="77"/>
      <c r="BG82" s="77"/>
      <c r="BH82" s="77"/>
      <c r="BI82" s="77"/>
    </row>
    <row r="83" spans="1:61" x14ac:dyDescent="0.25">
      <c r="A83" s="62" t="s">
        <v>255</v>
      </c>
      <c r="B83" s="62" t="s">
        <v>255</v>
      </c>
      <c r="C83" s="63"/>
      <c r="D83" s="64"/>
      <c r="E83" s="65"/>
      <c r="F83" s="66"/>
      <c r="G83" s="63"/>
      <c r="H83" s="67"/>
      <c r="I83" s="68"/>
      <c r="J83" s="68"/>
      <c r="K83" s="32"/>
      <c r="L83" s="75">
        <v>83</v>
      </c>
      <c r="M83" s="75"/>
      <c r="N83" s="70"/>
      <c r="O83" s="77" t="s">
        <v>179</v>
      </c>
      <c r="P83" s="79">
        <v>45092.804432870369</v>
      </c>
      <c r="Q83" s="77" t="s">
        <v>884</v>
      </c>
      <c r="R83" s="77">
        <v>7</v>
      </c>
      <c r="S83" s="77">
        <v>41</v>
      </c>
      <c r="T83" s="77">
        <v>4</v>
      </c>
      <c r="U83" s="77">
        <v>0</v>
      </c>
      <c r="V83" s="77">
        <v>5960</v>
      </c>
      <c r="W83" s="82" t="s">
        <v>4896</v>
      </c>
      <c r="X83" s="77"/>
      <c r="Y83" s="77"/>
      <c r="Z83" s="77"/>
      <c r="AA83" s="77" t="s">
        <v>7217</v>
      </c>
      <c r="AB83" s="77" t="s">
        <v>8227</v>
      </c>
      <c r="AC83" s="82" t="s">
        <v>8237</v>
      </c>
      <c r="AD83" s="77" t="s">
        <v>8278</v>
      </c>
      <c r="AE83" s="80" t="str">
        <f>HYPERLINK("https://twitter.com/jovempannews/status/1669424128275652612")</f>
        <v>https://twitter.com/jovempannews/status/1669424128275652612</v>
      </c>
      <c r="AF83" s="79">
        <v>45092.804432870369</v>
      </c>
      <c r="AG83" s="85">
        <v>45092</v>
      </c>
      <c r="AH83" s="82" t="s">
        <v>8368</v>
      </c>
      <c r="AI83" s="77" t="b">
        <v>0</v>
      </c>
      <c r="AJ83" s="77"/>
      <c r="AK83" s="77"/>
      <c r="AL83" s="77"/>
      <c r="AM83" s="77"/>
      <c r="AN83" s="77"/>
      <c r="AO83" s="77"/>
      <c r="AP83" s="77"/>
      <c r="AQ83" s="77" t="s">
        <v>12102</v>
      </c>
      <c r="AR83" s="77">
        <v>270510</v>
      </c>
      <c r="AS83" s="77"/>
      <c r="AT83" s="77"/>
      <c r="AU83" s="77"/>
      <c r="AV83" s="80" t="str">
        <f>HYPERLINK("https://pbs.twimg.com/amplify_video_thumb/1669406000812572693/img/T-Kr6qnUDBc57BPO.jpg")</f>
        <v>https://pbs.twimg.com/amplify_video_thumb/1669406000812572693/img/T-Kr6qnUDBc57BPO.jpg</v>
      </c>
      <c r="AW83" s="82" t="s">
        <v>13188</v>
      </c>
      <c r="AX83" s="82" t="s">
        <v>13188</v>
      </c>
      <c r="AY83" s="77"/>
      <c r="AZ83" s="82" t="s">
        <v>17385</v>
      </c>
      <c r="BA83" s="82" t="s">
        <v>17385</v>
      </c>
      <c r="BB83" s="82" t="s">
        <v>17385</v>
      </c>
      <c r="BC83" s="82" t="s">
        <v>13188</v>
      </c>
      <c r="BD83" s="77">
        <v>106175018</v>
      </c>
      <c r="BE83" s="77"/>
      <c r="BF83" s="77"/>
      <c r="BG83" s="77"/>
      <c r="BH83" s="77"/>
      <c r="BI83" s="77"/>
    </row>
    <row r="84" spans="1:61" x14ac:dyDescent="0.25">
      <c r="A84" s="62" t="s">
        <v>255</v>
      </c>
      <c r="B84" s="62" t="s">
        <v>255</v>
      </c>
      <c r="C84" s="63"/>
      <c r="D84" s="64"/>
      <c r="E84" s="65"/>
      <c r="F84" s="66"/>
      <c r="G84" s="63"/>
      <c r="H84" s="67"/>
      <c r="I84" s="68"/>
      <c r="J84" s="68"/>
      <c r="K84" s="32"/>
      <c r="L84" s="75">
        <v>84</v>
      </c>
      <c r="M84" s="75"/>
      <c r="N84" s="70"/>
      <c r="O84" s="77" t="s">
        <v>179</v>
      </c>
      <c r="P84" s="79">
        <v>45148.625</v>
      </c>
      <c r="Q84" s="77" t="s">
        <v>885</v>
      </c>
      <c r="R84" s="77">
        <v>2</v>
      </c>
      <c r="S84" s="77">
        <v>24</v>
      </c>
      <c r="T84" s="77">
        <v>1</v>
      </c>
      <c r="U84" s="77">
        <v>0</v>
      </c>
      <c r="V84" s="77">
        <v>5207</v>
      </c>
      <c r="W84" s="82" t="s">
        <v>4897</v>
      </c>
      <c r="X84" s="77"/>
      <c r="Y84" s="77"/>
      <c r="Z84" s="77"/>
      <c r="AA84" s="77" t="s">
        <v>7218</v>
      </c>
      <c r="AB84" s="77" t="s">
        <v>8227</v>
      </c>
      <c r="AC84" s="82" t="s">
        <v>8238</v>
      </c>
      <c r="AD84" s="77" t="s">
        <v>8278</v>
      </c>
      <c r="AE84" s="80" t="str">
        <f>HYPERLINK("https://twitter.com/jovempannews/status/1689652827625508868")</f>
        <v>https://twitter.com/jovempannews/status/1689652827625508868</v>
      </c>
      <c r="AF84" s="79">
        <v>45148.625</v>
      </c>
      <c r="AG84" s="85">
        <v>45148</v>
      </c>
      <c r="AH84" s="82" t="s">
        <v>8369</v>
      </c>
      <c r="AI84" s="77" t="b">
        <v>0</v>
      </c>
      <c r="AJ84" s="77"/>
      <c r="AK84" s="77"/>
      <c r="AL84" s="77"/>
      <c r="AM84" s="77"/>
      <c r="AN84" s="77"/>
      <c r="AO84" s="77"/>
      <c r="AP84" s="77"/>
      <c r="AQ84" s="77" t="s">
        <v>12103</v>
      </c>
      <c r="AR84" s="77">
        <v>231864</v>
      </c>
      <c r="AS84" s="77"/>
      <c r="AT84" s="77"/>
      <c r="AU84" s="77"/>
      <c r="AV84" s="80" t="str">
        <f>HYPERLINK("https://pbs.twimg.com/amplify_video_thumb/1689645848802787329/img/TRVxv1E7nNQfsgG_.jpg")</f>
        <v>https://pbs.twimg.com/amplify_video_thumb/1689645848802787329/img/TRVxv1E7nNQfsgG_.jpg</v>
      </c>
      <c r="AW84" s="82" t="s">
        <v>13189</v>
      </c>
      <c r="AX84" s="82" t="s">
        <v>13189</v>
      </c>
      <c r="AY84" s="77"/>
      <c r="AZ84" s="82" t="s">
        <v>17385</v>
      </c>
      <c r="BA84" s="82" t="s">
        <v>17385</v>
      </c>
      <c r="BB84" s="82" t="s">
        <v>17385</v>
      </c>
      <c r="BC84" s="82" t="s">
        <v>13189</v>
      </c>
      <c r="BD84" s="77">
        <v>106175018</v>
      </c>
      <c r="BE84" s="77"/>
      <c r="BF84" s="77"/>
      <c r="BG84" s="77"/>
      <c r="BH84" s="77"/>
      <c r="BI84" s="77"/>
    </row>
    <row r="85" spans="1:61" x14ac:dyDescent="0.25">
      <c r="A85" s="62" t="s">
        <v>255</v>
      </c>
      <c r="B85" s="62" t="s">
        <v>255</v>
      </c>
      <c r="C85" s="63"/>
      <c r="D85" s="64"/>
      <c r="E85" s="65"/>
      <c r="F85" s="66"/>
      <c r="G85" s="63"/>
      <c r="H85" s="67"/>
      <c r="I85" s="68"/>
      <c r="J85" s="68"/>
      <c r="K85" s="32"/>
      <c r="L85" s="75">
        <v>85</v>
      </c>
      <c r="M85" s="75"/>
      <c r="N85" s="70"/>
      <c r="O85" s="77" t="s">
        <v>179</v>
      </c>
      <c r="P85" s="79">
        <v>45154.083333333336</v>
      </c>
      <c r="Q85" s="77" t="s">
        <v>886</v>
      </c>
      <c r="R85" s="77">
        <v>5</v>
      </c>
      <c r="S85" s="77">
        <v>45</v>
      </c>
      <c r="T85" s="77">
        <v>2</v>
      </c>
      <c r="U85" s="77">
        <v>0</v>
      </c>
      <c r="V85" s="77">
        <v>7973</v>
      </c>
      <c r="W85" s="82" t="s">
        <v>4898</v>
      </c>
      <c r="X85" s="77"/>
      <c r="Y85" s="77"/>
      <c r="Z85" s="77"/>
      <c r="AA85" s="77" t="s">
        <v>7219</v>
      </c>
      <c r="AB85" s="77" t="s">
        <v>8227</v>
      </c>
      <c r="AC85" s="82" t="s">
        <v>8237</v>
      </c>
      <c r="AD85" s="77" t="s">
        <v>8278</v>
      </c>
      <c r="AE85" s="80" t="str">
        <f>HYPERLINK("https://twitter.com/jovempannews/status/1691630860481528239")</f>
        <v>https://twitter.com/jovempannews/status/1691630860481528239</v>
      </c>
      <c r="AF85" s="79">
        <v>45154.083333333336</v>
      </c>
      <c r="AG85" s="85">
        <v>45154</v>
      </c>
      <c r="AH85" s="82" t="s">
        <v>8370</v>
      </c>
      <c r="AI85" s="77" t="b">
        <v>0</v>
      </c>
      <c r="AJ85" s="77"/>
      <c r="AK85" s="77"/>
      <c r="AL85" s="77"/>
      <c r="AM85" s="77"/>
      <c r="AN85" s="77"/>
      <c r="AO85" s="77"/>
      <c r="AP85" s="77"/>
      <c r="AQ85" s="77" t="s">
        <v>12104</v>
      </c>
      <c r="AR85" s="77">
        <v>181160</v>
      </c>
      <c r="AS85" s="77"/>
      <c r="AT85" s="77"/>
      <c r="AU85" s="77"/>
      <c r="AV85" s="80" t="str">
        <f>HYPERLINK("https://pbs.twimg.com/amplify_video_thumb/1691609727359139841/img/5PDIbu8hf6Ydmrt0.jpg")</f>
        <v>https://pbs.twimg.com/amplify_video_thumb/1691609727359139841/img/5PDIbu8hf6Ydmrt0.jpg</v>
      </c>
      <c r="AW85" s="82" t="s">
        <v>13190</v>
      </c>
      <c r="AX85" s="82" t="s">
        <v>13190</v>
      </c>
      <c r="AY85" s="77"/>
      <c r="AZ85" s="82" t="s">
        <v>17385</v>
      </c>
      <c r="BA85" s="82" t="s">
        <v>17385</v>
      </c>
      <c r="BB85" s="82" t="s">
        <v>17385</v>
      </c>
      <c r="BC85" s="82" t="s">
        <v>13190</v>
      </c>
      <c r="BD85" s="77">
        <v>106175018</v>
      </c>
      <c r="BE85" s="77"/>
      <c r="BF85" s="77"/>
      <c r="BG85" s="77"/>
      <c r="BH85" s="77"/>
      <c r="BI85" s="77"/>
    </row>
    <row r="86" spans="1:61" x14ac:dyDescent="0.25">
      <c r="A86" s="62" t="s">
        <v>255</v>
      </c>
      <c r="B86" s="62" t="s">
        <v>255</v>
      </c>
      <c r="C86" s="63"/>
      <c r="D86" s="64"/>
      <c r="E86" s="65"/>
      <c r="F86" s="66"/>
      <c r="G86" s="63"/>
      <c r="H86" s="67"/>
      <c r="I86" s="68"/>
      <c r="J86" s="68"/>
      <c r="K86" s="32"/>
      <c r="L86" s="75">
        <v>86</v>
      </c>
      <c r="M86" s="75"/>
      <c r="N86" s="70"/>
      <c r="O86" s="77" t="s">
        <v>179</v>
      </c>
      <c r="P86" s="79">
        <v>45155.145833333336</v>
      </c>
      <c r="Q86" s="77" t="s">
        <v>887</v>
      </c>
      <c r="R86" s="77">
        <v>7</v>
      </c>
      <c r="S86" s="77">
        <v>61</v>
      </c>
      <c r="T86" s="77">
        <v>2</v>
      </c>
      <c r="U86" s="77">
        <v>0</v>
      </c>
      <c r="V86" s="77">
        <v>6995</v>
      </c>
      <c r="W86" s="82" t="s">
        <v>4899</v>
      </c>
      <c r="X86" s="77"/>
      <c r="Y86" s="77"/>
      <c r="Z86" s="77"/>
      <c r="AA86" s="77" t="s">
        <v>7220</v>
      </c>
      <c r="AB86" s="77" t="s">
        <v>8227</v>
      </c>
      <c r="AC86" s="82" t="s">
        <v>8239</v>
      </c>
      <c r="AD86" s="77" t="s">
        <v>8278</v>
      </c>
      <c r="AE86" s="80" t="str">
        <f>HYPERLINK("https://twitter.com/jovempannews/status/1692015897135731198")</f>
        <v>https://twitter.com/jovempannews/status/1692015897135731198</v>
      </c>
      <c r="AF86" s="79">
        <v>45155.145833333336</v>
      </c>
      <c r="AG86" s="85">
        <v>45155</v>
      </c>
      <c r="AH86" s="82" t="s">
        <v>8371</v>
      </c>
      <c r="AI86" s="77" t="b">
        <v>0</v>
      </c>
      <c r="AJ86" s="77"/>
      <c r="AK86" s="77"/>
      <c r="AL86" s="77"/>
      <c r="AM86" s="77"/>
      <c r="AN86" s="77"/>
      <c r="AO86" s="77"/>
      <c r="AP86" s="77"/>
      <c r="AQ86" s="77" t="s">
        <v>12105</v>
      </c>
      <c r="AR86" s="77">
        <v>125504</v>
      </c>
      <c r="AS86" s="77"/>
      <c r="AT86" s="77"/>
      <c r="AU86" s="77"/>
      <c r="AV86" s="80" t="str">
        <f>HYPERLINK("https://pbs.twimg.com/amplify_video_thumb/1691983864401461248/img/c635Sm-EA9H7maYu.jpg")</f>
        <v>https://pbs.twimg.com/amplify_video_thumb/1691983864401461248/img/c635Sm-EA9H7maYu.jpg</v>
      </c>
      <c r="AW86" s="82" t="s">
        <v>13191</v>
      </c>
      <c r="AX86" s="82" t="s">
        <v>13191</v>
      </c>
      <c r="AY86" s="77"/>
      <c r="AZ86" s="82" t="s">
        <v>17385</v>
      </c>
      <c r="BA86" s="82" t="s">
        <v>17385</v>
      </c>
      <c r="BB86" s="82" t="s">
        <v>17385</v>
      </c>
      <c r="BC86" s="82" t="s">
        <v>13191</v>
      </c>
      <c r="BD86" s="77">
        <v>106175018</v>
      </c>
      <c r="BE86" s="77"/>
      <c r="BF86" s="77"/>
      <c r="BG86" s="77"/>
      <c r="BH86" s="77"/>
      <c r="BI86" s="77"/>
    </row>
    <row r="87" spans="1:61" x14ac:dyDescent="0.25">
      <c r="A87" s="62" t="s">
        <v>256</v>
      </c>
      <c r="B87" s="62" t="s">
        <v>256</v>
      </c>
      <c r="C87" s="63"/>
      <c r="D87" s="64"/>
      <c r="E87" s="65"/>
      <c r="F87" s="66"/>
      <c r="G87" s="63"/>
      <c r="H87" s="67"/>
      <c r="I87" s="68"/>
      <c r="J87" s="68"/>
      <c r="K87" s="32"/>
      <c r="L87" s="75">
        <v>87</v>
      </c>
      <c r="M87" s="75"/>
      <c r="N87" s="70"/>
      <c r="O87" s="77" t="s">
        <v>179</v>
      </c>
      <c r="P87" s="79">
        <v>45107.045428240737</v>
      </c>
      <c r="Q87" s="77" t="s">
        <v>888</v>
      </c>
      <c r="R87" s="77">
        <v>0</v>
      </c>
      <c r="S87" s="77">
        <v>0</v>
      </c>
      <c r="T87" s="77">
        <v>0</v>
      </c>
      <c r="U87" s="77">
        <v>0</v>
      </c>
      <c r="V87" s="77">
        <v>95</v>
      </c>
      <c r="W87" s="82" t="s">
        <v>4900</v>
      </c>
      <c r="X87" s="80" t="str">
        <f>HYPERLINK("https://youtu.be/1uSVVf5Jgrg")</f>
        <v>https://youtu.be/1uSVVf5Jgrg</v>
      </c>
      <c r="Y87" s="77" t="s">
        <v>7064</v>
      </c>
      <c r="Z87" s="77"/>
      <c r="AA87" s="77"/>
      <c r="AB87" s="77"/>
      <c r="AC87" s="82" t="s">
        <v>8232</v>
      </c>
      <c r="AD87" s="77" t="s">
        <v>8278</v>
      </c>
      <c r="AE87" s="80" t="str">
        <f>HYPERLINK("https://twitter.com/vsmolina3/status/1674584894062592001")</f>
        <v>https://twitter.com/vsmolina3/status/1674584894062592001</v>
      </c>
      <c r="AF87" s="79">
        <v>45107.045428240737</v>
      </c>
      <c r="AG87" s="85">
        <v>45107</v>
      </c>
      <c r="AH87" s="82" t="s">
        <v>8372</v>
      </c>
      <c r="AI87" s="77" t="b">
        <v>0</v>
      </c>
      <c r="AJ87" s="77"/>
      <c r="AK87" s="77"/>
      <c r="AL87" s="77"/>
      <c r="AM87" s="77"/>
      <c r="AN87" s="77"/>
      <c r="AO87" s="77"/>
      <c r="AP87" s="77"/>
      <c r="AQ87" s="77"/>
      <c r="AR87" s="77"/>
      <c r="AS87" s="77"/>
      <c r="AT87" s="77"/>
      <c r="AU87" s="77"/>
      <c r="AV87" s="80" t="str">
        <f>HYPERLINK("https://pbs.twimg.com/profile_images/1146122928758673410/K0Cc6E4o_normal.png")</f>
        <v>https://pbs.twimg.com/profile_images/1146122928758673410/K0Cc6E4o_normal.png</v>
      </c>
      <c r="AW87" s="82" t="s">
        <v>13192</v>
      </c>
      <c r="AX87" s="82" t="s">
        <v>13192</v>
      </c>
      <c r="AY87" s="77"/>
      <c r="AZ87" s="82" t="s">
        <v>17385</v>
      </c>
      <c r="BA87" s="82" t="s">
        <v>17385</v>
      </c>
      <c r="BB87" s="82" t="s">
        <v>17385</v>
      </c>
      <c r="BC87" s="82" t="s">
        <v>13192</v>
      </c>
      <c r="BD87" s="82" t="s">
        <v>17453</v>
      </c>
      <c r="BE87" s="77"/>
      <c r="BF87" s="77"/>
      <c r="BG87" s="77"/>
      <c r="BH87" s="77"/>
      <c r="BI87" s="77"/>
    </row>
    <row r="88" spans="1:61" x14ac:dyDescent="0.25">
      <c r="A88" s="62" t="s">
        <v>257</v>
      </c>
      <c r="B88" s="62" t="s">
        <v>257</v>
      </c>
      <c r="C88" s="63"/>
      <c r="D88" s="64"/>
      <c r="E88" s="65"/>
      <c r="F88" s="66"/>
      <c r="G88" s="63"/>
      <c r="H88" s="67"/>
      <c r="I88" s="68"/>
      <c r="J88" s="68"/>
      <c r="K88" s="32"/>
      <c r="L88" s="75">
        <v>88</v>
      </c>
      <c r="M88" s="75"/>
      <c r="N88" s="70"/>
      <c r="O88" s="77" t="s">
        <v>179</v>
      </c>
      <c r="P88" s="79">
        <v>45050.524236111109</v>
      </c>
      <c r="Q88" s="77" t="s">
        <v>889</v>
      </c>
      <c r="R88" s="77">
        <v>0</v>
      </c>
      <c r="S88" s="77">
        <v>0</v>
      </c>
      <c r="T88" s="77">
        <v>0</v>
      </c>
      <c r="U88" s="77">
        <v>0</v>
      </c>
      <c r="V88" s="77">
        <v>3</v>
      </c>
      <c r="W88" s="82" t="s">
        <v>4901</v>
      </c>
      <c r="X88" s="80" t="str">
        <f>HYPERLINK("https://giranoticias.com.br/pf-faz-acao-contra-empresa-suspeita-de-monitorar-operacoes/")</f>
        <v>https://giranoticias.com.br/pf-faz-acao-contra-empresa-suspeita-de-monitorar-operacoes/</v>
      </c>
      <c r="Y88" s="77" t="s">
        <v>7053</v>
      </c>
      <c r="Z88" s="77"/>
      <c r="AA88" s="77"/>
      <c r="AB88" s="77"/>
      <c r="AC88" s="82" t="s">
        <v>8232</v>
      </c>
      <c r="AD88" s="77" t="s">
        <v>8278</v>
      </c>
      <c r="AE88" s="80" t="str">
        <f>HYPERLINK("https://twitter.com/giranoticias/status/1654102299696832512")</f>
        <v>https://twitter.com/giranoticias/status/1654102299696832512</v>
      </c>
      <c r="AF88" s="79">
        <v>45050.524236111109</v>
      </c>
      <c r="AG88" s="85">
        <v>45050</v>
      </c>
      <c r="AH88" s="82" t="s">
        <v>8373</v>
      </c>
      <c r="AI88" s="77" t="b">
        <v>0</v>
      </c>
      <c r="AJ88" s="77"/>
      <c r="AK88" s="77"/>
      <c r="AL88" s="77"/>
      <c r="AM88" s="77"/>
      <c r="AN88" s="77"/>
      <c r="AO88" s="77"/>
      <c r="AP88" s="77"/>
      <c r="AQ88" s="77"/>
      <c r="AR88" s="77"/>
      <c r="AS88" s="77"/>
      <c r="AT88" s="77"/>
      <c r="AU88" s="77"/>
      <c r="AV88" s="80" t="str">
        <f>HYPERLINK("https://pbs.twimg.com/profile_images/1488714197462564869/xrWJ7Gbl_normal.jpg")</f>
        <v>https://pbs.twimg.com/profile_images/1488714197462564869/xrWJ7Gbl_normal.jpg</v>
      </c>
      <c r="AW88" s="82" t="s">
        <v>13193</v>
      </c>
      <c r="AX88" s="82" t="s">
        <v>13193</v>
      </c>
      <c r="AY88" s="77"/>
      <c r="AZ88" s="82" t="s">
        <v>17385</v>
      </c>
      <c r="BA88" s="82" t="s">
        <v>17385</v>
      </c>
      <c r="BB88" s="82" t="s">
        <v>17385</v>
      </c>
      <c r="BC88" s="82" t="s">
        <v>13193</v>
      </c>
      <c r="BD88" s="82" t="s">
        <v>17454</v>
      </c>
      <c r="BE88" s="77"/>
      <c r="BF88" s="77"/>
      <c r="BG88" s="77"/>
      <c r="BH88" s="77"/>
      <c r="BI88" s="77"/>
    </row>
    <row r="89" spans="1:61" x14ac:dyDescent="0.25">
      <c r="A89" s="62" t="s">
        <v>258</v>
      </c>
      <c r="B89" s="62" t="s">
        <v>735</v>
      </c>
      <c r="C89" s="63"/>
      <c r="D89" s="64"/>
      <c r="E89" s="65"/>
      <c r="F89" s="66"/>
      <c r="G89" s="63"/>
      <c r="H89" s="67"/>
      <c r="I89" s="68"/>
      <c r="J89" s="68"/>
      <c r="K89" s="32"/>
      <c r="L89" s="75">
        <v>89</v>
      </c>
      <c r="M89" s="75"/>
      <c r="N89" s="70"/>
      <c r="O89" s="77" t="s">
        <v>802</v>
      </c>
      <c r="P89" s="79">
        <v>45119.545034722221</v>
      </c>
      <c r="Q89" s="77" t="s">
        <v>890</v>
      </c>
      <c r="R89" s="77">
        <v>0</v>
      </c>
      <c r="S89" s="77">
        <v>1</v>
      </c>
      <c r="T89" s="77">
        <v>1</v>
      </c>
      <c r="U89" s="77">
        <v>0</v>
      </c>
      <c r="V89" s="77">
        <v>683</v>
      </c>
      <c r="W89" s="82" t="s">
        <v>4902</v>
      </c>
      <c r="X89" s="80" t="str">
        <f>HYPERLINK("https://youtube.com/live/a028Od0_0LM")</f>
        <v>https://youtube.com/live/a028Od0_0LM</v>
      </c>
      <c r="Y89" s="77" t="s">
        <v>7065</v>
      </c>
      <c r="Z89" s="77" t="s">
        <v>735</v>
      </c>
      <c r="AA89" s="77" t="s">
        <v>7221</v>
      </c>
      <c r="AB89" s="77" t="s">
        <v>8225</v>
      </c>
      <c r="AC89" s="82" t="s">
        <v>8240</v>
      </c>
      <c r="AD89" s="77" t="s">
        <v>8278</v>
      </c>
      <c r="AE89" s="80" t="str">
        <f>HYPERLINK("https://twitter.com/escolacripto/status/1679114598681821185")</f>
        <v>https://twitter.com/escolacripto/status/1679114598681821185</v>
      </c>
      <c r="AF89" s="79">
        <v>45119.545034722221</v>
      </c>
      <c r="AG89" s="85">
        <v>45119</v>
      </c>
      <c r="AH89" s="82" t="s">
        <v>8374</v>
      </c>
      <c r="AI89" s="77" t="b">
        <v>0</v>
      </c>
      <c r="AJ89" s="77"/>
      <c r="AK89" s="77"/>
      <c r="AL89" s="77"/>
      <c r="AM89" s="77"/>
      <c r="AN89" s="77"/>
      <c r="AO89" s="77"/>
      <c r="AP89" s="77"/>
      <c r="AQ89" s="77" t="s">
        <v>12106</v>
      </c>
      <c r="AR89" s="77"/>
      <c r="AS89" s="77"/>
      <c r="AT89" s="77"/>
      <c r="AU89" s="77"/>
      <c r="AV89" s="80" t="str">
        <f>HYPERLINK("https://pbs.twimg.com/media/F01p0qgaQAA1EAg.jpg")</f>
        <v>https://pbs.twimg.com/media/F01p0qgaQAA1EAg.jpg</v>
      </c>
      <c r="AW89" s="82" t="s">
        <v>13194</v>
      </c>
      <c r="AX89" s="82" t="s">
        <v>13194</v>
      </c>
      <c r="AY89" s="77"/>
      <c r="AZ89" s="82" t="s">
        <v>17385</v>
      </c>
      <c r="BA89" s="82" t="s">
        <v>17385</v>
      </c>
      <c r="BB89" s="82" t="s">
        <v>17385</v>
      </c>
      <c r="BC89" s="82" t="s">
        <v>13194</v>
      </c>
      <c r="BD89" s="82" t="s">
        <v>17455</v>
      </c>
      <c r="BE89" s="77"/>
      <c r="BF89" s="77"/>
      <c r="BG89" s="77"/>
      <c r="BH89" s="77"/>
      <c r="BI89" s="77"/>
    </row>
    <row r="90" spans="1:61" x14ac:dyDescent="0.25">
      <c r="A90" s="62" t="s">
        <v>259</v>
      </c>
      <c r="B90" s="62" t="s">
        <v>736</v>
      </c>
      <c r="C90" s="63"/>
      <c r="D90" s="64"/>
      <c r="E90" s="65"/>
      <c r="F90" s="66"/>
      <c r="G90" s="63"/>
      <c r="H90" s="67"/>
      <c r="I90" s="68"/>
      <c r="J90" s="68"/>
      <c r="K90" s="32"/>
      <c r="L90" s="75">
        <v>90</v>
      </c>
      <c r="M90" s="75"/>
      <c r="N90" s="70"/>
      <c r="O90" s="77" t="s">
        <v>804</v>
      </c>
      <c r="P90" s="79">
        <v>45142.994618055556</v>
      </c>
      <c r="Q90" s="77" t="s">
        <v>891</v>
      </c>
      <c r="R90" s="77">
        <v>1</v>
      </c>
      <c r="S90" s="77">
        <v>3</v>
      </c>
      <c r="T90" s="77">
        <v>0</v>
      </c>
      <c r="U90" s="77">
        <v>0</v>
      </c>
      <c r="V90" s="77">
        <v>647</v>
      </c>
      <c r="W90" s="82" t="s">
        <v>4903</v>
      </c>
      <c r="X90" s="77"/>
      <c r="Y90" s="77"/>
      <c r="Z90" s="77" t="s">
        <v>7153</v>
      </c>
      <c r="AA90" s="77"/>
      <c r="AB90" s="77"/>
      <c r="AC90" s="82" t="s">
        <v>8233</v>
      </c>
      <c r="AD90" s="77" t="s">
        <v>8278</v>
      </c>
      <c r="AE90" s="80" t="str">
        <f>HYPERLINK("https://twitter.com/denisectoledo8/status/1687612445341134848")</f>
        <v>https://twitter.com/denisectoledo8/status/1687612445341134848</v>
      </c>
      <c r="AF90" s="79">
        <v>45142.994618055556</v>
      </c>
      <c r="AG90" s="85">
        <v>45142</v>
      </c>
      <c r="AH90" s="82" t="s">
        <v>8375</v>
      </c>
      <c r="AI90" s="77"/>
      <c r="AJ90" s="77"/>
      <c r="AK90" s="77"/>
      <c r="AL90" s="77"/>
      <c r="AM90" s="77"/>
      <c r="AN90" s="77"/>
      <c r="AO90" s="77"/>
      <c r="AP90" s="77"/>
      <c r="AQ90" s="77"/>
      <c r="AR90" s="77"/>
      <c r="AS90" s="77"/>
      <c r="AT90" s="77"/>
      <c r="AU90" s="77"/>
      <c r="AV90" s="80" t="str">
        <f>HYPERLINK("https://pbs.twimg.com/profile_images/1232518826866155525/uMW_Km2P_normal.jpg")</f>
        <v>https://pbs.twimg.com/profile_images/1232518826866155525/uMW_Km2P_normal.jpg</v>
      </c>
      <c r="AW90" s="82" t="s">
        <v>13195</v>
      </c>
      <c r="AX90" s="82" t="s">
        <v>13195</v>
      </c>
      <c r="AY90" s="77"/>
      <c r="AZ90" s="82" t="s">
        <v>17385</v>
      </c>
      <c r="BA90" s="82" t="s">
        <v>13465</v>
      </c>
      <c r="BB90" s="82" t="s">
        <v>17385</v>
      </c>
      <c r="BC90" s="82" t="s">
        <v>13465</v>
      </c>
      <c r="BD90" s="77">
        <v>2670530420</v>
      </c>
      <c r="BE90" s="77"/>
      <c r="BF90" s="77"/>
      <c r="BG90" s="77"/>
      <c r="BH90" s="77"/>
      <c r="BI90" s="77"/>
    </row>
    <row r="91" spans="1:61" x14ac:dyDescent="0.25">
      <c r="A91" s="62" t="s">
        <v>259</v>
      </c>
      <c r="B91" s="62" t="s">
        <v>310</v>
      </c>
      <c r="C91" s="63"/>
      <c r="D91" s="64"/>
      <c r="E91" s="65"/>
      <c r="F91" s="66"/>
      <c r="G91" s="63"/>
      <c r="H91" s="67"/>
      <c r="I91" s="68"/>
      <c r="J91" s="68"/>
      <c r="K91" s="32"/>
      <c r="L91" s="75">
        <v>91</v>
      </c>
      <c r="M91" s="75"/>
      <c r="N91" s="70"/>
      <c r="O91" s="77" t="s">
        <v>804</v>
      </c>
      <c r="P91" s="79">
        <v>45142.994618055556</v>
      </c>
      <c r="Q91" s="77" t="s">
        <v>891</v>
      </c>
      <c r="R91" s="77">
        <v>1</v>
      </c>
      <c r="S91" s="77">
        <v>3</v>
      </c>
      <c r="T91" s="77">
        <v>0</v>
      </c>
      <c r="U91" s="77">
        <v>0</v>
      </c>
      <c r="V91" s="77">
        <v>647</v>
      </c>
      <c r="W91" s="82" t="s">
        <v>4903</v>
      </c>
      <c r="X91" s="77"/>
      <c r="Y91" s="77"/>
      <c r="Z91" s="77" t="s">
        <v>7153</v>
      </c>
      <c r="AA91" s="77"/>
      <c r="AB91" s="77"/>
      <c r="AC91" s="82" t="s">
        <v>8233</v>
      </c>
      <c r="AD91" s="77" t="s">
        <v>8278</v>
      </c>
      <c r="AE91" s="80" t="str">
        <f>HYPERLINK("https://twitter.com/denisectoledo8/status/1687612445341134848")</f>
        <v>https://twitter.com/denisectoledo8/status/1687612445341134848</v>
      </c>
      <c r="AF91" s="79">
        <v>45142.994618055556</v>
      </c>
      <c r="AG91" s="85">
        <v>45142</v>
      </c>
      <c r="AH91" s="82" t="s">
        <v>8375</v>
      </c>
      <c r="AI91" s="77"/>
      <c r="AJ91" s="77"/>
      <c r="AK91" s="77"/>
      <c r="AL91" s="77"/>
      <c r="AM91" s="77"/>
      <c r="AN91" s="77"/>
      <c r="AO91" s="77"/>
      <c r="AP91" s="77"/>
      <c r="AQ91" s="77"/>
      <c r="AR91" s="77"/>
      <c r="AS91" s="77"/>
      <c r="AT91" s="77"/>
      <c r="AU91" s="77"/>
      <c r="AV91" s="80" t="str">
        <f>HYPERLINK("https://pbs.twimg.com/profile_images/1232518826866155525/uMW_Km2P_normal.jpg")</f>
        <v>https://pbs.twimg.com/profile_images/1232518826866155525/uMW_Km2P_normal.jpg</v>
      </c>
      <c r="AW91" s="82" t="s">
        <v>13195</v>
      </c>
      <c r="AX91" s="82" t="s">
        <v>13195</v>
      </c>
      <c r="AY91" s="77"/>
      <c r="AZ91" s="82" t="s">
        <v>17385</v>
      </c>
      <c r="BA91" s="82" t="s">
        <v>13465</v>
      </c>
      <c r="BB91" s="82" t="s">
        <v>17385</v>
      </c>
      <c r="BC91" s="82" t="s">
        <v>13465</v>
      </c>
      <c r="BD91" s="77">
        <v>2670530420</v>
      </c>
      <c r="BE91" s="77"/>
      <c r="BF91" s="77"/>
      <c r="BG91" s="77"/>
      <c r="BH91" s="77"/>
      <c r="BI91" s="77"/>
    </row>
    <row r="92" spans="1:61" x14ac:dyDescent="0.25">
      <c r="A92" s="62" t="s">
        <v>259</v>
      </c>
      <c r="B92" s="62" t="s">
        <v>310</v>
      </c>
      <c r="C92" s="63"/>
      <c r="D92" s="64"/>
      <c r="E92" s="65"/>
      <c r="F92" s="66"/>
      <c r="G92" s="63"/>
      <c r="H92" s="67"/>
      <c r="I92" s="68"/>
      <c r="J92" s="68"/>
      <c r="K92" s="32"/>
      <c r="L92" s="75">
        <v>92</v>
      </c>
      <c r="M92" s="75"/>
      <c r="N92" s="70"/>
      <c r="O92" s="77" t="s">
        <v>801</v>
      </c>
      <c r="P92" s="79">
        <v>45142.994618055556</v>
      </c>
      <c r="Q92" s="77" t="s">
        <v>891</v>
      </c>
      <c r="R92" s="77">
        <v>1</v>
      </c>
      <c r="S92" s="77">
        <v>3</v>
      </c>
      <c r="T92" s="77">
        <v>0</v>
      </c>
      <c r="U92" s="77">
        <v>0</v>
      </c>
      <c r="V92" s="77">
        <v>647</v>
      </c>
      <c r="W92" s="82" t="s">
        <v>4903</v>
      </c>
      <c r="X92" s="77"/>
      <c r="Y92" s="77"/>
      <c r="Z92" s="77" t="s">
        <v>7153</v>
      </c>
      <c r="AA92" s="77"/>
      <c r="AB92" s="77"/>
      <c r="AC92" s="82" t="s">
        <v>8233</v>
      </c>
      <c r="AD92" s="77" t="s">
        <v>8278</v>
      </c>
      <c r="AE92" s="80" t="str">
        <f>HYPERLINK("https://twitter.com/denisectoledo8/status/1687612445341134848")</f>
        <v>https://twitter.com/denisectoledo8/status/1687612445341134848</v>
      </c>
      <c r="AF92" s="79">
        <v>45142.994618055556</v>
      </c>
      <c r="AG92" s="85">
        <v>45142</v>
      </c>
      <c r="AH92" s="82" t="s">
        <v>8375</v>
      </c>
      <c r="AI92" s="77"/>
      <c r="AJ92" s="77"/>
      <c r="AK92" s="77"/>
      <c r="AL92" s="77"/>
      <c r="AM92" s="77"/>
      <c r="AN92" s="77"/>
      <c r="AO92" s="77"/>
      <c r="AP92" s="77"/>
      <c r="AQ92" s="77"/>
      <c r="AR92" s="77"/>
      <c r="AS92" s="77"/>
      <c r="AT92" s="77"/>
      <c r="AU92" s="77"/>
      <c r="AV92" s="80" t="str">
        <f>HYPERLINK("https://pbs.twimg.com/profile_images/1232518826866155525/uMW_Km2P_normal.jpg")</f>
        <v>https://pbs.twimg.com/profile_images/1232518826866155525/uMW_Km2P_normal.jpg</v>
      </c>
      <c r="AW92" s="82" t="s">
        <v>13195</v>
      </c>
      <c r="AX92" s="82" t="s">
        <v>13195</v>
      </c>
      <c r="AY92" s="77"/>
      <c r="AZ92" s="82" t="s">
        <v>17385</v>
      </c>
      <c r="BA92" s="82" t="s">
        <v>13465</v>
      </c>
      <c r="BB92" s="82" t="s">
        <v>17385</v>
      </c>
      <c r="BC92" s="82" t="s">
        <v>13465</v>
      </c>
      <c r="BD92" s="77">
        <v>2670530420</v>
      </c>
      <c r="BE92" s="77"/>
      <c r="BF92" s="77"/>
      <c r="BG92" s="77"/>
      <c r="BH92" s="77"/>
      <c r="BI92" s="77"/>
    </row>
    <row r="93" spans="1:61" x14ac:dyDescent="0.25">
      <c r="A93" s="62" t="s">
        <v>260</v>
      </c>
      <c r="B93" s="62" t="s">
        <v>260</v>
      </c>
      <c r="C93" s="63"/>
      <c r="D93" s="64"/>
      <c r="E93" s="65"/>
      <c r="F93" s="66"/>
      <c r="G93" s="63"/>
      <c r="H93" s="67"/>
      <c r="I93" s="68"/>
      <c r="J93" s="68"/>
      <c r="K93" s="32"/>
      <c r="L93" s="75">
        <v>93</v>
      </c>
      <c r="M93" s="75"/>
      <c r="N93" s="70"/>
      <c r="O93" s="77" t="s">
        <v>802</v>
      </c>
      <c r="P93" s="79">
        <v>45104.874097222222</v>
      </c>
      <c r="Q93" s="77" t="s">
        <v>892</v>
      </c>
      <c r="R93" s="77">
        <v>0</v>
      </c>
      <c r="S93" s="77">
        <v>0</v>
      </c>
      <c r="T93" s="77">
        <v>0</v>
      </c>
      <c r="U93" s="77">
        <v>0</v>
      </c>
      <c r="V93" s="77">
        <v>11</v>
      </c>
      <c r="W93" s="82" t="s">
        <v>4904</v>
      </c>
      <c r="X93" s="80" t="str">
        <f>HYPERLINK("https://youtu.be/u1Sp399EPrY")</f>
        <v>https://youtu.be/u1Sp399EPrY</v>
      </c>
      <c r="Y93" s="77" t="s">
        <v>7064</v>
      </c>
      <c r="Z93" s="77" t="s">
        <v>260</v>
      </c>
      <c r="AA93" s="77"/>
      <c r="AB93" s="77"/>
      <c r="AC93" s="82" t="s">
        <v>8232</v>
      </c>
      <c r="AD93" s="77" t="s">
        <v>8278</v>
      </c>
      <c r="AE93" s="80" t="str">
        <f>HYPERLINK("https://twitter.com/botinhao/status/1673798029999058951")</f>
        <v>https://twitter.com/botinhao/status/1673798029999058951</v>
      </c>
      <c r="AF93" s="79">
        <v>45104.874097222222</v>
      </c>
      <c r="AG93" s="85">
        <v>45104</v>
      </c>
      <c r="AH93" s="82" t="s">
        <v>8376</v>
      </c>
      <c r="AI93" s="77" t="b">
        <v>0</v>
      </c>
      <c r="AJ93" s="77"/>
      <c r="AK93" s="77"/>
      <c r="AL93" s="77"/>
      <c r="AM93" s="77"/>
      <c r="AN93" s="77"/>
      <c r="AO93" s="77"/>
      <c r="AP93" s="77"/>
      <c r="AQ93" s="77"/>
      <c r="AR93" s="77"/>
      <c r="AS93" s="77"/>
      <c r="AT93" s="77"/>
      <c r="AU93" s="77"/>
      <c r="AV93" s="80" t="str">
        <f>HYPERLINK("https://pbs.twimg.com/profile_images/1315417636424085504/sKf3TLLH_normal.jpg")</f>
        <v>https://pbs.twimg.com/profile_images/1315417636424085504/sKf3TLLH_normal.jpg</v>
      </c>
      <c r="AW93" s="82" t="s">
        <v>13196</v>
      </c>
      <c r="AX93" s="82" t="s">
        <v>13196</v>
      </c>
      <c r="AY93" s="77"/>
      <c r="AZ93" s="82" t="s">
        <v>17385</v>
      </c>
      <c r="BA93" s="82" t="s">
        <v>17385</v>
      </c>
      <c r="BB93" s="82" t="s">
        <v>17385</v>
      </c>
      <c r="BC93" s="82" t="s">
        <v>13196</v>
      </c>
      <c r="BD93" s="77">
        <v>16604637</v>
      </c>
      <c r="BE93" s="77"/>
      <c r="BF93" s="77"/>
      <c r="BG93" s="77"/>
      <c r="BH93" s="77"/>
      <c r="BI93" s="77"/>
    </row>
    <row r="94" spans="1:61" x14ac:dyDescent="0.25">
      <c r="A94" s="62" t="s">
        <v>261</v>
      </c>
      <c r="B94" s="62" t="s">
        <v>261</v>
      </c>
      <c r="C94" s="63"/>
      <c r="D94" s="64"/>
      <c r="E94" s="65"/>
      <c r="F94" s="66"/>
      <c r="G94" s="63"/>
      <c r="H94" s="67"/>
      <c r="I94" s="68"/>
      <c r="J94" s="68"/>
      <c r="K94" s="32"/>
      <c r="L94" s="75">
        <v>94</v>
      </c>
      <c r="M94" s="75"/>
      <c r="N94" s="70"/>
      <c r="O94" s="77" t="s">
        <v>179</v>
      </c>
      <c r="P94" s="79">
        <v>45115.626956018517</v>
      </c>
      <c r="Q94" s="77" t="s">
        <v>893</v>
      </c>
      <c r="R94" s="77">
        <v>0</v>
      </c>
      <c r="S94" s="77">
        <v>0</v>
      </c>
      <c r="T94" s="77">
        <v>0</v>
      </c>
      <c r="U94" s="77">
        <v>0</v>
      </c>
      <c r="V94" s="77">
        <v>6</v>
      </c>
      <c r="W94" s="82" t="s">
        <v>4905</v>
      </c>
      <c r="X94" s="80" t="str">
        <f>HYPERLINK("https://bit.ly/3PMDefq")</f>
        <v>https://bit.ly/3PMDefq</v>
      </c>
      <c r="Y94" s="77" t="s">
        <v>7063</v>
      </c>
      <c r="Z94" s="77"/>
      <c r="AA94" s="77" t="s">
        <v>7222</v>
      </c>
      <c r="AB94" s="77" t="s">
        <v>8225</v>
      </c>
      <c r="AC94" s="82" t="s">
        <v>8241</v>
      </c>
      <c r="AD94" s="77" t="s">
        <v>8278</v>
      </c>
      <c r="AE94" s="80" t="str">
        <f>HYPERLINK("https://twitter.com/investidoreso/status/1677694734280663040")</f>
        <v>https://twitter.com/investidoreso/status/1677694734280663040</v>
      </c>
      <c r="AF94" s="79">
        <v>45115.626956018517</v>
      </c>
      <c r="AG94" s="85">
        <v>45115</v>
      </c>
      <c r="AH94" s="82" t="s">
        <v>8377</v>
      </c>
      <c r="AI94" s="77" t="b">
        <v>0</v>
      </c>
      <c r="AJ94" s="77"/>
      <c r="AK94" s="77"/>
      <c r="AL94" s="77"/>
      <c r="AM94" s="77"/>
      <c r="AN94" s="77"/>
      <c r="AO94" s="77"/>
      <c r="AP94" s="77"/>
      <c r="AQ94" s="77" t="s">
        <v>12107</v>
      </c>
      <c r="AR94" s="77"/>
      <c r="AS94" s="77"/>
      <c r="AT94" s="77"/>
      <c r="AU94" s="77"/>
      <c r="AV94" s="80" t="str">
        <f>HYPERLINK("https://pbs.twimg.com/media/F0hedzHX0AY4KD4.jpg")</f>
        <v>https://pbs.twimg.com/media/F0hedzHX0AY4KD4.jpg</v>
      </c>
      <c r="AW94" s="82" t="s">
        <v>13197</v>
      </c>
      <c r="AX94" s="82" t="s">
        <v>13197</v>
      </c>
      <c r="AY94" s="77"/>
      <c r="AZ94" s="82" t="s">
        <v>17385</v>
      </c>
      <c r="BA94" s="82" t="s">
        <v>17385</v>
      </c>
      <c r="BB94" s="82" t="s">
        <v>17385</v>
      </c>
      <c r="BC94" s="82" t="s">
        <v>13197</v>
      </c>
      <c r="BD94" s="82" t="s">
        <v>17456</v>
      </c>
      <c r="BE94" s="77"/>
      <c r="BF94" s="77"/>
      <c r="BG94" s="77"/>
      <c r="BH94" s="77"/>
      <c r="BI94" s="77"/>
    </row>
    <row r="95" spans="1:61" x14ac:dyDescent="0.25">
      <c r="A95" s="62" t="s">
        <v>261</v>
      </c>
      <c r="B95" s="62" t="s">
        <v>261</v>
      </c>
      <c r="C95" s="63"/>
      <c r="D95" s="64"/>
      <c r="E95" s="65"/>
      <c r="F95" s="66"/>
      <c r="G95" s="63"/>
      <c r="H95" s="67"/>
      <c r="I95" s="68"/>
      <c r="J95" s="68"/>
      <c r="K95" s="32"/>
      <c r="L95" s="75">
        <v>95</v>
      </c>
      <c r="M95" s="75"/>
      <c r="N95" s="70"/>
      <c r="O95" s="77" t="s">
        <v>179</v>
      </c>
      <c r="P95" s="79">
        <v>45131.517627314817</v>
      </c>
      <c r="Q95" s="77" t="s">
        <v>894</v>
      </c>
      <c r="R95" s="77">
        <v>0</v>
      </c>
      <c r="S95" s="77">
        <v>0</v>
      </c>
      <c r="T95" s="77">
        <v>0</v>
      </c>
      <c r="U95" s="77">
        <v>0</v>
      </c>
      <c r="V95" s="77">
        <v>39</v>
      </c>
      <c r="W95" s="82" t="s">
        <v>4906</v>
      </c>
      <c r="X95" s="80" t="str">
        <f>HYPERLINK("https://bit.ly/3QrAoNB")</f>
        <v>https://bit.ly/3QrAoNB</v>
      </c>
      <c r="Y95" s="77" t="s">
        <v>7063</v>
      </c>
      <c r="Z95" s="77"/>
      <c r="AA95" s="77" t="s">
        <v>7223</v>
      </c>
      <c r="AB95" s="77" t="s">
        <v>8225</v>
      </c>
      <c r="AC95" s="82" t="s">
        <v>8241</v>
      </c>
      <c r="AD95" s="77" t="s">
        <v>8278</v>
      </c>
      <c r="AE95" s="80" t="str">
        <f>HYPERLINK("https://twitter.com/investidoreso/status/1683453322462732288")</f>
        <v>https://twitter.com/investidoreso/status/1683453322462732288</v>
      </c>
      <c r="AF95" s="79">
        <v>45131.517627314817</v>
      </c>
      <c r="AG95" s="85">
        <v>45131</v>
      </c>
      <c r="AH95" s="82" t="s">
        <v>8378</v>
      </c>
      <c r="AI95" s="77" t="b">
        <v>0</v>
      </c>
      <c r="AJ95" s="77"/>
      <c r="AK95" s="77"/>
      <c r="AL95" s="77"/>
      <c r="AM95" s="77"/>
      <c r="AN95" s="77"/>
      <c r="AO95" s="77"/>
      <c r="AP95" s="77"/>
      <c r="AQ95" s="77" t="s">
        <v>12108</v>
      </c>
      <c r="AR95" s="77"/>
      <c r="AS95" s="77"/>
      <c r="AT95" s="77"/>
      <c r="AU95" s="77"/>
      <c r="AV95" s="80" t="str">
        <f>HYPERLINK("https://pbs.twimg.com/media/F1zT3wpXwAAYk4-.jpg")</f>
        <v>https://pbs.twimg.com/media/F1zT3wpXwAAYk4-.jpg</v>
      </c>
      <c r="AW95" s="82" t="s">
        <v>13198</v>
      </c>
      <c r="AX95" s="82" t="s">
        <v>13198</v>
      </c>
      <c r="AY95" s="77"/>
      <c r="AZ95" s="82" t="s">
        <v>17385</v>
      </c>
      <c r="BA95" s="82" t="s">
        <v>17385</v>
      </c>
      <c r="BB95" s="82" t="s">
        <v>17385</v>
      </c>
      <c r="BC95" s="82" t="s">
        <v>13198</v>
      </c>
      <c r="BD95" s="82" t="s">
        <v>17456</v>
      </c>
      <c r="BE95" s="77"/>
      <c r="BF95" s="77"/>
      <c r="BG95" s="77"/>
      <c r="BH95" s="77"/>
      <c r="BI95" s="77"/>
    </row>
    <row r="96" spans="1:61" x14ac:dyDescent="0.25">
      <c r="A96" s="62" t="s">
        <v>261</v>
      </c>
      <c r="B96" s="62" t="s">
        <v>261</v>
      </c>
      <c r="C96" s="63"/>
      <c r="D96" s="64"/>
      <c r="E96" s="65"/>
      <c r="F96" s="66"/>
      <c r="G96" s="63"/>
      <c r="H96" s="67"/>
      <c r="I96" s="68"/>
      <c r="J96" s="68"/>
      <c r="K96" s="32"/>
      <c r="L96" s="75">
        <v>96</v>
      </c>
      <c r="M96" s="75"/>
      <c r="N96" s="70"/>
      <c r="O96" s="77" t="s">
        <v>179</v>
      </c>
      <c r="P96" s="79">
        <v>45103.508981481478</v>
      </c>
      <c r="Q96" s="77" t="s">
        <v>895</v>
      </c>
      <c r="R96" s="77">
        <v>0</v>
      </c>
      <c r="S96" s="77">
        <v>0</v>
      </c>
      <c r="T96" s="77">
        <v>0</v>
      </c>
      <c r="U96" s="77">
        <v>0</v>
      </c>
      <c r="V96" s="77">
        <v>85</v>
      </c>
      <c r="W96" s="82" t="s">
        <v>4907</v>
      </c>
      <c r="X96" s="80" t="str">
        <f>HYPERLINK("https://bit.ly/3PwJjg2")</f>
        <v>https://bit.ly/3PwJjg2</v>
      </c>
      <c r="Y96" s="77" t="s">
        <v>7063</v>
      </c>
      <c r="Z96" s="77"/>
      <c r="AA96" s="77" t="s">
        <v>7224</v>
      </c>
      <c r="AB96" s="77" t="s">
        <v>8225</v>
      </c>
      <c r="AC96" s="82" t="s">
        <v>8241</v>
      </c>
      <c r="AD96" s="77" t="s">
        <v>8278</v>
      </c>
      <c r="AE96" s="80" t="str">
        <f>HYPERLINK("https://twitter.com/investidoreso/status/1673303326669131782")</f>
        <v>https://twitter.com/investidoreso/status/1673303326669131782</v>
      </c>
      <c r="AF96" s="79">
        <v>45103.508981481478</v>
      </c>
      <c r="AG96" s="85">
        <v>45103</v>
      </c>
      <c r="AH96" s="82" t="s">
        <v>8379</v>
      </c>
      <c r="AI96" s="77" t="b">
        <v>0</v>
      </c>
      <c r="AJ96" s="77"/>
      <c r="AK96" s="77"/>
      <c r="AL96" s="77"/>
      <c r="AM96" s="77"/>
      <c r="AN96" s="77"/>
      <c r="AO96" s="77"/>
      <c r="AP96" s="77"/>
      <c r="AQ96" s="77" t="s">
        <v>12109</v>
      </c>
      <c r="AR96" s="77"/>
      <c r="AS96" s="77"/>
      <c r="AT96" s="77"/>
      <c r="AU96" s="77"/>
      <c r="AV96" s="80" t="str">
        <f>HYPERLINK("https://pbs.twimg.com/media/FzjEgRyXgAYqv-r.jpg")</f>
        <v>https://pbs.twimg.com/media/FzjEgRyXgAYqv-r.jpg</v>
      </c>
      <c r="AW96" s="82" t="s">
        <v>13199</v>
      </c>
      <c r="AX96" s="82" t="s">
        <v>13199</v>
      </c>
      <c r="AY96" s="77"/>
      <c r="AZ96" s="82" t="s">
        <v>17385</v>
      </c>
      <c r="BA96" s="82" t="s">
        <v>17385</v>
      </c>
      <c r="BB96" s="82" t="s">
        <v>17385</v>
      </c>
      <c r="BC96" s="82" t="s">
        <v>13199</v>
      </c>
      <c r="BD96" s="82" t="s">
        <v>17456</v>
      </c>
      <c r="BE96" s="77"/>
      <c r="BF96" s="77"/>
      <c r="BG96" s="77"/>
      <c r="BH96" s="77"/>
      <c r="BI96" s="77"/>
    </row>
    <row r="97" spans="1:61" x14ac:dyDescent="0.25">
      <c r="A97" s="62" t="s">
        <v>261</v>
      </c>
      <c r="B97" s="62" t="s">
        <v>261</v>
      </c>
      <c r="C97" s="63"/>
      <c r="D97" s="64"/>
      <c r="E97" s="65"/>
      <c r="F97" s="66"/>
      <c r="G97" s="63"/>
      <c r="H97" s="67"/>
      <c r="I97" s="68"/>
      <c r="J97" s="68"/>
      <c r="K97" s="32"/>
      <c r="L97" s="75">
        <v>97</v>
      </c>
      <c r="M97" s="75"/>
      <c r="N97" s="70"/>
      <c r="O97" s="77" t="s">
        <v>179</v>
      </c>
      <c r="P97" s="79">
        <v>45101.693749999999</v>
      </c>
      <c r="Q97" s="77" t="s">
        <v>896</v>
      </c>
      <c r="R97" s="77">
        <v>0</v>
      </c>
      <c r="S97" s="77">
        <v>0</v>
      </c>
      <c r="T97" s="77">
        <v>0</v>
      </c>
      <c r="U97" s="77">
        <v>0</v>
      </c>
      <c r="V97" s="77">
        <v>17</v>
      </c>
      <c r="W97" s="82" t="s">
        <v>4908</v>
      </c>
      <c r="X97" s="80" t="str">
        <f>HYPERLINK("https://bit.ly/43XXrDx")</f>
        <v>https://bit.ly/43XXrDx</v>
      </c>
      <c r="Y97" s="77" t="s">
        <v>7063</v>
      </c>
      <c r="Z97" s="77"/>
      <c r="AA97" s="77" t="s">
        <v>7225</v>
      </c>
      <c r="AB97" s="77" t="s">
        <v>8225</v>
      </c>
      <c r="AC97" s="82" t="s">
        <v>8241</v>
      </c>
      <c r="AD97" s="77" t="s">
        <v>8278</v>
      </c>
      <c r="AE97" s="80" t="str">
        <f>HYPERLINK("https://twitter.com/investidoreso/status/1672645508320329728")</f>
        <v>https://twitter.com/investidoreso/status/1672645508320329728</v>
      </c>
      <c r="AF97" s="79">
        <v>45101.693749999999</v>
      </c>
      <c r="AG97" s="85">
        <v>45101</v>
      </c>
      <c r="AH97" s="82" t="s">
        <v>8380</v>
      </c>
      <c r="AI97" s="77" t="b">
        <v>0</v>
      </c>
      <c r="AJ97" s="77"/>
      <c r="AK97" s="77"/>
      <c r="AL97" s="77"/>
      <c r="AM97" s="77"/>
      <c r="AN97" s="77"/>
      <c r="AO97" s="77"/>
      <c r="AP97" s="77"/>
      <c r="AQ97" s="77" t="s">
        <v>12110</v>
      </c>
      <c r="AR97" s="77"/>
      <c r="AS97" s="77"/>
      <c r="AT97" s="77"/>
      <c r="AU97" s="77"/>
      <c r="AV97" s="80" t="str">
        <f>HYPERLINK("https://pbs.twimg.com/media/FzZk1_-XgAQcuzg.jpg")</f>
        <v>https://pbs.twimg.com/media/FzZk1_-XgAQcuzg.jpg</v>
      </c>
      <c r="AW97" s="82" t="s">
        <v>13200</v>
      </c>
      <c r="AX97" s="82" t="s">
        <v>13200</v>
      </c>
      <c r="AY97" s="77"/>
      <c r="AZ97" s="82" t="s">
        <v>17385</v>
      </c>
      <c r="BA97" s="82" t="s">
        <v>17385</v>
      </c>
      <c r="BB97" s="82" t="s">
        <v>17385</v>
      </c>
      <c r="BC97" s="82" t="s">
        <v>13200</v>
      </c>
      <c r="BD97" s="82" t="s">
        <v>17456</v>
      </c>
      <c r="BE97" s="77"/>
      <c r="BF97" s="77"/>
      <c r="BG97" s="77"/>
      <c r="BH97" s="77"/>
      <c r="BI97" s="77"/>
    </row>
    <row r="98" spans="1:61" x14ac:dyDescent="0.25">
      <c r="A98" s="62" t="s">
        <v>261</v>
      </c>
      <c r="B98" s="62" t="s">
        <v>261</v>
      </c>
      <c r="C98" s="63"/>
      <c r="D98" s="64"/>
      <c r="E98" s="65"/>
      <c r="F98" s="66"/>
      <c r="G98" s="63"/>
      <c r="H98" s="67"/>
      <c r="I98" s="68"/>
      <c r="J98" s="68"/>
      <c r="K98" s="32"/>
      <c r="L98" s="75">
        <v>98</v>
      </c>
      <c r="M98" s="75"/>
      <c r="N98" s="70"/>
      <c r="O98" s="77" t="s">
        <v>179</v>
      </c>
      <c r="P98" s="79">
        <v>45144.802083333336</v>
      </c>
      <c r="Q98" s="77" t="s">
        <v>897</v>
      </c>
      <c r="R98" s="77">
        <v>0</v>
      </c>
      <c r="S98" s="77">
        <v>0</v>
      </c>
      <c r="T98" s="77">
        <v>0</v>
      </c>
      <c r="U98" s="77">
        <v>0</v>
      </c>
      <c r="V98" s="77">
        <v>16</v>
      </c>
      <c r="W98" s="82" t="s">
        <v>4909</v>
      </c>
      <c r="X98" s="80" t="str">
        <f>HYPERLINK("https://bit.ly/44YlYZs")</f>
        <v>https://bit.ly/44YlYZs</v>
      </c>
      <c r="Y98" s="77" t="s">
        <v>7063</v>
      </c>
      <c r="Z98" s="77"/>
      <c r="AA98" s="77" t="s">
        <v>7226</v>
      </c>
      <c r="AB98" s="77" t="s">
        <v>8225</v>
      </c>
      <c r="AC98" s="82" t="s">
        <v>8241</v>
      </c>
      <c r="AD98" s="77" t="s">
        <v>8280</v>
      </c>
      <c r="AE98" s="80" t="str">
        <f>HYPERLINK("https://twitter.com/investidoreso/status/1688267445256028160")</f>
        <v>https://twitter.com/investidoreso/status/1688267445256028160</v>
      </c>
      <c r="AF98" s="79">
        <v>45144.802083333336</v>
      </c>
      <c r="AG98" s="85">
        <v>45144</v>
      </c>
      <c r="AH98" s="82" t="s">
        <v>8381</v>
      </c>
      <c r="AI98" s="77" t="b">
        <v>0</v>
      </c>
      <c r="AJ98" s="77"/>
      <c r="AK98" s="77"/>
      <c r="AL98" s="77"/>
      <c r="AM98" s="77"/>
      <c r="AN98" s="77"/>
      <c r="AO98" s="77"/>
      <c r="AP98" s="77"/>
      <c r="AQ98" s="77" t="s">
        <v>12111</v>
      </c>
      <c r="AR98" s="77"/>
      <c r="AS98" s="77"/>
      <c r="AT98" s="77"/>
      <c r="AU98" s="77"/>
      <c r="AV98" s="80" t="str">
        <f>HYPERLINK("https://pbs.twimg.com/media/F23gkFaWIAAQwkz.jpg")</f>
        <v>https://pbs.twimg.com/media/F23gkFaWIAAQwkz.jpg</v>
      </c>
      <c r="AW98" s="82" t="s">
        <v>13201</v>
      </c>
      <c r="AX98" s="82" t="s">
        <v>13201</v>
      </c>
      <c r="AY98" s="77"/>
      <c r="AZ98" s="82" t="s">
        <v>17385</v>
      </c>
      <c r="BA98" s="82" t="s">
        <v>17385</v>
      </c>
      <c r="BB98" s="82" t="s">
        <v>17385</v>
      </c>
      <c r="BC98" s="82" t="s">
        <v>13201</v>
      </c>
      <c r="BD98" s="82" t="s">
        <v>17456</v>
      </c>
      <c r="BE98" s="77"/>
      <c r="BF98" s="77"/>
      <c r="BG98" s="77"/>
      <c r="BH98" s="77"/>
      <c r="BI98" s="77"/>
    </row>
    <row r="99" spans="1:61" x14ac:dyDescent="0.25">
      <c r="A99" s="62" t="s">
        <v>261</v>
      </c>
      <c r="B99" s="62" t="s">
        <v>261</v>
      </c>
      <c r="C99" s="63"/>
      <c r="D99" s="64"/>
      <c r="E99" s="65"/>
      <c r="F99" s="66"/>
      <c r="G99" s="63"/>
      <c r="H99" s="67"/>
      <c r="I99" s="68"/>
      <c r="J99" s="68"/>
      <c r="K99" s="32"/>
      <c r="L99" s="75">
        <v>99</v>
      </c>
      <c r="M99" s="75"/>
      <c r="N99" s="70"/>
      <c r="O99" s="77" t="s">
        <v>179</v>
      </c>
      <c r="P99" s="79">
        <v>45159.873078703706</v>
      </c>
      <c r="Q99" s="77" t="s">
        <v>898</v>
      </c>
      <c r="R99" s="77">
        <v>0</v>
      </c>
      <c r="S99" s="77">
        <v>0</v>
      </c>
      <c r="T99" s="77">
        <v>0</v>
      </c>
      <c r="U99" s="77">
        <v>0</v>
      </c>
      <c r="V99" s="77">
        <v>44</v>
      </c>
      <c r="W99" s="82" t="s">
        <v>4910</v>
      </c>
      <c r="X99" s="80" t="str">
        <f>HYPERLINK("https://bit.ly/45iehxk")</f>
        <v>https://bit.ly/45iehxk</v>
      </c>
      <c r="Y99" s="77" t="s">
        <v>7063</v>
      </c>
      <c r="Z99" s="77"/>
      <c r="AA99" s="77" t="s">
        <v>7227</v>
      </c>
      <c r="AB99" s="77" t="s">
        <v>8225</v>
      </c>
      <c r="AC99" s="82" t="s">
        <v>8241</v>
      </c>
      <c r="AD99" s="77" t="s">
        <v>8278</v>
      </c>
      <c r="AE99" s="80" t="str">
        <f>HYPERLINK("https://twitter.com/investidoreso/status/1693728992149282817")</f>
        <v>https://twitter.com/investidoreso/status/1693728992149282817</v>
      </c>
      <c r="AF99" s="79">
        <v>45159.873078703706</v>
      </c>
      <c r="AG99" s="85">
        <v>45159</v>
      </c>
      <c r="AH99" s="82" t="s">
        <v>8382</v>
      </c>
      <c r="AI99" s="77" t="b">
        <v>0</v>
      </c>
      <c r="AJ99" s="77"/>
      <c r="AK99" s="77"/>
      <c r="AL99" s="77"/>
      <c r="AM99" s="77"/>
      <c r="AN99" s="77"/>
      <c r="AO99" s="77"/>
      <c r="AP99" s="77"/>
      <c r="AQ99" s="77" t="s">
        <v>12112</v>
      </c>
      <c r="AR99" s="77"/>
      <c r="AS99" s="77"/>
      <c r="AT99" s="77"/>
      <c r="AU99" s="77"/>
      <c r="AV99" s="80" t="str">
        <f>HYPERLINK("https://pbs.twimg.com/media/F4FVib9WgAAkOzO.jpg")</f>
        <v>https://pbs.twimg.com/media/F4FVib9WgAAkOzO.jpg</v>
      </c>
      <c r="AW99" s="82" t="s">
        <v>13202</v>
      </c>
      <c r="AX99" s="82" t="s">
        <v>13202</v>
      </c>
      <c r="AY99" s="77"/>
      <c r="AZ99" s="82" t="s">
        <v>17385</v>
      </c>
      <c r="BA99" s="82" t="s">
        <v>17385</v>
      </c>
      <c r="BB99" s="82" t="s">
        <v>17385</v>
      </c>
      <c r="BC99" s="82" t="s">
        <v>13202</v>
      </c>
      <c r="BD99" s="82" t="s">
        <v>17456</v>
      </c>
      <c r="BE99" s="77"/>
      <c r="BF99" s="77"/>
      <c r="BG99" s="77"/>
      <c r="BH99" s="77"/>
      <c r="BI99" s="77"/>
    </row>
    <row r="100" spans="1:61" x14ac:dyDescent="0.25">
      <c r="A100" s="62" t="s">
        <v>261</v>
      </c>
      <c r="B100" s="62" t="s">
        <v>261</v>
      </c>
      <c r="C100" s="63"/>
      <c r="D100" s="64"/>
      <c r="E100" s="65"/>
      <c r="F100" s="66"/>
      <c r="G100" s="63"/>
      <c r="H100" s="67"/>
      <c r="I100" s="68"/>
      <c r="J100" s="68"/>
      <c r="K100" s="32"/>
      <c r="L100" s="75">
        <v>100</v>
      </c>
      <c r="M100" s="75"/>
      <c r="N100" s="70"/>
      <c r="O100" s="77" t="s">
        <v>179</v>
      </c>
      <c r="P100" s="79">
        <v>45174.446527777778</v>
      </c>
      <c r="Q100" s="77" t="s">
        <v>899</v>
      </c>
      <c r="R100" s="77">
        <v>0</v>
      </c>
      <c r="S100" s="77">
        <v>0</v>
      </c>
      <c r="T100" s="77">
        <v>0</v>
      </c>
      <c r="U100" s="77">
        <v>0</v>
      </c>
      <c r="V100" s="77">
        <v>18</v>
      </c>
      <c r="W100" s="82" t="s">
        <v>4911</v>
      </c>
      <c r="X100" s="80" t="str">
        <f>HYPERLINK("https://bit.ly/483Zk43")</f>
        <v>https://bit.ly/483Zk43</v>
      </c>
      <c r="Y100" s="77" t="s">
        <v>7063</v>
      </c>
      <c r="Z100" s="77"/>
      <c r="AA100" s="77" t="s">
        <v>7228</v>
      </c>
      <c r="AB100" s="77" t="s">
        <v>8225</v>
      </c>
      <c r="AC100" s="82" t="s">
        <v>8241</v>
      </c>
      <c r="AD100" s="77" t="s">
        <v>8278</v>
      </c>
      <c r="AE100" s="80" t="str">
        <f>HYPERLINK("https://twitter.com/investidoreso/status/1699010232150643166")</f>
        <v>https://twitter.com/investidoreso/status/1699010232150643166</v>
      </c>
      <c r="AF100" s="79">
        <v>45174.446527777778</v>
      </c>
      <c r="AG100" s="85">
        <v>45174</v>
      </c>
      <c r="AH100" s="82" t="s">
        <v>8383</v>
      </c>
      <c r="AI100" s="77" t="b">
        <v>0</v>
      </c>
      <c r="AJ100" s="77"/>
      <c r="AK100" s="77"/>
      <c r="AL100" s="77"/>
      <c r="AM100" s="77"/>
      <c r="AN100" s="77"/>
      <c r="AO100" s="77"/>
      <c r="AP100" s="77"/>
      <c r="AQ100" s="77" t="s">
        <v>12113</v>
      </c>
      <c r="AR100" s="77"/>
      <c r="AS100" s="77"/>
      <c r="AT100" s="77"/>
      <c r="AU100" s="77"/>
      <c r="AV100" s="80" t="str">
        <f>HYPERLINK("https://pbs.twimg.com/media/F5QLElSXYAAogOb.jpg")</f>
        <v>https://pbs.twimg.com/media/F5QLElSXYAAogOb.jpg</v>
      </c>
      <c r="AW100" s="82" t="s">
        <v>13203</v>
      </c>
      <c r="AX100" s="82" t="s">
        <v>13203</v>
      </c>
      <c r="AY100" s="77"/>
      <c r="AZ100" s="82" t="s">
        <v>17385</v>
      </c>
      <c r="BA100" s="82" t="s">
        <v>17385</v>
      </c>
      <c r="BB100" s="82" t="s">
        <v>17385</v>
      </c>
      <c r="BC100" s="82" t="s">
        <v>13203</v>
      </c>
      <c r="BD100" s="82" t="s">
        <v>17456</v>
      </c>
      <c r="BE100" s="77"/>
      <c r="BF100" s="77"/>
      <c r="BG100" s="77"/>
      <c r="BH100" s="77"/>
      <c r="BI100" s="77"/>
    </row>
    <row r="101" spans="1:61" x14ac:dyDescent="0.25">
      <c r="A101" s="62" t="s">
        <v>261</v>
      </c>
      <c r="B101" s="62" t="s">
        <v>261</v>
      </c>
      <c r="C101" s="63"/>
      <c r="D101" s="64"/>
      <c r="E101" s="65"/>
      <c r="F101" s="66"/>
      <c r="G101" s="63"/>
      <c r="H101" s="67"/>
      <c r="I101" s="68"/>
      <c r="J101" s="68"/>
      <c r="K101" s="32"/>
      <c r="L101" s="75">
        <v>101</v>
      </c>
      <c r="M101" s="75"/>
      <c r="N101" s="70"/>
      <c r="O101" s="77" t="s">
        <v>179</v>
      </c>
      <c r="P101" s="79">
        <v>45090.950092592589</v>
      </c>
      <c r="Q101" s="77" t="s">
        <v>900</v>
      </c>
      <c r="R101" s="77">
        <v>0</v>
      </c>
      <c r="S101" s="77">
        <v>0</v>
      </c>
      <c r="T101" s="77">
        <v>0</v>
      </c>
      <c r="U101" s="77">
        <v>0</v>
      </c>
      <c r="V101" s="77">
        <v>14</v>
      </c>
      <c r="W101" s="82" t="s">
        <v>4912</v>
      </c>
      <c r="X101" s="80" t="str">
        <f>HYPERLINK("https://bit.ly/3KAKvfW")</f>
        <v>https://bit.ly/3KAKvfW</v>
      </c>
      <c r="Y101" s="77" t="s">
        <v>7063</v>
      </c>
      <c r="Z101" s="77"/>
      <c r="AA101" s="77" t="s">
        <v>7229</v>
      </c>
      <c r="AB101" s="77" t="s">
        <v>8225</v>
      </c>
      <c r="AC101" s="82" t="s">
        <v>8241</v>
      </c>
      <c r="AD101" s="77" t="s">
        <v>8278</v>
      </c>
      <c r="AE101" s="80" t="str">
        <f>HYPERLINK("https://twitter.com/investidoreso/status/1668752139898744834")</f>
        <v>https://twitter.com/investidoreso/status/1668752139898744834</v>
      </c>
      <c r="AF101" s="79">
        <v>45090.950092592589</v>
      </c>
      <c r="AG101" s="85">
        <v>45090</v>
      </c>
      <c r="AH101" s="82" t="s">
        <v>8384</v>
      </c>
      <c r="AI101" s="77" t="b">
        <v>0</v>
      </c>
      <c r="AJ101" s="77"/>
      <c r="AK101" s="77"/>
      <c r="AL101" s="77"/>
      <c r="AM101" s="77"/>
      <c r="AN101" s="77"/>
      <c r="AO101" s="77"/>
      <c r="AP101" s="77"/>
      <c r="AQ101" s="77" t="s">
        <v>12114</v>
      </c>
      <c r="AR101" s="77"/>
      <c r="AS101" s="77"/>
      <c r="AT101" s="77"/>
      <c r="AU101" s="77"/>
      <c r="AV101" s="80" t="str">
        <f>HYPERLINK("https://pbs.twimg.com/media/FyiWreNXwAAPCwK.jpg")</f>
        <v>https://pbs.twimg.com/media/FyiWreNXwAAPCwK.jpg</v>
      </c>
      <c r="AW101" s="82" t="s">
        <v>13204</v>
      </c>
      <c r="AX101" s="82" t="s">
        <v>13204</v>
      </c>
      <c r="AY101" s="77"/>
      <c r="AZ101" s="82" t="s">
        <v>17385</v>
      </c>
      <c r="BA101" s="82" t="s">
        <v>17385</v>
      </c>
      <c r="BB101" s="82" t="s">
        <v>17385</v>
      </c>
      <c r="BC101" s="82" t="s">
        <v>13204</v>
      </c>
      <c r="BD101" s="82" t="s">
        <v>17456</v>
      </c>
      <c r="BE101" s="77"/>
      <c r="BF101" s="77"/>
      <c r="BG101" s="77"/>
      <c r="BH101" s="77"/>
      <c r="BI101" s="77"/>
    </row>
    <row r="102" spans="1:61" x14ac:dyDescent="0.25">
      <c r="A102" s="62" t="s">
        <v>261</v>
      </c>
      <c r="B102" s="62" t="s">
        <v>261</v>
      </c>
      <c r="C102" s="63"/>
      <c r="D102" s="64"/>
      <c r="E102" s="65"/>
      <c r="F102" s="66"/>
      <c r="G102" s="63"/>
      <c r="H102" s="67"/>
      <c r="I102" s="68"/>
      <c r="J102" s="68"/>
      <c r="K102" s="32"/>
      <c r="L102" s="75">
        <v>102</v>
      </c>
      <c r="M102" s="75"/>
      <c r="N102" s="70"/>
      <c r="O102" s="77" t="s">
        <v>179</v>
      </c>
      <c r="P102" s="79">
        <v>45193.910011574073</v>
      </c>
      <c r="Q102" s="77" t="s">
        <v>901</v>
      </c>
      <c r="R102" s="77">
        <v>0</v>
      </c>
      <c r="S102" s="77">
        <v>0</v>
      </c>
      <c r="T102" s="77">
        <v>0</v>
      </c>
      <c r="U102" s="77">
        <v>0</v>
      </c>
      <c r="V102" s="77">
        <v>91</v>
      </c>
      <c r="W102" s="82" t="s">
        <v>4913</v>
      </c>
      <c r="X102" s="80" t="str">
        <f>HYPERLINK("https://bit.ly/3Faq0mx")</f>
        <v>https://bit.ly/3Faq0mx</v>
      </c>
      <c r="Y102" s="77" t="s">
        <v>7063</v>
      </c>
      <c r="Z102" s="77"/>
      <c r="AA102" s="77" t="s">
        <v>7230</v>
      </c>
      <c r="AB102" s="77" t="s">
        <v>8225</v>
      </c>
      <c r="AC102" s="82" t="s">
        <v>8241</v>
      </c>
      <c r="AD102" s="77" t="s">
        <v>8278</v>
      </c>
      <c r="AE102" s="80" t="str">
        <f>HYPERLINK("https://twitter.com/investidoreso/status/1706063564757168413")</f>
        <v>https://twitter.com/investidoreso/status/1706063564757168413</v>
      </c>
      <c r="AF102" s="79">
        <v>45193.910011574073</v>
      </c>
      <c r="AG102" s="85">
        <v>45193</v>
      </c>
      <c r="AH102" s="82" t="s">
        <v>8385</v>
      </c>
      <c r="AI102" s="77" t="b">
        <v>0</v>
      </c>
      <c r="AJ102" s="77"/>
      <c r="AK102" s="77"/>
      <c r="AL102" s="77"/>
      <c r="AM102" s="77"/>
      <c r="AN102" s="77"/>
      <c r="AO102" s="77"/>
      <c r="AP102" s="77"/>
      <c r="AQ102" s="77" t="s">
        <v>12115</v>
      </c>
      <c r="AR102" s="77"/>
      <c r="AS102" s="77"/>
      <c r="AT102" s="77"/>
      <c r="AU102" s="77"/>
      <c r="AV102" s="80" t="str">
        <f>HYPERLINK("https://pbs.twimg.com/media/F60nxEWXcAAvV10.jpg")</f>
        <v>https://pbs.twimg.com/media/F60nxEWXcAAvV10.jpg</v>
      </c>
      <c r="AW102" s="82" t="s">
        <v>13205</v>
      </c>
      <c r="AX102" s="82" t="s">
        <v>13205</v>
      </c>
      <c r="AY102" s="77"/>
      <c r="AZ102" s="82" t="s">
        <v>17385</v>
      </c>
      <c r="BA102" s="82" t="s">
        <v>17385</v>
      </c>
      <c r="BB102" s="82" t="s">
        <v>17385</v>
      </c>
      <c r="BC102" s="82" t="s">
        <v>13205</v>
      </c>
      <c r="BD102" s="82" t="s">
        <v>17456</v>
      </c>
      <c r="BE102" s="77"/>
      <c r="BF102" s="77"/>
      <c r="BG102" s="77"/>
      <c r="BH102" s="77"/>
      <c r="BI102" s="77"/>
    </row>
    <row r="103" spans="1:61" x14ac:dyDescent="0.25">
      <c r="A103" s="62" t="s">
        <v>261</v>
      </c>
      <c r="B103" s="62" t="s">
        <v>261</v>
      </c>
      <c r="C103" s="63"/>
      <c r="D103" s="64"/>
      <c r="E103" s="65"/>
      <c r="F103" s="66"/>
      <c r="G103" s="63"/>
      <c r="H103" s="67"/>
      <c r="I103" s="68"/>
      <c r="J103" s="68"/>
      <c r="K103" s="32"/>
      <c r="L103" s="75">
        <v>103</v>
      </c>
      <c r="M103" s="75"/>
      <c r="N103" s="70"/>
      <c r="O103" s="77" t="s">
        <v>179</v>
      </c>
      <c r="P103" s="79">
        <v>45117.511111111111</v>
      </c>
      <c r="Q103" s="77" t="s">
        <v>902</v>
      </c>
      <c r="R103" s="77">
        <v>0</v>
      </c>
      <c r="S103" s="77">
        <v>0</v>
      </c>
      <c r="T103" s="77">
        <v>0</v>
      </c>
      <c r="U103" s="77">
        <v>0</v>
      </c>
      <c r="V103" s="77">
        <v>27</v>
      </c>
      <c r="W103" s="82" t="s">
        <v>4914</v>
      </c>
      <c r="X103" s="80" t="str">
        <f>HYPERLINK("https://bit.ly/43kTyax")</f>
        <v>https://bit.ly/43kTyax</v>
      </c>
      <c r="Y103" s="77" t="s">
        <v>7063</v>
      </c>
      <c r="Z103" s="77"/>
      <c r="AA103" s="77" t="s">
        <v>7231</v>
      </c>
      <c r="AB103" s="77" t="s">
        <v>8225</v>
      </c>
      <c r="AC103" s="82" t="s">
        <v>8241</v>
      </c>
      <c r="AD103" s="77" t="s">
        <v>8278</v>
      </c>
      <c r="AE103" s="80" t="str">
        <f>HYPERLINK("https://twitter.com/investidoreso/status/1678377528145203203")</f>
        <v>https://twitter.com/investidoreso/status/1678377528145203203</v>
      </c>
      <c r="AF103" s="79">
        <v>45117.511111111111</v>
      </c>
      <c r="AG103" s="85">
        <v>45117</v>
      </c>
      <c r="AH103" s="82" t="s">
        <v>8386</v>
      </c>
      <c r="AI103" s="77" t="b">
        <v>0</v>
      </c>
      <c r="AJ103" s="77"/>
      <c r="AK103" s="77"/>
      <c r="AL103" s="77"/>
      <c r="AM103" s="77"/>
      <c r="AN103" s="77"/>
      <c r="AO103" s="77"/>
      <c r="AP103" s="77"/>
      <c r="AQ103" s="77" t="s">
        <v>12116</v>
      </c>
      <c r="AR103" s="77"/>
      <c r="AS103" s="77"/>
      <c r="AT103" s="77"/>
      <c r="AU103" s="77"/>
      <c r="AV103" s="80" t="str">
        <f>HYPERLINK("https://pbs.twimg.com/media/F0q9vIzWwAEKqT2.jpg")</f>
        <v>https://pbs.twimg.com/media/F0q9vIzWwAEKqT2.jpg</v>
      </c>
      <c r="AW103" s="82" t="s">
        <v>13206</v>
      </c>
      <c r="AX103" s="82" t="s">
        <v>13206</v>
      </c>
      <c r="AY103" s="77"/>
      <c r="AZ103" s="82" t="s">
        <v>17385</v>
      </c>
      <c r="BA103" s="82" t="s">
        <v>17385</v>
      </c>
      <c r="BB103" s="82" t="s">
        <v>17385</v>
      </c>
      <c r="BC103" s="82" t="s">
        <v>13206</v>
      </c>
      <c r="BD103" s="82" t="s">
        <v>17456</v>
      </c>
      <c r="BE103" s="77"/>
      <c r="BF103" s="77"/>
      <c r="BG103" s="77"/>
      <c r="BH103" s="77"/>
      <c r="BI103" s="77"/>
    </row>
    <row r="104" spans="1:61" x14ac:dyDescent="0.25">
      <c r="A104" s="62" t="s">
        <v>261</v>
      </c>
      <c r="B104" s="62" t="s">
        <v>261</v>
      </c>
      <c r="C104" s="63"/>
      <c r="D104" s="64"/>
      <c r="E104" s="65"/>
      <c r="F104" s="66"/>
      <c r="G104" s="63"/>
      <c r="H104" s="67"/>
      <c r="I104" s="68"/>
      <c r="J104" s="68"/>
      <c r="K104" s="32"/>
      <c r="L104" s="75">
        <v>104</v>
      </c>
      <c r="M104" s="75"/>
      <c r="N104" s="70"/>
      <c r="O104" s="77" t="s">
        <v>179</v>
      </c>
      <c r="P104" s="79">
        <v>45091.870335648149</v>
      </c>
      <c r="Q104" s="77" t="s">
        <v>903</v>
      </c>
      <c r="R104" s="77">
        <v>0</v>
      </c>
      <c r="S104" s="77">
        <v>0</v>
      </c>
      <c r="T104" s="77">
        <v>0</v>
      </c>
      <c r="U104" s="77">
        <v>0</v>
      </c>
      <c r="V104" s="77">
        <v>33</v>
      </c>
      <c r="W104" s="82" t="s">
        <v>4908</v>
      </c>
      <c r="X104" s="77"/>
      <c r="Y104" s="77"/>
      <c r="Z104" s="77"/>
      <c r="AA104" s="77" t="s">
        <v>7232</v>
      </c>
      <c r="AB104" s="77" t="s">
        <v>8225</v>
      </c>
      <c r="AC104" s="82" t="s">
        <v>8241</v>
      </c>
      <c r="AD104" s="77" t="s">
        <v>8278</v>
      </c>
      <c r="AE104" s="80" t="str">
        <f>HYPERLINK("https://twitter.com/investidoreso/status/1669085625755095045")</f>
        <v>https://twitter.com/investidoreso/status/1669085625755095045</v>
      </c>
      <c r="AF104" s="79">
        <v>45091.870335648149</v>
      </c>
      <c r="AG104" s="85">
        <v>45091</v>
      </c>
      <c r="AH104" s="82" t="s">
        <v>8387</v>
      </c>
      <c r="AI104" s="77" t="b">
        <v>0</v>
      </c>
      <c r="AJ104" s="77"/>
      <c r="AK104" s="77"/>
      <c r="AL104" s="77"/>
      <c r="AM104" s="77"/>
      <c r="AN104" s="77"/>
      <c r="AO104" s="77"/>
      <c r="AP104" s="77"/>
      <c r="AQ104" s="77" t="s">
        <v>12117</v>
      </c>
      <c r="AR104" s="77"/>
      <c r="AS104" s="77"/>
      <c r="AT104" s="77"/>
      <c r="AU104" s="77"/>
      <c r="AV104" s="80" t="str">
        <f>HYPERLINK("https://pbs.twimg.com/media/FynIhwgWIAExK4h.jpg")</f>
        <v>https://pbs.twimg.com/media/FynIhwgWIAExK4h.jpg</v>
      </c>
      <c r="AW104" s="82" t="s">
        <v>13207</v>
      </c>
      <c r="AX104" s="82" t="s">
        <v>13207</v>
      </c>
      <c r="AY104" s="77"/>
      <c r="AZ104" s="82" t="s">
        <v>17385</v>
      </c>
      <c r="BA104" s="82" t="s">
        <v>17385</v>
      </c>
      <c r="BB104" s="82" t="s">
        <v>17385</v>
      </c>
      <c r="BC104" s="82" t="s">
        <v>13207</v>
      </c>
      <c r="BD104" s="82" t="s">
        <v>17456</v>
      </c>
      <c r="BE104" s="77"/>
      <c r="BF104" s="77"/>
      <c r="BG104" s="77"/>
      <c r="BH104" s="77"/>
      <c r="BI104" s="77"/>
    </row>
    <row r="105" spans="1:61" x14ac:dyDescent="0.25">
      <c r="A105" s="62" t="s">
        <v>261</v>
      </c>
      <c r="B105" s="62" t="s">
        <v>261</v>
      </c>
      <c r="C105" s="63"/>
      <c r="D105" s="64"/>
      <c r="E105" s="65"/>
      <c r="F105" s="66"/>
      <c r="G105" s="63"/>
      <c r="H105" s="67"/>
      <c r="I105" s="68"/>
      <c r="J105" s="68"/>
      <c r="K105" s="32"/>
      <c r="L105" s="75">
        <v>105</v>
      </c>
      <c r="M105" s="75"/>
      <c r="N105" s="70"/>
      <c r="O105" s="77" t="s">
        <v>179</v>
      </c>
      <c r="P105" s="79">
        <v>45056.538888888892</v>
      </c>
      <c r="Q105" s="77" t="s">
        <v>904</v>
      </c>
      <c r="R105" s="77">
        <v>0</v>
      </c>
      <c r="S105" s="77">
        <v>0</v>
      </c>
      <c r="T105" s="77">
        <v>0</v>
      </c>
      <c r="U105" s="77">
        <v>0</v>
      </c>
      <c r="V105" s="77">
        <v>53</v>
      </c>
      <c r="W105" s="82" t="s">
        <v>4915</v>
      </c>
      <c r="X105" s="80" t="str">
        <f>HYPERLINK("https://bit.ly/3Mb6p9Q")</f>
        <v>https://bit.ly/3Mb6p9Q</v>
      </c>
      <c r="Y105" s="77" t="s">
        <v>7063</v>
      </c>
      <c r="Z105" s="77"/>
      <c r="AA105" s="77" t="s">
        <v>7233</v>
      </c>
      <c r="AB105" s="77" t="s">
        <v>8225</v>
      </c>
      <c r="AC105" s="82" t="s">
        <v>8241</v>
      </c>
      <c r="AD105" s="77" t="s">
        <v>8278</v>
      </c>
      <c r="AE105" s="80" t="str">
        <f>HYPERLINK("https://twitter.com/investidoreso/status/1656281934710841346")</f>
        <v>https://twitter.com/investidoreso/status/1656281934710841346</v>
      </c>
      <c r="AF105" s="79">
        <v>45056.538888888892</v>
      </c>
      <c r="AG105" s="85">
        <v>45056</v>
      </c>
      <c r="AH105" s="82" t="s">
        <v>8388</v>
      </c>
      <c r="AI105" s="77" t="b">
        <v>0</v>
      </c>
      <c r="AJ105" s="77"/>
      <c r="AK105" s="77"/>
      <c r="AL105" s="77"/>
      <c r="AM105" s="77"/>
      <c r="AN105" s="77"/>
      <c r="AO105" s="77"/>
      <c r="AP105" s="77"/>
      <c r="AQ105" s="77" t="s">
        <v>12118</v>
      </c>
      <c r="AR105" s="77"/>
      <c r="AS105" s="77"/>
      <c r="AT105" s="77"/>
      <c r="AU105" s="77"/>
      <c r="AV105" s="80" t="str">
        <f>HYPERLINK("https://pbs.twimg.com/media/Fvw96VCXoAAutRD.jpg")</f>
        <v>https://pbs.twimg.com/media/Fvw96VCXoAAutRD.jpg</v>
      </c>
      <c r="AW105" s="82" t="s">
        <v>13208</v>
      </c>
      <c r="AX105" s="82" t="s">
        <v>13208</v>
      </c>
      <c r="AY105" s="77"/>
      <c r="AZ105" s="82" t="s">
        <v>17385</v>
      </c>
      <c r="BA105" s="82" t="s">
        <v>17385</v>
      </c>
      <c r="BB105" s="82" t="s">
        <v>17385</v>
      </c>
      <c r="BC105" s="82" t="s">
        <v>13208</v>
      </c>
      <c r="BD105" s="82" t="s">
        <v>17456</v>
      </c>
      <c r="BE105" s="77"/>
      <c r="BF105" s="77"/>
      <c r="BG105" s="77"/>
      <c r="BH105" s="77"/>
      <c r="BI105" s="77"/>
    </row>
    <row r="106" spans="1:61" x14ac:dyDescent="0.25">
      <c r="A106" s="62" t="s">
        <v>262</v>
      </c>
      <c r="B106" s="62" t="s">
        <v>262</v>
      </c>
      <c r="C106" s="63"/>
      <c r="D106" s="64"/>
      <c r="E106" s="65"/>
      <c r="F106" s="66"/>
      <c r="G106" s="63"/>
      <c r="H106" s="67"/>
      <c r="I106" s="68"/>
      <c r="J106" s="68"/>
      <c r="K106" s="32"/>
      <c r="L106" s="75">
        <v>106</v>
      </c>
      <c r="M106" s="75"/>
      <c r="N106" s="70"/>
      <c r="O106" s="77" t="s">
        <v>179</v>
      </c>
      <c r="P106" s="79">
        <v>45113.956956018519</v>
      </c>
      <c r="Q106" s="77" t="s">
        <v>905</v>
      </c>
      <c r="R106" s="77">
        <v>0</v>
      </c>
      <c r="S106" s="77">
        <v>0</v>
      </c>
      <c r="T106" s="77">
        <v>0</v>
      </c>
      <c r="U106" s="77">
        <v>0</v>
      </c>
      <c r="V106" s="77">
        <v>3</v>
      </c>
      <c r="W106" s="82" t="s">
        <v>4916</v>
      </c>
      <c r="X106" s="80" t="str">
        <f>HYPERLINK("https://lnkd.in/dazGN82d")</f>
        <v>https://lnkd.in/dazGN82d</v>
      </c>
      <c r="Y106" s="77" t="s">
        <v>7066</v>
      </c>
      <c r="Z106" s="77"/>
      <c r="AA106" s="77"/>
      <c r="AB106" s="77"/>
      <c r="AC106" s="82" t="s">
        <v>8242</v>
      </c>
      <c r="AD106" s="77" t="s">
        <v>8280</v>
      </c>
      <c r="AE106" s="80" t="str">
        <f>HYPERLINK("https://twitter.com/sergioparrelli/status/1677089546331103232")</f>
        <v>https://twitter.com/sergioparrelli/status/1677089546331103232</v>
      </c>
      <c r="AF106" s="79">
        <v>45113.956956018519</v>
      </c>
      <c r="AG106" s="85">
        <v>45113</v>
      </c>
      <c r="AH106" s="82" t="s">
        <v>8389</v>
      </c>
      <c r="AI106" s="77" t="b">
        <v>0</v>
      </c>
      <c r="AJ106" s="77"/>
      <c r="AK106" s="77"/>
      <c r="AL106" s="77"/>
      <c r="AM106" s="77"/>
      <c r="AN106" s="77"/>
      <c r="AO106" s="77"/>
      <c r="AP106" s="77"/>
      <c r="AQ106" s="77"/>
      <c r="AR106" s="77"/>
      <c r="AS106" s="77"/>
      <c r="AT106" s="77"/>
      <c r="AU106" s="77"/>
      <c r="AV106" s="80" t="str">
        <f>HYPERLINK("https://pbs.twimg.com/profile_images/468022124917948416/xwmfXDjC_normal.jpeg")</f>
        <v>https://pbs.twimg.com/profile_images/468022124917948416/xwmfXDjC_normal.jpeg</v>
      </c>
      <c r="AW106" s="82" t="s">
        <v>13209</v>
      </c>
      <c r="AX106" s="82" t="s">
        <v>13209</v>
      </c>
      <c r="AY106" s="77"/>
      <c r="AZ106" s="82" t="s">
        <v>17385</v>
      </c>
      <c r="BA106" s="82" t="s">
        <v>17385</v>
      </c>
      <c r="BB106" s="82" t="s">
        <v>17385</v>
      </c>
      <c r="BC106" s="82" t="s">
        <v>13209</v>
      </c>
      <c r="BD106" s="77">
        <v>581194935</v>
      </c>
      <c r="BE106" s="77"/>
      <c r="BF106" s="77"/>
      <c r="BG106" s="77"/>
      <c r="BH106" s="77"/>
      <c r="BI106" s="77"/>
    </row>
    <row r="107" spans="1:61" x14ac:dyDescent="0.25">
      <c r="A107" s="62" t="s">
        <v>263</v>
      </c>
      <c r="B107" s="62" t="s">
        <v>263</v>
      </c>
      <c r="C107" s="63"/>
      <c r="D107" s="64"/>
      <c r="E107" s="65"/>
      <c r="F107" s="66"/>
      <c r="G107" s="63"/>
      <c r="H107" s="67"/>
      <c r="I107" s="68"/>
      <c r="J107" s="68"/>
      <c r="K107" s="32"/>
      <c r="L107" s="75">
        <v>107</v>
      </c>
      <c r="M107" s="75"/>
      <c r="N107" s="70"/>
      <c r="O107" s="77" t="s">
        <v>179</v>
      </c>
      <c r="P107" s="79">
        <v>45074.749363425923</v>
      </c>
      <c r="Q107" s="77" t="s">
        <v>906</v>
      </c>
      <c r="R107" s="77">
        <v>1</v>
      </c>
      <c r="S107" s="77">
        <v>2</v>
      </c>
      <c r="T107" s="77">
        <v>0</v>
      </c>
      <c r="U107" s="77">
        <v>0</v>
      </c>
      <c r="V107" s="77">
        <v>83</v>
      </c>
      <c r="W107" s="82" t="s">
        <v>4835</v>
      </c>
      <c r="X107" s="80" t="str">
        <f>HYPERLINK("http://www.quotebr.com/download.php")</f>
        <v>http://www.quotebr.com/download.php</v>
      </c>
      <c r="Y107" s="77" t="s">
        <v>7067</v>
      </c>
      <c r="Z107" s="77"/>
      <c r="AA107" s="77" t="s">
        <v>7234</v>
      </c>
      <c r="AB107" s="77" t="s">
        <v>8225</v>
      </c>
      <c r="AC107" s="82" t="s">
        <v>8232</v>
      </c>
      <c r="AD107" s="77" t="s">
        <v>8278</v>
      </c>
      <c r="AE107" s="80" t="str">
        <f>HYPERLINK("https://twitter.com/wallfigueiredo/status/1662881190854926337")</f>
        <v>https://twitter.com/wallfigueiredo/status/1662881190854926337</v>
      </c>
      <c r="AF107" s="79">
        <v>45074.749363425923</v>
      </c>
      <c r="AG107" s="85">
        <v>45074</v>
      </c>
      <c r="AH107" s="82" t="s">
        <v>8390</v>
      </c>
      <c r="AI107" s="77" t="b">
        <v>0</v>
      </c>
      <c r="AJ107" s="77"/>
      <c r="AK107" s="77"/>
      <c r="AL107" s="77"/>
      <c r="AM107" s="77"/>
      <c r="AN107" s="77"/>
      <c r="AO107" s="77"/>
      <c r="AP107" s="77"/>
      <c r="AQ107" s="77" t="s">
        <v>12119</v>
      </c>
      <c r="AR107" s="77"/>
      <c r="AS107" s="77"/>
      <c r="AT107" s="77"/>
      <c r="AU107" s="77"/>
      <c r="AV107" s="80" t="str">
        <f>HYPERLINK("https://pbs.twimg.com/media/FxO9oE6WwAEZXqh.png")</f>
        <v>https://pbs.twimg.com/media/FxO9oE6WwAEZXqh.png</v>
      </c>
      <c r="AW107" s="82" t="s">
        <v>13210</v>
      </c>
      <c r="AX107" s="82" t="s">
        <v>13210</v>
      </c>
      <c r="AY107" s="77"/>
      <c r="AZ107" s="82" t="s">
        <v>17385</v>
      </c>
      <c r="BA107" s="82" t="s">
        <v>17385</v>
      </c>
      <c r="BB107" s="82" t="s">
        <v>17385</v>
      </c>
      <c r="BC107" s="82" t="s">
        <v>13210</v>
      </c>
      <c r="BD107" s="77">
        <v>86310384</v>
      </c>
      <c r="BE107" s="77"/>
      <c r="BF107" s="77"/>
      <c r="BG107" s="77"/>
      <c r="BH107" s="77"/>
      <c r="BI107" s="77"/>
    </row>
    <row r="108" spans="1:61" x14ac:dyDescent="0.25">
      <c r="A108" s="62" t="s">
        <v>263</v>
      </c>
      <c r="B108" s="62" t="s">
        <v>263</v>
      </c>
      <c r="C108" s="63"/>
      <c r="D108" s="64"/>
      <c r="E108" s="65"/>
      <c r="F108" s="66"/>
      <c r="G108" s="63"/>
      <c r="H108" s="67"/>
      <c r="I108" s="68"/>
      <c r="J108" s="68"/>
      <c r="K108" s="32"/>
      <c r="L108" s="75">
        <v>108</v>
      </c>
      <c r="M108" s="75"/>
      <c r="N108" s="70"/>
      <c r="O108" s="77" t="s">
        <v>179</v>
      </c>
      <c r="P108" s="79">
        <v>45074.748935185184</v>
      </c>
      <c r="Q108" s="77" t="s">
        <v>907</v>
      </c>
      <c r="R108" s="77">
        <v>1</v>
      </c>
      <c r="S108" s="77">
        <v>1</v>
      </c>
      <c r="T108" s="77">
        <v>0</v>
      </c>
      <c r="U108" s="77">
        <v>0</v>
      </c>
      <c r="V108" s="77">
        <v>77</v>
      </c>
      <c r="W108" s="82" t="s">
        <v>4835</v>
      </c>
      <c r="X108" s="80" t="str">
        <f>HYPERLINK("http://www.quotebr.com/download.php")</f>
        <v>http://www.quotebr.com/download.php</v>
      </c>
      <c r="Y108" s="77" t="s">
        <v>7067</v>
      </c>
      <c r="Z108" s="77"/>
      <c r="AA108" s="77" t="s">
        <v>7235</v>
      </c>
      <c r="AB108" s="77" t="s">
        <v>8225</v>
      </c>
      <c r="AC108" s="82" t="s">
        <v>8232</v>
      </c>
      <c r="AD108" s="77" t="s">
        <v>8278</v>
      </c>
      <c r="AE108" s="80" t="str">
        <f>HYPERLINK("https://twitter.com/wallfigueiredo/status/1662881036995264512")</f>
        <v>https://twitter.com/wallfigueiredo/status/1662881036995264512</v>
      </c>
      <c r="AF108" s="79">
        <v>45074.748935185184</v>
      </c>
      <c r="AG108" s="85">
        <v>45074</v>
      </c>
      <c r="AH108" s="82" t="s">
        <v>8391</v>
      </c>
      <c r="AI108" s="77" t="b">
        <v>0</v>
      </c>
      <c r="AJ108" s="77"/>
      <c r="AK108" s="77"/>
      <c r="AL108" s="77"/>
      <c r="AM108" s="77"/>
      <c r="AN108" s="77"/>
      <c r="AO108" s="77"/>
      <c r="AP108" s="77"/>
      <c r="AQ108" s="77" t="s">
        <v>12120</v>
      </c>
      <c r="AR108" s="77"/>
      <c r="AS108" s="77"/>
      <c r="AT108" s="77"/>
      <c r="AU108" s="77"/>
      <c r="AV108" s="80" t="str">
        <f>HYPERLINK("https://pbs.twimg.com/media/FxO9fCjWwAU6y0m.png")</f>
        <v>https://pbs.twimg.com/media/FxO9fCjWwAU6y0m.png</v>
      </c>
      <c r="AW108" s="82" t="s">
        <v>13211</v>
      </c>
      <c r="AX108" s="82" t="s">
        <v>13211</v>
      </c>
      <c r="AY108" s="77"/>
      <c r="AZ108" s="82" t="s">
        <v>17385</v>
      </c>
      <c r="BA108" s="82" t="s">
        <v>17385</v>
      </c>
      <c r="BB108" s="82" t="s">
        <v>17385</v>
      </c>
      <c r="BC108" s="82" t="s">
        <v>13211</v>
      </c>
      <c r="BD108" s="77">
        <v>86310384</v>
      </c>
      <c r="BE108" s="77"/>
      <c r="BF108" s="77"/>
      <c r="BG108" s="77"/>
      <c r="BH108" s="77"/>
      <c r="BI108" s="77"/>
    </row>
    <row r="109" spans="1:61" x14ac:dyDescent="0.25">
      <c r="A109" s="62" t="s">
        <v>263</v>
      </c>
      <c r="B109" s="62" t="s">
        <v>263</v>
      </c>
      <c r="C109" s="63"/>
      <c r="D109" s="64"/>
      <c r="E109" s="65"/>
      <c r="F109" s="66"/>
      <c r="G109" s="63"/>
      <c r="H109" s="67"/>
      <c r="I109" s="68"/>
      <c r="J109" s="68"/>
      <c r="K109" s="32"/>
      <c r="L109" s="75">
        <v>109</v>
      </c>
      <c r="M109" s="75"/>
      <c r="N109" s="70"/>
      <c r="O109" s="77" t="s">
        <v>179</v>
      </c>
      <c r="P109" s="79">
        <v>45074.748483796298</v>
      </c>
      <c r="Q109" s="77" t="s">
        <v>908</v>
      </c>
      <c r="R109" s="77">
        <v>1</v>
      </c>
      <c r="S109" s="77">
        <v>3</v>
      </c>
      <c r="T109" s="77">
        <v>0</v>
      </c>
      <c r="U109" s="77">
        <v>0</v>
      </c>
      <c r="V109" s="77">
        <v>132</v>
      </c>
      <c r="W109" s="82" t="s">
        <v>4835</v>
      </c>
      <c r="X109" s="80" t="str">
        <f>HYPERLINK("http://www.quotebr.com/download.php")</f>
        <v>http://www.quotebr.com/download.php</v>
      </c>
      <c r="Y109" s="77" t="s">
        <v>7067</v>
      </c>
      <c r="Z109" s="77"/>
      <c r="AA109" s="77" t="s">
        <v>7236</v>
      </c>
      <c r="AB109" s="77" t="s">
        <v>8225</v>
      </c>
      <c r="AC109" s="82" t="s">
        <v>8232</v>
      </c>
      <c r="AD109" s="77" t="s">
        <v>8278</v>
      </c>
      <c r="AE109" s="80" t="str">
        <f>HYPERLINK("https://twitter.com/wallfigueiredo/status/1662880872528240644")</f>
        <v>https://twitter.com/wallfigueiredo/status/1662880872528240644</v>
      </c>
      <c r="AF109" s="79">
        <v>45074.748483796298</v>
      </c>
      <c r="AG109" s="85">
        <v>45074</v>
      </c>
      <c r="AH109" s="82" t="s">
        <v>8392</v>
      </c>
      <c r="AI109" s="77" t="b">
        <v>0</v>
      </c>
      <c r="AJ109" s="77"/>
      <c r="AK109" s="77"/>
      <c r="AL109" s="77"/>
      <c r="AM109" s="77"/>
      <c r="AN109" s="77"/>
      <c r="AO109" s="77"/>
      <c r="AP109" s="77"/>
      <c r="AQ109" s="77" t="s">
        <v>12121</v>
      </c>
      <c r="AR109" s="77"/>
      <c r="AS109" s="77"/>
      <c r="AT109" s="77"/>
      <c r="AU109" s="77"/>
      <c r="AV109" s="80" t="str">
        <f>HYPERLINK("https://pbs.twimg.com/media/FxO9VkpWIAMk-05.png")</f>
        <v>https://pbs.twimg.com/media/FxO9VkpWIAMk-05.png</v>
      </c>
      <c r="AW109" s="82" t="s">
        <v>13212</v>
      </c>
      <c r="AX109" s="82" t="s">
        <v>13212</v>
      </c>
      <c r="AY109" s="77"/>
      <c r="AZ109" s="82" t="s">
        <v>17385</v>
      </c>
      <c r="BA109" s="82" t="s">
        <v>17385</v>
      </c>
      <c r="BB109" s="82" t="s">
        <v>17385</v>
      </c>
      <c r="BC109" s="82" t="s">
        <v>13212</v>
      </c>
      <c r="BD109" s="77">
        <v>86310384</v>
      </c>
      <c r="BE109" s="77"/>
      <c r="BF109" s="77"/>
      <c r="BG109" s="77"/>
      <c r="BH109" s="77"/>
      <c r="BI109" s="77"/>
    </row>
    <row r="110" spans="1:61" x14ac:dyDescent="0.25">
      <c r="A110" s="62" t="s">
        <v>263</v>
      </c>
      <c r="B110" s="62" t="s">
        <v>263</v>
      </c>
      <c r="C110" s="63"/>
      <c r="D110" s="64"/>
      <c r="E110" s="65"/>
      <c r="F110" s="66"/>
      <c r="G110" s="63"/>
      <c r="H110" s="67"/>
      <c r="I110" s="68"/>
      <c r="J110" s="68"/>
      <c r="K110" s="32"/>
      <c r="L110" s="75">
        <v>110</v>
      </c>
      <c r="M110" s="75"/>
      <c r="N110" s="70"/>
      <c r="O110" s="77" t="s">
        <v>179</v>
      </c>
      <c r="P110" s="79">
        <v>45074.665034722224</v>
      </c>
      <c r="Q110" s="77" t="s">
        <v>909</v>
      </c>
      <c r="R110" s="77">
        <v>1</v>
      </c>
      <c r="S110" s="77">
        <v>1</v>
      </c>
      <c r="T110" s="77">
        <v>0</v>
      </c>
      <c r="U110" s="77">
        <v>0</v>
      </c>
      <c r="V110" s="77">
        <v>74</v>
      </c>
      <c r="W110" s="82" t="s">
        <v>4835</v>
      </c>
      <c r="X110" s="80" t="str">
        <f>HYPERLINK("http://www.quotebr.com/download.php")</f>
        <v>http://www.quotebr.com/download.php</v>
      </c>
      <c r="Y110" s="77" t="s">
        <v>7067</v>
      </c>
      <c r="Z110" s="77"/>
      <c r="AA110" s="77" t="s">
        <v>7237</v>
      </c>
      <c r="AB110" s="77" t="s">
        <v>8225</v>
      </c>
      <c r="AC110" s="82" t="s">
        <v>8232</v>
      </c>
      <c r="AD110" s="77" t="s">
        <v>8278</v>
      </c>
      <c r="AE110" s="80" t="str">
        <f>HYPERLINK("https://twitter.com/wallfigueiredo/status/1662850629960716288")</f>
        <v>https://twitter.com/wallfigueiredo/status/1662850629960716288</v>
      </c>
      <c r="AF110" s="79">
        <v>45074.665034722224</v>
      </c>
      <c r="AG110" s="85">
        <v>45074</v>
      </c>
      <c r="AH110" s="82" t="s">
        <v>8393</v>
      </c>
      <c r="AI110" s="77" t="b">
        <v>0</v>
      </c>
      <c r="AJ110" s="77"/>
      <c r="AK110" s="77"/>
      <c r="AL110" s="77"/>
      <c r="AM110" s="77"/>
      <c r="AN110" s="77"/>
      <c r="AO110" s="77"/>
      <c r="AP110" s="77"/>
      <c r="AQ110" s="77" t="s">
        <v>12122</v>
      </c>
      <c r="AR110" s="77"/>
      <c r="AS110" s="77"/>
      <c r="AT110" s="77"/>
      <c r="AU110" s="77"/>
      <c r="AV110" s="80" t="str">
        <f>HYPERLINK("https://pbs.twimg.com/media/FxOh1S7WwAgBUUF.png")</f>
        <v>https://pbs.twimg.com/media/FxOh1S7WwAgBUUF.png</v>
      </c>
      <c r="AW110" s="82" t="s">
        <v>13213</v>
      </c>
      <c r="AX110" s="82" t="s">
        <v>13213</v>
      </c>
      <c r="AY110" s="77"/>
      <c r="AZ110" s="82" t="s">
        <v>17385</v>
      </c>
      <c r="BA110" s="82" t="s">
        <v>17385</v>
      </c>
      <c r="BB110" s="82" t="s">
        <v>17385</v>
      </c>
      <c r="BC110" s="82" t="s">
        <v>13213</v>
      </c>
      <c r="BD110" s="77">
        <v>86310384</v>
      </c>
      <c r="BE110" s="77"/>
      <c r="BF110" s="77"/>
      <c r="BG110" s="77"/>
      <c r="BH110" s="77"/>
      <c r="BI110" s="77"/>
    </row>
    <row r="111" spans="1:61" x14ac:dyDescent="0.25">
      <c r="A111" s="62" t="s">
        <v>263</v>
      </c>
      <c r="B111" s="62" t="s">
        <v>263</v>
      </c>
      <c r="C111" s="63"/>
      <c r="D111" s="64"/>
      <c r="E111" s="65"/>
      <c r="F111" s="66"/>
      <c r="G111" s="63"/>
      <c r="H111" s="67"/>
      <c r="I111" s="68"/>
      <c r="J111" s="68"/>
      <c r="K111" s="32"/>
      <c r="L111" s="75">
        <v>111</v>
      </c>
      <c r="M111" s="75"/>
      <c r="N111" s="70"/>
      <c r="O111" s="77" t="s">
        <v>179</v>
      </c>
      <c r="P111" s="79">
        <v>45074.664571759262</v>
      </c>
      <c r="Q111" s="77" t="s">
        <v>910</v>
      </c>
      <c r="R111" s="77">
        <v>1</v>
      </c>
      <c r="S111" s="77">
        <v>1</v>
      </c>
      <c r="T111" s="77">
        <v>0</v>
      </c>
      <c r="U111" s="77">
        <v>0</v>
      </c>
      <c r="V111" s="77">
        <v>67</v>
      </c>
      <c r="W111" s="82" t="s">
        <v>4835</v>
      </c>
      <c r="X111" s="80" t="str">
        <f>HYPERLINK("http://www.quotebr.com/download.php")</f>
        <v>http://www.quotebr.com/download.php</v>
      </c>
      <c r="Y111" s="77" t="s">
        <v>7067</v>
      </c>
      <c r="Z111" s="77"/>
      <c r="AA111" s="77" t="s">
        <v>7238</v>
      </c>
      <c r="AB111" s="77" t="s">
        <v>8225</v>
      </c>
      <c r="AC111" s="82" t="s">
        <v>8232</v>
      </c>
      <c r="AD111" s="77" t="s">
        <v>8278</v>
      </c>
      <c r="AE111" s="80" t="str">
        <f>HYPERLINK("https://twitter.com/wallfigueiredo/status/1662850463971123200")</f>
        <v>https://twitter.com/wallfigueiredo/status/1662850463971123200</v>
      </c>
      <c r="AF111" s="79">
        <v>45074.664571759262</v>
      </c>
      <c r="AG111" s="85">
        <v>45074</v>
      </c>
      <c r="AH111" s="82" t="s">
        <v>8394</v>
      </c>
      <c r="AI111" s="77" t="b">
        <v>0</v>
      </c>
      <c r="AJ111" s="77"/>
      <c r="AK111" s="77"/>
      <c r="AL111" s="77"/>
      <c r="AM111" s="77"/>
      <c r="AN111" s="77"/>
      <c r="AO111" s="77"/>
      <c r="AP111" s="77"/>
      <c r="AQ111" s="77" t="s">
        <v>12123</v>
      </c>
      <c r="AR111" s="77"/>
      <c r="AS111" s="77"/>
      <c r="AT111" s="77"/>
      <c r="AU111" s="77"/>
      <c r="AV111" s="80" t="str">
        <f>HYPERLINK("https://pbs.twimg.com/media/FxOhrnlWwAIlao8.png")</f>
        <v>https://pbs.twimg.com/media/FxOhrnlWwAIlao8.png</v>
      </c>
      <c r="AW111" s="82" t="s">
        <v>13214</v>
      </c>
      <c r="AX111" s="82" t="s">
        <v>13214</v>
      </c>
      <c r="AY111" s="77"/>
      <c r="AZ111" s="82" t="s">
        <v>17385</v>
      </c>
      <c r="BA111" s="82" t="s">
        <v>17385</v>
      </c>
      <c r="BB111" s="82" t="s">
        <v>17385</v>
      </c>
      <c r="BC111" s="82" t="s">
        <v>13214</v>
      </c>
      <c r="BD111" s="77">
        <v>86310384</v>
      </c>
      <c r="BE111" s="77"/>
      <c r="BF111" s="77"/>
      <c r="BG111" s="77"/>
      <c r="BH111" s="77"/>
      <c r="BI111" s="77"/>
    </row>
    <row r="112" spans="1:61" x14ac:dyDescent="0.25">
      <c r="A112" s="62" t="s">
        <v>263</v>
      </c>
      <c r="B112" s="62" t="s">
        <v>263</v>
      </c>
      <c r="C112" s="63"/>
      <c r="D112" s="64"/>
      <c r="E112" s="65"/>
      <c r="F112" s="66"/>
      <c r="G112" s="63"/>
      <c r="H112" s="67"/>
      <c r="I112" s="68"/>
      <c r="J112" s="68"/>
      <c r="K112" s="32"/>
      <c r="L112" s="75">
        <v>112</v>
      </c>
      <c r="M112" s="75"/>
      <c r="N112" s="70"/>
      <c r="O112" s="77" t="s">
        <v>179</v>
      </c>
      <c r="P112" s="79">
        <v>45074.664155092592</v>
      </c>
      <c r="Q112" s="77" t="s">
        <v>911</v>
      </c>
      <c r="R112" s="77">
        <v>1</v>
      </c>
      <c r="S112" s="77">
        <v>1</v>
      </c>
      <c r="T112" s="77">
        <v>0</v>
      </c>
      <c r="U112" s="77">
        <v>0</v>
      </c>
      <c r="V112" s="77">
        <v>75</v>
      </c>
      <c r="W112" s="82" t="s">
        <v>4835</v>
      </c>
      <c r="X112" s="80" t="str">
        <f>HYPERLINK("http://www.quotebr.com/download.php")</f>
        <v>http://www.quotebr.com/download.php</v>
      </c>
      <c r="Y112" s="77" t="s">
        <v>7067</v>
      </c>
      <c r="Z112" s="77"/>
      <c r="AA112" s="77" t="s">
        <v>7239</v>
      </c>
      <c r="AB112" s="77" t="s">
        <v>8225</v>
      </c>
      <c r="AC112" s="82" t="s">
        <v>8232</v>
      </c>
      <c r="AD112" s="77" t="s">
        <v>8278</v>
      </c>
      <c r="AE112" s="80" t="str">
        <f>HYPERLINK("https://twitter.com/wallfigueiredo/status/1662850314314166273")</f>
        <v>https://twitter.com/wallfigueiredo/status/1662850314314166273</v>
      </c>
      <c r="AF112" s="79">
        <v>45074.664155092592</v>
      </c>
      <c r="AG112" s="85">
        <v>45074</v>
      </c>
      <c r="AH112" s="82" t="s">
        <v>8395</v>
      </c>
      <c r="AI112" s="77" t="b">
        <v>0</v>
      </c>
      <c r="AJ112" s="77"/>
      <c r="AK112" s="77"/>
      <c r="AL112" s="77"/>
      <c r="AM112" s="77"/>
      <c r="AN112" s="77"/>
      <c r="AO112" s="77"/>
      <c r="AP112" s="77"/>
      <c r="AQ112" s="77" t="s">
        <v>12124</v>
      </c>
      <c r="AR112" s="77"/>
      <c r="AS112" s="77"/>
      <c r="AT112" s="77"/>
      <c r="AU112" s="77"/>
      <c r="AV112" s="80" t="str">
        <f>HYPERLINK("https://pbs.twimg.com/media/FxOhi2HWAAISHy8.png")</f>
        <v>https://pbs.twimg.com/media/FxOhi2HWAAISHy8.png</v>
      </c>
      <c r="AW112" s="82" t="s">
        <v>13215</v>
      </c>
      <c r="AX112" s="82" t="s">
        <v>13215</v>
      </c>
      <c r="AY112" s="77"/>
      <c r="AZ112" s="82" t="s">
        <v>17385</v>
      </c>
      <c r="BA112" s="82" t="s">
        <v>17385</v>
      </c>
      <c r="BB112" s="82" t="s">
        <v>17385</v>
      </c>
      <c r="BC112" s="82" t="s">
        <v>13215</v>
      </c>
      <c r="BD112" s="77">
        <v>86310384</v>
      </c>
      <c r="BE112" s="77"/>
      <c r="BF112" s="77"/>
      <c r="BG112" s="77"/>
      <c r="BH112" s="77"/>
      <c r="BI112" s="77"/>
    </row>
    <row r="113" spans="1:61" x14ac:dyDescent="0.25">
      <c r="A113" s="62" t="s">
        <v>263</v>
      </c>
      <c r="B113" s="62" t="s">
        <v>263</v>
      </c>
      <c r="C113" s="63"/>
      <c r="D113" s="64"/>
      <c r="E113" s="65"/>
      <c r="F113" s="66"/>
      <c r="G113" s="63"/>
      <c r="H113" s="67"/>
      <c r="I113" s="68"/>
      <c r="J113" s="68"/>
      <c r="K113" s="32"/>
      <c r="L113" s="75">
        <v>113</v>
      </c>
      <c r="M113" s="75"/>
      <c r="N113" s="70"/>
      <c r="O113" s="77" t="s">
        <v>179</v>
      </c>
      <c r="P113" s="79">
        <v>45074.651608796295</v>
      </c>
      <c r="Q113" s="77" t="s">
        <v>912</v>
      </c>
      <c r="R113" s="77">
        <v>1</v>
      </c>
      <c r="S113" s="77">
        <v>1</v>
      </c>
      <c r="T113" s="77">
        <v>0</v>
      </c>
      <c r="U113" s="77">
        <v>0</v>
      </c>
      <c r="V113" s="77">
        <v>77</v>
      </c>
      <c r="W113" s="82" t="s">
        <v>4835</v>
      </c>
      <c r="X113" s="80" t="str">
        <f>HYPERLINK("http://www.quotebr.com/download.php")</f>
        <v>http://www.quotebr.com/download.php</v>
      </c>
      <c r="Y113" s="77" t="s">
        <v>7067</v>
      </c>
      <c r="Z113" s="77"/>
      <c r="AA113" s="77" t="s">
        <v>7240</v>
      </c>
      <c r="AB113" s="77" t="s">
        <v>8225</v>
      </c>
      <c r="AC113" s="82" t="s">
        <v>8232</v>
      </c>
      <c r="AD113" s="77" t="s">
        <v>8278</v>
      </c>
      <c r="AE113" s="80" t="str">
        <f>HYPERLINK("https://twitter.com/wallfigueiredo/status/1662845766614827008")</f>
        <v>https://twitter.com/wallfigueiredo/status/1662845766614827008</v>
      </c>
      <c r="AF113" s="79">
        <v>45074.651608796295</v>
      </c>
      <c r="AG113" s="85">
        <v>45074</v>
      </c>
      <c r="AH113" s="82" t="s">
        <v>8396</v>
      </c>
      <c r="AI113" s="77" t="b">
        <v>0</v>
      </c>
      <c r="AJ113" s="77"/>
      <c r="AK113" s="77"/>
      <c r="AL113" s="77"/>
      <c r="AM113" s="77"/>
      <c r="AN113" s="77"/>
      <c r="AO113" s="77"/>
      <c r="AP113" s="77"/>
      <c r="AQ113" s="77" t="s">
        <v>12125</v>
      </c>
      <c r="AR113" s="77"/>
      <c r="AS113" s="77"/>
      <c r="AT113" s="77"/>
      <c r="AU113" s="77"/>
      <c r="AV113" s="80" t="str">
        <f>HYPERLINK("https://pbs.twimg.com/media/FxOdaR4XgAAWvE_.png")</f>
        <v>https://pbs.twimg.com/media/FxOdaR4XgAAWvE_.png</v>
      </c>
      <c r="AW113" s="82" t="s">
        <v>13216</v>
      </c>
      <c r="AX113" s="82" t="s">
        <v>13216</v>
      </c>
      <c r="AY113" s="77"/>
      <c r="AZ113" s="82" t="s">
        <v>17385</v>
      </c>
      <c r="BA113" s="82" t="s">
        <v>17385</v>
      </c>
      <c r="BB113" s="82" t="s">
        <v>17385</v>
      </c>
      <c r="BC113" s="82" t="s">
        <v>13216</v>
      </c>
      <c r="BD113" s="77">
        <v>86310384</v>
      </c>
      <c r="BE113" s="77"/>
      <c r="BF113" s="77"/>
      <c r="BG113" s="77"/>
      <c r="BH113" s="77"/>
      <c r="BI113" s="77"/>
    </row>
    <row r="114" spans="1:61" x14ac:dyDescent="0.25">
      <c r="A114" s="62" t="s">
        <v>263</v>
      </c>
      <c r="B114" s="62" t="s">
        <v>263</v>
      </c>
      <c r="C114" s="63"/>
      <c r="D114" s="64"/>
      <c r="E114" s="65"/>
      <c r="F114" s="66"/>
      <c r="G114" s="63"/>
      <c r="H114" s="67"/>
      <c r="I114" s="68"/>
      <c r="J114" s="68"/>
      <c r="K114" s="32"/>
      <c r="L114" s="75">
        <v>114</v>
      </c>
      <c r="M114" s="75"/>
      <c r="N114" s="70"/>
      <c r="O114" s="77" t="s">
        <v>179</v>
      </c>
      <c r="P114" s="79">
        <v>45074.650543981479</v>
      </c>
      <c r="Q114" s="77" t="s">
        <v>913</v>
      </c>
      <c r="R114" s="77">
        <v>1</v>
      </c>
      <c r="S114" s="77">
        <v>1</v>
      </c>
      <c r="T114" s="77">
        <v>0</v>
      </c>
      <c r="U114" s="77">
        <v>0</v>
      </c>
      <c r="V114" s="77">
        <v>77</v>
      </c>
      <c r="W114" s="82" t="s">
        <v>4835</v>
      </c>
      <c r="X114" s="80" t="str">
        <f>HYPERLINK("http://www.quotebr.com/download.php")</f>
        <v>http://www.quotebr.com/download.php</v>
      </c>
      <c r="Y114" s="77" t="s">
        <v>7067</v>
      </c>
      <c r="Z114" s="77"/>
      <c r="AA114" s="77" t="s">
        <v>7241</v>
      </c>
      <c r="AB114" s="77" t="s">
        <v>8225</v>
      </c>
      <c r="AC114" s="82" t="s">
        <v>8232</v>
      </c>
      <c r="AD114" s="77" t="s">
        <v>8278</v>
      </c>
      <c r="AE114" s="80" t="str">
        <f>HYPERLINK("https://twitter.com/wallfigueiredo/status/1662845379375759364")</f>
        <v>https://twitter.com/wallfigueiredo/status/1662845379375759364</v>
      </c>
      <c r="AF114" s="79">
        <v>45074.650543981479</v>
      </c>
      <c r="AG114" s="85">
        <v>45074</v>
      </c>
      <c r="AH114" s="82" t="s">
        <v>8397</v>
      </c>
      <c r="AI114" s="77" t="b">
        <v>0</v>
      </c>
      <c r="AJ114" s="77"/>
      <c r="AK114" s="77"/>
      <c r="AL114" s="77"/>
      <c r="AM114" s="77"/>
      <c r="AN114" s="77"/>
      <c r="AO114" s="77"/>
      <c r="AP114" s="77"/>
      <c r="AQ114" s="77" t="s">
        <v>12126</v>
      </c>
      <c r="AR114" s="77"/>
      <c r="AS114" s="77"/>
      <c r="AT114" s="77"/>
      <c r="AU114" s="77"/>
      <c r="AV114" s="80" t="str">
        <f>HYPERLINK("https://pbs.twimg.com/media/FxOdDtmXoActGea.png")</f>
        <v>https://pbs.twimg.com/media/FxOdDtmXoActGea.png</v>
      </c>
      <c r="AW114" s="82" t="s">
        <v>13217</v>
      </c>
      <c r="AX114" s="82" t="s">
        <v>13217</v>
      </c>
      <c r="AY114" s="77"/>
      <c r="AZ114" s="82" t="s">
        <v>17385</v>
      </c>
      <c r="BA114" s="82" t="s">
        <v>17385</v>
      </c>
      <c r="BB114" s="82" t="s">
        <v>17385</v>
      </c>
      <c r="BC114" s="82" t="s">
        <v>13217</v>
      </c>
      <c r="BD114" s="77">
        <v>86310384</v>
      </c>
      <c r="BE114" s="77"/>
      <c r="BF114" s="77"/>
      <c r="BG114" s="77"/>
      <c r="BH114" s="77"/>
      <c r="BI114" s="77"/>
    </row>
    <row r="115" spans="1:61" x14ac:dyDescent="0.25">
      <c r="A115" s="62" t="s">
        <v>263</v>
      </c>
      <c r="B115" s="62" t="s">
        <v>263</v>
      </c>
      <c r="C115" s="63"/>
      <c r="D115" s="64"/>
      <c r="E115" s="65"/>
      <c r="F115" s="66"/>
      <c r="G115" s="63"/>
      <c r="H115" s="67"/>
      <c r="I115" s="68"/>
      <c r="J115" s="68"/>
      <c r="K115" s="32"/>
      <c r="L115" s="75">
        <v>115</v>
      </c>
      <c r="M115" s="75"/>
      <c r="N115" s="70"/>
      <c r="O115" s="77" t="s">
        <v>179</v>
      </c>
      <c r="P115" s="79">
        <v>45157.769467592596</v>
      </c>
      <c r="Q115" s="77" t="s">
        <v>914</v>
      </c>
      <c r="R115" s="77">
        <v>1</v>
      </c>
      <c r="S115" s="77">
        <v>2</v>
      </c>
      <c r="T115" s="77">
        <v>0</v>
      </c>
      <c r="U115" s="77">
        <v>0</v>
      </c>
      <c r="V115" s="77">
        <v>117</v>
      </c>
      <c r="W115" s="82" t="s">
        <v>4835</v>
      </c>
      <c r="X115" s="80" t="str">
        <f>HYPERLINK("http://www.quotebr.com/download.php")</f>
        <v>http://www.quotebr.com/download.php</v>
      </c>
      <c r="Y115" s="77" t="s">
        <v>7067</v>
      </c>
      <c r="Z115" s="77"/>
      <c r="AA115" s="77" t="s">
        <v>7242</v>
      </c>
      <c r="AB115" s="77" t="s">
        <v>8225</v>
      </c>
      <c r="AC115" s="82" t="s">
        <v>8232</v>
      </c>
      <c r="AD115" s="77" t="s">
        <v>8278</v>
      </c>
      <c r="AE115" s="80" t="str">
        <f>HYPERLINK("https://twitter.com/wallfigueiredo/status/1692966668190756923")</f>
        <v>https://twitter.com/wallfigueiredo/status/1692966668190756923</v>
      </c>
      <c r="AF115" s="79">
        <v>45157.769467592596</v>
      </c>
      <c r="AG115" s="85">
        <v>45157</v>
      </c>
      <c r="AH115" s="82" t="s">
        <v>8398</v>
      </c>
      <c r="AI115" s="77" t="b">
        <v>0</v>
      </c>
      <c r="AJ115" s="77"/>
      <c r="AK115" s="77"/>
      <c r="AL115" s="77"/>
      <c r="AM115" s="77"/>
      <c r="AN115" s="77"/>
      <c r="AO115" s="77"/>
      <c r="AP115" s="77"/>
      <c r="AQ115" s="77" t="s">
        <v>12127</v>
      </c>
      <c r="AR115" s="77"/>
      <c r="AS115" s="77"/>
      <c r="AT115" s="77"/>
      <c r="AU115" s="77"/>
      <c r="AV115" s="80" t="str">
        <f>HYPERLINK("https://pbs.twimg.com/media/F36gNIjWkAAo5_e.png")</f>
        <v>https://pbs.twimg.com/media/F36gNIjWkAAo5_e.png</v>
      </c>
      <c r="AW115" s="82" t="s">
        <v>13218</v>
      </c>
      <c r="AX115" s="82" t="s">
        <v>13218</v>
      </c>
      <c r="AY115" s="77"/>
      <c r="AZ115" s="82" t="s">
        <v>17385</v>
      </c>
      <c r="BA115" s="82" t="s">
        <v>17385</v>
      </c>
      <c r="BB115" s="82" t="s">
        <v>17385</v>
      </c>
      <c r="BC115" s="82" t="s">
        <v>13218</v>
      </c>
      <c r="BD115" s="77">
        <v>86310384</v>
      </c>
      <c r="BE115" s="77"/>
      <c r="BF115" s="77"/>
      <c r="BG115" s="77"/>
      <c r="BH115" s="77"/>
      <c r="BI115" s="77"/>
    </row>
    <row r="116" spans="1:61" x14ac:dyDescent="0.25">
      <c r="A116" s="62" t="s">
        <v>263</v>
      </c>
      <c r="B116" s="62" t="s">
        <v>263</v>
      </c>
      <c r="C116" s="63"/>
      <c r="D116" s="64"/>
      <c r="E116" s="65"/>
      <c r="F116" s="66"/>
      <c r="G116" s="63"/>
      <c r="H116" s="67"/>
      <c r="I116" s="68"/>
      <c r="J116" s="68"/>
      <c r="K116" s="32"/>
      <c r="L116" s="75">
        <v>116</v>
      </c>
      <c r="M116" s="75"/>
      <c r="N116" s="70"/>
      <c r="O116" s="77" t="s">
        <v>179</v>
      </c>
      <c r="P116" s="79">
        <v>45157.76425925926</v>
      </c>
      <c r="Q116" s="77" t="s">
        <v>915</v>
      </c>
      <c r="R116" s="77">
        <v>1</v>
      </c>
      <c r="S116" s="77">
        <v>3</v>
      </c>
      <c r="T116" s="77">
        <v>0</v>
      </c>
      <c r="U116" s="77">
        <v>0</v>
      </c>
      <c r="V116" s="77">
        <v>106</v>
      </c>
      <c r="W116" s="82" t="s">
        <v>4835</v>
      </c>
      <c r="X116" s="80" t="str">
        <f>HYPERLINK("http://www.quotebr.com/download.php")</f>
        <v>http://www.quotebr.com/download.php</v>
      </c>
      <c r="Y116" s="77" t="s">
        <v>7067</v>
      </c>
      <c r="Z116" s="77"/>
      <c r="AA116" s="77" t="s">
        <v>7243</v>
      </c>
      <c r="AB116" s="77" t="s">
        <v>8225</v>
      </c>
      <c r="AC116" s="82" t="s">
        <v>8232</v>
      </c>
      <c r="AD116" s="77" t="s">
        <v>8278</v>
      </c>
      <c r="AE116" s="80" t="str">
        <f>HYPERLINK("https://twitter.com/wallfigueiredo/status/1692964780770766892")</f>
        <v>https://twitter.com/wallfigueiredo/status/1692964780770766892</v>
      </c>
      <c r="AF116" s="79">
        <v>45157.76425925926</v>
      </c>
      <c r="AG116" s="85">
        <v>45157</v>
      </c>
      <c r="AH116" s="82" t="s">
        <v>8399</v>
      </c>
      <c r="AI116" s="77" t="b">
        <v>0</v>
      </c>
      <c r="AJ116" s="77"/>
      <c r="AK116" s="77"/>
      <c r="AL116" s="77"/>
      <c r="AM116" s="77"/>
      <c r="AN116" s="77"/>
      <c r="AO116" s="77"/>
      <c r="AP116" s="77"/>
      <c r="AQ116" s="77" t="s">
        <v>12128</v>
      </c>
      <c r="AR116" s="77"/>
      <c r="AS116" s="77"/>
      <c r="AT116" s="77"/>
      <c r="AU116" s="77"/>
      <c r="AV116" s="80" t="str">
        <f>HYPERLINK("https://pbs.twimg.com/media/F36efibX0AAK9ng.png")</f>
        <v>https://pbs.twimg.com/media/F36efibX0AAK9ng.png</v>
      </c>
      <c r="AW116" s="82" t="s">
        <v>13219</v>
      </c>
      <c r="AX116" s="82" t="s">
        <v>13219</v>
      </c>
      <c r="AY116" s="77"/>
      <c r="AZ116" s="82" t="s">
        <v>17385</v>
      </c>
      <c r="BA116" s="82" t="s">
        <v>17385</v>
      </c>
      <c r="BB116" s="82" t="s">
        <v>17385</v>
      </c>
      <c r="BC116" s="82" t="s">
        <v>13219</v>
      </c>
      <c r="BD116" s="77">
        <v>86310384</v>
      </c>
      <c r="BE116" s="77"/>
      <c r="BF116" s="77"/>
      <c r="BG116" s="77"/>
      <c r="BH116" s="77"/>
      <c r="BI116" s="77"/>
    </row>
    <row r="117" spans="1:61" x14ac:dyDescent="0.25">
      <c r="A117" s="62" t="s">
        <v>263</v>
      </c>
      <c r="B117" s="62" t="s">
        <v>263</v>
      </c>
      <c r="C117" s="63"/>
      <c r="D117" s="64"/>
      <c r="E117" s="65"/>
      <c r="F117" s="66"/>
      <c r="G117" s="63"/>
      <c r="H117" s="67"/>
      <c r="I117" s="68"/>
      <c r="J117" s="68"/>
      <c r="K117" s="32"/>
      <c r="L117" s="75">
        <v>117</v>
      </c>
      <c r="M117" s="75"/>
      <c r="N117" s="70"/>
      <c r="O117" s="77" t="s">
        <v>179</v>
      </c>
      <c r="P117" s="79">
        <v>45157.763738425929</v>
      </c>
      <c r="Q117" s="77" t="s">
        <v>916</v>
      </c>
      <c r="R117" s="77">
        <v>1</v>
      </c>
      <c r="S117" s="77">
        <v>3</v>
      </c>
      <c r="T117" s="77">
        <v>0</v>
      </c>
      <c r="U117" s="77">
        <v>0</v>
      </c>
      <c r="V117" s="77">
        <v>103</v>
      </c>
      <c r="W117" s="82" t="s">
        <v>4835</v>
      </c>
      <c r="X117" s="80" t="str">
        <f>HYPERLINK("http://www.quotebr.com/download.php")</f>
        <v>http://www.quotebr.com/download.php</v>
      </c>
      <c r="Y117" s="77" t="s">
        <v>7067</v>
      </c>
      <c r="Z117" s="77"/>
      <c r="AA117" s="77" t="s">
        <v>7244</v>
      </c>
      <c r="AB117" s="77" t="s">
        <v>8225</v>
      </c>
      <c r="AC117" s="82" t="s">
        <v>8232</v>
      </c>
      <c r="AD117" s="77" t="s">
        <v>8278</v>
      </c>
      <c r="AE117" s="80" t="str">
        <f>HYPERLINK("https://twitter.com/wallfigueiredo/status/1692964591641243868")</f>
        <v>https://twitter.com/wallfigueiredo/status/1692964591641243868</v>
      </c>
      <c r="AF117" s="79">
        <v>45157.763738425929</v>
      </c>
      <c r="AG117" s="85">
        <v>45157</v>
      </c>
      <c r="AH117" s="82" t="s">
        <v>8400</v>
      </c>
      <c r="AI117" s="77" t="b">
        <v>0</v>
      </c>
      <c r="AJ117" s="77"/>
      <c r="AK117" s="77"/>
      <c r="AL117" s="77"/>
      <c r="AM117" s="77"/>
      <c r="AN117" s="77"/>
      <c r="AO117" s="77"/>
      <c r="AP117" s="77"/>
      <c r="AQ117" s="77" t="s">
        <v>12129</v>
      </c>
      <c r="AR117" s="77"/>
      <c r="AS117" s="77"/>
      <c r="AT117" s="77"/>
      <c r="AU117" s="77"/>
      <c r="AV117" s="80" t="str">
        <f>HYPERLINK("https://pbs.twimg.com/media/F36eUgQWIAEo03B.png")</f>
        <v>https://pbs.twimg.com/media/F36eUgQWIAEo03B.png</v>
      </c>
      <c r="AW117" s="82" t="s">
        <v>13220</v>
      </c>
      <c r="AX117" s="82" t="s">
        <v>13220</v>
      </c>
      <c r="AY117" s="77"/>
      <c r="AZ117" s="82" t="s">
        <v>17385</v>
      </c>
      <c r="BA117" s="82" t="s">
        <v>17385</v>
      </c>
      <c r="BB117" s="82" t="s">
        <v>17385</v>
      </c>
      <c r="BC117" s="82" t="s">
        <v>13220</v>
      </c>
      <c r="BD117" s="77">
        <v>86310384</v>
      </c>
      <c r="BE117" s="77"/>
      <c r="BF117" s="77"/>
      <c r="BG117" s="77"/>
      <c r="BH117" s="77"/>
      <c r="BI117" s="77"/>
    </row>
    <row r="118" spans="1:61" x14ac:dyDescent="0.25">
      <c r="A118" s="62" t="s">
        <v>263</v>
      </c>
      <c r="B118" s="62" t="s">
        <v>263</v>
      </c>
      <c r="C118" s="63"/>
      <c r="D118" s="64"/>
      <c r="E118" s="65"/>
      <c r="F118" s="66"/>
      <c r="G118" s="63"/>
      <c r="H118" s="67"/>
      <c r="I118" s="68"/>
      <c r="J118" s="68"/>
      <c r="K118" s="32"/>
      <c r="L118" s="75">
        <v>118</v>
      </c>
      <c r="M118" s="75"/>
      <c r="N118" s="70"/>
      <c r="O118" s="77" t="s">
        <v>179</v>
      </c>
      <c r="P118" s="79">
        <v>45087.894097222219</v>
      </c>
      <c r="Q118" s="77" t="s">
        <v>917</v>
      </c>
      <c r="R118" s="77">
        <v>1</v>
      </c>
      <c r="S118" s="77">
        <v>6</v>
      </c>
      <c r="T118" s="77">
        <v>0</v>
      </c>
      <c r="U118" s="77">
        <v>1</v>
      </c>
      <c r="V118" s="77">
        <v>1088</v>
      </c>
      <c r="W118" s="82" t="s">
        <v>4835</v>
      </c>
      <c r="X118" s="80" t="str">
        <f>HYPERLINK("http://www.quotebr.com/download.php")</f>
        <v>http://www.quotebr.com/download.php</v>
      </c>
      <c r="Y118" s="77" t="s">
        <v>7067</v>
      </c>
      <c r="Z118" s="77"/>
      <c r="AA118" s="77" t="s">
        <v>7245</v>
      </c>
      <c r="AB118" s="77" t="s">
        <v>8225</v>
      </c>
      <c r="AC118" s="82" t="s">
        <v>8232</v>
      </c>
      <c r="AD118" s="77" t="s">
        <v>8278</v>
      </c>
      <c r="AE118" s="80" t="str">
        <f>HYPERLINK("https://twitter.com/wallfigueiredo/status/1667644684762578947")</f>
        <v>https://twitter.com/wallfigueiredo/status/1667644684762578947</v>
      </c>
      <c r="AF118" s="79">
        <v>45087.894097222219</v>
      </c>
      <c r="AG118" s="85">
        <v>45087</v>
      </c>
      <c r="AH118" s="82" t="s">
        <v>8401</v>
      </c>
      <c r="AI118" s="77" t="b">
        <v>0</v>
      </c>
      <c r="AJ118" s="77"/>
      <c r="AK118" s="77"/>
      <c r="AL118" s="77"/>
      <c r="AM118" s="77"/>
      <c r="AN118" s="77"/>
      <c r="AO118" s="77"/>
      <c r="AP118" s="77"/>
      <c r="AQ118" s="77" t="s">
        <v>12130</v>
      </c>
      <c r="AR118" s="77"/>
      <c r="AS118" s="77"/>
      <c r="AT118" s="77"/>
      <c r="AU118" s="77"/>
      <c r="AV118" s="80" t="str">
        <f>HYPERLINK("https://pbs.twimg.com/media/FySp_8MWcAUDQOL.png")</f>
        <v>https://pbs.twimg.com/media/FySp_8MWcAUDQOL.png</v>
      </c>
      <c r="AW118" s="82" t="s">
        <v>13221</v>
      </c>
      <c r="AX118" s="82" t="s">
        <v>13221</v>
      </c>
      <c r="AY118" s="77"/>
      <c r="AZ118" s="82" t="s">
        <v>17385</v>
      </c>
      <c r="BA118" s="82" t="s">
        <v>17385</v>
      </c>
      <c r="BB118" s="82" t="s">
        <v>17385</v>
      </c>
      <c r="BC118" s="82" t="s">
        <v>13221</v>
      </c>
      <c r="BD118" s="77">
        <v>86310384</v>
      </c>
      <c r="BE118" s="77"/>
      <c r="BF118" s="77"/>
      <c r="BG118" s="77"/>
      <c r="BH118" s="77"/>
      <c r="BI118" s="77"/>
    </row>
    <row r="119" spans="1:61" x14ac:dyDescent="0.25">
      <c r="A119" s="62" t="s">
        <v>263</v>
      </c>
      <c r="B119" s="62" t="s">
        <v>263</v>
      </c>
      <c r="C119" s="63"/>
      <c r="D119" s="64"/>
      <c r="E119" s="65"/>
      <c r="F119" s="66"/>
      <c r="G119" s="63"/>
      <c r="H119" s="67"/>
      <c r="I119" s="68"/>
      <c r="J119" s="68"/>
      <c r="K119" s="32"/>
      <c r="L119" s="75">
        <v>119</v>
      </c>
      <c r="M119" s="75"/>
      <c r="N119" s="70"/>
      <c r="O119" s="77" t="s">
        <v>179</v>
      </c>
      <c r="P119" s="79">
        <v>45087.893761574072</v>
      </c>
      <c r="Q119" s="77" t="s">
        <v>918</v>
      </c>
      <c r="R119" s="77">
        <v>1</v>
      </c>
      <c r="S119" s="77">
        <v>2</v>
      </c>
      <c r="T119" s="77">
        <v>0</v>
      </c>
      <c r="U119" s="77">
        <v>0</v>
      </c>
      <c r="V119" s="77">
        <v>145</v>
      </c>
      <c r="W119" s="82" t="s">
        <v>4835</v>
      </c>
      <c r="X119" s="80" t="str">
        <f>HYPERLINK("http://www.quotebr.com/download.php")</f>
        <v>http://www.quotebr.com/download.php</v>
      </c>
      <c r="Y119" s="77" t="s">
        <v>7067</v>
      </c>
      <c r="Z119" s="77"/>
      <c r="AA119" s="77" t="s">
        <v>7246</v>
      </c>
      <c r="AB119" s="77" t="s">
        <v>8225</v>
      </c>
      <c r="AC119" s="82" t="s">
        <v>8232</v>
      </c>
      <c r="AD119" s="77" t="s">
        <v>8278</v>
      </c>
      <c r="AE119" s="80" t="str">
        <f>HYPERLINK("https://twitter.com/wallfigueiredo/status/1667644560577634304")</f>
        <v>https://twitter.com/wallfigueiredo/status/1667644560577634304</v>
      </c>
      <c r="AF119" s="79">
        <v>45087.893761574072</v>
      </c>
      <c r="AG119" s="85">
        <v>45087</v>
      </c>
      <c r="AH119" s="82" t="s">
        <v>8402</v>
      </c>
      <c r="AI119" s="77" t="b">
        <v>0</v>
      </c>
      <c r="AJ119" s="77"/>
      <c r="AK119" s="77"/>
      <c r="AL119" s="77"/>
      <c r="AM119" s="77"/>
      <c r="AN119" s="77"/>
      <c r="AO119" s="77"/>
      <c r="AP119" s="77"/>
      <c r="AQ119" s="77" t="s">
        <v>12131</v>
      </c>
      <c r="AR119" s="77"/>
      <c r="AS119" s="77"/>
      <c r="AT119" s="77"/>
      <c r="AU119" s="77"/>
      <c r="AV119" s="80" t="str">
        <f>HYPERLINK("https://pbs.twimg.com/media/FySp4tBX0AEfB3b.png")</f>
        <v>https://pbs.twimg.com/media/FySp4tBX0AEfB3b.png</v>
      </c>
      <c r="AW119" s="82" t="s">
        <v>13222</v>
      </c>
      <c r="AX119" s="82" t="s">
        <v>13222</v>
      </c>
      <c r="AY119" s="77"/>
      <c r="AZ119" s="82" t="s">
        <v>17385</v>
      </c>
      <c r="BA119" s="82" t="s">
        <v>17385</v>
      </c>
      <c r="BB119" s="82" t="s">
        <v>17385</v>
      </c>
      <c r="BC119" s="82" t="s">
        <v>13222</v>
      </c>
      <c r="BD119" s="77">
        <v>86310384</v>
      </c>
      <c r="BE119" s="77"/>
      <c r="BF119" s="77"/>
      <c r="BG119" s="77"/>
      <c r="BH119" s="77"/>
      <c r="BI119" s="77"/>
    </row>
    <row r="120" spans="1:61" x14ac:dyDescent="0.25">
      <c r="A120" s="62" t="s">
        <v>263</v>
      </c>
      <c r="B120" s="62" t="s">
        <v>263</v>
      </c>
      <c r="C120" s="63"/>
      <c r="D120" s="64"/>
      <c r="E120" s="65"/>
      <c r="F120" s="66"/>
      <c r="G120" s="63"/>
      <c r="H120" s="67"/>
      <c r="I120" s="68"/>
      <c r="J120" s="68"/>
      <c r="K120" s="32"/>
      <c r="L120" s="75">
        <v>120</v>
      </c>
      <c r="M120" s="75"/>
      <c r="N120" s="70"/>
      <c r="O120" s="77" t="s">
        <v>179</v>
      </c>
      <c r="P120" s="79">
        <v>45087.892905092594</v>
      </c>
      <c r="Q120" s="77" t="s">
        <v>919</v>
      </c>
      <c r="R120" s="77">
        <v>1</v>
      </c>
      <c r="S120" s="77">
        <v>1</v>
      </c>
      <c r="T120" s="77">
        <v>0</v>
      </c>
      <c r="U120" s="77">
        <v>0</v>
      </c>
      <c r="V120" s="77">
        <v>153</v>
      </c>
      <c r="W120" s="82" t="s">
        <v>4835</v>
      </c>
      <c r="X120" s="80" t="str">
        <f>HYPERLINK("http://www.quotebr.com/download.php")</f>
        <v>http://www.quotebr.com/download.php</v>
      </c>
      <c r="Y120" s="77" t="s">
        <v>7067</v>
      </c>
      <c r="Z120" s="77"/>
      <c r="AA120" s="77" t="s">
        <v>7247</v>
      </c>
      <c r="AB120" s="77" t="s">
        <v>8225</v>
      </c>
      <c r="AC120" s="82" t="s">
        <v>8232</v>
      </c>
      <c r="AD120" s="77" t="s">
        <v>8278</v>
      </c>
      <c r="AE120" s="80" t="str">
        <f>HYPERLINK("https://twitter.com/wallfigueiredo/status/1667644249670819840")</f>
        <v>https://twitter.com/wallfigueiredo/status/1667644249670819840</v>
      </c>
      <c r="AF120" s="79">
        <v>45087.892905092594</v>
      </c>
      <c r="AG120" s="85">
        <v>45087</v>
      </c>
      <c r="AH120" s="82" t="s">
        <v>8403</v>
      </c>
      <c r="AI120" s="77" t="b">
        <v>0</v>
      </c>
      <c r="AJ120" s="77"/>
      <c r="AK120" s="77"/>
      <c r="AL120" s="77"/>
      <c r="AM120" s="77"/>
      <c r="AN120" s="77"/>
      <c r="AO120" s="77"/>
      <c r="AP120" s="77"/>
      <c r="AQ120" s="77" t="s">
        <v>12132</v>
      </c>
      <c r="AR120" s="77"/>
      <c r="AS120" s="77"/>
      <c r="AT120" s="77"/>
      <c r="AU120" s="77"/>
      <c r="AV120" s="80" t="str">
        <f>HYPERLINK("https://pbs.twimg.com/media/FySpmlJXwAYKzgE.png")</f>
        <v>https://pbs.twimg.com/media/FySpmlJXwAYKzgE.png</v>
      </c>
      <c r="AW120" s="82" t="s">
        <v>13223</v>
      </c>
      <c r="AX120" s="82" t="s">
        <v>13223</v>
      </c>
      <c r="AY120" s="77"/>
      <c r="AZ120" s="82" t="s">
        <v>17385</v>
      </c>
      <c r="BA120" s="82" t="s">
        <v>17385</v>
      </c>
      <c r="BB120" s="82" t="s">
        <v>17385</v>
      </c>
      <c r="BC120" s="82" t="s">
        <v>13223</v>
      </c>
      <c r="BD120" s="77">
        <v>86310384</v>
      </c>
      <c r="BE120" s="77"/>
      <c r="BF120" s="77"/>
      <c r="BG120" s="77"/>
      <c r="BH120" s="77"/>
      <c r="BI120" s="77"/>
    </row>
    <row r="121" spans="1:61" x14ac:dyDescent="0.25">
      <c r="A121" s="62" t="s">
        <v>263</v>
      </c>
      <c r="B121" s="62" t="s">
        <v>263</v>
      </c>
      <c r="C121" s="63"/>
      <c r="D121" s="64"/>
      <c r="E121" s="65"/>
      <c r="F121" s="66"/>
      <c r="G121" s="63"/>
      <c r="H121" s="67"/>
      <c r="I121" s="68"/>
      <c r="J121" s="68"/>
      <c r="K121" s="32"/>
      <c r="L121" s="75">
        <v>121</v>
      </c>
      <c r="M121" s="75"/>
      <c r="N121" s="70"/>
      <c r="O121" s="77" t="s">
        <v>179</v>
      </c>
      <c r="P121" s="79">
        <v>45054.873101851852</v>
      </c>
      <c r="Q121" s="77" t="s">
        <v>920</v>
      </c>
      <c r="R121" s="77">
        <v>1</v>
      </c>
      <c r="S121" s="77">
        <v>2</v>
      </c>
      <c r="T121" s="77">
        <v>0</v>
      </c>
      <c r="U121" s="77">
        <v>0</v>
      </c>
      <c r="V121" s="77">
        <v>60</v>
      </c>
      <c r="W121" s="82" t="s">
        <v>4835</v>
      </c>
      <c r="X121" s="80" t="str">
        <f>HYPERLINK("http://www.quotebr.com/download.php")</f>
        <v>http://www.quotebr.com/download.php</v>
      </c>
      <c r="Y121" s="77" t="s">
        <v>7067</v>
      </c>
      <c r="Z121" s="77"/>
      <c r="AA121" s="77" t="s">
        <v>7248</v>
      </c>
      <c r="AB121" s="77" t="s">
        <v>8225</v>
      </c>
      <c r="AC121" s="82" t="s">
        <v>8232</v>
      </c>
      <c r="AD121" s="77" t="s">
        <v>8278</v>
      </c>
      <c r="AE121" s="80" t="str">
        <f>HYPERLINK("https://twitter.com/wallfigueiredo/status/1655678276990320646")</f>
        <v>https://twitter.com/wallfigueiredo/status/1655678276990320646</v>
      </c>
      <c r="AF121" s="79">
        <v>45054.873101851852</v>
      </c>
      <c r="AG121" s="85">
        <v>45054</v>
      </c>
      <c r="AH121" s="82" t="s">
        <v>8404</v>
      </c>
      <c r="AI121" s="77" t="b">
        <v>0</v>
      </c>
      <c r="AJ121" s="77"/>
      <c r="AK121" s="77"/>
      <c r="AL121" s="77"/>
      <c r="AM121" s="77"/>
      <c r="AN121" s="77"/>
      <c r="AO121" s="77"/>
      <c r="AP121" s="77"/>
      <c r="AQ121" s="77" t="s">
        <v>12133</v>
      </c>
      <c r="AR121" s="77"/>
      <c r="AS121" s="77"/>
      <c r="AT121" s="77"/>
      <c r="AU121" s="77"/>
      <c r="AV121" s="80" t="str">
        <f>HYPERLINK("https://pbs.twimg.com/media/FvomnXCXoAI_PIt.png")</f>
        <v>https://pbs.twimg.com/media/FvomnXCXoAI_PIt.png</v>
      </c>
      <c r="AW121" s="82" t="s">
        <v>13224</v>
      </c>
      <c r="AX121" s="82" t="s">
        <v>13224</v>
      </c>
      <c r="AY121" s="77"/>
      <c r="AZ121" s="82" t="s">
        <v>17385</v>
      </c>
      <c r="BA121" s="82" t="s">
        <v>17385</v>
      </c>
      <c r="BB121" s="82" t="s">
        <v>17385</v>
      </c>
      <c r="BC121" s="82" t="s">
        <v>13224</v>
      </c>
      <c r="BD121" s="77">
        <v>86310384</v>
      </c>
      <c r="BE121" s="77"/>
      <c r="BF121" s="77"/>
      <c r="BG121" s="77"/>
      <c r="BH121" s="77"/>
      <c r="BI121" s="77"/>
    </row>
    <row r="122" spans="1:61" x14ac:dyDescent="0.25">
      <c r="A122" s="62" t="s">
        <v>263</v>
      </c>
      <c r="B122" s="62" t="s">
        <v>263</v>
      </c>
      <c r="C122" s="63"/>
      <c r="D122" s="64"/>
      <c r="E122" s="65"/>
      <c r="F122" s="66"/>
      <c r="G122" s="63"/>
      <c r="H122" s="67"/>
      <c r="I122" s="68"/>
      <c r="J122" s="68"/>
      <c r="K122" s="32"/>
      <c r="L122" s="75">
        <v>122</v>
      </c>
      <c r="M122" s="75"/>
      <c r="N122" s="70"/>
      <c r="O122" s="77" t="s">
        <v>179</v>
      </c>
      <c r="P122" s="79">
        <v>45054.872650462959</v>
      </c>
      <c r="Q122" s="77" t="s">
        <v>921</v>
      </c>
      <c r="R122" s="77">
        <v>1</v>
      </c>
      <c r="S122" s="77">
        <v>2</v>
      </c>
      <c r="T122" s="77">
        <v>0</v>
      </c>
      <c r="U122" s="77">
        <v>0</v>
      </c>
      <c r="V122" s="77">
        <v>64</v>
      </c>
      <c r="W122" s="82" t="s">
        <v>4835</v>
      </c>
      <c r="X122" s="80" t="str">
        <f>HYPERLINK("http://www.quotebr.com/download.php")</f>
        <v>http://www.quotebr.com/download.php</v>
      </c>
      <c r="Y122" s="77" t="s">
        <v>7067</v>
      </c>
      <c r="Z122" s="77"/>
      <c r="AA122" s="77" t="s">
        <v>7249</v>
      </c>
      <c r="AB122" s="77" t="s">
        <v>8225</v>
      </c>
      <c r="AC122" s="82" t="s">
        <v>8232</v>
      </c>
      <c r="AD122" s="77" t="s">
        <v>8278</v>
      </c>
      <c r="AE122" s="80" t="str">
        <f>HYPERLINK("https://twitter.com/wallfigueiredo/status/1655678111214698496")</f>
        <v>https://twitter.com/wallfigueiredo/status/1655678111214698496</v>
      </c>
      <c r="AF122" s="79">
        <v>45054.872650462959</v>
      </c>
      <c r="AG122" s="85">
        <v>45054</v>
      </c>
      <c r="AH122" s="82" t="s">
        <v>8405</v>
      </c>
      <c r="AI122" s="77" t="b">
        <v>0</v>
      </c>
      <c r="AJ122" s="77"/>
      <c r="AK122" s="77"/>
      <c r="AL122" s="77"/>
      <c r="AM122" s="77"/>
      <c r="AN122" s="77"/>
      <c r="AO122" s="77"/>
      <c r="AP122" s="77"/>
      <c r="AQ122" s="77" t="s">
        <v>12134</v>
      </c>
      <c r="AR122" s="77"/>
      <c r="AS122" s="77"/>
      <c r="AT122" s="77"/>
      <c r="AU122" s="77"/>
      <c r="AV122" s="80" t="str">
        <f>HYPERLINK("https://pbs.twimg.com/media/FvomdjNXoAAr_CN.png")</f>
        <v>https://pbs.twimg.com/media/FvomdjNXoAAr_CN.png</v>
      </c>
      <c r="AW122" s="82" t="s">
        <v>13225</v>
      </c>
      <c r="AX122" s="82" t="s">
        <v>13225</v>
      </c>
      <c r="AY122" s="77"/>
      <c r="AZ122" s="82" t="s">
        <v>17385</v>
      </c>
      <c r="BA122" s="82" t="s">
        <v>17385</v>
      </c>
      <c r="BB122" s="82" t="s">
        <v>17385</v>
      </c>
      <c r="BC122" s="82" t="s">
        <v>13225</v>
      </c>
      <c r="BD122" s="77">
        <v>86310384</v>
      </c>
      <c r="BE122" s="77"/>
      <c r="BF122" s="77"/>
      <c r="BG122" s="77"/>
      <c r="BH122" s="77"/>
      <c r="BI122" s="77"/>
    </row>
    <row r="123" spans="1:61" x14ac:dyDescent="0.25">
      <c r="A123" s="62" t="s">
        <v>263</v>
      </c>
      <c r="B123" s="62" t="s">
        <v>263</v>
      </c>
      <c r="C123" s="63"/>
      <c r="D123" s="64"/>
      <c r="E123" s="65"/>
      <c r="F123" s="66"/>
      <c r="G123" s="63"/>
      <c r="H123" s="67"/>
      <c r="I123" s="68"/>
      <c r="J123" s="68"/>
      <c r="K123" s="32"/>
      <c r="L123" s="75">
        <v>123</v>
      </c>
      <c r="M123" s="75"/>
      <c r="N123" s="70"/>
      <c r="O123" s="77" t="s">
        <v>179</v>
      </c>
      <c r="P123" s="79">
        <v>45054.85769675926</v>
      </c>
      <c r="Q123" s="77" t="s">
        <v>922</v>
      </c>
      <c r="R123" s="77">
        <v>1</v>
      </c>
      <c r="S123" s="77">
        <v>2</v>
      </c>
      <c r="T123" s="77">
        <v>0</v>
      </c>
      <c r="U123" s="77">
        <v>0</v>
      </c>
      <c r="V123" s="77">
        <v>59</v>
      </c>
      <c r="W123" s="82" t="s">
        <v>4835</v>
      </c>
      <c r="X123" s="80" t="str">
        <f>HYPERLINK("http://www.quotebr.com/download.php")</f>
        <v>http://www.quotebr.com/download.php</v>
      </c>
      <c r="Y123" s="77" t="s">
        <v>7067</v>
      </c>
      <c r="Z123" s="77"/>
      <c r="AA123" s="77" t="s">
        <v>7250</v>
      </c>
      <c r="AB123" s="77" t="s">
        <v>8225</v>
      </c>
      <c r="AC123" s="82" t="s">
        <v>8232</v>
      </c>
      <c r="AD123" s="77" t="s">
        <v>8278</v>
      </c>
      <c r="AE123" s="80" t="str">
        <f>HYPERLINK("https://twitter.com/wallfigueiredo/status/1655672692257726494")</f>
        <v>https://twitter.com/wallfigueiredo/status/1655672692257726494</v>
      </c>
      <c r="AF123" s="79">
        <v>45054.85769675926</v>
      </c>
      <c r="AG123" s="85">
        <v>45054</v>
      </c>
      <c r="AH123" s="82" t="s">
        <v>8406</v>
      </c>
      <c r="AI123" s="77" t="b">
        <v>0</v>
      </c>
      <c r="AJ123" s="77"/>
      <c r="AK123" s="77"/>
      <c r="AL123" s="77"/>
      <c r="AM123" s="77"/>
      <c r="AN123" s="77"/>
      <c r="AO123" s="77"/>
      <c r="AP123" s="77"/>
      <c r="AQ123" s="77" t="s">
        <v>12135</v>
      </c>
      <c r="AR123" s="77"/>
      <c r="AS123" s="77"/>
      <c r="AT123" s="77"/>
      <c r="AU123" s="77"/>
      <c r="AV123" s="80" t="str">
        <f>HYPERLINK("https://pbs.twimg.com/media/FvohiMnWIAw94NX.png")</f>
        <v>https://pbs.twimg.com/media/FvohiMnWIAw94NX.png</v>
      </c>
      <c r="AW123" s="82" t="s">
        <v>13226</v>
      </c>
      <c r="AX123" s="82" t="s">
        <v>13226</v>
      </c>
      <c r="AY123" s="77"/>
      <c r="AZ123" s="82" t="s">
        <v>17385</v>
      </c>
      <c r="BA123" s="82" t="s">
        <v>17385</v>
      </c>
      <c r="BB123" s="82" t="s">
        <v>17385</v>
      </c>
      <c r="BC123" s="82" t="s">
        <v>13226</v>
      </c>
      <c r="BD123" s="77">
        <v>86310384</v>
      </c>
      <c r="BE123" s="77"/>
      <c r="BF123" s="77"/>
      <c r="BG123" s="77"/>
      <c r="BH123" s="77"/>
      <c r="BI123" s="77"/>
    </row>
    <row r="124" spans="1:61" x14ac:dyDescent="0.25">
      <c r="A124" s="62" t="s">
        <v>263</v>
      </c>
      <c r="B124" s="62" t="s">
        <v>263</v>
      </c>
      <c r="C124" s="63"/>
      <c r="D124" s="64"/>
      <c r="E124" s="65"/>
      <c r="F124" s="66"/>
      <c r="G124" s="63"/>
      <c r="H124" s="67"/>
      <c r="I124" s="68"/>
      <c r="J124" s="68"/>
      <c r="K124" s="32"/>
      <c r="L124" s="75">
        <v>124</v>
      </c>
      <c r="M124" s="75"/>
      <c r="N124" s="70"/>
      <c r="O124" s="77" t="s">
        <v>179</v>
      </c>
      <c r="P124" s="79">
        <v>45054.857222222221</v>
      </c>
      <c r="Q124" s="77" t="s">
        <v>923</v>
      </c>
      <c r="R124" s="77">
        <v>1</v>
      </c>
      <c r="S124" s="77">
        <v>2</v>
      </c>
      <c r="T124" s="77">
        <v>0</v>
      </c>
      <c r="U124" s="77">
        <v>0</v>
      </c>
      <c r="V124" s="77">
        <v>54</v>
      </c>
      <c r="W124" s="82" t="s">
        <v>4835</v>
      </c>
      <c r="X124" s="80" t="str">
        <f>HYPERLINK("http://www.quotebr.com/download.php")</f>
        <v>http://www.quotebr.com/download.php</v>
      </c>
      <c r="Y124" s="77" t="s">
        <v>7067</v>
      </c>
      <c r="Z124" s="77"/>
      <c r="AA124" s="77" t="s">
        <v>7251</v>
      </c>
      <c r="AB124" s="77" t="s">
        <v>8225</v>
      </c>
      <c r="AC124" s="82" t="s">
        <v>8232</v>
      </c>
      <c r="AD124" s="77" t="s">
        <v>8278</v>
      </c>
      <c r="AE124" s="80" t="str">
        <f>HYPERLINK("https://twitter.com/wallfigueiredo/status/1655672519624368146")</f>
        <v>https://twitter.com/wallfigueiredo/status/1655672519624368146</v>
      </c>
      <c r="AF124" s="79">
        <v>45054.857222222221</v>
      </c>
      <c r="AG124" s="85">
        <v>45054</v>
      </c>
      <c r="AH124" s="82" t="s">
        <v>8407</v>
      </c>
      <c r="AI124" s="77" t="b">
        <v>0</v>
      </c>
      <c r="AJ124" s="77"/>
      <c r="AK124" s="77"/>
      <c r="AL124" s="77"/>
      <c r="AM124" s="77"/>
      <c r="AN124" s="77"/>
      <c r="AO124" s="77"/>
      <c r="AP124" s="77"/>
      <c r="AQ124" s="77" t="s">
        <v>12136</v>
      </c>
      <c r="AR124" s="77"/>
      <c r="AS124" s="77"/>
      <c r="AT124" s="77"/>
      <c r="AU124" s="77"/>
      <c r="AV124" s="80" t="str">
        <f>HYPERLINK("https://pbs.twimg.com/media/FvohXhSWYAAdHVk.png")</f>
        <v>https://pbs.twimg.com/media/FvohXhSWYAAdHVk.png</v>
      </c>
      <c r="AW124" s="82" t="s">
        <v>13227</v>
      </c>
      <c r="AX124" s="82" t="s">
        <v>13227</v>
      </c>
      <c r="AY124" s="77"/>
      <c r="AZ124" s="82" t="s">
        <v>17385</v>
      </c>
      <c r="BA124" s="82" t="s">
        <v>17385</v>
      </c>
      <c r="BB124" s="82" t="s">
        <v>17385</v>
      </c>
      <c r="BC124" s="82" t="s">
        <v>13227</v>
      </c>
      <c r="BD124" s="77">
        <v>86310384</v>
      </c>
      <c r="BE124" s="77"/>
      <c r="BF124" s="77"/>
      <c r="BG124" s="77"/>
      <c r="BH124" s="77"/>
      <c r="BI124" s="77"/>
    </row>
    <row r="125" spans="1:61" x14ac:dyDescent="0.25">
      <c r="A125" s="62" t="s">
        <v>263</v>
      </c>
      <c r="B125" s="62" t="s">
        <v>263</v>
      </c>
      <c r="C125" s="63"/>
      <c r="D125" s="64"/>
      <c r="E125" s="65"/>
      <c r="F125" s="66"/>
      <c r="G125" s="63"/>
      <c r="H125" s="67"/>
      <c r="I125" s="68"/>
      <c r="J125" s="68"/>
      <c r="K125" s="32"/>
      <c r="L125" s="75">
        <v>125</v>
      </c>
      <c r="M125" s="75"/>
      <c r="N125" s="70"/>
      <c r="O125" s="77" t="s">
        <v>179</v>
      </c>
      <c r="P125" s="79">
        <v>45054.846851851849</v>
      </c>
      <c r="Q125" s="77" t="s">
        <v>924</v>
      </c>
      <c r="R125" s="77">
        <v>0</v>
      </c>
      <c r="S125" s="77">
        <v>2</v>
      </c>
      <c r="T125" s="77">
        <v>0</v>
      </c>
      <c r="U125" s="77">
        <v>0</v>
      </c>
      <c r="V125" s="77">
        <v>44</v>
      </c>
      <c r="W125" s="82" t="s">
        <v>4835</v>
      </c>
      <c r="X125" s="80" t="str">
        <f>HYPERLINK("http://www.quotebr.com/download.php")</f>
        <v>http://www.quotebr.com/download.php</v>
      </c>
      <c r="Y125" s="77" t="s">
        <v>7067</v>
      </c>
      <c r="Z125" s="77"/>
      <c r="AA125" s="77" t="s">
        <v>7252</v>
      </c>
      <c r="AB125" s="77" t="s">
        <v>8225</v>
      </c>
      <c r="AC125" s="82" t="s">
        <v>8232</v>
      </c>
      <c r="AD125" s="77" t="s">
        <v>8278</v>
      </c>
      <c r="AE125" s="80" t="str">
        <f>HYPERLINK("https://twitter.com/wallfigueiredo/status/1655668760739454984")</f>
        <v>https://twitter.com/wallfigueiredo/status/1655668760739454984</v>
      </c>
      <c r="AF125" s="79">
        <v>45054.846851851849</v>
      </c>
      <c r="AG125" s="85">
        <v>45054</v>
      </c>
      <c r="AH125" s="82" t="s">
        <v>8408</v>
      </c>
      <c r="AI125" s="77" t="b">
        <v>0</v>
      </c>
      <c r="AJ125" s="77"/>
      <c r="AK125" s="77"/>
      <c r="AL125" s="77"/>
      <c r="AM125" s="77"/>
      <c r="AN125" s="77"/>
      <c r="AO125" s="77"/>
      <c r="AP125" s="77"/>
      <c r="AQ125" s="77" t="s">
        <v>12137</v>
      </c>
      <c r="AR125" s="77"/>
      <c r="AS125" s="77"/>
      <c r="AT125" s="77"/>
      <c r="AU125" s="77"/>
      <c r="AV125" s="80" t="str">
        <f>HYPERLINK("https://pbs.twimg.com/media/Fvod9S6WIAsDx1m.png")</f>
        <v>https://pbs.twimg.com/media/Fvod9S6WIAsDx1m.png</v>
      </c>
      <c r="AW125" s="82" t="s">
        <v>13228</v>
      </c>
      <c r="AX125" s="82" t="s">
        <v>13228</v>
      </c>
      <c r="AY125" s="77"/>
      <c r="AZ125" s="82" t="s">
        <v>17385</v>
      </c>
      <c r="BA125" s="82" t="s">
        <v>17385</v>
      </c>
      <c r="BB125" s="82" t="s">
        <v>17385</v>
      </c>
      <c r="BC125" s="82" t="s">
        <v>13228</v>
      </c>
      <c r="BD125" s="77">
        <v>86310384</v>
      </c>
      <c r="BE125" s="77"/>
      <c r="BF125" s="77"/>
      <c r="BG125" s="77"/>
      <c r="BH125" s="77"/>
      <c r="BI125" s="77"/>
    </row>
    <row r="126" spans="1:61" x14ac:dyDescent="0.25">
      <c r="A126" s="62" t="s">
        <v>263</v>
      </c>
      <c r="B126" s="62" t="s">
        <v>263</v>
      </c>
      <c r="C126" s="63"/>
      <c r="D126" s="64"/>
      <c r="E126" s="65"/>
      <c r="F126" s="66"/>
      <c r="G126" s="63"/>
      <c r="H126" s="67"/>
      <c r="I126" s="68"/>
      <c r="J126" s="68"/>
      <c r="K126" s="32"/>
      <c r="L126" s="75">
        <v>126</v>
      </c>
      <c r="M126" s="75"/>
      <c r="N126" s="70"/>
      <c r="O126" s="77" t="s">
        <v>179</v>
      </c>
      <c r="P126" s="79">
        <v>45054.845902777779</v>
      </c>
      <c r="Q126" s="77" t="s">
        <v>925</v>
      </c>
      <c r="R126" s="77">
        <v>0</v>
      </c>
      <c r="S126" s="77">
        <v>1</v>
      </c>
      <c r="T126" s="77">
        <v>0</v>
      </c>
      <c r="U126" s="77">
        <v>0</v>
      </c>
      <c r="V126" s="77">
        <v>43</v>
      </c>
      <c r="W126" s="82" t="s">
        <v>4835</v>
      </c>
      <c r="X126" s="80" t="str">
        <f>HYPERLINK("http://www.quotebr.com/download.php")</f>
        <v>http://www.quotebr.com/download.php</v>
      </c>
      <c r="Y126" s="77" t="s">
        <v>7067</v>
      </c>
      <c r="Z126" s="77"/>
      <c r="AA126" s="77" t="s">
        <v>7253</v>
      </c>
      <c r="AB126" s="77" t="s">
        <v>8225</v>
      </c>
      <c r="AC126" s="82" t="s">
        <v>8232</v>
      </c>
      <c r="AD126" s="77" t="s">
        <v>8278</v>
      </c>
      <c r="AE126" s="80" t="str">
        <f>HYPERLINK("https://twitter.com/wallfigueiredo/status/1655668418111062016")</f>
        <v>https://twitter.com/wallfigueiredo/status/1655668418111062016</v>
      </c>
      <c r="AF126" s="79">
        <v>45054.845902777779</v>
      </c>
      <c r="AG126" s="85">
        <v>45054</v>
      </c>
      <c r="AH126" s="82" t="s">
        <v>8409</v>
      </c>
      <c r="AI126" s="77" t="b">
        <v>0</v>
      </c>
      <c r="AJ126" s="77"/>
      <c r="AK126" s="77"/>
      <c r="AL126" s="77"/>
      <c r="AM126" s="77"/>
      <c r="AN126" s="77"/>
      <c r="AO126" s="77"/>
      <c r="AP126" s="77"/>
      <c r="AQ126" s="77" t="s">
        <v>12138</v>
      </c>
      <c r="AR126" s="77"/>
      <c r="AS126" s="77"/>
      <c r="AT126" s="77"/>
      <c r="AU126" s="77"/>
      <c r="AV126" s="80" t="str">
        <f>HYPERLINK("https://pbs.twimg.com/media/FvodpaDWIAgu1IL.png")</f>
        <v>https://pbs.twimg.com/media/FvodpaDWIAgu1IL.png</v>
      </c>
      <c r="AW126" s="82" t="s">
        <v>13229</v>
      </c>
      <c r="AX126" s="82" t="s">
        <v>13229</v>
      </c>
      <c r="AY126" s="77"/>
      <c r="AZ126" s="82" t="s">
        <v>17385</v>
      </c>
      <c r="BA126" s="82" t="s">
        <v>17385</v>
      </c>
      <c r="BB126" s="82" t="s">
        <v>17385</v>
      </c>
      <c r="BC126" s="82" t="s">
        <v>13229</v>
      </c>
      <c r="BD126" s="77">
        <v>86310384</v>
      </c>
      <c r="BE126" s="77"/>
      <c r="BF126" s="77"/>
      <c r="BG126" s="77"/>
      <c r="BH126" s="77"/>
      <c r="BI126" s="77"/>
    </row>
    <row r="127" spans="1:61" x14ac:dyDescent="0.25">
      <c r="A127" s="62" t="s">
        <v>263</v>
      </c>
      <c r="B127" s="62" t="s">
        <v>263</v>
      </c>
      <c r="C127" s="63"/>
      <c r="D127" s="64"/>
      <c r="E127" s="65"/>
      <c r="F127" s="66"/>
      <c r="G127" s="63"/>
      <c r="H127" s="67"/>
      <c r="I127" s="68"/>
      <c r="J127" s="68"/>
      <c r="K127" s="32"/>
      <c r="L127" s="75">
        <v>127</v>
      </c>
      <c r="M127" s="75"/>
      <c r="N127" s="70"/>
      <c r="O127" s="77" t="s">
        <v>179</v>
      </c>
      <c r="P127" s="79">
        <v>45171.967511574076</v>
      </c>
      <c r="Q127" s="77" t="s">
        <v>926</v>
      </c>
      <c r="R127" s="77">
        <v>1</v>
      </c>
      <c r="S127" s="77">
        <v>1</v>
      </c>
      <c r="T127" s="77">
        <v>0</v>
      </c>
      <c r="U127" s="77">
        <v>0</v>
      </c>
      <c r="V127" s="77">
        <v>60</v>
      </c>
      <c r="W127" s="82" t="s">
        <v>4835</v>
      </c>
      <c r="X127" s="80" t="str">
        <f>HYPERLINK("http://www.quotebr.com/download.php")</f>
        <v>http://www.quotebr.com/download.php</v>
      </c>
      <c r="Y127" s="77" t="s">
        <v>7067</v>
      </c>
      <c r="Z127" s="77"/>
      <c r="AA127" s="77" t="s">
        <v>7254</v>
      </c>
      <c r="AB127" s="77" t="s">
        <v>8225</v>
      </c>
      <c r="AC127" s="82" t="s">
        <v>8232</v>
      </c>
      <c r="AD127" s="77" t="s">
        <v>8278</v>
      </c>
      <c r="AE127" s="80" t="str">
        <f>HYPERLINK("https://twitter.com/wallfigueiredo/status/1698111869511458925")</f>
        <v>https://twitter.com/wallfigueiredo/status/1698111869511458925</v>
      </c>
      <c r="AF127" s="79">
        <v>45171.967511574076</v>
      </c>
      <c r="AG127" s="85">
        <v>45171</v>
      </c>
      <c r="AH127" s="82" t="s">
        <v>8410</v>
      </c>
      <c r="AI127" s="77" t="b">
        <v>0</v>
      </c>
      <c r="AJ127" s="77"/>
      <c r="AK127" s="77"/>
      <c r="AL127" s="77"/>
      <c r="AM127" s="77"/>
      <c r="AN127" s="77"/>
      <c r="AO127" s="77"/>
      <c r="AP127" s="77"/>
      <c r="AQ127" s="77" t="s">
        <v>12139</v>
      </c>
      <c r="AR127" s="77"/>
      <c r="AS127" s="77"/>
      <c r="AT127" s="77"/>
      <c r="AU127" s="77"/>
      <c r="AV127" s="80" t="str">
        <f>HYPERLINK("https://pbs.twimg.com/media/F5DnvapWQAE0u0l.png")</f>
        <v>https://pbs.twimg.com/media/F5DnvapWQAE0u0l.png</v>
      </c>
      <c r="AW127" s="82" t="s">
        <v>13230</v>
      </c>
      <c r="AX127" s="82" t="s">
        <v>13230</v>
      </c>
      <c r="AY127" s="77"/>
      <c r="AZ127" s="82" t="s">
        <v>17385</v>
      </c>
      <c r="BA127" s="82" t="s">
        <v>17385</v>
      </c>
      <c r="BB127" s="82" t="s">
        <v>17385</v>
      </c>
      <c r="BC127" s="82" t="s">
        <v>13230</v>
      </c>
      <c r="BD127" s="77">
        <v>86310384</v>
      </c>
      <c r="BE127" s="77"/>
      <c r="BF127" s="77"/>
      <c r="BG127" s="77"/>
      <c r="BH127" s="77"/>
      <c r="BI127" s="77"/>
    </row>
    <row r="128" spans="1:61" x14ac:dyDescent="0.25">
      <c r="A128" s="62" t="s">
        <v>263</v>
      </c>
      <c r="B128" s="62" t="s">
        <v>263</v>
      </c>
      <c r="C128" s="63"/>
      <c r="D128" s="64"/>
      <c r="E128" s="65"/>
      <c r="F128" s="66"/>
      <c r="G128" s="63"/>
      <c r="H128" s="67"/>
      <c r="I128" s="68"/>
      <c r="J128" s="68"/>
      <c r="K128" s="32"/>
      <c r="L128" s="75">
        <v>128</v>
      </c>
      <c r="M128" s="75"/>
      <c r="N128" s="70"/>
      <c r="O128" s="77" t="s">
        <v>179</v>
      </c>
      <c r="P128" s="79">
        <v>45157.763252314813</v>
      </c>
      <c r="Q128" s="77" t="s">
        <v>927</v>
      </c>
      <c r="R128" s="77">
        <v>1</v>
      </c>
      <c r="S128" s="77">
        <v>2</v>
      </c>
      <c r="T128" s="77">
        <v>0</v>
      </c>
      <c r="U128" s="77">
        <v>0</v>
      </c>
      <c r="V128" s="77">
        <v>85</v>
      </c>
      <c r="W128" s="82" t="s">
        <v>4835</v>
      </c>
      <c r="X128" s="80" t="str">
        <f>HYPERLINK("http://www.quotebr.com/download.php")</f>
        <v>http://www.quotebr.com/download.php</v>
      </c>
      <c r="Y128" s="77" t="s">
        <v>7067</v>
      </c>
      <c r="Z128" s="77"/>
      <c r="AA128" s="77" t="s">
        <v>7255</v>
      </c>
      <c r="AB128" s="77" t="s">
        <v>8225</v>
      </c>
      <c r="AC128" s="82" t="s">
        <v>8232</v>
      </c>
      <c r="AD128" s="77" t="s">
        <v>8278</v>
      </c>
      <c r="AE128" s="80" t="str">
        <f>HYPERLINK("https://twitter.com/wallfigueiredo/status/1692964416881357238")</f>
        <v>https://twitter.com/wallfigueiredo/status/1692964416881357238</v>
      </c>
      <c r="AF128" s="79">
        <v>45157.763252314813</v>
      </c>
      <c r="AG128" s="85">
        <v>45157</v>
      </c>
      <c r="AH128" s="82" t="s">
        <v>8411</v>
      </c>
      <c r="AI128" s="77" t="b">
        <v>0</v>
      </c>
      <c r="AJ128" s="77"/>
      <c r="AK128" s="77"/>
      <c r="AL128" s="77"/>
      <c r="AM128" s="77"/>
      <c r="AN128" s="77"/>
      <c r="AO128" s="77"/>
      <c r="AP128" s="77"/>
      <c r="AQ128" s="77" t="s">
        <v>12140</v>
      </c>
      <c r="AR128" s="77"/>
      <c r="AS128" s="77"/>
      <c r="AT128" s="77"/>
      <c r="AU128" s="77"/>
      <c r="AV128" s="80" t="str">
        <f>HYPERLINK("https://pbs.twimg.com/media/F36eKNgWcAA61gs.png")</f>
        <v>https://pbs.twimg.com/media/F36eKNgWcAA61gs.png</v>
      </c>
      <c r="AW128" s="82" t="s">
        <v>13231</v>
      </c>
      <c r="AX128" s="82" t="s">
        <v>13231</v>
      </c>
      <c r="AY128" s="77"/>
      <c r="AZ128" s="82" t="s">
        <v>17385</v>
      </c>
      <c r="BA128" s="82" t="s">
        <v>17385</v>
      </c>
      <c r="BB128" s="82" t="s">
        <v>17385</v>
      </c>
      <c r="BC128" s="82" t="s">
        <v>13231</v>
      </c>
      <c r="BD128" s="77">
        <v>86310384</v>
      </c>
      <c r="BE128" s="77"/>
      <c r="BF128" s="77"/>
      <c r="BG128" s="77"/>
      <c r="BH128" s="77"/>
      <c r="BI128" s="77"/>
    </row>
    <row r="129" spans="1:61" x14ac:dyDescent="0.25">
      <c r="A129" s="62" t="s">
        <v>263</v>
      </c>
      <c r="B129" s="62" t="s">
        <v>263</v>
      </c>
      <c r="C129" s="63"/>
      <c r="D129" s="64"/>
      <c r="E129" s="65"/>
      <c r="F129" s="66"/>
      <c r="G129" s="63"/>
      <c r="H129" s="67"/>
      <c r="I129" s="68"/>
      <c r="J129" s="68"/>
      <c r="K129" s="32"/>
      <c r="L129" s="75">
        <v>129</v>
      </c>
      <c r="M129" s="75"/>
      <c r="N129" s="70"/>
      <c r="O129" s="77" t="s">
        <v>179</v>
      </c>
      <c r="P129" s="79">
        <v>45157.762997685182</v>
      </c>
      <c r="Q129" s="77" t="s">
        <v>928</v>
      </c>
      <c r="R129" s="77">
        <v>1</v>
      </c>
      <c r="S129" s="77">
        <v>2</v>
      </c>
      <c r="T129" s="77">
        <v>0</v>
      </c>
      <c r="U129" s="77">
        <v>0</v>
      </c>
      <c r="V129" s="77">
        <v>86</v>
      </c>
      <c r="W129" s="82" t="s">
        <v>4835</v>
      </c>
      <c r="X129" s="80" t="str">
        <f>HYPERLINK("http://www.quotebr.com/download.php")</f>
        <v>http://www.quotebr.com/download.php</v>
      </c>
      <c r="Y129" s="77" t="s">
        <v>7067</v>
      </c>
      <c r="Z129" s="77"/>
      <c r="AA129" s="77" t="s">
        <v>7256</v>
      </c>
      <c r="AB129" s="77" t="s">
        <v>8225</v>
      </c>
      <c r="AC129" s="82" t="s">
        <v>8232</v>
      </c>
      <c r="AD129" s="77" t="s">
        <v>8278</v>
      </c>
      <c r="AE129" s="80" t="str">
        <f>HYPERLINK("https://twitter.com/wallfigueiredo/status/1692964325378388291")</f>
        <v>https://twitter.com/wallfigueiredo/status/1692964325378388291</v>
      </c>
      <c r="AF129" s="79">
        <v>45157.762997685182</v>
      </c>
      <c r="AG129" s="85">
        <v>45157</v>
      </c>
      <c r="AH129" s="82" t="s">
        <v>8412</v>
      </c>
      <c r="AI129" s="77" t="b">
        <v>0</v>
      </c>
      <c r="AJ129" s="77"/>
      <c r="AK129" s="77"/>
      <c r="AL129" s="77"/>
      <c r="AM129" s="77"/>
      <c r="AN129" s="77"/>
      <c r="AO129" s="77"/>
      <c r="AP129" s="77"/>
      <c r="AQ129" s="77" t="s">
        <v>12141</v>
      </c>
      <c r="AR129" s="77"/>
      <c r="AS129" s="77"/>
      <c r="AT129" s="77"/>
      <c r="AU129" s="77"/>
      <c r="AV129" s="80" t="str">
        <f>HYPERLINK("https://pbs.twimg.com/media/F36dz1iXYAAo27H.png")</f>
        <v>https://pbs.twimg.com/media/F36dz1iXYAAo27H.png</v>
      </c>
      <c r="AW129" s="82" t="s">
        <v>13232</v>
      </c>
      <c r="AX129" s="82" t="s">
        <v>13232</v>
      </c>
      <c r="AY129" s="77"/>
      <c r="AZ129" s="82" t="s">
        <v>17385</v>
      </c>
      <c r="BA129" s="82" t="s">
        <v>17385</v>
      </c>
      <c r="BB129" s="82" t="s">
        <v>17385</v>
      </c>
      <c r="BC129" s="82" t="s">
        <v>13232</v>
      </c>
      <c r="BD129" s="77">
        <v>86310384</v>
      </c>
      <c r="BE129" s="77"/>
      <c r="BF129" s="77"/>
      <c r="BG129" s="77"/>
      <c r="BH129" s="77"/>
      <c r="BI129" s="77"/>
    </row>
    <row r="130" spans="1:61" x14ac:dyDescent="0.25">
      <c r="A130" s="62" t="s">
        <v>263</v>
      </c>
      <c r="B130" s="62" t="s">
        <v>263</v>
      </c>
      <c r="C130" s="63"/>
      <c r="D130" s="64"/>
      <c r="E130" s="65"/>
      <c r="F130" s="66"/>
      <c r="G130" s="63"/>
      <c r="H130" s="67"/>
      <c r="I130" s="68"/>
      <c r="J130" s="68"/>
      <c r="K130" s="32"/>
      <c r="L130" s="75">
        <v>130</v>
      </c>
      <c r="M130" s="75"/>
      <c r="N130" s="70"/>
      <c r="O130" s="77" t="s">
        <v>179</v>
      </c>
      <c r="P130" s="79">
        <v>45137.83425925926</v>
      </c>
      <c r="Q130" s="77" t="s">
        <v>929</v>
      </c>
      <c r="R130" s="77">
        <v>1</v>
      </c>
      <c r="S130" s="77">
        <v>0</v>
      </c>
      <c r="T130" s="77">
        <v>0</v>
      </c>
      <c r="U130" s="77">
        <v>0</v>
      </c>
      <c r="V130" s="77">
        <v>82</v>
      </c>
      <c r="W130" s="82" t="s">
        <v>4835</v>
      </c>
      <c r="X130" s="80" t="str">
        <f>HYPERLINK("http://www.quotebr.com/download.php")</f>
        <v>http://www.quotebr.com/download.php</v>
      </c>
      <c r="Y130" s="77" t="s">
        <v>7067</v>
      </c>
      <c r="Z130" s="77"/>
      <c r="AA130" s="77" t="s">
        <v>7257</v>
      </c>
      <c r="AB130" s="77" t="s">
        <v>8225</v>
      </c>
      <c r="AC130" s="82" t="s">
        <v>8232</v>
      </c>
      <c r="AD130" s="77" t="s">
        <v>8278</v>
      </c>
      <c r="AE130" s="80" t="str">
        <f>HYPERLINK("https://twitter.com/wallfigueiredo/status/1685742393629331456")</f>
        <v>https://twitter.com/wallfigueiredo/status/1685742393629331456</v>
      </c>
      <c r="AF130" s="79">
        <v>45137.83425925926</v>
      </c>
      <c r="AG130" s="85">
        <v>45137</v>
      </c>
      <c r="AH130" s="82" t="s">
        <v>8413</v>
      </c>
      <c r="AI130" s="77" t="b">
        <v>0</v>
      </c>
      <c r="AJ130" s="77"/>
      <c r="AK130" s="77"/>
      <c r="AL130" s="77"/>
      <c r="AM130" s="77"/>
      <c r="AN130" s="77"/>
      <c r="AO130" s="77"/>
      <c r="AP130" s="77"/>
      <c r="AQ130" s="77" t="s">
        <v>12142</v>
      </c>
      <c r="AR130" s="77"/>
      <c r="AS130" s="77"/>
      <c r="AT130" s="77"/>
      <c r="AU130" s="77"/>
      <c r="AV130" s="80" t="str">
        <f>HYPERLINK("https://pbs.twimg.com/media/F2T1xLRX0AE4EV1.png")</f>
        <v>https://pbs.twimg.com/media/F2T1xLRX0AE4EV1.png</v>
      </c>
      <c r="AW130" s="82" t="s">
        <v>13233</v>
      </c>
      <c r="AX130" s="82" t="s">
        <v>13233</v>
      </c>
      <c r="AY130" s="77"/>
      <c r="AZ130" s="82" t="s">
        <v>17385</v>
      </c>
      <c r="BA130" s="82" t="s">
        <v>17385</v>
      </c>
      <c r="BB130" s="82" t="s">
        <v>17385</v>
      </c>
      <c r="BC130" s="82" t="s">
        <v>13233</v>
      </c>
      <c r="BD130" s="77">
        <v>86310384</v>
      </c>
      <c r="BE130" s="77"/>
      <c r="BF130" s="77"/>
      <c r="BG130" s="77"/>
      <c r="BH130" s="77"/>
      <c r="BI130" s="77"/>
    </row>
    <row r="131" spans="1:61" x14ac:dyDescent="0.25">
      <c r="A131" s="62" t="s">
        <v>263</v>
      </c>
      <c r="B131" s="62" t="s">
        <v>263</v>
      </c>
      <c r="C131" s="63"/>
      <c r="D131" s="64"/>
      <c r="E131" s="65"/>
      <c r="F131" s="66"/>
      <c r="G131" s="63"/>
      <c r="H131" s="67"/>
      <c r="I131" s="68"/>
      <c r="J131" s="68"/>
      <c r="K131" s="32"/>
      <c r="L131" s="75">
        <v>131</v>
      </c>
      <c r="M131" s="75"/>
      <c r="N131" s="70"/>
      <c r="O131" s="77" t="s">
        <v>179</v>
      </c>
      <c r="P131" s="79">
        <v>45137.833749999998</v>
      </c>
      <c r="Q131" s="77" t="s">
        <v>930</v>
      </c>
      <c r="R131" s="77">
        <v>1</v>
      </c>
      <c r="S131" s="77">
        <v>0</v>
      </c>
      <c r="T131" s="77">
        <v>0</v>
      </c>
      <c r="U131" s="77">
        <v>0</v>
      </c>
      <c r="V131" s="77">
        <v>78</v>
      </c>
      <c r="W131" s="82" t="s">
        <v>4917</v>
      </c>
      <c r="X131" s="80" t="str">
        <f>HYPERLINK("http://www.quotebr.com/download.php")</f>
        <v>http://www.quotebr.com/download.php</v>
      </c>
      <c r="Y131" s="77" t="s">
        <v>7067</v>
      </c>
      <c r="Z131" s="77"/>
      <c r="AA131" s="77" t="s">
        <v>7258</v>
      </c>
      <c r="AB131" s="77" t="s">
        <v>8225</v>
      </c>
      <c r="AC131" s="82" t="s">
        <v>8232</v>
      </c>
      <c r="AD131" s="77" t="s">
        <v>8278</v>
      </c>
      <c r="AE131" s="80" t="str">
        <f>HYPERLINK("https://twitter.com/wallfigueiredo/status/1685742206928273409")</f>
        <v>https://twitter.com/wallfigueiredo/status/1685742206928273409</v>
      </c>
      <c r="AF131" s="79">
        <v>45137.833749999998</v>
      </c>
      <c r="AG131" s="85">
        <v>45137</v>
      </c>
      <c r="AH131" s="82" t="s">
        <v>8414</v>
      </c>
      <c r="AI131" s="77" t="b">
        <v>0</v>
      </c>
      <c r="AJ131" s="77"/>
      <c r="AK131" s="77"/>
      <c r="AL131" s="77"/>
      <c r="AM131" s="77"/>
      <c r="AN131" s="77"/>
      <c r="AO131" s="77"/>
      <c r="AP131" s="77"/>
      <c r="AQ131" s="77" t="s">
        <v>12143</v>
      </c>
      <c r="AR131" s="77"/>
      <c r="AS131" s="77"/>
      <c r="AT131" s="77"/>
      <c r="AU131" s="77"/>
      <c r="AV131" s="80" t="str">
        <f>HYPERLINK("https://pbs.twimg.com/media/F2T1mPvWEAIpOum.png")</f>
        <v>https://pbs.twimg.com/media/F2T1mPvWEAIpOum.png</v>
      </c>
      <c r="AW131" s="82" t="s">
        <v>13234</v>
      </c>
      <c r="AX131" s="82" t="s">
        <v>13234</v>
      </c>
      <c r="AY131" s="77"/>
      <c r="AZ131" s="82" t="s">
        <v>17385</v>
      </c>
      <c r="BA131" s="82" t="s">
        <v>17385</v>
      </c>
      <c r="BB131" s="82" t="s">
        <v>17385</v>
      </c>
      <c r="BC131" s="82" t="s">
        <v>13234</v>
      </c>
      <c r="BD131" s="77">
        <v>86310384</v>
      </c>
      <c r="BE131" s="77"/>
      <c r="BF131" s="77"/>
      <c r="BG131" s="77"/>
      <c r="BH131" s="77"/>
      <c r="BI131" s="77"/>
    </row>
    <row r="132" spans="1:61" x14ac:dyDescent="0.25">
      <c r="A132" s="62" t="s">
        <v>263</v>
      </c>
      <c r="B132" s="62" t="s">
        <v>263</v>
      </c>
      <c r="C132" s="63"/>
      <c r="D132" s="64"/>
      <c r="E132" s="65"/>
      <c r="F132" s="66"/>
      <c r="G132" s="63"/>
      <c r="H132" s="67"/>
      <c r="I132" s="68"/>
      <c r="J132" s="68"/>
      <c r="K132" s="32"/>
      <c r="L132" s="75">
        <v>132</v>
      </c>
      <c r="M132" s="75"/>
      <c r="N132" s="70"/>
      <c r="O132" s="77" t="s">
        <v>179</v>
      </c>
      <c r="P132" s="79">
        <v>45137.833101851851</v>
      </c>
      <c r="Q132" s="77" t="s">
        <v>931</v>
      </c>
      <c r="R132" s="77">
        <v>1</v>
      </c>
      <c r="S132" s="77">
        <v>0</v>
      </c>
      <c r="T132" s="77">
        <v>0</v>
      </c>
      <c r="U132" s="77">
        <v>0</v>
      </c>
      <c r="V132" s="77">
        <v>70</v>
      </c>
      <c r="W132" s="82" t="s">
        <v>4917</v>
      </c>
      <c r="X132" s="80" t="str">
        <f>HYPERLINK("http://www.quotebr.com/download.php")</f>
        <v>http://www.quotebr.com/download.php</v>
      </c>
      <c r="Y132" s="77" t="s">
        <v>7067</v>
      </c>
      <c r="Z132" s="77"/>
      <c r="AA132" s="77" t="s">
        <v>7259</v>
      </c>
      <c r="AB132" s="77" t="s">
        <v>8225</v>
      </c>
      <c r="AC132" s="82" t="s">
        <v>8232</v>
      </c>
      <c r="AD132" s="77" t="s">
        <v>8278</v>
      </c>
      <c r="AE132" s="80" t="str">
        <f>HYPERLINK("https://twitter.com/wallfigueiredo/status/1685741970981888001")</f>
        <v>https://twitter.com/wallfigueiredo/status/1685741970981888001</v>
      </c>
      <c r="AF132" s="79">
        <v>45137.833101851851</v>
      </c>
      <c r="AG132" s="85">
        <v>45137</v>
      </c>
      <c r="AH132" s="82" t="s">
        <v>8415</v>
      </c>
      <c r="AI132" s="77" t="b">
        <v>0</v>
      </c>
      <c r="AJ132" s="77"/>
      <c r="AK132" s="77"/>
      <c r="AL132" s="77"/>
      <c r="AM132" s="77"/>
      <c r="AN132" s="77"/>
      <c r="AO132" s="77"/>
      <c r="AP132" s="77"/>
      <c r="AQ132" s="77" t="s">
        <v>12144</v>
      </c>
      <c r="AR132" s="77"/>
      <c r="AS132" s="77"/>
      <c r="AT132" s="77"/>
      <c r="AU132" s="77"/>
      <c r="AV132" s="80" t="str">
        <f>HYPERLINK("https://pbs.twimg.com/media/F2T1YrbWYAAN6Cn.png")</f>
        <v>https://pbs.twimg.com/media/F2T1YrbWYAAN6Cn.png</v>
      </c>
      <c r="AW132" s="82" t="s">
        <v>13235</v>
      </c>
      <c r="AX132" s="82" t="s">
        <v>13235</v>
      </c>
      <c r="AY132" s="77"/>
      <c r="AZ132" s="82" t="s">
        <v>17385</v>
      </c>
      <c r="BA132" s="82" t="s">
        <v>17385</v>
      </c>
      <c r="BB132" s="82" t="s">
        <v>17385</v>
      </c>
      <c r="BC132" s="82" t="s">
        <v>13235</v>
      </c>
      <c r="BD132" s="77">
        <v>86310384</v>
      </c>
      <c r="BE132" s="77"/>
      <c r="BF132" s="77"/>
      <c r="BG132" s="77"/>
      <c r="BH132" s="77"/>
      <c r="BI132" s="77"/>
    </row>
    <row r="133" spans="1:61" x14ac:dyDescent="0.25">
      <c r="A133" s="62" t="s">
        <v>263</v>
      </c>
      <c r="B133" s="62" t="s">
        <v>263</v>
      </c>
      <c r="C133" s="63"/>
      <c r="D133" s="64"/>
      <c r="E133" s="65"/>
      <c r="F133" s="66"/>
      <c r="G133" s="63"/>
      <c r="H133" s="67"/>
      <c r="I133" s="68"/>
      <c r="J133" s="68"/>
      <c r="K133" s="32"/>
      <c r="L133" s="75">
        <v>133</v>
      </c>
      <c r="M133" s="75"/>
      <c r="N133" s="70"/>
      <c r="O133" s="77" t="s">
        <v>179</v>
      </c>
      <c r="P133" s="79">
        <v>45137.822372685187</v>
      </c>
      <c r="Q133" s="77" t="s">
        <v>932</v>
      </c>
      <c r="R133" s="77">
        <v>1</v>
      </c>
      <c r="S133" s="77">
        <v>0</v>
      </c>
      <c r="T133" s="77">
        <v>0</v>
      </c>
      <c r="U133" s="77">
        <v>0</v>
      </c>
      <c r="V133" s="77">
        <v>82</v>
      </c>
      <c r="W133" s="82" t="s">
        <v>4917</v>
      </c>
      <c r="X133" s="80" t="str">
        <f>HYPERLINK("http://www.quotebr.com/download.php")</f>
        <v>http://www.quotebr.com/download.php</v>
      </c>
      <c r="Y133" s="77" t="s">
        <v>7067</v>
      </c>
      <c r="Z133" s="77"/>
      <c r="AA133" s="77" t="s">
        <v>7260</v>
      </c>
      <c r="AB133" s="77" t="s">
        <v>8225</v>
      </c>
      <c r="AC133" s="82" t="s">
        <v>8232</v>
      </c>
      <c r="AD133" s="77" t="s">
        <v>8278</v>
      </c>
      <c r="AE133" s="80" t="str">
        <f>HYPERLINK("https://twitter.com/wallfigueiredo/status/1685738085328273408")</f>
        <v>https://twitter.com/wallfigueiredo/status/1685738085328273408</v>
      </c>
      <c r="AF133" s="79">
        <v>45137.822372685187</v>
      </c>
      <c r="AG133" s="85">
        <v>45137</v>
      </c>
      <c r="AH133" s="82" t="s">
        <v>8416</v>
      </c>
      <c r="AI133" s="77" t="b">
        <v>0</v>
      </c>
      <c r="AJ133" s="77"/>
      <c r="AK133" s="77"/>
      <c r="AL133" s="77"/>
      <c r="AM133" s="77"/>
      <c r="AN133" s="77"/>
      <c r="AO133" s="77"/>
      <c r="AP133" s="77"/>
      <c r="AQ133" s="77" t="s">
        <v>12145</v>
      </c>
      <c r="AR133" s="77"/>
      <c r="AS133" s="77"/>
      <c r="AT133" s="77"/>
      <c r="AU133" s="77"/>
      <c r="AV133" s="80" t="str">
        <f>HYPERLINK("https://pbs.twimg.com/media/F2Tx2j9WwAENhWR.png")</f>
        <v>https://pbs.twimg.com/media/F2Tx2j9WwAENhWR.png</v>
      </c>
      <c r="AW133" s="82" t="s">
        <v>13236</v>
      </c>
      <c r="AX133" s="82" t="s">
        <v>13236</v>
      </c>
      <c r="AY133" s="77"/>
      <c r="AZ133" s="82" t="s">
        <v>17385</v>
      </c>
      <c r="BA133" s="82" t="s">
        <v>17385</v>
      </c>
      <c r="BB133" s="82" t="s">
        <v>17385</v>
      </c>
      <c r="BC133" s="82" t="s">
        <v>13236</v>
      </c>
      <c r="BD133" s="77">
        <v>86310384</v>
      </c>
      <c r="BE133" s="77"/>
      <c r="BF133" s="77"/>
      <c r="BG133" s="77"/>
      <c r="BH133" s="77"/>
      <c r="BI133" s="77"/>
    </row>
    <row r="134" spans="1:61" x14ac:dyDescent="0.25">
      <c r="A134" s="62" t="s">
        <v>263</v>
      </c>
      <c r="B134" s="62" t="s">
        <v>263</v>
      </c>
      <c r="C134" s="63"/>
      <c r="D134" s="64"/>
      <c r="E134" s="65"/>
      <c r="F134" s="66"/>
      <c r="G134" s="63"/>
      <c r="H134" s="67"/>
      <c r="I134" s="68"/>
      <c r="J134" s="68"/>
      <c r="K134" s="32"/>
      <c r="L134" s="75">
        <v>134</v>
      </c>
      <c r="M134" s="75"/>
      <c r="N134" s="70"/>
      <c r="O134" s="77" t="s">
        <v>179</v>
      </c>
      <c r="P134" s="79">
        <v>45137.811909722222</v>
      </c>
      <c r="Q134" s="77" t="s">
        <v>933</v>
      </c>
      <c r="R134" s="77">
        <v>1</v>
      </c>
      <c r="S134" s="77">
        <v>0</v>
      </c>
      <c r="T134" s="77">
        <v>0</v>
      </c>
      <c r="U134" s="77">
        <v>0</v>
      </c>
      <c r="V134" s="77">
        <v>77</v>
      </c>
      <c r="W134" s="82" t="s">
        <v>4835</v>
      </c>
      <c r="X134" s="80" t="str">
        <f>HYPERLINK("http://www.quotebr.com/download.php")</f>
        <v>http://www.quotebr.com/download.php</v>
      </c>
      <c r="Y134" s="77" t="s">
        <v>7067</v>
      </c>
      <c r="Z134" s="77"/>
      <c r="AA134" s="77" t="s">
        <v>7261</v>
      </c>
      <c r="AB134" s="77" t="s">
        <v>8225</v>
      </c>
      <c r="AC134" s="82" t="s">
        <v>8232</v>
      </c>
      <c r="AD134" s="77" t="s">
        <v>8278</v>
      </c>
      <c r="AE134" s="80" t="str">
        <f>HYPERLINK("https://twitter.com/wallfigueiredo/status/1685734294348615681")</f>
        <v>https://twitter.com/wallfigueiredo/status/1685734294348615681</v>
      </c>
      <c r="AF134" s="79">
        <v>45137.811909722222</v>
      </c>
      <c r="AG134" s="85">
        <v>45137</v>
      </c>
      <c r="AH134" s="82" t="s">
        <v>8417</v>
      </c>
      <c r="AI134" s="77" t="b">
        <v>0</v>
      </c>
      <c r="AJ134" s="77"/>
      <c r="AK134" s="77"/>
      <c r="AL134" s="77"/>
      <c r="AM134" s="77"/>
      <c r="AN134" s="77"/>
      <c r="AO134" s="77"/>
      <c r="AP134" s="77"/>
      <c r="AQ134" s="77" t="s">
        <v>12146</v>
      </c>
      <c r="AR134" s="77"/>
      <c r="AS134" s="77"/>
      <c r="AT134" s="77"/>
      <c r="AU134" s="77"/>
      <c r="AV134" s="80" t="str">
        <f>HYPERLINK("https://pbs.twimg.com/media/F2TuXzRXEAAvvmq.png")</f>
        <v>https://pbs.twimg.com/media/F2TuXzRXEAAvvmq.png</v>
      </c>
      <c r="AW134" s="82" t="s">
        <v>13237</v>
      </c>
      <c r="AX134" s="82" t="s">
        <v>13237</v>
      </c>
      <c r="AY134" s="77"/>
      <c r="AZ134" s="82" t="s">
        <v>17385</v>
      </c>
      <c r="BA134" s="82" t="s">
        <v>17385</v>
      </c>
      <c r="BB134" s="82" t="s">
        <v>17385</v>
      </c>
      <c r="BC134" s="82" t="s">
        <v>13237</v>
      </c>
      <c r="BD134" s="77">
        <v>86310384</v>
      </c>
      <c r="BE134" s="77"/>
      <c r="BF134" s="77"/>
      <c r="BG134" s="77"/>
      <c r="BH134" s="77"/>
      <c r="BI134" s="77"/>
    </row>
    <row r="135" spans="1:61" x14ac:dyDescent="0.25">
      <c r="A135" s="62" t="s">
        <v>263</v>
      </c>
      <c r="B135" s="62" t="s">
        <v>263</v>
      </c>
      <c r="C135" s="63"/>
      <c r="D135" s="64"/>
      <c r="E135" s="65"/>
      <c r="F135" s="66"/>
      <c r="G135" s="63"/>
      <c r="H135" s="67"/>
      <c r="I135" s="68"/>
      <c r="J135" s="68"/>
      <c r="K135" s="32"/>
      <c r="L135" s="75">
        <v>135</v>
      </c>
      <c r="M135" s="75"/>
      <c r="N135" s="70"/>
      <c r="O135" s="77" t="s">
        <v>179</v>
      </c>
      <c r="P135" s="79">
        <v>45137.811331018522</v>
      </c>
      <c r="Q135" s="77" t="s">
        <v>934</v>
      </c>
      <c r="R135" s="77">
        <v>1</v>
      </c>
      <c r="S135" s="77">
        <v>0</v>
      </c>
      <c r="T135" s="77">
        <v>0</v>
      </c>
      <c r="U135" s="77">
        <v>0</v>
      </c>
      <c r="V135" s="77">
        <v>77</v>
      </c>
      <c r="W135" s="82" t="s">
        <v>4917</v>
      </c>
      <c r="X135" s="80" t="str">
        <f>HYPERLINK("http://www.quotebr.com/download.php")</f>
        <v>http://www.quotebr.com/download.php</v>
      </c>
      <c r="Y135" s="77" t="s">
        <v>7067</v>
      </c>
      <c r="Z135" s="77"/>
      <c r="AA135" s="77" t="s">
        <v>7262</v>
      </c>
      <c r="AB135" s="77" t="s">
        <v>8225</v>
      </c>
      <c r="AC135" s="82" t="s">
        <v>8232</v>
      </c>
      <c r="AD135" s="77" t="s">
        <v>8278</v>
      </c>
      <c r="AE135" s="80" t="str">
        <f>HYPERLINK("https://twitter.com/wallfigueiredo/status/1685734083551236096")</f>
        <v>https://twitter.com/wallfigueiredo/status/1685734083551236096</v>
      </c>
      <c r="AF135" s="79">
        <v>45137.811331018522</v>
      </c>
      <c r="AG135" s="85">
        <v>45137</v>
      </c>
      <c r="AH135" s="82" t="s">
        <v>8418</v>
      </c>
      <c r="AI135" s="77" t="b">
        <v>0</v>
      </c>
      <c r="AJ135" s="77"/>
      <c r="AK135" s="77"/>
      <c r="AL135" s="77"/>
      <c r="AM135" s="77"/>
      <c r="AN135" s="77"/>
      <c r="AO135" s="77"/>
      <c r="AP135" s="77"/>
      <c r="AQ135" s="77" t="s">
        <v>12147</v>
      </c>
      <c r="AR135" s="77"/>
      <c r="AS135" s="77"/>
      <c r="AT135" s="77"/>
      <c r="AU135" s="77"/>
      <c r="AV135" s="80" t="str">
        <f>HYPERLINK("https://pbs.twimg.com/media/F2TuNn2XEAA_Mp_.png")</f>
        <v>https://pbs.twimg.com/media/F2TuNn2XEAA_Mp_.png</v>
      </c>
      <c r="AW135" s="82" t="s">
        <v>13238</v>
      </c>
      <c r="AX135" s="82" t="s">
        <v>13238</v>
      </c>
      <c r="AY135" s="77"/>
      <c r="AZ135" s="82" t="s">
        <v>17385</v>
      </c>
      <c r="BA135" s="82" t="s">
        <v>17385</v>
      </c>
      <c r="BB135" s="82" t="s">
        <v>17385</v>
      </c>
      <c r="BC135" s="82" t="s">
        <v>13238</v>
      </c>
      <c r="BD135" s="77">
        <v>86310384</v>
      </c>
      <c r="BE135" s="77"/>
      <c r="BF135" s="77"/>
      <c r="BG135" s="77"/>
      <c r="BH135" s="77"/>
      <c r="BI135" s="77"/>
    </row>
    <row r="136" spans="1:61" x14ac:dyDescent="0.25">
      <c r="A136" s="62" t="s">
        <v>263</v>
      </c>
      <c r="B136" s="62" t="s">
        <v>263</v>
      </c>
      <c r="C136" s="63"/>
      <c r="D136" s="64"/>
      <c r="E136" s="65"/>
      <c r="F136" s="66"/>
      <c r="G136" s="63"/>
      <c r="H136" s="67"/>
      <c r="I136" s="68"/>
      <c r="J136" s="68"/>
      <c r="K136" s="32"/>
      <c r="L136" s="75">
        <v>136</v>
      </c>
      <c r="M136" s="75"/>
      <c r="N136" s="70"/>
      <c r="O136" s="77" t="s">
        <v>179</v>
      </c>
      <c r="P136" s="79">
        <v>45137.810752314814</v>
      </c>
      <c r="Q136" s="77" t="s">
        <v>935</v>
      </c>
      <c r="R136" s="77">
        <v>1</v>
      </c>
      <c r="S136" s="77">
        <v>0</v>
      </c>
      <c r="T136" s="77">
        <v>0</v>
      </c>
      <c r="U136" s="77">
        <v>0</v>
      </c>
      <c r="V136" s="77">
        <v>77</v>
      </c>
      <c r="W136" s="82" t="s">
        <v>4835</v>
      </c>
      <c r="X136" s="80" t="str">
        <f>HYPERLINK("http://www.quotebr.com/download.php")</f>
        <v>http://www.quotebr.com/download.php</v>
      </c>
      <c r="Y136" s="77" t="s">
        <v>7067</v>
      </c>
      <c r="Z136" s="77"/>
      <c r="AA136" s="77" t="s">
        <v>7263</v>
      </c>
      <c r="AB136" s="77" t="s">
        <v>8225</v>
      </c>
      <c r="AC136" s="82" t="s">
        <v>8232</v>
      </c>
      <c r="AD136" s="77" t="s">
        <v>8278</v>
      </c>
      <c r="AE136" s="80" t="str">
        <f>HYPERLINK("https://twitter.com/wallfigueiredo/status/1685733875471843328")</f>
        <v>https://twitter.com/wallfigueiredo/status/1685733875471843328</v>
      </c>
      <c r="AF136" s="79">
        <v>45137.810752314814</v>
      </c>
      <c r="AG136" s="85">
        <v>45137</v>
      </c>
      <c r="AH136" s="82" t="s">
        <v>8419</v>
      </c>
      <c r="AI136" s="77" t="b">
        <v>0</v>
      </c>
      <c r="AJ136" s="77"/>
      <c r="AK136" s="77"/>
      <c r="AL136" s="77"/>
      <c r="AM136" s="77"/>
      <c r="AN136" s="77"/>
      <c r="AO136" s="77"/>
      <c r="AP136" s="77"/>
      <c r="AQ136" s="77" t="s">
        <v>12148</v>
      </c>
      <c r="AR136" s="77"/>
      <c r="AS136" s="77"/>
      <c r="AT136" s="77"/>
      <c r="AU136" s="77"/>
      <c r="AV136" s="80" t="str">
        <f>HYPERLINK("https://pbs.twimg.com/media/F2TuBdlWsAEa6TQ.png")</f>
        <v>https://pbs.twimg.com/media/F2TuBdlWsAEa6TQ.png</v>
      </c>
      <c r="AW136" s="82" t="s">
        <v>13239</v>
      </c>
      <c r="AX136" s="82" t="s">
        <v>13239</v>
      </c>
      <c r="AY136" s="77"/>
      <c r="AZ136" s="82" t="s">
        <v>17385</v>
      </c>
      <c r="BA136" s="82" t="s">
        <v>17385</v>
      </c>
      <c r="BB136" s="82" t="s">
        <v>17385</v>
      </c>
      <c r="BC136" s="82" t="s">
        <v>13239</v>
      </c>
      <c r="BD136" s="77">
        <v>86310384</v>
      </c>
      <c r="BE136" s="77"/>
      <c r="BF136" s="77"/>
      <c r="BG136" s="77"/>
      <c r="BH136" s="77"/>
      <c r="BI136" s="77"/>
    </row>
    <row r="137" spans="1:61" x14ac:dyDescent="0.25">
      <c r="A137" s="62" t="s">
        <v>263</v>
      </c>
      <c r="B137" s="62" t="s">
        <v>263</v>
      </c>
      <c r="C137" s="63"/>
      <c r="D137" s="64"/>
      <c r="E137" s="65"/>
      <c r="F137" s="66"/>
      <c r="G137" s="63"/>
      <c r="H137" s="67"/>
      <c r="I137" s="68"/>
      <c r="J137" s="68"/>
      <c r="K137" s="32"/>
      <c r="L137" s="75">
        <v>137</v>
      </c>
      <c r="M137" s="75"/>
      <c r="N137" s="70"/>
      <c r="O137" s="77" t="s">
        <v>179</v>
      </c>
      <c r="P137" s="79">
        <v>45137.810347222221</v>
      </c>
      <c r="Q137" s="77" t="s">
        <v>936</v>
      </c>
      <c r="R137" s="77">
        <v>1</v>
      </c>
      <c r="S137" s="77">
        <v>0</v>
      </c>
      <c r="T137" s="77">
        <v>0</v>
      </c>
      <c r="U137" s="77">
        <v>0</v>
      </c>
      <c r="V137" s="77">
        <v>85</v>
      </c>
      <c r="W137" s="82" t="s">
        <v>4917</v>
      </c>
      <c r="X137" s="80" t="str">
        <f>HYPERLINK("http://www.quotebr.com/download.php")</f>
        <v>http://www.quotebr.com/download.php</v>
      </c>
      <c r="Y137" s="77" t="s">
        <v>7067</v>
      </c>
      <c r="Z137" s="77"/>
      <c r="AA137" s="77" t="s">
        <v>7264</v>
      </c>
      <c r="AB137" s="77" t="s">
        <v>8225</v>
      </c>
      <c r="AC137" s="82" t="s">
        <v>8232</v>
      </c>
      <c r="AD137" s="77" t="s">
        <v>8278</v>
      </c>
      <c r="AE137" s="80" t="str">
        <f>HYPERLINK("https://twitter.com/wallfigueiredo/status/1685733727521902593")</f>
        <v>https://twitter.com/wallfigueiredo/status/1685733727521902593</v>
      </c>
      <c r="AF137" s="79">
        <v>45137.810347222221</v>
      </c>
      <c r="AG137" s="85">
        <v>45137</v>
      </c>
      <c r="AH137" s="82" t="s">
        <v>8420</v>
      </c>
      <c r="AI137" s="77" t="b">
        <v>0</v>
      </c>
      <c r="AJ137" s="77"/>
      <c r="AK137" s="77"/>
      <c r="AL137" s="77"/>
      <c r="AM137" s="77"/>
      <c r="AN137" s="77"/>
      <c r="AO137" s="77"/>
      <c r="AP137" s="77"/>
      <c r="AQ137" s="77" t="s">
        <v>12149</v>
      </c>
      <c r="AR137" s="77"/>
      <c r="AS137" s="77"/>
      <c r="AT137" s="77"/>
      <c r="AU137" s="77"/>
      <c r="AV137" s="80" t="str">
        <f>HYPERLINK("https://pbs.twimg.com/media/F2Tt4taXgAEGuKI.png")</f>
        <v>https://pbs.twimg.com/media/F2Tt4taXgAEGuKI.png</v>
      </c>
      <c r="AW137" s="82" t="s">
        <v>13240</v>
      </c>
      <c r="AX137" s="82" t="s">
        <v>13240</v>
      </c>
      <c r="AY137" s="77"/>
      <c r="AZ137" s="82" t="s">
        <v>17385</v>
      </c>
      <c r="BA137" s="82" t="s">
        <v>17385</v>
      </c>
      <c r="BB137" s="82" t="s">
        <v>17385</v>
      </c>
      <c r="BC137" s="82" t="s">
        <v>13240</v>
      </c>
      <c r="BD137" s="77">
        <v>86310384</v>
      </c>
      <c r="BE137" s="77"/>
      <c r="BF137" s="77"/>
      <c r="BG137" s="77"/>
      <c r="BH137" s="77"/>
      <c r="BI137" s="77"/>
    </row>
    <row r="138" spans="1:61" x14ac:dyDescent="0.25">
      <c r="A138" s="62" t="s">
        <v>263</v>
      </c>
      <c r="B138" s="62" t="s">
        <v>263</v>
      </c>
      <c r="C138" s="63"/>
      <c r="D138" s="64"/>
      <c r="E138" s="65"/>
      <c r="F138" s="66"/>
      <c r="G138" s="63"/>
      <c r="H138" s="67"/>
      <c r="I138" s="68"/>
      <c r="J138" s="68"/>
      <c r="K138" s="32"/>
      <c r="L138" s="75">
        <v>138</v>
      </c>
      <c r="M138" s="75"/>
      <c r="N138" s="70"/>
      <c r="O138" s="77" t="s">
        <v>179</v>
      </c>
      <c r="P138" s="79">
        <v>45137.808935185189</v>
      </c>
      <c r="Q138" s="77" t="s">
        <v>937</v>
      </c>
      <c r="R138" s="77">
        <v>1</v>
      </c>
      <c r="S138" s="77">
        <v>0</v>
      </c>
      <c r="T138" s="77">
        <v>0</v>
      </c>
      <c r="U138" s="77">
        <v>0</v>
      </c>
      <c r="V138" s="77">
        <v>63</v>
      </c>
      <c r="W138" s="82" t="s">
        <v>4835</v>
      </c>
      <c r="X138" s="80" t="str">
        <f>HYPERLINK("http://www.quotebr.com/download.php")</f>
        <v>http://www.quotebr.com/download.php</v>
      </c>
      <c r="Y138" s="77" t="s">
        <v>7067</v>
      </c>
      <c r="Z138" s="77"/>
      <c r="AA138" s="77" t="s">
        <v>7265</v>
      </c>
      <c r="AB138" s="77" t="s">
        <v>8225</v>
      </c>
      <c r="AC138" s="82" t="s">
        <v>8232</v>
      </c>
      <c r="AD138" s="77" t="s">
        <v>8278</v>
      </c>
      <c r="AE138" s="80" t="str">
        <f>HYPERLINK("https://twitter.com/wallfigueiredo/status/1685733216714416128")</f>
        <v>https://twitter.com/wallfigueiredo/status/1685733216714416128</v>
      </c>
      <c r="AF138" s="79">
        <v>45137.808935185189</v>
      </c>
      <c r="AG138" s="85">
        <v>45137</v>
      </c>
      <c r="AH138" s="82" t="s">
        <v>8421</v>
      </c>
      <c r="AI138" s="77" t="b">
        <v>0</v>
      </c>
      <c r="AJ138" s="77"/>
      <c r="AK138" s="77"/>
      <c r="AL138" s="77"/>
      <c r="AM138" s="77"/>
      <c r="AN138" s="77"/>
      <c r="AO138" s="77"/>
      <c r="AP138" s="77"/>
      <c r="AQ138" s="77" t="s">
        <v>12150</v>
      </c>
      <c r="AR138" s="77"/>
      <c r="AS138" s="77"/>
      <c r="AT138" s="77"/>
      <c r="AU138" s="77"/>
      <c r="AV138" s="80" t="str">
        <f>HYPERLINK("https://pbs.twimg.com/media/F2TtamMWYAAo2FQ.png")</f>
        <v>https://pbs.twimg.com/media/F2TtamMWYAAo2FQ.png</v>
      </c>
      <c r="AW138" s="82" t="s">
        <v>13241</v>
      </c>
      <c r="AX138" s="82" t="s">
        <v>13241</v>
      </c>
      <c r="AY138" s="77"/>
      <c r="AZ138" s="82" t="s">
        <v>17385</v>
      </c>
      <c r="BA138" s="82" t="s">
        <v>17385</v>
      </c>
      <c r="BB138" s="82" t="s">
        <v>17385</v>
      </c>
      <c r="BC138" s="82" t="s">
        <v>13241</v>
      </c>
      <c r="BD138" s="77">
        <v>86310384</v>
      </c>
      <c r="BE138" s="77"/>
      <c r="BF138" s="77"/>
      <c r="BG138" s="77"/>
      <c r="BH138" s="77"/>
      <c r="BI138" s="77"/>
    </row>
    <row r="139" spans="1:61" x14ac:dyDescent="0.25">
      <c r="A139" s="62" t="s">
        <v>263</v>
      </c>
      <c r="B139" s="62" t="s">
        <v>263</v>
      </c>
      <c r="C139" s="63"/>
      <c r="D139" s="64"/>
      <c r="E139" s="65"/>
      <c r="F139" s="66"/>
      <c r="G139" s="63"/>
      <c r="H139" s="67"/>
      <c r="I139" s="68"/>
      <c r="J139" s="68"/>
      <c r="K139" s="32"/>
      <c r="L139" s="75">
        <v>139</v>
      </c>
      <c r="M139" s="75"/>
      <c r="N139" s="70"/>
      <c r="O139" s="77" t="s">
        <v>179</v>
      </c>
      <c r="P139" s="79">
        <v>45137.808379629627</v>
      </c>
      <c r="Q139" s="77" t="s">
        <v>938</v>
      </c>
      <c r="R139" s="77">
        <v>1</v>
      </c>
      <c r="S139" s="77">
        <v>0</v>
      </c>
      <c r="T139" s="77">
        <v>0</v>
      </c>
      <c r="U139" s="77">
        <v>0</v>
      </c>
      <c r="V139" s="77">
        <v>70</v>
      </c>
      <c r="W139" s="82" t="s">
        <v>4917</v>
      </c>
      <c r="X139" s="80" t="str">
        <f>HYPERLINK("http://www.quotebr.com/download.php")</f>
        <v>http://www.quotebr.com/download.php</v>
      </c>
      <c r="Y139" s="77" t="s">
        <v>7067</v>
      </c>
      <c r="Z139" s="77"/>
      <c r="AA139" s="77" t="s">
        <v>7266</v>
      </c>
      <c r="AB139" s="77" t="s">
        <v>8225</v>
      </c>
      <c r="AC139" s="82" t="s">
        <v>8232</v>
      </c>
      <c r="AD139" s="77" t="s">
        <v>8278</v>
      </c>
      <c r="AE139" s="80" t="str">
        <f>HYPERLINK("https://twitter.com/wallfigueiredo/status/1685733012388851712")</f>
        <v>https://twitter.com/wallfigueiredo/status/1685733012388851712</v>
      </c>
      <c r="AF139" s="79">
        <v>45137.808379629627</v>
      </c>
      <c r="AG139" s="85">
        <v>45137</v>
      </c>
      <c r="AH139" s="82" t="s">
        <v>8422</v>
      </c>
      <c r="AI139" s="77" t="b">
        <v>0</v>
      </c>
      <c r="AJ139" s="77"/>
      <c r="AK139" s="77"/>
      <c r="AL139" s="77"/>
      <c r="AM139" s="77"/>
      <c r="AN139" s="77"/>
      <c r="AO139" s="77"/>
      <c r="AP139" s="77"/>
      <c r="AQ139" s="77" t="s">
        <v>12151</v>
      </c>
      <c r="AR139" s="77"/>
      <c r="AS139" s="77"/>
      <c r="AT139" s="77"/>
      <c r="AU139" s="77"/>
      <c r="AV139" s="80" t="str">
        <f>HYPERLINK("https://pbs.twimg.com/media/F2TtOHJWMAAzTbd.png")</f>
        <v>https://pbs.twimg.com/media/F2TtOHJWMAAzTbd.png</v>
      </c>
      <c r="AW139" s="82" t="s">
        <v>13242</v>
      </c>
      <c r="AX139" s="82" t="s">
        <v>13242</v>
      </c>
      <c r="AY139" s="77"/>
      <c r="AZ139" s="82" t="s">
        <v>17385</v>
      </c>
      <c r="BA139" s="82" t="s">
        <v>17385</v>
      </c>
      <c r="BB139" s="82" t="s">
        <v>17385</v>
      </c>
      <c r="BC139" s="82" t="s">
        <v>13242</v>
      </c>
      <c r="BD139" s="77">
        <v>86310384</v>
      </c>
      <c r="BE139" s="77"/>
      <c r="BF139" s="77"/>
      <c r="BG139" s="77"/>
      <c r="BH139" s="77"/>
      <c r="BI139" s="77"/>
    </row>
    <row r="140" spans="1:61" x14ac:dyDescent="0.25">
      <c r="A140" s="62" t="s">
        <v>263</v>
      </c>
      <c r="B140" s="62" t="s">
        <v>263</v>
      </c>
      <c r="C140" s="63"/>
      <c r="D140" s="64"/>
      <c r="E140" s="65"/>
      <c r="F140" s="66"/>
      <c r="G140" s="63"/>
      <c r="H140" s="67"/>
      <c r="I140" s="68"/>
      <c r="J140" s="68"/>
      <c r="K140" s="32"/>
      <c r="L140" s="75">
        <v>140</v>
      </c>
      <c r="M140" s="75"/>
      <c r="N140" s="70"/>
      <c r="O140" s="77" t="s">
        <v>179</v>
      </c>
      <c r="P140" s="79">
        <v>45116.802407407406</v>
      </c>
      <c r="Q140" s="77" t="s">
        <v>939</v>
      </c>
      <c r="R140" s="77">
        <v>0</v>
      </c>
      <c r="S140" s="77">
        <v>3</v>
      </c>
      <c r="T140" s="77">
        <v>0</v>
      </c>
      <c r="U140" s="77">
        <v>0</v>
      </c>
      <c r="V140" s="77">
        <v>146</v>
      </c>
      <c r="W140" s="82" t="s">
        <v>4835</v>
      </c>
      <c r="X140" s="80" t="str">
        <f>HYPERLINK("http://www.quotebr.com/download.php")</f>
        <v>http://www.quotebr.com/download.php</v>
      </c>
      <c r="Y140" s="77" t="s">
        <v>7067</v>
      </c>
      <c r="Z140" s="77"/>
      <c r="AA140" s="77" t="s">
        <v>7267</v>
      </c>
      <c r="AB140" s="77" t="s">
        <v>8225</v>
      </c>
      <c r="AC140" s="82" t="s">
        <v>8232</v>
      </c>
      <c r="AD140" s="77" t="s">
        <v>8278</v>
      </c>
      <c r="AE140" s="80" t="str">
        <f>HYPERLINK("https://twitter.com/wallfigueiredo/status/1678120704779198464")</f>
        <v>https://twitter.com/wallfigueiredo/status/1678120704779198464</v>
      </c>
      <c r="AF140" s="79">
        <v>45116.802407407406</v>
      </c>
      <c r="AG140" s="85">
        <v>45116</v>
      </c>
      <c r="AH140" s="82" t="s">
        <v>8423</v>
      </c>
      <c r="AI140" s="77" t="b">
        <v>0</v>
      </c>
      <c r="AJ140" s="77"/>
      <c r="AK140" s="77"/>
      <c r="AL140" s="77"/>
      <c r="AM140" s="77"/>
      <c r="AN140" s="77"/>
      <c r="AO140" s="77"/>
      <c r="AP140" s="77"/>
      <c r="AQ140" s="77" t="s">
        <v>12152</v>
      </c>
      <c r="AR140" s="77"/>
      <c r="AS140" s="77"/>
      <c r="AT140" s="77"/>
      <c r="AU140" s="77"/>
      <c r="AV140" s="80" t="str">
        <f>HYPERLINK("https://pbs.twimg.com/media/F0nh4apWIAEA9K9.png")</f>
        <v>https://pbs.twimg.com/media/F0nh4apWIAEA9K9.png</v>
      </c>
      <c r="AW140" s="82" t="s">
        <v>13243</v>
      </c>
      <c r="AX140" s="82" t="s">
        <v>13243</v>
      </c>
      <c r="AY140" s="77"/>
      <c r="AZ140" s="82" t="s">
        <v>17385</v>
      </c>
      <c r="BA140" s="82" t="s">
        <v>17385</v>
      </c>
      <c r="BB140" s="82" t="s">
        <v>17385</v>
      </c>
      <c r="BC140" s="82" t="s">
        <v>13243</v>
      </c>
      <c r="BD140" s="77">
        <v>86310384</v>
      </c>
      <c r="BE140" s="77"/>
      <c r="BF140" s="77"/>
      <c r="BG140" s="77"/>
      <c r="BH140" s="77"/>
      <c r="BI140" s="77"/>
    </row>
    <row r="141" spans="1:61" x14ac:dyDescent="0.25">
      <c r="A141" s="62" t="s">
        <v>263</v>
      </c>
      <c r="B141" s="62" t="s">
        <v>263</v>
      </c>
      <c r="C141" s="63"/>
      <c r="D141" s="64"/>
      <c r="E141" s="65"/>
      <c r="F141" s="66"/>
      <c r="G141" s="63"/>
      <c r="H141" s="67"/>
      <c r="I141" s="68"/>
      <c r="J141" s="68"/>
      <c r="K141" s="32"/>
      <c r="L141" s="75">
        <v>141</v>
      </c>
      <c r="M141" s="75"/>
      <c r="N141" s="70"/>
      <c r="O141" s="77" t="s">
        <v>179</v>
      </c>
      <c r="P141" s="79">
        <v>45116.802175925928</v>
      </c>
      <c r="Q141" s="77" t="s">
        <v>940</v>
      </c>
      <c r="R141" s="77">
        <v>0</v>
      </c>
      <c r="S141" s="77">
        <v>0</v>
      </c>
      <c r="T141" s="77">
        <v>0</v>
      </c>
      <c r="U141" s="77">
        <v>0</v>
      </c>
      <c r="V141" s="77">
        <v>66</v>
      </c>
      <c r="W141" s="82" t="s">
        <v>4835</v>
      </c>
      <c r="X141" s="80" t="str">
        <f>HYPERLINK("http://www.quotebr.com/download.php")</f>
        <v>http://www.quotebr.com/download.php</v>
      </c>
      <c r="Y141" s="77" t="s">
        <v>7067</v>
      </c>
      <c r="Z141" s="77"/>
      <c r="AA141" s="77" t="s">
        <v>7268</v>
      </c>
      <c r="AB141" s="77" t="s">
        <v>8225</v>
      </c>
      <c r="AC141" s="82" t="s">
        <v>8232</v>
      </c>
      <c r="AD141" s="77" t="s">
        <v>8278</v>
      </c>
      <c r="AE141" s="80" t="str">
        <f>HYPERLINK("https://twitter.com/wallfigueiredo/status/1678120619810979841")</f>
        <v>https://twitter.com/wallfigueiredo/status/1678120619810979841</v>
      </c>
      <c r="AF141" s="79">
        <v>45116.802175925928</v>
      </c>
      <c r="AG141" s="85">
        <v>45116</v>
      </c>
      <c r="AH141" s="82" t="s">
        <v>8424</v>
      </c>
      <c r="AI141" s="77" t="b">
        <v>0</v>
      </c>
      <c r="AJ141" s="77"/>
      <c r="AK141" s="77"/>
      <c r="AL141" s="77"/>
      <c r="AM141" s="77"/>
      <c r="AN141" s="77"/>
      <c r="AO141" s="77"/>
      <c r="AP141" s="77"/>
      <c r="AQ141" s="77" t="s">
        <v>12153</v>
      </c>
      <c r="AR141" s="77"/>
      <c r="AS141" s="77"/>
      <c r="AT141" s="77"/>
      <c r="AU141" s="77"/>
      <c r="AV141" s="80" t="str">
        <f>HYPERLINK("https://pbs.twimg.com/media/F0nhwJJWcAIEXcN.png")</f>
        <v>https://pbs.twimg.com/media/F0nhwJJWcAIEXcN.png</v>
      </c>
      <c r="AW141" s="82" t="s">
        <v>13244</v>
      </c>
      <c r="AX141" s="82" t="s">
        <v>13244</v>
      </c>
      <c r="AY141" s="77"/>
      <c r="AZ141" s="82" t="s">
        <v>17385</v>
      </c>
      <c r="BA141" s="82" t="s">
        <v>17385</v>
      </c>
      <c r="BB141" s="82" t="s">
        <v>17385</v>
      </c>
      <c r="BC141" s="82" t="s">
        <v>13244</v>
      </c>
      <c r="BD141" s="77">
        <v>86310384</v>
      </c>
      <c r="BE141" s="77"/>
      <c r="BF141" s="77"/>
      <c r="BG141" s="77"/>
      <c r="BH141" s="77"/>
      <c r="BI141" s="77"/>
    </row>
    <row r="142" spans="1:61" x14ac:dyDescent="0.25">
      <c r="A142" s="62" t="s">
        <v>263</v>
      </c>
      <c r="B142" s="62" t="s">
        <v>263</v>
      </c>
      <c r="C142" s="63"/>
      <c r="D142" s="64"/>
      <c r="E142" s="65"/>
      <c r="F142" s="66"/>
      <c r="G142" s="63"/>
      <c r="H142" s="67"/>
      <c r="I142" s="68"/>
      <c r="J142" s="68"/>
      <c r="K142" s="32"/>
      <c r="L142" s="75">
        <v>142</v>
      </c>
      <c r="M142" s="75"/>
      <c r="N142" s="70"/>
      <c r="O142" s="77" t="s">
        <v>179</v>
      </c>
      <c r="P142" s="79">
        <v>45116.801481481481</v>
      </c>
      <c r="Q142" s="77" t="s">
        <v>941</v>
      </c>
      <c r="R142" s="77">
        <v>0</v>
      </c>
      <c r="S142" s="77">
        <v>0</v>
      </c>
      <c r="T142" s="77">
        <v>0</v>
      </c>
      <c r="U142" s="77">
        <v>0</v>
      </c>
      <c r="V142" s="77">
        <v>77</v>
      </c>
      <c r="W142" s="82" t="s">
        <v>4835</v>
      </c>
      <c r="X142" s="80" t="str">
        <f>HYPERLINK("http://www.quotebr.com/download.php")</f>
        <v>http://www.quotebr.com/download.php</v>
      </c>
      <c r="Y142" s="77" t="s">
        <v>7067</v>
      </c>
      <c r="Z142" s="77"/>
      <c r="AA142" s="77" t="s">
        <v>7269</v>
      </c>
      <c r="AB142" s="77" t="s">
        <v>8225</v>
      </c>
      <c r="AC142" s="82" t="s">
        <v>8232</v>
      </c>
      <c r="AD142" s="77" t="s">
        <v>8278</v>
      </c>
      <c r="AE142" s="80" t="str">
        <f>HYPERLINK("https://twitter.com/wallfigueiredo/status/1678120366735081472")</f>
        <v>https://twitter.com/wallfigueiredo/status/1678120366735081472</v>
      </c>
      <c r="AF142" s="79">
        <v>45116.801481481481</v>
      </c>
      <c r="AG142" s="85">
        <v>45116</v>
      </c>
      <c r="AH142" s="82" t="s">
        <v>8425</v>
      </c>
      <c r="AI142" s="77" t="b">
        <v>0</v>
      </c>
      <c r="AJ142" s="77"/>
      <c r="AK142" s="77"/>
      <c r="AL142" s="77"/>
      <c r="AM142" s="77"/>
      <c r="AN142" s="77"/>
      <c r="AO142" s="77"/>
      <c r="AP142" s="77"/>
      <c r="AQ142" s="77" t="s">
        <v>12154</v>
      </c>
      <c r="AR142" s="77"/>
      <c r="AS142" s="77"/>
      <c r="AT142" s="77"/>
      <c r="AU142" s="77"/>
      <c r="AV142" s="80" t="str">
        <f>HYPERLINK("https://pbs.twimg.com/media/F0nhk3BWcAUvr7v.png")</f>
        <v>https://pbs.twimg.com/media/F0nhk3BWcAUvr7v.png</v>
      </c>
      <c r="AW142" s="82" t="s">
        <v>13245</v>
      </c>
      <c r="AX142" s="82" t="s">
        <v>13245</v>
      </c>
      <c r="AY142" s="77"/>
      <c r="AZ142" s="82" t="s">
        <v>17385</v>
      </c>
      <c r="BA142" s="82" t="s">
        <v>17385</v>
      </c>
      <c r="BB142" s="82" t="s">
        <v>17385</v>
      </c>
      <c r="BC142" s="82" t="s">
        <v>13245</v>
      </c>
      <c r="BD142" s="77">
        <v>86310384</v>
      </c>
      <c r="BE142" s="77"/>
      <c r="BF142" s="77"/>
      <c r="BG142" s="77"/>
      <c r="BH142" s="77"/>
      <c r="BI142" s="77"/>
    </row>
    <row r="143" spans="1:61" x14ac:dyDescent="0.25">
      <c r="A143" s="62" t="s">
        <v>263</v>
      </c>
      <c r="B143" s="62" t="s">
        <v>263</v>
      </c>
      <c r="C143" s="63"/>
      <c r="D143" s="64"/>
      <c r="E143" s="65"/>
      <c r="F143" s="66"/>
      <c r="G143" s="63"/>
      <c r="H143" s="67"/>
      <c r="I143" s="68"/>
      <c r="J143" s="68"/>
      <c r="K143" s="32"/>
      <c r="L143" s="75">
        <v>143</v>
      </c>
      <c r="M143" s="75"/>
      <c r="N143" s="70"/>
      <c r="O143" s="77" t="s">
        <v>179</v>
      </c>
      <c r="P143" s="79">
        <v>45116.800856481481</v>
      </c>
      <c r="Q143" s="77" t="s">
        <v>942</v>
      </c>
      <c r="R143" s="77">
        <v>0</v>
      </c>
      <c r="S143" s="77">
        <v>0</v>
      </c>
      <c r="T143" s="77">
        <v>0</v>
      </c>
      <c r="U143" s="77">
        <v>0</v>
      </c>
      <c r="V143" s="77">
        <v>60</v>
      </c>
      <c r="W143" s="82" t="s">
        <v>4835</v>
      </c>
      <c r="X143" s="80" t="str">
        <f>HYPERLINK("http://www.quotebr.com/download.php")</f>
        <v>http://www.quotebr.com/download.php</v>
      </c>
      <c r="Y143" s="77" t="s">
        <v>7067</v>
      </c>
      <c r="Z143" s="77"/>
      <c r="AA143" s="77" t="s">
        <v>7270</v>
      </c>
      <c r="AB143" s="77" t="s">
        <v>8225</v>
      </c>
      <c r="AC143" s="82" t="s">
        <v>8232</v>
      </c>
      <c r="AD143" s="77" t="s">
        <v>8278</v>
      </c>
      <c r="AE143" s="80" t="str">
        <f>HYPERLINK("https://twitter.com/wallfigueiredo/status/1678120140347416580")</f>
        <v>https://twitter.com/wallfigueiredo/status/1678120140347416580</v>
      </c>
      <c r="AF143" s="79">
        <v>45116.800856481481</v>
      </c>
      <c r="AG143" s="85">
        <v>45116</v>
      </c>
      <c r="AH143" s="82" t="s">
        <v>8426</v>
      </c>
      <c r="AI143" s="77" t="b">
        <v>0</v>
      </c>
      <c r="AJ143" s="77"/>
      <c r="AK143" s="77"/>
      <c r="AL143" s="77"/>
      <c r="AM143" s="77"/>
      <c r="AN143" s="77"/>
      <c r="AO143" s="77"/>
      <c r="AP143" s="77"/>
      <c r="AQ143" s="77" t="s">
        <v>12155</v>
      </c>
      <c r="AR143" s="77"/>
      <c r="AS143" s="77"/>
      <c r="AT143" s="77"/>
      <c r="AU143" s="77"/>
      <c r="AV143" s="80" t="str">
        <f>HYPERLINK("https://pbs.twimg.com/media/F0nhWheWcAEQTMZ.png")</f>
        <v>https://pbs.twimg.com/media/F0nhWheWcAEQTMZ.png</v>
      </c>
      <c r="AW143" s="82" t="s">
        <v>13246</v>
      </c>
      <c r="AX143" s="82" t="s">
        <v>13246</v>
      </c>
      <c r="AY143" s="77"/>
      <c r="AZ143" s="82" t="s">
        <v>17385</v>
      </c>
      <c r="BA143" s="82" t="s">
        <v>17385</v>
      </c>
      <c r="BB143" s="82" t="s">
        <v>17385</v>
      </c>
      <c r="BC143" s="82" t="s">
        <v>13246</v>
      </c>
      <c r="BD143" s="77">
        <v>86310384</v>
      </c>
      <c r="BE143" s="77"/>
      <c r="BF143" s="77"/>
      <c r="BG143" s="77"/>
      <c r="BH143" s="77"/>
      <c r="BI143" s="77"/>
    </row>
    <row r="144" spans="1:61" x14ac:dyDescent="0.25">
      <c r="A144" s="62" t="s">
        <v>263</v>
      </c>
      <c r="B144" s="62" t="s">
        <v>263</v>
      </c>
      <c r="C144" s="63"/>
      <c r="D144" s="64"/>
      <c r="E144" s="65"/>
      <c r="F144" s="66"/>
      <c r="G144" s="63"/>
      <c r="H144" s="67"/>
      <c r="I144" s="68"/>
      <c r="J144" s="68"/>
      <c r="K144" s="32"/>
      <c r="L144" s="75">
        <v>144</v>
      </c>
      <c r="M144" s="75"/>
      <c r="N144" s="70"/>
      <c r="O144" s="77" t="s">
        <v>179</v>
      </c>
      <c r="P144" s="79">
        <v>45116.799849537034</v>
      </c>
      <c r="Q144" s="77" t="s">
        <v>943</v>
      </c>
      <c r="R144" s="77">
        <v>0</v>
      </c>
      <c r="S144" s="77">
        <v>1</v>
      </c>
      <c r="T144" s="77">
        <v>0</v>
      </c>
      <c r="U144" s="77">
        <v>0</v>
      </c>
      <c r="V144" s="77">
        <v>67</v>
      </c>
      <c r="W144" s="82" t="s">
        <v>4835</v>
      </c>
      <c r="X144" s="80" t="str">
        <f>HYPERLINK("http://www.quotebr.com/download.php")</f>
        <v>http://www.quotebr.com/download.php</v>
      </c>
      <c r="Y144" s="77" t="s">
        <v>7067</v>
      </c>
      <c r="Z144" s="77"/>
      <c r="AA144" s="77" t="s">
        <v>7271</v>
      </c>
      <c r="AB144" s="77" t="s">
        <v>8225</v>
      </c>
      <c r="AC144" s="82" t="s">
        <v>8232</v>
      </c>
      <c r="AD144" s="77" t="s">
        <v>8278</v>
      </c>
      <c r="AE144" s="80" t="str">
        <f>HYPERLINK("https://twitter.com/wallfigueiredo/status/1678119778706178051")</f>
        <v>https://twitter.com/wallfigueiredo/status/1678119778706178051</v>
      </c>
      <c r="AF144" s="79">
        <v>45116.799849537034</v>
      </c>
      <c r="AG144" s="85">
        <v>45116</v>
      </c>
      <c r="AH144" s="82" t="s">
        <v>8427</v>
      </c>
      <c r="AI144" s="77" t="b">
        <v>0</v>
      </c>
      <c r="AJ144" s="77"/>
      <c r="AK144" s="77"/>
      <c r="AL144" s="77"/>
      <c r="AM144" s="77"/>
      <c r="AN144" s="77"/>
      <c r="AO144" s="77"/>
      <c r="AP144" s="77"/>
      <c r="AQ144" s="77" t="s">
        <v>12156</v>
      </c>
      <c r="AR144" s="77"/>
      <c r="AS144" s="77"/>
      <c r="AT144" s="77"/>
      <c r="AU144" s="77"/>
      <c r="AV144" s="80" t="str">
        <f>HYPERLINK("https://pbs.twimg.com/media/F0nhBIsWAAIzr8k.png")</f>
        <v>https://pbs.twimg.com/media/F0nhBIsWAAIzr8k.png</v>
      </c>
      <c r="AW144" s="82" t="s">
        <v>13247</v>
      </c>
      <c r="AX144" s="82" t="s">
        <v>13247</v>
      </c>
      <c r="AY144" s="77"/>
      <c r="AZ144" s="82" t="s">
        <v>17385</v>
      </c>
      <c r="BA144" s="82" t="s">
        <v>17385</v>
      </c>
      <c r="BB144" s="82" t="s">
        <v>17385</v>
      </c>
      <c r="BC144" s="82" t="s">
        <v>13247</v>
      </c>
      <c r="BD144" s="77">
        <v>86310384</v>
      </c>
      <c r="BE144" s="77"/>
      <c r="BF144" s="77"/>
      <c r="BG144" s="77"/>
      <c r="BH144" s="77"/>
      <c r="BI144" s="77"/>
    </row>
    <row r="145" spans="1:61" x14ac:dyDescent="0.25">
      <c r="A145" s="62" t="s">
        <v>263</v>
      </c>
      <c r="B145" s="62" t="s">
        <v>263</v>
      </c>
      <c r="C145" s="63"/>
      <c r="D145" s="64"/>
      <c r="E145" s="65"/>
      <c r="F145" s="66"/>
      <c r="G145" s="63"/>
      <c r="H145" s="67"/>
      <c r="I145" s="68"/>
      <c r="J145" s="68"/>
      <c r="K145" s="32"/>
      <c r="L145" s="75">
        <v>145</v>
      </c>
      <c r="M145" s="75"/>
      <c r="N145" s="70"/>
      <c r="O145" s="77" t="s">
        <v>179</v>
      </c>
      <c r="P145" s="79">
        <v>45108.810763888891</v>
      </c>
      <c r="Q145" s="77" t="s">
        <v>944</v>
      </c>
      <c r="R145" s="77">
        <v>0</v>
      </c>
      <c r="S145" s="77">
        <v>1</v>
      </c>
      <c r="T145" s="77">
        <v>0</v>
      </c>
      <c r="U145" s="77">
        <v>0</v>
      </c>
      <c r="V145" s="77">
        <v>62</v>
      </c>
      <c r="W145" s="82" t="s">
        <v>4835</v>
      </c>
      <c r="X145" s="80" t="str">
        <f>HYPERLINK("http://www.quotebr.com/download.php")</f>
        <v>http://www.quotebr.com/download.php</v>
      </c>
      <c r="Y145" s="77" t="s">
        <v>7067</v>
      </c>
      <c r="Z145" s="77"/>
      <c r="AA145" s="77" t="s">
        <v>7272</v>
      </c>
      <c r="AB145" s="77" t="s">
        <v>8225</v>
      </c>
      <c r="AC145" s="82" t="s">
        <v>8232</v>
      </c>
      <c r="AD145" s="77" t="s">
        <v>8278</v>
      </c>
      <c r="AE145" s="80" t="str">
        <f>HYPERLINK("https://twitter.com/wallfigueiredo/status/1675224628631937024")</f>
        <v>https://twitter.com/wallfigueiredo/status/1675224628631937024</v>
      </c>
      <c r="AF145" s="79">
        <v>45108.810763888891</v>
      </c>
      <c r="AG145" s="85">
        <v>45108</v>
      </c>
      <c r="AH145" s="82" t="s">
        <v>8428</v>
      </c>
      <c r="AI145" s="77" t="b">
        <v>0</v>
      </c>
      <c r="AJ145" s="77"/>
      <c r="AK145" s="77"/>
      <c r="AL145" s="77"/>
      <c r="AM145" s="77"/>
      <c r="AN145" s="77"/>
      <c r="AO145" s="77"/>
      <c r="AP145" s="77"/>
      <c r="AQ145" s="77" t="s">
        <v>12157</v>
      </c>
      <c r="AR145" s="77"/>
      <c r="AS145" s="77"/>
      <c r="AT145" s="77"/>
      <c r="AU145" s="77"/>
      <c r="AV145" s="80" t="str">
        <f>HYPERLINK("https://pbs.twimg.com/media/Fz-X6PzX0AE_eQN.png")</f>
        <v>https://pbs.twimg.com/media/Fz-X6PzX0AE_eQN.png</v>
      </c>
      <c r="AW145" s="82" t="s">
        <v>13248</v>
      </c>
      <c r="AX145" s="82" t="s">
        <v>13248</v>
      </c>
      <c r="AY145" s="77"/>
      <c r="AZ145" s="82" t="s">
        <v>17385</v>
      </c>
      <c r="BA145" s="82" t="s">
        <v>17385</v>
      </c>
      <c r="BB145" s="82" t="s">
        <v>17385</v>
      </c>
      <c r="BC145" s="82" t="s">
        <v>13248</v>
      </c>
      <c r="BD145" s="77">
        <v>86310384</v>
      </c>
      <c r="BE145" s="77"/>
      <c r="BF145" s="77"/>
      <c r="BG145" s="77"/>
      <c r="BH145" s="77"/>
      <c r="BI145" s="77"/>
    </row>
    <row r="146" spans="1:61" x14ac:dyDescent="0.25">
      <c r="A146" s="62" t="s">
        <v>263</v>
      </c>
      <c r="B146" s="62" t="s">
        <v>263</v>
      </c>
      <c r="C146" s="63"/>
      <c r="D146" s="64"/>
      <c r="E146" s="65"/>
      <c r="F146" s="66"/>
      <c r="G146" s="63"/>
      <c r="H146" s="67"/>
      <c r="I146" s="68"/>
      <c r="J146" s="68"/>
      <c r="K146" s="32"/>
      <c r="L146" s="75">
        <v>146</v>
      </c>
      <c r="M146" s="75"/>
      <c r="N146" s="70"/>
      <c r="O146" s="77" t="s">
        <v>179</v>
      </c>
      <c r="P146" s="79">
        <v>45108.810358796298</v>
      </c>
      <c r="Q146" s="77" t="s">
        <v>945</v>
      </c>
      <c r="R146" s="77">
        <v>0</v>
      </c>
      <c r="S146" s="77">
        <v>2</v>
      </c>
      <c r="T146" s="77">
        <v>0</v>
      </c>
      <c r="U146" s="77">
        <v>0</v>
      </c>
      <c r="V146" s="77">
        <v>61</v>
      </c>
      <c r="W146" s="82" t="s">
        <v>4917</v>
      </c>
      <c r="X146" s="80" t="str">
        <f>HYPERLINK("http://www.quotebr.com/download.php")</f>
        <v>http://www.quotebr.com/download.php</v>
      </c>
      <c r="Y146" s="77" t="s">
        <v>7067</v>
      </c>
      <c r="Z146" s="77"/>
      <c r="AA146" s="77" t="s">
        <v>7273</v>
      </c>
      <c r="AB146" s="77" t="s">
        <v>8225</v>
      </c>
      <c r="AC146" s="82" t="s">
        <v>8232</v>
      </c>
      <c r="AD146" s="77" t="s">
        <v>8278</v>
      </c>
      <c r="AE146" s="80" t="str">
        <f>HYPERLINK("https://twitter.com/wallfigueiredo/status/1675224481495654405")</f>
        <v>https://twitter.com/wallfigueiredo/status/1675224481495654405</v>
      </c>
      <c r="AF146" s="79">
        <v>45108.810358796298</v>
      </c>
      <c r="AG146" s="85">
        <v>45108</v>
      </c>
      <c r="AH146" s="82" t="s">
        <v>8429</v>
      </c>
      <c r="AI146" s="77" t="b">
        <v>0</v>
      </c>
      <c r="AJ146" s="77"/>
      <c r="AK146" s="77"/>
      <c r="AL146" s="77"/>
      <c r="AM146" s="77"/>
      <c r="AN146" s="77"/>
      <c r="AO146" s="77"/>
      <c r="AP146" s="77"/>
      <c r="AQ146" s="77" t="s">
        <v>12158</v>
      </c>
      <c r="AR146" s="77"/>
      <c r="AS146" s="77"/>
      <c r="AT146" s="77"/>
      <c r="AU146" s="77"/>
      <c r="AV146" s="80" t="str">
        <f>HYPERLINK("https://pbs.twimg.com/media/Fz-XyPhXgAAEbk8.png")</f>
        <v>https://pbs.twimg.com/media/Fz-XyPhXgAAEbk8.png</v>
      </c>
      <c r="AW146" s="82" t="s">
        <v>13249</v>
      </c>
      <c r="AX146" s="82" t="s">
        <v>13249</v>
      </c>
      <c r="AY146" s="77"/>
      <c r="AZ146" s="82" t="s">
        <v>17385</v>
      </c>
      <c r="BA146" s="82" t="s">
        <v>17385</v>
      </c>
      <c r="BB146" s="82" t="s">
        <v>17385</v>
      </c>
      <c r="BC146" s="82" t="s">
        <v>13249</v>
      </c>
      <c r="BD146" s="77">
        <v>86310384</v>
      </c>
      <c r="BE146" s="77"/>
      <c r="BF146" s="77"/>
      <c r="BG146" s="77"/>
      <c r="BH146" s="77"/>
      <c r="BI146" s="77"/>
    </row>
    <row r="147" spans="1:61" x14ac:dyDescent="0.25">
      <c r="A147" s="62" t="s">
        <v>263</v>
      </c>
      <c r="B147" s="62" t="s">
        <v>263</v>
      </c>
      <c r="C147" s="63"/>
      <c r="D147" s="64"/>
      <c r="E147" s="65"/>
      <c r="F147" s="66"/>
      <c r="G147" s="63"/>
      <c r="H147" s="67"/>
      <c r="I147" s="68"/>
      <c r="J147" s="68"/>
      <c r="K147" s="32"/>
      <c r="L147" s="75">
        <v>147</v>
      </c>
      <c r="M147" s="75"/>
      <c r="N147" s="70"/>
      <c r="O147" s="77" t="s">
        <v>179</v>
      </c>
      <c r="P147" s="79">
        <v>45108.809907407405</v>
      </c>
      <c r="Q147" s="77" t="s">
        <v>946</v>
      </c>
      <c r="R147" s="77">
        <v>0</v>
      </c>
      <c r="S147" s="77">
        <v>1</v>
      </c>
      <c r="T147" s="77">
        <v>0</v>
      </c>
      <c r="U147" s="77">
        <v>0</v>
      </c>
      <c r="V147" s="77">
        <v>53</v>
      </c>
      <c r="W147" s="82" t="s">
        <v>4917</v>
      </c>
      <c r="X147" s="80" t="str">
        <f>HYPERLINK("http://www.quotebr.com/download.php")</f>
        <v>http://www.quotebr.com/download.php</v>
      </c>
      <c r="Y147" s="77" t="s">
        <v>7067</v>
      </c>
      <c r="Z147" s="77"/>
      <c r="AA147" s="77" t="s">
        <v>7274</v>
      </c>
      <c r="AB147" s="77" t="s">
        <v>8225</v>
      </c>
      <c r="AC147" s="82" t="s">
        <v>8232</v>
      </c>
      <c r="AD147" s="77" t="s">
        <v>8278</v>
      </c>
      <c r="AE147" s="80" t="str">
        <f>HYPERLINK("https://twitter.com/wallfigueiredo/status/1675224320916717568")</f>
        <v>https://twitter.com/wallfigueiredo/status/1675224320916717568</v>
      </c>
      <c r="AF147" s="79">
        <v>45108.809907407405</v>
      </c>
      <c r="AG147" s="85">
        <v>45108</v>
      </c>
      <c r="AH147" s="82" t="s">
        <v>8430</v>
      </c>
      <c r="AI147" s="77" t="b">
        <v>0</v>
      </c>
      <c r="AJ147" s="77"/>
      <c r="AK147" s="77"/>
      <c r="AL147" s="77"/>
      <c r="AM147" s="77"/>
      <c r="AN147" s="77"/>
      <c r="AO147" s="77"/>
      <c r="AP147" s="77"/>
      <c r="AQ147" s="77" t="s">
        <v>12159</v>
      </c>
      <c r="AR147" s="77"/>
      <c r="AS147" s="77"/>
      <c r="AT147" s="77"/>
      <c r="AU147" s="77"/>
      <c r="AV147" s="80" t="str">
        <f>HYPERLINK("https://pbs.twimg.com/media/Fz-XotrWwAAb1EM.png")</f>
        <v>https://pbs.twimg.com/media/Fz-XotrWwAAb1EM.png</v>
      </c>
      <c r="AW147" s="82" t="s">
        <v>13250</v>
      </c>
      <c r="AX147" s="82" t="s">
        <v>13250</v>
      </c>
      <c r="AY147" s="77"/>
      <c r="AZ147" s="82" t="s">
        <v>17385</v>
      </c>
      <c r="BA147" s="82" t="s">
        <v>17385</v>
      </c>
      <c r="BB147" s="82" t="s">
        <v>17385</v>
      </c>
      <c r="BC147" s="82" t="s">
        <v>13250</v>
      </c>
      <c r="BD147" s="77">
        <v>86310384</v>
      </c>
      <c r="BE147" s="77"/>
      <c r="BF147" s="77"/>
      <c r="BG147" s="77"/>
      <c r="BH147" s="77"/>
      <c r="BI147" s="77"/>
    </row>
    <row r="148" spans="1:61" x14ac:dyDescent="0.25">
      <c r="A148" s="62" t="s">
        <v>263</v>
      </c>
      <c r="B148" s="62" t="s">
        <v>263</v>
      </c>
      <c r="C148" s="63"/>
      <c r="D148" s="64"/>
      <c r="E148" s="65"/>
      <c r="F148" s="66"/>
      <c r="G148" s="63"/>
      <c r="H148" s="67"/>
      <c r="I148" s="68"/>
      <c r="J148" s="68"/>
      <c r="K148" s="32"/>
      <c r="L148" s="75">
        <v>148</v>
      </c>
      <c r="M148" s="75"/>
      <c r="N148" s="70"/>
      <c r="O148" s="77" t="s">
        <v>179</v>
      </c>
      <c r="P148" s="79">
        <v>45108.809467592589</v>
      </c>
      <c r="Q148" s="77" t="s">
        <v>947</v>
      </c>
      <c r="R148" s="77">
        <v>0</v>
      </c>
      <c r="S148" s="77">
        <v>1</v>
      </c>
      <c r="T148" s="77">
        <v>0</v>
      </c>
      <c r="U148" s="77">
        <v>0</v>
      </c>
      <c r="V148" s="77">
        <v>46</v>
      </c>
      <c r="W148" s="82" t="s">
        <v>4835</v>
      </c>
      <c r="X148" s="80" t="str">
        <f>HYPERLINK("http://www.quotebr.com/download.php")</f>
        <v>http://www.quotebr.com/download.php</v>
      </c>
      <c r="Y148" s="77" t="s">
        <v>7067</v>
      </c>
      <c r="Z148" s="77"/>
      <c r="AA148" s="77" t="s">
        <v>7275</v>
      </c>
      <c r="AB148" s="77" t="s">
        <v>8225</v>
      </c>
      <c r="AC148" s="82" t="s">
        <v>8232</v>
      </c>
      <c r="AD148" s="77" t="s">
        <v>8278</v>
      </c>
      <c r="AE148" s="80" t="str">
        <f>HYPERLINK("https://twitter.com/wallfigueiredo/status/1675224159243194368")</f>
        <v>https://twitter.com/wallfigueiredo/status/1675224159243194368</v>
      </c>
      <c r="AF148" s="79">
        <v>45108.809467592589</v>
      </c>
      <c r="AG148" s="85">
        <v>45108</v>
      </c>
      <c r="AH148" s="82" t="s">
        <v>8431</v>
      </c>
      <c r="AI148" s="77" t="b">
        <v>0</v>
      </c>
      <c r="AJ148" s="77"/>
      <c r="AK148" s="77"/>
      <c r="AL148" s="77"/>
      <c r="AM148" s="77"/>
      <c r="AN148" s="77"/>
      <c r="AO148" s="77"/>
      <c r="AP148" s="77"/>
      <c r="AQ148" s="77" t="s">
        <v>12160</v>
      </c>
      <c r="AR148" s="77"/>
      <c r="AS148" s="77"/>
      <c r="AT148" s="77"/>
      <c r="AU148" s="77"/>
      <c r="AV148" s="80" t="str">
        <f>HYPERLINK("https://pbs.twimg.com/media/Fz-XfhqWwAADkNQ.png")</f>
        <v>https://pbs.twimg.com/media/Fz-XfhqWwAADkNQ.png</v>
      </c>
      <c r="AW148" s="82" t="s">
        <v>13251</v>
      </c>
      <c r="AX148" s="82" t="s">
        <v>13251</v>
      </c>
      <c r="AY148" s="77"/>
      <c r="AZ148" s="82" t="s">
        <v>17385</v>
      </c>
      <c r="BA148" s="82" t="s">
        <v>17385</v>
      </c>
      <c r="BB148" s="82" t="s">
        <v>17385</v>
      </c>
      <c r="BC148" s="82" t="s">
        <v>13251</v>
      </c>
      <c r="BD148" s="77">
        <v>86310384</v>
      </c>
      <c r="BE148" s="77"/>
      <c r="BF148" s="77"/>
      <c r="BG148" s="77"/>
      <c r="BH148" s="77"/>
      <c r="BI148" s="77"/>
    </row>
    <row r="149" spans="1:61" x14ac:dyDescent="0.25">
      <c r="A149" s="62" t="s">
        <v>263</v>
      </c>
      <c r="B149" s="62" t="s">
        <v>263</v>
      </c>
      <c r="C149" s="63"/>
      <c r="D149" s="64"/>
      <c r="E149" s="65"/>
      <c r="F149" s="66"/>
      <c r="G149" s="63"/>
      <c r="H149" s="67"/>
      <c r="I149" s="68"/>
      <c r="J149" s="68"/>
      <c r="K149" s="32"/>
      <c r="L149" s="75">
        <v>149</v>
      </c>
      <c r="M149" s="75"/>
      <c r="N149" s="70"/>
      <c r="O149" s="77" t="s">
        <v>179</v>
      </c>
      <c r="P149" s="79">
        <v>45108.809016203704</v>
      </c>
      <c r="Q149" s="77" t="s">
        <v>948</v>
      </c>
      <c r="R149" s="77">
        <v>0</v>
      </c>
      <c r="S149" s="77">
        <v>1</v>
      </c>
      <c r="T149" s="77">
        <v>0</v>
      </c>
      <c r="U149" s="77">
        <v>0</v>
      </c>
      <c r="V149" s="77">
        <v>51</v>
      </c>
      <c r="W149" s="82" t="s">
        <v>4917</v>
      </c>
      <c r="X149" s="80" t="str">
        <f>HYPERLINK("http://www.quotebr.com/download.php")</f>
        <v>http://www.quotebr.com/download.php</v>
      </c>
      <c r="Y149" s="77" t="s">
        <v>7067</v>
      </c>
      <c r="Z149" s="77"/>
      <c r="AA149" s="77" t="s">
        <v>7276</v>
      </c>
      <c r="AB149" s="77" t="s">
        <v>8225</v>
      </c>
      <c r="AC149" s="82" t="s">
        <v>8232</v>
      </c>
      <c r="AD149" s="77" t="s">
        <v>8278</v>
      </c>
      <c r="AE149" s="80" t="str">
        <f>HYPERLINK("https://twitter.com/wallfigueiredo/status/1675223997645029377")</f>
        <v>https://twitter.com/wallfigueiredo/status/1675223997645029377</v>
      </c>
      <c r="AF149" s="79">
        <v>45108.809016203704</v>
      </c>
      <c r="AG149" s="85">
        <v>45108</v>
      </c>
      <c r="AH149" s="82" t="s">
        <v>8432</v>
      </c>
      <c r="AI149" s="77" t="b">
        <v>0</v>
      </c>
      <c r="AJ149" s="77"/>
      <c r="AK149" s="77"/>
      <c r="AL149" s="77"/>
      <c r="AM149" s="77"/>
      <c r="AN149" s="77"/>
      <c r="AO149" s="77"/>
      <c r="AP149" s="77"/>
      <c r="AQ149" s="77" t="s">
        <v>12161</v>
      </c>
      <c r="AR149" s="77"/>
      <c r="AS149" s="77"/>
      <c r="AT149" s="77"/>
      <c r="AU149" s="77"/>
      <c r="AV149" s="80" t="str">
        <f>HYPERLINK("https://pbs.twimg.com/media/Fz-XWCIWYAM5qwV.png")</f>
        <v>https://pbs.twimg.com/media/Fz-XWCIWYAM5qwV.png</v>
      </c>
      <c r="AW149" s="82" t="s">
        <v>13252</v>
      </c>
      <c r="AX149" s="82" t="s">
        <v>13252</v>
      </c>
      <c r="AY149" s="77"/>
      <c r="AZ149" s="82" t="s">
        <v>17385</v>
      </c>
      <c r="BA149" s="82" t="s">
        <v>17385</v>
      </c>
      <c r="BB149" s="82" t="s">
        <v>17385</v>
      </c>
      <c r="BC149" s="82" t="s">
        <v>13252</v>
      </c>
      <c r="BD149" s="77">
        <v>86310384</v>
      </c>
      <c r="BE149" s="77"/>
      <c r="BF149" s="77"/>
      <c r="BG149" s="77"/>
      <c r="BH149" s="77"/>
      <c r="BI149" s="77"/>
    </row>
    <row r="150" spans="1:61" x14ac:dyDescent="0.25">
      <c r="A150" s="62" t="s">
        <v>263</v>
      </c>
      <c r="B150" s="62" t="s">
        <v>263</v>
      </c>
      <c r="C150" s="63"/>
      <c r="D150" s="64"/>
      <c r="E150" s="65"/>
      <c r="F150" s="66"/>
      <c r="G150" s="63"/>
      <c r="H150" s="67"/>
      <c r="I150" s="68"/>
      <c r="J150" s="68"/>
      <c r="K150" s="32"/>
      <c r="L150" s="75">
        <v>150</v>
      </c>
      <c r="M150" s="75"/>
      <c r="N150" s="70"/>
      <c r="O150" s="77" t="s">
        <v>179</v>
      </c>
      <c r="P150" s="79">
        <v>45108.808495370373</v>
      </c>
      <c r="Q150" s="77" t="s">
        <v>949</v>
      </c>
      <c r="R150" s="77">
        <v>0</v>
      </c>
      <c r="S150" s="77">
        <v>1</v>
      </c>
      <c r="T150" s="77">
        <v>0</v>
      </c>
      <c r="U150" s="77">
        <v>0</v>
      </c>
      <c r="V150" s="77">
        <v>47</v>
      </c>
      <c r="W150" s="82" t="s">
        <v>4917</v>
      </c>
      <c r="X150" s="80" t="str">
        <f>HYPERLINK("http://www.quotebr.com/download.php")</f>
        <v>http://www.quotebr.com/download.php</v>
      </c>
      <c r="Y150" s="77" t="s">
        <v>7067</v>
      </c>
      <c r="Z150" s="77"/>
      <c r="AA150" s="77" t="s">
        <v>7277</v>
      </c>
      <c r="AB150" s="77" t="s">
        <v>8225</v>
      </c>
      <c r="AC150" s="82" t="s">
        <v>8232</v>
      </c>
      <c r="AD150" s="77" t="s">
        <v>8278</v>
      </c>
      <c r="AE150" s="80" t="str">
        <f>HYPERLINK("https://twitter.com/wallfigueiredo/status/1675223808993574913")</f>
        <v>https://twitter.com/wallfigueiredo/status/1675223808993574913</v>
      </c>
      <c r="AF150" s="79">
        <v>45108.808495370373</v>
      </c>
      <c r="AG150" s="85">
        <v>45108</v>
      </c>
      <c r="AH150" s="82" t="s">
        <v>8433</v>
      </c>
      <c r="AI150" s="77" t="b">
        <v>0</v>
      </c>
      <c r="AJ150" s="77"/>
      <c r="AK150" s="77"/>
      <c r="AL150" s="77"/>
      <c r="AM150" s="77"/>
      <c r="AN150" s="77"/>
      <c r="AO150" s="77"/>
      <c r="AP150" s="77"/>
      <c r="AQ150" s="77" t="s">
        <v>12162</v>
      </c>
      <c r="AR150" s="77"/>
      <c r="AS150" s="77"/>
      <c r="AT150" s="77"/>
      <c r="AU150" s="77"/>
      <c r="AV150" s="80" t="str">
        <f>HYPERLINK("https://pbs.twimg.com/media/Fz-XK4RWAAAtXkC.png")</f>
        <v>https://pbs.twimg.com/media/Fz-XK4RWAAAtXkC.png</v>
      </c>
      <c r="AW150" s="82" t="s">
        <v>13253</v>
      </c>
      <c r="AX150" s="82" t="s">
        <v>13253</v>
      </c>
      <c r="AY150" s="77"/>
      <c r="AZ150" s="82" t="s">
        <v>17385</v>
      </c>
      <c r="BA150" s="82" t="s">
        <v>17385</v>
      </c>
      <c r="BB150" s="82" t="s">
        <v>17385</v>
      </c>
      <c r="BC150" s="82" t="s">
        <v>13253</v>
      </c>
      <c r="BD150" s="77">
        <v>86310384</v>
      </c>
      <c r="BE150" s="77"/>
      <c r="BF150" s="77"/>
      <c r="BG150" s="77"/>
      <c r="BH150" s="77"/>
      <c r="BI150" s="77"/>
    </row>
    <row r="151" spans="1:61" x14ac:dyDescent="0.25">
      <c r="A151" s="62" t="s">
        <v>263</v>
      </c>
      <c r="B151" s="62" t="s">
        <v>263</v>
      </c>
      <c r="C151" s="63"/>
      <c r="D151" s="64"/>
      <c r="E151" s="65"/>
      <c r="F151" s="66"/>
      <c r="G151" s="63"/>
      <c r="H151" s="67"/>
      <c r="I151" s="68"/>
      <c r="J151" s="68"/>
      <c r="K151" s="32"/>
      <c r="L151" s="75">
        <v>151</v>
      </c>
      <c r="M151" s="75"/>
      <c r="N151" s="70"/>
      <c r="O151" s="77" t="s">
        <v>179</v>
      </c>
      <c r="P151" s="79">
        <v>45108.807962962965</v>
      </c>
      <c r="Q151" s="77" t="s">
        <v>950</v>
      </c>
      <c r="R151" s="77">
        <v>0</v>
      </c>
      <c r="S151" s="77">
        <v>1</v>
      </c>
      <c r="T151" s="77">
        <v>0</v>
      </c>
      <c r="U151" s="77">
        <v>0</v>
      </c>
      <c r="V151" s="77">
        <v>48</v>
      </c>
      <c r="W151" s="82" t="s">
        <v>4835</v>
      </c>
      <c r="X151" s="80" t="str">
        <f>HYPERLINK("http://www.quotebr.com/download.php")</f>
        <v>http://www.quotebr.com/download.php</v>
      </c>
      <c r="Y151" s="77" t="s">
        <v>7067</v>
      </c>
      <c r="Z151" s="77"/>
      <c r="AA151" s="77" t="s">
        <v>7278</v>
      </c>
      <c r="AB151" s="77" t="s">
        <v>8225</v>
      </c>
      <c r="AC151" s="82" t="s">
        <v>8232</v>
      </c>
      <c r="AD151" s="77" t="s">
        <v>8278</v>
      </c>
      <c r="AE151" s="80" t="str">
        <f>HYPERLINK("https://twitter.com/wallfigueiredo/status/1675223613174165504")</f>
        <v>https://twitter.com/wallfigueiredo/status/1675223613174165504</v>
      </c>
      <c r="AF151" s="79">
        <v>45108.807962962965</v>
      </c>
      <c r="AG151" s="85">
        <v>45108</v>
      </c>
      <c r="AH151" s="82" t="s">
        <v>8434</v>
      </c>
      <c r="AI151" s="77" t="b">
        <v>0</v>
      </c>
      <c r="AJ151" s="77"/>
      <c r="AK151" s="77"/>
      <c r="AL151" s="77"/>
      <c r="AM151" s="77"/>
      <c r="AN151" s="77"/>
      <c r="AO151" s="77"/>
      <c r="AP151" s="77"/>
      <c r="AQ151" s="77" t="s">
        <v>12163</v>
      </c>
      <c r="AR151" s="77"/>
      <c r="AS151" s="77"/>
      <c r="AT151" s="77"/>
      <c r="AU151" s="77"/>
      <c r="AV151" s="80" t="str">
        <f>HYPERLINK("https://pbs.twimg.com/media/Fz-W_oQWIAYg_94.png")</f>
        <v>https://pbs.twimg.com/media/Fz-W_oQWIAYg_94.png</v>
      </c>
      <c r="AW151" s="82" t="s">
        <v>13254</v>
      </c>
      <c r="AX151" s="82" t="s">
        <v>13254</v>
      </c>
      <c r="AY151" s="77"/>
      <c r="AZ151" s="82" t="s">
        <v>17385</v>
      </c>
      <c r="BA151" s="82" t="s">
        <v>17385</v>
      </c>
      <c r="BB151" s="82" t="s">
        <v>17385</v>
      </c>
      <c r="BC151" s="82" t="s">
        <v>13254</v>
      </c>
      <c r="BD151" s="77">
        <v>86310384</v>
      </c>
      <c r="BE151" s="77"/>
      <c r="BF151" s="77"/>
      <c r="BG151" s="77"/>
      <c r="BH151" s="77"/>
      <c r="BI151" s="77"/>
    </row>
    <row r="152" spans="1:61" x14ac:dyDescent="0.25">
      <c r="A152" s="62" t="s">
        <v>263</v>
      </c>
      <c r="B152" s="62" t="s">
        <v>263</v>
      </c>
      <c r="C152" s="63"/>
      <c r="D152" s="64"/>
      <c r="E152" s="65"/>
      <c r="F152" s="66"/>
      <c r="G152" s="63"/>
      <c r="H152" s="67"/>
      <c r="I152" s="68"/>
      <c r="J152" s="68"/>
      <c r="K152" s="32"/>
      <c r="L152" s="75">
        <v>152</v>
      </c>
      <c r="M152" s="75"/>
      <c r="N152" s="70"/>
      <c r="O152" s="77" t="s">
        <v>179</v>
      </c>
      <c r="P152" s="79">
        <v>45108.80741898148</v>
      </c>
      <c r="Q152" s="77" t="s">
        <v>951</v>
      </c>
      <c r="R152" s="77">
        <v>0</v>
      </c>
      <c r="S152" s="77">
        <v>1</v>
      </c>
      <c r="T152" s="77">
        <v>0</v>
      </c>
      <c r="U152" s="77">
        <v>0</v>
      </c>
      <c r="V152" s="77">
        <v>42</v>
      </c>
      <c r="W152" s="82" t="s">
        <v>4917</v>
      </c>
      <c r="X152" s="80" t="str">
        <f>HYPERLINK("http://www.quotebr.com/download.php")</f>
        <v>http://www.quotebr.com/download.php</v>
      </c>
      <c r="Y152" s="77" t="s">
        <v>7067</v>
      </c>
      <c r="Z152" s="77"/>
      <c r="AA152" s="77" t="s">
        <v>7279</v>
      </c>
      <c r="AB152" s="77" t="s">
        <v>8225</v>
      </c>
      <c r="AC152" s="82" t="s">
        <v>8232</v>
      </c>
      <c r="AD152" s="77" t="s">
        <v>8278</v>
      </c>
      <c r="AE152" s="80" t="str">
        <f>HYPERLINK("https://twitter.com/wallfigueiredo/status/1675223416540913668")</f>
        <v>https://twitter.com/wallfigueiredo/status/1675223416540913668</v>
      </c>
      <c r="AF152" s="79">
        <v>45108.80741898148</v>
      </c>
      <c r="AG152" s="85">
        <v>45108</v>
      </c>
      <c r="AH152" s="82" t="s">
        <v>8435</v>
      </c>
      <c r="AI152" s="77" t="b">
        <v>0</v>
      </c>
      <c r="AJ152" s="77"/>
      <c r="AK152" s="77"/>
      <c r="AL152" s="77"/>
      <c r="AM152" s="77"/>
      <c r="AN152" s="77"/>
      <c r="AO152" s="77"/>
      <c r="AP152" s="77"/>
      <c r="AQ152" s="77" t="s">
        <v>12164</v>
      </c>
      <c r="AR152" s="77"/>
      <c r="AS152" s="77"/>
      <c r="AT152" s="77"/>
      <c r="AU152" s="77"/>
      <c r="AV152" s="80" t="str">
        <f>HYPERLINK("https://pbs.twimg.com/media/Fz-W0PyXoAE0CMA.png")</f>
        <v>https://pbs.twimg.com/media/Fz-W0PyXoAE0CMA.png</v>
      </c>
      <c r="AW152" s="82" t="s">
        <v>13255</v>
      </c>
      <c r="AX152" s="82" t="s">
        <v>13255</v>
      </c>
      <c r="AY152" s="77"/>
      <c r="AZ152" s="82" t="s">
        <v>17385</v>
      </c>
      <c r="BA152" s="82" t="s">
        <v>17385</v>
      </c>
      <c r="BB152" s="82" t="s">
        <v>17385</v>
      </c>
      <c r="BC152" s="82" t="s">
        <v>13255</v>
      </c>
      <c r="BD152" s="77">
        <v>86310384</v>
      </c>
      <c r="BE152" s="77"/>
      <c r="BF152" s="77"/>
      <c r="BG152" s="77"/>
      <c r="BH152" s="77"/>
      <c r="BI152" s="77"/>
    </row>
    <row r="153" spans="1:61" x14ac:dyDescent="0.25">
      <c r="A153" s="62" t="s">
        <v>263</v>
      </c>
      <c r="B153" s="62" t="s">
        <v>263</v>
      </c>
      <c r="C153" s="63"/>
      <c r="D153" s="64"/>
      <c r="E153" s="65"/>
      <c r="F153" s="66"/>
      <c r="G153" s="63"/>
      <c r="H153" s="67"/>
      <c r="I153" s="68"/>
      <c r="J153" s="68"/>
      <c r="K153" s="32"/>
      <c r="L153" s="75">
        <v>153</v>
      </c>
      <c r="M153" s="75"/>
      <c r="N153" s="70"/>
      <c r="O153" s="77" t="s">
        <v>179</v>
      </c>
      <c r="P153" s="79">
        <v>45179.035370370373</v>
      </c>
      <c r="Q153" s="77" t="s">
        <v>952</v>
      </c>
      <c r="R153" s="77">
        <v>1</v>
      </c>
      <c r="S153" s="77">
        <v>0</v>
      </c>
      <c r="T153" s="77">
        <v>0</v>
      </c>
      <c r="U153" s="77">
        <v>0</v>
      </c>
      <c r="V153" s="77">
        <v>102</v>
      </c>
      <c r="W153" s="82" t="s">
        <v>4835</v>
      </c>
      <c r="X153" s="80" t="str">
        <f>HYPERLINK("http://www.quotebr.com/download.php")</f>
        <v>http://www.quotebr.com/download.php</v>
      </c>
      <c r="Y153" s="77" t="s">
        <v>7067</v>
      </c>
      <c r="Z153" s="77"/>
      <c r="AA153" s="77" t="s">
        <v>7280</v>
      </c>
      <c r="AB153" s="77" t="s">
        <v>8225</v>
      </c>
      <c r="AC153" s="82" t="s">
        <v>8232</v>
      </c>
      <c r="AD153" s="77" t="s">
        <v>8278</v>
      </c>
      <c r="AE153" s="80" t="str">
        <f>HYPERLINK("https://twitter.com/wallfigueiredo/status/1700673176336769454")</f>
        <v>https://twitter.com/wallfigueiredo/status/1700673176336769454</v>
      </c>
      <c r="AF153" s="79">
        <v>45179.035370370373</v>
      </c>
      <c r="AG153" s="85">
        <v>45179</v>
      </c>
      <c r="AH153" s="82" t="s">
        <v>8436</v>
      </c>
      <c r="AI153" s="77" t="b">
        <v>0</v>
      </c>
      <c r="AJ153" s="77"/>
      <c r="AK153" s="77"/>
      <c r="AL153" s="77"/>
      <c r="AM153" s="77"/>
      <c r="AN153" s="77"/>
      <c r="AO153" s="77"/>
      <c r="AP153" s="77"/>
      <c r="AQ153" s="77" t="s">
        <v>12165</v>
      </c>
      <c r="AR153" s="77"/>
      <c r="AS153" s="77"/>
      <c r="AT153" s="77"/>
      <c r="AU153" s="77"/>
      <c r="AV153" s="80" t="str">
        <f>HYPERLINK("https://pbs.twimg.com/media/F5oBPCUXwAA2Sj5.png")</f>
        <v>https://pbs.twimg.com/media/F5oBPCUXwAA2Sj5.png</v>
      </c>
      <c r="AW153" s="82" t="s">
        <v>13256</v>
      </c>
      <c r="AX153" s="82" t="s">
        <v>13256</v>
      </c>
      <c r="AY153" s="77"/>
      <c r="AZ153" s="82" t="s">
        <v>17385</v>
      </c>
      <c r="BA153" s="82" t="s">
        <v>17385</v>
      </c>
      <c r="BB153" s="82" t="s">
        <v>17385</v>
      </c>
      <c r="BC153" s="82" t="s">
        <v>13256</v>
      </c>
      <c r="BD153" s="77">
        <v>86310384</v>
      </c>
      <c r="BE153" s="77"/>
      <c r="BF153" s="77"/>
      <c r="BG153" s="77"/>
      <c r="BH153" s="77"/>
      <c r="BI153" s="77"/>
    </row>
    <row r="154" spans="1:61" x14ac:dyDescent="0.25">
      <c r="A154" s="62" t="s">
        <v>263</v>
      </c>
      <c r="B154" s="62" t="s">
        <v>263</v>
      </c>
      <c r="C154" s="63"/>
      <c r="D154" s="64"/>
      <c r="E154" s="65"/>
      <c r="F154" s="66"/>
      <c r="G154" s="63"/>
      <c r="H154" s="67"/>
      <c r="I154" s="68"/>
      <c r="J154" s="68"/>
      <c r="K154" s="32"/>
      <c r="L154" s="75">
        <v>154</v>
      </c>
      <c r="M154" s="75"/>
      <c r="N154" s="70"/>
      <c r="O154" s="77" t="s">
        <v>179</v>
      </c>
      <c r="P154" s="79">
        <v>45179.03497685185</v>
      </c>
      <c r="Q154" s="77" t="s">
        <v>953</v>
      </c>
      <c r="R154" s="77">
        <v>1</v>
      </c>
      <c r="S154" s="77">
        <v>1</v>
      </c>
      <c r="T154" s="77">
        <v>0</v>
      </c>
      <c r="U154" s="77">
        <v>0</v>
      </c>
      <c r="V154" s="77">
        <v>115</v>
      </c>
      <c r="W154" s="82" t="s">
        <v>4835</v>
      </c>
      <c r="X154" s="80" t="str">
        <f>HYPERLINK("http://www.quotebr.com/download.php")</f>
        <v>http://www.quotebr.com/download.php</v>
      </c>
      <c r="Y154" s="77" t="s">
        <v>7067</v>
      </c>
      <c r="Z154" s="77"/>
      <c r="AA154" s="77" t="s">
        <v>7281</v>
      </c>
      <c r="AB154" s="77" t="s">
        <v>8225</v>
      </c>
      <c r="AC154" s="82" t="s">
        <v>8232</v>
      </c>
      <c r="AD154" s="77" t="s">
        <v>8278</v>
      </c>
      <c r="AE154" s="80" t="str">
        <f>HYPERLINK("https://twitter.com/wallfigueiredo/status/1700673030874087665")</f>
        <v>https://twitter.com/wallfigueiredo/status/1700673030874087665</v>
      </c>
      <c r="AF154" s="79">
        <v>45179.03497685185</v>
      </c>
      <c r="AG154" s="85">
        <v>45179</v>
      </c>
      <c r="AH154" s="82" t="s">
        <v>8437</v>
      </c>
      <c r="AI154" s="77" t="b">
        <v>0</v>
      </c>
      <c r="AJ154" s="77"/>
      <c r="AK154" s="77"/>
      <c r="AL154" s="77"/>
      <c r="AM154" s="77"/>
      <c r="AN154" s="77"/>
      <c r="AO154" s="77"/>
      <c r="AP154" s="77"/>
      <c r="AQ154" s="77" t="s">
        <v>12166</v>
      </c>
      <c r="AR154" s="77"/>
      <c r="AS154" s="77"/>
      <c r="AT154" s="77"/>
      <c r="AU154" s="77"/>
      <c r="AV154" s="80" t="str">
        <f>HYPERLINK("https://pbs.twimg.com/media/F5oBGDuX0AAu0ny.png")</f>
        <v>https://pbs.twimg.com/media/F5oBGDuX0AAu0ny.png</v>
      </c>
      <c r="AW154" s="82" t="s">
        <v>13257</v>
      </c>
      <c r="AX154" s="82" t="s">
        <v>13257</v>
      </c>
      <c r="AY154" s="77"/>
      <c r="AZ154" s="82" t="s">
        <v>17385</v>
      </c>
      <c r="BA154" s="82" t="s">
        <v>17385</v>
      </c>
      <c r="BB154" s="82" t="s">
        <v>17385</v>
      </c>
      <c r="BC154" s="82" t="s">
        <v>13257</v>
      </c>
      <c r="BD154" s="77">
        <v>86310384</v>
      </c>
      <c r="BE154" s="77"/>
      <c r="BF154" s="77"/>
      <c r="BG154" s="77"/>
      <c r="BH154" s="77"/>
      <c r="BI154" s="77"/>
    </row>
    <row r="155" spans="1:61" x14ac:dyDescent="0.25">
      <c r="A155" s="62" t="s">
        <v>263</v>
      </c>
      <c r="B155" s="62" t="s">
        <v>263</v>
      </c>
      <c r="C155" s="63"/>
      <c r="D155" s="64"/>
      <c r="E155" s="65"/>
      <c r="F155" s="66"/>
      <c r="G155" s="63"/>
      <c r="H155" s="67"/>
      <c r="I155" s="68"/>
      <c r="J155" s="68"/>
      <c r="K155" s="32"/>
      <c r="L155" s="75">
        <v>155</v>
      </c>
      <c r="M155" s="75"/>
      <c r="N155" s="70"/>
      <c r="O155" s="77" t="s">
        <v>179</v>
      </c>
      <c r="P155" s="79">
        <v>45175.87703703704</v>
      </c>
      <c r="Q155" s="77" t="s">
        <v>954</v>
      </c>
      <c r="R155" s="77">
        <v>0</v>
      </c>
      <c r="S155" s="77">
        <v>0</v>
      </c>
      <c r="T155" s="77">
        <v>0</v>
      </c>
      <c r="U155" s="77">
        <v>0</v>
      </c>
      <c r="V155" s="77">
        <v>48</v>
      </c>
      <c r="W155" s="82" t="s">
        <v>4918</v>
      </c>
      <c r="X155" s="77"/>
      <c r="Y155" s="77"/>
      <c r="Z155" s="77"/>
      <c r="AA155" s="77" t="s">
        <v>7282</v>
      </c>
      <c r="AB155" s="77" t="s">
        <v>8225</v>
      </c>
      <c r="AC155" s="82" t="s">
        <v>8232</v>
      </c>
      <c r="AD155" s="77" t="s">
        <v>8278</v>
      </c>
      <c r="AE155" s="80" t="str">
        <f>HYPERLINK("https://twitter.com/wallfigueiredo/status/1699528633155482011")</f>
        <v>https://twitter.com/wallfigueiredo/status/1699528633155482011</v>
      </c>
      <c r="AF155" s="79">
        <v>45175.87703703704</v>
      </c>
      <c r="AG155" s="85">
        <v>45175</v>
      </c>
      <c r="AH155" s="82" t="s">
        <v>8438</v>
      </c>
      <c r="AI155" s="77" t="b">
        <v>0</v>
      </c>
      <c r="AJ155" s="77"/>
      <c r="AK155" s="77"/>
      <c r="AL155" s="77"/>
      <c r="AM155" s="77"/>
      <c r="AN155" s="77"/>
      <c r="AO155" s="77"/>
      <c r="AP155" s="77"/>
      <c r="AQ155" s="77" t="s">
        <v>12167</v>
      </c>
      <c r="AR155" s="77"/>
      <c r="AS155" s="77"/>
      <c r="AT155" s="77"/>
      <c r="AU155" s="77"/>
      <c r="AV155" s="80" t="str">
        <f>HYPERLINK("https://pbs.twimg.com/media/F5XvsR7X0AEZo5r.png")</f>
        <v>https://pbs.twimg.com/media/F5XvsR7X0AEZo5r.png</v>
      </c>
      <c r="AW155" s="82" t="s">
        <v>13258</v>
      </c>
      <c r="AX155" s="82" t="s">
        <v>13258</v>
      </c>
      <c r="AY155" s="77"/>
      <c r="AZ155" s="82" t="s">
        <v>17385</v>
      </c>
      <c r="BA155" s="82" t="s">
        <v>17385</v>
      </c>
      <c r="BB155" s="82" t="s">
        <v>17385</v>
      </c>
      <c r="BC155" s="82" t="s">
        <v>13258</v>
      </c>
      <c r="BD155" s="77">
        <v>86310384</v>
      </c>
      <c r="BE155" s="77"/>
      <c r="BF155" s="77"/>
      <c r="BG155" s="77"/>
      <c r="BH155" s="77"/>
      <c r="BI155" s="77"/>
    </row>
    <row r="156" spans="1:61" x14ac:dyDescent="0.25">
      <c r="A156" s="62" t="s">
        <v>263</v>
      </c>
      <c r="B156" s="62" t="s">
        <v>263</v>
      </c>
      <c r="C156" s="63"/>
      <c r="D156" s="64"/>
      <c r="E156" s="65"/>
      <c r="F156" s="66"/>
      <c r="G156" s="63"/>
      <c r="H156" s="67"/>
      <c r="I156" s="68"/>
      <c r="J156" s="68"/>
      <c r="K156" s="32"/>
      <c r="L156" s="75">
        <v>156</v>
      </c>
      <c r="M156" s="75"/>
      <c r="N156" s="70"/>
      <c r="O156" s="77" t="s">
        <v>179</v>
      </c>
      <c r="P156" s="79">
        <v>45175.789166666669</v>
      </c>
      <c r="Q156" s="77" t="s">
        <v>955</v>
      </c>
      <c r="R156" s="77">
        <v>0</v>
      </c>
      <c r="S156" s="77">
        <v>2</v>
      </c>
      <c r="T156" s="77">
        <v>0</v>
      </c>
      <c r="U156" s="77">
        <v>1</v>
      </c>
      <c r="V156" s="77">
        <v>97</v>
      </c>
      <c r="W156" s="82" t="s">
        <v>4919</v>
      </c>
      <c r="X156" s="77"/>
      <c r="Y156" s="77"/>
      <c r="Z156" s="77"/>
      <c r="AA156" s="77" t="s">
        <v>7283</v>
      </c>
      <c r="AB156" s="77" t="s">
        <v>8225</v>
      </c>
      <c r="AC156" s="82" t="s">
        <v>8232</v>
      </c>
      <c r="AD156" s="77" t="s">
        <v>8278</v>
      </c>
      <c r="AE156" s="80" t="str">
        <f>HYPERLINK("https://twitter.com/wallfigueiredo/status/1699496787847856371")</f>
        <v>https://twitter.com/wallfigueiredo/status/1699496787847856371</v>
      </c>
      <c r="AF156" s="79">
        <v>45175.789166666669</v>
      </c>
      <c r="AG156" s="85">
        <v>45175</v>
      </c>
      <c r="AH156" s="82" t="s">
        <v>8439</v>
      </c>
      <c r="AI156" s="77" t="b">
        <v>0</v>
      </c>
      <c r="AJ156" s="77"/>
      <c r="AK156" s="77"/>
      <c r="AL156" s="77"/>
      <c r="AM156" s="77"/>
      <c r="AN156" s="77"/>
      <c r="AO156" s="77"/>
      <c r="AP156" s="77"/>
      <c r="AQ156" s="77" t="s">
        <v>12168</v>
      </c>
      <c r="AR156" s="77"/>
      <c r="AS156" s="77"/>
      <c r="AT156" s="77"/>
      <c r="AU156" s="77"/>
      <c r="AV156" s="80" t="str">
        <f>HYPERLINK("https://pbs.twimg.com/media/F5XS5GsWYAAq8kq.png")</f>
        <v>https://pbs.twimg.com/media/F5XS5GsWYAAq8kq.png</v>
      </c>
      <c r="AW156" s="82" t="s">
        <v>13259</v>
      </c>
      <c r="AX156" s="82" t="s">
        <v>13259</v>
      </c>
      <c r="AY156" s="77"/>
      <c r="AZ156" s="82" t="s">
        <v>17385</v>
      </c>
      <c r="BA156" s="82" t="s">
        <v>17385</v>
      </c>
      <c r="BB156" s="82" t="s">
        <v>17385</v>
      </c>
      <c r="BC156" s="82" t="s">
        <v>13259</v>
      </c>
      <c r="BD156" s="77">
        <v>86310384</v>
      </c>
      <c r="BE156" s="77"/>
      <c r="BF156" s="77"/>
      <c r="BG156" s="77"/>
      <c r="BH156" s="77"/>
      <c r="BI156" s="77"/>
    </row>
    <row r="157" spans="1:61" x14ac:dyDescent="0.25">
      <c r="A157" s="62" t="s">
        <v>263</v>
      </c>
      <c r="B157" s="62" t="s">
        <v>263</v>
      </c>
      <c r="C157" s="63"/>
      <c r="D157" s="64"/>
      <c r="E157" s="65"/>
      <c r="F157" s="66"/>
      <c r="G157" s="63"/>
      <c r="H157" s="67"/>
      <c r="I157" s="68"/>
      <c r="J157" s="68"/>
      <c r="K157" s="32"/>
      <c r="L157" s="75">
        <v>157</v>
      </c>
      <c r="M157" s="75"/>
      <c r="N157" s="70"/>
      <c r="O157" s="77" t="s">
        <v>179</v>
      </c>
      <c r="P157" s="79">
        <v>45164.812581018516</v>
      </c>
      <c r="Q157" s="77" t="s">
        <v>956</v>
      </c>
      <c r="R157" s="77">
        <v>1</v>
      </c>
      <c r="S157" s="77">
        <v>1</v>
      </c>
      <c r="T157" s="77">
        <v>0</v>
      </c>
      <c r="U157" s="77">
        <v>0</v>
      </c>
      <c r="V157" s="77">
        <v>132</v>
      </c>
      <c r="W157" s="82" t="s">
        <v>4835</v>
      </c>
      <c r="X157" s="80" t="str">
        <f>HYPERLINK("http://www.quotebr.com/download.php")</f>
        <v>http://www.quotebr.com/download.php</v>
      </c>
      <c r="Y157" s="77" t="s">
        <v>7067</v>
      </c>
      <c r="Z157" s="77"/>
      <c r="AA157" s="77" t="s">
        <v>7284</v>
      </c>
      <c r="AB157" s="77" t="s">
        <v>8225</v>
      </c>
      <c r="AC157" s="82" t="s">
        <v>8232</v>
      </c>
      <c r="AD157" s="77" t="s">
        <v>8278</v>
      </c>
      <c r="AE157" s="80" t="str">
        <f>HYPERLINK("https://twitter.com/wallfigueiredo/status/1695519007862837316")</f>
        <v>https://twitter.com/wallfigueiredo/status/1695519007862837316</v>
      </c>
      <c r="AF157" s="79">
        <v>45164.812581018516</v>
      </c>
      <c r="AG157" s="85">
        <v>45164</v>
      </c>
      <c r="AH157" s="82" t="s">
        <v>8440</v>
      </c>
      <c r="AI157" s="77" t="b">
        <v>0</v>
      </c>
      <c r="AJ157" s="77"/>
      <c r="AK157" s="77"/>
      <c r="AL157" s="77"/>
      <c r="AM157" s="77"/>
      <c r="AN157" s="77"/>
      <c r="AO157" s="77"/>
      <c r="AP157" s="77"/>
      <c r="AQ157" s="77" t="s">
        <v>12169</v>
      </c>
      <c r="AR157" s="77"/>
      <c r="AS157" s="77"/>
      <c r="AT157" s="77"/>
      <c r="AU157" s="77"/>
      <c r="AV157" s="80" t="str">
        <f>HYPERLINK("https://pbs.twimg.com/media/F4exi2AWAAAMW74.png")</f>
        <v>https://pbs.twimg.com/media/F4exi2AWAAAMW74.png</v>
      </c>
      <c r="AW157" s="82" t="s">
        <v>13260</v>
      </c>
      <c r="AX157" s="82" t="s">
        <v>13260</v>
      </c>
      <c r="AY157" s="77"/>
      <c r="AZ157" s="82" t="s">
        <v>17385</v>
      </c>
      <c r="BA157" s="82" t="s">
        <v>17385</v>
      </c>
      <c r="BB157" s="82" t="s">
        <v>17385</v>
      </c>
      <c r="BC157" s="82" t="s">
        <v>13260</v>
      </c>
      <c r="BD157" s="77">
        <v>86310384</v>
      </c>
      <c r="BE157" s="77"/>
      <c r="BF157" s="77"/>
      <c r="BG157" s="77"/>
      <c r="BH157" s="77"/>
      <c r="BI157" s="77"/>
    </row>
    <row r="158" spans="1:61" x14ac:dyDescent="0.25">
      <c r="A158" s="62" t="s">
        <v>263</v>
      </c>
      <c r="B158" s="62" t="s">
        <v>263</v>
      </c>
      <c r="C158" s="63"/>
      <c r="D158" s="64"/>
      <c r="E158" s="65"/>
      <c r="F158" s="66"/>
      <c r="G158" s="63"/>
      <c r="H158" s="67"/>
      <c r="I158" s="68"/>
      <c r="J158" s="68"/>
      <c r="K158" s="32"/>
      <c r="L158" s="75">
        <v>158</v>
      </c>
      <c r="M158" s="75"/>
      <c r="N158" s="70"/>
      <c r="O158" s="77" t="s">
        <v>179</v>
      </c>
      <c r="P158" s="79">
        <v>45164.812245370369</v>
      </c>
      <c r="Q158" s="77" t="s">
        <v>957</v>
      </c>
      <c r="R158" s="77">
        <v>1</v>
      </c>
      <c r="S158" s="77">
        <v>2</v>
      </c>
      <c r="T158" s="77">
        <v>0</v>
      </c>
      <c r="U158" s="77">
        <v>0</v>
      </c>
      <c r="V158" s="77">
        <v>149</v>
      </c>
      <c r="W158" s="82" t="s">
        <v>4835</v>
      </c>
      <c r="X158" s="80" t="str">
        <f>HYPERLINK("http://www.quotebr.com/download.php")</f>
        <v>http://www.quotebr.com/download.php</v>
      </c>
      <c r="Y158" s="77" t="s">
        <v>7067</v>
      </c>
      <c r="Z158" s="77"/>
      <c r="AA158" s="77" t="s">
        <v>7285</v>
      </c>
      <c r="AB158" s="77" t="s">
        <v>8225</v>
      </c>
      <c r="AC158" s="82" t="s">
        <v>8232</v>
      </c>
      <c r="AD158" s="77" t="s">
        <v>8278</v>
      </c>
      <c r="AE158" s="80" t="str">
        <f>HYPERLINK("https://twitter.com/wallfigueiredo/status/1695518884869083476")</f>
        <v>https://twitter.com/wallfigueiredo/status/1695518884869083476</v>
      </c>
      <c r="AF158" s="79">
        <v>45164.812245370369</v>
      </c>
      <c r="AG158" s="85">
        <v>45164</v>
      </c>
      <c r="AH158" s="82" t="s">
        <v>8441</v>
      </c>
      <c r="AI158" s="77" t="b">
        <v>0</v>
      </c>
      <c r="AJ158" s="77"/>
      <c r="AK158" s="77"/>
      <c r="AL158" s="77"/>
      <c r="AM158" s="77"/>
      <c r="AN158" s="77"/>
      <c r="AO158" s="77"/>
      <c r="AP158" s="77"/>
      <c r="AQ158" s="77" t="s">
        <v>12170</v>
      </c>
      <c r="AR158" s="77"/>
      <c r="AS158" s="77"/>
      <c r="AT158" s="77"/>
      <c r="AU158" s="77"/>
      <c r="AV158" s="80" t="str">
        <f>HYPERLINK("https://pbs.twimg.com/media/F4exbzMW4AA8eld.png")</f>
        <v>https://pbs.twimg.com/media/F4exbzMW4AA8eld.png</v>
      </c>
      <c r="AW158" s="82" t="s">
        <v>13261</v>
      </c>
      <c r="AX158" s="82" t="s">
        <v>13261</v>
      </c>
      <c r="AY158" s="77"/>
      <c r="AZ158" s="82" t="s">
        <v>17385</v>
      </c>
      <c r="BA158" s="82" t="s">
        <v>17385</v>
      </c>
      <c r="BB158" s="82" t="s">
        <v>17385</v>
      </c>
      <c r="BC158" s="82" t="s">
        <v>13261</v>
      </c>
      <c r="BD158" s="77">
        <v>86310384</v>
      </c>
      <c r="BE158" s="77"/>
      <c r="BF158" s="77"/>
      <c r="BG158" s="77"/>
      <c r="BH158" s="77"/>
      <c r="BI158" s="77"/>
    </row>
    <row r="159" spans="1:61" x14ac:dyDescent="0.25">
      <c r="A159" s="62" t="s">
        <v>263</v>
      </c>
      <c r="B159" s="62" t="s">
        <v>263</v>
      </c>
      <c r="C159" s="63"/>
      <c r="D159" s="64"/>
      <c r="E159" s="65"/>
      <c r="F159" s="66"/>
      <c r="G159" s="63"/>
      <c r="H159" s="67"/>
      <c r="I159" s="68"/>
      <c r="J159" s="68"/>
      <c r="K159" s="32"/>
      <c r="L159" s="75">
        <v>159</v>
      </c>
      <c r="M159" s="75"/>
      <c r="N159" s="70"/>
      <c r="O159" s="77" t="s">
        <v>179</v>
      </c>
      <c r="P159" s="79">
        <v>45164.800023148149</v>
      </c>
      <c r="Q159" s="77" t="s">
        <v>958</v>
      </c>
      <c r="R159" s="77">
        <v>1</v>
      </c>
      <c r="S159" s="77">
        <v>1</v>
      </c>
      <c r="T159" s="77">
        <v>0</v>
      </c>
      <c r="U159" s="77">
        <v>0</v>
      </c>
      <c r="V159" s="77">
        <v>125</v>
      </c>
      <c r="W159" s="82" t="s">
        <v>4835</v>
      </c>
      <c r="X159" s="80" t="str">
        <f>HYPERLINK("http://www.quotebr.com/download.php")</f>
        <v>http://www.quotebr.com/download.php</v>
      </c>
      <c r="Y159" s="77" t="s">
        <v>7067</v>
      </c>
      <c r="Z159" s="77"/>
      <c r="AA159" s="77" t="s">
        <v>7286</v>
      </c>
      <c r="AB159" s="77" t="s">
        <v>8225</v>
      </c>
      <c r="AC159" s="82" t="s">
        <v>8232</v>
      </c>
      <c r="AD159" s="77" t="s">
        <v>8278</v>
      </c>
      <c r="AE159" s="80" t="str">
        <f>HYPERLINK("https://twitter.com/wallfigueiredo/status/1695514456409743751")</f>
        <v>https://twitter.com/wallfigueiredo/status/1695514456409743751</v>
      </c>
      <c r="AF159" s="79">
        <v>45164.800023148149</v>
      </c>
      <c r="AG159" s="85">
        <v>45164</v>
      </c>
      <c r="AH159" s="82" t="s">
        <v>8442</v>
      </c>
      <c r="AI159" s="77" t="b">
        <v>0</v>
      </c>
      <c r="AJ159" s="77"/>
      <c r="AK159" s="77"/>
      <c r="AL159" s="77"/>
      <c r="AM159" s="77"/>
      <c r="AN159" s="77"/>
      <c r="AO159" s="77"/>
      <c r="AP159" s="77"/>
      <c r="AQ159" s="77" t="s">
        <v>12171</v>
      </c>
      <c r="AR159" s="77"/>
      <c r="AS159" s="77"/>
      <c r="AT159" s="77"/>
      <c r="AU159" s="77"/>
      <c r="AV159" s="80" t="str">
        <f>HYPERLINK("https://pbs.twimg.com/media/F4etaMDXAAAwTy7.png")</f>
        <v>https://pbs.twimg.com/media/F4etaMDXAAAwTy7.png</v>
      </c>
      <c r="AW159" s="82" t="s">
        <v>13262</v>
      </c>
      <c r="AX159" s="82" t="s">
        <v>13262</v>
      </c>
      <c r="AY159" s="77"/>
      <c r="AZ159" s="82" t="s">
        <v>17385</v>
      </c>
      <c r="BA159" s="82" t="s">
        <v>17385</v>
      </c>
      <c r="BB159" s="82" t="s">
        <v>17385</v>
      </c>
      <c r="BC159" s="82" t="s">
        <v>13262</v>
      </c>
      <c r="BD159" s="77">
        <v>86310384</v>
      </c>
      <c r="BE159" s="77"/>
      <c r="BF159" s="77"/>
      <c r="BG159" s="77"/>
      <c r="BH159" s="77"/>
      <c r="BI159" s="77"/>
    </row>
    <row r="160" spans="1:61" x14ac:dyDescent="0.25">
      <c r="A160" s="62" t="s">
        <v>263</v>
      </c>
      <c r="B160" s="62" t="s">
        <v>263</v>
      </c>
      <c r="C160" s="63"/>
      <c r="D160" s="64"/>
      <c r="E160" s="65"/>
      <c r="F160" s="66"/>
      <c r="G160" s="63"/>
      <c r="H160" s="67"/>
      <c r="I160" s="68"/>
      <c r="J160" s="68"/>
      <c r="K160" s="32"/>
      <c r="L160" s="75">
        <v>160</v>
      </c>
      <c r="M160" s="75"/>
      <c r="N160" s="70"/>
      <c r="O160" s="77" t="s">
        <v>179</v>
      </c>
      <c r="P160" s="79">
        <v>45187.883321759262</v>
      </c>
      <c r="Q160" s="77" t="s">
        <v>959</v>
      </c>
      <c r="R160" s="77">
        <v>1</v>
      </c>
      <c r="S160" s="77">
        <v>2</v>
      </c>
      <c r="T160" s="77">
        <v>0</v>
      </c>
      <c r="U160" s="77">
        <v>0</v>
      </c>
      <c r="V160" s="77">
        <v>89</v>
      </c>
      <c r="W160" s="82" t="s">
        <v>4835</v>
      </c>
      <c r="X160" s="80" t="str">
        <f>HYPERLINK("http://www.quotebr.com/download.php")</f>
        <v>http://www.quotebr.com/download.php</v>
      </c>
      <c r="Y160" s="77" t="s">
        <v>7067</v>
      </c>
      <c r="Z160" s="77"/>
      <c r="AA160" s="77" t="s">
        <v>7287</v>
      </c>
      <c r="AB160" s="77" t="s">
        <v>8225</v>
      </c>
      <c r="AC160" s="82" t="s">
        <v>8232</v>
      </c>
      <c r="AD160" s="77" t="s">
        <v>8278</v>
      </c>
      <c r="AE160" s="80" t="str">
        <f>HYPERLINK("https://twitter.com/wallfigueiredo/status/1703879564550705270")</f>
        <v>https://twitter.com/wallfigueiredo/status/1703879564550705270</v>
      </c>
      <c r="AF160" s="79">
        <v>45187.883321759262</v>
      </c>
      <c r="AG160" s="85">
        <v>45187</v>
      </c>
      <c r="AH160" s="82" t="s">
        <v>8443</v>
      </c>
      <c r="AI160" s="77" t="b">
        <v>0</v>
      </c>
      <c r="AJ160" s="77"/>
      <c r="AK160" s="77"/>
      <c r="AL160" s="77"/>
      <c r="AM160" s="77"/>
      <c r="AN160" s="77"/>
      <c r="AO160" s="77"/>
      <c r="AP160" s="77"/>
      <c r="AQ160" s="77" t="s">
        <v>12172</v>
      </c>
      <c r="AR160" s="77"/>
      <c r="AS160" s="77"/>
      <c r="AT160" s="77"/>
      <c r="AU160" s="77"/>
      <c r="AV160" s="80" t="str">
        <f>HYPERLINK("https://pbs.twimg.com/media/F6Vlbs3XIAEjzCE.png")</f>
        <v>https://pbs.twimg.com/media/F6Vlbs3XIAEjzCE.png</v>
      </c>
      <c r="AW160" s="82" t="s">
        <v>13263</v>
      </c>
      <c r="AX160" s="82" t="s">
        <v>13263</v>
      </c>
      <c r="AY160" s="77"/>
      <c r="AZ160" s="82" t="s">
        <v>17385</v>
      </c>
      <c r="BA160" s="82" t="s">
        <v>17385</v>
      </c>
      <c r="BB160" s="82" t="s">
        <v>17385</v>
      </c>
      <c r="BC160" s="82" t="s">
        <v>13263</v>
      </c>
      <c r="BD160" s="77">
        <v>86310384</v>
      </c>
      <c r="BE160" s="77"/>
      <c r="BF160" s="77"/>
      <c r="BG160" s="77"/>
      <c r="BH160" s="77"/>
      <c r="BI160" s="77"/>
    </row>
    <row r="161" spans="1:61" x14ac:dyDescent="0.25">
      <c r="A161" s="62" t="s">
        <v>263</v>
      </c>
      <c r="B161" s="62" t="s">
        <v>263</v>
      </c>
      <c r="C161" s="63"/>
      <c r="D161" s="64"/>
      <c r="E161" s="65"/>
      <c r="F161" s="66"/>
      <c r="G161" s="63"/>
      <c r="H161" s="67"/>
      <c r="I161" s="68"/>
      <c r="J161" s="68"/>
      <c r="K161" s="32"/>
      <c r="L161" s="75">
        <v>161</v>
      </c>
      <c r="M161" s="75"/>
      <c r="N161" s="70"/>
      <c r="O161" s="77" t="s">
        <v>803</v>
      </c>
      <c r="P161" s="79">
        <v>45188.736261574071</v>
      </c>
      <c r="Q161" s="77" t="s">
        <v>960</v>
      </c>
      <c r="R161" s="77">
        <v>1</v>
      </c>
      <c r="S161" s="77">
        <v>0</v>
      </c>
      <c r="T161" s="77">
        <v>0</v>
      </c>
      <c r="U161" s="77">
        <v>0</v>
      </c>
      <c r="V161" s="77"/>
      <c r="W161" s="82" t="s">
        <v>4835</v>
      </c>
      <c r="X161" s="77"/>
      <c r="Y161" s="77"/>
      <c r="Z161" s="77" t="s">
        <v>263</v>
      </c>
      <c r="AA161" s="77"/>
      <c r="AB161" s="77"/>
      <c r="AC161" s="82" t="s">
        <v>8233</v>
      </c>
      <c r="AD161" s="77" t="s">
        <v>8278</v>
      </c>
      <c r="AE161" s="80" t="str">
        <f>HYPERLINK("https://twitter.com/wallfigueiredo/status/1704188660722135534")</f>
        <v>https://twitter.com/wallfigueiredo/status/1704188660722135534</v>
      </c>
      <c r="AF161" s="79">
        <v>45188.736261574071</v>
      </c>
      <c r="AG161" s="85">
        <v>45188</v>
      </c>
      <c r="AH161" s="82" t="s">
        <v>8444</v>
      </c>
      <c r="AI161" s="77"/>
      <c r="AJ161" s="77"/>
      <c r="AK161" s="77"/>
      <c r="AL161" s="77"/>
      <c r="AM161" s="77"/>
      <c r="AN161" s="77"/>
      <c r="AO161" s="77"/>
      <c r="AP161" s="77"/>
      <c r="AQ161" s="77"/>
      <c r="AR161" s="77"/>
      <c r="AS161" s="77"/>
      <c r="AT161" s="77"/>
      <c r="AU161" s="77"/>
      <c r="AV161" s="80" t="str">
        <f>HYPERLINK("https://pbs.twimg.com/profile_images/535740890543685632/DvOGWZyE_normal.jpeg")</f>
        <v>https://pbs.twimg.com/profile_images/535740890543685632/DvOGWZyE_normal.jpeg</v>
      </c>
      <c r="AW161" s="82" t="s">
        <v>13264</v>
      </c>
      <c r="AX161" s="82" t="s">
        <v>13264</v>
      </c>
      <c r="AY161" s="77"/>
      <c r="AZ161" s="82" t="s">
        <v>17385</v>
      </c>
      <c r="BA161" s="82" t="s">
        <v>17385</v>
      </c>
      <c r="BB161" s="82" t="s">
        <v>13263</v>
      </c>
      <c r="BC161" s="82" t="s">
        <v>13263</v>
      </c>
      <c r="BD161" s="77">
        <v>86310384</v>
      </c>
      <c r="BE161" s="77"/>
      <c r="BF161" s="77"/>
      <c r="BG161" s="77"/>
      <c r="BH161" s="77"/>
      <c r="BI161" s="77"/>
    </row>
    <row r="162" spans="1:61" x14ac:dyDescent="0.25">
      <c r="A162" s="62" t="s">
        <v>263</v>
      </c>
      <c r="B162" s="62" t="s">
        <v>263</v>
      </c>
      <c r="C162" s="63"/>
      <c r="D162" s="64"/>
      <c r="E162" s="65"/>
      <c r="F162" s="66"/>
      <c r="G162" s="63"/>
      <c r="H162" s="67"/>
      <c r="I162" s="68"/>
      <c r="J162" s="68"/>
      <c r="K162" s="32"/>
      <c r="L162" s="75">
        <v>162</v>
      </c>
      <c r="M162" s="75"/>
      <c r="N162" s="70"/>
      <c r="O162" s="77" t="s">
        <v>179</v>
      </c>
      <c r="P162" s="79">
        <v>45179.03392361111</v>
      </c>
      <c r="Q162" s="77" t="s">
        <v>961</v>
      </c>
      <c r="R162" s="77">
        <v>1</v>
      </c>
      <c r="S162" s="77">
        <v>1</v>
      </c>
      <c r="T162" s="77">
        <v>0</v>
      </c>
      <c r="U162" s="77">
        <v>0</v>
      </c>
      <c r="V162" s="77">
        <v>120</v>
      </c>
      <c r="W162" s="82" t="s">
        <v>4835</v>
      </c>
      <c r="X162" s="80" t="str">
        <f>HYPERLINK("http://www.quotebr.com/download.php")</f>
        <v>http://www.quotebr.com/download.php</v>
      </c>
      <c r="Y162" s="77" t="s">
        <v>7067</v>
      </c>
      <c r="Z162" s="77"/>
      <c r="AA162" s="77" t="s">
        <v>7288</v>
      </c>
      <c r="AB162" s="77" t="s">
        <v>8225</v>
      </c>
      <c r="AC162" s="82" t="s">
        <v>8232</v>
      </c>
      <c r="AD162" s="77" t="s">
        <v>8278</v>
      </c>
      <c r="AE162" s="80" t="str">
        <f>HYPERLINK("https://twitter.com/wallfigueiredo/status/1700672648869544207")</f>
        <v>https://twitter.com/wallfigueiredo/status/1700672648869544207</v>
      </c>
      <c r="AF162" s="79">
        <v>45179.03392361111</v>
      </c>
      <c r="AG162" s="85">
        <v>45179</v>
      </c>
      <c r="AH162" s="82" t="s">
        <v>8445</v>
      </c>
      <c r="AI162" s="77" t="b">
        <v>0</v>
      </c>
      <c r="AJ162" s="77"/>
      <c r="AK162" s="77"/>
      <c r="AL162" s="77"/>
      <c r="AM162" s="77"/>
      <c r="AN162" s="77"/>
      <c r="AO162" s="77"/>
      <c r="AP162" s="77"/>
      <c r="AQ162" s="77" t="s">
        <v>12173</v>
      </c>
      <c r="AR162" s="77"/>
      <c r="AS162" s="77"/>
      <c r="AT162" s="77"/>
      <c r="AU162" s="77"/>
      <c r="AV162" s="80" t="str">
        <f>HYPERLINK("https://pbs.twimg.com/media/F5oAwfnW8AA2cOI.png")</f>
        <v>https://pbs.twimg.com/media/F5oAwfnW8AA2cOI.png</v>
      </c>
      <c r="AW162" s="82" t="s">
        <v>13265</v>
      </c>
      <c r="AX162" s="82" t="s">
        <v>13265</v>
      </c>
      <c r="AY162" s="77"/>
      <c r="AZ162" s="82" t="s">
        <v>17385</v>
      </c>
      <c r="BA162" s="82" t="s">
        <v>17385</v>
      </c>
      <c r="BB162" s="82" t="s">
        <v>17385</v>
      </c>
      <c r="BC162" s="82" t="s">
        <v>13265</v>
      </c>
      <c r="BD162" s="77">
        <v>86310384</v>
      </c>
      <c r="BE162" s="77"/>
      <c r="BF162" s="77"/>
      <c r="BG162" s="77"/>
      <c r="BH162" s="77"/>
      <c r="BI162" s="77"/>
    </row>
    <row r="163" spans="1:61" x14ac:dyDescent="0.25">
      <c r="A163" s="62" t="s">
        <v>263</v>
      </c>
      <c r="B163" s="62" t="s">
        <v>263</v>
      </c>
      <c r="C163" s="63"/>
      <c r="D163" s="64"/>
      <c r="E163" s="65"/>
      <c r="F163" s="66"/>
      <c r="G163" s="63"/>
      <c r="H163" s="67"/>
      <c r="I163" s="68"/>
      <c r="J163" s="68"/>
      <c r="K163" s="32"/>
      <c r="L163" s="75">
        <v>163</v>
      </c>
      <c r="M163" s="75"/>
      <c r="N163" s="70"/>
      <c r="O163" s="77" t="s">
        <v>179</v>
      </c>
      <c r="P163" s="79">
        <v>45151.475914351853</v>
      </c>
      <c r="Q163" s="77" t="s">
        <v>962</v>
      </c>
      <c r="R163" s="77">
        <v>0</v>
      </c>
      <c r="S163" s="77">
        <v>2</v>
      </c>
      <c r="T163" s="77">
        <v>0</v>
      </c>
      <c r="U163" s="77">
        <v>0</v>
      </c>
      <c r="V163" s="77">
        <v>66</v>
      </c>
      <c r="W163" s="82" t="s">
        <v>4835</v>
      </c>
      <c r="X163" s="80" t="str">
        <f>HYPERLINK("http://www.quotebr.com/download.php")</f>
        <v>http://www.quotebr.com/download.php</v>
      </c>
      <c r="Y163" s="77" t="s">
        <v>7067</v>
      </c>
      <c r="Z163" s="77"/>
      <c r="AA163" s="77" t="s">
        <v>7289</v>
      </c>
      <c r="AB163" s="77" t="s">
        <v>8225</v>
      </c>
      <c r="AC163" s="82" t="s">
        <v>8232</v>
      </c>
      <c r="AD163" s="77" t="s">
        <v>8278</v>
      </c>
      <c r="AE163" s="80" t="str">
        <f>HYPERLINK("https://twitter.com/wallfigueiredo/status/1690685960542171137")</f>
        <v>https://twitter.com/wallfigueiredo/status/1690685960542171137</v>
      </c>
      <c r="AF163" s="79">
        <v>45151.475914351853</v>
      </c>
      <c r="AG163" s="85">
        <v>45151</v>
      </c>
      <c r="AH163" s="82" t="s">
        <v>8446</v>
      </c>
      <c r="AI163" s="77" t="b">
        <v>0</v>
      </c>
      <c r="AJ163" s="77"/>
      <c r="AK163" s="77"/>
      <c r="AL163" s="77"/>
      <c r="AM163" s="77"/>
      <c r="AN163" s="77"/>
      <c r="AO163" s="77"/>
      <c r="AP163" s="77"/>
      <c r="AQ163" s="77" t="s">
        <v>12174</v>
      </c>
      <c r="AR163" s="77"/>
      <c r="AS163" s="77"/>
      <c r="AT163" s="77"/>
      <c r="AU163" s="77"/>
      <c r="AV163" s="80" t="str">
        <f>HYPERLINK("https://pbs.twimg.com/media/F3aF6wJWwAAIWZq.png")</f>
        <v>https://pbs.twimg.com/media/F3aF6wJWwAAIWZq.png</v>
      </c>
      <c r="AW163" s="82" t="s">
        <v>13266</v>
      </c>
      <c r="AX163" s="82" t="s">
        <v>13266</v>
      </c>
      <c r="AY163" s="77"/>
      <c r="AZ163" s="82" t="s">
        <v>17385</v>
      </c>
      <c r="BA163" s="82" t="s">
        <v>17385</v>
      </c>
      <c r="BB163" s="82" t="s">
        <v>17385</v>
      </c>
      <c r="BC163" s="82" t="s">
        <v>13266</v>
      </c>
      <c r="BD163" s="77">
        <v>86310384</v>
      </c>
      <c r="BE163" s="77"/>
      <c r="BF163" s="77"/>
      <c r="BG163" s="77"/>
      <c r="BH163" s="77"/>
      <c r="BI163" s="77"/>
    </row>
    <row r="164" spans="1:61" x14ac:dyDescent="0.25">
      <c r="A164" s="62" t="s">
        <v>263</v>
      </c>
      <c r="B164" s="62" t="s">
        <v>263</v>
      </c>
      <c r="C164" s="63"/>
      <c r="D164" s="64"/>
      <c r="E164" s="65"/>
      <c r="F164" s="66"/>
      <c r="G164" s="63"/>
      <c r="H164" s="67"/>
      <c r="I164" s="68"/>
      <c r="J164" s="68"/>
      <c r="K164" s="32"/>
      <c r="L164" s="75">
        <v>164</v>
      </c>
      <c r="M164" s="75"/>
      <c r="N164" s="70"/>
      <c r="O164" s="77" t="s">
        <v>179</v>
      </c>
      <c r="P164" s="79">
        <v>45151.47556712963</v>
      </c>
      <c r="Q164" s="77" t="s">
        <v>963</v>
      </c>
      <c r="R164" s="77">
        <v>0</v>
      </c>
      <c r="S164" s="77">
        <v>2</v>
      </c>
      <c r="T164" s="77">
        <v>0</v>
      </c>
      <c r="U164" s="77">
        <v>0</v>
      </c>
      <c r="V164" s="77">
        <v>63</v>
      </c>
      <c r="W164" s="82" t="s">
        <v>4835</v>
      </c>
      <c r="X164" s="80" t="str">
        <f>HYPERLINK("http://www.quotebr.com/download.php")</f>
        <v>http://www.quotebr.com/download.php</v>
      </c>
      <c r="Y164" s="77" t="s">
        <v>7067</v>
      </c>
      <c r="Z164" s="77"/>
      <c r="AA164" s="77" t="s">
        <v>7290</v>
      </c>
      <c r="AB164" s="77" t="s">
        <v>8225</v>
      </c>
      <c r="AC164" s="82" t="s">
        <v>8232</v>
      </c>
      <c r="AD164" s="77" t="s">
        <v>8278</v>
      </c>
      <c r="AE164" s="80" t="str">
        <f>HYPERLINK("https://twitter.com/wallfigueiredo/status/1690685837497802752")</f>
        <v>https://twitter.com/wallfigueiredo/status/1690685837497802752</v>
      </c>
      <c r="AF164" s="79">
        <v>45151.47556712963</v>
      </c>
      <c r="AG164" s="85">
        <v>45151</v>
      </c>
      <c r="AH164" s="82" t="s">
        <v>8447</v>
      </c>
      <c r="AI164" s="77" t="b">
        <v>0</v>
      </c>
      <c r="AJ164" s="77"/>
      <c r="AK164" s="77"/>
      <c r="AL164" s="77"/>
      <c r="AM164" s="77"/>
      <c r="AN164" s="77"/>
      <c r="AO164" s="77"/>
      <c r="AP164" s="77"/>
      <c r="AQ164" s="77" t="s">
        <v>12175</v>
      </c>
      <c r="AR164" s="77"/>
      <c r="AS164" s="77"/>
      <c r="AT164" s="77"/>
      <c r="AU164" s="77"/>
      <c r="AV164" s="80" t="str">
        <f>HYPERLINK("https://pbs.twimg.com/media/F3aFzgnW0AA_5R8.png")</f>
        <v>https://pbs.twimg.com/media/F3aFzgnW0AA_5R8.png</v>
      </c>
      <c r="AW164" s="82" t="s">
        <v>13267</v>
      </c>
      <c r="AX164" s="82" t="s">
        <v>13267</v>
      </c>
      <c r="AY164" s="77"/>
      <c r="AZ164" s="82" t="s">
        <v>17385</v>
      </c>
      <c r="BA164" s="82" t="s">
        <v>17385</v>
      </c>
      <c r="BB164" s="82" t="s">
        <v>17385</v>
      </c>
      <c r="BC164" s="82" t="s">
        <v>13267</v>
      </c>
      <c r="BD164" s="77">
        <v>86310384</v>
      </c>
      <c r="BE164" s="77"/>
      <c r="BF164" s="77"/>
      <c r="BG164" s="77"/>
      <c r="BH164" s="77"/>
      <c r="BI164" s="77"/>
    </row>
    <row r="165" spans="1:61" x14ac:dyDescent="0.25">
      <c r="A165" s="62" t="s">
        <v>263</v>
      </c>
      <c r="B165" s="62" t="s">
        <v>263</v>
      </c>
      <c r="C165" s="63"/>
      <c r="D165" s="64"/>
      <c r="E165" s="65"/>
      <c r="F165" s="66"/>
      <c r="G165" s="63"/>
      <c r="H165" s="67"/>
      <c r="I165" s="68"/>
      <c r="J165" s="68"/>
      <c r="K165" s="32"/>
      <c r="L165" s="75">
        <v>165</v>
      </c>
      <c r="M165" s="75"/>
      <c r="N165" s="70"/>
      <c r="O165" s="77" t="s">
        <v>179</v>
      </c>
      <c r="P165" s="79">
        <v>45151.475127314814</v>
      </c>
      <c r="Q165" s="77" t="s">
        <v>964</v>
      </c>
      <c r="R165" s="77">
        <v>0</v>
      </c>
      <c r="S165" s="77">
        <v>2</v>
      </c>
      <c r="T165" s="77">
        <v>0</v>
      </c>
      <c r="U165" s="77">
        <v>0</v>
      </c>
      <c r="V165" s="77">
        <v>77</v>
      </c>
      <c r="W165" s="82" t="s">
        <v>4835</v>
      </c>
      <c r="X165" s="80" t="str">
        <f>HYPERLINK("http://www.quotebr.com/download.php")</f>
        <v>http://www.quotebr.com/download.php</v>
      </c>
      <c r="Y165" s="77" t="s">
        <v>7067</v>
      </c>
      <c r="Z165" s="77"/>
      <c r="AA165" s="77" t="s">
        <v>7291</v>
      </c>
      <c r="AB165" s="77" t="s">
        <v>8225</v>
      </c>
      <c r="AC165" s="82" t="s">
        <v>8232</v>
      </c>
      <c r="AD165" s="77" t="s">
        <v>8278</v>
      </c>
      <c r="AE165" s="80" t="str">
        <f>HYPERLINK("https://twitter.com/wallfigueiredo/status/1690685676289748992")</f>
        <v>https://twitter.com/wallfigueiredo/status/1690685676289748992</v>
      </c>
      <c r="AF165" s="79">
        <v>45151.475127314814</v>
      </c>
      <c r="AG165" s="85">
        <v>45151</v>
      </c>
      <c r="AH165" s="82" t="s">
        <v>8448</v>
      </c>
      <c r="AI165" s="77" t="b">
        <v>0</v>
      </c>
      <c r="AJ165" s="77"/>
      <c r="AK165" s="77"/>
      <c r="AL165" s="77"/>
      <c r="AM165" s="77"/>
      <c r="AN165" s="77"/>
      <c r="AO165" s="77"/>
      <c r="AP165" s="77"/>
      <c r="AQ165" s="77" t="s">
        <v>12176</v>
      </c>
      <c r="AR165" s="77"/>
      <c r="AS165" s="77"/>
      <c r="AT165" s="77"/>
      <c r="AU165" s="77"/>
      <c r="AV165" s="80" t="str">
        <f>HYPERLINK("https://pbs.twimg.com/media/F3aFqKiXwAAucXL.png")</f>
        <v>https://pbs.twimg.com/media/F3aFqKiXwAAucXL.png</v>
      </c>
      <c r="AW165" s="82" t="s">
        <v>13268</v>
      </c>
      <c r="AX165" s="82" t="s">
        <v>13268</v>
      </c>
      <c r="AY165" s="77"/>
      <c r="AZ165" s="82" t="s">
        <v>17385</v>
      </c>
      <c r="BA165" s="82" t="s">
        <v>17385</v>
      </c>
      <c r="BB165" s="82" t="s">
        <v>17385</v>
      </c>
      <c r="BC165" s="82" t="s">
        <v>13268</v>
      </c>
      <c r="BD165" s="77">
        <v>86310384</v>
      </c>
      <c r="BE165" s="77"/>
      <c r="BF165" s="77"/>
      <c r="BG165" s="77"/>
      <c r="BH165" s="77"/>
      <c r="BI165" s="77"/>
    </row>
    <row r="166" spans="1:61" x14ac:dyDescent="0.25">
      <c r="A166" s="62" t="s">
        <v>263</v>
      </c>
      <c r="B166" s="62" t="s">
        <v>263</v>
      </c>
      <c r="C166" s="63"/>
      <c r="D166" s="64"/>
      <c r="E166" s="65"/>
      <c r="F166" s="66"/>
      <c r="G166" s="63"/>
      <c r="H166" s="67"/>
      <c r="I166" s="68"/>
      <c r="J166" s="68"/>
      <c r="K166" s="32"/>
      <c r="L166" s="75">
        <v>166</v>
      </c>
      <c r="M166" s="75"/>
      <c r="N166" s="70"/>
      <c r="O166" s="77" t="s">
        <v>179</v>
      </c>
      <c r="P166" s="79">
        <v>45151.474270833336</v>
      </c>
      <c r="Q166" s="77" t="s">
        <v>965</v>
      </c>
      <c r="R166" s="77">
        <v>0</v>
      </c>
      <c r="S166" s="77">
        <v>2</v>
      </c>
      <c r="T166" s="77">
        <v>0</v>
      </c>
      <c r="U166" s="77">
        <v>0</v>
      </c>
      <c r="V166" s="77">
        <v>82</v>
      </c>
      <c r="W166" s="82" t="s">
        <v>4835</v>
      </c>
      <c r="X166" s="80" t="str">
        <f>HYPERLINK("http://www.quotebr.com/download.php")</f>
        <v>http://www.quotebr.com/download.php</v>
      </c>
      <c r="Y166" s="77" t="s">
        <v>7067</v>
      </c>
      <c r="Z166" s="77"/>
      <c r="AA166" s="77" t="s">
        <v>7292</v>
      </c>
      <c r="AB166" s="77" t="s">
        <v>8225</v>
      </c>
      <c r="AC166" s="82" t="s">
        <v>8232</v>
      </c>
      <c r="AD166" s="77" t="s">
        <v>8278</v>
      </c>
      <c r="AE166" s="80" t="str">
        <f>HYPERLINK("https://twitter.com/wallfigueiredo/status/1690685365772791809")</f>
        <v>https://twitter.com/wallfigueiredo/status/1690685365772791809</v>
      </c>
      <c r="AF166" s="79">
        <v>45151.474270833336</v>
      </c>
      <c r="AG166" s="85">
        <v>45151</v>
      </c>
      <c r="AH166" s="82" t="s">
        <v>8449</v>
      </c>
      <c r="AI166" s="77" t="b">
        <v>0</v>
      </c>
      <c r="AJ166" s="77"/>
      <c r="AK166" s="77"/>
      <c r="AL166" s="77"/>
      <c r="AM166" s="77"/>
      <c r="AN166" s="77"/>
      <c r="AO166" s="77"/>
      <c r="AP166" s="77"/>
      <c r="AQ166" s="77" t="s">
        <v>12177</v>
      </c>
      <c r="AR166" s="77"/>
      <c r="AS166" s="77"/>
      <c r="AT166" s="77"/>
      <c r="AU166" s="77"/>
      <c r="AV166" s="80" t="str">
        <f>HYPERLINK("https://pbs.twimg.com/media/F3aFYLaWgAAf_MT.png")</f>
        <v>https://pbs.twimg.com/media/F3aFYLaWgAAf_MT.png</v>
      </c>
      <c r="AW166" s="82" t="s">
        <v>13269</v>
      </c>
      <c r="AX166" s="82" t="s">
        <v>13269</v>
      </c>
      <c r="AY166" s="77"/>
      <c r="AZ166" s="82" t="s">
        <v>17385</v>
      </c>
      <c r="BA166" s="82" t="s">
        <v>17385</v>
      </c>
      <c r="BB166" s="82" t="s">
        <v>17385</v>
      </c>
      <c r="BC166" s="82" t="s">
        <v>13269</v>
      </c>
      <c r="BD166" s="77">
        <v>86310384</v>
      </c>
      <c r="BE166" s="77"/>
      <c r="BF166" s="77"/>
      <c r="BG166" s="77"/>
      <c r="BH166" s="77"/>
      <c r="BI166" s="77"/>
    </row>
    <row r="167" spans="1:61" x14ac:dyDescent="0.25">
      <c r="A167" s="62" t="s">
        <v>263</v>
      </c>
      <c r="B167" s="62" t="s">
        <v>263</v>
      </c>
      <c r="C167" s="63"/>
      <c r="D167" s="64"/>
      <c r="E167" s="65"/>
      <c r="F167" s="66"/>
      <c r="G167" s="63"/>
      <c r="H167" s="67"/>
      <c r="I167" s="68"/>
      <c r="J167" s="68"/>
      <c r="K167" s="32"/>
      <c r="L167" s="75">
        <v>167</v>
      </c>
      <c r="M167" s="75"/>
      <c r="N167" s="70"/>
      <c r="O167" s="77" t="s">
        <v>179</v>
      </c>
      <c r="P167" s="79">
        <v>45117.926655092589</v>
      </c>
      <c r="Q167" s="77" t="s">
        <v>966</v>
      </c>
      <c r="R167" s="77">
        <v>0</v>
      </c>
      <c r="S167" s="77">
        <v>1</v>
      </c>
      <c r="T167" s="77">
        <v>0</v>
      </c>
      <c r="U167" s="77">
        <v>1</v>
      </c>
      <c r="V167" s="77">
        <v>131</v>
      </c>
      <c r="W167" s="77"/>
      <c r="X167" s="77"/>
      <c r="Y167" s="77"/>
      <c r="Z167" s="77"/>
      <c r="AA167" s="77" t="s">
        <v>7293</v>
      </c>
      <c r="AB167" s="77" t="s">
        <v>8225</v>
      </c>
      <c r="AC167" s="82" t="s">
        <v>8232</v>
      </c>
      <c r="AD167" s="77" t="s">
        <v>8278</v>
      </c>
      <c r="AE167" s="80" t="str">
        <f>HYPERLINK("https://twitter.com/wallfigueiredo/status/1678528119563599872")</f>
        <v>https://twitter.com/wallfigueiredo/status/1678528119563599872</v>
      </c>
      <c r="AF167" s="79">
        <v>45117.926655092589</v>
      </c>
      <c r="AG167" s="85">
        <v>45117</v>
      </c>
      <c r="AH167" s="82" t="s">
        <v>8450</v>
      </c>
      <c r="AI167" s="77" t="b">
        <v>0</v>
      </c>
      <c r="AJ167" s="77"/>
      <c r="AK167" s="77"/>
      <c r="AL167" s="77"/>
      <c r="AM167" s="77"/>
      <c r="AN167" s="77"/>
      <c r="AO167" s="77"/>
      <c r="AP167" s="77"/>
      <c r="AQ167" s="77" t="s">
        <v>12178</v>
      </c>
      <c r="AR167" s="77"/>
      <c r="AS167" s="77"/>
      <c r="AT167" s="77"/>
      <c r="AU167" s="77"/>
      <c r="AV167" s="80" t="str">
        <f>HYPERLINK("https://pbs.twimg.com/media/F0tTsYtXoAEjz8T.png")</f>
        <v>https://pbs.twimg.com/media/F0tTsYtXoAEjz8T.png</v>
      </c>
      <c r="AW167" s="82" t="s">
        <v>13270</v>
      </c>
      <c r="AX167" s="82" t="s">
        <v>13270</v>
      </c>
      <c r="AY167" s="77"/>
      <c r="AZ167" s="82" t="s">
        <v>17385</v>
      </c>
      <c r="BA167" s="82" t="s">
        <v>17385</v>
      </c>
      <c r="BB167" s="82" t="s">
        <v>17385</v>
      </c>
      <c r="BC167" s="82" t="s">
        <v>13270</v>
      </c>
      <c r="BD167" s="77">
        <v>86310384</v>
      </c>
      <c r="BE167" s="77"/>
      <c r="BF167" s="77"/>
      <c r="BG167" s="77"/>
      <c r="BH167" s="77"/>
      <c r="BI167" s="77"/>
    </row>
    <row r="168" spans="1:61" x14ac:dyDescent="0.25">
      <c r="A168" s="62" t="s">
        <v>263</v>
      </c>
      <c r="B168" s="62" t="s">
        <v>263</v>
      </c>
      <c r="C168" s="63"/>
      <c r="D168" s="64"/>
      <c r="E168" s="65"/>
      <c r="F168" s="66"/>
      <c r="G168" s="63"/>
      <c r="H168" s="67"/>
      <c r="I168" s="68"/>
      <c r="J168" s="68"/>
      <c r="K168" s="32"/>
      <c r="L168" s="75">
        <v>168</v>
      </c>
      <c r="M168" s="75"/>
      <c r="N168" s="70"/>
      <c r="O168" s="77" t="s">
        <v>801</v>
      </c>
      <c r="P168" s="79">
        <v>45118.615960648145</v>
      </c>
      <c r="Q168" s="77" t="s">
        <v>967</v>
      </c>
      <c r="R168" s="77">
        <v>0</v>
      </c>
      <c r="S168" s="77">
        <v>2</v>
      </c>
      <c r="T168" s="77">
        <v>0</v>
      </c>
      <c r="U168" s="77">
        <v>0</v>
      </c>
      <c r="V168" s="77">
        <v>42</v>
      </c>
      <c r="W168" s="82" t="s">
        <v>4835</v>
      </c>
      <c r="X168" s="77"/>
      <c r="Y168" s="77"/>
      <c r="Z168" s="77"/>
      <c r="AA168" s="77"/>
      <c r="AB168" s="77"/>
      <c r="AC168" s="82" t="s">
        <v>8232</v>
      </c>
      <c r="AD168" s="77" t="s">
        <v>8282</v>
      </c>
      <c r="AE168" s="80" t="str">
        <f>HYPERLINK("https://twitter.com/wallfigueiredo/status/1678777913850880001")</f>
        <v>https://twitter.com/wallfigueiredo/status/1678777913850880001</v>
      </c>
      <c r="AF168" s="79">
        <v>45118.615960648145</v>
      </c>
      <c r="AG168" s="85">
        <v>45118</v>
      </c>
      <c r="AH168" s="82" t="s">
        <v>8451</v>
      </c>
      <c r="AI168" s="77"/>
      <c r="AJ168" s="77"/>
      <c r="AK168" s="77"/>
      <c r="AL168" s="77"/>
      <c r="AM168" s="77"/>
      <c r="AN168" s="77"/>
      <c r="AO168" s="77"/>
      <c r="AP168" s="77"/>
      <c r="AQ168" s="77"/>
      <c r="AR168" s="77"/>
      <c r="AS168" s="77"/>
      <c r="AT168" s="77"/>
      <c r="AU168" s="77"/>
      <c r="AV168" s="80" t="str">
        <f>HYPERLINK("https://pbs.twimg.com/profile_images/535740890543685632/DvOGWZyE_normal.jpeg")</f>
        <v>https://pbs.twimg.com/profile_images/535740890543685632/DvOGWZyE_normal.jpeg</v>
      </c>
      <c r="AW168" s="82" t="s">
        <v>13271</v>
      </c>
      <c r="AX168" s="82" t="s">
        <v>13271</v>
      </c>
      <c r="AY168" s="77"/>
      <c r="AZ168" s="82" t="s">
        <v>17385</v>
      </c>
      <c r="BA168" s="82" t="s">
        <v>13270</v>
      </c>
      <c r="BB168" s="82" t="s">
        <v>17385</v>
      </c>
      <c r="BC168" s="82" t="s">
        <v>13270</v>
      </c>
      <c r="BD168" s="77">
        <v>86310384</v>
      </c>
      <c r="BE168" s="77"/>
      <c r="BF168" s="77"/>
      <c r="BG168" s="77"/>
      <c r="BH168" s="77"/>
      <c r="BI168" s="77"/>
    </row>
    <row r="169" spans="1:61" x14ac:dyDescent="0.25">
      <c r="A169" s="62" t="s">
        <v>263</v>
      </c>
      <c r="B169" s="62" t="s">
        <v>263</v>
      </c>
      <c r="C169" s="63"/>
      <c r="D169" s="64"/>
      <c r="E169" s="65"/>
      <c r="F169" s="66"/>
      <c r="G169" s="63"/>
      <c r="H169" s="67"/>
      <c r="I169" s="68"/>
      <c r="J169" s="68"/>
      <c r="K169" s="32"/>
      <c r="L169" s="75">
        <v>169</v>
      </c>
      <c r="M169" s="75"/>
      <c r="N169" s="70"/>
      <c r="O169" s="77" t="s">
        <v>179</v>
      </c>
      <c r="P169" s="79">
        <v>45094.81925925926</v>
      </c>
      <c r="Q169" s="77" t="s">
        <v>968</v>
      </c>
      <c r="R169" s="77">
        <v>1</v>
      </c>
      <c r="S169" s="77">
        <v>2</v>
      </c>
      <c r="T169" s="77">
        <v>0</v>
      </c>
      <c r="U169" s="77">
        <v>0</v>
      </c>
      <c r="V169" s="77">
        <v>115</v>
      </c>
      <c r="W169" s="82" t="s">
        <v>4835</v>
      </c>
      <c r="X169" s="80" t="str">
        <f>HYPERLINK("http://www.quotebr.com/download.php")</f>
        <v>http://www.quotebr.com/download.php</v>
      </c>
      <c r="Y169" s="77" t="s">
        <v>7067</v>
      </c>
      <c r="Z169" s="77"/>
      <c r="AA169" s="77" t="s">
        <v>7294</v>
      </c>
      <c r="AB169" s="77" t="s">
        <v>8225</v>
      </c>
      <c r="AC169" s="82" t="s">
        <v>8232</v>
      </c>
      <c r="AD169" s="77" t="s">
        <v>8278</v>
      </c>
      <c r="AE169" s="80" t="str">
        <f>HYPERLINK("https://twitter.com/wallfigueiredo/status/1670154279540195333")</f>
        <v>https://twitter.com/wallfigueiredo/status/1670154279540195333</v>
      </c>
      <c r="AF169" s="79">
        <v>45094.81925925926</v>
      </c>
      <c r="AG169" s="85">
        <v>45094</v>
      </c>
      <c r="AH169" s="82" t="s">
        <v>8452</v>
      </c>
      <c r="AI169" s="77" t="b">
        <v>0</v>
      </c>
      <c r="AJ169" s="77"/>
      <c r="AK169" s="77"/>
      <c r="AL169" s="77"/>
      <c r="AM169" s="77"/>
      <c r="AN169" s="77"/>
      <c r="AO169" s="77"/>
      <c r="AP169" s="77"/>
      <c r="AQ169" s="77" t="s">
        <v>12179</v>
      </c>
      <c r="AR169" s="77"/>
      <c r="AS169" s="77"/>
      <c r="AT169" s="77"/>
      <c r="AU169" s="77"/>
      <c r="AV169" s="80" t="str">
        <f>HYPERLINK("https://pbs.twimg.com/media/Fy2UciQWcAIeop0.png")</f>
        <v>https://pbs.twimg.com/media/Fy2UciQWcAIeop0.png</v>
      </c>
      <c r="AW169" s="82" t="s">
        <v>13272</v>
      </c>
      <c r="AX169" s="82" t="s">
        <v>13272</v>
      </c>
      <c r="AY169" s="77"/>
      <c r="AZ169" s="82" t="s">
        <v>17385</v>
      </c>
      <c r="BA169" s="82" t="s">
        <v>17385</v>
      </c>
      <c r="BB169" s="82" t="s">
        <v>17385</v>
      </c>
      <c r="BC169" s="82" t="s">
        <v>13272</v>
      </c>
      <c r="BD169" s="77">
        <v>86310384</v>
      </c>
      <c r="BE169" s="77"/>
      <c r="BF169" s="77"/>
      <c r="BG169" s="77"/>
      <c r="BH169" s="77"/>
      <c r="BI169" s="77"/>
    </row>
    <row r="170" spans="1:61" x14ac:dyDescent="0.25">
      <c r="A170" s="62" t="s">
        <v>263</v>
      </c>
      <c r="B170" s="62" t="s">
        <v>263</v>
      </c>
      <c r="C170" s="63"/>
      <c r="D170" s="64"/>
      <c r="E170" s="65"/>
      <c r="F170" s="66"/>
      <c r="G170" s="63"/>
      <c r="H170" s="67"/>
      <c r="I170" s="68"/>
      <c r="J170" s="68"/>
      <c r="K170" s="32"/>
      <c r="L170" s="75">
        <v>170</v>
      </c>
      <c r="M170" s="75"/>
      <c r="N170" s="70"/>
      <c r="O170" s="77" t="s">
        <v>179</v>
      </c>
      <c r="P170" s="79">
        <v>45094.818726851852</v>
      </c>
      <c r="Q170" s="77" t="s">
        <v>969</v>
      </c>
      <c r="R170" s="77">
        <v>1</v>
      </c>
      <c r="S170" s="77">
        <v>2</v>
      </c>
      <c r="T170" s="77">
        <v>0</v>
      </c>
      <c r="U170" s="77">
        <v>0</v>
      </c>
      <c r="V170" s="77">
        <v>116</v>
      </c>
      <c r="W170" s="82" t="s">
        <v>4835</v>
      </c>
      <c r="X170" s="80" t="str">
        <f>HYPERLINK("http://www.quotebr.com/download.php")</f>
        <v>http://www.quotebr.com/download.php</v>
      </c>
      <c r="Y170" s="77" t="s">
        <v>7067</v>
      </c>
      <c r="Z170" s="77"/>
      <c r="AA170" s="77" t="s">
        <v>7295</v>
      </c>
      <c r="AB170" s="77" t="s">
        <v>8225</v>
      </c>
      <c r="AC170" s="82" t="s">
        <v>8232</v>
      </c>
      <c r="AD170" s="77" t="s">
        <v>8278</v>
      </c>
      <c r="AE170" s="80" t="str">
        <f>HYPERLINK("https://twitter.com/wallfigueiredo/status/1670154086845480963")</f>
        <v>https://twitter.com/wallfigueiredo/status/1670154086845480963</v>
      </c>
      <c r="AF170" s="79">
        <v>45094.818726851852</v>
      </c>
      <c r="AG170" s="85">
        <v>45094</v>
      </c>
      <c r="AH170" s="82" t="s">
        <v>8453</v>
      </c>
      <c r="AI170" s="77" t="b">
        <v>0</v>
      </c>
      <c r="AJ170" s="77"/>
      <c r="AK170" s="77"/>
      <c r="AL170" s="77"/>
      <c r="AM170" s="77"/>
      <c r="AN170" s="77"/>
      <c r="AO170" s="77"/>
      <c r="AP170" s="77"/>
      <c r="AQ170" s="77" t="s">
        <v>12180</v>
      </c>
      <c r="AR170" s="77"/>
      <c r="AS170" s="77"/>
      <c r="AT170" s="77"/>
      <c r="AU170" s="77"/>
      <c r="AV170" s="80" t="str">
        <f>HYPERLINK("https://pbs.twimg.com/media/Fy2USbMWwAA1pCN.png")</f>
        <v>https://pbs.twimg.com/media/Fy2USbMWwAA1pCN.png</v>
      </c>
      <c r="AW170" s="82" t="s">
        <v>13273</v>
      </c>
      <c r="AX170" s="82" t="s">
        <v>13273</v>
      </c>
      <c r="AY170" s="77"/>
      <c r="AZ170" s="82" t="s">
        <v>17385</v>
      </c>
      <c r="BA170" s="82" t="s">
        <v>17385</v>
      </c>
      <c r="BB170" s="82" t="s">
        <v>17385</v>
      </c>
      <c r="BC170" s="82" t="s">
        <v>13273</v>
      </c>
      <c r="BD170" s="77">
        <v>86310384</v>
      </c>
      <c r="BE170" s="77"/>
      <c r="BF170" s="77"/>
      <c r="BG170" s="77"/>
      <c r="BH170" s="77"/>
      <c r="BI170" s="77"/>
    </row>
    <row r="171" spans="1:61" x14ac:dyDescent="0.25">
      <c r="A171" s="62" t="s">
        <v>263</v>
      </c>
      <c r="B171" s="62" t="s">
        <v>263</v>
      </c>
      <c r="C171" s="63"/>
      <c r="D171" s="64"/>
      <c r="E171" s="65"/>
      <c r="F171" s="66"/>
      <c r="G171" s="63"/>
      <c r="H171" s="67"/>
      <c r="I171" s="68"/>
      <c r="J171" s="68"/>
      <c r="K171" s="32"/>
      <c r="L171" s="75">
        <v>171</v>
      </c>
      <c r="M171" s="75"/>
      <c r="N171" s="70"/>
      <c r="O171" s="77" t="s">
        <v>179</v>
      </c>
      <c r="P171" s="79">
        <v>45094.818298611113</v>
      </c>
      <c r="Q171" s="77" t="s">
        <v>970</v>
      </c>
      <c r="R171" s="77">
        <v>1</v>
      </c>
      <c r="S171" s="77">
        <v>2</v>
      </c>
      <c r="T171" s="77">
        <v>0</v>
      </c>
      <c r="U171" s="77">
        <v>0</v>
      </c>
      <c r="V171" s="77">
        <v>125</v>
      </c>
      <c r="W171" s="82" t="s">
        <v>4835</v>
      </c>
      <c r="X171" s="80" t="str">
        <f>HYPERLINK("http://www.quotebr.com/download.php")</f>
        <v>http://www.quotebr.com/download.php</v>
      </c>
      <c r="Y171" s="77" t="s">
        <v>7067</v>
      </c>
      <c r="Z171" s="77"/>
      <c r="AA171" s="77" t="s">
        <v>7296</v>
      </c>
      <c r="AB171" s="77" t="s">
        <v>8225</v>
      </c>
      <c r="AC171" s="82" t="s">
        <v>8232</v>
      </c>
      <c r="AD171" s="77" t="s">
        <v>8278</v>
      </c>
      <c r="AE171" s="80" t="str">
        <f>HYPERLINK("https://twitter.com/wallfigueiredo/status/1670153930418843654")</f>
        <v>https://twitter.com/wallfigueiredo/status/1670153930418843654</v>
      </c>
      <c r="AF171" s="79">
        <v>45094.818298611113</v>
      </c>
      <c r="AG171" s="85">
        <v>45094</v>
      </c>
      <c r="AH171" s="82" t="s">
        <v>8454</v>
      </c>
      <c r="AI171" s="77" t="b">
        <v>0</v>
      </c>
      <c r="AJ171" s="77"/>
      <c r="AK171" s="77"/>
      <c r="AL171" s="77"/>
      <c r="AM171" s="77"/>
      <c r="AN171" s="77"/>
      <c r="AO171" s="77"/>
      <c r="AP171" s="77"/>
      <c r="AQ171" s="77" t="s">
        <v>12181</v>
      </c>
      <c r="AR171" s="77"/>
      <c r="AS171" s="77"/>
      <c r="AT171" s="77"/>
      <c r="AU171" s="77"/>
      <c r="AV171" s="80" t="str">
        <f>HYPERLINK("https://pbs.twimg.com/media/Fy2UJVyWAAAO1H5.png")</f>
        <v>https://pbs.twimg.com/media/Fy2UJVyWAAAO1H5.png</v>
      </c>
      <c r="AW171" s="82" t="s">
        <v>13274</v>
      </c>
      <c r="AX171" s="82" t="s">
        <v>13274</v>
      </c>
      <c r="AY171" s="77"/>
      <c r="AZ171" s="82" t="s">
        <v>17385</v>
      </c>
      <c r="BA171" s="82" t="s">
        <v>17385</v>
      </c>
      <c r="BB171" s="82" t="s">
        <v>17385</v>
      </c>
      <c r="BC171" s="82" t="s">
        <v>13274</v>
      </c>
      <c r="BD171" s="77">
        <v>86310384</v>
      </c>
      <c r="BE171" s="77"/>
      <c r="BF171" s="77"/>
      <c r="BG171" s="77"/>
      <c r="BH171" s="77"/>
      <c r="BI171" s="77"/>
    </row>
    <row r="172" spans="1:61" x14ac:dyDescent="0.25">
      <c r="A172" s="62" t="s">
        <v>263</v>
      </c>
      <c r="B172" s="62" t="s">
        <v>263</v>
      </c>
      <c r="C172" s="63"/>
      <c r="D172" s="64"/>
      <c r="E172" s="65"/>
      <c r="F172" s="66"/>
      <c r="G172" s="63"/>
      <c r="H172" s="67"/>
      <c r="I172" s="68"/>
      <c r="J172" s="68"/>
      <c r="K172" s="32"/>
      <c r="L172" s="75">
        <v>172</v>
      </c>
      <c r="M172" s="75"/>
      <c r="N172" s="70"/>
      <c r="O172" s="77" t="s">
        <v>179</v>
      </c>
      <c r="P172" s="79">
        <v>45094.81753472222</v>
      </c>
      <c r="Q172" s="77" t="s">
        <v>971</v>
      </c>
      <c r="R172" s="77">
        <v>1</v>
      </c>
      <c r="S172" s="77">
        <v>2</v>
      </c>
      <c r="T172" s="77">
        <v>0</v>
      </c>
      <c r="U172" s="77">
        <v>0</v>
      </c>
      <c r="V172" s="77">
        <v>139</v>
      </c>
      <c r="W172" s="82" t="s">
        <v>4835</v>
      </c>
      <c r="X172" s="80" t="str">
        <f>HYPERLINK("http://www.quotebr.com/download.php")</f>
        <v>http://www.quotebr.com/download.php</v>
      </c>
      <c r="Y172" s="77" t="s">
        <v>7067</v>
      </c>
      <c r="Z172" s="77"/>
      <c r="AA172" s="77" t="s">
        <v>7297</v>
      </c>
      <c r="AB172" s="77" t="s">
        <v>8225</v>
      </c>
      <c r="AC172" s="82" t="s">
        <v>8232</v>
      </c>
      <c r="AD172" s="77" t="s">
        <v>8278</v>
      </c>
      <c r="AE172" s="80" t="str">
        <f>HYPERLINK("https://twitter.com/wallfigueiredo/status/1670153654140129282")</f>
        <v>https://twitter.com/wallfigueiredo/status/1670153654140129282</v>
      </c>
      <c r="AF172" s="79">
        <v>45094.81753472222</v>
      </c>
      <c r="AG172" s="85">
        <v>45094</v>
      </c>
      <c r="AH172" s="82" t="s">
        <v>8455</v>
      </c>
      <c r="AI172" s="77" t="b">
        <v>0</v>
      </c>
      <c r="AJ172" s="77"/>
      <c r="AK172" s="77"/>
      <c r="AL172" s="77"/>
      <c r="AM172" s="77"/>
      <c r="AN172" s="77"/>
      <c r="AO172" s="77"/>
      <c r="AP172" s="77"/>
      <c r="AQ172" s="77" t="s">
        <v>12182</v>
      </c>
      <c r="AR172" s="77"/>
      <c r="AS172" s="77"/>
      <c r="AT172" s="77"/>
      <c r="AU172" s="77"/>
      <c r="AV172" s="80" t="str">
        <f>HYPERLINK("https://pbs.twimg.com/media/Fy2T3s0WYAE6Kj7.png")</f>
        <v>https://pbs.twimg.com/media/Fy2T3s0WYAE6Kj7.png</v>
      </c>
      <c r="AW172" s="82" t="s">
        <v>13275</v>
      </c>
      <c r="AX172" s="82" t="s">
        <v>13275</v>
      </c>
      <c r="AY172" s="77"/>
      <c r="AZ172" s="82" t="s">
        <v>17385</v>
      </c>
      <c r="BA172" s="82" t="s">
        <v>17385</v>
      </c>
      <c r="BB172" s="82" t="s">
        <v>17385</v>
      </c>
      <c r="BC172" s="82" t="s">
        <v>13275</v>
      </c>
      <c r="BD172" s="77">
        <v>86310384</v>
      </c>
      <c r="BE172" s="77"/>
      <c r="BF172" s="77"/>
      <c r="BG172" s="77"/>
      <c r="BH172" s="77"/>
      <c r="BI172" s="77"/>
    </row>
    <row r="173" spans="1:61" x14ac:dyDescent="0.25">
      <c r="A173" s="62" t="s">
        <v>263</v>
      </c>
      <c r="B173" s="62" t="s">
        <v>263</v>
      </c>
      <c r="C173" s="63"/>
      <c r="D173" s="64"/>
      <c r="E173" s="65"/>
      <c r="F173" s="66"/>
      <c r="G173" s="63"/>
      <c r="H173" s="67"/>
      <c r="I173" s="68"/>
      <c r="J173" s="68"/>
      <c r="K173" s="32"/>
      <c r="L173" s="75">
        <v>173</v>
      </c>
      <c r="M173" s="75"/>
      <c r="N173" s="70"/>
      <c r="O173" s="77" t="s">
        <v>179</v>
      </c>
      <c r="P173" s="79">
        <v>45187.880995370368</v>
      </c>
      <c r="Q173" s="77" t="s">
        <v>972</v>
      </c>
      <c r="R173" s="77">
        <v>1</v>
      </c>
      <c r="S173" s="77">
        <v>2</v>
      </c>
      <c r="T173" s="77">
        <v>0</v>
      </c>
      <c r="U173" s="77">
        <v>0</v>
      </c>
      <c r="V173" s="77">
        <v>71</v>
      </c>
      <c r="W173" s="82" t="s">
        <v>4835</v>
      </c>
      <c r="X173" s="80" t="str">
        <f>HYPERLINK("http://www.quotebr.com/download.php")</f>
        <v>http://www.quotebr.com/download.php</v>
      </c>
      <c r="Y173" s="77" t="s">
        <v>7067</v>
      </c>
      <c r="Z173" s="77"/>
      <c r="AA173" s="77" t="s">
        <v>7298</v>
      </c>
      <c r="AB173" s="77" t="s">
        <v>8225</v>
      </c>
      <c r="AC173" s="82" t="s">
        <v>8232</v>
      </c>
      <c r="AD173" s="77" t="s">
        <v>8278</v>
      </c>
      <c r="AE173" s="80" t="str">
        <f>HYPERLINK("https://twitter.com/wallfigueiredo/status/1703878720644116960")</f>
        <v>https://twitter.com/wallfigueiredo/status/1703878720644116960</v>
      </c>
      <c r="AF173" s="79">
        <v>45187.880995370368</v>
      </c>
      <c r="AG173" s="85">
        <v>45187</v>
      </c>
      <c r="AH173" s="82" t="s">
        <v>8456</v>
      </c>
      <c r="AI173" s="77" t="b">
        <v>0</v>
      </c>
      <c r="AJ173" s="77"/>
      <c r="AK173" s="77"/>
      <c r="AL173" s="77"/>
      <c r="AM173" s="77"/>
      <c r="AN173" s="77"/>
      <c r="AO173" s="77"/>
      <c r="AP173" s="77"/>
      <c r="AQ173" s="77" t="s">
        <v>12183</v>
      </c>
      <c r="AR173" s="77"/>
      <c r="AS173" s="77"/>
      <c r="AT173" s="77"/>
      <c r="AU173" s="77"/>
      <c r="AV173" s="80" t="str">
        <f>HYPERLINK("https://pbs.twimg.com/media/F6VkqfZWgAEEq7q.png")</f>
        <v>https://pbs.twimg.com/media/F6VkqfZWgAEEq7q.png</v>
      </c>
      <c r="AW173" s="82" t="s">
        <v>13276</v>
      </c>
      <c r="AX173" s="82" t="s">
        <v>13276</v>
      </c>
      <c r="AY173" s="77"/>
      <c r="AZ173" s="82" t="s">
        <v>17385</v>
      </c>
      <c r="BA173" s="82" t="s">
        <v>17385</v>
      </c>
      <c r="BB173" s="82" t="s">
        <v>17385</v>
      </c>
      <c r="BC173" s="82" t="s">
        <v>13276</v>
      </c>
      <c r="BD173" s="77">
        <v>86310384</v>
      </c>
      <c r="BE173" s="77"/>
      <c r="BF173" s="77"/>
      <c r="BG173" s="77"/>
      <c r="BH173" s="77"/>
      <c r="BI173" s="77"/>
    </row>
    <row r="174" spans="1:61" x14ac:dyDescent="0.25">
      <c r="A174" s="62" t="s">
        <v>263</v>
      </c>
      <c r="B174" s="62" t="s">
        <v>263</v>
      </c>
      <c r="C174" s="63"/>
      <c r="D174" s="64"/>
      <c r="E174" s="65"/>
      <c r="F174" s="66"/>
      <c r="G174" s="63"/>
      <c r="H174" s="67"/>
      <c r="I174" s="68"/>
      <c r="J174" s="68"/>
      <c r="K174" s="32"/>
      <c r="L174" s="75">
        <v>174</v>
      </c>
      <c r="M174" s="75"/>
      <c r="N174" s="70"/>
      <c r="O174" s="77" t="s">
        <v>803</v>
      </c>
      <c r="P174" s="79">
        <v>45188.736180555556</v>
      </c>
      <c r="Q174" s="77" t="s">
        <v>973</v>
      </c>
      <c r="R174" s="77">
        <v>1</v>
      </c>
      <c r="S174" s="77">
        <v>0</v>
      </c>
      <c r="T174" s="77">
        <v>0</v>
      </c>
      <c r="U174" s="77">
        <v>0</v>
      </c>
      <c r="V174" s="77"/>
      <c r="W174" s="82" t="s">
        <v>4835</v>
      </c>
      <c r="X174" s="77"/>
      <c r="Y174" s="77"/>
      <c r="Z174" s="77" t="s">
        <v>263</v>
      </c>
      <c r="AA174" s="77"/>
      <c r="AB174" s="77"/>
      <c r="AC174" s="82" t="s">
        <v>8233</v>
      </c>
      <c r="AD174" s="77" t="s">
        <v>8278</v>
      </c>
      <c r="AE174" s="80" t="str">
        <f>HYPERLINK("https://twitter.com/wallfigueiredo/status/1704188631932375370")</f>
        <v>https://twitter.com/wallfigueiredo/status/1704188631932375370</v>
      </c>
      <c r="AF174" s="79">
        <v>45188.736180555556</v>
      </c>
      <c r="AG174" s="85">
        <v>45188</v>
      </c>
      <c r="AH174" s="82" t="s">
        <v>8457</v>
      </c>
      <c r="AI174" s="77"/>
      <c r="AJ174" s="77"/>
      <c r="AK174" s="77"/>
      <c r="AL174" s="77"/>
      <c r="AM174" s="77"/>
      <c r="AN174" s="77"/>
      <c r="AO174" s="77"/>
      <c r="AP174" s="77"/>
      <c r="AQ174" s="77"/>
      <c r="AR174" s="77"/>
      <c r="AS174" s="77"/>
      <c r="AT174" s="77"/>
      <c r="AU174" s="77"/>
      <c r="AV174" s="80" t="str">
        <f>HYPERLINK("https://pbs.twimg.com/profile_images/535740890543685632/DvOGWZyE_normal.jpeg")</f>
        <v>https://pbs.twimg.com/profile_images/535740890543685632/DvOGWZyE_normal.jpeg</v>
      </c>
      <c r="AW174" s="82" t="s">
        <v>13277</v>
      </c>
      <c r="AX174" s="82" t="s">
        <v>13277</v>
      </c>
      <c r="AY174" s="77"/>
      <c r="AZ174" s="82" t="s">
        <v>17385</v>
      </c>
      <c r="BA174" s="82" t="s">
        <v>17385</v>
      </c>
      <c r="BB174" s="82" t="s">
        <v>13276</v>
      </c>
      <c r="BC174" s="82" t="s">
        <v>13276</v>
      </c>
      <c r="BD174" s="77">
        <v>86310384</v>
      </c>
      <c r="BE174" s="77"/>
      <c r="BF174" s="77"/>
      <c r="BG174" s="77"/>
      <c r="BH174" s="77"/>
      <c r="BI174" s="77"/>
    </row>
    <row r="175" spans="1:61" x14ac:dyDescent="0.25">
      <c r="A175" s="62" t="s">
        <v>263</v>
      </c>
      <c r="B175" s="62" t="s">
        <v>263</v>
      </c>
      <c r="C175" s="63"/>
      <c r="D175" s="64"/>
      <c r="E175" s="65"/>
      <c r="F175" s="66"/>
      <c r="G175" s="63"/>
      <c r="H175" s="67"/>
      <c r="I175" s="68"/>
      <c r="J175" s="68"/>
      <c r="K175" s="32"/>
      <c r="L175" s="75">
        <v>175</v>
      </c>
      <c r="M175" s="75"/>
      <c r="N175" s="70"/>
      <c r="O175" s="77" t="s">
        <v>179</v>
      </c>
      <c r="P175" s="79">
        <v>45187.87908564815</v>
      </c>
      <c r="Q175" s="77" t="s">
        <v>974</v>
      </c>
      <c r="R175" s="77">
        <v>1</v>
      </c>
      <c r="S175" s="77">
        <v>2</v>
      </c>
      <c r="T175" s="77">
        <v>0</v>
      </c>
      <c r="U175" s="77">
        <v>0</v>
      </c>
      <c r="V175" s="77">
        <v>66</v>
      </c>
      <c r="W175" s="82" t="s">
        <v>4835</v>
      </c>
      <c r="X175" s="80" t="str">
        <f>HYPERLINK("http://www.quotebr.com/download.php")</f>
        <v>http://www.quotebr.com/download.php</v>
      </c>
      <c r="Y175" s="77" t="s">
        <v>7067</v>
      </c>
      <c r="Z175" s="77"/>
      <c r="AA175" s="77" t="s">
        <v>7299</v>
      </c>
      <c r="AB175" s="77" t="s">
        <v>8225</v>
      </c>
      <c r="AC175" s="82" t="s">
        <v>8232</v>
      </c>
      <c r="AD175" s="77" t="s">
        <v>8278</v>
      </c>
      <c r="AE175" s="80" t="str">
        <f>HYPERLINK("https://twitter.com/wallfigueiredo/status/1703878030790131843")</f>
        <v>https://twitter.com/wallfigueiredo/status/1703878030790131843</v>
      </c>
      <c r="AF175" s="79">
        <v>45187.87908564815</v>
      </c>
      <c r="AG175" s="85">
        <v>45187</v>
      </c>
      <c r="AH175" s="82" t="s">
        <v>8458</v>
      </c>
      <c r="AI175" s="77" t="b">
        <v>0</v>
      </c>
      <c r="AJ175" s="77"/>
      <c r="AK175" s="77"/>
      <c r="AL175" s="77"/>
      <c r="AM175" s="77"/>
      <c r="AN175" s="77"/>
      <c r="AO175" s="77"/>
      <c r="AP175" s="77"/>
      <c r="AQ175" s="77" t="s">
        <v>12184</v>
      </c>
      <c r="AR175" s="77"/>
      <c r="AS175" s="77"/>
      <c r="AT175" s="77"/>
      <c r="AU175" s="77"/>
      <c r="AV175" s="80" t="str">
        <f>HYPERLINK("https://pbs.twimg.com/media/F6VkCZLXoAE2uZb.png")</f>
        <v>https://pbs.twimg.com/media/F6VkCZLXoAE2uZb.png</v>
      </c>
      <c r="AW175" s="82" t="s">
        <v>13278</v>
      </c>
      <c r="AX175" s="82" t="s">
        <v>13278</v>
      </c>
      <c r="AY175" s="77"/>
      <c r="AZ175" s="82" t="s">
        <v>17385</v>
      </c>
      <c r="BA175" s="82" t="s">
        <v>17385</v>
      </c>
      <c r="BB175" s="82" t="s">
        <v>17385</v>
      </c>
      <c r="BC175" s="82" t="s">
        <v>13278</v>
      </c>
      <c r="BD175" s="77">
        <v>86310384</v>
      </c>
      <c r="BE175" s="77"/>
      <c r="BF175" s="77"/>
      <c r="BG175" s="77"/>
      <c r="BH175" s="77"/>
      <c r="BI175" s="77"/>
    </row>
    <row r="176" spans="1:61" x14ac:dyDescent="0.25">
      <c r="A176" s="62" t="s">
        <v>263</v>
      </c>
      <c r="B176" s="62" t="s">
        <v>263</v>
      </c>
      <c r="C176" s="63"/>
      <c r="D176" s="64"/>
      <c r="E176" s="65"/>
      <c r="F176" s="66"/>
      <c r="G176" s="63"/>
      <c r="H176" s="67"/>
      <c r="I176" s="68"/>
      <c r="J176" s="68"/>
      <c r="K176" s="32"/>
      <c r="L176" s="75">
        <v>176</v>
      </c>
      <c r="M176" s="75"/>
      <c r="N176" s="70"/>
      <c r="O176" s="77" t="s">
        <v>803</v>
      </c>
      <c r="P176" s="79">
        <v>45188.73609953704</v>
      </c>
      <c r="Q176" s="77" t="s">
        <v>975</v>
      </c>
      <c r="R176" s="77">
        <v>1</v>
      </c>
      <c r="S176" s="77">
        <v>0</v>
      </c>
      <c r="T176" s="77">
        <v>0</v>
      </c>
      <c r="U176" s="77">
        <v>0</v>
      </c>
      <c r="V176" s="77"/>
      <c r="W176" s="82" t="s">
        <v>4835</v>
      </c>
      <c r="X176" s="77"/>
      <c r="Y176" s="77"/>
      <c r="Z176" s="77" t="s">
        <v>263</v>
      </c>
      <c r="AA176" s="77"/>
      <c r="AB176" s="77"/>
      <c r="AC176" s="82" t="s">
        <v>8233</v>
      </c>
      <c r="AD176" s="77" t="s">
        <v>8278</v>
      </c>
      <c r="AE176" s="80" t="str">
        <f>HYPERLINK("https://twitter.com/wallfigueiredo/status/1704188600055689345")</f>
        <v>https://twitter.com/wallfigueiredo/status/1704188600055689345</v>
      </c>
      <c r="AF176" s="79">
        <v>45188.73609953704</v>
      </c>
      <c r="AG176" s="85">
        <v>45188</v>
      </c>
      <c r="AH176" s="82" t="s">
        <v>8459</v>
      </c>
      <c r="AI176" s="77"/>
      <c r="AJ176" s="77"/>
      <c r="AK176" s="77"/>
      <c r="AL176" s="77"/>
      <c r="AM176" s="77"/>
      <c r="AN176" s="77"/>
      <c r="AO176" s="77"/>
      <c r="AP176" s="77"/>
      <c r="AQ176" s="77"/>
      <c r="AR176" s="77"/>
      <c r="AS176" s="77"/>
      <c r="AT176" s="77"/>
      <c r="AU176" s="77"/>
      <c r="AV176" s="80" t="str">
        <f>HYPERLINK("https://pbs.twimg.com/profile_images/535740890543685632/DvOGWZyE_normal.jpeg")</f>
        <v>https://pbs.twimg.com/profile_images/535740890543685632/DvOGWZyE_normal.jpeg</v>
      </c>
      <c r="AW176" s="82" t="s">
        <v>13279</v>
      </c>
      <c r="AX176" s="82" t="s">
        <v>13279</v>
      </c>
      <c r="AY176" s="77"/>
      <c r="AZ176" s="82" t="s">
        <v>17385</v>
      </c>
      <c r="BA176" s="82" t="s">
        <v>17385</v>
      </c>
      <c r="BB176" s="82" t="s">
        <v>13278</v>
      </c>
      <c r="BC176" s="82" t="s">
        <v>13278</v>
      </c>
      <c r="BD176" s="77">
        <v>86310384</v>
      </c>
      <c r="BE176" s="77"/>
      <c r="BF176" s="77"/>
      <c r="BG176" s="77"/>
      <c r="BH176" s="77"/>
      <c r="BI176" s="77"/>
    </row>
    <row r="177" spans="1:61" x14ac:dyDescent="0.25">
      <c r="A177" s="62" t="s">
        <v>263</v>
      </c>
      <c r="B177" s="62" t="s">
        <v>263</v>
      </c>
      <c r="C177" s="63"/>
      <c r="D177" s="64"/>
      <c r="E177" s="65"/>
      <c r="F177" s="66"/>
      <c r="G177" s="63"/>
      <c r="H177" s="67"/>
      <c r="I177" s="68"/>
      <c r="J177" s="68"/>
      <c r="K177" s="32"/>
      <c r="L177" s="75">
        <v>177</v>
      </c>
      <c r="M177" s="75"/>
      <c r="N177" s="70"/>
      <c r="O177" s="77" t="s">
        <v>179</v>
      </c>
      <c r="P177" s="79">
        <v>45130.551226851851</v>
      </c>
      <c r="Q177" s="77" t="s">
        <v>976</v>
      </c>
      <c r="R177" s="77">
        <v>1</v>
      </c>
      <c r="S177" s="77">
        <v>1</v>
      </c>
      <c r="T177" s="77">
        <v>0</v>
      </c>
      <c r="U177" s="77">
        <v>0</v>
      </c>
      <c r="V177" s="77">
        <v>84</v>
      </c>
      <c r="W177" s="82" t="s">
        <v>4835</v>
      </c>
      <c r="X177" s="80" t="str">
        <f>HYPERLINK("http://www.quotebr.com/download.php")</f>
        <v>http://www.quotebr.com/download.php</v>
      </c>
      <c r="Y177" s="77" t="s">
        <v>7067</v>
      </c>
      <c r="Z177" s="77"/>
      <c r="AA177" s="77" t="s">
        <v>7300</v>
      </c>
      <c r="AB177" s="77" t="s">
        <v>8225</v>
      </c>
      <c r="AC177" s="82" t="s">
        <v>8232</v>
      </c>
      <c r="AD177" s="77" t="s">
        <v>8278</v>
      </c>
      <c r="AE177" s="80" t="str">
        <f>HYPERLINK("https://twitter.com/wallfigueiredo/status/1683103110238027778")</f>
        <v>https://twitter.com/wallfigueiredo/status/1683103110238027778</v>
      </c>
      <c r="AF177" s="79">
        <v>45130.551226851851</v>
      </c>
      <c r="AG177" s="85">
        <v>45130</v>
      </c>
      <c r="AH177" s="82" t="s">
        <v>8460</v>
      </c>
      <c r="AI177" s="77" t="b">
        <v>0</v>
      </c>
      <c r="AJ177" s="77"/>
      <c r="AK177" s="77"/>
      <c r="AL177" s="77"/>
      <c r="AM177" s="77"/>
      <c r="AN177" s="77"/>
      <c r="AO177" s="77"/>
      <c r="AP177" s="77"/>
      <c r="AQ177" s="77" t="s">
        <v>12185</v>
      </c>
      <c r="AR177" s="77"/>
      <c r="AS177" s="77"/>
      <c r="AT177" s="77"/>
      <c r="AU177" s="77"/>
      <c r="AV177" s="80" t="str">
        <f>HYPERLINK("https://pbs.twimg.com/media/F1uVWEdWcAARh5F.png")</f>
        <v>https://pbs.twimg.com/media/F1uVWEdWcAARh5F.png</v>
      </c>
      <c r="AW177" s="82" t="s">
        <v>13280</v>
      </c>
      <c r="AX177" s="82" t="s">
        <v>13280</v>
      </c>
      <c r="AY177" s="77"/>
      <c r="AZ177" s="82" t="s">
        <v>17385</v>
      </c>
      <c r="BA177" s="82" t="s">
        <v>17385</v>
      </c>
      <c r="BB177" s="82" t="s">
        <v>17385</v>
      </c>
      <c r="BC177" s="82" t="s">
        <v>13280</v>
      </c>
      <c r="BD177" s="77">
        <v>86310384</v>
      </c>
      <c r="BE177" s="77"/>
      <c r="BF177" s="77"/>
      <c r="BG177" s="77"/>
      <c r="BH177" s="77"/>
      <c r="BI177" s="77"/>
    </row>
    <row r="178" spans="1:61" x14ac:dyDescent="0.25">
      <c r="A178" s="62" t="s">
        <v>263</v>
      </c>
      <c r="B178" s="62" t="s">
        <v>263</v>
      </c>
      <c r="C178" s="63"/>
      <c r="D178" s="64"/>
      <c r="E178" s="65"/>
      <c r="F178" s="66"/>
      <c r="G178" s="63"/>
      <c r="H178" s="67"/>
      <c r="I178" s="68"/>
      <c r="J178" s="68"/>
      <c r="K178" s="32"/>
      <c r="L178" s="75">
        <v>178</v>
      </c>
      <c r="M178" s="75"/>
      <c r="N178" s="70"/>
      <c r="O178" s="77" t="s">
        <v>179</v>
      </c>
      <c r="P178" s="79">
        <v>45130.55091435185</v>
      </c>
      <c r="Q178" s="77" t="s">
        <v>977</v>
      </c>
      <c r="R178" s="77">
        <v>1</v>
      </c>
      <c r="S178" s="77">
        <v>1</v>
      </c>
      <c r="T178" s="77">
        <v>0</v>
      </c>
      <c r="U178" s="77">
        <v>0</v>
      </c>
      <c r="V178" s="77">
        <v>87</v>
      </c>
      <c r="W178" s="82" t="s">
        <v>4835</v>
      </c>
      <c r="X178" s="80" t="str">
        <f>HYPERLINK("http://www.quotebr.com/download.php")</f>
        <v>http://www.quotebr.com/download.php</v>
      </c>
      <c r="Y178" s="77" t="s">
        <v>7067</v>
      </c>
      <c r="Z178" s="77"/>
      <c r="AA178" s="77" t="s">
        <v>7301</v>
      </c>
      <c r="AB178" s="77" t="s">
        <v>8225</v>
      </c>
      <c r="AC178" s="82" t="s">
        <v>8232</v>
      </c>
      <c r="AD178" s="77" t="s">
        <v>8278</v>
      </c>
      <c r="AE178" s="80" t="str">
        <f>HYPERLINK("https://twitter.com/wallfigueiredo/status/1683102996270391298")</f>
        <v>https://twitter.com/wallfigueiredo/status/1683102996270391298</v>
      </c>
      <c r="AF178" s="79">
        <v>45130.55091435185</v>
      </c>
      <c r="AG178" s="85">
        <v>45130</v>
      </c>
      <c r="AH178" s="82" t="s">
        <v>8461</v>
      </c>
      <c r="AI178" s="77" t="b">
        <v>0</v>
      </c>
      <c r="AJ178" s="77"/>
      <c r="AK178" s="77"/>
      <c r="AL178" s="77"/>
      <c r="AM178" s="77"/>
      <c r="AN178" s="77"/>
      <c r="AO178" s="77"/>
      <c r="AP178" s="77"/>
      <c r="AQ178" s="77" t="s">
        <v>12186</v>
      </c>
      <c r="AR178" s="77"/>
      <c r="AS178" s="77"/>
      <c r="AT178" s="77"/>
      <c r="AU178" s="77"/>
      <c r="AV178" s="80" t="str">
        <f>HYPERLINK("https://pbs.twimg.com/media/F1uUdegXwAEKGw7.png")</f>
        <v>https://pbs.twimg.com/media/F1uUdegXwAEKGw7.png</v>
      </c>
      <c r="AW178" s="82" t="s">
        <v>13281</v>
      </c>
      <c r="AX178" s="82" t="s">
        <v>13281</v>
      </c>
      <c r="AY178" s="77"/>
      <c r="AZ178" s="82" t="s">
        <v>17385</v>
      </c>
      <c r="BA178" s="82" t="s">
        <v>17385</v>
      </c>
      <c r="BB178" s="82" t="s">
        <v>17385</v>
      </c>
      <c r="BC178" s="82" t="s">
        <v>13281</v>
      </c>
      <c r="BD178" s="77">
        <v>86310384</v>
      </c>
      <c r="BE178" s="77"/>
      <c r="BF178" s="77"/>
      <c r="BG178" s="77"/>
      <c r="BH178" s="77"/>
      <c r="BI178" s="77"/>
    </row>
    <row r="179" spans="1:61" x14ac:dyDescent="0.25">
      <c r="A179" s="62" t="s">
        <v>263</v>
      </c>
      <c r="B179" s="62" t="s">
        <v>263</v>
      </c>
      <c r="C179" s="63"/>
      <c r="D179" s="64"/>
      <c r="E179" s="65"/>
      <c r="F179" s="66"/>
      <c r="G179" s="63"/>
      <c r="H179" s="67"/>
      <c r="I179" s="68"/>
      <c r="J179" s="68"/>
      <c r="K179" s="32"/>
      <c r="L179" s="75">
        <v>179</v>
      </c>
      <c r="M179" s="75"/>
      <c r="N179" s="70"/>
      <c r="O179" s="77" t="s">
        <v>179</v>
      </c>
      <c r="P179" s="79">
        <v>45130.548020833332</v>
      </c>
      <c r="Q179" s="77" t="s">
        <v>978</v>
      </c>
      <c r="R179" s="77">
        <v>1</v>
      </c>
      <c r="S179" s="77">
        <v>1</v>
      </c>
      <c r="T179" s="77">
        <v>0</v>
      </c>
      <c r="U179" s="77">
        <v>0</v>
      </c>
      <c r="V179" s="77">
        <v>101</v>
      </c>
      <c r="W179" s="82" t="s">
        <v>4835</v>
      </c>
      <c r="X179" s="80" t="str">
        <f>HYPERLINK("http://www.quotebr.com/download.php")</f>
        <v>http://www.quotebr.com/download.php</v>
      </c>
      <c r="Y179" s="77" t="s">
        <v>7067</v>
      </c>
      <c r="Z179" s="77"/>
      <c r="AA179" s="77" t="s">
        <v>7302</v>
      </c>
      <c r="AB179" s="77" t="s">
        <v>8225</v>
      </c>
      <c r="AC179" s="82" t="s">
        <v>8232</v>
      </c>
      <c r="AD179" s="77" t="s">
        <v>8278</v>
      </c>
      <c r="AE179" s="80" t="str">
        <f>HYPERLINK("https://twitter.com/wallfigueiredo/status/1683101945945370627")</f>
        <v>https://twitter.com/wallfigueiredo/status/1683101945945370627</v>
      </c>
      <c r="AF179" s="79">
        <v>45130.548020833332</v>
      </c>
      <c r="AG179" s="85">
        <v>45130</v>
      </c>
      <c r="AH179" s="82" t="s">
        <v>8462</v>
      </c>
      <c r="AI179" s="77" t="b">
        <v>0</v>
      </c>
      <c r="AJ179" s="77"/>
      <c r="AK179" s="77"/>
      <c r="AL179" s="77"/>
      <c r="AM179" s="77"/>
      <c r="AN179" s="77"/>
      <c r="AO179" s="77"/>
      <c r="AP179" s="77"/>
      <c r="AQ179" s="77" t="s">
        <v>12187</v>
      </c>
      <c r="AR179" s="77"/>
      <c r="AS179" s="77"/>
      <c r="AT179" s="77"/>
      <c r="AU179" s="77"/>
      <c r="AV179" s="80" t="str">
        <f>HYPERLINK("https://pbs.twimg.com/media/F1uUSaqWAAAXYkT.png")</f>
        <v>https://pbs.twimg.com/media/F1uUSaqWAAAXYkT.png</v>
      </c>
      <c r="AW179" s="82" t="s">
        <v>13282</v>
      </c>
      <c r="AX179" s="82" t="s">
        <v>13282</v>
      </c>
      <c r="AY179" s="77"/>
      <c r="AZ179" s="82" t="s">
        <v>17385</v>
      </c>
      <c r="BA179" s="82" t="s">
        <v>17385</v>
      </c>
      <c r="BB179" s="82" t="s">
        <v>17385</v>
      </c>
      <c r="BC179" s="82" t="s">
        <v>13282</v>
      </c>
      <c r="BD179" s="77">
        <v>86310384</v>
      </c>
      <c r="BE179" s="77"/>
      <c r="BF179" s="77"/>
      <c r="BG179" s="77"/>
      <c r="BH179" s="77"/>
      <c r="BI179" s="77"/>
    </row>
    <row r="180" spans="1:61" x14ac:dyDescent="0.25">
      <c r="A180" s="62" t="s">
        <v>263</v>
      </c>
      <c r="B180" s="62" t="s">
        <v>263</v>
      </c>
      <c r="C180" s="63"/>
      <c r="D180" s="64"/>
      <c r="E180" s="65"/>
      <c r="F180" s="66"/>
      <c r="G180" s="63"/>
      <c r="H180" s="67"/>
      <c r="I180" s="68"/>
      <c r="J180" s="68"/>
      <c r="K180" s="32"/>
      <c r="L180" s="75">
        <v>180</v>
      </c>
      <c r="M180" s="75"/>
      <c r="N180" s="70"/>
      <c r="O180" s="77" t="s">
        <v>179</v>
      </c>
      <c r="P180" s="79">
        <v>45130.514791666668</v>
      </c>
      <c r="Q180" s="77" t="s">
        <v>979</v>
      </c>
      <c r="R180" s="77">
        <v>1</v>
      </c>
      <c r="S180" s="77">
        <v>1</v>
      </c>
      <c r="T180" s="77">
        <v>0</v>
      </c>
      <c r="U180" s="77">
        <v>0</v>
      </c>
      <c r="V180" s="77">
        <v>124</v>
      </c>
      <c r="W180" s="82" t="s">
        <v>4835</v>
      </c>
      <c r="X180" s="80" t="str">
        <f>HYPERLINK("http://www.quotebr.com/download.php")</f>
        <v>http://www.quotebr.com/download.php</v>
      </c>
      <c r="Y180" s="77" t="s">
        <v>7067</v>
      </c>
      <c r="Z180" s="77"/>
      <c r="AA180" s="77" t="s">
        <v>7303</v>
      </c>
      <c r="AB180" s="77" t="s">
        <v>8225</v>
      </c>
      <c r="AC180" s="82" t="s">
        <v>8232</v>
      </c>
      <c r="AD180" s="77" t="s">
        <v>8278</v>
      </c>
      <c r="AE180" s="80" t="str">
        <f>HYPERLINK("https://twitter.com/wallfigueiredo/status/1683089905696624641")</f>
        <v>https://twitter.com/wallfigueiredo/status/1683089905696624641</v>
      </c>
      <c r="AF180" s="79">
        <v>45130.514791666668</v>
      </c>
      <c r="AG180" s="85">
        <v>45130</v>
      </c>
      <c r="AH180" s="82" t="s">
        <v>8463</v>
      </c>
      <c r="AI180" s="77" t="b">
        <v>0</v>
      </c>
      <c r="AJ180" s="77"/>
      <c r="AK180" s="77"/>
      <c r="AL180" s="77"/>
      <c r="AM180" s="77"/>
      <c r="AN180" s="77"/>
      <c r="AO180" s="77"/>
      <c r="AP180" s="77"/>
      <c r="AQ180" s="77" t="s">
        <v>12188</v>
      </c>
      <c r="AR180" s="77"/>
      <c r="AS180" s="77"/>
      <c r="AT180" s="77"/>
      <c r="AU180" s="77"/>
      <c r="AV180" s="80" t="str">
        <f>HYPERLINK("https://pbs.twimg.com/media/F1uJVnxWcAAmzMz.png")</f>
        <v>https://pbs.twimg.com/media/F1uJVnxWcAAmzMz.png</v>
      </c>
      <c r="AW180" s="82" t="s">
        <v>13283</v>
      </c>
      <c r="AX180" s="82" t="s">
        <v>13283</v>
      </c>
      <c r="AY180" s="77"/>
      <c r="AZ180" s="82" t="s">
        <v>17385</v>
      </c>
      <c r="BA180" s="82" t="s">
        <v>17385</v>
      </c>
      <c r="BB180" s="82" t="s">
        <v>17385</v>
      </c>
      <c r="BC180" s="82" t="s">
        <v>13283</v>
      </c>
      <c r="BD180" s="77">
        <v>86310384</v>
      </c>
      <c r="BE180" s="77"/>
      <c r="BF180" s="77"/>
      <c r="BG180" s="77"/>
      <c r="BH180" s="77"/>
      <c r="BI180" s="77"/>
    </row>
    <row r="181" spans="1:61" x14ac:dyDescent="0.25">
      <c r="A181" s="62" t="s">
        <v>263</v>
      </c>
      <c r="B181" s="62" t="s">
        <v>263</v>
      </c>
      <c r="C181" s="63"/>
      <c r="D181" s="64"/>
      <c r="E181" s="65"/>
      <c r="F181" s="66"/>
      <c r="G181" s="63"/>
      <c r="H181" s="67"/>
      <c r="I181" s="68"/>
      <c r="J181" s="68"/>
      <c r="K181" s="32"/>
      <c r="L181" s="75">
        <v>181</v>
      </c>
      <c r="M181" s="75"/>
      <c r="N181" s="70"/>
      <c r="O181" s="77" t="s">
        <v>179</v>
      </c>
      <c r="P181" s="79">
        <v>45102.446701388886</v>
      </c>
      <c r="Q181" s="77" t="s">
        <v>980</v>
      </c>
      <c r="R181" s="77">
        <v>0</v>
      </c>
      <c r="S181" s="77">
        <v>1</v>
      </c>
      <c r="T181" s="77">
        <v>0</v>
      </c>
      <c r="U181" s="77">
        <v>0</v>
      </c>
      <c r="V181" s="77">
        <v>77</v>
      </c>
      <c r="W181" s="82" t="s">
        <v>4835</v>
      </c>
      <c r="X181" s="80" t="str">
        <f>HYPERLINK("http://www.quotebr.com/download.php")</f>
        <v>http://www.quotebr.com/download.php</v>
      </c>
      <c r="Y181" s="77" t="s">
        <v>7067</v>
      </c>
      <c r="Z181" s="77"/>
      <c r="AA181" s="77" t="s">
        <v>7304</v>
      </c>
      <c r="AB181" s="77" t="s">
        <v>8225</v>
      </c>
      <c r="AC181" s="82" t="s">
        <v>8232</v>
      </c>
      <c r="AD181" s="77" t="s">
        <v>8278</v>
      </c>
      <c r="AE181" s="80" t="str">
        <f>HYPERLINK("https://twitter.com/wallfigueiredo/status/1672918370952400898")</f>
        <v>https://twitter.com/wallfigueiredo/status/1672918370952400898</v>
      </c>
      <c r="AF181" s="79">
        <v>45102.446701388886</v>
      </c>
      <c r="AG181" s="85">
        <v>45102</v>
      </c>
      <c r="AH181" s="82" t="s">
        <v>8464</v>
      </c>
      <c r="AI181" s="77" t="b">
        <v>0</v>
      </c>
      <c r="AJ181" s="77"/>
      <c r="AK181" s="77"/>
      <c r="AL181" s="77"/>
      <c r="AM181" s="77"/>
      <c r="AN181" s="77"/>
      <c r="AO181" s="77"/>
      <c r="AP181" s="77"/>
      <c r="AQ181" s="77" t="s">
        <v>12189</v>
      </c>
      <c r="AR181" s="77"/>
      <c r="AS181" s="77"/>
      <c r="AT181" s="77"/>
      <c r="AU181" s="77"/>
      <c r="AV181" s="80" t="str">
        <f>HYPERLINK("https://pbs.twimg.com/media/FzdmY6uWIAAHSN6.png")</f>
        <v>https://pbs.twimg.com/media/FzdmY6uWIAAHSN6.png</v>
      </c>
      <c r="AW181" s="82" t="s">
        <v>13284</v>
      </c>
      <c r="AX181" s="82" t="s">
        <v>13284</v>
      </c>
      <c r="AY181" s="77"/>
      <c r="AZ181" s="82" t="s">
        <v>17385</v>
      </c>
      <c r="BA181" s="82" t="s">
        <v>17385</v>
      </c>
      <c r="BB181" s="82" t="s">
        <v>17385</v>
      </c>
      <c r="BC181" s="82" t="s">
        <v>13284</v>
      </c>
      <c r="BD181" s="77">
        <v>86310384</v>
      </c>
      <c r="BE181" s="77"/>
      <c r="BF181" s="77"/>
      <c r="BG181" s="77"/>
      <c r="BH181" s="77"/>
      <c r="BI181" s="77"/>
    </row>
    <row r="182" spans="1:61" x14ac:dyDescent="0.25">
      <c r="A182" s="62" t="s">
        <v>263</v>
      </c>
      <c r="B182" s="62" t="s">
        <v>263</v>
      </c>
      <c r="C182" s="63"/>
      <c r="D182" s="64"/>
      <c r="E182" s="65"/>
      <c r="F182" s="66"/>
      <c r="G182" s="63"/>
      <c r="H182" s="67"/>
      <c r="I182" s="68"/>
      <c r="J182" s="68"/>
      <c r="K182" s="32"/>
      <c r="L182" s="75">
        <v>182</v>
      </c>
      <c r="M182" s="75"/>
      <c r="N182" s="70"/>
      <c r="O182" s="77" t="s">
        <v>179</v>
      </c>
      <c r="P182" s="79">
        <v>45102.43818287037</v>
      </c>
      <c r="Q182" s="77" t="s">
        <v>981</v>
      </c>
      <c r="R182" s="77">
        <v>0</v>
      </c>
      <c r="S182" s="77">
        <v>1</v>
      </c>
      <c r="T182" s="77">
        <v>0</v>
      </c>
      <c r="U182" s="77">
        <v>0</v>
      </c>
      <c r="V182" s="77">
        <v>64</v>
      </c>
      <c r="W182" s="82" t="s">
        <v>4835</v>
      </c>
      <c r="X182" s="80" t="str">
        <f>HYPERLINK("http://www.quotebr.com/download.php")</f>
        <v>http://www.quotebr.com/download.php</v>
      </c>
      <c r="Y182" s="77" t="s">
        <v>7067</v>
      </c>
      <c r="Z182" s="77"/>
      <c r="AA182" s="77" t="s">
        <v>7305</v>
      </c>
      <c r="AB182" s="77" t="s">
        <v>8225</v>
      </c>
      <c r="AC182" s="82" t="s">
        <v>8232</v>
      </c>
      <c r="AD182" s="77" t="s">
        <v>8278</v>
      </c>
      <c r="AE182" s="80" t="str">
        <f>HYPERLINK("https://twitter.com/wallfigueiredo/status/1672915282258477056")</f>
        <v>https://twitter.com/wallfigueiredo/status/1672915282258477056</v>
      </c>
      <c r="AF182" s="79">
        <v>45102.43818287037</v>
      </c>
      <c r="AG182" s="85">
        <v>45102</v>
      </c>
      <c r="AH182" s="82" t="s">
        <v>8465</v>
      </c>
      <c r="AI182" s="77" t="b">
        <v>0</v>
      </c>
      <c r="AJ182" s="77"/>
      <c r="AK182" s="77"/>
      <c r="AL182" s="77"/>
      <c r="AM182" s="77"/>
      <c r="AN182" s="77"/>
      <c r="AO182" s="77"/>
      <c r="AP182" s="77"/>
      <c r="AQ182" s="77" t="s">
        <v>12190</v>
      </c>
      <c r="AR182" s="77"/>
      <c r="AS182" s="77"/>
      <c r="AT182" s="77"/>
      <c r="AU182" s="77"/>
      <c r="AV182" s="80" t="str">
        <f>HYPERLINK("https://pbs.twimg.com/media/FzdjlFjXsAEH-wg.png")</f>
        <v>https://pbs.twimg.com/media/FzdjlFjXsAEH-wg.png</v>
      </c>
      <c r="AW182" s="82" t="s">
        <v>13285</v>
      </c>
      <c r="AX182" s="82" t="s">
        <v>13285</v>
      </c>
      <c r="AY182" s="77"/>
      <c r="AZ182" s="82" t="s">
        <v>17385</v>
      </c>
      <c r="BA182" s="82" t="s">
        <v>17385</v>
      </c>
      <c r="BB182" s="82" t="s">
        <v>17385</v>
      </c>
      <c r="BC182" s="82" t="s">
        <v>13285</v>
      </c>
      <c r="BD182" s="77">
        <v>86310384</v>
      </c>
      <c r="BE182" s="77"/>
      <c r="BF182" s="77"/>
      <c r="BG182" s="77"/>
      <c r="BH182" s="77"/>
      <c r="BI182" s="77"/>
    </row>
    <row r="183" spans="1:61" x14ac:dyDescent="0.25">
      <c r="A183" s="62" t="s">
        <v>263</v>
      </c>
      <c r="B183" s="62" t="s">
        <v>263</v>
      </c>
      <c r="C183" s="63"/>
      <c r="D183" s="64"/>
      <c r="E183" s="65"/>
      <c r="F183" s="66"/>
      <c r="G183" s="63"/>
      <c r="H183" s="67"/>
      <c r="I183" s="68"/>
      <c r="J183" s="68"/>
      <c r="K183" s="32"/>
      <c r="L183" s="75">
        <v>183</v>
      </c>
      <c r="M183" s="75"/>
      <c r="N183" s="70"/>
      <c r="O183" s="77" t="s">
        <v>179</v>
      </c>
      <c r="P183" s="79">
        <v>45102.423344907409</v>
      </c>
      <c r="Q183" s="77" t="s">
        <v>982</v>
      </c>
      <c r="R183" s="77">
        <v>0</v>
      </c>
      <c r="S183" s="77">
        <v>1</v>
      </c>
      <c r="T183" s="77">
        <v>0</v>
      </c>
      <c r="U183" s="77">
        <v>0</v>
      </c>
      <c r="V183" s="77">
        <v>95</v>
      </c>
      <c r="W183" s="82" t="s">
        <v>4835</v>
      </c>
      <c r="X183" s="80" t="str">
        <f>HYPERLINK("http://www.quotebr.com/download.php")</f>
        <v>http://www.quotebr.com/download.php</v>
      </c>
      <c r="Y183" s="77" t="s">
        <v>7067</v>
      </c>
      <c r="Z183" s="77"/>
      <c r="AA183" s="77" t="s">
        <v>7306</v>
      </c>
      <c r="AB183" s="77" t="s">
        <v>8225</v>
      </c>
      <c r="AC183" s="82" t="s">
        <v>8232</v>
      </c>
      <c r="AD183" s="77" t="s">
        <v>8278</v>
      </c>
      <c r="AE183" s="80" t="str">
        <f>HYPERLINK("https://twitter.com/wallfigueiredo/status/1672909905940946944")</f>
        <v>https://twitter.com/wallfigueiredo/status/1672909905940946944</v>
      </c>
      <c r="AF183" s="79">
        <v>45102.423344907409</v>
      </c>
      <c r="AG183" s="85">
        <v>45102</v>
      </c>
      <c r="AH183" s="82" t="s">
        <v>8466</v>
      </c>
      <c r="AI183" s="77" t="b">
        <v>0</v>
      </c>
      <c r="AJ183" s="77"/>
      <c r="AK183" s="77"/>
      <c r="AL183" s="77"/>
      <c r="AM183" s="77"/>
      <c r="AN183" s="77"/>
      <c r="AO183" s="77"/>
      <c r="AP183" s="77"/>
      <c r="AQ183" s="77" t="s">
        <v>12191</v>
      </c>
      <c r="AR183" s="77"/>
      <c r="AS183" s="77"/>
      <c r="AT183" s="77"/>
      <c r="AU183" s="77"/>
      <c r="AV183" s="80" t="str">
        <f>HYPERLINK("https://pbs.twimg.com/media/FzdesHSWYAEC85e.png")</f>
        <v>https://pbs.twimg.com/media/FzdesHSWYAEC85e.png</v>
      </c>
      <c r="AW183" s="82" t="s">
        <v>13286</v>
      </c>
      <c r="AX183" s="82" t="s">
        <v>13286</v>
      </c>
      <c r="AY183" s="77"/>
      <c r="AZ183" s="82" t="s">
        <v>17385</v>
      </c>
      <c r="BA183" s="82" t="s">
        <v>17385</v>
      </c>
      <c r="BB183" s="82" t="s">
        <v>17385</v>
      </c>
      <c r="BC183" s="82" t="s">
        <v>13286</v>
      </c>
      <c r="BD183" s="77">
        <v>86310384</v>
      </c>
      <c r="BE183" s="77"/>
      <c r="BF183" s="77"/>
      <c r="BG183" s="77"/>
      <c r="BH183" s="77"/>
      <c r="BI183" s="77"/>
    </row>
    <row r="184" spans="1:61" x14ac:dyDescent="0.25">
      <c r="A184" s="62" t="s">
        <v>263</v>
      </c>
      <c r="B184" s="62" t="s">
        <v>263</v>
      </c>
      <c r="C184" s="63"/>
      <c r="D184" s="64"/>
      <c r="E184" s="65"/>
      <c r="F184" s="66"/>
      <c r="G184" s="63"/>
      <c r="H184" s="67"/>
      <c r="I184" s="68"/>
      <c r="J184" s="68"/>
      <c r="K184" s="32"/>
      <c r="L184" s="75">
        <v>184</v>
      </c>
      <c r="M184" s="75"/>
      <c r="N184" s="70"/>
      <c r="O184" s="77" t="s">
        <v>179</v>
      </c>
      <c r="P184" s="79">
        <v>45080.864965277775</v>
      </c>
      <c r="Q184" s="77" t="s">
        <v>983</v>
      </c>
      <c r="R184" s="77">
        <v>0</v>
      </c>
      <c r="S184" s="77">
        <v>3</v>
      </c>
      <c r="T184" s="77">
        <v>0</v>
      </c>
      <c r="U184" s="77">
        <v>0</v>
      </c>
      <c r="V184" s="77">
        <v>69</v>
      </c>
      <c r="W184" s="82" t="s">
        <v>4835</v>
      </c>
      <c r="X184" s="80" t="str">
        <f>HYPERLINK("http://www.quotebr.com/download.php")</f>
        <v>http://www.quotebr.com/download.php</v>
      </c>
      <c r="Y184" s="77" t="s">
        <v>7067</v>
      </c>
      <c r="Z184" s="77"/>
      <c r="AA184" s="77" t="s">
        <v>7307</v>
      </c>
      <c r="AB184" s="77" t="s">
        <v>8225</v>
      </c>
      <c r="AC184" s="82" t="s">
        <v>8232</v>
      </c>
      <c r="AD184" s="77" t="s">
        <v>8278</v>
      </c>
      <c r="AE184" s="80" t="str">
        <f>HYPERLINK("https://twitter.com/wallfigueiredo/status/1665097409167347712")</f>
        <v>https://twitter.com/wallfigueiredo/status/1665097409167347712</v>
      </c>
      <c r="AF184" s="79">
        <v>45080.864965277775</v>
      </c>
      <c r="AG184" s="85">
        <v>45080</v>
      </c>
      <c r="AH184" s="82" t="s">
        <v>8467</v>
      </c>
      <c r="AI184" s="77" t="b">
        <v>0</v>
      </c>
      <c r="AJ184" s="77"/>
      <c r="AK184" s="77"/>
      <c r="AL184" s="77"/>
      <c r="AM184" s="77"/>
      <c r="AN184" s="77"/>
      <c r="AO184" s="77"/>
      <c r="AP184" s="77"/>
      <c r="AQ184" s="77" t="s">
        <v>12192</v>
      </c>
      <c r="AR184" s="77"/>
      <c r="AS184" s="77"/>
      <c r="AT184" s="77"/>
      <c r="AU184" s="77"/>
      <c r="AV184" s="80" t="str">
        <f>HYPERLINK("https://pbs.twimg.com/media/FxudQ9PWYAANvPf.png")</f>
        <v>https://pbs.twimg.com/media/FxudQ9PWYAANvPf.png</v>
      </c>
      <c r="AW184" s="82" t="s">
        <v>13287</v>
      </c>
      <c r="AX184" s="82" t="s">
        <v>13287</v>
      </c>
      <c r="AY184" s="77"/>
      <c r="AZ184" s="82" t="s">
        <v>17385</v>
      </c>
      <c r="BA184" s="82" t="s">
        <v>17385</v>
      </c>
      <c r="BB184" s="82" t="s">
        <v>17385</v>
      </c>
      <c r="BC184" s="82" t="s">
        <v>13287</v>
      </c>
      <c r="BD184" s="77">
        <v>86310384</v>
      </c>
      <c r="BE184" s="77"/>
      <c r="BF184" s="77"/>
      <c r="BG184" s="77"/>
      <c r="BH184" s="77"/>
      <c r="BI184" s="77"/>
    </row>
    <row r="185" spans="1:61" x14ac:dyDescent="0.25">
      <c r="A185" s="62" t="s">
        <v>263</v>
      </c>
      <c r="B185" s="62" t="s">
        <v>263</v>
      </c>
      <c r="C185" s="63"/>
      <c r="D185" s="64"/>
      <c r="E185" s="65"/>
      <c r="F185" s="66"/>
      <c r="G185" s="63"/>
      <c r="H185" s="67"/>
      <c r="I185" s="68"/>
      <c r="J185" s="68"/>
      <c r="K185" s="32"/>
      <c r="L185" s="75">
        <v>185</v>
      </c>
      <c r="M185" s="75"/>
      <c r="N185" s="70"/>
      <c r="O185" s="77" t="s">
        <v>179</v>
      </c>
      <c r="P185" s="79">
        <v>45080.864583333336</v>
      </c>
      <c r="Q185" s="77" t="s">
        <v>984</v>
      </c>
      <c r="R185" s="77">
        <v>0</v>
      </c>
      <c r="S185" s="77">
        <v>2</v>
      </c>
      <c r="T185" s="77">
        <v>0</v>
      </c>
      <c r="U185" s="77">
        <v>0</v>
      </c>
      <c r="V185" s="77">
        <v>76</v>
      </c>
      <c r="W185" s="82" t="s">
        <v>4835</v>
      </c>
      <c r="X185" s="80" t="str">
        <f>HYPERLINK("http://www.quotebr.com/download.php")</f>
        <v>http://www.quotebr.com/download.php</v>
      </c>
      <c r="Y185" s="77" t="s">
        <v>7067</v>
      </c>
      <c r="Z185" s="77"/>
      <c r="AA185" s="77" t="s">
        <v>7308</v>
      </c>
      <c r="AB185" s="77" t="s">
        <v>8225</v>
      </c>
      <c r="AC185" s="82" t="s">
        <v>8232</v>
      </c>
      <c r="AD185" s="77" t="s">
        <v>8278</v>
      </c>
      <c r="AE185" s="80" t="str">
        <f>HYPERLINK("https://twitter.com/wallfigueiredo/status/1665097272332279810")</f>
        <v>https://twitter.com/wallfigueiredo/status/1665097272332279810</v>
      </c>
      <c r="AF185" s="79">
        <v>45080.864583333336</v>
      </c>
      <c r="AG185" s="85">
        <v>45080</v>
      </c>
      <c r="AH185" s="82" t="s">
        <v>8468</v>
      </c>
      <c r="AI185" s="77" t="b">
        <v>0</v>
      </c>
      <c r="AJ185" s="77"/>
      <c r="AK185" s="77"/>
      <c r="AL185" s="77"/>
      <c r="AM185" s="77"/>
      <c r="AN185" s="77"/>
      <c r="AO185" s="77"/>
      <c r="AP185" s="77"/>
      <c r="AQ185" s="77" t="s">
        <v>12193</v>
      </c>
      <c r="AR185" s="77"/>
      <c r="AS185" s="77"/>
      <c r="AT185" s="77"/>
      <c r="AU185" s="77"/>
      <c r="AV185" s="80" t="str">
        <f>HYPERLINK("https://pbs.twimg.com/media/FxudJIsWAAEJs7x.png")</f>
        <v>https://pbs.twimg.com/media/FxudJIsWAAEJs7x.png</v>
      </c>
      <c r="AW185" s="82" t="s">
        <v>13288</v>
      </c>
      <c r="AX185" s="82" t="s">
        <v>13288</v>
      </c>
      <c r="AY185" s="77"/>
      <c r="AZ185" s="82" t="s">
        <v>17385</v>
      </c>
      <c r="BA185" s="82" t="s">
        <v>17385</v>
      </c>
      <c r="BB185" s="82" t="s">
        <v>17385</v>
      </c>
      <c r="BC185" s="82" t="s">
        <v>13288</v>
      </c>
      <c r="BD185" s="77">
        <v>86310384</v>
      </c>
      <c r="BE185" s="77"/>
      <c r="BF185" s="77"/>
      <c r="BG185" s="77"/>
      <c r="BH185" s="77"/>
      <c r="BI185" s="77"/>
    </row>
    <row r="186" spans="1:61" x14ac:dyDescent="0.25">
      <c r="A186" s="62" t="s">
        <v>263</v>
      </c>
      <c r="B186" s="62" t="s">
        <v>263</v>
      </c>
      <c r="C186" s="63"/>
      <c r="D186" s="64"/>
      <c r="E186" s="65"/>
      <c r="F186" s="66"/>
      <c r="G186" s="63"/>
      <c r="H186" s="67"/>
      <c r="I186" s="68"/>
      <c r="J186" s="68"/>
      <c r="K186" s="32"/>
      <c r="L186" s="75">
        <v>186</v>
      </c>
      <c r="M186" s="75"/>
      <c r="N186" s="70"/>
      <c r="O186" s="77" t="s">
        <v>179</v>
      </c>
      <c r="P186" s="79">
        <v>45080.864224537036</v>
      </c>
      <c r="Q186" s="77" t="s">
        <v>985</v>
      </c>
      <c r="R186" s="77">
        <v>0</v>
      </c>
      <c r="S186" s="77">
        <v>2</v>
      </c>
      <c r="T186" s="77">
        <v>0</v>
      </c>
      <c r="U186" s="77">
        <v>0</v>
      </c>
      <c r="V186" s="77">
        <v>73</v>
      </c>
      <c r="W186" s="82" t="s">
        <v>4835</v>
      </c>
      <c r="X186" s="80" t="str">
        <f>HYPERLINK("http://www.quotebr.com/download.php")</f>
        <v>http://www.quotebr.com/download.php</v>
      </c>
      <c r="Y186" s="77" t="s">
        <v>7067</v>
      </c>
      <c r="Z186" s="77"/>
      <c r="AA186" s="77" t="s">
        <v>7309</v>
      </c>
      <c r="AB186" s="77" t="s">
        <v>8225</v>
      </c>
      <c r="AC186" s="82" t="s">
        <v>8232</v>
      </c>
      <c r="AD186" s="77" t="s">
        <v>8278</v>
      </c>
      <c r="AE186" s="80" t="str">
        <f>HYPERLINK("https://twitter.com/wallfigueiredo/status/1665097144523530246")</f>
        <v>https://twitter.com/wallfigueiredo/status/1665097144523530246</v>
      </c>
      <c r="AF186" s="79">
        <v>45080.864224537036</v>
      </c>
      <c r="AG186" s="85">
        <v>45080</v>
      </c>
      <c r="AH186" s="82" t="s">
        <v>8469</v>
      </c>
      <c r="AI186" s="77" t="b">
        <v>0</v>
      </c>
      <c r="AJ186" s="77"/>
      <c r="AK186" s="77"/>
      <c r="AL186" s="77"/>
      <c r="AM186" s="77"/>
      <c r="AN186" s="77"/>
      <c r="AO186" s="77"/>
      <c r="AP186" s="77"/>
      <c r="AQ186" s="77" t="s">
        <v>12194</v>
      </c>
      <c r="AR186" s="77"/>
      <c r="AS186" s="77"/>
      <c r="AT186" s="77"/>
      <c r="AU186" s="77"/>
      <c r="AV186" s="80" t="str">
        <f>HYPERLINK("https://pbs.twimg.com/media/FxudBpcWAAEBRKL.png")</f>
        <v>https://pbs.twimg.com/media/FxudBpcWAAEBRKL.png</v>
      </c>
      <c r="AW186" s="82" t="s">
        <v>13289</v>
      </c>
      <c r="AX186" s="82" t="s">
        <v>13289</v>
      </c>
      <c r="AY186" s="77"/>
      <c r="AZ186" s="82" t="s">
        <v>17385</v>
      </c>
      <c r="BA186" s="82" t="s">
        <v>17385</v>
      </c>
      <c r="BB186" s="82" t="s">
        <v>17385</v>
      </c>
      <c r="BC186" s="82" t="s">
        <v>13289</v>
      </c>
      <c r="BD186" s="77">
        <v>86310384</v>
      </c>
      <c r="BE186" s="77"/>
      <c r="BF186" s="77"/>
      <c r="BG186" s="77"/>
      <c r="BH186" s="77"/>
      <c r="BI186" s="77"/>
    </row>
    <row r="187" spans="1:61" x14ac:dyDescent="0.25">
      <c r="A187" s="62" t="s">
        <v>263</v>
      </c>
      <c r="B187" s="62" t="s">
        <v>263</v>
      </c>
      <c r="C187" s="63"/>
      <c r="D187" s="64"/>
      <c r="E187" s="65"/>
      <c r="F187" s="66"/>
      <c r="G187" s="63"/>
      <c r="H187" s="67"/>
      <c r="I187" s="68"/>
      <c r="J187" s="68"/>
      <c r="K187" s="32"/>
      <c r="L187" s="75">
        <v>187</v>
      </c>
      <c r="M187" s="75"/>
      <c r="N187" s="70"/>
      <c r="O187" s="77" t="s">
        <v>179</v>
      </c>
      <c r="P187" s="79">
        <v>45080.863333333335</v>
      </c>
      <c r="Q187" s="77" t="s">
        <v>986</v>
      </c>
      <c r="R187" s="77">
        <v>0</v>
      </c>
      <c r="S187" s="77">
        <v>2</v>
      </c>
      <c r="T187" s="77">
        <v>0</v>
      </c>
      <c r="U187" s="77">
        <v>0</v>
      </c>
      <c r="V187" s="77">
        <v>88</v>
      </c>
      <c r="W187" s="82" t="s">
        <v>4835</v>
      </c>
      <c r="X187" s="80" t="str">
        <f>HYPERLINK("http://www.quotebr.com/download.php")</f>
        <v>http://www.quotebr.com/download.php</v>
      </c>
      <c r="Y187" s="77" t="s">
        <v>7067</v>
      </c>
      <c r="Z187" s="77"/>
      <c r="AA187" s="77" t="s">
        <v>7310</v>
      </c>
      <c r="AB187" s="77" t="s">
        <v>8225</v>
      </c>
      <c r="AC187" s="82" t="s">
        <v>8232</v>
      </c>
      <c r="AD187" s="77" t="s">
        <v>8278</v>
      </c>
      <c r="AE187" s="80" t="str">
        <f>HYPERLINK("https://twitter.com/wallfigueiredo/status/1665096818349178880")</f>
        <v>https://twitter.com/wallfigueiredo/status/1665096818349178880</v>
      </c>
      <c r="AF187" s="79">
        <v>45080.863333333335</v>
      </c>
      <c r="AG187" s="85">
        <v>45080</v>
      </c>
      <c r="AH187" s="82" t="s">
        <v>8470</v>
      </c>
      <c r="AI187" s="77" t="b">
        <v>0</v>
      </c>
      <c r="AJ187" s="77"/>
      <c r="AK187" s="77"/>
      <c r="AL187" s="77"/>
      <c r="AM187" s="77"/>
      <c r="AN187" s="77"/>
      <c r="AO187" s="77"/>
      <c r="AP187" s="77"/>
      <c r="AQ187" s="77" t="s">
        <v>12195</v>
      </c>
      <c r="AR187" s="77"/>
      <c r="AS187" s="77"/>
      <c r="AT187" s="77"/>
      <c r="AU187" s="77"/>
      <c r="AV187" s="80" t="str">
        <f>HYPERLINK("https://pbs.twimg.com/media/FxucuhQXoAAYCiP.png")</f>
        <v>https://pbs.twimg.com/media/FxucuhQXoAAYCiP.png</v>
      </c>
      <c r="AW187" s="82" t="s">
        <v>13290</v>
      </c>
      <c r="AX187" s="82" t="s">
        <v>13290</v>
      </c>
      <c r="AY187" s="77"/>
      <c r="AZ187" s="82" t="s">
        <v>17385</v>
      </c>
      <c r="BA187" s="82" t="s">
        <v>17385</v>
      </c>
      <c r="BB187" s="82" t="s">
        <v>17385</v>
      </c>
      <c r="BC187" s="82" t="s">
        <v>13290</v>
      </c>
      <c r="BD187" s="77">
        <v>86310384</v>
      </c>
      <c r="BE187" s="77"/>
      <c r="BF187" s="77"/>
      <c r="BG187" s="77"/>
      <c r="BH187" s="77"/>
      <c r="BI187" s="77"/>
    </row>
    <row r="188" spans="1:61" x14ac:dyDescent="0.25">
      <c r="A188" s="62" t="s">
        <v>263</v>
      </c>
      <c r="B188" s="62" t="s">
        <v>263</v>
      </c>
      <c r="C188" s="63"/>
      <c r="D188" s="64"/>
      <c r="E188" s="65"/>
      <c r="F188" s="66"/>
      <c r="G188" s="63"/>
      <c r="H188" s="67"/>
      <c r="I188" s="68"/>
      <c r="J188" s="68"/>
      <c r="K188" s="32"/>
      <c r="L188" s="75">
        <v>188</v>
      </c>
      <c r="M188" s="75"/>
      <c r="N188" s="70"/>
      <c r="O188" s="77" t="s">
        <v>179</v>
      </c>
      <c r="P188" s="79">
        <v>45192.868819444448</v>
      </c>
      <c r="Q188" s="77" t="s">
        <v>987</v>
      </c>
      <c r="R188" s="77">
        <v>0</v>
      </c>
      <c r="S188" s="77">
        <v>1</v>
      </c>
      <c r="T188" s="77">
        <v>0</v>
      </c>
      <c r="U188" s="77">
        <v>0</v>
      </c>
      <c r="V188" s="77">
        <v>59</v>
      </c>
      <c r="W188" s="82" t="s">
        <v>4835</v>
      </c>
      <c r="X188" s="80" t="str">
        <f>HYPERLINK("http://www.quotebr.com/download.php")</f>
        <v>http://www.quotebr.com/download.php</v>
      </c>
      <c r="Y188" s="77" t="s">
        <v>7067</v>
      </c>
      <c r="Z188" s="77"/>
      <c r="AA188" s="77" t="s">
        <v>7311</v>
      </c>
      <c r="AB188" s="77" t="s">
        <v>8225</v>
      </c>
      <c r="AC188" s="82" t="s">
        <v>8232</v>
      </c>
      <c r="AD188" s="77" t="s">
        <v>8278</v>
      </c>
      <c r="AE188" s="80" t="str">
        <f>HYPERLINK("https://twitter.com/wallfigueiredo/status/1705686247320993910")</f>
        <v>https://twitter.com/wallfigueiredo/status/1705686247320993910</v>
      </c>
      <c r="AF188" s="79">
        <v>45192.868819444448</v>
      </c>
      <c r="AG188" s="85">
        <v>45192</v>
      </c>
      <c r="AH188" s="82" t="s">
        <v>8471</v>
      </c>
      <c r="AI188" s="77" t="b">
        <v>0</v>
      </c>
      <c r="AJ188" s="77"/>
      <c r="AK188" s="77"/>
      <c r="AL188" s="77"/>
      <c r="AM188" s="77"/>
      <c r="AN188" s="77"/>
      <c r="AO188" s="77"/>
      <c r="AP188" s="77"/>
      <c r="AQ188" s="77" t="s">
        <v>12196</v>
      </c>
      <c r="AR188" s="77"/>
      <c r="AS188" s="77"/>
      <c r="AT188" s="77"/>
      <c r="AU188" s="77"/>
      <c r="AV188" s="80" t="str">
        <f>HYPERLINK("https://pbs.twimg.com/media/F6vQmTTXwAABhJb.png")</f>
        <v>https://pbs.twimg.com/media/F6vQmTTXwAABhJb.png</v>
      </c>
      <c r="AW188" s="82" t="s">
        <v>13291</v>
      </c>
      <c r="AX188" s="82" t="s">
        <v>13291</v>
      </c>
      <c r="AY188" s="77"/>
      <c r="AZ188" s="82" t="s">
        <v>17385</v>
      </c>
      <c r="BA188" s="82" t="s">
        <v>17385</v>
      </c>
      <c r="BB188" s="82" t="s">
        <v>17385</v>
      </c>
      <c r="BC188" s="82" t="s">
        <v>13291</v>
      </c>
      <c r="BD188" s="77">
        <v>86310384</v>
      </c>
      <c r="BE188" s="77"/>
      <c r="BF188" s="77"/>
      <c r="BG188" s="77"/>
      <c r="BH188" s="77"/>
      <c r="BI188" s="77"/>
    </row>
    <row r="189" spans="1:61" x14ac:dyDescent="0.25">
      <c r="A189" s="62" t="s">
        <v>263</v>
      </c>
      <c r="B189" s="62" t="s">
        <v>263</v>
      </c>
      <c r="C189" s="63"/>
      <c r="D189" s="64"/>
      <c r="E189" s="65"/>
      <c r="F189" s="66"/>
      <c r="G189" s="63"/>
      <c r="H189" s="67"/>
      <c r="I189" s="68"/>
      <c r="J189" s="68"/>
      <c r="K189" s="32"/>
      <c r="L189" s="75">
        <v>189</v>
      </c>
      <c r="M189" s="75"/>
      <c r="N189" s="70"/>
      <c r="O189" s="77" t="s">
        <v>179</v>
      </c>
      <c r="P189" s="79">
        <v>45192.868321759262</v>
      </c>
      <c r="Q189" s="77" t="s">
        <v>988</v>
      </c>
      <c r="R189" s="77">
        <v>0</v>
      </c>
      <c r="S189" s="77">
        <v>1</v>
      </c>
      <c r="T189" s="77">
        <v>0</v>
      </c>
      <c r="U189" s="77">
        <v>0</v>
      </c>
      <c r="V189" s="77">
        <v>53</v>
      </c>
      <c r="W189" s="82" t="s">
        <v>4835</v>
      </c>
      <c r="X189" s="80" t="str">
        <f>HYPERLINK("http://www.quotebr.com/download.php")</f>
        <v>http://www.quotebr.com/download.php</v>
      </c>
      <c r="Y189" s="77" t="s">
        <v>7067</v>
      </c>
      <c r="Z189" s="77"/>
      <c r="AA189" s="77" t="s">
        <v>7312</v>
      </c>
      <c r="AB189" s="77" t="s">
        <v>8225</v>
      </c>
      <c r="AC189" s="82" t="s">
        <v>8232</v>
      </c>
      <c r="AD189" s="77" t="s">
        <v>8278</v>
      </c>
      <c r="AE189" s="80" t="str">
        <f>HYPERLINK("https://twitter.com/wallfigueiredo/status/1705686069293846966")</f>
        <v>https://twitter.com/wallfigueiredo/status/1705686069293846966</v>
      </c>
      <c r="AF189" s="79">
        <v>45192.868321759262</v>
      </c>
      <c r="AG189" s="85">
        <v>45192</v>
      </c>
      <c r="AH189" s="82" t="s">
        <v>8472</v>
      </c>
      <c r="AI189" s="77" t="b">
        <v>0</v>
      </c>
      <c r="AJ189" s="77"/>
      <c r="AK189" s="77"/>
      <c r="AL189" s="77"/>
      <c r="AM189" s="77"/>
      <c r="AN189" s="77"/>
      <c r="AO189" s="77"/>
      <c r="AP189" s="77"/>
      <c r="AQ189" s="77" t="s">
        <v>12197</v>
      </c>
      <c r="AR189" s="77"/>
      <c r="AS189" s="77"/>
      <c r="AT189" s="77"/>
      <c r="AU189" s="77"/>
      <c r="AV189" s="80" t="str">
        <f>HYPERLINK("https://pbs.twimg.com/media/F6vQcBWXIAAeTX_.png")</f>
        <v>https://pbs.twimg.com/media/F6vQcBWXIAAeTX_.png</v>
      </c>
      <c r="AW189" s="82" t="s">
        <v>13292</v>
      </c>
      <c r="AX189" s="82" t="s">
        <v>13292</v>
      </c>
      <c r="AY189" s="77"/>
      <c r="AZ189" s="82" t="s">
        <v>17385</v>
      </c>
      <c r="BA189" s="82" t="s">
        <v>17385</v>
      </c>
      <c r="BB189" s="82" t="s">
        <v>17385</v>
      </c>
      <c r="BC189" s="82" t="s">
        <v>13292</v>
      </c>
      <c r="BD189" s="77">
        <v>86310384</v>
      </c>
      <c r="BE189" s="77"/>
      <c r="BF189" s="77"/>
      <c r="BG189" s="77"/>
      <c r="BH189" s="77"/>
      <c r="BI189" s="77"/>
    </row>
    <row r="190" spans="1:61" x14ac:dyDescent="0.25">
      <c r="A190" s="62" t="s">
        <v>263</v>
      </c>
      <c r="B190" s="62" t="s">
        <v>263</v>
      </c>
      <c r="C190" s="63"/>
      <c r="D190" s="64"/>
      <c r="E190" s="65"/>
      <c r="F190" s="66"/>
      <c r="G190" s="63"/>
      <c r="H190" s="67"/>
      <c r="I190" s="68"/>
      <c r="J190" s="68"/>
      <c r="K190" s="32"/>
      <c r="L190" s="75">
        <v>190</v>
      </c>
      <c r="M190" s="75"/>
      <c r="N190" s="70"/>
      <c r="O190" s="77" t="s">
        <v>179</v>
      </c>
      <c r="P190" s="79">
        <v>45143.773599537039</v>
      </c>
      <c r="Q190" s="77" t="s">
        <v>989</v>
      </c>
      <c r="R190" s="77">
        <v>0</v>
      </c>
      <c r="S190" s="77">
        <v>1</v>
      </c>
      <c r="T190" s="77">
        <v>0</v>
      </c>
      <c r="U190" s="77">
        <v>0</v>
      </c>
      <c r="V190" s="77">
        <v>67</v>
      </c>
      <c r="W190" s="82" t="s">
        <v>4835</v>
      </c>
      <c r="X190" s="80" t="str">
        <f>HYPERLINK("http://www.quotebr.com/download.php")</f>
        <v>http://www.quotebr.com/download.php</v>
      </c>
      <c r="Y190" s="77" t="s">
        <v>7067</v>
      </c>
      <c r="Z190" s="77"/>
      <c r="AA190" s="77" t="s">
        <v>7313</v>
      </c>
      <c r="AB190" s="77" t="s">
        <v>8225</v>
      </c>
      <c r="AC190" s="82" t="s">
        <v>8232</v>
      </c>
      <c r="AD190" s="77" t="s">
        <v>8278</v>
      </c>
      <c r="AE190" s="80" t="str">
        <f>HYPERLINK("https://twitter.com/wallfigueiredo/status/1687894734935629829")</f>
        <v>https://twitter.com/wallfigueiredo/status/1687894734935629829</v>
      </c>
      <c r="AF190" s="79">
        <v>45143.773599537039</v>
      </c>
      <c r="AG190" s="85">
        <v>45143</v>
      </c>
      <c r="AH190" s="82" t="s">
        <v>8473</v>
      </c>
      <c r="AI190" s="77" t="b">
        <v>0</v>
      </c>
      <c r="AJ190" s="77"/>
      <c r="AK190" s="77"/>
      <c r="AL190" s="77"/>
      <c r="AM190" s="77"/>
      <c r="AN190" s="77"/>
      <c r="AO190" s="77"/>
      <c r="AP190" s="77"/>
      <c r="AQ190" s="77" t="s">
        <v>12198</v>
      </c>
      <c r="AR190" s="77"/>
      <c r="AS190" s="77"/>
      <c r="AT190" s="77"/>
      <c r="AU190" s="77"/>
      <c r="AV190" s="80" t="str">
        <f>HYPERLINK("https://pbs.twimg.com/media/F2ybUDwWkAAnngF.png")</f>
        <v>https://pbs.twimg.com/media/F2ybUDwWkAAnngF.png</v>
      </c>
      <c r="AW190" s="82" t="s">
        <v>13293</v>
      </c>
      <c r="AX190" s="82" t="s">
        <v>13293</v>
      </c>
      <c r="AY190" s="77"/>
      <c r="AZ190" s="82" t="s">
        <v>17385</v>
      </c>
      <c r="BA190" s="82" t="s">
        <v>17385</v>
      </c>
      <c r="BB190" s="82" t="s">
        <v>17385</v>
      </c>
      <c r="BC190" s="82" t="s">
        <v>13293</v>
      </c>
      <c r="BD190" s="77">
        <v>86310384</v>
      </c>
      <c r="BE190" s="77"/>
      <c r="BF190" s="77"/>
      <c r="BG190" s="77"/>
      <c r="BH190" s="77"/>
      <c r="BI190" s="77"/>
    </row>
    <row r="191" spans="1:61" x14ac:dyDescent="0.25">
      <c r="A191" s="62" t="s">
        <v>263</v>
      </c>
      <c r="B191" s="62" t="s">
        <v>263</v>
      </c>
      <c r="C191" s="63"/>
      <c r="D191" s="64"/>
      <c r="E191" s="65"/>
      <c r="F191" s="66"/>
      <c r="G191" s="63"/>
      <c r="H191" s="67"/>
      <c r="I191" s="68"/>
      <c r="J191" s="68"/>
      <c r="K191" s="32"/>
      <c r="L191" s="75">
        <v>191</v>
      </c>
      <c r="M191" s="75"/>
      <c r="N191" s="70"/>
      <c r="O191" s="77" t="s">
        <v>179</v>
      </c>
      <c r="P191" s="79">
        <v>45143.773113425923</v>
      </c>
      <c r="Q191" s="77" t="s">
        <v>990</v>
      </c>
      <c r="R191" s="77">
        <v>0</v>
      </c>
      <c r="S191" s="77">
        <v>1</v>
      </c>
      <c r="T191" s="77">
        <v>0</v>
      </c>
      <c r="U191" s="77">
        <v>0</v>
      </c>
      <c r="V191" s="77">
        <v>55</v>
      </c>
      <c r="W191" s="82" t="s">
        <v>4835</v>
      </c>
      <c r="X191" s="80" t="str">
        <f>HYPERLINK("http://www.quotebr.com/download.php")</f>
        <v>http://www.quotebr.com/download.php</v>
      </c>
      <c r="Y191" s="77" t="s">
        <v>7067</v>
      </c>
      <c r="Z191" s="77"/>
      <c r="AA191" s="77" t="s">
        <v>7314</v>
      </c>
      <c r="AB191" s="77" t="s">
        <v>8225</v>
      </c>
      <c r="AC191" s="82" t="s">
        <v>8232</v>
      </c>
      <c r="AD191" s="77" t="s">
        <v>8278</v>
      </c>
      <c r="AE191" s="80" t="str">
        <f>HYPERLINK("https://twitter.com/wallfigueiredo/status/1687894558871257089")</f>
        <v>https://twitter.com/wallfigueiredo/status/1687894558871257089</v>
      </c>
      <c r="AF191" s="79">
        <v>45143.773113425923</v>
      </c>
      <c r="AG191" s="85">
        <v>45143</v>
      </c>
      <c r="AH191" s="82" t="s">
        <v>8474</v>
      </c>
      <c r="AI191" s="77" t="b">
        <v>0</v>
      </c>
      <c r="AJ191" s="77"/>
      <c r="AK191" s="77"/>
      <c r="AL191" s="77"/>
      <c r="AM191" s="77"/>
      <c r="AN191" s="77"/>
      <c r="AO191" s="77"/>
      <c r="AP191" s="77"/>
      <c r="AQ191" s="77" t="s">
        <v>12199</v>
      </c>
      <c r="AR191" s="77"/>
      <c r="AS191" s="77"/>
      <c r="AT191" s="77"/>
      <c r="AU191" s="77"/>
      <c r="AV191" s="80" t="str">
        <f>HYPERLINK("https://pbs.twimg.com/media/F2ybJzwW4AAPYX7.png")</f>
        <v>https://pbs.twimg.com/media/F2ybJzwW4AAPYX7.png</v>
      </c>
      <c r="AW191" s="82" t="s">
        <v>13294</v>
      </c>
      <c r="AX191" s="82" t="s">
        <v>13294</v>
      </c>
      <c r="AY191" s="77"/>
      <c r="AZ191" s="82" t="s">
        <v>17385</v>
      </c>
      <c r="BA191" s="82" t="s">
        <v>17385</v>
      </c>
      <c r="BB191" s="82" t="s">
        <v>17385</v>
      </c>
      <c r="BC191" s="82" t="s">
        <v>13294</v>
      </c>
      <c r="BD191" s="77">
        <v>86310384</v>
      </c>
      <c r="BE191" s="77"/>
      <c r="BF191" s="77"/>
      <c r="BG191" s="77"/>
      <c r="BH191" s="77"/>
      <c r="BI191" s="77"/>
    </row>
    <row r="192" spans="1:61" x14ac:dyDescent="0.25">
      <c r="A192" s="62" t="s">
        <v>263</v>
      </c>
      <c r="B192" s="62" t="s">
        <v>263</v>
      </c>
      <c r="C192" s="63"/>
      <c r="D192" s="64"/>
      <c r="E192" s="65"/>
      <c r="F192" s="66"/>
      <c r="G192" s="63"/>
      <c r="H192" s="67"/>
      <c r="I192" s="68"/>
      <c r="J192" s="68"/>
      <c r="K192" s="32"/>
      <c r="L192" s="75">
        <v>192</v>
      </c>
      <c r="M192" s="75"/>
      <c r="N192" s="70"/>
      <c r="O192" s="77" t="s">
        <v>179</v>
      </c>
      <c r="P192" s="79">
        <v>45143.739027777781</v>
      </c>
      <c r="Q192" s="77" t="s">
        <v>991</v>
      </c>
      <c r="R192" s="77">
        <v>0</v>
      </c>
      <c r="S192" s="77">
        <v>1</v>
      </c>
      <c r="T192" s="77">
        <v>0</v>
      </c>
      <c r="U192" s="77">
        <v>0</v>
      </c>
      <c r="V192" s="77">
        <v>66</v>
      </c>
      <c r="W192" s="82" t="s">
        <v>4835</v>
      </c>
      <c r="X192" s="80" t="str">
        <f>HYPERLINK("http://www.quotebr.com/download.php")</f>
        <v>http://www.quotebr.com/download.php</v>
      </c>
      <c r="Y192" s="77" t="s">
        <v>7067</v>
      </c>
      <c r="Z192" s="77"/>
      <c r="AA192" s="77" t="s">
        <v>7315</v>
      </c>
      <c r="AB192" s="77" t="s">
        <v>8225</v>
      </c>
      <c r="AC192" s="82" t="s">
        <v>8232</v>
      </c>
      <c r="AD192" s="77" t="s">
        <v>8278</v>
      </c>
      <c r="AE192" s="80" t="str">
        <f>HYPERLINK("https://twitter.com/wallfigueiredo/status/1687882208885735425")</f>
        <v>https://twitter.com/wallfigueiredo/status/1687882208885735425</v>
      </c>
      <c r="AF192" s="79">
        <v>45143.739027777781</v>
      </c>
      <c r="AG192" s="85">
        <v>45143</v>
      </c>
      <c r="AH192" s="82" t="s">
        <v>8475</v>
      </c>
      <c r="AI192" s="77" t="b">
        <v>0</v>
      </c>
      <c r="AJ192" s="77"/>
      <c r="AK192" s="77"/>
      <c r="AL192" s="77"/>
      <c r="AM192" s="77"/>
      <c r="AN192" s="77"/>
      <c r="AO192" s="77"/>
      <c r="AP192" s="77"/>
      <c r="AQ192" s="77" t="s">
        <v>12200</v>
      </c>
      <c r="AR192" s="77"/>
      <c r="AS192" s="77"/>
      <c r="AT192" s="77"/>
      <c r="AU192" s="77"/>
      <c r="AV192" s="80" t="str">
        <f>HYPERLINK("https://pbs.twimg.com/media/F2yP67DXsAAz8-f.png")</f>
        <v>https://pbs.twimg.com/media/F2yP67DXsAAz8-f.png</v>
      </c>
      <c r="AW192" s="82" t="s">
        <v>13295</v>
      </c>
      <c r="AX192" s="82" t="s">
        <v>13295</v>
      </c>
      <c r="AY192" s="77"/>
      <c r="AZ192" s="82" t="s">
        <v>17385</v>
      </c>
      <c r="BA192" s="82" t="s">
        <v>17385</v>
      </c>
      <c r="BB192" s="82" t="s">
        <v>17385</v>
      </c>
      <c r="BC192" s="82" t="s">
        <v>13295</v>
      </c>
      <c r="BD192" s="77">
        <v>86310384</v>
      </c>
      <c r="BE192" s="77"/>
      <c r="BF192" s="77"/>
      <c r="BG192" s="77"/>
      <c r="BH192" s="77"/>
      <c r="BI192" s="77"/>
    </row>
    <row r="193" spans="1:61" x14ac:dyDescent="0.25">
      <c r="A193" s="62" t="s">
        <v>263</v>
      </c>
      <c r="B193" s="62" t="s">
        <v>263</v>
      </c>
      <c r="C193" s="63"/>
      <c r="D193" s="64"/>
      <c r="E193" s="65"/>
      <c r="F193" s="66"/>
      <c r="G193" s="63"/>
      <c r="H193" s="67"/>
      <c r="I193" s="68"/>
      <c r="J193" s="68"/>
      <c r="K193" s="32"/>
      <c r="L193" s="75">
        <v>193</v>
      </c>
      <c r="M193" s="75"/>
      <c r="N193" s="70"/>
      <c r="O193" s="77" t="s">
        <v>179</v>
      </c>
      <c r="P193" s="79">
        <v>45143.738252314812</v>
      </c>
      <c r="Q193" s="77" t="s">
        <v>992</v>
      </c>
      <c r="R193" s="77">
        <v>0</v>
      </c>
      <c r="S193" s="77">
        <v>1</v>
      </c>
      <c r="T193" s="77">
        <v>0</v>
      </c>
      <c r="U193" s="77">
        <v>0</v>
      </c>
      <c r="V193" s="77">
        <v>86</v>
      </c>
      <c r="W193" s="82" t="s">
        <v>4835</v>
      </c>
      <c r="X193" s="80" t="str">
        <f>HYPERLINK("http://www.quotebr.com/download.php")</f>
        <v>http://www.quotebr.com/download.php</v>
      </c>
      <c r="Y193" s="77" t="s">
        <v>7067</v>
      </c>
      <c r="Z193" s="77"/>
      <c r="AA193" s="77" t="s">
        <v>7316</v>
      </c>
      <c r="AB193" s="77" t="s">
        <v>8225</v>
      </c>
      <c r="AC193" s="82" t="s">
        <v>8232</v>
      </c>
      <c r="AD193" s="77" t="s">
        <v>8278</v>
      </c>
      <c r="AE193" s="80" t="str">
        <f>HYPERLINK("https://twitter.com/wallfigueiredo/status/1687881926865010688")</f>
        <v>https://twitter.com/wallfigueiredo/status/1687881926865010688</v>
      </c>
      <c r="AF193" s="79">
        <v>45143.738252314812</v>
      </c>
      <c r="AG193" s="85">
        <v>45143</v>
      </c>
      <c r="AH193" s="82" t="s">
        <v>8476</v>
      </c>
      <c r="AI193" s="77" t="b">
        <v>0</v>
      </c>
      <c r="AJ193" s="77"/>
      <c r="AK193" s="77"/>
      <c r="AL193" s="77"/>
      <c r="AM193" s="77"/>
      <c r="AN193" s="77"/>
      <c r="AO193" s="77"/>
      <c r="AP193" s="77"/>
      <c r="AQ193" s="77" t="s">
        <v>12201</v>
      </c>
      <c r="AR193" s="77"/>
      <c r="AS193" s="77"/>
      <c r="AT193" s="77"/>
      <c r="AU193" s="77"/>
      <c r="AV193" s="80" t="str">
        <f>HYPERLINK("https://pbs.twimg.com/media/F2yPqb2W8AA_U_O.png")</f>
        <v>https://pbs.twimg.com/media/F2yPqb2W8AA_U_O.png</v>
      </c>
      <c r="AW193" s="82" t="s">
        <v>13296</v>
      </c>
      <c r="AX193" s="82" t="s">
        <v>13296</v>
      </c>
      <c r="AY193" s="77"/>
      <c r="AZ193" s="82" t="s">
        <v>17385</v>
      </c>
      <c r="BA193" s="82" t="s">
        <v>17385</v>
      </c>
      <c r="BB193" s="82" t="s">
        <v>17385</v>
      </c>
      <c r="BC193" s="82" t="s">
        <v>13296</v>
      </c>
      <c r="BD193" s="77">
        <v>86310384</v>
      </c>
      <c r="BE193" s="77"/>
      <c r="BF193" s="77"/>
      <c r="BG193" s="77"/>
      <c r="BH193" s="77"/>
      <c r="BI193" s="77"/>
    </row>
    <row r="194" spans="1:61" x14ac:dyDescent="0.25">
      <c r="A194" s="62" t="s">
        <v>263</v>
      </c>
      <c r="B194" s="62" t="s">
        <v>263</v>
      </c>
      <c r="C194" s="63"/>
      <c r="D194" s="64"/>
      <c r="E194" s="65"/>
      <c r="F194" s="66"/>
      <c r="G194" s="63"/>
      <c r="H194" s="67"/>
      <c r="I194" s="68"/>
      <c r="J194" s="68"/>
      <c r="K194" s="32"/>
      <c r="L194" s="75">
        <v>194</v>
      </c>
      <c r="M194" s="75"/>
      <c r="N194" s="70"/>
      <c r="O194" s="77" t="s">
        <v>179</v>
      </c>
      <c r="P194" s="79">
        <v>45066.920104166667</v>
      </c>
      <c r="Q194" s="77" t="s">
        <v>993</v>
      </c>
      <c r="R194" s="77">
        <v>0</v>
      </c>
      <c r="S194" s="77">
        <v>1</v>
      </c>
      <c r="T194" s="77">
        <v>0</v>
      </c>
      <c r="U194" s="77">
        <v>0</v>
      </c>
      <c r="V194" s="77">
        <v>66</v>
      </c>
      <c r="W194" s="82" t="s">
        <v>4835</v>
      </c>
      <c r="X194" s="80" t="str">
        <f>HYPERLINK("http://www.quotebr.com/download.php")</f>
        <v>http://www.quotebr.com/download.php</v>
      </c>
      <c r="Y194" s="77" t="s">
        <v>7067</v>
      </c>
      <c r="Z194" s="77"/>
      <c r="AA194" s="77" t="s">
        <v>7317</v>
      </c>
      <c r="AB194" s="77" t="s">
        <v>8225</v>
      </c>
      <c r="AC194" s="82" t="s">
        <v>8232</v>
      </c>
      <c r="AD194" s="77" t="s">
        <v>8278</v>
      </c>
      <c r="AE194" s="80" t="str">
        <f>HYPERLINK("https://twitter.com/wallfigueiredo/status/1660043961870823426")</f>
        <v>https://twitter.com/wallfigueiredo/status/1660043961870823426</v>
      </c>
      <c r="AF194" s="79">
        <v>45066.920104166667</v>
      </c>
      <c r="AG194" s="85">
        <v>45066</v>
      </c>
      <c r="AH194" s="82" t="s">
        <v>8477</v>
      </c>
      <c r="AI194" s="77" t="b">
        <v>0</v>
      </c>
      <c r="AJ194" s="77"/>
      <c r="AK194" s="77"/>
      <c r="AL194" s="77"/>
      <c r="AM194" s="77"/>
      <c r="AN194" s="77"/>
      <c r="AO194" s="77"/>
      <c r="AP194" s="77"/>
      <c r="AQ194" s="77" t="s">
        <v>12202</v>
      </c>
      <c r="AR194" s="77"/>
      <c r="AS194" s="77"/>
      <c r="AT194" s="77"/>
      <c r="AU194" s="77"/>
      <c r="AV194" s="80" t="str">
        <f>HYPERLINK("https://pbs.twimg.com/media/FwmpLodXoAAP1nv.png")</f>
        <v>https://pbs.twimg.com/media/FwmpLodXoAAP1nv.png</v>
      </c>
      <c r="AW194" s="82" t="s">
        <v>13297</v>
      </c>
      <c r="AX194" s="82" t="s">
        <v>13297</v>
      </c>
      <c r="AY194" s="77"/>
      <c r="AZ194" s="82" t="s">
        <v>17385</v>
      </c>
      <c r="BA194" s="82" t="s">
        <v>17385</v>
      </c>
      <c r="BB194" s="82" t="s">
        <v>17385</v>
      </c>
      <c r="BC194" s="82" t="s">
        <v>13297</v>
      </c>
      <c r="BD194" s="77">
        <v>86310384</v>
      </c>
      <c r="BE194" s="77"/>
      <c r="BF194" s="77"/>
      <c r="BG194" s="77"/>
      <c r="BH194" s="77"/>
      <c r="BI194" s="77"/>
    </row>
    <row r="195" spans="1:61" x14ac:dyDescent="0.25">
      <c r="A195" s="62" t="s">
        <v>263</v>
      </c>
      <c r="B195" s="62" t="s">
        <v>263</v>
      </c>
      <c r="C195" s="63"/>
      <c r="D195" s="64"/>
      <c r="E195" s="65"/>
      <c r="F195" s="66"/>
      <c r="G195" s="63"/>
      <c r="H195" s="67"/>
      <c r="I195" s="68"/>
      <c r="J195" s="68"/>
      <c r="K195" s="32"/>
      <c r="L195" s="75">
        <v>195</v>
      </c>
      <c r="M195" s="75"/>
      <c r="N195" s="70"/>
      <c r="O195" s="77" t="s">
        <v>179</v>
      </c>
      <c r="P195" s="79">
        <v>45066.91946759259</v>
      </c>
      <c r="Q195" s="77" t="s">
        <v>994</v>
      </c>
      <c r="R195" s="77">
        <v>1</v>
      </c>
      <c r="S195" s="77">
        <v>1</v>
      </c>
      <c r="T195" s="77">
        <v>0</v>
      </c>
      <c r="U195" s="77">
        <v>0</v>
      </c>
      <c r="V195" s="77">
        <v>92</v>
      </c>
      <c r="W195" s="82" t="s">
        <v>4835</v>
      </c>
      <c r="X195" s="80" t="str">
        <f>HYPERLINK("http://www.quotebr.com/download.php")</f>
        <v>http://www.quotebr.com/download.php</v>
      </c>
      <c r="Y195" s="77" t="s">
        <v>7067</v>
      </c>
      <c r="Z195" s="77"/>
      <c r="AA195" s="77" t="s">
        <v>7318</v>
      </c>
      <c r="AB195" s="77" t="s">
        <v>8225</v>
      </c>
      <c r="AC195" s="82" t="s">
        <v>8232</v>
      </c>
      <c r="AD195" s="77" t="s">
        <v>8278</v>
      </c>
      <c r="AE195" s="80" t="str">
        <f>HYPERLINK("https://twitter.com/wallfigueiredo/status/1660043731154739200")</f>
        <v>https://twitter.com/wallfigueiredo/status/1660043731154739200</v>
      </c>
      <c r="AF195" s="79">
        <v>45066.91946759259</v>
      </c>
      <c r="AG195" s="85">
        <v>45066</v>
      </c>
      <c r="AH195" s="82" t="s">
        <v>8478</v>
      </c>
      <c r="AI195" s="77" t="b">
        <v>0</v>
      </c>
      <c r="AJ195" s="77"/>
      <c r="AK195" s="77"/>
      <c r="AL195" s="77"/>
      <c r="AM195" s="77"/>
      <c r="AN195" s="77"/>
      <c r="AO195" s="77"/>
      <c r="AP195" s="77"/>
      <c r="AQ195" s="77" t="s">
        <v>12203</v>
      </c>
      <c r="AR195" s="77"/>
      <c r="AS195" s="77"/>
      <c r="AT195" s="77"/>
      <c r="AU195" s="77"/>
      <c r="AV195" s="80" t="str">
        <f>HYPERLINK("https://pbs.twimg.com/media/Fwmo-XDXgAIM85N.png")</f>
        <v>https://pbs.twimg.com/media/Fwmo-XDXgAIM85N.png</v>
      </c>
      <c r="AW195" s="82" t="s">
        <v>13298</v>
      </c>
      <c r="AX195" s="82" t="s">
        <v>13298</v>
      </c>
      <c r="AY195" s="77"/>
      <c r="AZ195" s="82" t="s">
        <v>17385</v>
      </c>
      <c r="BA195" s="82" t="s">
        <v>17385</v>
      </c>
      <c r="BB195" s="82" t="s">
        <v>17385</v>
      </c>
      <c r="BC195" s="82" t="s">
        <v>13298</v>
      </c>
      <c r="BD195" s="77">
        <v>86310384</v>
      </c>
      <c r="BE195" s="77"/>
      <c r="BF195" s="77"/>
      <c r="BG195" s="77"/>
      <c r="BH195" s="77"/>
      <c r="BI195" s="77"/>
    </row>
    <row r="196" spans="1:61" x14ac:dyDescent="0.25">
      <c r="A196" s="62" t="s">
        <v>263</v>
      </c>
      <c r="B196" s="62" t="s">
        <v>263</v>
      </c>
      <c r="C196" s="63"/>
      <c r="D196" s="64"/>
      <c r="E196" s="65"/>
      <c r="F196" s="66"/>
      <c r="G196" s="63"/>
      <c r="H196" s="67"/>
      <c r="I196" s="68"/>
      <c r="J196" s="68"/>
      <c r="K196" s="32"/>
      <c r="L196" s="75">
        <v>196</v>
      </c>
      <c r="M196" s="75"/>
      <c r="N196" s="70"/>
      <c r="O196" s="77" t="s">
        <v>179</v>
      </c>
      <c r="P196" s="79">
        <v>45066.918935185182</v>
      </c>
      <c r="Q196" s="77" t="s">
        <v>995</v>
      </c>
      <c r="R196" s="77">
        <v>1</v>
      </c>
      <c r="S196" s="77">
        <v>1</v>
      </c>
      <c r="T196" s="77">
        <v>0</v>
      </c>
      <c r="U196" s="77">
        <v>0</v>
      </c>
      <c r="V196" s="77">
        <v>98</v>
      </c>
      <c r="W196" s="82" t="s">
        <v>4835</v>
      </c>
      <c r="X196" s="80" t="str">
        <f>HYPERLINK("http://www.quotebr.com/download.php")</f>
        <v>http://www.quotebr.com/download.php</v>
      </c>
      <c r="Y196" s="77" t="s">
        <v>7067</v>
      </c>
      <c r="Z196" s="77"/>
      <c r="AA196" s="77" t="s">
        <v>7319</v>
      </c>
      <c r="AB196" s="77" t="s">
        <v>8225</v>
      </c>
      <c r="AC196" s="82" t="s">
        <v>8232</v>
      </c>
      <c r="AD196" s="77" t="s">
        <v>8278</v>
      </c>
      <c r="AE196" s="80" t="str">
        <f>HYPERLINK("https://twitter.com/wallfigueiredo/status/1660043538971729921")</f>
        <v>https://twitter.com/wallfigueiredo/status/1660043538971729921</v>
      </c>
      <c r="AF196" s="79">
        <v>45066.918935185182</v>
      </c>
      <c r="AG196" s="85">
        <v>45066</v>
      </c>
      <c r="AH196" s="82" t="s">
        <v>8479</v>
      </c>
      <c r="AI196" s="77" t="b">
        <v>0</v>
      </c>
      <c r="AJ196" s="77"/>
      <c r="AK196" s="77"/>
      <c r="AL196" s="77"/>
      <c r="AM196" s="77"/>
      <c r="AN196" s="77"/>
      <c r="AO196" s="77"/>
      <c r="AP196" s="77"/>
      <c r="AQ196" s="77" t="s">
        <v>12204</v>
      </c>
      <c r="AR196" s="77"/>
      <c r="AS196" s="77"/>
      <c r="AT196" s="77"/>
      <c r="AU196" s="77"/>
      <c r="AV196" s="80" t="str">
        <f>HYPERLINK("https://pbs.twimg.com/media/FwmozLlWAAATDIC.png")</f>
        <v>https://pbs.twimg.com/media/FwmozLlWAAATDIC.png</v>
      </c>
      <c r="AW196" s="82" t="s">
        <v>13299</v>
      </c>
      <c r="AX196" s="82" t="s">
        <v>13299</v>
      </c>
      <c r="AY196" s="77"/>
      <c r="AZ196" s="82" t="s">
        <v>17385</v>
      </c>
      <c r="BA196" s="82" t="s">
        <v>17385</v>
      </c>
      <c r="BB196" s="82" t="s">
        <v>17385</v>
      </c>
      <c r="BC196" s="82" t="s">
        <v>13299</v>
      </c>
      <c r="BD196" s="77">
        <v>86310384</v>
      </c>
      <c r="BE196" s="77"/>
      <c r="BF196" s="77"/>
      <c r="BG196" s="77"/>
      <c r="BH196" s="77"/>
      <c r="BI196" s="77"/>
    </row>
    <row r="197" spans="1:61" x14ac:dyDescent="0.25">
      <c r="A197" s="62" t="s">
        <v>263</v>
      </c>
      <c r="B197" s="62" t="s">
        <v>263</v>
      </c>
      <c r="C197" s="63"/>
      <c r="D197" s="64"/>
      <c r="E197" s="65"/>
      <c r="F197" s="66"/>
      <c r="G197" s="63"/>
      <c r="H197" s="67"/>
      <c r="I197" s="68"/>
      <c r="J197" s="68"/>
      <c r="K197" s="32"/>
      <c r="L197" s="75">
        <v>197</v>
      </c>
      <c r="M197" s="75"/>
      <c r="N197" s="70"/>
      <c r="O197" s="77" t="s">
        <v>179</v>
      </c>
      <c r="P197" s="79">
        <v>45066.917743055557</v>
      </c>
      <c r="Q197" s="77" t="s">
        <v>996</v>
      </c>
      <c r="R197" s="77">
        <v>1</v>
      </c>
      <c r="S197" s="77">
        <v>1</v>
      </c>
      <c r="T197" s="77">
        <v>0</v>
      </c>
      <c r="U197" s="77">
        <v>0</v>
      </c>
      <c r="V197" s="77">
        <v>87</v>
      </c>
      <c r="W197" s="82" t="s">
        <v>4835</v>
      </c>
      <c r="X197" s="80" t="str">
        <f>HYPERLINK("http://www.quotebr.com/download.php")</f>
        <v>http://www.quotebr.com/download.php</v>
      </c>
      <c r="Y197" s="77" t="s">
        <v>7067</v>
      </c>
      <c r="Z197" s="77"/>
      <c r="AA197" s="77" t="s">
        <v>7320</v>
      </c>
      <c r="AB197" s="77" t="s">
        <v>8225</v>
      </c>
      <c r="AC197" s="82" t="s">
        <v>8232</v>
      </c>
      <c r="AD197" s="77" t="s">
        <v>8278</v>
      </c>
      <c r="AE197" s="80" t="str">
        <f>HYPERLINK("https://twitter.com/wallfigueiredo/status/1660043105096069123")</f>
        <v>https://twitter.com/wallfigueiredo/status/1660043105096069123</v>
      </c>
      <c r="AF197" s="79">
        <v>45066.917743055557</v>
      </c>
      <c r="AG197" s="85">
        <v>45066</v>
      </c>
      <c r="AH197" s="82" t="s">
        <v>8480</v>
      </c>
      <c r="AI197" s="77" t="b">
        <v>0</v>
      </c>
      <c r="AJ197" s="77"/>
      <c r="AK197" s="77"/>
      <c r="AL197" s="77"/>
      <c r="AM197" s="77"/>
      <c r="AN197" s="77"/>
      <c r="AO197" s="77"/>
      <c r="AP197" s="77"/>
      <c r="AQ197" s="77" t="s">
        <v>12205</v>
      </c>
      <c r="AR197" s="77"/>
      <c r="AS197" s="77"/>
      <c r="AT197" s="77"/>
      <c r="AU197" s="77"/>
      <c r="AV197" s="80" t="str">
        <f>HYPERLINK("https://pbs.twimg.com/media/FwmoZ4RWIAEJPY5.png")</f>
        <v>https://pbs.twimg.com/media/FwmoZ4RWIAEJPY5.png</v>
      </c>
      <c r="AW197" s="82" t="s">
        <v>13300</v>
      </c>
      <c r="AX197" s="82" t="s">
        <v>13300</v>
      </c>
      <c r="AY197" s="77"/>
      <c r="AZ197" s="82" t="s">
        <v>17385</v>
      </c>
      <c r="BA197" s="82" t="s">
        <v>17385</v>
      </c>
      <c r="BB197" s="82" t="s">
        <v>17385</v>
      </c>
      <c r="BC197" s="82" t="s">
        <v>13300</v>
      </c>
      <c r="BD197" s="77">
        <v>86310384</v>
      </c>
      <c r="BE197" s="77"/>
      <c r="BF197" s="77"/>
      <c r="BG197" s="77"/>
      <c r="BH197" s="77"/>
      <c r="BI197" s="77"/>
    </row>
    <row r="198" spans="1:61" x14ac:dyDescent="0.25">
      <c r="A198" s="62" t="s">
        <v>263</v>
      </c>
      <c r="B198" s="62" t="s">
        <v>263</v>
      </c>
      <c r="C198" s="63"/>
      <c r="D198" s="64"/>
      <c r="E198" s="65"/>
      <c r="F198" s="66"/>
      <c r="G198" s="63"/>
      <c r="H198" s="67"/>
      <c r="I198" s="68"/>
      <c r="J198" s="68"/>
      <c r="K198" s="32"/>
      <c r="L198" s="75">
        <v>198</v>
      </c>
      <c r="M198" s="75"/>
      <c r="N198" s="70"/>
      <c r="O198" s="77" t="s">
        <v>179</v>
      </c>
      <c r="P198" s="79">
        <v>45192.867060185185</v>
      </c>
      <c r="Q198" s="77" t="s">
        <v>997</v>
      </c>
      <c r="R198" s="77">
        <v>0</v>
      </c>
      <c r="S198" s="77">
        <v>1</v>
      </c>
      <c r="T198" s="77">
        <v>0</v>
      </c>
      <c r="U198" s="77">
        <v>0</v>
      </c>
      <c r="V198" s="77">
        <v>58</v>
      </c>
      <c r="W198" s="82" t="s">
        <v>4835</v>
      </c>
      <c r="X198" s="80" t="str">
        <f>HYPERLINK("http://www.quotebr.com/download.php")</f>
        <v>http://www.quotebr.com/download.php</v>
      </c>
      <c r="Y198" s="77" t="s">
        <v>7067</v>
      </c>
      <c r="Z198" s="77"/>
      <c r="AA198" s="77" t="s">
        <v>7321</v>
      </c>
      <c r="AB198" s="77" t="s">
        <v>8225</v>
      </c>
      <c r="AC198" s="82" t="s">
        <v>8232</v>
      </c>
      <c r="AD198" s="77" t="s">
        <v>8278</v>
      </c>
      <c r="AE198" s="80" t="str">
        <f>HYPERLINK("https://twitter.com/wallfigueiredo/status/1705685610348900618")</f>
        <v>https://twitter.com/wallfigueiredo/status/1705685610348900618</v>
      </c>
      <c r="AF198" s="79">
        <v>45192.867060185185</v>
      </c>
      <c r="AG198" s="85">
        <v>45192</v>
      </c>
      <c r="AH198" s="82" t="s">
        <v>8481</v>
      </c>
      <c r="AI198" s="77" t="b">
        <v>0</v>
      </c>
      <c r="AJ198" s="77"/>
      <c r="AK198" s="77"/>
      <c r="AL198" s="77"/>
      <c r="AM198" s="77"/>
      <c r="AN198" s="77"/>
      <c r="AO198" s="77"/>
      <c r="AP198" s="77"/>
      <c r="AQ198" s="77" t="s">
        <v>12206</v>
      </c>
      <c r="AR198" s="77"/>
      <c r="AS198" s="77"/>
      <c r="AT198" s="77"/>
      <c r="AU198" s="77"/>
      <c r="AV198" s="80" t="str">
        <f>HYPERLINK("https://pbs.twimg.com/media/F6vQAzSXgAA-0uT.png")</f>
        <v>https://pbs.twimg.com/media/F6vQAzSXgAA-0uT.png</v>
      </c>
      <c r="AW198" s="82" t="s">
        <v>13301</v>
      </c>
      <c r="AX198" s="82" t="s">
        <v>13301</v>
      </c>
      <c r="AY198" s="77"/>
      <c r="AZ198" s="82" t="s">
        <v>17385</v>
      </c>
      <c r="BA198" s="82" t="s">
        <v>17385</v>
      </c>
      <c r="BB198" s="82" t="s">
        <v>17385</v>
      </c>
      <c r="BC198" s="82" t="s">
        <v>13301</v>
      </c>
      <c r="BD198" s="77">
        <v>86310384</v>
      </c>
      <c r="BE198" s="77"/>
      <c r="BF198" s="77"/>
      <c r="BG198" s="77"/>
      <c r="BH198" s="77"/>
      <c r="BI198" s="77"/>
    </row>
    <row r="199" spans="1:61" x14ac:dyDescent="0.25">
      <c r="A199" s="62" t="s">
        <v>263</v>
      </c>
      <c r="B199" s="62" t="s">
        <v>263</v>
      </c>
      <c r="C199" s="63"/>
      <c r="D199" s="64"/>
      <c r="E199" s="65"/>
      <c r="F199" s="66"/>
      <c r="G199" s="63"/>
      <c r="H199" s="67"/>
      <c r="I199" s="68"/>
      <c r="J199" s="68"/>
      <c r="K199" s="32"/>
      <c r="L199" s="75">
        <v>199</v>
      </c>
      <c r="M199" s="75"/>
      <c r="N199" s="70"/>
      <c r="O199" s="77" t="s">
        <v>179</v>
      </c>
      <c r="P199" s="79">
        <v>45192.86341435185</v>
      </c>
      <c r="Q199" s="77" t="s">
        <v>998</v>
      </c>
      <c r="R199" s="77">
        <v>0</v>
      </c>
      <c r="S199" s="77">
        <v>1</v>
      </c>
      <c r="T199" s="77">
        <v>0</v>
      </c>
      <c r="U199" s="77">
        <v>0</v>
      </c>
      <c r="V199" s="77">
        <v>80</v>
      </c>
      <c r="W199" s="82" t="s">
        <v>4835</v>
      </c>
      <c r="X199" s="80" t="str">
        <f>HYPERLINK("http://www.quotebr.com/download.php")</f>
        <v>http://www.quotebr.com/download.php</v>
      </c>
      <c r="Y199" s="77" t="s">
        <v>7067</v>
      </c>
      <c r="Z199" s="77"/>
      <c r="AA199" s="77" t="s">
        <v>7322</v>
      </c>
      <c r="AB199" s="77" t="s">
        <v>8225</v>
      </c>
      <c r="AC199" s="82" t="s">
        <v>8232</v>
      </c>
      <c r="AD199" s="77" t="s">
        <v>8278</v>
      </c>
      <c r="AE199" s="80" t="str">
        <f>HYPERLINK("https://twitter.com/wallfigueiredo/status/1705684291735228611")</f>
        <v>https://twitter.com/wallfigueiredo/status/1705684291735228611</v>
      </c>
      <c r="AF199" s="79">
        <v>45192.86341435185</v>
      </c>
      <c r="AG199" s="85">
        <v>45192</v>
      </c>
      <c r="AH199" s="82" t="s">
        <v>8482</v>
      </c>
      <c r="AI199" s="77" t="b">
        <v>0</v>
      </c>
      <c r="AJ199" s="77"/>
      <c r="AK199" s="77"/>
      <c r="AL199" s="77"/>
      <c r="AM199" s="77"/>
      <c r="AN199" s="77"/>
      <c r="AO199" s="77"/>
      <c r="AP199" s="77"/>
      <c r="AQ199" s="77" t="s">
        <v>12207</v>
      </c>
      <c r="AR199" s="77"/>
      <c r="AS199" s="77"/>
      <c r="AT199" s="77"/>
      <c r="AU199" s="77"/>
      <c r="AV199" s="80" t="str">
        <f>HYPERLINK("https://pbs.twimg.com/media/F6vO0AAWgAAwBSo.png")</f>
        <v>https://pbs.twimg.com/media/F6vO0AAWgAAwBSo.png</v>
      </c>
      <c r="AW199" s="82" t="s">
        <v>13302</v>
      </c>
      <c r="AX199" s="82" t="s">
        <v>13302</v>
      </c>
      <c r="AY199" s="77"/>
      <c r="AZ199" s="82" t="s">
        <v>17385</v>
      </c>
      <c r="BA199" s="82" t="s">
        <v>17385</v>
      </c>
      <c r="BB199" s="82" t="s">
        <v>17385</v>
      </c>
      <c r="BC199" s="82" t="s">
        <v>13302</v>
      </c>
      <c r="BD199" s="77">
        <v>86310384</v>
      </c>
      <c r="BE199" s="77"/>
      <c r="BF199" s="77"/>
      <c r="BG199" s="77"/>
      <c r="BH199" s="77"/>
      <c r="BI199" s="77"/>
    </row>
    <row r="200" spans="1:61" x14ac:dyDescent="0.25">
      <c r="A200" s="62" t="s">
        <v>263</v>
      </c>
      <c r="B200" s="62" t="s">
        <v>263</v>
      </c>
      <c r="C200" s="63"/>
      <c r="D200" s="64"/>
      <c r="E200" s="65"/>
      <c r="F200" s="66"/>
      <c r="G200" s="63"/>
      <c r="H200" s="67"/>
      <c r="I200" s="68"/>
      <c r="J200" s="68"/>
      <c r="K200" s="32"/>
      <c r="L200" s="75">
        <v>200</v>
      </c>
      <c r="M200" s="75"/>
      <c r="N200" s="70"/>
      <c r="O200" s="77" t="s">
        <v>179</v>
      </c>
      <c r="P200" s="79">
        <v>45171.967175925929</v>
      </c>
      <c r="Q200" s="77" t="s">
        <v>999</v>
      </c>
      <c r="R200" s="77">
        <v>0</v>
      </c>
      <c r="S200" s="77">
        <v>1</v>
      </c>
      <c r="T200" s="77">
        <v>0</v>
      </c>
      <c r="U200" s="77">
        <v>0</v>
      </c>
      <c r="V200" s="77">
        <v>62</v>
      </c>
      <c r="W200" s="82" t="s">
        <v>4835</v>
      </c>
      <c r="X200" s="80" t="str">
        <f>HYPERLINK("http://www.quotebr.com/download.php")</f>
        <v>http://www.quotebr.com/download.php</v>
      </c>
      <c r="Y200" s="77" t="s">
        <v>7067</v>
      </c>
      <c r="Z200" s="77"/>
      <c r="AA200" s="77" t="s">
        <v>7323</v>
      </c>
      <c r="AB200" s="77" t="s">
        <v>8225</v>
      </c>
      <c r="AC200" s="82" t="s">
        <v>8232</v>
      </c>
      <c r="AD200" s="77" t="s">
        <v>8278</v>
      </c>
      <c r="AE200" s="80" t="str">
        <f>HYPERLINK("https://twitter.com/wallfigueiredo/status/1698111748317106501")</f>
        <v>https://twitter.com/wallfigueiredo/status/1698111748317106501</v>
      </c>
      <c r="AF200" s="79">
        <v>45171.967175925929</v>
      </c>
      <c r="AG200" s="85">
        <v>45171</v>
      </c>
      <c r="AH200" s="82" t="s">
        <v>8483</v>
      </c>
      <c r="AI200" s="77" t="b">
        <v>0</v>
      </c>
      <c r="AJ200" s="77"/>
      <c r="AK200" s="77"/>
      <c r="AL200" s="77"/>
      <c r="AM200" s="77"/>
      <c r="AN200" s="77"/>
      <c r="AO200" s="77"/>
      <c r="AP200" s="77"/>
      <c r="AQ200" s="77" t="s">
        <v>12208</v>
      </c>
      <c r="AR200" s="77"/>
      <c r="AS200" s="77"/>
      <c r="AT200" s="77"/>
      <c r="AU200" s="77"/>
      <c r="AV200" s="80" t="str">
        <f>HYPERLINK("https://pbs.twimg.com/media/F5DnodDW8AAEsiM.png")</f>
        <v>https://pbs.twimg.com/media/F5DnodDW8AAEsiM.png</v>
      </c>
      <c r="AW200" s="82" t="s">
        <v>13303</v>
      </c>
      <c r="AX200" s="82" t="s">
        <v>13303</v>
      </c>
      <c r="AY200" s="77"/>
      <c r="AZ200" s="82" t="s">
        <v>17385</v>
      </c>
      <c r="BA200" s="82" t="s">
        <v>17385</v>
      </c>
      <c r="BB200" s="82" t="s">
        <v>17385</v>
      </c>
      <c r="BC200" s="82" t="s">
        <v>13303</v>
      </c>
      <c r="BD200" s="77">
        <v>86310384</v>
      </c>
      <c r="BE200" s="77"/>
      <c r="BF200" s="77"/>
      <c r="BG200" s="77"/>
      <c r="BH200" s="77"/>
      <c r="BI200" s="77"/>
    </row>
    <row r="201" spans="1:61" x14ac:dyDescent="0.25">
      <c r="A201" s="62" t="s">
        <v>263</v>
      </c>
      <c r="B201" s="62" t="s">
        <v>263</v>
      </c>
      <c r="C201" s="63"/>
      <c r="D201" s="64"/>
      <c r="E201" s="65"/>
      <c r="F201" s="66"/>
      <c r="G201" s="63"/>
      <c r="H201" s="67"/>
      <c r="I201" s="68"/>
      <c r="J201" s="68"/>
      <c r="K201" s="32"/>
      <c r="L201" s="75">
        <v>201</v>
      </c>
      <c r="M201" s="75"/>
      <c r="N201" s="70"/>
      <c r="O201" s="77" t="s">
        <v>179</v>
      </c>
      <c r="P201" s="79">
        <v>45171.966458333336</v>
      </c>
      <c r="Q201" s="77" t="s">
        <v>1000</v>
      </c>
      <c r="R201" s="77">
        <v>0</v>
      </c>
      <c r="S201" s="77">
        <v>0</v>
      </c>
      <c r="T201" s="77">
        <v>0</v>
      </c>
      <c r="U201" s="77">
        <v>0</v>
      </c>
      <c r="V201" s="77">
        <v>52</v>
      </c>
      <c r="W201" s="82" t="s">
        <v>4835</v>
      </c>
      <c r="X201" s="80" t="str">
        <f>HYPERLINK("http://www.quotebr.com/download.php")</f>
        <v>http://www.quotebr.com/download.php</v>
      </c>
      <c r="Y201" s="77" t="s">
        <v>7067</v>
      </c>
      <c r="Z201" s="77"/>
      <c r="AA201" s="77" t="s">
        <v>7324</v>
      </c>
      <c r="AB201" s="77" t="s">
        <v>8225</v>
      </c>
      <c r="AC201" s="82" t="s">
        <v>8232</v>
      </c>
      <c r="AD201" s="77" t="s">
        <v>8278</v>
      </c>
      <c r="AE201" s="80" t="str">
        <f>HYPERLINK("https://twitter.com/wallfigueiredo/status/1698111484822167966")</f>
        <v>https://twitter.com/wallfigueiredo/status/1698111484822167966</v>
      </c>
      <c r="AF201" s="79">
        <v>45171.966458333336</v>
      </c>
      <c r="AG201" s="85">
        <v>45171</v>
      </c>
      <c r="AH201" s="82" t="s">
        <v>8484</v>
      </c>
      <c r="AI201" s="77" t="b">
        <v>0</v>
      </c>
      <c r="AJ201" s="77"/>
      <c r="AK201" s="77"/>
      <c r="AL201" s="77"/>
      <c r="AM201" s="77"/>
      <c r="AN201" s="77"/>
      <c r="AO201" s="77"/>
      <c r="AP201" s="77"/>
      <c r="AQ201" s="77" t="s">
        <v>12209</v>
      </c>
      <c r="AR201" s="77"/>
      <c r="AS201" s="77"/>
      <c r="AT201" s="77"/>
      <c r="AU201" s="77"/>
      <c r="AV201" s="80" t="str">
        <f>HYPERLINK("https://pbs.twimg.com/media/F5DnZJGXcAAEavA.png")</f>
        <v>https://pbs.twimg.com/media/F5DnZJGXcAAEavA.png</v>
      </c>
      <c r="AW201" s="82" t="s">
        <v>13304</v>
      </c>
      <c r="AX201" s="82" t="s">
        <v>13304</v>
      </c>
      <c r="AY201" s="77"/>
      <c r="AZ201" s="82" t="s">
        <v>17385</v>
      </c>
      <c r="BA201" s="82" t="s">
        <v>17385</v>
      </c>
      <c r="BB201" s="82" t="s">
        <v>17385</v>
      </c>
      <c r="BC201" s="82" t="s">
        <v>13304</v>
      </c>
      <c r="BD201" s="77">
        <v>86310384</v>
      </c>
      <c r="BE201" s="77"/>
      <c r="BF201" s="77"/>
      <c r="BG201" s="77"/>
      <c r="BH201" s="77"/>
      <c r="BI201" s="77"/>
    </row>
    <row r="202" spans="1:61" x14ac:dyDescent="0.25">
      <c r="A202" s="62" t="s">
        <v>263</v>
      </c>
      <c r="B202" s="62" t="s">
        <v>263</v>
      </c>
      <c r="C202" s="63"/>
      <c r="D202" s="64"/>
      <c r="E202" s="65"/>
      <c r="F202" s="66"/>
      <c r="G202" s="63"/>
      <c r="H202" s="67"/>
      <c r="I202" s="68"/>
      <c r="J202" s="68"/>
      <c r="K202" s="32"/>
      <c r="L202" s="75">
        <v>202</v>
      </c>
      <c r="M202" s="75"/>
      <c r="N202" s="70"/>
      <c r="O202" s="77" t="s">
        <v>179</v>
      </c>
      <c r="P202" s="79">
        <v>45171.96597222222</v>
      </c>
      <c r="Q202" s="77" t="s">
        <v>1001</v>
      </c>
      <c r="R202" s="77">
        <v>0</v>
      </c>
      <c r="S202" s="77">
        <v>0</v>
      </c>
      <c r="T202" s="77">
        <v>0</v>
      </c>
      <c r="U202" s="77">
        <v>0</v>
      </c>
      <c r="V202" s="77">
        <v>55</v>
      </c>
      <c r="W202" s="82" t="s">
        <v>4835</v>
      </c>
      <c r="X202" s="80" t="str">
        <f>HYPERLINK("http://www.quotebr.com/download.php")</f>
        <v>http://www.quotebr.com/download.php</v>
      </c>
      <c r="Y202" s="77" t="s">
        <v>7067</v>
      </c>
      <c r="Z202" s="77"/>
      <c r="AA202" s="77" t="s">
        <v>7325</v>
      </c>
      <c r="AB202" s="77" t="s">
        <v>8225</v>
      </c>
      <c r="AC202" s="82" t="s">
        <v>8232</v>
      </c>
      <c r="AD202" s="77" t="s">
        <v>8278</v>
      </c>
      <c r="AE202" s="80" t="str">
        <f>HYPERLINK("https://twitter.com/wallfigueiredo/status/1698111309601034417")</f>
        <v>https://twitter.com/wallfigueiredo/status/1698111309601034417</v>
      </c>
      <c r="AF202" s="79">
        <v>45171.96597222222</v>
      </c>
      <c r="AG202" s="85">
        <v>45171</v>
      </c>
      <c r="AH202" s="82" t="s">
        <v>8485</v>
      </c>
      <c r="AI202" s="77" t="b">
        <v>0</v>
      </c>
      <c r="AJ202" s="77"/>
      <c r="AK202" s="77"/>
      <c r="AL202" s="77"/>
      <c r="AM202" s="77"/>
      <c r="AN202" s="77"/>
      <c r="AO202" s="77"/>
      <c r="AP202" s="77"/>
      <c r="AQ202" s="77" t="s">
        <v>12210</v>
      </c>
      <c r="AR202" s="77"/>
      <c r="AS202" s="77"/>
      <c r="AT202" s="77"/>
      <c r="AU202" s="77"/>
      <c r="AV202" s="80" t="str">
        <f>HYPERLINK("https://pbs.twimg.com/media/F5DnPB4WwAA43r5.png")</f>
        <v>https://pbs.twimg.com/media/F5DnPB4WwAA43r5.png</v>
      </c>
      <c r="AW202" s="82" t="s">
        <v>13305</v>
      </c>
      <c r="AX202" s="82" t="s">
        <v>13305</v>
      </c>
      <c r="AY202" s="77"/>
      <c r="AZ202" s="82" t="s">
        <v>17385</v>
      </c>
      <c r="BA202" s="82" t="s">
        <v>17385</v>
      </c>
      <c r="BB202" s="82" t="s">
        <v>17385</v>
      </c>
      <c r="BC202" s="82" t="s">
        <v>13305</v>
      </c>
      <c r="BD202" s="77">
        <v>86310384</v>
      </c>
      <c r="BE202" s="77"/>
      <c r="BF202" s="77"/>
      <c r="BG202" s="77"/>
      <c r="BH202" s="77"/>
      <c r="BI202" s="77"/>
    </row>
    <row r="203" spans="1:61" x14ac:dyDescent="0.25">
      <c r="A203" s="62" t="s">
        <v>263</v>
      </c>
      <c r="B203" s="62" t="s">
        <v>263</v>
      </c>
      <c r="C203" s="63"/>
      <c r="D203" s="64"/>
      <c r="E203" s="65"/>
      <c r="F203" s="66"/>
      <c r="G203" s="63"/>
      <c r="H203" s="67"/>
      <c r="I203" s="68"/>
      <c r="J203" s="68"/>
      <c r="K203" s="32"/>
      <c r="L203" s="75">
        <v>203</v>
      </c>
      <c r="M203" s="75"/>
      <c r="N203" s="70"/>
      <c r="O203" s="77" t="s">
        <v>179</v>
      </c>
      <c r="P203" s="79">
        <v>45171.965567129628</v>
      </c>
      <c r="Q203" s="77" t="s">
        <v>1002</v>
      </c>
      <c r="R203" s="77">
        <v>0</v>
      </c>
      <c r="S203" s="77">
        <v>0</v>
      </c>
      <c r="T203" s="77">
        <v>0</v>
      </c>
      <c r="U203" s="77">
        <v>0</v>
      </c>
      <c r="V203" s="77">
        <v>51</v>
      </c>
      <c r="W203" s="82" t="s">
        <v>4835</v>
      </c>
      <c r="X203" s="80" t="str">
        <f>HYPERLINK("http://www.quotebr.com/download.php")</f>
        <v>http://www.quotebr.com/download.php</v>
      </c>
      <c r="Y203" s="77" t="s">
        <v>7067</v>
      </c>
      <c r="Z203" s="77"/>
      <c r="AA203" s="77" t="s">
        <v>7326</v>
      </c>
      <c r="AB203" s="77" t="s">
        <v>8225</v>
      </c>
      <c r="AC203" s="82" t="s">
        <v>8232</v>
      </c>
      <c r="AD203" s="77" t="s">
        <v>8278</v>
      </c>
      <c r="AE203" s="80" t="str">
        <f>HYPERLINK("https://twitter.com/wallfigueiredo/status/1698111162498318469")</f>
        <v>https://twitter.com/wallfigueiredo/status/1698111162498318469</v>
      </c>
      <c r="AF203" s="79">
        <v>45171.965567129628</v>
      </c>
      <c r="AG203" s="85">
        <v>45171</v>
      </c>
      <c r="AH203" s="82" t="s">
        <v>8486</v>
      </c>
      <c r="AI203" s="77" t="b">
        <v>0</v>
      </c>
      <c r="AJ203" s="77"/>
      <c r="AK203" s="77"/>
      <c r="AL203" s="77"/>
      <c r="AM203" s="77"/>
      <c r="AN203" s="77"/>
      <c r="AO203" s="77"/>
      <c r="AP203" s="77"/>
      <c r="AQ203" s="77" t="s">
        <v>12211</v>
      </c>
      <c r="AR203" s="77"/>
      <c r="AS203" s="77"/>
      <c r="AT203" s="77"/>
      <c r="AU203" s="77"/>
      <c r="AV203" s="80" t="str">
        <f>HYPERLINK("https://pbs.twimg.com/media/F5DnFt9XQAE1ium.png")</f>
        <v>https://pbs.twimg.com/media/F5DnFt9XQAE1ium.png</v>
      </c>
      <c r="AW203" s="82" t="s">
        <v>13306</v>
      </c>
      <c r="AX203" s="82" t="s">
        <v>13306</v>
      </c>
      <c r="AY203" s="77"/>
      <c r="AZ203" s="82" t="s">
        <v>17385</v>
      </c>
      <c r="BA203" s="82" t="s">
        <v>17385</v>
      </c>
      <c r="BB203" s="82" t="s">
        <v>17385</v>
      </c>
      <c r="BC203" s="82" t="s">
        <v>13306</v>
      </c>
      <c r="BD203" s="77">
        <v>86310384</v>
      </c>
      <c r="BE203" s="77"/>
      <c r="BF203" s="77"/>
      <c r="BG203" s="77"/>
      <c r="BH203" s="77"/>
      <c r="BI203" s="77"/>
    </row>
    <row r="204" spans="1:61" x14ac:dyDescent="0.25">
      <c r="A204" s="62" t="s">
        <v>263</v>
      </c>
      <c r="B204" s="62" t="s">
        <v>263</v>
      </c>
      <c r="C204" s="63"/>
      <c r="D204" s="64"/>
      <c r="E204" s="65"/>
      <c r="F204" s="66"/>
      <c r="G204" s="63"/>
      <c r="H204" s="67"/>
      <c r="I204" s="68"/>
      <c r="J204" s="68"/>
      <c r="K204" s="32"/>
      <c r="L204" s="75">
        <v>204</v>
      </c>
      <c r="M204" s="75"/>
      <c r="N204" s="70"/>
      <c r="O204" s="77" t="s">
        <v>179</v>
      </c>
      <c r="P204" s="79">
        <v>45171.964699074073</v>
      </c>
      <c r="Q204" s="77" t="s">
        <v>1003</v>
      </c>
      <c r="R204" s="77">
        <v>0</v>
      </c>
      <c r="S204" s="77">
        <v>0</v>
      </c>
      <c r="T204" s="77">
        <v>0</v>
      </c>
      <c r="U204" s="77">
        <v>0</v>
      </c>
      <c r="V204" s="77">
        <v>62</v>
      </c>
      <c r="W204" s="82" t="s">
        <v>4835</v>
      </c>
      <c r="X204" s="80" t="str">
        <f>HYPERLINK("http://www.quotebr.com/download.php")</f>
        <v>http://www.quotebr.com/download.php</v>
      </c>
      <c r="Y204" s="77" t="s">
        <v>7067</v>
      </c>
      <c r="Z204" s="77"/>
      <c r="AA204" s="77" t="s">
        <v>7327</v>
      </c>
      <c r="AB204" s="77" t="s">
        <v>8225</v>
      </c>
      <c r="AC204" s="82" t="s">
        <v>8232</v>
      </c>
      <c r="AD204" s="77" t="s">
        <v>8278</v>
      </c>
      <c r="AE204" s="80" t="str">
        <f>HYPERLINK("https://twitter.com/wallfigueiredo/status/1698110848797921608")</f>
        <v>https://twitter.com/wallfigueiredo/status/1698110848797921608</v>
      </c>
      <c r="AF204" s="79">
        <v>45171.964699074073</v>
      </c>
      <c r="AG204" s="85">
        <v>45171</v>
      </c>
      <c r="AH204" s="82" t="s">
        <v>8487</v>
      </c>
      <c r="AI204" s="77" t="b">
        <v>0</v>
      </c>
      <c r="AJ204" s="77"/>
      <c r="AK204" s="77"/>
      <c r="AL204" s="77"/>
      <c r="AM204" s="77"/>
      <c r="AN204" s="77"/>
      <c r="AO204" s="77"/>
      <c r="AP204" s="77"/>
      <c r="AQ204" s="77" t="s">
        <v>12212</v>
      </c>
      <c r="AR204" s="77"/>
      <c r="AS204" s="77"/>
      <c r="AT204" s="77"/>
      <c r="AU204" s="77"/>
      <c r="AV204" s="80" t="str">
        <f>HYPERLINK("https://pbs.twimg.com/media/F5Dm0NgXwAAJPal.png")</f>
        <v>https://pbs.twimg.com/media/F5Dm0NgXwAAJPal.png</v>
      </c>
      <c r="AW204" s="82" t="s">
        <v>13307</v>
      </c>
      <c r="AX204" s="82" t="s">
        <v>13307</v>
      </c>
      <c r="AY204" s="77"/>
      <c r="AZ204" s="82" t="s">
        <v>17385</v>
      </c>
      <c r="BA204" s="82" t="s">
        <v>17385</v>
      </c>
      <c r="BB204" s="82" t="s">
        <v>17385</v>
      </c>
      <c r="BC204" s="82" t="s">
        <v>13307</v>
      </c>
      <c r="BD204" s="77">
        <v>86310384</v>
      </c>
      <c r="BE204" s="77"/>
      <c r="BF204" s="77"/>
      <c r="BG204" s="77"/>
      <c r="BH204" s="77"/>
      <c r="BI204" s="77"/>
    </row>
    <row r="205" spans="1:61" x14ac:dyDescent="0.25">
      <c r="A205" s="62" t="s">
        <v>263</v>
      </c>
      <c r="B205" s="62" t="s">
        <v>263</v>
      </c>
      <c r="C205" s="63"/>
      <c r="D205" s="64"/>
      <c r="E205" s="65"/>
      <c r="F205" s="66"/>
      <c r="G205" s="63"/>
      <c r="H205" s="67"/>
      <c r="I205" s="68"/>
      <c r="J205" s="68"/>
      <c r="K205" s="32"/>
      <c r="L205" s="75">
        <v>205</v>
      </c>
      <c r="M205" s="75"/>
      <c r="N205" s="70"/>
      <c r="O205" s="77" t="s">
        <v>179</v>
      </c>
      <c r="P205" s="79">
        <v>45139.875173611108</v>
      </c>
      <c r="Q205" s="77" t="s">
        <v>1004</v>
      </c>
      <c r="R205" s="77">
        <v>0</v>
      </c>
      <c r="S205" s="77">
        <v>0</v>
      </c>
      <c r="T205" s="77">
        <v>0</v>
      </c>
      <c r="U205" s="77">
        <v>1</v>
      </c>
      <c r="V205" s="77">
        <v>181</v>
      </c>
      <c r="W205" s="77"/>
      <c r="X205" s="77"/>
      <c r="Y205" s="77"/>
      <c r="Z205" s="77"/>
      <c r="AA205" s="77" t="s">
        <v>7328</v>
      </c>
      <c r="AB205" s="77" t="s">
        <v>8225</v>
      </c>
      <c r="AC205" s="82" t="s">
        <v>8232</v>
      </c>
      <c r="AD205" s="77" t="s">
        <v>8278</v>
      </c>
      <c r="AE205" s="80" t="str">
        <f>HYPERLINK("https://twitter.com/wallfigueiredo/status/1686481995365236739")</f>
        <v>https://twitter.com/wallfigueiredo/status/1686481995365236739</v>
      </c>
      <c r="AF205" s="79">
        <v>45139.875173611108</v>
      </c>
      <c r="AG205" s="85">
        <v>45139</v>
      </c>
      <c r="AH205" s="82" t="s">
        <v>8488</v>
      </c>
      <c r="AI205" s="77" t="b">
        <v>0</v>
      </c>
      <c r="AJ205" s="77"/>
      <c r="AK205" s="77"/>
      <c r="AL205" s="77"/>
      <c r="AM205" s="77"/>
      <c r="AN205" s="77"/>
      <c r="AO205" s="77"/>
      <c r="AP205" s="77"/>
      <c r="AQ205" s="77" t="s">
        <v>12213</v>
      </c>
      <c r="AR205" s="77"/>
      <c r="AS205" s="77"/>
      <c r="AT205" s="77"/>
      <c r="AU205" s="77"/>
      <c r="AV205" s="80" t="str">
        <f>HYPERLINK("https://pbs.twimg.com/media/F2eWaM7bMAAg77Z.png")</f>
        <v>https://pbs.twimg.com/media/F2eWaM7bMAAg77Z.png</v>
      </c>
      <c r="AW205" s="82" t="s">
        <v>13308</v>
      </c>
      <c r="AX205" s="82" t="s">
        <v>13308</v>
      </c>
      <c r="AY205" s="77"/>
      <c r="AZ205" s="82" t="s">
        <v>17385</v>
      </c>
      <c r="BA205" s="82" t="s">
        <v>17385</v>
      </c>
      <c r="BB205" s="82" t="s">
        <v>17385</v>
      </c>
      <c r="BC205" s="82" t="s">
        <v>13308</v>
      </c>
      <c r="BD205" s="77">
        <v>86310384</v>
      </c>
      <c r="BE205" s="77"/>
      <c r="BF205" s="77"/>
      <c r="BG205" s="77"/>
      <c r="BH205" s="77"/>
      <c r="BI205" s="77"/>
    </row>
    <row r="206" spans="1:61" x14ac:dyDescent="0.25">
      <c r="A206" s="62" t="s">
        <v>263</v>
      </c>
      <c r="B206" s="62" t="s">
        <v>263</v>
      </c>
      <c r="C206" s="63"/>
      <c r="D206" s="64"/>
      <c r="E206" s="65"/>
      <c r="F206" s="66"/>
      <c r="G206" s="63"/>
      <c r="H206" s="67"/>
      <c r="I206" s="68"/>
      <c r="J206" s="68"/>
      <c r="K206" s="32"/>
      <c r="L206" s="75">
        <v>206</v>
      </c>
      <c r="M206" s="75"/>
      <c r="N206" s="70"/>
      <c r="O206" s="77" t="s">
        <v>801</v>
      </c>
      <c r="P206" s="79">
        <v>45140.576747685183</v>
      </c>
      <c r="Q206" s="77" t="s">
        <v>1005</v>
      </c>
      <c r="R206" s="77">
        <v>0</v>
      </c>
      <c r="S206" s="77">
        <v>1</v>
      </c>
      <c r="T206" s="77">
        <v>0</v>
      </c>
      <c r="U206" s="77">
        <v>0</v>
      </c>
      <c r="V206" s="77">
        <v>86</v>
      </c>
      <c r="W206" s="82" t="s">
        <v>4835</v>
      </c>
      <c r="X206" s="77"/>
      <c r="Y206" s="77"/>
      <c r="Z206" s="77"/>
      <c r="AA206" s="77"/>
      <c r="AB206" s="77"/>
      <c r="AC206" s="82" t="s">
        <v>8232</v>
      </c>
      <c r="AD206" s="77" t="s">
        <v>8282</v>
      </c>
      <c r="AE206" s="80" t="str">
        <f>HYPERLINK("https://twitter.com/wallfigueiredo/status/1686736238206746625")</f>
        <v>https://twitter.com/wallfigueiredo/status/1686736238206746625</v>
      </c>
      <c r="AF206" s="79">
        <v>45140.576747685183</v>
      </c>
      <c r="AG206" s="85">
        <v>45140</v>
      </c>
      <c r="AH206" s="82" t="s">
        <v>8489</v>
      </c>
      <c r="AI206" s="77"/>
      <c r="AJ206" s="77"/>
      <c r="AK206" s="77"/>
      <c r="AL206" s="77"/>
      <c r="AM206" s="77"/>
      <c r="AN206" s="77"/>
      <c r="AO206" s="77"/>
      <c r="AP206" s="77"/>
      <c r="AQ206" s="77"/>
      <c r="AR206" s="77"/>
      <c r="AS206" s="77"/>
      <c r="AT206" s="77"/>
      <c r="AU206" s="77"/>
      <c r="AV206" s="80" t="str">
        <f>HYPERLINK("https://pbs.twimg.com/profile_images/535740890543685632/DvOGWZyE_normal.jpeg")</f>
        <v>https://pbs.twimg.com/profile_images/535740890543685632/DvOGWZyE_normal.jpeg</v>
      </c>
      <c r="AW206" s="82" t="s">
        <v>13309</v>
      </c>
      <c r="AX206" s="82" t="s">
        <v>13309</v>
      </c>
      <c r="AY206" s="77"/>
      <c r="AZ206" s="82" t="s">
        <v>17385</v>
      </c>
      <c r="BA206" s="82" t="s">
        <v>13308</v>
      </c>
      <c r="BB206" s="82" t="s">
        <v>17385</v>
      </c>
      <c r="BC206" s="82" t="s">
        <v>13308</v>
      </c>
      <c r="BD206" s="77">
        <v>86310384</v>
      </c>
      <c r="BE206" s="77"/>
      <c r="BF206" s="77"/>
      <c r="BG206" s="77"/>
      <c r="BH206" s="77"/>
      <c r="BI206" s="77"/>
    </row>
    <row r="207" spans="1:61" x14ac:dyDescent="0.25">
      <c r="A207" s="62" t="s">
        <v>263</v>
      </c>
      <c r="B207" s="62" t="s">
        <v>263</v>
      </c>
      <c r="C207" s="63"/>
      <c r="D207" s="64"/>
      <c r="E207" s="65"/>
      <c r="F207" s="66"/>
      <c r="G207" s="63"/>
      <c r="H207" s="67"/>
      <c r="I207" s="68"/>
      <c r="J207" s="68"/>
      <c r="K207" s="32"/>
      <c r="L207" s="75">
        <v>207</v>
      </c>
      <c r="M207" s="75"/>
      <c r="N207" s="70"/>
      <c r="O207" s="77" t="s">
        <v>179</v>
      </c>
      <c r="P207" s="79">
        <v>45122.803159722222</v>
      </c>
      <c r="Q207" s="77" t="s">
        <v>1006</v>
      </c>
      <c r="R207" s="77">
        <v>0</v>
      </c>
      <c r="S207" s="77">
        <v>2</v>
      </c>
      <c r="T207" s="77">
        <v>0</v>
      </c>
      <c r="U207" s="77">
        <v>0</v>
      </c>
      <c r="V207" s="77">
        <v>63</v>
      </c>
      <c r="W207" s="82" t="s">
        <v>4917</v>
      </c>
      <c r="X207" s="80" t="str">
        <f>HYPERLINK("http://www.quotebr.com/download.php")</f>
        <v>http://www.quotebr.com/download.php</v>
      </c>
      <c r="Y207" s="77" t="s">
        <v>7067</v>
      </c>
      <c r="Z207" s="77"/>
      <c r="AA207" s="77" t="s">
        <v>7329</v>
      </c>
      <c r="AB207" s="77" t="s">
        <v>8225</v>
      </c>
      <c r="AC207" s="82" t="s">
        <v>8232</v>
      </c>
      <c r="AD207" s="77" t="s">
        <v>8278</v>
      </c>
      <c r="AE207" s="80" t="str">
        <f>HYPERLINK("https://twitter.com/wallfigueiredo/status/1680295303948259328")</f>
        <v>https://twitter.com/wallfigueiredo/status/1680295303948259328</v>
      </c>
      <c r="AF207" s="79">
        <v>45122.803159722222</v>
      </c>
      <c r="AG207" s="85">
        <v>45122</v>
      </c>
      <c r="AH207" s="82" t="s">
        <v>8490</v>
      </c>
      <c r="AI207" s="77" t="b">
        <v>0</v>
      </c>
      <c r="AJ207" s="77"/>
      <c r="AK207" s="77"/>
      <c r="AL207" s="77"/>
      <c r="AM207" s="77"/>
      <c r="AN207" s="77"/>
      <c r="AO207" s="77"/>
      <c r="AP207" s="77"/>
      <c r="AQ207" s="77" t="s">
        <v>12214</v>
      </c>
      <c r="AR207" s="77"/>
      <c r="AS207" s="77"/>
      <c r="AT207" s="77"/>
      <c r="AU207" s="77"/>
      <c r="AV207" s="80" t="str">
        <f>HYPERLINK("https://pbs.twimg.com/media/F1Gbq4MXwAQv67e.png")</f>
        <v>https://pbs.twimg.com/media/F1Gbq4MXwAQv67e.png</v>
      </c>
      <c r="AW207" s="82" t="s">
        <v>13310</v>
      </c>
      <c r="AX207" s="82" t="s">
        <v>13310</v>
      </c>
      <c r="AY207" s="77"/>
      <c r="AZ207" s="82" t="s">
        <v>17385</v>
      </c>
      <c r="BA207" s="82" t="s">
        <v>17385</v>
      </c>
      <c r="BB207" s="82" t="s">
        <v>17385</v>
      </c>
      <c r="BC207" s="82" t="s">
        <v>13310</v>
      </c>
      <c r="BD207" s="77">
        <v>86310384</v>
      </c>
      <c r="BE207" s="77"/>
      <c r="BF207" s="77"/>
      <c r="BG207" s="77"/>
      <c r="BH207" s="77"/>
      <c r="BI207" s="77"/>
    </row>
    <row r="208" spans="1:61" x14ac:dyDescent="0.25">
      <c r="A208" s="62" t="s">
        <v>263</v>
      </c>
      <c r="B208" s="62" t="s">
        <v>263</v>
      </c>
      <c r="C208" s="63"/>
      <c r="D208" s="64"/>
      <c r="E208" s="65"/>
      <c r="F208" s="66"/>
      <c r="G208" s="63"/>
      <c r="H208" s="67"/>
      <c r="I208" s="68"/>
      <c r="J208" s="68"/>
      <c r="K208" s="32"/>
      <c r="L208" s="75">
        <v>208</v>
      </c>
      <c r="M208" s="75"/>
      <c r="N208" s="70"/>
      <c r="O208" s="77" t="s">
        <v>179</v>
      </c>
      <c r="P208" s="79">
        <v>45122.801805555559</v>
      </c>
      <c r="Q208" s="77" t="s">
        <v>1007</v>
      </c>
      <c r="R208" s="77">
        <v>0</v>
      </c>
      <c r="S208" s="77">
        <v>2</v>
      </c>
      <c r="T208" s="77">
        <v>0</v>
      </c>
      <c r="U208" s="77">
        <v>0</v>
      </c>
      <c r="V208" s="77">
        <v>63</v>
      </c>
      <c r="W208" s="82" t="s">
        <v>4917</v>
      </c>
      <c r="X208" s="80" t="str">
        <f>HYPERLINK("http://www.quotebr.com/download.php")</f>
        <v>http://www.quotebr.com/download.php</v>
      </c>
      <c r="Y208" s="77" t="s">
        <v>7067</v>
      </c>
      <c r="Z208" s="77"/>
      <c r="AA208" s="77" t="s">
        <v>7330</v>
      </c>
      <c r="AB208" s="77" t="s">
        <v>8225</v>
      </c>
      <c r="AC208" s="82" t="s">
        <v>8232</v>
      </c>
      <c r="AD208" s="77" t="s">
        <v>8278</v>
      </c>
      <c r="AE208" s="80" t="str">
        <f>HYPERLINK("https://twitter.com/wallfigueiredo/status/1680294814305189889")</f>
        <v>https://twitter.com/wallfigueiredo/status/1680294814305189889</v>
      </c>
      <c r="AF208" s="79">
        <v>45122.801805555559</v>
      </c>
      <c r="AG208" s="85">
        <v>45122</v>
      </c>
      <c r="AH208" s="82" t="s">
        <v>8491</v>
      </c>
      <c r="AI208" s="77" t="b">
        <v>0</v>
      </c>
      <c r="AJ208" s="77"/>
      <c r="AK208" s="77"/>
      <c r="AL208" s="77"/>
      <c r="AM208" s="77"/>
      <c r="AN208" s="77"/>
      <c r="AO208" s="77"/>
      <c r="AP208" s="77"/>
      <c r="AQ208" s="77" t="s">
        <v>12215</v>
      </c>
      <c r="AR208" s="77"/>
      <c r="AS208" s="77"/>
      <c r="AT208" s="77"/>
      <c r="AU208" s="77"/>
      <c r="AV208" s="80" t="str">
        <f>HYPERLINK("https://pbs.twimg.com/media/F1GbObIX0AgxY95.png")</f>
        <v>https://pbs.twimg.com/media/F1GbObIX0AgxY95.png</v>
      </c>
      <c r="AW208" s="82" t="s">
        <v>13311</v>
      </c>
      <c r="AX208" s="82" t="s">
        <v>13311</v>
      </c>
      <c r="AY208" s="77"/>
      <c r="AZ208" s="82" t="s">
        <v>17385</v>
      </c>
      <c r="BA208" s="82" t="s">
        <v>17385</v>
      </c>
      <c r="BB208" s="82" t="s">
        <v>17385</v>
      </c>
      <c r="BC208" s="82" t="s">
        <v>13311</v>
      </c>
      <c r="BD208" s="77">
        <v>86310384</v>
      </c>
      <c r="BE208" s="77"/>
      <c r="BF208" s="77"/>
      <c r="BG208" s="77"/>
      <c r="BH208" s="77"/>
      <c r="BI208" s="77"/>
    </row>
    <row r="209" spans="1:61" x14ac:dyDescent="0.25">
      <c r="A209" s="62" t="s">
        <v>263</v>
      </c>
      <c r="B209" s="62" t="s">
        <v>263</v>
      </c>
      <c r="C209" s="63"/>
      <c r="D209" s="64"/>
      <c r="E209" s="65"/>
      <c r="F209" s="66"/>
      <c r="G209" s="63"/>
      <c r="H209" s="67"/>
      <c r="I209" s="68"/>
      <c r="J209" s="68"/>
      <c r="K209" s="32"/>
      <c r="L209" s="75">
        <v>209</v>
      </c>
      <c r="M209" s="75"/>
      <c r="N209" s="70"/>
      <c r="O209" s="77" t="s">
        <v>179</v>
      </c>
      <c r="P209" s="79">
        <v>45122.799375000002</v>
      </c>
      <c r="Q209" s="77" t="s">
        <v>1008</v>
      </c>
      <c r="R209" s="77">
        <v>0</v>
      </c>
      <c r="S209" s="77">
        <v>1</v>
      </c>
      <c r="T209" s="77">
        <v>0</v>
      </c>
      <c r="U209" s="77">
        <v>0</v>
      </c>
      <c r="V209" s="77">
        <v>62</v>
      </c>
      <c r="W209" s="82" t="s">
        <v>4835</v>
      </c>
      <c r="X209" s="80" t="str">
        <f>HYPERLINK("http://www.quotebr.com/download.php")</f>
        <v>http://www.quotebr.com/download.php</v>
      </c>
      <c r="Y209" s="77" t="s">
        <v>7067</v>
      </c>
      <c r="Z209" s="77"/>
      <c r="AA209" s="77" t="s">
        <v>7331</v>
      </c>
      <c r="AB209" s="77" t="s">
        <v>8225</v>
      </c>
      <c r="AC209" s="82" t="s">
        <v>8232</v>
      </c>
      <c r="AD209" s="77" t="s">
        <v>8278</v>
      </c>
      <c r="AE209" s="80" t="str">
        <f>HYPERLINK("https://twitter.com/wallfigueiredo/status/1680293933727793155")</f>
        <v>https://twitter.com/wallfigueiredo/status/1680293933727793155</v>
      </c>
      <c r="AF209" s="79">
        <v>45122.799375000002</v>
      </c>
      <c r="AG209" s="85">
        <v>45122</v>
      </c>
      <c r="AH209" s="82" t="s">
        <v>8492</v>
      </c>
      <c r="AI209" s="77" t="b">
        <v>0</v>
      </c>
      <c r="AJ209" s="77"/>
      <c r="AK209" s="77"/>
      <c r="AL209" s="77"/>
      <c r="AM209" s="77"/>
      <c r="AN209" s="77"/>
      <c r="AO209" s="77"/>
      <c r="AP209" s="77"/>
      <c r="AQ209" s="77" t="s">
        <v>12216</v>
      </c>
      <c r="AR209" s="77"/>
      <c r="AS209" s="77"/>
      <c r="AT209" s="77"/>
      <c r="AU209" s="77"/>
      <c r="AV209" s="80" t="str">
        <f>HYPERLINK("https://pbs.twimg.com/media/F1GabBdWYAEGVjd.png")</f>
        <v>https://pbs.twimg.com/media/F1GabBdWYAEGVjd.png</v>
      </c>
      <c r="AW209" s="82" t="s">
        <v>13312</v>
      </c>
      <c r="AX209" s="82" t="s">
        <v>13312</v>
      </c>
      <c r="AY209" s="77"/>
      <c r="AZ209" s="82" t="s">
        <v>17385</v>
      </c>
      <c r="BA209" s="82" t="s">
        <v>17385</v>
      </c>
      <c r="BB209" s="82" t="s">
        <v>17385</v>
      </c>
      <c r="BC209" s="82" t="s">
        <v>13312</v>
      </c>
      <c r="BD209" s="77">
        <v>86310384</v>
      </c>
      <c r="BE209" s="77"/>
      <c r="BF209" s="77"/>
      <c r="BG209" s="77"/>
      <c r="BH209" s="77"/>
      <c r="BI209" s="77"/>
    </row>
    <row r="210" spans="1:61" x14ac:dyDescent="0.25">
      <c r="A210" s="62" t="s">
        <v>263</v>
      </c>
      <c r="B210" s="62" t="s">
        <v>263</v>
      </c>
      <c r="C210" s="63"/>
      <c r="D210" s="64"/>
      <c r="E210" s="65"/>
      <c r="F210" s="66"/>
      <c r="G210" s="63"/>
      <c r="H210" s="67"/>
      <c r="I210" s="68"/>
      <c r="J210" s="68"/>
      <c r="K210" s="32"/>
      <c r="L210" s="75">
        <v>210</v>
      </c>
      <c r="M210" s="75"/>
      <c r="N210" s="70"/>
      <c r="O210" s="77" t="s">
        <v>179</v>
      </c>
      <c r="P210" s="79">
        <v>45122.798449074071</v>
      </c>
      <c r="Q210" s="77" t="s">
        <v>1009</v>
      </c>
      <c r="R210" s="77">
        <v>0</v>
      </c>
      <c r="S210" s="77">
        <v>1</v>
      </c>
      <c r="T210" s="77">
        <v>0</v>
      </c>
      <c r="U210" s="77">
        <v>0</v>
      </c>
      <c r="V210" s="77">
        <v>64</v>
      </c>
      <c r="W210" s="82" t="s">
        <v>4917</v>
      </c>
      <c r="X210" s="80" t="str">
        <f>HYPERLINK("http://www.quotebr.com/download.php")</f>
        <v>http://www.quotebr.com/download.php</v>
      </c>
      <c r="Y210" s="77" t="s">
        <v>7067</v>
      </c>
      <c r="Z210" s="77"/>
      <c r="AA210" s="77" t="s">
        <v>7332</v>
      </c>
      <c r="AB210" s="77" t="s">
        <v>8225</v>
      </c>
      <c r="AC210" s="82" t="s">
        <v>8232</v>
      </c>
      <c r="AD210" s="77" t="s">
        <v>8278</v>
      </c>
      <c r="AE210" s="80" t="str">
        <f>HYPERLINK("https://twitter.com/wallfigueiredo/status/1680293595587174401")</f>
        <v>https://twitter.com/wallfigueiredo/status/1680293595587174401</v>
      </c>
      <c r="AF210" s="79">
        <v>45122.798449074071</v>
      </c>
      <c r="AG210" s="85">
        <v>45122</v>
      </c>
      <c r="AH210" s="82" t="s">
        <v>8493</v>
      </c>
      <c r="AI210" s="77" t="b">
        <v>0</v>
      </c>
      <c r="AJ210" s="77"/>
      <c r="AK210" s="77"/>
      <c r="AL210" s="77"/>
      <c r="AM210" s="77"/>
      <c r="AN210" s="77"/>
      <c r="AO210" s="77"/>
      <c r="AP210" s="77"/>
      <c r="AQ210" s="77" t="s">
        <v>12217</v>
      </c>
      <c r="AR210" s="77"/>
      <c r="AS210" s="77"/>
      <c r="AT210" s="77"/>
      <c r="AU210" s="77"/>
      <c r="AV210" s="80" t="str">
        <f>HYPERLINK("https://pbs.twimg.com/media/F1GaHeNWAAEy3KB.png")</f>
        <v>https://pbs.twimg.com/media/F1GaHeNWAAEy3KB.png</v>
      </c>
      <c r="AW210" s="82" t="s">
        <v>13313</v>
      </c>
      <c r="AX210" s="82" t="s">
        <v>13313</v>
      </c>
      <c r="AY210" s="77"/>
      <c r="AZ210" s="82" t="s">
        <v>17385</v>
      </c>
      <c r="BA210" s="82" t="s">
        <v>17385</v>
      </c>
      <c r="BB210" s="82" t="s">
        <v>17385</v>
      </c>
      <c r="BC210" s="82" t="s">
        <v>13313</v>
      </c>
      <c r="BD210" s="77">
        <v>86310384</v>
      </c>
      <c r="BE210" s="77"/>
      <c r="BF210" s="77"/>
      <c r="BG210" s="77"/>
      <c r="BH210" s="77"/>
      <c r="BI210" s="77"/>
    </row>
    <row r="211" spans="1:61" x14ac:dyDescent="0.25">
      <c r="A211" s="62" t="s">
        <v>263</v>
      </c>
      <c r="B211" s="62" t="s">
        <v>263</v>
      </c>
      <c r="C211" s="63"/>
      <c r="D211" s="64"/>
      <c r="E211" s="65"/>
      <c r="F211" s="66"/>
      <c r="G211" s="63"/>
      <c r="H211" s="67"/>
      <c r="I211" s="68"/>
      <c r="J211" s="68"/>
      <c r="K211" s="32"/>
      <c r="L211" s="75">
        <v>211</v>
      </c>
      <c r="M211" s="75"/>
      <c r="N211" s="70"/>
      <c r="O211" s="77" t="s">
        <v>179</v>
      </c>
      <c r="P211" s="79">
        <v>45059.836134259262</v>
      </c>
      <c r="Q211" s="77" t="s">
        <v>1010</v>
      </c>
      <c r="R211" s="77">
        <v>1</v>
      </c>
      <c r="S211" s="77">
        <v>1</v>
      </c>
      <c r="T211" s="77">
        <v>0</v>
      </c>
      <c r="U211" s="77">
        <v>0</v>
      </c>
      <c r="V211" s="77">
        <v>83</v>
      </c>
      <c r="W211" s="82" t="s">
        <v>4835</v>
      </c>
      <c r="X211" s="80" t="str">
        <f>HYPERLINK("http://www.quotebr.com/download.php")</f>
        <v>http://www.quotebr.com/download.php</v>
      </c>
      <c r="Y211" s="77" t="s">
        <v>7067</v>
      </c>
      <c r="Z211" s="77"/>
      <c r="AA211" s="77" t="s">
        <v>7333</v>
      </c>
      <c r="AB211" s="77" t="s">
        <v>8225</v>
      </c>
      <c r="AC211" s="82" t="s">
        <v>8232</v>
      </c>
      <c r="AD211" s="77" t="s">
        <v>8278</v>
      </c>
      <c r="AE211" s="80" t="str">
        <f>HYPERLINK("https://twitter.com/wallfigueiredo/status/1657476819988119553")</f>
        <v>https://twitter.com/wallfigueiredo/status/1657476819988119553</v>
      </c>
      <c r="AF211" s="79">
        <v>45059.836134259262</v>
      </c>
      <c r="AG211" s="85">
        <v>45059</v>
      </c>
      <c r="AH211" s="82" t="s">
        <v>8494</v>
      </c>
      <c r="AI211" s="77" t="b">
        <v>0</v>
      </c>
      <c r="AJ211" s="77"/>
      <c r="AK211" s="77"/>
      <c r="AL211" s="77"/>
      <c r="AM211" s="77"/>
      <c r="AN211" s="77"/>
      <c r="AO211" s="77"/>
      <c r="AP211" s="77"/>
      <c r="AQ211" s="77" t="s">
        <v>12218</v>
      </c>
      <c r="AR211" s="77"/>
      <c r="AS211" s="77"/>
      <c r="AT211" s="77"/>
      <c r="AU211" s="77"/>
      <c r="AV211" s="80" t="str">
        <f>HYPERLINK("https://pbs.twimg.com/media/FwCKYRyWcAMBYq0.png")</f>
        <v>https://pbs.twimg.com/media/FwCKYRyWcAMBYq0.png</v>
      </c>
      <c r="AW211" s="82" t="s">
        <v>13314</v>
      </c>
      <c r="AX211" s="82" t="s">
        <v>13314</v>
      </c>
      <c r="AY211" s="77"/>
      <c r="AZ211" s="82" t="s">
        <v>17385</v>
      </c>
      <c r="BA211" s="82" t="s">
        <v>17385</v>
      </c>
      <c r="BB211" s="82" t="s">
        <v>17385</v>
      </c>
      <c r="BC211" s="82" t="s">
        <v>13314</v>
      </c>
      <c r="BD211" s="77">
        <v>86310384</v>
      </c>
      <c r="BE211" s="77"/>
      <c r="BF211" s="77"/>
      <c r="BG211" s="77"/>
      <c r="BH211" s="77"/>
      <c r="BI211" s="77"/>
    </row>
    <row r="212" spans="1:61" x14ac:dyDescent="0.25">
      <c r="A212" s="62" t="s">
        <v>263</v>
      </c>
      <c r="B212" s="62" t="s">
        <v>263</v>
      </c>
      <c r="C212" s="63"/>
      <c r="D212" s="64"/>
      <c r="E212" s="65"/>
      <c r="F212" s="66"/>
      <c r="G212" s="63"/>
      <c r="H212" s="67"/>
      <c r="I212" s="68"/>
      <c r="J212" s="68"/>
      <c r="K212" s="32"/>
      <c r="L212" s="75">
        <v>212</v>
      </c>
      <c r="M212" s="75"/>
      <c r="N212" s="70"/>
      <c r="O212" s="77" t="s">
        <v>179</v>
      </c>
      <c r="P212" s="79">
        <v>45059.835752314815</v>
      </c>
      <c r="Q212" s="77" t="s">
        <v>1011</v>
      </c>
      <c r="R212" s="77">
        <v>1</v>
      </c>
      <c r="S212" s="77">
        <v>1</v>
      </c>
      <c r="T212" s="77">
        <v>0</v>
      </c>
      <c r="U212" s="77">
        <v>0</v>
      </c>
      <c r="V212" s="77">
        <v>80</v>
      </c>
      <c r="W212" s="82" t="s">
        <v>4835</v>
      </c>
      <c r="X212" s="80" t="str">
        <f>HYPERLINK("http://www.quotebr.com/download.php")</f>
        <v>http://www.quotebr.com/download.php</v>
      </c>
      <c r="Y212" s="77" t="s">
        <v>7067</v>
      </c>
      <c r="Z212" s="77"/>
      <c r="AA212" s="77" t="s">
        <v>7334</v>
      </c>
      <c r="AB212" s="77" t="s">
        <v>8225</v>
      </c>
      <c r="AC212" s="82" t="s">
        <v>8232</v>
      </c>
      <c r="AD212" s="77" t="s">
        <v>8278</v>
      </c>
      <c r="AE212" s="80" t="str">
        <f>HYPERLINK("https://twitter.com/wallfigueiredo/status/1657476681248956418")</f>
        <v>https://twitter.com/wallfigueiredo/status/1657476681248956418</v>
      </c>
      <c r="AF212" s="79">
        <v>45059.835752314815</v>
      </c>
      <c r="AG212" s="85">
        <v>45059</v>
      </c>
      <c r="AH212" s="82" t="s">
        <v>8495</v>
      </c>
      <c r="AI212" s="77" t="b">
        <v>0</v>
      </c>
      <c r="AJ212" s="77"/>
      <c r="AK212" s="77"/>
      <c r="AL212" s="77"/>
      <c r="AM212" s="77"/>
      <c r="AN212" s="77"/>
      <c r="AO212" s="77"/>
      <c r="AP212" s="77"/>
      <c r="AQ212" s="77" t="s">
        <v>12219</v>
      </c>
      <c r="AR212" s="77"/>
      <c r="AS212" s="77"/>
      <c r="AT212" s="77"/>
      <c r="AU212" s="77"/>
      <c r="AV212" s="80" t="str">
        <f>HYPERLINK("https://pbs.twimg.com/media/FwCKQSpX0AUTXIb.png")</f>
        <v>https://pbs.twimg.com/media/FwCKQSpX0AUTXIb.png</v>
      </c>
      <c r="AW212" s="82" t="s">
        <v>13315</v>
      </c>
      <c r="AX212" s="82" t="s">
        <v>13315</v>
      </c>
      <c r="AY212" s="77"/>
      <c r="AZ212" s="82" t="s">
        <v>17385</v>
      </c>
      <c r="BA212" s="82" t="s">
        <v>17385</v>
      </c>
      <c r="BB212" s="82" t="s">
        <v>17385</v>
      </c>
      <c r="BC212" s="82" t="s">
        <v>13315</v>
      </c>
      <c r="BD212" s="77">
        <v>86310384</v>
      </c>
      <c r="BE212" s="77"/>
      <c r="BF212" s="77"/>
      <c r="BG212" s="77"/>
      <c r="BH212" s="77"/>
      <c r="BI212" s="77"/>
    </row>
    <row r="213" spans="1:61" x14ac:dyDescent="0.25">
      <c r="A213" s="62" t="s">
        <v>263</v>
      </c>
      <c r="B213" s="62" t="s">
        <v>263</v>
      </c>
      <c r="C213" s="63"/>
      <c r="D213" s="64"/>
      <c r="E213" s="65"/>
      <c r="F213" s="66"/>
      <c r="G213" s="63"/>
      <c r="H213" s="67"/>
      <c r="I213" s="68"/>
      <c r="J213" s="68"/>
      <c r="K213" s="32"/>
      <c r="L213" s="75">
        <v>213</v>
      </c>
      <c r="M213" s="75"/>
      <c r="N213" s="70"/>
      <c r="O213" s="77" t="s">
        <v>179</v>
      </c>
      <c r="P213" s="79">
        <v>45059.835370370369</v>
      </c>
      <c r="Q213" s="77" t="s">
        <v>1012</v>
      </c>
      <c r="R213" s="77">
        <v>1</v>
      </c>
      <c r="S213" s="77">
        <v>1</v>
      </c>
      <c r="T213" s="77">
        <v>0</v>
      </c>
      <c r="U213" s="77">
        <v>0</v>
      </c>
      <c r="V213" s="77">
        <v>75</v>
      </c>
      <c r="W213" s="82" t="s">
        <v>4835</v>
      </c>
      <c r="X213" s="80" t="str">
        <f>HYPERLINK("http://www.quotebr.com/download.php")</f>
        <v>http://www.quotebr.com/download.php</v>
      </c>
      <c r="Y213" s="77" t="s">
        <v>7067</v>
      </c>
      <c r="Z213" s="77"/>
      <c r="AA213" s="77" t="s">
        <v>7335</v>
      </c>
      <c r="AB213" s="77" t="s">
        <v>8225</v>
      </c>
      <c r="AC213" s="82" t="s">
        <v>8232</v>
      </c>
      <c r="AD213" s="77" t="s">
        <v>8278</v>
      </c>
      <c r="AE213" s="80" t="str">
        <f>HYPERLINK("https://twitter.com/wallfigueiredo/status/1657476539972288525")</f>
        <v>https://twitter.com/wallfigueiredo/status/1657476539972288525</v>
      </c>
      <c r="AF213" s="79">
        <v>45059.835370370369</v>
      </c>
      <c r="AG213" s="85">
        <v>45059</v>
      </c>
      <c r="AH213" s="82" t="s">
        <v>8496</v>
      </c>
      <c r="AI213" s="77" t="b">
        <v>0</v>
      </c>
      <c r="AJ213" s="77"/>
      <c r="AK213" s="77"/>
      <c r="AL213" s="77"/>
      <c r="AM213" s="77"/>
      <c r="AN213" s="77"/>
      <c r="AO213" s="77"/>
      <c r="AP213" s="77"/>
      <c r="AQ213" s="77" t="s">
        <v>12220</v>
      </c>
      <c r="AR213" s="77"/>
      <c r="AS213" s="77"/>
      <c r="AT213" s="77"/>
      <c r="AU213" s="77"/>
      <c r="AV213" s="80" t="str">
        <f>HYPERLINK("https://pbs.twimg.com/media/FwCKIJKX0AAZyyR.png")</f>
        <v>https://pbs.twimg.com/media/FwCKIJKX0AAZyyR.png</v>
      </c>
      <c r="AW213" s="82" t="s">
        <v>13316</v>
      </c>
      <c r="AX213" s="82" t="s">
        <v>13316</v>
      </c>
      <c r="AY213" s="77"/>
      <c r="AZ213" s="82" t="s">
        <v>17385</v>
      </c>
      <c r="BA213" s="82" t="s">
        <v>17385</v>
      </c>
      <c r="BB213" s="82" t="s">
        <v>17385</v>
      </c>
      <c r="BC213" s="82" t="s">
        <v>13316</v>
      </c>
      <c r="BD213" s="77">
        <v>86310384</v>
      </c>
      <c r="BE213" s="77"/>
      <c r="BF213" s="77"/>
      <c r="BG213" s="77"/>
      <c r="BH213" s="77"/>
      <c r="BI213" s="77"/>
    </row>
    <row r="214" spans="1:61" x14ac:dyDescent="0.25">
      <c r="A214" s="62" t="s">
        <v>263</v>
      </c>
      <c r="B214" s="62" t="s">
        <v>263</v>
      </c>
      <c r="C214" s="63"/>
      <c r="D214" s="64"/>
      <c r="E214" s="65"/>
      <c r="F214" s="66"/>
      <c r="G214" s="63"/>
      <c r="H214" s="67"/>
      <c r="I214" s="68"/>
      <c r="J214" s="68"/>
      <c r="K214" s="32"/>
      <c r="L214" s="75">
        <v>214</v>
      </c>
      <c r="M214" s="75"/>
      <c r="N214" s="70"/>
      <c r="O214" s="77" t="s">
        <v>179</v>
      </c>
      <c r="P214" s="79">
        <v>45059.834803240738</v>
      </c>
      <c r="Q214" s="77" t="s">
        <v>1013</v>
      </c>
      <c r="R214" s="77">
        <v>1</v>
      </c>
      <c r="S214" s="77">
        <v>1</v>
      </c>
      <c r="T214" s="77">
        <v>0</v>
      </c>
      <c r="U214" s="77">
        <v>0</v>
      </c>
      <c r="V214" s="77">
        <v>70</v>
      </c>
      <c r="W214" s="82" t="s">
        <v>4835</v>
      </c>
      <c r="X214" s="80" t="str">
        <f>HYPERLINK("http://www.quotebr.com/download.php")</f>
        <v>http://www.quotebr.com/download.php</v>
      </c>
      <c r="Y214" s="77" t="s">
        <v>7067</v>
      </c>
      <c r="Z214" s="77"/>
      <c r="AA214" s="77" t="s">
        <v>7336</v>
      </c>
      <c r="AB214" s="77" t="s">
        <v>8225</v>
      </c>
      <c r="AC214" s="82" t="s">
        <v>8232</v>
      </c>
      <c r="AD214" s="77" t="s">
        <v>8278</v>
      </c>
      <c r="AE214" s="80" t="str">
        <f>HYPERLINK("https://twitter.com/wallfigueiredo/status/1657476337358065672")</f>
        <v>https://twitter.com/wallfigueiredo/status/1657476337358065672</v>
      </c>
      <c r="AF214" s="79">
        <v>45059.834803240738</v>
      </c>
      <c r="AG214" s="85">
        <v>45059</v>
      </c>
      <c r="AH214" s="82" t="s">
        <v>8497</v>
      </c>
      <c r="AI214" s="77" t="b">
        <v>0</v>
      </c>
      <c r="AJ214" s="77"/>
      <c r="AK214" s="77"/>
      <c r="AL214" s="77"/>
      <c r="AM214" s="77"/>
      <c r="AN214" s="77"/>
      <c r="AO214" s="77"/>
      <c r="AP214" s="77"/>
      <c r="AQ214" s="77" t="s">
        <v>12221</v>
      </c>
      <c r="AR214" s="77"/>
      <c r="AS214" s="77"/>
      <c r="AT214" s="77"/>
      <c r="AU214" s="77"/>
      <c r="AV214" s="80" t="str">
        <f>HYPERLINK("https://pbs.twimg.com/media/FwCJ8SJXwAYEm0V.png")</f>
        <v>https://pbs.twimg.com/media/FwCJ8SJXwAYEm0V.png</v>
      </c>
      <c r="AW214" s="82" t="s">
        <v>13317</v>
      </c>
      <c r="AX214" s="82" t="s">
        <v>13317</v>
      </c>
      <c r="AY214" s="77"/>
      <c r="AZ214" s="82" t="s">
        <v>17385</v>
      </c>
      <c r="BA214" s="82" t="s">
        <v>17385</v>
      </c>
      <c r="BB214" s="82" t="s">
        <v>17385</v>
      </c>
      <c r="BC214" s="82" t="s">
        <v>13317</v>
      </c>
      <c r="BD214" s="77">
        <v>86310384</v>
      </c>
      <c r="BE214" s="77"/>
      <c r="BF214" s="77"/>
      <c r="BG214" s="77"/>
      <c r="BH214" s="77"/>
      <c r="BI214" s="77"/>
    </row>
    <row r="215" spans="1:61" x14ac:dyDescent="0.25">
      <c r="A215" s="62" t="s">
        <v>263</v>
      </c>
      <c r="B215" s="62" t="s">
        <v>263</v>
      </c>
      <c r="C215" s="63"/>
      <c r="D215" s="64"/>
      <c r="E215" s="65"/>
      <c r="F215" s="66"/>
      <c r="G215" s="63"/>
      <c r="H215" s="67"/>
      <c r="I215" s="68"/>
      <c r="J215" s="68"/>
      <c r="K215" s="32"/>
      <c r="L215" s="75">
        <v>215</v>
      </c>
      <c r="M215" s="75"/>
      <c r="N215" s="70"/>
      <c r="O215" s="77" t="s">
        <v>179</v>
      </c>
      <c r="P215" s="79">
        <v>45059.83384259259</v>
      </c>
      <c r="Q215" s="77" t="s">
        <v>1014</v>
      </c>
      <c r="R215" s="77">
        <v>1</v>
      </c>
      <c r="S215" s="77">
        <v>1</v>
      </c>
      <c r="T215" s="77">
        <v>0</v>
      </c>
      <c r="U215" s="77">
        <v>0</v>
      </c>
      <c r="V215" s="77">
        <v>80</v>
      </c>
      <c r="W215" s="82" t="s">
        <v>4835</v>
      </c>
      <c r="X215" s="80" t="str">
        <f>HYPERLINK("http://www.quotebr.com/download.php")</f>
        <v>http://www.quotebr.com/download.php</v>
      </c>
      <c r="Y215" s="77" t="s">
        <v>7067</v>
      </c>
      <c r="Z215" s="77"/>
      <c r="AA215" s="77" t="s">
        <v>7337</v>
      </c>
      <c r="AB215" s="77" t="s">
        <v>8225</v>
      </c>
      <c r="AC215" s="82" t="s">
        <v>8232</v>
      </c>
      <c r="AD215" s="77" t="s">
        <v>8278</v>
      </c>
      <c r="AE215" s="80" t="str">
        <f>HYPERLINK("https://twitter.com/wallfigueiredo/status/1657475988400271362")</f>
        <v>https://twitter.com/wallfigueiredo/status/1657475988400271362</v>
      </c>
      <c r="AF215" s="79">
        <v>45059.83384259259</v>
      </c>
      <c r="AG215" s="85">
        <v>45059</v>
      </c>
      <c r="AH215" s="82" t="s">
        <v>8498</v>
      </c>
      <c r="AI215" s="77" t="b">
        <v>0</v>
      </c>
      <c r="AJ215" s="77"/>
      <c r="AK215" s="77"/>
      <c r="AL215" s="77"/>
      <c r="AM215" s="77"/>
      <c r="AN215" s="77"/>
      <c r="AO215" s="77"/>
      <c r="AP215" s="77"/>
      <c r="AQ215" s="77" t="s">
        <v>12222</v>
      </c>
      <c r="AR215" s="77"/>
      <c r="AS215" s="77"/>
      <c r="AT215" s="77"/>
      <c r="AU215" s="77"/>
      <c r="AV215" s="80" t="str">
        <f>HYPERLINK("https://pbs.twimg.com/media/FwCJn-WWIAA7Hm1.png")</f>
        <v>https://pbs.twimg.com/media/FwCJn-WWIAA7Hm1.png</v>
      </c>
      <c r="AW215" s="82" t="s">
        <v>13318</v>
      </c>
      <c r="AX215" s="82" t="s">
        <v>13318</v>
      </c>
      <c r="AY215" s="77"/>
      <c r="AZ215" s="82" t="s">
        <v>17385</v>
      </c>
      <c r="BA215" s="82" t="s">
        <v>17385</v>
      </c>
      <c r="BB215" s="82" t="s">
        <v>17385</v>
      </c>
      <c r="BC215" s="82" t="s">
        <v>13318</v>
      </c>
      <c r="BD215" s="77">
        <v>86310384</v>
      </c>
      <c r="BE215" s="77"/>
      <c r="BF215" s="77"/>
      <c r="BG215" s="77"/>
      <c r="BH215" s="77"/>
      <c r="BI215" s="77"/>
    </row>
    <row r="216" spans="1:61" x14ac:dyDescent="0.25">
      <c r="A216" s="62" t="s">
        <v>264</v>
      </c>
      <c r="B216" s="62" t="s">
        <v>264</v>
      </c>
      <c r="C216" s="63"/>
      <c r="D216" s="64"/>
      <c r="E216" s="65"/>
      <c r="F216" s="66"/>
      <c r="G216" s="63"/>
      <c r="H216" s="67"/>
      <c r="I216" s="68"/>
      <c r="J216" s="68"/>
      <c r="K216" s="32"/>
      <c r="L216" s="75">
        <v>216</v>
      </c>
      <c r="M216" s="75"/>
      <c r="N216" s="70"/>
      <c r="O216" s="77" t="s">
        <v>179</v>
      </c>
      <c r="P216" s="79">
        <v>45138.990254629629</v>
      </c>
      <c r="Q216" s="77" t="s">
        <v>1015</v>
      </c>
      <c r="R216" s="77">
        <v>0</v>
      </c>
      <c r="S216" s="77">
        <v>0</v>
      </c>
      <c r="T216" s="77">
        <v>0</v>
      </c>
      <c r="U216" s="77">
        <v>0</v>
      </c>
      <c r="V216" s="77">
        <v>131</v>
      </c>
      <c r="W216" s="82" t="s">
        <v>4920</v>
      </c>
      <c r="X216" s="77"/>
      <c r="Y216" s="77"/>
      <c r="Z216" s="77"/>
      <c r="AA216" s="77" t="s">
        <v>7338</v>
      </c>
      <c r="AB216" s="77" t="s">
        <v>8228</v>
      </c>
      <c r="AC216" s="82" t="s">
        <v>8232</v>
      </c>
      <c r="AD216" s="77" t="s">
        <v>8278</v>
      </c>
      <c r="AE216" s="80" t="str">
        <f>HYPERLINK("https://twitter.com/franciscob_at/status/1686161310596161543")</f>
        <v>https://twitter.com/franciscob_at/status/1686161310596161543</v>
      </c>
      <c r="AF216" s="79">
        <v>45138.990254629629</v>
      </c>
      <c r="AG216" s="85">
        <v>45138</v>
      </c>
      <c r="AH216" s="82" t="s">
        <v>8499</v>
      </c>
      <c r="AI216" s="77" t="b">
        <v>0</v>
      </c>
      <c r="AJ216" s="77"/>
      <c r="AK216" s="77"/>
      <c r="AL216" s="77"/>
      <c r="AM216" s="77"/>
      <c r="AN216" s="77"/>
      <c r="AO216" s="77"/>
      <c r="AP216" s="77"/>
      <c r="AQ216" s="77" t="s">
        <v>12223</v>
      </c>
      <c r="AR216" s="77"/>
      <c r="AS216" s="77"/>
      <c r="AT216" s="77"/>
      <c r="AU216" s="77"/>
      <c r="AV216" s="80" t="str">
        <f>HYPERLINK("https://pbs.twimg.com/media/F2ZyiInXsAAbPZW.jpg")</f>
        <v>https://pbs.twimg.com/media/F2ZyiInXsAAbPZW.jpg</v>
      </c>
      <c r="AW216" s="82" t="s">
        <v>13319</v>
      </c>
      <c r="AX216" s="82" t="s">
        <v>13319</v>
      </c>
      <c r="AY216" s="77"/>
      <c r="AZ216" s="82" t="s">
        <v>17385</v>
      </c>
      <c r="BA216" s="82" t="s">
        <v>17385</v>
      </c>
      <c r="BB216" s="82" t="s">
        <v>17385</v>
      </c>
      <c r="BC216" s="82" t="s">
        <v>13319</v>
      </c>
      <c r="BD216" s="82" t="s">
        <v>17457</v>
      </c>
      <c r="BE216" s="77"/>
      <c r="BF216" s="77"/>
      <c r="BG216" s="77"/>
      <c r="BH216" s="77"/>
      <c r="BI216" s="77"/>
    </row>
    <row r="217" spans="1:61" x14ac:dyDescent="0.25">
      <c r="A217" s="62" t="s">
        <v>264</v>
      </c>
      <c r="B217" s="62" t="s">
        <v>264</v>
      </c>
      <c r="C217" s="63"/>
      <c r="D217" s="64"/>
      <c r="E217" s="65"/>
      <c r="F217" s="66"/>
      <c r="G217" s="63"/>
      <c r="H217" s="67"/>
      <c r="I217" s="68"/>
      <c r="J217" s="68"/>
      <c r="K217" s="32"/>
      <c r="L217" s="75">
        <v>217</v>
      </c>
      <c r="M217" s="75"/>
      <c r="N217" s="70"/>
      <c r="O217" s="77" t="s">
        <v>179</v>
      </c>
      <c r="P217" s="79">
        <v>45138.982627314814</v>
      </c>
      <c r="Q217" s="77" t="s">
        <v>1016</v>
      </c>
      <c r="R217" s="77">
        <v>0</v>
      </c>
      <c r="S217" s="77">
        <v>0</v>
      </c>
      <c r="T217" s="77">
        <v>0</v>
      </c>
      <c r="U217" s="77">
        <v>0</v>
      </c>
      <c r="V217" s="77">
        <v>56</v>
      </c>
      <c r="W217" s="82" t="s">
        <v>4920</v>
      </c>
      <c r="X217" s="77"/>
      <c r="Y217" s="77"/>
      <c r="Z217" s="77"/>
      <c r="AA217" s="77" t="s">
        <v>7339</v>
      </c>
      <c r="AB217" s="77" t="s">
        <v>8228</v>
      </c>
      <c r="AC217" s="82" t="s">
        <v>8232</v>
      </c>
      <c r="AD217" s="77" t="s">
        <v>8278</v>
      </c>
      <c r="AE217" s="80" t="str">
        <f>HYPERLINK("https://twitter.com/franciscob_at/status/1686158545153142784")</f>
        <v>https://twitter.com/franciscob_at/status/1686158545153142784</v>
      </c>
      <c r="AF217" s="79">
        <v>45138.982627314814</v>
      </c>
      <c r="AG217" s="85">
        <v>45138</v>
      </c>
      <c r="AH217" s="82" t="s">
        <v>8500</v>
      </c>
      <c r="AI217" s="77" t="b">
        <v>0</v>
      </c>
      <c r="AJ217" s="77"/>
      <c r="AK217" s="77"/>
      <c r="AL217" s="77"/>
      <c r="AM217" s="77"/>
      <c r="AN217" s="77"/>
      <c r="AO217" s="77"/>
      <c r="AP217" s="77"/>
      <c r="AQ217" s="77" t="s">
        <v>12224</v>
      </c>
      <c r="AR217" s="77"/>
      <c r="AS217" s="77"/>
      <c r="AT217" s="77"/>
      <c r="AU217" s="77"/>
      <c r="AV217" s="80" t="str">
        <f>HYPERLINK("https://pbs.twimg.com/media/F2ZwPxAWgAEXbOy.jpg")</f>
        <v>https://pbs.twimg.com/media/F2ZwPxAWgAEXbOy.jpg</v>
      </c>
      <c r="AW217" s="82" t="s">
        <v>13320</v>
      </c>
      <c r="AX217" s="82" t="s">
        <v>13320</v>
      </c>
      <c r="AY217" s="77"/>
      <c r="AZ217" s="82" t="s">
        <v>17385</v>
      </c>
      <c r="BA217" s="82" t="s">
        <v>17385</v>
      </c>
      <c r="BB217" s="82" t="s">
        <v>17385</v>
      </c>
      <c r="BC217" s="82" t="s">
        <v>13320</v>
      </c>
      <c r="BD217" s="82" t="s">
        <v>17457</v>
      </c>
      <c r="BE217" s="77"/>
      <c r="BF217" s="77"/>
      <c r="BG217" s="77"/>
      <c r="BH217" s="77"/>
      <c r="BI217" s="77"/>
    </row>
    <row r="218" spans="1:61" x14ac:dyDescent="0.25">
      <c r="A218" s="62" t="s">
        <v>265</v>
      </c>
      <c r="B218" s="62" t="s">
        <v>265</v>
      </c>
      <c r="C218" s="63"/>
      <c r="D218" s="64"/>
      <c r="E218" s="65"/>
      <c r="F218" s="66"/>
      <c r="G218" s="63"/>
      <c r="H218" s="67"/>
      <c r="I218" s="68"/>
      <c r="J218" s="68"/>
      <c r="K218" s="32"/>
      <c r="L218" s="75">
        <v>218</v>
      </c>
      <c r="M218" s="75"/>
      <c r="N218" s="70"/>
      <c r="O218" s="77" t="s">
        <v>179</v>
      </c>
      <c r="P218" s="79">
        <v>45070.542233796295</v>
      </c>
      <c r="Q218" s="77" t="s">
        <v>1017</v>
      </c>
      <c r="R218" s="77">
        <v>0</v>
      </c>
      <c r="S218" s="77">
        <v>0</v>
      </c>
      <c r="T218" s="77">
        <v>0</v>
      </c>
      <c r="U218" s="77">
        <v>0</v>
      </c>
      <c r="V218" s="77">
        <v>24</v>
      </c>
      <c r="W218" s="82" t="s">
        <v>4921</v>
      </c>
      <c r="X218" s="77"/>
      <c r="Y218" s="77"/>
      <c r="Z218" s="77"/>
      <c r="AA218" s="77" t="s">
        <v>7340</v>
      </c>
      <c r="AB218" s="77" t="s">
        <v>8225</v>
      </c>
      <c r="AC218" s="82" t="s">
        <v>8235</v>
      </c>
      <c r="AD218" s="77" t="s">
        <v>8278</v>
      </c>
      <c r="AE218" s="80" t="str">
        <f>HYPERLINK("https://twitter.com/perspectiveinvs/status/1661356579474534402")</f>
        <v>https://twitter.com/perspectiveinvs/status/1661356579474534402</v>
      </c>
      <c r="AF218" s="79">
        <v>45070.542233796295</v>
      </c>
      <c r="AG218" s="85">
        <v>45070</v>
      </c>
      <c r="AH218" s="82" t="s">
        <v>8501</v>
      </c>
      <c r="AI218" s="77" t="b">
        <v>0</v>
      </c>
      <c r="AJ218" s="77"/>
      <c r="AK218" s="77"/>
      <c r="AL218" s="77"/>
      <c r="AM218" s="77"/>
      <c r="AN218" s="77"/>
      <c r="AO218" s="77"/>
      <c r="AP218" s="77"/>
      <c r="AQ218" s="77" t="s">
        <v>12225</v>
      </c>
      <c r="AR218" s="77"/>
      <c r="AS218" s="77"/>
      <c r="AT218" s="77"/>
      <c r="AU218" s="77"/>
      <c r="AV218" s="80" t="str">
        <f>HYPERLINK("https://pbs.twimg.com/media/Fw5TARjWwAItWKk.jpg")</f>
        <v>https://pbs.twimg.com/media/Fw5TARjWwAItWKk.jpg</v>
      </c>
      <c r="AW218" s="82" t="s">
        <v>13321</v>
      </c>
      <c r="AX218" s="82" t="s">
        <v>13321</v>
      </c>
      <c r="AY218" s="77"/>
      <c r="AZ218" s="82" t="s">
        <v>17385</v>
      </c>
      <c r="BA218" s="82" t="s">
        <v>17385</v>
      </c>
      <c r="BB218" s="82" t="s">
        <v>17385</v>
      </c>
      <c r="BC218" s="82" t="s">
        <v>13321</v>
      </c>
      <c r="BD218" s="82" t="s">
        <v>17458</v>
      </c>
      <c r="BE218" s="77"/>
      <c r="BF218" s="77"/>
      <c r="BG218" s="77"/>
      <c r="BH218" s="77"/>
      <c r="BI218" s="77"/>
    </row>
    <row r="219" spans="1:61" x14ac:dyDescent="0.25">
      <c r="A219" s="62" t="s">
        <v>265</v>
      </c>
      <c r="B219" s="62" t="s">
        <v>265</v>
      </c>
      <c r="C219" s="63"/>
      <c r="D219" s="64"/>
      <c r="E219" s="65"/>
      <c r="F219" s="66"/>
      <c r="G219" s="63"/>
      <c r="H219" s="67"/>
      <c r="I219" s="68"/>
      <c r="J219" s="68"/>
      <c r="K219" s="32"/>
      <c r="L219" s="75">
        <v>219</v>
      </c>
      <c r="M219" s="75"/>
      <c r="N219" s="70"/>
      <c r="O219" s="77" t="s">
        <v>179</v>
      </c>
      <c r="P219" s="79">
        <v>45086.711909722224</v>
      </c>
      <c r="Q219" s="77" t="s">
        <v>1018</v>
      </c>
      <c r="R219" s="77">
        <v>0</v>
      </c>
      <c r="S219" s="77">
        <v>0</v>
      </c>
      <c r="T219" s="77">
        <v>0</v>
      </c>
      <c r="U219" s="77">
        <v>0</v>
      </c>
      <c r="V219" s="77">
        <v>13</v>
      </c>
      <c r="W219" s="82" t="s">
        <v>4921</v>
      </c>
      <c r="X219" s="80" t="str">
        <f>HYPERLINK("https://www.perspective.com.br/a-area-de-expansao-da-perspective")</f>
        <v>https://www.perspective.com.br/a-area-de-expansao-da-perspective</v>
      </c>
      <c r="Y219" s="77" t="s">
        <v>7053</v>
      </c>
      <c r="Z219" s="77"/>
      <c r="AA219" s="77" t="s">
        <v>7341</v>
      </c>
      <c r="AB219" s="77" t="s">
        <v>8225</v>
      </c>
      <c r="AC219" s="82" t="s">
        <v>8235</v>
      </c>
      <c r="AD219" s="77" t="s">
        <v>8278</v>
      </c>
      <c r="AE219" s="80" t="str">
        <f>HYPERLINK("https://twitter.com/perspectiveinvs/status/1667216272176627718")</f>
        <v>https://twitter.com/perspectiveinvs/status/1667216272176627718</v>
      </c>
      <c r="AF219" s="79">
        <v>45086.711909722224</v>
      </c>
      <c r="AG219" s="85">
        <v>45086</v>
      </c>
      <c r="AH219" s="82" t="s">
        <v>8502</v>
      </c>
      <c r="AI219" s="77" t="b">
        <v>0</v>
      </c>
      <c r="AJ219" s="77"/>
      <c r="AK219" s="77"/>
      <c r="AL219" s="77"/>
      <c r="AM219" s="77"/>
      <c r="AN219" s="77"/>
      <c r="AO219" s="77"/>
      <c r="AP219" s="77"/>
      <c r="AQ219" s="77" t="s">
        <v>12226</v>
      </c>
      <c r="AR219" s="77"/>
      <c r="AS219" s="77"/>
      <c r="AT219" s="77"/>
      <c r="AU219" s="77"/>
      <c r="AV219" s="80" t="str">
        <f>HYPERLINK("https://pbs.twimg.com/media/FyMkXRQWwAEpLgq.jpg")</f>
        <v>https://pbs.twimg.com/media/FyMkXRQWwAEpLgq.jpg</v>
      </c>
      <c r="AW219" s="82" t="s">
        <v>13322</v>
      </c>
      <c r="AX219" s="82" t="s">
        <v>13322</v>
      </c>
      <c r="AY219" s="77"/>
      <c r="AZ219" s="82" t="s">
        <v>17385</v>
      </c>
      <c r="BA219" s="82" t="s">
        <v>17385</v>
      </c>
      <c r="BB219" s="82" t="s">
        <v>17385</v>
      </c>
      <c r="BC219" s="82" t="s">
        <v>13322</v>
      </c>
      <c r="BD219" s="82" t="s">
        <v>17458</v>
      </c>
      <c r="BE219" s="77"/>
      <c r="BF219" s="77"/>
      <c r="BG219" s="77"/>
      <c r="BH219" s="77"/>
      <c r="BI219" s="77"/>
    </row>
    <row r="220" spans="1:61" x14ac:dyDescent="0.25">
      <c r="A220" s="62" t="s">
        <v>265</v>
      </c>
      <c r="B220" s="62" t="s">
        <v>265</v>
      </c>
      <c r="C220" s="63"/>
      <c r="D220" s="64"/>
      <c r="E220" s="65"/>
      <c r="F220" s="66"/>
      <c r="G220" s="63"/>
      <c r="H220" s="67"/>
      <c r="I220" s="68"/>
      <c r="J220" s="68"/>
      <c r="K220" s="32"/>
      <c r="L220" s="75">
        <v>220</v>
      </c>
      <c r="M220" s="75"/>
      <c r="N220" s="70"/>
      <c r="O220" s="77" t="s">
        <v>179</v>
      </c>
      <c r="P220" s="79">
        <v>45078.598599537036</v>
      </c>
      <c r="Q220" s="77" t="s">
        <v>1019</v>
      </c>
      <c r="R220" s="77">
        <v>0</v>
      </c>
      <c r="S220" s="77">
        <v>0</v>
      </c>
      <c r="T220" s="77">
        <v>0</v>
      </c>
      <c r="U220" s="77">
        <v>0</v>
      </c>
      <c r="V220" s="77">
        <v>29</v>
      </c>
      <c r="W220" s="82" t="s">
        <v>4921</v>
      </c>
      <c r="X220" s="77"/>
      <c r="Y220" s="77"/>
      <c r="Z220" s="77"/>
      <c r="AA220" s="77" t="s">
        <v>7342</v>
      </c>
      <c r="AB220" s="77" t="s">
        <v>8225</v>
      </c>
      <c r="AC220" s="82" t="s">
        <v>8235</v>
      </c>
      <c r="AD220" s="77" t="s">
        <v>8278</v>
      </c>
      <c r="AE220" s="80" t="str">
        <f>HYPERLINK("https://twitter.com/perspectiveinvs/status/1664276106881683457")</f>
        <v>https://twitter.com/perspectiveinvs/status/1664276106881683457</v>
      </c>
      <c r="AF220" s="79">
        <v>45078.598599537036</v>
      </c>
      <c r="AG220" s="85">
        <v>45078</v>
      </c>
      <c r="AH220" s="82" t="s">
        <v>8503</v>
      </c>
      <c r="AI220" s="77" t="b">
        <v>0</v>
      </c>
      <c r="AJ220" s="77"/>
      <c r="AK220" s="77"/>
      <c r="AL220" s="77"/>
      <c r="AM220" s="77"/>
      <c r="AN220" s="77"/>
      <c r="AO220" s="77"/>
      <c r="AP220" s="77"/>
      <c r="AQ220" s="77" t="s">
        <v>12227</v>
      </c>
      <c r="AR220" s="77"/>
      <c r="AS220" s="77"/>
      <c r="AT220" s="77"/>
      <c r="AU220" s="77"/>
      <c r="AV220" s="80" t="str">
        <f>HYPERLINK("https://pbs.twimg.com/media/FxiyTKyaMAAbJFu.jpg")</f>
        <v>https://pbs.twimg.com/media/FxiyTKyaMAAbJFu.jpg</v>
      </c>
      <c r="AW220" s="82" t="s">
        <v>13323</v>
      </c>
      <c r="AX220" s="82" t="s">
        <v>13323</v>
      </c>
      <c r="AY220" s="77"/>
      <c r="AZ220" s="82" t="s">
        <v>17385</v>
      </c>
      <c r="BA220" s="82" t="s">
        <v>17385</v>
      </c>
      <c r="BB220" s="82" t="s">
        <v>17385</v>
      </c>
      <c r="BC220" s="82" t="s">
        <v>13323</v>
      </c>
      <c r="BD220" s="82" t="s">
        <v>17458</v>
      </c>
      <c r="BE220" s="77"/>
      <c r="BF220" s="77"/>
      <c r="BG220" s="77"/>
      <c r="BH220" s="77"/>
      <c r="BI220" s="77"/>
    </row>
    <row r="221" spans="1:61" x14ac:dyDescent="0.25">
      <c r="A221" s="62" t="s">
        <v>265</v>
      </c>
      <c r="B221" s="62" t="s">
        <v>265</v>
      </c>
      <c r="C221" s="63"/>
      <c r="D221" s="64"/>
      <c r="E221" s="65"/>
      <c r="F221" s="66"/>
      <c r="G221" s="63"/>
      <c r="H221" s="67"/>
      <c r="I221" s="68"/>
      <c r="J221" s="68"/>
      <c r="K221" s="32"/>
      <c r="L221" s="75">
        <v>221</v>
      </c>
      <c r="M221" s="75"/>
      <c r="N221" s="70"/>
      <c r="O221" s="77" t="s">
        <v>179</v>
      </c>
      <c r="P221" s="79">
        <v>45097.722303240742</v>
      </c>
      <c r="Q221" s="77" t="s">
        <v>1020</v>
      </c>
      <c r="R221" s="77">
        <v>0</v>
      </c>
      <c r="S221" s="77">
        <v>0</v>
      </c>
      <c r="T221" s="77">
        <v>0</v>
      </c>
      <c r="U221" s="77">
        <v>0</v>
      </c>
      <c r="V221" s="77">
        <v>21</v>
      </c>
      <c r="W221" s="82" t="s">
        <v>4921</v>
      </c>
      <c r="X221" s="80" t="str">
        <f>HYPERLINK("https://www.perspective.com.br/profissao-aai-entenda-o-mercado-e-o-que-e-preciso-para-ganhar-destaque")</f>
        <v>https://www.perspective.com.br/profissao-aai-entenda-o-mercado-e-o-que-e-preciso-para-ganhar-destaque</v>
      </c>
      <c r="Y221" s="77" t="s">
        <v>7053</v>
      </c>
      <c r="Z221" s="77"/>
      <c r="AA221" s="77" t="s">
        <v>7343</v>
      </c>
      <c r="AB221" s="77" t="s">
        <v>8225</v>
      </c>
      <c r="AC221" s="82" t="s">
        <v>8235</v>
      </c>
      <c r="AD221" s="77" t="s">
        <v>8278</v>
      </c>
      <c r="AE221" s="80" t="str">
        <f>HYPERLINK("https://twitter.com/perspectiveinvs/status/1671206304000405504")</f>
        <v>https://twitter.com/perspectiveinvs/status/1671206304000405504</v>
      </c>
      <c r="AF221" s="79">
        <v>45097.722303240742</v>
      </c>
      <c r="AG221" s="85">
        <v>45097</v>
      </c>
      <c r="AH221" s="82" t="s">
        <v>8504</v>
      </c>
      <c r="AI221" s="77" t="b">
        <v>0</v>
      </c>
      <c r="AJ221" s="77"/>
      <c r="AK221" s="77"/>
      <c r="AL221" s="77"/>
      <c r="AM221" s="77"/>
      <c r="AN221" s="77"/>
      <c r="AO221" s="77"/>
      <c r="AP221" s="77"/>
      <c r="AQ221" s="77" t="s">
        <v>12228</v>
      </c>
      <c r="AR221" s="77"/>
      <c r="AS221" s="77"/>
      <c r="AT221" s="77"/>
      <c r="AU221" s="77"/>
      <c r="AV221" s="80" t="str">
        <f>HYPERLINK("https://pbs.twimg.com/media/FzFRRqJXsA4-RnK.jpg")</f>
        <v>https://pbs.twimg.com/media/FzFRRqJXsA4-RnK.jpg</v>
      </c>
      <c r="AW221" s="82" t="s">
        <v>13324</v>
      </c>
      <c r="AX221" s="82" t="s">
        <v>13324</v>
      </c>
      <c r="AY221" s="77"/>
      <c r="AZ221" s="82" t="s">
        <v>17385</v>
      </c>
      <c r="BA221" s="82" t="s">
        <v>17385</v>
      </c>
      <c r="BB221" s="82" t="s">
        <v>17385</v>
      </c>
      <c r="BC221" s="82" t="s">
        <v>13324</v>
      </c>
      <c r="BD221" s="82" t="s">
        <v>17458</v>
      </c>
      <c r="BE221" s="77"/>
      <c r="BF221" s="77"/>
      <c r="BG221" s="77"/>
      <c r="BH221" s="77"/>
      <c r="BI221" s="77"/>
    </row>
    <row r="222" spans="1:61" x14ac:dyDescent="0.25">
      <c r="A222" s="62" t="s">
        <v>265</v>
      </c>
      <c r="B222" s="62" t="s">
        <v>265</v>
      </c>
      <c r="C222" s="63"/>
      <c r="D222" s="64"/>
      <c r="E222" s="65"/>
      <c r="F222" s="66"/>
      <c r="G222" s="63"/>
      <c r="H222" s="67"/>
      <c r="I222" s="68"/>
      <c r="J222" s="68"/>
      <c r="K222" s="32"/>
      <c r="L222" s="75">
        <v>222</v>
      </c>
      <c r="M222" s="75"/>
      <c r="N222" s="70"/>
      <c r="O222" s="77" t="s">
        <v>179</v>
      </c>
      <c r="P222" s="79">
        <v>45078.927175925928</v>
      </c>
      <c r="Q222" s="77" t="s">
        <v>1021</v>
      </c>
      <c r="R222" s="77">
        <v>0</v>
      </c>
      <c r="S222" s="77">
        <v>0</v>
      </c>
      <c r="T222" s="77">
        <v>0</v>
      </c>
      <c r="U222" s="77">
        <v>0</v>
      </c>
      <c r="V222" s="77">
        <v>18</v>
      </c>
      <c r="W222" s="82" t="s">
        <v>4921</v>
      </c>
      <c r="X222" s="80" t="str">
        <f>HYPERLINK("https://www.perspective.com.br/empresas")</f>
        <v>https://www.perspective.com.br/empresas</v>
      </c>
      <c r="Y222" s="77" t="s">
        <v>7053</v>
      </c>
      <c r="Z222" s="77"/>
      <c r="AA222" s="77" t="s">
        <v>7344</v>
      </c>
      <c r="AB222" s="77" t="s">
        <v>8225</v>
      </c>
      <c r="AC222" s="82" t="s">
        <v>8235</v>
      </c>
      <c r="AD222" s="77" t="s">
        <v>8278</v>
      </c>
      <c r="AE222" s="80" t="str">
        <f>HYPERLINK("https://twitter.com/perspectiveinvs/status/1664395181733322752")</f>
        <v>https://twitter.com/perspectiveinvs/status/1664395181733322752</v>
      </c>
      <c r="AF222" s="79">
        <v>45078.927175925928</v>
      </c>
      <c r="AG222" s="85">
        <v>45078</v>
      </c>
      <c r="AH222" s="82" t="s">
        <v>8505</v>
      </c>
      <c r="AI222" s="77" t="b">
        <v>0</v>
      </c>
      <c r="AJ222" s="77"/>
      <c r="AK222" s="77"/>
      <c r="AL222" s="77"/>
      <c r="AM222" s="77"/>
      <c r="AN222" s="77"/>
      <c r="AO222" s="77"/>
      <c r="AP222" s="77"/>
      <c r="AQ222" s="77" t="s">
        <v>12229</v>
      </c>
      <c r="AR222" s="77"/>
      <c r="AS222" s="77"/>
      <c r="AT222" s="77"/>
      <c r="AU222" s="77"/>
      <c r="AV222" s="80" t="str">
        <f>HYPERLINK("https://pbs.twimg.com/media/FxkemL6WcAMTjIQ.jpg")</f>
        <v>https://pbs.twimg.com/media/FxkemL6WcAMTjIQ.jpg</v>
      </c>
      <c r="AW222" s="82" t="s">
        <v>13325</v>
      </c>
      <c r="AX222" s="82" t="s">
        <v>13325</v>
      </c>
      <c r="AY222" s="77"/>
      <c r="AZ222" s="82" t="s">
        <v>17385</v>
      </c>
      <c r="BA222" s="82" t="s">
        <v>17385</v>
      </c>
      <c r="BB222" s="82" t="s">
        <v>17385</v>
      </c>
      <c r="BC222" s="82" t="s">
        <v>13325</v>
      </c>
      <c r="BD222" s="82" t="s">
        <v>17458</v>
      </c>
      <c r="BE222" s="77"/>
      <c r="BF222" s="77"/>
      <c r="BG222" s="77"/>
      <c r="BH222" s="77"/>
      <c r="BI222" s="77"/>
    </row>
    <row r="223" spans="1:61" x14ac:dyDescent="0.25">
      <c r="A223" s="62" t="s">
        <v>265</v>
      </c>
      <c r="B223" s="62" t="s">
        <v>265</v>
      </c>
      <c r="C223" s="63"/>
      <c r="D223" s="64"/>
      <c r="E223" s="65"/>
      <c r="F223" s="66"/>
      <c r="G223" s="63"/>
      <c r="H223" s="67"/>
      <c r="I223" s="68"/>
      <c r="J223" s="68"/>
      <c r="K223" s="32"/>
      <c r="L223" s="75">
        <v>223</v>
      </c>
      <c r="M223" s="75"/>
      <c r="N223" s="70"/>
      <c r="O223" s="77" t="s">
        <v>179</v>
      </c>
      <c r="P223" s="79">
        <v>45104.725798611114</v>
      </c>
      <c r="Q223" s="77" t="s">
        <v>1022</v>
      </c>
      <c r="R223" s="77">
        <v>0</v>
      </c>
      <c r="S223" s="77">
        <v>0</v>
      </c>
      <c r="T223" s="77">
        <v>0</v>
      </c>
      <c r="U223" s="77">
        <v>0</v>
      </c>
      <c r="V223" s="77">
        <v>23</v>
      </c>
      <c r="W223" s="82" t="s">
        <v>4922</v>
      </c>
      <c r="X223" s="77"/>
      <c r="Y223" s="77"/>
      <c r="Z223" s="77"/>
      <c r="AA223" s="77" t="s">
        <v>7345</v>
      </c>
      <c r="AB223" s="77" t="s">
        <v>8225</v>
      </c>
      <c r="AC223" s="82" t="s">
        <v>8235</v>
      </c>
      <c r="AD223" s="77" t="s">
        <v>8278</v>
      </c>
      <c r="AE223" s="80" t="str">
        <f>HYPERLINK("https://twitter.com/perspectiveinvs/status/1673744287132008448")</f>
        <v>https://twitter.com/perspectiveinvs/status/1673744287132008448</v>
      </c>
      <c r="AF223" s="79">
        <v>45104.725798611114</v>
      </c>
      <c r="AG223" s="85">
        <v>45104</v>
      </c>
      <c r="AH223" s="82" t="s">
        <v>8506</v>
      </c>
      <c r="AI223" s="77" t="b">
        <v>0</v>
      </c>
      <c r="AJ223" s="77"/>
      <c r="AK223" s="77"/>
      <c r="AL223" s="77"/>
      <c r="AM223" s="77"/>
      <c r="AN223" s="77"/>
      <c r="AO223" s="77"/>
      <c r="AP223" s="77"/>
      <c r="AQ223" s="77" t="s">
        <v>12230</v>
      </c>
      <c r="AR223" s="77"/>
      <c r="AS223" s="77"/>
      <c r="AT223" s="77"/>
      <c r="AU223" s="77"/>
      <c r="AV223" s="80" t="str">
        <f>HYPERLINK("https://pbs.twimg.com/media/FzpVjySXwBMYSQT.jpg")</f>
        <v>https://pbs.twimg.com/media/FzpVjySXwBMYSQT.jpg</v>
      </c>
      <c r="AW223" s="82" t="s">
        <v>13326</v>
      </c>
      <c r="AX223" s="82" t="s">
        <v>13326</v>
      </c>
      <c r="AY223" s="77"/>
      <c r="AZ223" s="82" t="s">
        <v>17385</v>
      </c>
      <c r="BA223" s="82" t="s">
        <v>17385</v>
      </c>
      <c r="BB223" s="82" t="s">
        <v>17385</v>
      </c>
      <c r="BC223" s="82" t="s">
        <v>13326</v>
      </c>
      <c r="BD223" s="82" t="s">
        <v>17458</v>
      </c>
      <c r="BE223" s="77"/>
      <c r="BF223" s="77"/>
      <c r="BG223" s="77"/>
      <c r="BH223" s="77"/>
      <c r="BI223" s="77"/>
    </row>
    <row r="224" spans="1:61" x14ac:dyDescent="0.25">
      <c r="A224" s="62" t="s">
        <v>265</v>
      </c>
      <c r="B224" s="62" t="s">
        <v>265</v>
      </c>
      <c r="C224" s="63"/>
      <c r="D224" s="64"/>
      <c r="E224" s="65"/>
      <c r="F224" s="66"/>
      <c r="G224" s="63"/>
      <c r="H224" s="67"/>
      <c r="I224" s="68"/>
      <c r="J224" s="68"/>
      <c r="K224" s="32"/>
      <c r="L224" s="75">
        <v>224</v>
      </c>
      <c r="M224" s="75"/>
      <c r="N224" s="70"/>
      <c r="O224" s="77" t="s">
        <v>179</v>
      </c>
      <c r="P224" s="79">
        <v>45082.628472222219</v>
      </c>
      <c r="Q224" s="77" t="s">
        <v>1023</v>
      </c>
      <c r="R224" s="77">
        <v>0</v>
      </c>
      <c r="S224" s="77">
        <v>0</v>
      </c>
      <c r="T224" s="77">
        <v>0</v>
      </c>
      <c r="U224" s="77">
        <v>0</v>
      </c>
      <c r="V224" s="77">
        <v>32</v>
      </c>
      <c r="W224" s="82" t="s">
        <v>4921</v>
      </c>
      <c r="X224" s="77"/>
      <c r="Y224" s="77"/>
      <c r="Z224" s="77"/>
      <c r="AA224" s="77" t="s">
        <v>7346</v>
      </c>
      <c r="AB224" s="77" t="s">
        <v>8225</v>
      </c>
      <c r="AC224" s="82" t="s">
        <v>8235</v>
      </c>
      <c r="AD224" s="77" t="s">
        <v>8278</v>
      </c>
      <c r="AE224" s="80" t="str">
        <f>HYPERLINK("https://twitter.com/perspectiveinvs/status/1665736483259523074")</f>
        <v>https://twitter.com/perspectiveinvs/status/1665736483259523074</v>
      </c>
      <c r="AF224" s="79">
        <v>45082.628472222219</v>
      </c>
      <c r="AG224" s="85">
        <v>45082</v>
      </c>
      <c r="AH224" s="82" t="s">
        <v>8507</v>
      </c>
      <c r="AI224" s="77" t="b">
        <v>0</v>
      </c>
      <c r="AJ224" s="77"/>
      <c r="AK224" s="77"/>
      <c r="AL224" s="77"/>
      <c r="AM224" s="77"/>
      <c r="AN224" s="77"/>
      <c r="AO224" s="77"/>
      <c r="AP224" s="77"/>
      <c r="AQ224" s="77" t="s">
        <v>12231</v>
      </c>
      <c r="AR224" s="77"/>
      <c r="AS224" s="77"/>
      <c r="AT224" s="77"/>
      <c r="AU224" s="77"/>
      <c r="AV224" s="80" t="str">
        <f>HYPERLINK("https://pbs.twimg.com/media/Fx3igOkXoAAjiYr.jpg")</f>
        <v>https://pbs.twimg.com/media/Fx3igOkXoAAjiYr.jpg</v>
      </c>
      <c r="AW224" s="82" t="s">
        <v>13327</v>
      </c>
      <c r="AX224" s="82" t="s">
        <v>13327</v>
      </c>
      <c r="AY224" s="77"/>
      <c r="AZ224" s="82" t="s">
        <v>17385</v>
      </c>
      <c r="BA224" s="82" t="s">
        <v>17385</v>
      </c>
      <c r="BB224" s="82" t="s">
        <v>17385</v>
      </c>
      <c r="BC224" s="82" t="s">
        <v>13327</v>
      </c>
      <c r="BD224" s="82" t="s">
        <v>17458</v>
      </c>
      <c r="BE224" s="77"/>
      <c r="BF224" s="77"/>
      <c r="BG224" s="77"/>
      <c r="BH224" s="77"/>
      <c r="BI224" s="77"/>
    </row>
    <row r="225" spans="1:61" x14ac:dyDescent="0.25">
      <c r="A225" s="62" t="s">
        <v>265</v>
      </c>
      <c r="B225" s="62" t="s">
        <v>265</v>
      </c>
      <c r="C225" s="63"/>
      <c r="D225" s="64"/>
      <c r="E225" s="65"/>
      <c r="F225" s="66"/>
      <c r="G225" s="63"/>
      <c r="H225" s="67"/>
      <c r="I225" s="68"/>
      <c r="J225" s="68"/>
      <c r="K225" s="32"/>
      <c r="L225" s="75">
        <v>225</v>
      </c>
      <c r="M225" s="75"/>
      <c r="N225" s="70"/>
      <c r="O225" s="77" t="s">
        <v>179</v>
      </c>
      <c r="P225" s="79">
        <v>45068.458784722221</v>
      </c>
      <c r="Q225" s="77" t="s">
        <v>1024</v>
      </c>
      <c r="R225" s="77">
        <v>0</v>
      </c>
      <c r="S225" s="77">
        <v>0</v>
      </c>
      <c r="T225" s="77">
        <v>0</v>
      </c>
      <c r="U225" s="77">
        <v>0</v>
      </c>
      <c r="V225" s="77">
        <v>29</v>
      </c>
      <c r="W225" s="82" t="s">
        <v>4921</v>
      </c>
      <c r="X225" s="77"/>
      <c r="Y225" s="77"/>
      <c r="Z225" s="77"/>
      <c r="AA225" s="77" t="s">
        <v>7347</v>
      </c>
      <c r="AB225" s="77" t="s">
        <v>8225</v>
      </c>
      <c r="AC225" s="82" t="s">
        <v>8235</v>
      </c>
      <c r="AD225" s="77" t="s">
        <v>8278</v>
      </c>
      <c r="AE225" s="80" t="str">
        <f>HYPERLINK("https://twitter.com/perspectiveinvs/status/1660601560441798657")</f>
        <v>https://twitter.com/perspectiveinvs/status/1660601560441798657</v>
      </c>
      <c r="AF225" s="79">
        <v>45068.458784722221</v>
      </c>
      <c r="AG225" s="85">
        <v>45068</v>
      </c>
      <c r="AH225" s="82" t="s">
        <v>8508</v>
      </c>
      <c r="AI225" s="77" t="b">
        <v>0</v>
      </c>
      <c r="AJ225" s="77"/>
      <c r="AK225" s="77"/>
      <c r="AL225" s="77"/>
      <c r="AM225" s="77"/>
      <c r="AN225" s="77"/>
      <c r="AO225" s="77"/>
      <c r="AP225" s="77"/>
      <c r="AQ225" s="77" t="s">
        <v>12232</v>
      </c>
      <c r="AR225" s="77"/>
      <c r="AS225" s="77"/>
      <c r="AT225" s="77"/>
      <c r="AU225" s="77"/>
      <c r="AV225" s="80" t="str">
        <f>HYPERLINK("https://pbs.twimg.com/media/FwukUYpXsAYDlBg.jpg")</f>
        <v>https://pbs.twimg.com/media/FwukUYpXsAYDlBg.jpg</v>
      </c>
      <c r="AW225" s="82" t="s">
        <v>13328</v>
      </c>
      <c r="AX225" s="82" t="s">
        <v>13328</v>
      </c>
      <c r="AY225" s="77"/>
      <c r="AZ225" s="82" t="s">
        <v>17385</v>
      </c>
      <c r="BA225" s="82" t="s">
        <v>17385</v>
      </c>
      <c r="BB225" s="82" t="s">
        <v>17385</v>
      </c>
      <c r="BC225" s="82" t="s">
        <v>13328</v>
      </c>
      <c r="BD225" s="82" t="s">
        <v>17458</v>
      </c>
      <c r="BE225" s="77"/>
      <c r="BF225" s="77"/>
      <c r="BG225" s="77"/>
      <c r="BH225" s="77"/>
      <c r="BI225" s="77"/>
    </row>
    <row r="226" spans="1:61" x14ac:dyDescent="0.25">
      <c r="A226" s="62" t="s">
        <v>265</v>
      </c>
      <c r="B226" s="62" t="s">
        <v>265</v>
      </c>
      <c r="C226" s="63"/>
      <c r="D226" s="64"/>
      <c r="E226" s="65"/>
      <c r="F226" s="66"/>
      <c r="G226" s="63"/>
      <c r="H226" s="67"/>
      <c r="I226" s="68"/>
      <c r="J226" s="68"/>
      <c r="K226" s="32"/>
      <c r="L226" s="75">
        <v>226</v>
      </c>
      <c r="M226" s="75"/>
      <c r="N226" s="70"/>
      <c r="O226" s="77" t="s">
        <v>179</v>
      </c>
      <c r="P226" s="79">
        <v>45112.542129629626</v>
      </c>
      <c r="Q226" s="77" t="s">
        <v>1025</v>
      </c>
      <c r="R226" s="77">
        <v>0</v>
      </c>
      <c r="S226" s="77">
        <v>0</v>
      </c>
      <c r="T226" s="77">
        <v>0</v>
      </c>
      <c r="U226" s="77">
        <v>0</v>
      </c>
      <c r="V226" s="77">
        <v>8</v>
      </c>
      <c r="W226" s="82" t="s">
        <v>4921</v>
      </c>
      <c r="X226" s="80" t="str">
        <f>HYPERLINK("https://www.perspective.com.br/blog")</f>
        <v>https://www.perspective.com.br/blog</v>
      </c>
      <c r="Y226" s="77" t="s">
        <v>7053</v>
      </c>
      <c r="Z226" s="77"/>
      <c r="AA226" s="77" t="s">
        <v>7348</v>
      </c>
      <c r="AB226" s="77" t="s">
        <v>8225</v>
      </c>
      <c r="AC226" s="82" t="s">
        <v>8235</v>
      </c>
      <c r="AD226" s="77" t="s">
        <v>8278</v>
      </c>
      <c r="AE226" s="80" t="str">
        <f>HYPERLINK("https://twitter.com/perspectiveinvs/status/1676576832257249281")</f>
        <v>https://twitter.com/perspectiveinvs/status/1676576832257249281</v>
      </c>
      <c r="AF226" s="79">
        <v>45112.542129629626</v>
      </c>
      <c r="AG226" s="85">
        <v>45112</v>
      </c>
      <c r="AH226" s="82" t="s">
        <v>8509</v>
      </c>
      <c r="AI226" s="77" t="b">
        <v>0</v>
      </c>
      <c r="AJ226" s="77"/>
      <c r="AK226" s="77"/>
      <c r="AL226" s="77"/>
      <c r="AM226" s="77"/>
      <c r="AN226" s="77"/>
      <c r="AO226" s="77"/>
      <c r="AP226" s="77"/>
      <c r="AQ226" s="77" t="s">
        <v>12233</v>
      </c>
      <c r="AR226" s="77"/>
      <c r="AS226" s="77"/>
      <c r="AT226" s="77"/>
      <c r="AU226" s="77"/>
      <c r="AV226" s="80" t="str">
        <f>HYPERLINK("https://pbs.twimg.com/media/F0Rlvo1WYAAuXjD.jpg")</f>
        <v>https://pbs.twimg.com/media/F0Rlvo1WYAAuXjD.jpg</v>
      </c>
      <c r="AW226" s="82" t="s">
        <v>13329</v>
      </c>
      <c r="AX226" s="82" t="s">
        <v>13329</v>
      </c>
      <c r="AY226" s="77"/>
      <c r="AZ226" s="82" t="s">
        <v>17385</v>
      </c>
      <c r="BA226" s="82" t="s">
        <v>17385</v>
      </c>
      <c r="BB226" s="82" t="s">
        <v>17385</v>
      </c>
      <c r="BC226" s="82" t="s">
        <v>13329</v>
      </c>
      <c r="BD226" s="82" t="s">
        <v>17458</v>
      </c>
      <c r="BE226" s="77"/>
      <c r="BF226" s="77"/>
      <c r="BG226" s="77"/>
      <c r="BH226" s="77"/>
      <c r="BI226" s="77"/>
    </row>
    <row r="227" spans="1:61" x14ac:dyDescent="0.25">
      <c r="A227" s="62" t="s">
        <v>265</v>
      </c>
      <c r="B227" s="62" t="s">
        <v>265</v>
      </c>
      <c r="C227" s="63"/>
      <c r="D227" s="64"/>
      <c r="E227" s="65"/>
      <c r="F227" s="66"/>
      <c r="G227" s="63"/>
      <c r="H227" s="67"/>
      <c r="I227" s="68"/>
      <c r="J227" s="68"/>
      <c r="K227" s="32"/>
      <c r="L227" s="75">
        <v>227</v>
      </c>
      <c r="M227" s="75"/>
      <c r="N227" s="70"/>
      <c r="O227" s="77" t="s">
        <v>179</v>
      </c>
      <c r="P227" s="79">
        <v>45077.542453703703</v>
      </c>
      <c r="Q227" s="77" t="s">
        <v>1026</v>
      </c>
      <c r="R227" s="77">
        <v>0</v>
      </c>
      <c r="S227" s="77">
        <v>0</v>
      </c>
      <c r="T227" s="77">
        <v>0</v>
      </c>
      <c r="U227" s="77">
        <v>0</v>
      </c>
      <c r="V227" s="77">
        <v>18</v>
      </c>
      <c r="W227" s="82" t="s">
        <v>4921</v>
      </c>
      <c r="X227" s="77"/>
      <c r="Y227" s="77"/>
      <c r="Z227" s="77"/>
      <c r="AA227" s="77" t="s">
        <v>7349</v>
      </c>
      <c r="AB227" s="77" t="s">
        <v>8225</v>
      </c>
      <c r="AC227" s="82" t="s">
        <v>8235</v>
      </c>
      <c r="AD227" s="77" t="s">
        <v>8278</v>
      </c>
      <c r="AE227" s="80" t="str">
        <f>HYPERLINK("https://twitter.com/perspectiveinvs/status/1663893372262596608")</f>
        <v>https://twitter.com/perspectiveinvs/status/1663893372262596608</v>
      </c>
      <c r="AF227" s="79">
        <v>45077.542453703703</v>
      </c>
      <c r="AG227" s="85">
        <v>45077</v>
      </c>
      <c r="AH227" s="82" t="s">
        <v>8510</v>
      </c>
      <c r="AI227" s="77" t="b">
        <v>0</v>
      </c>
      <c r="AJ227" s="77"/>
      <c r="AK227" s="77"/>
      <c r="AL227" s="77"/>
      <c r="AM227" s="77"/>
      <c r="AN227" s="77"/>
      <c r="AO227" s="77"/>
      <c r="AP227" s="77"/>
      <c r="AQ227" s="77" t="s">
        <v>12234</v>
      </c>
      <c r="AR227" s="77"/>
      <c r="AS227" s="77"/>
      <c r="AT227" s="77"/>
      <c r="AU227" s="77"/>
      <c r="AV227" s="80" t="str">
        <f>HYPERLINK("https://pbs.twimg.com/media/FxdWNADWwAARAEw.jpg")</f>
        <v>https://pbs.twimg.com/media/FxdWNADWwAARAEw.jpg</v>
      </c>
      <c r="AW227" s="82" t="s">
        <v>13330</v>
      </c>
      <c r="AX227" s="82" t="s">
        <v>13330</v>
      </c>
      <c r="AY227" s="77"/>
      <c r="AZ227" s="82" t="s">
        <v>17385</v>
      </c>
      <c r="BA227" s="82" t="s">
        <v>17385</v>
      </c>
      <c r="BB227" s="82" t="s">
        <v>17385</v>
      </c>
      <c r="BC227" s="82" t="s">
        <v>13330</v>
      </c>
      <c r="BD227" s="82" t="s">
        <v>17458</v>
      </c>
      <c r="BE227" s="77"/>
      <c r="BF227" s="77"/>
      <c r="BG227" s="77"/>
      <c r="BH227" s="77"/>
      <c r="BI227" s="77"/>
    </row>
    <row r="228" spans="1:61" x14ac:dyDescent="0.25">
      <c r="A228" s="62" t="s">
        <v>265</v>
      </c>
      <c r="B228" s="62" t="s">
        <v>265</v>
      </c>
      <c r="C228" s="63"/>
      <c r="D228" s="64"/>
      <c r="E228" s="65"/>
      <c r="F228" s="66"/>
      <c r="G228" s="63"/>
      <c r="H228" s="67"/>
      <c r="I228" s="68"/>
      <c r="J228" s="68"/>
      <c r="K228" s="32"/>
      <c r="L228" s="75">
        <v>228</v>
      </c>
      <c r="M228" s="75"/>
      <c r="N228" s="70"/>
      <c r="O228" s="77" t="s">
        <v>179</v>
      </c>
      <c r="P228" s="79">
        <v>45075.458865740744</v>
      </c>
      <c r="Q228" s="77" t="s">
        <v>1027</v>
      </c>
      <c r="R228" s="77">
        <v>0</v>
      </c>
      <c r="S228" s="77">
        <v>0</v>
      </c>
      <c r="T228" s="77">
        <v>0</v>
      </c>
      <c r="U228" s="77">
        <v>0</v>
      </c>
      <c r="V228" s="77">
        <v>15</v>
      </c>
      <c r="W228" s="82" t="s">
        <v>4923</v>
      </c>
      <c r="X228" s="77"/>
      <c r="Y228" s="77"/>
      <c r="Z228" s="77"/>
      <c r="AA228" s="77" t="s">
        <v>7350</v>
      </c>
      <c r="AB228" s="77" t="s">
        <v>8225</v>
      </c>
      <c r="AC228" s="82" t="s">
        <v>8235</v>
      </c>
      <c r="AD228" s="77" t="s">
        <v>8278</v>
      </c>
      <c r="AE228" s="80" t="str">
        <f>HYPERLINK("https://twitter.com/perspectiveinvs/status/1663138306345914370")</f>
        <v>https://twitter.com/perspectiveinvs/status/1663138306345914370</v>
      </c>
      <c r="AF228" s="79">
        <v>45075.458865740744</v>
      </c>
      <c r="AG228" s="85">
        <v>45075</v>
      </c>
      <c r="AH228" s="82" t="s">
        <v>8511</v>
      </c>
      <c r="AI228" s="77" t="b">
        <v>0</v>
      </c>
      <c r="AJ228" s="77"/>
      <c r="AK228" s="77"/>
      <c r="AL228" s="77"/>
      <c r="AM228" s="77"/>
      <c r="AN228" s="77"/>
      <c r="AO228" s="77"/>
      <c r="AP228" s="77"/>
      <c r="AQ228" s="77" t="s">
        <v>12235</v>
      </c>
      <c r="AR228" s="77"/>
      <c r="AS228" s="77"/>
      <c r="AT228" s="77"/>
      <c r="AU228" s="77"/>
      <c r="AV228" s="80" t="str">
        <f>HYPERLINK("https://pbs.twimg.com/media/FxSnedUWcAIAlK5.jpg")</f>
        <v>https://pbs.twimg.com/media/FxSnedUWcAIAlK5.jpg</v>
      </c>
      <c r="AW228" s="82" t="s">
        <v>13331</v>
      </c>
      <c r="AX228" s="82" t="s">
        <v>13331</v>
      </c>
      <c r="AY228" s="77"/>
      <c r="AZ228" s="82" t="s">
        <v>17385</v>
      </c>
      <c r="BA228" s="82" t="s">
        <v>17385</v>
      </c>
      <c r="BB228" s="82" t="s">
        <v>17385</v>
      </c>
      <c r="BC228" s="82" t="s">
        <v>13331</v>
      </c>
      <c r="BD228" s="82" t="s">
        <v>17458</v>
      </c>
      <c r="BE228" s="77"/>
      <c r="BF228" s="77"/>
      <c r="BG228" s="77"/>
      <c r="BH228" s="77"/>
      <c r="BI228" s="77"/>
    </row>
    <row r="229" spans="1:61" x14ac:dyDescent="0.25">
      <c r="A229" s="62" t="s">
        <v>266</v>
      </c>
      <c r="B229" s="62" t="s">
        <v>266</v>
      </c>
      <c r="C229" s="63"/>
      <c r="D229" s="64"/>
      <c r="E229" s="65"/>
      <c r="F229" s="66"/>
      <c r="G229" s="63"/>
      <c r="H229" s="67"/>
      <c r="I229" s="68"/>
      <c r="J229" s="68"/>
      <c r="K229" s="32"/>
      <c r="L229" s="75">
        <v>229</v>
      </c>
      <c r="M229" s="75"/>
      <c r="N229" s="70"/>
      <c r="O229" s="77" t="s">
        <v>179</v>
      </c>
      <c r="P229" s="79">
        <v>45118.015555555554</v>
      </c>
      <c r="Q229" s="77" t="s">
        <v>1028</v>
      </c>
      <c r="R229" s="77">
        <v>0</v>
      </c>
      <c r="S229" s="77">
        <v>0</v>
      </c>
      <c r="T229" s="77">
        <v>0</v>
      </c>
      <c r="U229" s="77">
        <v>0</v>
      </c>
      <c r="V229" s="77">
        <v>2</v>
      </c>
      <c r="W229" s="82" t="s">
        <v>4924</v>
      </c>
      <c r="X229" s="80" t="str">
        <f>HYPERLINK("https://pmwnoticias.com.br/acoes-da-dracco-resultam-em-62-prisoes-realizadas-e-mais-de-136-kg-de-drogas-apreendidas/")</f>
        <v>https://pmwnoticias.com.br/acoes-da-dracco-resultam-em-62-prisoes-realizadas-e-mais-de-136-kg-de-drogas-apreendidas/</v>
      </c>
      <c r="Y229" s="77" t="s">
        <v>7053</v>
      </c>
      <c r="Z229" s="77"/>
      <c r="AA229" s="77" t="s">
        <v>7351</v>
      </c>
      <c r="AB229" s="77" t="s">
        <v>8225</v>
      </c>
      <c r="AC229" s="82" t="s">
        <v>8243</v>
      </c>
      <c r="AD229" s="77" t="s">
        <v>8278</v>
      </c>
      <c r="AE229" s="80" t="str">
        <f>HYPERLINK("https://twitter.com/pmw_noticias/status/1678560333114269697")</f>
        <v>https://twitter.com/pmw_noticias/status/1678560333114269697</v>
      </c>
      <c r="AF229" s="79">
        <v>45118.015555555554</v>
      </c>
      <c r="AG229" s="85">
        <v>45118</v>
      </c>
      <c r="AH229" s="82" t="s">
        <v>8512</v>
      </c>
      <c r="AI229" s="77" t="b">
        <v>0</v>
      </c>
      <c r="AJ229" s="77"/>
      <c r="AK229" s="77"/>
      <c r="AL229" s="77"/>
      <c r="AM229" s="77"/>
      <c r="AN229" s="77"/>
      <c r="AO229" s="77"/>
      <c r="AP229" s="77"/>
      <c r="AQ229" s="77" t="s">
        <v>12236</v>
      </c>
      <c r="AR229" s="77"/>
      <c r="AS229" s="77"/>
      <c r="AT229" s="77"/>
      <c r="AU229" s="77"/>
      <c r="AV229" s="80" t="str">
        <f>HYPERLINK("https://pbs.twimg.com/media/F0txukWX0AMHyQq.jpg")</f>
        <v>https://pbs.twimg.com/media/F0txukWX0AMHyQq.jpg</v>
      </c>
      <c r="AW229" s="82" t="s">
        <v>13332</v>
      </c>
      <c r="AX229" s="82" t="s">
        <v>13332</v>
      </c>
      <c r="AY229" s="77"/>
      <c r="AZ229" s="82" t="s">
        <v>17385</v>
      </c>
      <c r="BA229" s="82" t="s">
        <v>17385</v>
      </c>
      <c r="BB229" s="82" t="s">
        <v>17385</v>
      </c>
      <c r="BC229" s="82" t="s">
        <v>13332</v>
      </c>
      <c r="BD229" s="82" t="s">
        <v>17459</v>
      </c>
      <c r="BE229" s="77"/>
      <c r="BF229" s="77"/>
      <c r="BG229" s="77"/>
      <c r="BH229" s="77"/>
      <c r="BI229" s="77"/>
    </row>
    <row r="230" spans="1:61" x14ac:dyDescent="0.25">
      <c r="A230" s="62" t="s">
        <v>267</v>
      </c>
      <c r="B230" s="62" t="s">
        <v>267</v>
      </c>
      <c r="C230" s="63"/>
      <c r="D230" s="64"/>
      <c r="E230" s="65"/>
      <c r="F230" s="66"/>
      <c r="G230" s="63"/>
      <c r="H230" s="67"/>
      <c r="I230" s="68"/>
      <c r="J230" s="68"/>
      <c r="K230" s="32"/>
      <c r="L230" s="75">
        <v>230</v>
      </c>
      <c r="M230" s="75"/>
      <c r="N230" s="70"/>
      <c r="O230" s="77" t="s">
        <v>179</v>
      </c>
      <c r="P230" s="79">
        <v>45190.786527777775</v>
      </c>
      <c r="Q230" s="77" t="s">
        <v>1029</v>
      </c>
      <c r="R230" s="77">
        <v>0</v>
      </c>
      <c r="S230" s="77">
        <v>1</v>
      </c>
      <c r="T230" s="77">
        <v>0</v>
      </c>
      <c r="U230" s="77">
        <v>0</v>
      </c>
      <c r="V230" s="77">
        <v>9</v>
      </c>
      <c r="W230" s="82" t="s">
        <v>4835</v>
      </c>
      <c r="X230" s="80" t="str">
        <f>HYPERLINK("https://culturaalternativa.com.br/investir-em-acoes/")</f>
        <v>https://culturaalternativa.com.br/investir-em-acoes/</v>
      </c>
      <c r="Y230" s="77" t="s">
        <v>7053</v>
      </c>
      <c r="Z230" s="77"/>
      <c r="AA230" s="77"/>
      <c r="AB230" s="77"/>
      <c r="AC230" s="82" t="s">
        <v>8232</v>
      </c>
      <c r="AD230" s="77" t="s">
        <v>8278</v>
      </c>
      <c r="AE230" s="80" t="str">
        <f>HYPERLINK("https://twitter.com/culturaalterna5/status/1704931651866808809")</f>
        <v>https://twitter.com/culturaalterna5/status/1704931651866808809</v>
      </c>
      <c r="AF230" s="79">
        <v>45190.786527777775</v>
      </c>
      <c r="AG230" s="85">
        <v>45190</v>
      </c>
      <c r="AH230" s="82" t="s">
        <v>8513</v>
      </c>
      <c r="AI230" s="77" t="b">
        <v>0</v>
      </c>
      <c r="AJ230" s="77"/>
      <c r="AK230" s="77"/>
      <c r="AL230" s="77"/>
      <c r="AM230" s="77"/>
      <c r="AN230" s="77"/>
      <c r="AO230" s="77"/>
      <c r="AP230" s="77"/>
      <c r="AQ230" s="77"/>
      <c r="AR230" s="77"/>
      <c r="AS230" s="77"/>
      <c r="AT230" s="77"/>
      <c r="AU230" s="77"/>
      <c r="AV230" s="80" t="str">
        <f>HYPERLINK("https://pbs.twimg.com/profile_images/1087763209854038017/NW_ZZdsf_normal.jpg")</f>
        <v>https://pbs.twimg.com/profile_images/1087763209854038017/NW_ZZdsf_normal.jpg</v>
      </c>
      <c r="AW230" s="82" t="s">
        <v>13333</v>
      </c>
      <c r="AX230" s="82" t="s">
        <v>13333</v>
      </c>
      <c r="AY230" s="77"/>
      <c r="AZ230" s="82" t="s">
        <v>17385</v>
      </c>
      <c r="BA230" s="82" t="s">
        <v>17385</v>
      </c>
      <c r="BB230" s="82" t="s">
        <v>17385</v>
      </c>
      <c r="BC230" s="82" t="s">
        <v>13333</v>
      </c>
      <c r="BD230" s="82" t="s">
        <v>17460</v>
      </c>
      <c r="BE230" s="77"/>
      <c r="BF230" s="77"/>
      <c r="BG230" s="77"/>
      <c r="BH230" s="77"/>
      <c r="BI230" s="77"/>
    </row>
    <row r="231" spans="1:61" x14ac:dyDescent="0.25">
      <c r="A231" s="62" t="s">
        <v>268</v>
      </c>
      <c r="B231" s="62" t="s">
        <v>268</v>
      </c>
      <c r="C231" s="63"/>
      <c r="D231" s="64"/>
      <c r="E231" s="65"/>
      <c r="F231" s="66"/>
      <c r="G231" s="63"/>
      <c r="H231" s="67"/>
      <c r="I231" s="68"/>
      <c r="J231" s="68"/>
      <c r="K231" s="32"/>
      <c r="L231" s="75">
        <v>231</v>
      </c>
      <c r="M231" s="75"/>
      <c r="N231" s="70"/>
      <c r="O231" s="77" t="s">
        <v>179</v>
      </c>
      <c r="P231" s="79">
        <v>45162.974745370368</v>
      </c>
      <c r="Q231" s="77" t="s">
        <v>1030</v>
      </c>
      <c r="R231" s="77">
        <v>0</v>
      </c>
      <c r="S231" s="77">
        <v>0</v>
      </c>
      <c r="T231" s="77">
        <v>1</v>
      </c>
      <c r="U231" s="77">
        <v>0</v>
      </c>
      <c r="V231" s="77">
        <v>98</v>
      </c>
      <c r="W231" s="82" t="s">
        <v>4925</v>
      </c>
      <c r="X231" s="77"/>
      <c r="Y231" s="77"/>
      <c r="Z231" s="77"/>
      <c r="AA231" s="77" t="s">
        <v>7352</v>
      </c>
      <c r="AB231" s="77" t="s">
        <v>8225</v>
      </c>
      <c r="AC231" s="82" t="s">
        <v>8232</v>
      </c>
      <c r="AD231" s="77" t="s">
        <v>8278</v>
      </c>
      <c r="AE231" s="80" t="str">
        <f>HYPERLINK("https://twitter.com/bedrock079tm/status/1694852998516666402")</f>
        <v>https://twitter.com/bedrock079tm/status/1694852998516666402</v>
      </c>
      <c r="AF231" s="79">
        <v>45162.974745370368</v>
      </c>
      <c r="AG231" s="85">
        <v>45162</v>
      </c>
      <c r="AH231" s="82" t="s">
        <v>8514</v>
      </c>
      <c r="AI231" s="77" t="b">
        <v>0</v>
      </c>
      <c r="AJ231" s="77"/>
      <c r="AK231" s="77"/>
      <c r="AL231" s="77"/>
      <c r="AM231" s="77"/>
      <c r="AN231" s="77"/>
      <c r="AO231" s="77"/>
      <c r="AP231" s="77"/>
      <c r="AQ231" s="77" t="s">
        <v>12237</v>
      </c>
      <c r="AR231" s="77"/>
      <c r="AS231" s="77"/>
      <c r="AT231" s="77"/>
      <c r="AU231" s="77"/>
      <c r="AV231" s="80" t="str">
        <f>HYPERLINK("https://pbs.twimg.com/media/F4VTXtWW8AEE-oU.jpg")</f>
        <v>https://pbs.twimg.com/media/F4VTXtWW8AEE-oU.jpg</v>
      </c>
      <c r="AW231" s="82" t="s">
        <v>13334</v>
      </c>
      <c r="AX231" s="82" t="s">
        <v>13334</v>
      </c>
      <c r="AY231" s="77"/>
      <c r="AZ231" s="82" t="s">
        <v>17385</v>
      </c>
      <c r="BA231" s="82" t="s">
        <v>17385</v>
      </c>
      <c r="BB231" s="82" t="s">
        <v>17385</v>
      </c>
      <c r="BC231" s="82" t="s">
        <v>13334</v>
      </c>
      <c r="BD231" s="82" t="s">
        <v>17461</v>
      </c>
      <c r="BE231" s="77"/>
      <c r="BF231" s="77"/>
      <c r="BG231" s="77"/>
      <c r="BH231" s="77"/>
      <c r="BI231" s="77"/>
    </row>
    <row r="232" spans="1:61" x14ac:dyDescent="0.25">
      <c r="A232" s="62" t="s">
        <v>268</v>
      </c>
      <c r="B232" s="62" t="s">
        <v>268</v>
      </c>
      <c r="C232" s="63"/>
      <c r="D232" s="64"/>
      <c r="E232" s="65"/>
      <c r="F232" s="66"/>
      <c r="G232" s="63"/>
      <c r="H232" s="67"/>
      <c r="I232" s="68"/>
      <c r="J232" s="68"/>
      <c r="K232" s="32"/>
      <c r="L232" s="75">
        <v>232</v>
      </c>
      <c r="M232" s="75"/>
      <c r="N232" s="70"/>
      <c r="O232" s="77" t="s">
        <v>179</v>
      </c>
      <c r="P232" s="79">
        <v>45162.409791666665</v>
      </c>
      <c r="Q232" s="77" t="s">
        <v>1031</v>
      </c>
      <c r="R232" s="77">
        <v>0</v>
      </c>
      <c r="S232" s="77">
        <v>0</v>
      </c>
      <c r="T232" s="77">
        <v>0</v>
      </c>
      <c r="U232" s="77">
        <v>0</v>
      </c>
      <c r="V232" s="77">
        <v>79</v>
      </c>
      <c r="W232" s="82" t="s">
        <v>4926</v>
      </c>
      <c r="X232" s="77"/>
      <c r="Y232" s="77"/>
      <c r="Z232" s="77"/>
      <c r="AA232" s="77" t="s">
        <v>7353</v>
      </c>
      <c r="AB232" s="77" t="s">
        <v>8225</v>
      </c>
      <c r="AC232" s="82" t="s">
        <v>8234</v>
      </c>
      <c r="AD232" s="77" t="s">
        <v>8278</v>
      </c>
      <c r="AE232" s="80" t="str">
        <f>HYPERLINK("https://twitter.com/bedrock079tm/status/1694648264904073295")</f>
        <v>https://twitter.com/bedrock079tm/status/1694648264904073295</v>
      </c>
      <c r="AF232" s="79">
        <v>45162.409791666665</v>
      </c>
      <c r="AG232" s="85">
        <v>45162</v>
      </c>
      <c r="AH232" s="82" t="s">
        <v>8515</v>
      </c>
      <c r="AI232" s="77" t="b">
        <v>0</v>
      </c>
      <c r="AJ232" s="77"/>
      <c r="AK232" s="77"/>
      <c r="AL232" s="77"/>
      <c r="AM232" s="77"/>
      <c r="AN232" s="77"/>
      <c r="AO232" s="77"/>
      <c r="AP232" s="77"/>
      <c r="AQ232" s="77" t="s">
        <v>12238</v>
      </c>
      <c r="AR232" s="77"/>
      <c r="AS232" s="77"/>
      <c r="AT232" s="77"/>
      <c r="AU232" s="77"/>
      <c r="AV232" s="80" t="str">
        <f>HYPERLINK("https://pbs.twimg.com/media/F4SZncAWEAAEo2R.jpg")</f>
        <v>https://pbs.twimg.com/media/F4SZncAWEAAEo2R.jpg</v>
      </c>
      <c r="AW232" s="82" t="s">
        <v>13335</v>
      </c>
      <c r="AX232" s="82" t="s">
        <v>13335</v>
      </c>
      <c r="AY232" s="77"/>
      <c r="AZ232" s="82" t="s">
        <v>17385</v>
      </c>
      <c r="BA232" s="82" t="s">
        <v>17385</v>
      </c>
      <c r="BB232" s="82" t="s">
        <v>17385</v>
      </c>
      <c r="BC232" s="82" t="s">
        <v>13335</v>
      </c>
      <c r="BD232" s="82" t="s">
        <v>17461</v>
      </c>
      <c r="BE232" s="77"/>
      <c r="BF232" s="77"/>
      <c r="BG232" s="77"/>
      <c r="BH232" s="77"/>
      <c r="BI232" s="77"/>
    </row>
    <row r="233" spans="1:61" x14ac:dyDescent="0.25">
      <c r="A233" s="62" t="s">
        <v>268</v>
      </c>
      <c r="B233" s="62" t="s">
        <v>268</v>
      </c>
      <c r="C233" s="63"/>
      <c r="D233" s="64"/>
      <c r="E233" s="65"/>
      <c r="F233" s="66"/>
      <c r="G233" s="63"/>
      <c r="H233" s="67"/>
      <c r="I233" s="68"/>
      <c r="J233" s="68"/>
      <c r="K233" s="32"/>
      <c r="L233" s="75">
        <v>233</v>
      </c>
      <c r="M233" s="75"/>
      <c r="N233" s="70"/>
      <c r="O233" s="77" t="s">
        <v>179</v>
      </c>
      <c r="P233" s="79">
        <v>45161.978738425925</v>
      </c>
      <c r="Q233" s="77" t="s">
        <v>1032</v>
      </c>
      <c r="R233" s="77">
        <v>0</v>
      </c>
      <c r="S233" s="77">
        <v>0</v>
      </c>
      <c r="T233" s="77">
        <v>0</v>
      </c>
      <c r="U233" s="77">
        <v>0</v>
      </c>
      <c r="V233" s="77">
        <v>45</v>
      </c>
      <c r="W233" s="82" t="s">
        <v>4927</v>
      </c>
      <c r="X233" s="77"/>
      <c r="Y233" s="77"/>
      <c r="Z233" s="77"/>
      <c r="AA233" s="77" t="s">
        <v>7354</v>
      </c>
      <c r="AB233" s="77" t="s">
        <v>8225</v>
      </c>
      <c r="AC233" s="82" t="s">
        <v>8232</v>
      </c>
      <c r="AD233" s="77" t="s">
        <v>8278</v>
      </c>
      <c r="AE233" s="80" t="str">
        <f>HYPERLINK("https://twitter.com/bedrock079tm/status/1694492056851206267")</f>
        <v>https://twitter.com/bedrock079tm/status/1694492056851206267</v>
      </c>
      <c r="AF233" s="79">
        <v>45161.978738425925</v>
      </c>
      <c r="AG233" s="85">
        <v>45161</v>
      </c>
      <c r="AH233" s="82" t="s">
        <v>8516</v>
      </c>
      <c r="AI233" s="77" t="b">
        <v>0</v>
      </c>
      <c r="AJ233" s="77"/>
      <c r="AK233" s="77"/>
      <c r="AL233" s="77"/>
      <c r="AM233" s="77"/>
      <c r="AN233" s="77"/>
      <c r="AO233" s="77"/>
      <c r="AP233" s="77"/>
      <c r="AQ233" s="77" t="s">
        <v>12239</v>
      </c>
      <c r="AR233" s="77"/>
      <c r="AS233" s="77"/>
      <c r="AT233" s="77"/>
      <c r="AU233" s="77"/>
      <c r="AV233" s="80" t="str">
        <f>HYPERLINK("https://pbs.twimg.com/media/F4QK-ioWAAA1tuW.png")</f>
        <v>https://pbs.twimg.com/media/F4QK-ioWAAA1tuW.png</v>
      </c>
      <c r="AW233" s="82" t="s">
        <v>13336</v>
      </c>
      <c r="AX233" s="82" t="s">
        <v>13336</v>
      </c>
      <c r="AY233" s="77"/>
      <c r="AZ233" s="82" t="s">
        <v>17385</v>
      </c>
      <c r="BA233" s="82" t="s">
        <v>17385</v>
      </c>
      <c r="BB233" s="82" t="s">
        <v>17385</v>
      </c>
      <c r="BC233" s="82" t="s">
        <v>13336</v>
      </c>
      <c r="BD233" s="82" t="s">
        <v>17461</v>
      </c>
      <c r="BE233" s="77"/>
      <c r="BF233" s="77"/>
      <c r="BG233" s="77"/>
      <c r="BH233" s="77"/>
      <c r="BI233" s="77"/>
    </row>
    <row r="234" spans="1:61" x14ac:dyDescent="0.25">
      <c r="A234" s="62" t="s">
        <v>268</v>
      </c>
      <c r="B234" s="62" t="s">
        <v>268</v>
      </c>
      <c r="C234" s="63"/>
      <c r="D234" s="64"/>
      <c r="E234" s="65"/>
      <c r="F234" s="66"/>
      <c r="G234" s="63"/>
      <c r="H234" s="67"/>
      <c r="I234" s="68"/>
      <c r="J234" s="68"/>
      <c r="K234" s="32"/>
      <c r="L234" s="75">
        <v>234</v>
      </c>
      <c r="M234" s="75"/>
      <c r="N234" s="70"/>
      <c r="O234" s="77" t="s">
        <v>179</v>
      </c>
      <c r="P234" s="79">
        <v>45169.081909722219</v>
      </c>
      <c r="Q234" s="77" t="s">
        <v>1033</v>
      </c>
      <c r="R234" s="77">
        <v>0</v>
      </c>
      <c r="S234" s="77">
        <v>0</v>
      </c>
      <c r="T234" s="77">
        <v>0</v>
      </c>
      <c r="U234" s="77">
        <v>0</v>
      </c>
      <c r="V234" s="77">
        <v>38</v>
      </c>
      <c r="W234" s="82" t="s">
        <v>4928</v>
      </c>
      <c r="X234" s="77"/>
      <c r="Y234" s="77"/>
      <c r="Z234" s="77"/>
      <c r="AA234" s="77" t="s">
        <v>7355</v>
      </c>
      <c r="AB234" s="77" t="s">
        <v>8225</v>
      </c>
      <c r="AC234" s="82" t="s">
        <v>8234</v>
      </c>
      <c r="AD234" s="77" t="s">
        <v>8278</v>
      </c>
      <c r="AE234" s="80" t="str">
        <f>HYPERLINK("https://twitter.com/bedrock079tm/status/1697066159877542021")</f>
        <v>https://twitter.com/bedrock079tm/status/1697066159877542021</v>
      </c>
      <c r="AF234" s="79">
        <v>45169.081909722219</v>
      </c>
      <c r="AG234" s="85">
        <v>45169</v>
      </c>
      <c r="AH234" s="82" t="s">
        <v>8517</v>
      </c>
      <c r="AI234" s="77" t="b">
        <v>0</v>
      </c>
      <c r="AJ234" s="77"/>
      <c r="AK234" s="77"/>
      <c r="AL234" s="77"/>
      <c r="AM234" s="77"/>
      <c r="AN234" s="77"/>
      <c r="AO234" s="77"/>
      <c r="AP234" s="77"/>
      <c r="AQ234" s="77" t="s">
        <v>12240</v>
      </c>
      <c r="AR234" s="77"/>
      <c r="AS234" s="77"/>
      <c r="AT234" s="77"/>
      <c r="AU234" s="77"/>
      <c r="AV234" s="80" t="str">
        <f>HYPERLINK("https://pbs.twimg.com/media/F40wrY2XsAAHxUy.jpg")</f>
        <v>https://pbs.twimg.com/media/F40wrY2XsAAHxUy.jpg</v>
      </c>
      <c r="AW234" s="82" t="s">
        <v>13337</v>
      </c>
      <c r="AX234" s="82" t="s">
        <v>13337</v>
      </c>
      <c r="AY234" s="77"/>
      <c r="AZ234" s="82" t="s">
        <v>17385</v>
      </c>
      <c r="BA234" s="82" t="s">
        <v>17385</v>
      </c>
      <c r="BB234" s="82" t="s">
        <v>17385</v>
      </c>
      <c r="BC234" s="82" t="s">
        <v>13337</v>
      </c>
      <c r="BD234" s="82" t="s">
        <v>17461</v>
      </c>
      <c r="BE234" s="77"/>
      <c r="BF234" s="77"/>
      <c r="BG234" s="77"/>
      <c r="BH234" s="77"/>
      <c r="BI234" s="77"/>
    </row>
    <row r="235" spans="1:61" x14ac:dyDescent="0.25">
      <c r="A235" s="62" t="s">
        <v>268</v>
      </c>
      <c r="B235" s="62" t="s">
        <v>268</v>
      </c>
      <c r="C235" s="63"/>
      <c r="D235" s="64"/>
      <c r="E235" s="65"/>
      <c r="F235" s="66"/>
      <c r="G235" s="63"/>
      <c r="H235" s="67"/>
      <c r="I235" s="68"/>
      <c r="J235" s="68"/>
      <c r="K235" s="32"/>
      <c r="L235" s="75">
        <v>235</v>
      </c>
      <c r="M235" s="75"/>
      <c r="N235" s="70"/>
      <c r="O235" s="77" t="s">
        <v>179</v>
      </c>
      <c r="P235" s="79">
        <v>45152.972592592596</v>
      </c>
      <c r="Q235" s="77" t="s">
        <v>1034</v>
      </c>
      <c r="R235" s="77">
        <v>0</v>
      </c>
      <c r="S235" s="77">
        <v>0</v>
      </c>
      <c r="T235" s="77">
        <v>0</v>
      </c>
      <c r="U235" s="77">
        <v>0</v>
      </c>
      <c r="V235" s="77">
        <v>41</v>
      </c>
      <c r="W235" s="82" t="s">
        <v>4929</v>
      </c>
      <c r="X235" s="77"/>
      <c r="Y235" s="77"/>
      <c r="Z235" s="77"/>
      <c r="AA235" s="77" t="s">
        <v>7356</v>
      </c>
      <c r="AB235" s="77" t="s">
        <v>8225</v>
      </c>
      <c r="AC235" s="82" t="s">
        <v>8232</v>
      </c>
      <c r="AD235" s="77" t="s">
        <v>8278</v>
      </c>
      <c r="AE235" s="80" t="str">
        <f>HYPERLINK("https://twitter.com/bedrock079tm/status/1691228341322285056")</f>
        <v>https://twitter.com/bedrock079tm/status/1691228341322285056</v>
      </c>
      <c r="AF235" s="79">
        <v>45152.972592592596</v>
      </c>
      <c r="AG235" s="85">
        <v>45152</v>
      </c>
      <c r="AH235" s="82" t="s">
        <v>8518</v>
      </c>
      <c r="AI235" s="77" t="b">
        <v>0</v>
      </c>
      <c r="AJ235" s="77"/>
      <c r="AK235" s="77"/>
      <c r="AL235" s="77"/>
      <c r="AM235" s="77"/>
      <c r="AN235" s="77"/>
      <c r="AO235" s="77"/>
      <c r="AP235" s="77"/>
      <c r="AQ235" s="77" t="s">
        <v>12241</v>
      </c>
      <c r="AR235" s="77"/>
      <c r="AS235" s="77"/>
      <c r="AT235" s="77"/>
      <c r="AU235" s="77"/>
      <c r="AV235" s="80" t="str">
        <f>HYPERLINK("https://pbs.twimg.com/media/F3hywwxXUAAhJNi.png")</f>
        <v>https://pbs.twimg.com/media/F3hywwxXUAAhJNi.png</v>
      </c>
      <c r="AW235" s="82" t="s">
        <v>13338</v>
      </c>
      <c r="AX235" s="82" t="s">
        <v>13338</v>
      </c>
      <c r="AY235" s="77"/>
      <c r="AZ235" s="82" t="s">
        <v>17385</v>
      </c>
      <c r="BA235" s="82" t="s">
        <v>17385</v>
      </c>
      <c r="BB235" s="82" t="s">
        <v>17385</v>
      </c>
      <c r="BC235" s="82" t="s">
        <v>13338</v>
      </c>
      <c r="BD235" s="82" t="s">
        <v>17461</v>
      </c>
      <c r="BE235" s="77"/>
      <c r="BF235" s="77"/>
      <c r="BG235" s="77"/>
      <c r="BH235" s="77"/>
      <c r="BI235" s="77"/>
    </row>
    <row r="236" spans="1:61" x14ac:dyDescent="0.25">
      <c r="A236" s="62" t="s">
        <v>268</v>
      </c>
      <c r="B236" s="62" t="s">
        <v>268</v>
      </c>
      <c r="C236" s="63"/>
      <c r="D236" s="64"/>
      <c r="E236" s="65"/>
      <c r="F236" s="66"/>
      <c r="G236" s="63"/>
      <c r="H236" s="67"/>
      <c r="I236" s="68"/>
      <c r="J236" s="68"/>
      <c r="K236" s="32"/>
      <c r="L236" s="75">
        <v>236</v>
      </c>
      <c r="M236" s="75"/>
      <c r="N236" s="70"/>
      <c r="O236" s="77" t="s">
        <v>179</v>
      </c>
      <c r="P236" s="79">
        <v>45180.984074074076</v>
      </c>
      <c r="Q236" s="77" t="s">
        <v>1035</v>
      </c>
      <c r="R236" s="77">
        <v>0</v>
      </c>
      <c r="S236" s="77">
        <v>0</v>
      </c>
      <c r="T236" s="77">
        <v>0</v>
      </c>
      <c r="U236" s="77">
        <v>0</v>
      </c>
      <c r="V236" s="77">
        <v>118</v>
      </c>
      <c r="W236" s="82" t="s">
        <v>4930</v>
      </c>
      <c r="X236" s="77"/>
      <c r="Y236" s="77"/>
      <c r="Z236" s="77"/>
      <c r="AA236" s="77" t="s">
        <v>7357</v>
      </c>
      <c r="AB236" s="77" t="s">
        <v>8225</v>
      </c>
      <c r="AC236" s="82" t="s">
        <v>8232</v>
      </c>
      <c r="AD236" s="77" t="s">
        <v>8278</v>
      </c>
      <c r="AE236" s="80" t="str">
        <f>HYPERLINK("https://twitter.com/bedrock079tm/status/1701379360563855820")</f>
        <v>https://twitter.com/bedrock079tm/status/1701379360563855820</v>
      </c>
      <c r="AF236" s="79">
        <v>45180.984074074076</v>
      </c>
      <c r="AG236" s="85">
        <v>45180</v>
      </c>
      <c r="AH236" s="82" t="s">
        <v>8519</v>
      </c>
      <c r="AI236" s="77" t="b">
        <v>0</v>
      </c>
      <c r="AJ236" s="77"/>
      <c r="AK236" s="77"/>
      <c r="AL236" s="77"/>
      <c r="AM236" s="77"/>
      <c r="AN236" s="77"/>
      <c r="AO236" s="77"/>
      <c r="AP236" s="77"/>
      <c r="AQ236" s="77" t="s">
        <v>12242</v>
      </c>
      <c r="AR236" s="77"/>
      <c r="AS236" s="77"/>
      <c r="AT236" s="77"/>
      <c r="AU236" s="77"/>
      <c r="AV236" s="80" t="str">
        <f>HYPERLINK("https://pbs.twimg.com/media/F5yC-QyWAAArxCv.jpg")</f>
        <v>https://pbs.twimg.com/media/F5yC-QyWAAArxCv.jpg</v>
      </c>
      <c r="AW236" s="82" t="s">
        <v>13339</v>
      </c>
      <c r="AX236" s="82" t="s">
        <v>13339</v>
      </c>
      <c r="AY236" s="77"/>
      <c r="AZ236" s="82" t="s">
        <v>17385</v>
      </c>
      <c r="BA236" s="82" t="s">
        <v>17385</v>
      </c>
      <c r="BB236" s="82" t="s">
        <v>17385</v>
      </c>
      <c r="BC236" s="82" t="s">
        <v>13339</v>
      </c>
      <c r="BD236" s="82" t="s">
        <v>17461</v>
      </c>
      <c r="BE236" s="77"/>
      <c r="BF236" s="77"/>
      <c r="BG236" s="77"/>
      <c r="BH236" s="77"/>
      <c r="BI236" s="77"/>
    </row>
    <row r="237" spans="1:61" x14ac:dyDescent="0.25">
      <c r="A237" s="62" t="s">
        <v>269</v>
      </c>
      <c r="B237" s="62" t="s">
        <v>269</v>
      </c>
      <c r="C237" s="63"/>
      <c r="D237" s="64"/>
      <c r="E237" s="65"/>
      <c r="F237" s="66"/>
      <c r="G237" s="63"/>
      <c r="H237" s="67"/>
      <c r="I237" s="68"/>
      <c r="J237" s="68"/>
      <c r="K237" s="32"/>
      <c r="L237" s="75">
        <v>237</v>
      </c>
      <c r="M237" s="75"/>
      <c r="N237" s="70"/>
      <c r="O237" s="77" t="s">
        <v>179</v>
      </c>
      <c r="P237" s="79">
        <v>45083.501527777778</v>
      </c>
      <c r="Q237" s="77" t="s">
        <v>1036</v>
      </c>
      <c r="R237" s="77">
        <v>0</v>
      </c>
      <c r="S237" s="77">
        <v>0</v>
      </c>
      <c r="T237" s="77">
        <v>0</v>
      </c>
      <c r="U237" s="77">
        <v>0</v>
      </c>
      <c r="V237" s="77">
        <v>32</v>
      </c>
      <c r="W237" s="82" t="s">
        <v>4931</v>
      </c>
      <c r="X237" s="77"/>
      <c r="Y237" s="77"/>
      <c r="Z237" s="77"/>
      <c r="AA237" s="77"/>
      <c r="AB237" s="77"/>
      <c r="AC237" s="82" t="s">
        <v>8234</v>
      </c>
      <c r="AD237" s="77" t="s">
        <v>8278</v>
      </c>
      <c r="AE237" s="80" t="str">
        <f>HYPERLINK("https://twitter.com/viniciocarlos_/status/1666052867608793091")</f>
        <v>https://twitter.com/viniciocarlos_/status/1666052867608793091</v>
      </c>
      <c r="AF237" s="79">
        <v>45083.501527777778</v>
      </c>
      <c r="AG237" s="85">
        <v>45083</v>
      </c>
      <c r="AH237" s="82" t="s">
        <v>8520</v>
      </c>
      <c r="AI237" s="77"/>
      <c r="AJ237" s="77"/>
      <c r="AK237" s="77"/>
      <c r="AL237" s="77"/>
      <c r="AM237" s="77"/>
      <c r="AN237" s="77"/>
      <c r="AO237" s="77"/>
      <c r="AP237" s="77"/>
      <c r="AQ237" s="77"/>
      <c r="AR237" s="77"/>
      <c r="AS237" s="77"/>
      <c r="AT237" s="77"/>
      <c r="AU237" s="77"/>
      <c r="AV237" s="80" t="str">
        <f>HYPERLINK("https://pbs.twimg.com/profile_images/1446125915314872323/zfM8TwOY_normal.jpg")</f>
        <v>https://pbs.twimg.com/profile_images/1446125915314872323/zfM8TwOY_normal.jpg</v>
      </c>
      <c r="AW237" s="82" t="s">
        <v>13340</v>
      </c>
      <c r="AX237" s="82" t="s">
        <v>13340</v>
      </c>
      <c r="AY237" s="77"/>
      <c r="AZ237" s="82" t="s">
        <v>17385</v>
      </c>
      <c r="BA237" s="82" t="s">
        <v>17385</v>
      </c>
      <c r="BB237" s="82" t="s">
        <v>17385</v>
      </c>
      <c r="BC237" s="82" t="s">
        <v>13340</v>
      </c>
      <c r="BD237" s="82" t="s">
        <v>17462</v>
      </c>
      <c r="BE237" s="77"/>
      <c r="BF237" s="77"/>
      <c r="BG237" s="77"/>
      <c r="BH237" s="77"/>
      <c r="BI237" s="77"/>
    </row>
    <row r="238" spans="1:61" x14ac:dyDescent="0.25">
      <c r="A238" s="62" t="s">
        <v>270</v>
      </c>
      <c r="B238" s="62" t="s">
        <v>270</v>
      </c>
      <c r="C238" s="63"/>
      <c r="D238" s="64"/>
      <c r="E238" s="65"/>
      <c r="F238" s="66"/>
      <c r="G238" s="63"/>
      <c r="H238" s="67"/>
      <c r="I238" s="68"/>
      <c r="J238" s="68"/>
      <c r="K238" s="32"/>
      <c r="L238" s="75">
        <v>238</v>
      </c>
      <c r="M238" s="75"/>
      <c r="N238" s="70"/>
      <c r="O238" s="77" t="s">
        <v>179</v>
      </c>
      <c r="P238" s="79">
        <v>45141.604016203702</v>
      </c>
      <c r="Q238" s="77" t="s">
        <v>1037</v>
      </c>
      <c r="R238" s="77">
        <v>0</v>
      </c>
      <c r="S238" s="77">
        <v>0</v>
      </c>
      <c r="T238" s="77">
        <v>1</v>
      </c>
      <c r="U238" s="77">
        <v>0</v>
      </c>
      <c r="V238" s="77">
        <v>260</v>
      </c>
      <c r="W238" s="82" t="s">
        <v>4932</v>
      </c>
      <c r="X238" s="77"/>
      <c r="Y238" s="77"/>
      <c r="Z238" s="77"/>
      <c r="AA238" s="77" t="s">
        <v>7358</v>
      </c>
      <c r="AB238" s="77" t="s">
        <v>8225</v>
      </c>
      <c r="AC238" s="82" t="s">
        <v>8232</v>
      </c>
      <c r="AD238" s="77" t="s">
        <v>8278</v>
      </c>
      <c r="AE238" s="80" t="str">
        <f>HYPERLINK("https://twitter.com/sxidiomas/status/1687108504853897218")</f>
        <v>https://twitter.com/sxidiomas/status/1687108504853897218</v>
      </c>
      <c r="AF238" s="79">
        <v>45141.604016203702</v>
      </c>
      <c r="AG238" s="85">
        <v>45141</v>
      </c>
      <c r="AH238" s="82" t="s">
        <v>8521</v>
      </c>
      <c r="AI238" s="77" t="b">
        <v>0</v>
      </c>
      <c r="AJ238" s="77"/>
      <c r="AK238" s="77"/>
      <c r="AL238" s="77"/>
      <c r="AM238" s="77"/>
      <c r="AN238" s="77"/>
      <c r="AO238" s="77"/>
      <c r="AP238" s="77"/>
      <c r="AQ238" s="77" t="s">
        <v>12243</v>
      </c>
      <c r="AR238" s="77"/>
      <c r="AS238" s="77"/>
      <c r="AT238" s="77"/>
      <c r="AU238" s="77"/>
      <c r="AV238" s="80" t="str">
        <f>HYPERLINK("https://pbs.twimg.com/media/F2nQOPgawAM04fe.jpg")</f>
        <v>https://pbs.twimg.com/media/F2nQOPgawAM04fe.jpg</v>
      </c>
      <c r="AW238" s="82" t="s">
        <v>13341</v>
      </c>
      <c r="AX238" s="82" t="s">
        <v>13341</v>
      </c>
      <c r="AY238" s="77"/>
      <c r="AZ238" s="82" t="s">
        <v>17385</v>
      </c>
      <c r="BA238" s="82" t="s">
        <v>17385</v>
      </c>
      <c r="BB238" s="82" t="s">
        <v>17385</v>
      </c>
      <c r="BC238" s="82" t="s">
        <v>13341</v>
      </c>
      <c r="BD238" s="82" t="s">
        <v>17463</v>
      </c>
      <c r="BE238" s="77"/>
      <c r="BF238" s="77"/>
      <c r="BG238" s="77"/>
      <c r="BH238" s="77"/>
      <c r="BI238" s="77"/>
    </row>
    <row r="239" spans="1:61" x14ac:dyDescent="0.25">
      <c r="A239" s="62" t="s">
        <v>271</v>
      </c>
      <c r="B239" s="62" t="s">
        <v>271</v>
      </c>
      <c r="C239" s="63"/>
      <c r="D239" s="64"/>
      <c r="E239" s="65"/>
      <c r="F239" s="66"/>
      <c r="G239" s="63"/>
      <c r="H239" s="67"/>
      <c r="I239" s="68"/>
      <c r="J239" s="68"/>
      <c r="K239" s="32"/>
      <c r="L239" s="75">
        <v>239</v>
      </c>
      <c r="M239" s="75"/>
      <c r="N239" s="70"/>
      <c r="O239" s="77" t="s">
        <v>179</v>
      </c>
      <c r="P239" s="79">
        <v>45156.542303240742</v>
      </c>
      <c r="Q239" s="77" t="s">
        <v>1038</v>
      </c>
      <c r="R239" s="77">
        <v>0</v>
      </c>
      <c r="S239" s="77">
        <v>0</v>
      </c>
      <c r="T239" s="77">
        <v>0</v>
      </c>
      <c r="U239" s="77">
        <v>0</v>
      </c>
      <c r="V239" s="77">
        <v>21</v>
      </c>
      <c r="W239" s="82" t="s">
        <v>4933</v>
      </c>
      <c r="X239" s="80" t="str">
        <f>HYPERLINK("https://tinyurl.com/2xnn4moq")</f>
        <v>https://tinyurl.com/2xnn4moq</v>
      </c>
      <c r="Y239" s="77" t="s">
        <v>7068</v>
      </c>
      <c r="Z239" s="77"/>
      <c r="AA239" s="77" t="s">
        <v>7359</v>
      </c>
      <c r="AB239" s="77" t="s">
        <v>8225</v>
      </c>
      <c r="AC239" s="82" t="s">
        <v>8244</v>
      </c>
      <c r="AD239" s="77" t="s">
        <v>8278</v>
      </c>
      <c r="AE239" s="80" t="str">
        <f>HYPERLINK("https://twitter.com/inteligentbolsa/status/1692521958376611920")</f>
        <v>https://twitter.com/inteligentbolsa/status/1692521958376611920</v>
      </c>
      <c r="AF239" s="79">
        <v>45156.542303240742</v>
      </c>
      <c r="AG239" s="85">
        <v>45156</v>
      </c>
      <c r="AH239" s="82" t="s">
        <v>8522</v>
      </c>
      <c r="AI239" s="77" t="b">
        <v>0</v>
      </c>
      <c r="AJ239" s="77"/>
      <c r="AK239" s="77"/>
      <c r="AL239" s="77"/>
      <c r="AM239" s="77"/>
      <c r="AN239" s="77"/>
      <c r="AO239" s="77"/>
      <c r="AP239" s="77"/>
      <c r="AQ239" s="77" t="s">
        <v>12244</v>
      </c>
      <c r="AR239" s="77"/>
      <c r="AS239" s="77"/>
      <c r="AT239" s="77"/>
      <c r="AU239" s="77"/>
      <c r="AV239" s="80" t="str">
        <f>HYPERLINK("https://pbs.twimg.com/media/F30LwCRXkAAVpxK.jpg")</f>
        <v>https://pbs.twimg.com/media/F30LwCRXkAAVpxK.jpg</v>
      </c>
      <c r="AW239" s="82" t="s">
        <v>13342</v>
      </c>
      <c r="AX239" s="82" t="s">
        <v>13342</v>
      </c>
      <c r="AY239" s="77"/>
      <c r="AZ239" s="82" t="s">
        <v>17385</v>
      </c>
      <c r="BA239" s="82" t="s">
        <v>17385</v>
      </c>
      <c r="BB239" s="82" t="s">
        <v>17385</v>
      </c>
      <c r="BC239" s="82" t="s">
        <v>13342</v>
      </c>
      <c r="BD239" s="82" t="s">
        <v>17464</v>
      </c>
      <c r="BE239" s="77"/>
      <c r="BF239" s="77"/>
      <c r="BG239" s="77"/>
      <c r="BH239" s="77"/>
      <c r="BI239" s="77"/>
    </row>
    <row r="240" spans="1:61" x14ac:dyDescent="0.25">
      <c r="A240" s="62" t="s">
        <v>271</v>
      </c>
      <c r="B240" s="62" t="s">
        <v>271</v>
      </c>
      <c r="C240" s="63"/>
      <c r="D240" s="64"/>
      <c r="E240" s="65"/>
      <c r="F240" s="66"/>
      <c r="G240" s="63"/>
      <c r="H240" s="67"/>
      <c r="I240" s="68"/>
      <c r="J240" s="68"/>
      <c r="K240" s="32"/>
      <c r="L240" s="75">
        <v>240</v>
      </c>
      <c r="M240" s="75"/>
      <c r="N240" s="70"/>
      <c r="O240" s="77" t="s">
        <v>179</v>
      </c>
      <c r="P240" s="79">
        <v>45170.056655092594</v>
      </c>
      <c r="Q240" s="77" t="s">
        <v>1039</v>
      </c>
      <c r="R240" s="77">
        <v>0</v>
      </c>
      <c r="S240" s="77">
        <v>0</v>
      </c>
      <c r="T240" s="77">
        <v>0</v>
      </c>
      <c r="U240" s="77">
        <v>0</v>
      </c>
      <c r="V240" s="77">
        <v>140</v>
      </c>
      <c r="W240" s="82" t="s">
        <v>4934</v>
      </c>
      <c r="X240" s="80" t="str">
        <f>HYPERLINK("https://tinyurl.com/2yqrles5")</f>
        <v>https://tinyurl.com/2yqrles5</v>
      </c>
      <c r="Y240" s="77" t="s">
        <v>7068</v>
      </c>
      <c r="Z240" s="77"/>
      <c r="AA240" s="77" t="s">
        <v>7360</v>
      </c>
      <c r="AB240" s="77" t="s">
        <v>8225</v>
      </c>
      <c r="AC240" s="82" t="s">
        <v>8244</v>
      </c>
      <c r="AD240" s="77" t="s">
        <v>8278</v>
      </c>
      <c r="AE240" s="80" t="str">
        <f>HYPERLINK("https://twitter.com/inteligentbolsa/status/1697419398397493456")</f>
        <v>https://twitter.com/inteligentbolsa/status/1697419398397493456</v>
      </c>
      <c r="AF240" s="79">
        <v>45170.056655092594</v>
      </c>
      <c r="AG240" s="85">
        <v>45170</v>
      </c>
      <c r="AH240" s="82" t="s">
        <v>8523</v>
      </c>
      <c r="AI240" s="77" t="b">
        <v>0</v>
      </c>
      <c r="AJ240" s="77"/>
      <c r="AK240" s="77"/>
      <c r="AL240" s="77"/>
      <c r="AM240" s="77"/>
      <c r="AN240" s="77"/>
      <c r="AO240" s="77"/>
      <c r="AP240" s="77"/>
      <c r="AQ240" s="77" t="s">
        <v>12245</v>
      </c>
      <c r="AR240" s="77"/>
      <c r="AS240" s="77"/>
      <c r="AT240" s="77"/>
      <c r="AU240" s="77"/>
      <c r="AV240" s="80" t="str">
        <f>HYPERLINK("https://pbs.twimg.com/media/F45x8jnXEAENdv4.jpg")</f>
        <v>https://pbs.twimg.com/media/F45x8jnXEAENdv4.jpg</v>
      </c>
      <c r="AW240" s="82" t="s">
        <v>13343</v>
      </c>
      <c r="AX240" s="82" t="s">
        <v>13343</v>
      </c>
      <c r="AY240" s="77"/>
      <c r="AZ240" s="82" t="s">
        <v>17385</v>
      </c>
      <c r="BA240" s="82" t="s">
        <v>17385</v>
      </c>
      <c r="BB240" s="82" t="s">
        <v>17385</v>
      </c>
      <c r="BC240" s="82" t="s">
        <v>13343</v>
      </c>
      <c r="BD240" s="82" t="s">
        <v>17464</v>
      </c>
      <c r="BE240" s="77"/>
      <c r="BF240" s="77"/>
      <c r="BG240" s="77"/>
      <c r="BH240" s="77"/>
      <c r="BI240" s="77"/>
    </row>
    <row r="241" spans="1:61" x14ac:dyDescent="0.25">
      <c r="A241" s="62" t="s">
        <v>272</v>
      </c>
      <c r="B241" s="62" t="s">
        <v>272</v>
      </c>
      <c r="C241" s="63"/>
      <c r="D241" s="64"/>
      <c r="E241" s="65"/>
      <c r="F241" s="66"/>
      <c r="G241" s="63"/>
      <c r="H241" s="67"/>
      <c r="I241" s="68"/>
      <c r="J241" s="68"/>
      <c r="K241" s="32"/>
      <c r="L241" s="75">
        <v>241</v>
      </c>
      <c r="M241" s="75"/>
      <c r="N241" s="70"/>
      <c r="O241" s="77" t="s">
        <v>179</v>
      </c>
      <c r="P241" s="79">
        <v>45090.370949074073</v>
      </c>
      <c r="Q241" s="77" t="s">
        <v>1040</v>
      </c>
      <c r="R241" s="77">
        <v>0</v>
      </c>
      <c r="S241" s="77">
        <v>0</v>
      </c>
      <c r="T241" s="77">
        <v>0</v>
      </c>
      <c r="U241" s="77">
        <v>0</v>
      </c>
      <c r="V241" s="77">
        <v>4</v>
      </c>
      <c r="W241" s="82" t="s">
        <v>4935</v>
      </c>
      <c r="X241" s="80" t="str">
        <f>HYPERLINK("https://aleatoriando.com.br/conheca-os-tipos-de-investimentos-financeiros-disponiveis/")</f>
        <v>https://aleatoriando.com.br/conheca-os-tipos-de-investimentos-financeiros-disponiveis/</v>
      </c>
      <c r="Y241" s="77" t="s">
        <v>7053</v>
      </c>
      <c r="Z241" s="77"/>
      <c r="AA241" s="77"/>
      <c r="AB241" s="77"/>
      <c r="AC241" s="82" t="s">
        <v>8245</v>
      </c>
      <c r="AD241" s="77" t="s">
        <v>8278</v>
      </c>
      <c r="AE241" s="80" t="str">
        <f>HYPERLINK("https://twitter.com/aleatoriando_o/status/1668542262685450240")</f>
        <v>https://twitter.com/aleatoriando_o/status/1668542262685450240</v>
      </c>
      <c r="AF241" s="79">
        <v>45090.370949074073</v>
      </c>
      <c r="AG241" s="85">
        <v>45090</v>
      </c>
      <c r="AH241" s="82" t="s">
        <v>8524</v>
      </c>
      <c r="AI241" s="77" t="b">
        <v>0</v>
      </c>
      <c r="AJ241" s="77"/>
      <c r="AK241" s="77"/>
      <c r="AL241" s="77"/>
      <c r="AM241" s="77"/>
      <c r="AN241" s="77"/>
      <c r="AO241" s="77"/>
      <c r="AP241" s="77"/>
      <c r="AQ241" s="77"/>
      <c r="AR241" s="77"/>
      <c r="AS241" s="77"/>
      <c r="AT241" s="77"/>
      <c r="AU241" s="77"/>
      <c r="AV241" s="80" t="str">
        <f>HYPERLINK("https://pbs.twimg.com/profile_images/1661790216250687500/purhJhH7_normal.jpg")</f>
        <v>https://pbs.twimg.com/profile_images/1661790216250687500/purhJhH7_normal.jpg</v>
      </c>
      <c r="AW241" s="82" t="s">
        <v>13344</v>
      </c>
      <c r="AX241" s="82" t="s">
        <v>13344</v>
      </c>
      <c r="AY241" s="77"/>
      <c r="AZ241" s="82" t="s">
        <v>17385</v>
      </c>
      <c r="BA241" s="82" t="s">
        <v>17385</v>
      </c>
      <c r="BB241" s="82" t="s">
        <v>17385</v>
      </c>
      <c r="BC241" s="82" t="s">
        <v>13344</v>
      </c>
      <c r="BD241" s="82" t="s">
        <v>17465</v>
      </c>
      <c r="BE241" s="77"/>
      <c r="BF241" s="77"/>
      <c r="BG241" s="77"/>
      <c r="BH241" s="77"/>
      <c r="BI241" s="77"/>
    </row>
    <row r="242" spans="1:61" x14ac:dyDescent="0.25">
      <c r="A242" s="62" t="s">
        <v>272</v>
      </c>
      <c r="B242" s="62" t="s">
        <v>272</v>
      </c>
      <c r="C242" s="63"/>
      <c r="D242" s="64"/>
      <c r="E242" s="65"/>
      <c r="F242" s="66"/>
      <c r="G242" s="63"/>
      <c r="H242" s="67"/>
      <c r="I242" s="68"/>
      <c r="J242" s="68"/>
      <c r="K242" s="32"/>
      <c r="L242" s="75">
        <v>242</v>
      </c>
      <c r="M242" s="75"/>
      <c r="N242" s="70"/>
      <c r="O242" s="77" t="s">
        <v>179</v>
      </c>
      <c r="P242" s="79">
        <v>45090.370787037034</v>
      </c>
      <c r="Q242" s="77" t="s">
        <v>1041</v>
      </c>
      <c r="R242" s="77">
        <v>0</v>
      </c>
      <c r="S242" s="77">
        <v>0</v>
      </c>
      <c r="T242" s="77">
        <v>0</v>
      </c>
      <c r="U242" s="77">
        <v>0</v>
      </c>
      <c r="V242" s="77">
        <v>4</v>
      </c>
      <c r="W242" s="82" t="s">
        <v>4936</v>
      </c>
      <c r="X242" s="80" t="str">
        <f>HYPERLINK("https://aleatoriando.com.br/o-que-e-o-mercado-financeiro-e-como-ele-funciona/")</f>
        <v>https://aleatoriando.com.br/o-que-e-o-mercado-financeiro-e-como-ele-funciona/</v>
      </c>
      <c r="Y242" s="77" t="s">
        <v>7053</v>
      </c>
      <c r="Z242" s="77"/>
      <c r="AA242" s="77"/>
      <c r="AB242" s="77"/>
      <c r="AC242" s="82" t="s">
        <v>8245</v>
      </c>
      <c r="AD242" s="77" t="s">
        <v>8278</v>
      </c>
      <c r="AE242" s="80" t="str">
        <f>HYPERLINK("https://twitter.com/aleatoriando_o/status/1668542205873487874")</f>
        <v>https://twitter.com/aleatoriando_o/status/1668542205873487874</v>
      </c>
      <c r="AF242" s="79">
        <v>45090.370787037034</v>
      </c>
      <c r="AG242" s="85">
        <v>45090</v>
      </c>
      <c r="AH242" s="82" t="s">
        <v>8525</v>
      </c>
      <c r="AI242" s="77" t="b">
        <v>0</v>
      </c>
      <c r="AJ242" s="77"/>
      <c r="AK242" s="77"/>
      <c r="AL242" s="77"/>
      <c r="AM242" s="77"/>
      <c r="AN242" s="77"/>
      <c r="AO242" s="77"/>
      <c r="AP242" s="77"/>
      <c r="AQ242" s="77"/>
      <c r="AR242" s="77"/>
      <c r="AS242" s="77"/>
      <c r="AT242" s="77"/>
      <c r="AU242" s="77"/>
      <c r="AV242" s="80" t="str">
        <f>HYPERLINK("https://pbs.twimg.com/profile_images/1661790216250687500/purhJhH7_normal.jpg")</f>
        <v>https://pbs.twimg.com/profile_images/1661790216250687500/purhJhH7_normal.jpg</v>
      </c>
      <c r="AW242" s="82" t="s">
        <v>13345</v>
      </c>
      <c r="AX242" s="82" t="s">
        <v>13345</v>
      </c>
      <c r="AY242" s="77"/>
      <c r="AZ242" s="82" t="s">
        <v>17385</v>
      </c>
      <c r="BA242" s="82" t="s">
        <v>17385</v>
      </c>
      <c r="BB242" s="82" t="s">
        <v>17385</v>
      </c>
      <c r="BC242" s="82" t="s">
        <v>13345</v>
      </c>
      <c r="BD242" s="82" t="s">
        <v>17465</v>
      </c>
      <c r="BE242" s="77"/>
      <c r="BF242" s="77"/>
      <c r="BG242" s="77"/>
      <c r="BH242" s="77"/>
      <c r="BI242" s="77"/>
    </row>
    <row r="243" spans="1:61" x14ac:dyDescent="0.25">
      <c r="A243" s="62" t="s">
        <v>272</v>
      </c>
      <c r="B243" s="62" t="s">
        <v>272</v>
      </c>
      <c r="C243" s="63"/>
      <c r="D243" s="64"/>
      <c r="E243" s="65"/>
      <c r="F243" s="66"/>
      <c r="G243" s="63"/>
      <c r="H243" s="67"/>
      <c r="I243" s="68"/>
      <c r="J243" s="68"/>
      <c r="K243" s="32"/>
      <c r="L243" s="75">
        <v>243</v>
      </c>
      <c r="M243" s="75"/>
      <c r="N243" s="70"/>
      <c r="O243" s="77" t="s">
        <v>179</v>
      </c>
      <c r="P243" s="79">
        <v>45087.370868055557</v>
      </c>
      <c r="Q243" s="77" t="s">
        <v>1042</v>
      </c>
      <c r="R243" s="77">
        <v>0</v>
      </c>
      <c r="S243" s="77">
        <v>0</v>
      </c>
      <c r="T243" s="77">
        <v>0</v>
      </c>
      <c r="U243" s="77">
        <v>0</v>
      </c>
      <c r="V243" s="77">
        <v>2</v>
      </c>
      <c r="W243" s="82" t="s">
        <v>4937</v>
      </c>
      <c r="X243" s="80" t="str">
        <f>HYPERLINK("https://aleatoriando.com.br/bolsa-de-valores-o-que-e-e-como-funciona/")</f>
        <v>https://aleatoriando.com.br/bolsa-de-valores-o-que-e-e-como-funciona/</v>
      </c>
      <c r="Y243" s="77" t="s">
        <v>7053</v>
      </c>
      <c r="Z243" s="77"/>
      <c r="AA243" s="77"/>
      <c r="AB243" s="77"/>
      <c r="AC243" s="82" t="s">
        <v>8245</v>
      </c>
      <c r="AD243" s="77" t="s">
        <v>8278</v>
      </c>
      <c r="AE243" s="80" t="str">
        <f>HYPERLINK("https://twitter.com/aleatoriando_o/status/1667455072626671617")</f>
        <v>https://twitter.com/aleatoriando_o/status/1667455072626671617</v>
      </c>
      <c r="AF243" s="79">
        <v>45087.370868055557</v>
      </c>
      <c r="AG243" s="85">
        <v>45087</v>
      </c>
      <c r="AH243" s="82" t="s">
        <v>8526</v>
      </c>
      <c r="AI243" s="77" t="b">
        <v>0</v>
      </c>
      <c r="AJ243" s="77"/>
      <c r="AK243" s="77"/>
      <c r="AL243" s="77"/>
      <c r="AM243" s="77"/>
      <c r="AN243" s="77"/>
      <c r="AO243" s="77"/>
      <c r="AP243" s="77"/>
      <c r="AQ243" s="77"/>
      <c r="AR243" s="77"/>
      <c r="AS243" s="77"/>
      <c r="AT243" s="77"/>
      <c r="AU243" s="77"/>
      <c r="AV243" s="80" t="str">
        <f>HYPERLINK("https://pbs.twimg.com/profile_images/1661790216250687500/purhJhH7_normal.jpg")</f>
        <v>https://pbs.twimg.com/profile_images/1661790216250687500/purhJhH7_normal.jpg</v>
      </c>
      <c r="AW243" s="82" t="s">
        <v>13346</v>
      </c>
      <c r="AX243" s="82" t="s">
        <v>13346</v>
      </c>
      <c r="AY243" s="77"/>
      <c r="AZ243" s="82" t="s">
        <v>17385</v>
      </c>
      <c r="BA243" s="82" t="s">
        <v>17385</v>
      </c>
      <c r="BB243" s="82" t="s">
        <v>17385</v>
      </c>
      <c r="BC243" s="82" t="s">
        <v>13346</v>
      </c>
      <c r="BD243" s="82" t="s">
        <v>17465</v>
      </c>
      <c r="BE243" s="77"/>
      <c r="BF243" s="77"/>
      <c r="BG243" s="77"/>
      <c r="BH243" s="77"/>
      <c r="BI243" s="77"/>
    </row>
    <row r="244" spans="1:61" x14ac:dyDescent="0.25">
      <c r="A244" s="62" t="s">
        <v>272</v>
      </c>
      <c r="B244" s="62" t="s">
        <v>272</v>
      </c>
      <c r="C244" s="63"/>
      <c r="D244" s="64"/>
      <c r="E244" s="65"/>
      <c r="F244" s="66"/>
      <c r="G244" s="63"/>
      <c r="H244" s="67"/>
      <c r="I244" s="68"/>
      <c r="J244" s="68"/>
      <c r="K244" s="32"/>
      <c r="L244" s="75">
        <v>244</v>
      </c>
      <c r="M244" s="75"/>
      <c r="N244" s="70"/>
      <c r="O244" s="77" t="s">
        <v>179</v>
      </c>
      <c r="P244" s="79">
        <v>45089.370937500003</v>
      </c>
      <c r="Q244" s="77" t="s">
        <v>1043</v>
      </c>
      <c r="R244" s="77">
        <v>0</v>
      </c>
      <c r="S244" s="77">
        <v>0</v>
      </c>
      <c r="T244" s="77">
        <v>0</v>
      </c>
      <c r="U244" s="77">
        <v>0</v>
      </c>
      <c r="V244" s="77">
        <v>4</v>
      </c>
      <c r="W244" s="82" t="s">
        <v>4938</v>
      </c>
      <c r="X244" s="80" t="str">
        <f>HYPERLINK("https://aleatoriando.com.br/entenda-como-funciona-o-mercado-financeiro/")</f>
        <v>https://aleatoriando.com.br/entenda-como-funciona-o-mercado-financeiro/</v>
      </c>
      <c r="Y244" s="77" t="s">
        <v>7053</v>
      </c>
      <c r="Z244" s="77"/>
      <c r="AA244" s="77"/>
      <c r="AB244" s="77"/>
      <c r="AC244" s="82" t="s">
        <v>8245</v>
      </c>
      <c r="AD244" s="77" t="s">
        <v>8278</v>
      </c>
      <c r="AE244" s="80" t="str">
        <f>HYPERLINK("https://twitter.com/aleatoriando_o/status/1668179873163091970")</f>
        <v>https://twitter.com/aleatoriando_o/status/1668179873163091970</v>
      </c>
      <c r="AF244" s="79">
        <v>45089.370937500003</v>
      </c>
      <c r="AG244" s="85">
        <v>45089</v>
      </c>
      <c r="AH244" s="82" t="s">
        <v>8527</v>
      </c>
      <c r="AI244" s="77" t="b">
        <v>0</v>
      </c>
      <c r="AJ244" s="77"/>
      <c r="AK244" s="77"/>
      <c r="AL244" s="77"/>
      <c r="AM244" s="77"/>
      <c r="AN244" s="77"/>
      <c r="AO244" s="77"/>
      <c r="AP244" s="77"/>
      <c r="AQ244" s="77"/>
      <c r="AR244" s="77"/>
      <c r="AS244" s="77"/>
      <c r="AT244" s="77"/>
      <c r="AU244" s="77"/>
      <c r="AV244" s="80" t="str">
        <f>HYPERLINK("https://pbs.twimg.com/profile_images/1661790216250687500/purhJhH7_normal.jpg")</f>
        <v>https://pbs.twimg.com/profile_images/1661790216250687500/purhJhH7_normal.jpg</v>
      </c>
      <c r="AW244" s="82" t="s">
        <v>13347</v>
      </c>
      <c r="AX244" s="82" t="s">
        <v>13347</v>
      </c>
      <c r="AY244" s="77"/>
      <c r="AZ244" s="82" t="s">
        <v>17385</v>
      </c>
      <c r="BA244" s="82" t="s">
        <v>17385</v>
      </c>
      <c r="BB244" s="82" t="s">
        <v>17385</v>
      </c>
      <c r="BC244" s="82" t="s">
        <v>13347</v>
      </c>
      <c r="BD244" s="82" t="s">
        <v>17465</v>
      </c>
      <c r="BE244" s="77"/>
      <c r="BF244" s="77"/>
      <c r="BG244" s="77"/>
      <c r="BH244" s="77"/>
      <c r="BI244" s="77"/>
    </row>
    <row r="245" spans="1:61" x14ac:dyDescent="0.25">
      <c r="A245" s="62" t="s">
        <v>272</v>
      </c>
      <c r="B245" s="62" t="s">
        <v>272</v>
      </c>
      <c r="C245" s="63"/>
      <c r="D245" s="64"/>
      <c r="E245" s="65"/>
      <c r="F245" s="66"/>
      <c r="G245" s="63"/>
      <c r="H245" s="67"/>
      <c r="I245" s="68"/>
      <c r="J245" s="68"/>
      <c r="K245" s="32"/>
      <c r="L245" s="75">
        <v>245</v>
      </c>
      <c r="M245" s="75"/>
      <c r="N245" s="70"/>
      <c r="O245" s="77" t="s">
        <v>179</v>
      </c>
      <c r="P245" s="79">
        <v>45096.175358796296</v>
      </c>
      <c r="Q245" s="77" t="s">
        <v>1044</v>
      </c>
      <c r="R245" s="77">
        <v>0</v>
      </c>
      <c r="S245" s="77">
        <v>0</v>
      </c>
      <c r="T245" s="77">
        <v>0</v>
      </c>
      <c r="U245" s="77">
        <v>0</v>
      </c>
      <c r="V245" s="77">
        <v>6</v>
      </c>
      <c r="W245" s="82" t="s">
        <v>4935</v>
      </c>
      <c r="X245" s="80" t="str">
        <f>HYPERLINK("https://aleatoriando.com.br/fazendo-os-seus-investimentos-renderem/")</f>
        <v>https://aleatoriando.com.br/fazendo-os-seus-investimentos-renderem/</v>
      </c>
      <c r="Y245" s="77" t="s">
        <v>7053</v>
      </c>
      <c r="Z245" s="77"/>
      <c r="AA245" s="77"/>
      <c r="AB245" s="77"/>
      <c r="AC245" s="82" t="s">
        <v>8245</v>
      </c>
      <c r="AD245" s="77" t="s">
        <v>8278</v>
      </c>
      <c r="AE245" s="80" t="str">
        <f>HYPERLINK("https://twitter.com/aleatoriando_o/status/1670645711040393218")</f>
        <v>https://twitter.com/aleatoriando_o/status/1670645711040393218</v>
      </c>
      <c r="AF245" s="79">
        <v>45096.175358796296</v>
      </c>
      <c r="AG245" s="85">
        <v>45096</v>
      </c>
      <c r="AH245" s="82" t="s">
        <v>8528</v>
      </c>
      <c r="AI245" s="77" t="b">
        <v>0</v>
      </c>
      <c r="AJ245" s="77"/>
      <c r="AK245" s="77"/>
      <c r="AL245" s="77"/>
      <c r="AM245" s="77"/>
      <c r="AN245" s="77"/>
      <c r="AO245" s="77"/>
      <c r="AP245" s="77"/>
      <c r="AQ245" s="77"/>
      <c r="AR245" s="77"/>
      <c r="AS245" s="77"/>
      <c r="AT245" s="77"/>
      <c r="AU245" s="77"/>
      <c r="AV245" s="80" t="str">
        <f>HYPERLINK("https://pbs.twimg.com/profile_images/1661790216250687500/purhJhH7_normal.jpg")</f>
        <v>https://pbs.twimg.com/profile_images/1661790216250687500/purhJhH7_normal.jpg</v>
      </c>
      <c r="AW245" s="82" t="s">
        <v>13348</v>
      </c>
      <c r="AX245" s="82" t="s">
        <v>13348</v>
      </c>
      <c r="AY245" s="77"/>
      <c r="AZ245" s="82" t="s">
        <v>17385</v>
      </c>
      <c r="BA245" s="82" t="s">
        <v>17385</v>
      </c>
      <c r="BB245" s="82" t="s">
        <v>17385</v>
      </c>
      <c r="BC245" s="82" t="s">
        <v>13348</v>
      </c>
      <c r="BD245" s="82" t="s">
        <v>17465</v>
      </c>
      <c r="BE245" s="77"/>
      <c r="BF245" s="77"/>
      <c r="BG245" s="77"/>
      <c r="BH245" s="77"/>
      <c r="BI245" s="77"/>
    </row>
    <row r="246" spans="1:61" x14ac:dyDescent="0.25">
      <c r="A246" s="62" t="s">
        <v>273</v>
      </c>
      <c r="B246" s="62" t="s">
        <v>273</v>
      </c>
      <c r="C246" s="63"/>
      <c r="D246" s="64"/>
      <c r="E246" s="65"/>
      <c r="F246" s="66"/>
      <c r="G246" s="63"/>
      <c r="H246" s="67"/>
      <c r="I246" s="68"/>
      <c r="J246" s="68"/>
      <c r="K246" s="32"/>
      <c r="L246" s="75">
        <v>246</v>
      </c>
      <c r="M246" s="75"/>
      <c r="N246" s="70"/>
      <c r="O246" s="77" t="s">
        <v>800</v>
      </c>
      <c r="P246" s="79">
        <v>45188.853692129633</v>
      </c>
      <c r="Q246" s="77" t="s">
        <v>1045</v>
      </c>
      <c r="R246" s="77">
        <v>0</v>
      </c>
      <c r="S246" s="77">
        <v>1</v>
      </c>
      <c r="T246" s="77">
        <v>0</v>
      </c>
      <c r="U246" s="77">
        <v>0</v>
      </c>
      <c r="V246" s="77">
        <v>35</v>
      </c>
      <c r="W246" s="82" t="s">
        <v>4939</v>
      </c>
      <c r="X246" s="77"/>
      <c r="Y246" s="77"/>
      <c r="Z246" s="77"/>
      <c r="AA246" s="77"/>
      <c r="AB246" s="77"/>
      <c r="AC246" s="82" t="s">
        <v>8233</v>
      </c>
      <c r="AD246" s="77" t="s">
        <v>8281</v>
      </c>
      <c r="AE246" s="80" t="str">
        <f>HYPERLINK("https://twitter.com/marcossanru/status/1704231215916515555")</f>
        <v>https://twitter.com/marcossanru/status/1704231215916515555</v>
      </c>
      <c r="AF246" s="79">
        <v>45188.853692129633</v>
      </c>
      <c r="AG246" s="85">
        <v>45188</v>
      </c>
      <c r="AH246" s="82" t="s">
        <v>8529</v>
      </c>
      <c r="AI246" s="77"/>
      <c r="AJ246" s="77" t="s">
        <v>11995</v>
      </c>
      <c r="AK246" s="77" t="s">
        <v>12008</v>
      </c>
      <c r="AL246" s="77" t="s">
        <v>12011</v>
      </c>
      <c r="AM246" s="77" t="s">
        <v>12015</v>
      </c>
      <c r="AN246" s="77" t="s">
        <v>12027</v>
      </c>
      <c r="AO246" s="77" t="s">
        <v>12041</v>
      </c>
      <c r="AP246" s="77" t="s">
        <v>12051</v>
      </c>
      <c r="AQ246" s="77"/>
      <c r="AR246" s="77"/>
      <c r="AS246" s="77"/>
      <c r="AT246" s="77"/>
      <c r="AU246" s="77"/>
      <c r="AV246" s="80" t="str">
        <f>HYPERLINK("https://pbs.twimg.com/profile_images/1700765763059974144/FMTEdyuE_normal.jpg")</f>
        <v>https://pbs.twimg.com/profile_images/1700765763059974144/FMTEdyuE_normal.jpg</v>
      </c>
      <c r="AW246" s="82" t="s">
        <v>13349</v>
      </c>
      <c r="AX246" s="82" t="s">
        <v>17146</v>
      </c>
      <c r="AY246" s="82" t="s">
        <v>17320</v>
      </c>
      <c r="AZ246" s="82" t="s">
        <v>17146</v>
      </c>
      <c r="BA246" s="82" t="s">
        <v>17385</v>
      </c>
      <c r="BB246" s="82" t="s">
        <v>17385</v>
      </c>
      <c r="BC246" s="82" t="s">
        <v>17146</v>
      </c>
      <c r="BD246" s="82" t="s">
        <v>17320</v>
      </c>
      <c r="BE246" s="77"/>
      <c r="BF246" s="77"/>
      <c r="BG246" s="77"/>
      <c r="BH246" s="77"/>
      <c r="BI246" s="77"/>
    </row>
    <row r="247" spans="1:61" x14ac:dyDescent="0.25">
      <c r="A247" s="62" t="s">
        <v>274</v>
      </c>
      <c r="B247" s="62" t="s">
        <v>274</v>
      </c>
      <c r="C247" s="63"/>
      <c r="D247" s="64"/>
      <c r="E247" s="65"/>
      <c r="F247" s="66"/>
      <c r="G247" s="63"/>
      <c r="H247" s="67"/>
      <c r="I247" s="68"/>
      <c r="J247" s="68"/>
      <c r="K247" s="32"/>
      <c r="L247" s="75">
        <v>247</v>
      </c>
      <c r="M247" s="75"/>
      <c r="N247" s="70"/>
      <c r="O247" s="77" t="s">
        <v>800</v>
      </c>
      <c r="P247" s="79">
        <v>45075.764826388891</v>
      </c>
      <c r="Q247" s="77" t="s">
        <v>1046</v>
      </c>
      <c r="R247" s="77">
        <v>0</v>
      </c>
      <c r="S247" s="77">
        <v>0</v>
      </c>
      <c r="T247" s="77">
        <v>0</v>
      </c>
      <c r="U247" s="77">
        <v>0</v>
      </c>
      <c r="V247" s="77">
        <v>179</v>
      </c>
      <c r="W247" s="82" t="s">
        <v>4940</v>
      </c>
      <c r="X247" s="80" t="str">
        <f>HYPERLINK("https://bit.ly/45yatZB")</f>
        <v>https://bit.ly/45yatZB</v>
      </c>
      <c r="Y247" s="77" t="s">
        <v>7063</v>
      </c>
      <c r="Z247" s="77"/>
      <c r="AA247" s="77" t="s">
        <v>7361</v>
      </c>
      <c r="AB247" s="77" t="s">
        <v>8226</v>
      </c>
      <c r="AC247" s="82" t="s">
        <v>8232</v>
      </c>
      <c r="AD247" s="77" t="s">
        <v>8278</v>
      </c>
      <c r="AE247" s="80" t="str">
        <f>HYPERLINK("https://twitter.com/gorilainvest/status/1663249184546226182")</f>
        <v>https://twitter.com/gorilainvest/status/1663249184546226182</v>
      </c>
      <c r="AF247" s="79">
        <v>45075.764826388891</v>
      </c>
      <c r="AG247" s="85">
        <v>45075</v>
      </c>
      <c r="AH247" s="82" t="s">
        <v>8530</v>
      </c>
      <c r="AI247" s="77" t="b">
        <v>0</v>
      </c>
      <c r="AJ247" s="77"/>
      <c r="AK247" s="77"/>
      <c r="AL247" s="77"/>
      <c r="AM247" s="77"/>
      <c r="AN247" s="77"/>
      <c r="AO247" s="77"/>
      <c r="AP247" s="77"/>
      <c r="AQ247" s="77" t="s">
        <v>12246</v>
      </c>
      <c r="AR247" s="77"/>
      <c r="AS247" s="77"/>
      <c r="AT247" s="77"/>
      <c r="AU247" s="77"/>
      <c r="AV247" s="80" t="str">
        <f>HYPERLINK("https://pbs.twimg.com/media/FxUMHtyWAA8YO7_.png")</f>
        <v>https://pbs.twimg.com/media/FxUMHtyWAA8YO7_.png</v>
      </c>
      <c r="AW247" s="82" t="s">
        <v>13350</v>
      </c>
      <c r="AX247" s="82" t="s">
        <v>17147</v>
      </c>
      <c r="AY247" s="82" t="s">
        <v>17321</v>
      </c>
      <c r="AZ247" s="82" t="s">
        <v>17147</v>
      </c>
      <c r="BA247" s="82" t="s">
        <v>17385</v>
      </c>
      <c r="BB247" s="82" t="s">
        <v>17385</v>
      </c>
      <c r="BC247" s="82" t="s">
        <v>17147</v>
      </c>
      <c r="BD247" s="82" t="s">
        <v>17321</v>
      </c>
      <c r="BE247" s="77"/>
      <c r="BF247" s="77"/>
      <c r="BG247" s="77"/>
      <c r="BH247" s="77"/>
      <c r="BI247" s="77"/>
    </row>
    <row r="248" spans="1:61" x14ac:dyDescent="0.25">
      <c r="A248" s="62" t="s">
        <v>274</v>
      </c>
      <c r="B248" s="62" t="s">
        <v>274</v>
      </c>
      <c r="C248" s="63"/>
      <c r="D248" s="64"/>
      <c r="E248" s="65"/>
      <c r="F248" s="66"/>
      <c r="G248" s="63"/>
      <c r="H248" s="67"/>
      <c r="I248" s="68"/>
      <c r="J248" s="68"/>
      <c r="K248" s="32"/>
      <c r="L248" s="75">
        <v>248</v>
      </c>
      <c r="M248" s="75"/>
      <c r="N248" s="70"/>
      <c r="O248" s="77" t="s">
        <v>179</v>
      </c>
      <c r="P248" s="79">
        <v>45044.891087962962</v>
      </c>
      <c r="Q248" s="77" t="s">
        <v>1047</v>
      </c>
      <c r="R248" s="77">
        <v>0</v>
      </c>
      <c r="S248" s="77">
        <v>1</v>
      </c>
      <c r="T248" s="77">
        <v>0</v>
      </c>
      <c r="U248" s="77">
        <v>0</v>
      </c>
      <c r="V248" s="77">
        <v>253</v>
      </c>
      <c r="W248" s="82" t="s">
        <v>4941</v>
      </c>
      <c r="X248" s="77"/>
      <c r="Y248" s="77"/>
      <c r="Z248" s="77"/>
      <c r="AA248" s="77" t="s">
        <v>7362</v>
      </c>
      <c r="AB248" s="77" t="s">
        <v>8226</v>
      </c>
      <c r="AC248" s="82" t="s">
        <v>8246</v>
      </c>
      <c r="AD248" s="77" t="s">
        <v>8278</v>
      </c>
      <c r="AE248" s="80" t="str">
        <f>HYPERLINK("https://twitter.com/gorilainvest/status/1652060916530262018")</f>
        <v>https://twitter.com/gorilainvest/status/1652060916530262018</v>
      </c>
      <c r="AF248" s="79">
        <v>45044.891087962962</v>
      </c>
      <c r="AG248" s="85">
        <v>45044</v>
      </c>
      <c r="AH248" s="82" t="s">
        <v>8531</v>
      </c>
      <c r="AI248" s="77" t="b">
        <v>0</v>
      </c>
      <c r="AJ248" s="77"/>
      <c r="AK248" s="77"/>
      <c r="AL248" s="77"/>
      <c r="AM248" s="77"/>
      <c r="AN248" s="77"/>
      <c r="AO248" s="77"/>
      <c r="AP248" s="77"/>
      <c r="AQ248" s="77" t="s">
        <v>12247</v>
      </c>
      <c r="AR248" s="77"/>
      <c r="AS248" s="77"/>
      <c r="AT248" s="77"/>
      <c r="AU248" s="77"/>
      <c r="AV248" s="80" t="str">
        <f>HYPERLINK("https://pbs.twimg.com/media/Fu1MnNaXoAEZqcu.png")</f>
        <v>https://pbs.twimg.com/media/Fu1MnNaXoAEZqcu.png</v>
      </c>
      <c r="AW248" s="82" t="s">
        <v>13351</v>
      </c>
      <c r="AX248" s="82" t="s">
        <v>13351</v>
      </c>
      <c r="AY248" s="77"/>
      <c r="AZ248" s="82" t="s">
        <v>17385</v>
      </c>
      <c r="BA248" s="82" t="s">
        <v>17385</v>
      </c>
      <c r="BB248" s="82" t="s">
        <v>17385</v>
      </c>
      <c r="BC248" s="82" t="s">
        <v>13351</v>
      </c>
      <c r="BD248" s="82" t="s">
        <v>17321</v>
      </c>
      <c r="BE248" s="77"/>
      <c r="BF248" s="77"/>
      <c r="BG248" s="77"/>
      <c r="BH248" s="77"/>
      <c r="BI248" s="77"/>
    </row>
    <row r="249" spans="1:61" x14ac:dyDescent="0.25">
      <c r="A249" s="62" t="s">
        <v>274</v>
      </c>
      <c r="B249" s="62" t="s">
        <v>274</v>
      </c>
      <c r="C249" s="63"/>
      <c r="D249" s="64"/>
      <c r="E249" s="65"/>
      <c r="F249" s="66"/>
      <c r="G249" s="63"/>
      <c r="H249" s="67"/>
      <c r="I249" s="68"/>
      <c r="J249" s="68"/>
      <c r="K249" s="32"/>
      <c r="L249" s="75">
        <v>249</v>
      </c>
      <c r="M249" s="75"/>
      <c r="N249" s="70"/>
      <c r="O249" s="77" t="s">
        <v>179</v>
      </c>
      <c r="P249" s="79">
        <v>45078.720902777779</v>
      </c>
      <c r="Q249" s="77" t="s">
        <v>1048</v>
      </c>
      <c r="R249" s="77">
        <v>0</v>
      </c>
      <c r="S249" s="77">
        <v>0</v>
      </c>
      <c r="T249" s="77">
        <v>0</v>
      </c>
      <c r="U249" s="77">
        <v>0</v>
      </c>
      <c r="V249" s="77">
        <v>147</v>
      </c>
      <c r="W249" s="82" t="s">
        <v>4942</v>
      </c>
      <c r="X249" s="77"/>
      <c r="Y249" s="77"/>
      <c r="Z249" s="77"/>
      <c r="AA249" s="77" t="s">
        <v>7363</v>
      </c>
      <c r="AB249" s="77" t="s">
        <v>8225</v>
      </c>
      <c r="AC249" s="82" t="s">
        <v>8246</v>
      </c>
      <c r="AD249" s="77" t="s">
        <v>8278</v>
      </c>
      <c r="AE249" s="80" t="str">
        <f>HYPERLINK("https://twitter.com/gorilainvest/status/1664320430855929868")</f>
        <v>https://twitter.com/gorilainvest/status/1664320430855929868</v>
      </c>
      <c r="AF249" s="79">
        <v>45078.720902777779</v>
      </c>
      <c r="AG249" s="85">
        <v>45078</v>
      </c>
      <c r="AH249" s="82" t="s">
        <v>8532</v>
      </c>
      <c r="AI249" s="77" t="b">
        <v>0</v>
      </c>
      <c r="AJ249" s="77"/>
      <c r="AK249" s="77"/>
      <c r="AL249" s="77"/>
      <c r="AM249" s="77"/>
      <c r="AN249" s="77"/>
      <c r="AO249" s="77"/>
      <c r="AP249" s="77"/>
      <c r="AQ249" s="77" t="s">
        <v>12248</v>
      </c>
      <c r="AR249" s="77"/>
      <c r="AS249" s="77"/>
      <c r="AT249" s="77"/>
      <c r="AU249" s="77"/>
      <c r="AV249" s="80" t="str">
        <f>HYPERLINK("https://pbs.twimg.com/media/FxjamEjXwBAieap.png")</f>
        <v>https://pbs.twimg.com/media/FxjamEjXwBAieap.png</v>
      </c>
      <c r="AW249" s="82" t="s">
        <v>13352</v>
      </c>
      <c r="AX249" s="82" t="s">
        <v>13352</v>
      </c>
      <c r="AY249" s="77"/>
      <c r="AZ249" s="82" t="s">
        <v>17385</v>
      </c>
      <c r="BA249" s="82" t="s">
        <v>17385</v>
      </c>
      <c r="BB249" s="82" t="s">
        <v>17385</v>
      </c>
      <c r="BC249" s="82" t="s">
        <v>13352</v>
      </c>
      <c r="BD249" s="82" t="s">
        <v>17321</v>
      </c>
      <c r="BE249" s="77"/>
      <c r="BF249" s="77"/>
      <c r="BG249" s="77"/>
      <c r="BH249" s="77"/>
      <c r="BI249" s="77"/>
    </row>
    <row r="250" spans="1:61" x14ac:dyDescent="0.25">
      <c r="A250" s="62" t="s">
        <v>274</v>
      </c>
      <c r="B250" s="62" t="s">
        <v>274</v>
      </c>
      <c r="C250" s="63"/>
      <c r="D250" s="64"/>
      <c r="E250" s="65"/>
      <c r="F250" s="66"/>
      <c r="G250" s="63"/>
      <c r="H250" s="67"/>
      <c r="I250" s="68"/>
      <c r="J250" s="68"/>
      <c r="K250" s="32"/>
      <c r="L250" s="75">
        <v>250</v>
      </c>
      <c r="M250" s="75"/>
      <c r="N250" s="70"/>
      <c r="O250" s="77" t="s">
        <v>179</v>
      </c>
      <c r="P250" s="79">
        <v>45107.927175925928</v>
      </c>
      <c r="Q250" s="77" t="s">
        <v>1049</v>
      </c>
      <c r="R250" s="77">
        <v>0</v>
      </c>
      <c r="S250" s="77">
        <v>2</v>
      </c>
      <c r="T250" s="77">
        <v>0</v>
      </c>
      <c r="U250" s="77">
        <v>0</v>
      </c>
      <c r="V250" s="77">
        <v>324</v>
      </c>
      <c r="W250" s="82" t="s">
        <v>4943</v>
      </c>
      <c r="X250" s="77"/>
      <c r="Y250" s="77"/>
      <c r="Z250" s="77"/>
      <c r="AA250" s="77" t="s">
        <v>7364</v>
      </c>
      <c r="AB250" s="77" t="s">
        <v>8225</v>
      </c>
      <c r="AC250" s="82" t="s">
        <v>8246</v>
      </c>
      <c r="AD250" s="77" t="s">
        <v>8278</v>
      </c>
      <c r="AE250" s="80" t="str">
        <f>HYPERLINK("https://twitter.com/gorilainvest/status/1674904426144727042")</f>
        <v>https://twitter.com/gorilainvest/status/1674904426144727042</v>
      </c>
      <c r="AF250" s="79">
        <v>45107.927175925928</v>
      </c>
      <c r="AG250" s="85">
        <v>45107</v>
      </c>
      <c r="AH250" s="82" t="s">
        <v>8505</v>
      </c>
      <c r="AI250" s="77" t="b">
        <v>0</v>
      </c>
      <c r="AJ250" s="77"/>
      <c r="AK250" s="77"/>
      <c r="AL250" s="77"/>
      <c r="AM250" s="77"/>
      <c r="AN250" s="77"/>
      <c r="AO250" s="77"/>
      <c r="AP250" s="77"/>
      <c r="AQ250" s="77" t="s">
        <v>12249</v>
      </c>
      <c r="AR250" s="77"/>
      <c r="AS250" s="77"/>
      <c r="AT250" s="77"/>
      <c r="AU250" s="77"/>
      <c r="AV250" s="80" t="str">
        <f>HYPERLINK("https://pbs.twimg.com/media/Fz50rq9WYAA7aTj.png")</f>
        <v>https://pbs.twimg.com/media/Fz50rq9WYAA7aTj.png</v>
      </c>
      <c r="AW250" s="82" t="s">
        <v>13353</v>
      </c>
      <c r="AX250" s="82" t="s">
        <v>13353</v>
      </c>
      <c r="AY250" s="77"/>
      <c r="AZ250" s="82" t="s">
        <v>17385</v>
      </c>
      <c r="BA250" s="82" t="s">
        <v>17385</v>
      </c>
      <c r="BB250" s="82" t="s">
        <v>17385</v>
      </c>
      <c r="BC250" s="82" t="s">
        <v>13353</v>
      </c>
      <c r="BD250" s="82" t="s">
        <v>17321</v>
      </c>
      <c r="BE250" s="77"/>
      <c r="BF250" s="77"/>
      <c r="BG250" s="77"/>
      <c r="BH250" s="77"/>
      <c r="BI250" s="77"/>
    </row>
    <row r="251" spans="1:61" x14ac:dyDescent="0.25">
      <c r="A251" s="62" t="s">
        <v>274</v>
      </c>
      <c r="B251" s="62" t="s">
        <v>274</v>
      </c>
      <c r="C251" s="63"/>
      <c r="D251" s="64"/>
      <c r="E251" s="65"/>
      <c r="F251" s="66"/>
      <c r="G251" s="63"/>
      <c r="H251" s="67"/>
      <c r="I251" s="68"/>
      <c r="J251" s="68"/>
      <c r="K251" s="32"/>
      <c r="L251" s="75">
        <v>251</v>
      </c>
      <c r="M251" s="75"/>
      <c r="N251" s="70"/>
      <c r="O251" s="77" t="s">
        <v>179</v>
      </c>
      <c r="P251" s="79">
        <v>45069.874259259261</v>
      </c>
      <c r="Q251" s="77" t="s">
        <v>1050</v>
      </c>
      <c r="R251" s="77">
        <v>0</v>
      </c>
      <c r="S251" s="77">
        <v>0</v>
      </c>
      <c r="T251" s="77">
        <v>0</v>
      </c>
      <c r="U251" s="77">
        <v>0</v>
      </c>
      <c r="V251" s="77">
        <v>203</v>
      </c>
      <c r="W251" s="82" t="s">
        <v>4944</v>
      </c>
      <c r="X251" s="80" t="str">
        <f>HYPERLINK("https://bit.ly/3q88lHP")</f>
        <v>https://bit.ly/3q88lHP</v>
      </c>
      <c r="Y251" s="77" t="s">
        <v>7063</v>
      </c>
      <c r="Z251" s="77"/>
      <c r="AA251" s="77" t="s">
        <v>7365</v>
      </c>
      <c r="AB251" s="77" t="s">
        <v>8225</v>
      </c>
      <c r="AC251" s="82" t="s">
        <v>8232</v>
      </c>
      <c r="AD251" s="77" t="s">
        <v>8278</v>
      </c>
      <c r="AE251" s="80" t="str">
        <f>HYPERLINK("https://twitter.com/gorilainvest/status/1661114513981054984")</f>
        <v>https://twitter.com/gorilainvest/status/1661114513981054984</v>
      </c>
      <c r="AF251" s="79">
        <v>45069.874259259261</v>
      </c>
      <c r="AG251" s="85">
        <v>45069</v>
      </c>
      <c r="AH251" s="82" t="s">
        <v>8533</v>
      </c>
      <c r="AI251" s="77" t="b">
        <v>0</v>
      </c>
      <c r="AJ251" s="77"/>
      <c r="AK251" s="77"/>
      <c r="AL251" s="77"/>
      <c r="AM251" s="77"/>
      <c r="AN251" s="77"/>
      <c r="AO251" s="77"/>
      <c r="AP251" s="77"/>
      <c r="AQ251" s="77" t="s">
        <v>12250</v>
      </c>
      <c r="AR251" s="77"/>
      <c r="AS251" s="77"/>
      <c r="AT251" s="77"/>
      <c r="AU251" s="77"/>
      <c r="AV251" s="80" t="str">
        <f>HYPERLINK("https://pbs.twimg.com/media/Fw12wacWIBoYIVB.jpg")</f>
        <v>https://pbs.twimg.com/media/Fw12wacWIBoYIVB.jpg</v>
      </c>
      <c r="AW251" s="82" t="s">
        <v>13354</v>
      </c>
      <c r="AX251" s="82" t="s">
        <v>13354</v>
      </c>
      <c r="AY251" s="77"/>
      <c r="AZ251" s="82" t="s">
        <v>17385</v>
      </c>
      <c r="BA251" s="82" t="s">
        <v>17385</v>
      </c>
      <c r="BB251" s="82" t="s">
        <v>17385</v>
      </c>
      <c r="BC251" s="82" t="s">
        <v>13354</v>
      </c>
      <c r="BD251" s="82" t="s">
        <v>17321</v>
      </c>
      <c r="BE251" s="77"/>
      <c r="BF251" s="77"/>
      <c r="BG251" s="77"/>
      <c r="BH251" s="77"/>
      <c r="BI251" s="77"/>
    </row>
    <row r="252" spans="1:61" x14ac:dyDescent="0.25">
      <c r="A252" s="62" t="s">
        <v>275</v>
      </c>
      <c r="B252" s="62" t="s">
        <v>275</v>
      </c>
      <c r="C252" s="63"/>
      <c r="D252" s="64"/>
      <c r="E252" s="65"/>
      <c r="F252" s="66"/>
      <c r="G252" s="63"/>
      <c r="H252" s="67"/>
      <c r="I252" s="68"/>
      <c r="J252" s="68"/>
      <c r="K252" s="32"/>
      <c r="L252" s="75">
        <v>252</v>
      </c>
      <c r="M252" s="75"/>
      <c r="N252" s="70"/>
      <c r="O252" s="77" t="s">
        <v>179</v>
      </c>
      <c r="P252" s="79">
        <v>45194.681574074071</v>
      </c>
      <c r="Q252" s="77" t="s">
        <v>1051</v>
      </c>
      <c r="R252" s="77">
        <v>0</v>
      </c>
      <c r="S252" s="77">
        <v>0</v>
      </c>
      <c r="T252" s="77">
        <v>0</v>
      </c>
      <c r="U252" s="77">
        <v>0</v>
      </c>
      <c r="V252" s="77">
        <v>35</v>
      </c>
      <c r="W252" s="82" t="s">
        <v>4945</v>
      </c>
      <c r="X252" s="77"/>
      <c r="Y252" s="77"/>
      <c r="Z252" s="77"/>
      <c r="AA252" s="77" t="s">
        <v>7366</v>
      </c>
      <c r="AB252" s="77" t="s">
        <v>8225</v>
      </c>
      <c r="AC252" s="82" t="s">
        <v>8232</v>
      </c>
      <c r="AD252" s="77" t="s">
        <v>8278</v>
      </c>
      <c r="AE252" s="80" t="str">
        <f>HYPERLINK("https://twitter.com/salamandraamby/status/1706343167388250540")</f>
        <v>https://twitter.com/salamandraamby/status/1706343167388250540</v>
      </c>
      <c r="AF252" s="79">
        <v>45194.681574074071</v>
      </c>
      <c r="AG252" s="85">
        <v>45194</v>
      </c>
      <c r="AH252" s="82" t="s">
        <v>8534</v>
      </c>
      <c r="AI252" s="77" t="b">
        <v>0</v>
      </c>
      <c r="AJ252" s="77"/>
      <c r="AK252" s="77"/>
      <c r="AL252" s="77"/>
      <c r="AM252" s="77"/>
      <c r="AN252" s="77"/>
      <c r="AO252" s="77"/>
      <c r="AP252" s="77"/>
      <c r="AQ252" s="77" t="s">
        <v>12251</v>
      </c>
      <c r="AR252" s="77"/>
      <c r="AS252" s="77"/>
      <c r="AT252" s="77"/>
      <c r="AU252" s="77"/>
      <c r="AV252" s="80" t="str">
        <f>HYPERLINK("https://pbs.twimg.com/media/F64l1ajXcAEzzTu.png")</f>
        <v>https://pbs.twimg.com/media/F64l1ajXcAEzzTu.png</v>
      </c>
      <c r="AW252" s="82" t="s">
        <v>13355</v>
      </c>
      <c r="AX252" s="82" t="s">
        <v>13355</v>
      </c>
      <c r="AY252" s="77"/>
      <c r="AZ252" s="82" t="s">
        <v>17385</v>
      </c>
      <c r="BA252" s="82" t="s">
        <v>17385</v>
      </c>
      <c r="BB252" s="82" t="s">
        <v>17385</v>
      </c>
      <c r="BC252" s="82" t="s">
        <v>13355</v>
      </c>
      <c r="BD252" s="82" t="s">
        <v>17466</v>
      </c>
      <c r="BE252" s="77"/>
      <c r="BF252" s="77"/>
      <c r="BG252" s="77"/>
      <c r="BH252" s="77"/>
      <c r="BI252" s="77"/>
    </row>
    <row r="253" spans="1:61" x14ac:dyDescent="0.25">
      <c r="A253" s="62" t="s">
        <v>276</v>
      </c>
      <c r="B253" s="62" t="s">
        <v>276</v>
      </c>
      <c r="C253" s="63"/>
      <c r="D253" s="64"/>
      <c r="E253" s="65"/>
      <c r="F253" s="66"/>
      <c r="G253" s="63"/>
      <c r="H253" s="67"/>
      <c r="I253" s="68"/>
      <c r="J253" s="68"/>
      <c r="K253" s="32"/>
      <c r="L253" s="75">
        <v>253</v>
      </c>
      <c r="M253" s="75"/>
      <c r="N253" s="70"/>
      <c r="O253" s="77" t="s">
        <v>179</v>
      </c>
      <c r="P253" s="79">
        <v>45064.710625</v>
      </c>
      <c r="Q253" s="77" t="s">
        <v>1052</v>
      </c>
      <c r="R253" s="77">
        <v>0</v>
      </c>
      <c r="S253" s="77">
        <v>0</v>
      </c>
      <c r="T253" s="77">
        <v>0</v>
      </c>
      <c r="U253" s="77">
        <v>0</v>
      </c>
      <c r="V253" s="77">
        <v>127</v>
      </c>
      <c r="W253" s="82" t="s">
        <v>4946</v>
      </c>
      <c r="X253" s="80" t="str">
        <f>HYPERLINK("https://www.youtube.com/watch?v=bubUY-L09R8")</f>
        <v>https://www.youtube.com/watch?v=bubUY-L09R8</v>
      </c>
      <c r="Y253" s="77" t="s">
        <v>7065</v>
      </c>
      <c r="Z253" s="77"/>
      <c r="AA253" s="77"/>
      <c r="AB253" s="77"/>
      <c r="AC253" s="82" t="s">
        <v>8247</v>
      </c>
      <c r="AD253" s="77" t="s">
        <v>8278</v>
      </c>
      <c r="AE253" s="80" t="str">
        <f>HYPERLINK("https://twitter.com/andrewcfonseca/status/1659243272819048459")</f>
        <v>https://twitter.com/andrewcfonseca/status/1659243272819048459</v>
      </c>
      <c r="AF253" s="79">
        <v>45064.710625</v>
      </c>
      <c r="AG253" s="85">
        <v>45064</v>
      </c>
      <c r="AH253" s="82" t="s">
        <v>8535</v>
      </c>
      <c r="AI253" s="77" t="b">
        <v>0</v>
      </c>
      <c r="AJ253" s="77"/>
      <c r="AK253" s="77"/>
      <c r="AL253" s="77"/>
      <c r="AM253" s="77"/>
      <c r="AN253" s="77"/>
      <c r="AO253" s="77"/>
      <c r="AP253" s="77"/>
      <c r="AQ253" s="77"/>
      <c r="AR253" s="77"/>
      <c r="AS253" s="77"/>
      <c r="AT253" s="77"/>
      <c r="AU253" s="77"/>
      <c r="AV253" s="80" t="str">
        <f>HYPERLINK("https://pbs.twimg.com/profile_images/1452274818494222341/QXc33wOy_normal.jpg")</f>
        <v>https://pbs.twimg.com/profile_images/1452274818494222341/QXc33wOy_normal.jpg</v>
      </c>
      <c r="AW253" s="82" t="s">
        <v>13356</v>
      </c>
      <c r="AX253" s="82" t="s">
        <v>13356</v>
      </c>
      <c r="AY253" s="77"/>
      <c r="AZ253" s="82" t="s">
        <v>17385</v>
      </c>
      <c r="BA253" s="82" t="s">
        <v>17385</v>
      </c>
      <c r="BB253" s="82" t="s">
        <v>17385</v>
      </c>
      <c r="BC253" s="82" t="s">
        <v>13356</v>
      </c>
      <c r="BD253" s="82" t="s">
        <v>17467</v>
      </c>
      <c r="BE253" s="77"/>
      <c r="BF253" s="77"/>
      <c r="BG253" s="77"/>
      <c r="BH253" s="77"/>
      <c r="BI253" s="77"/>
    </row>
    <row r="254" spans="1:61" x14ac:dyDescent="0.25">
      <c r="A254" s="62" t="s">
        <v>276</v>
      </c>
      <c r="B254" s="62" t="s">
        <v>276</v>
      </c>
      <c r="C254" s="63"/>
      <c r="D254" s="64"/>
      <c r="E254" s="65"/>
      <c r="F254" s="66"/>
      <c r="G254" s="63"/>
      <c r="H254" s="67"/>
      <c r="I254" s="68"/>
      <c r="J254" s="68"/>
      <c r="K254" s="32"/>
      <c r="L254" s="75">
        <v>254</v>
      </c>
      <c r="M254" s="75"/>
      <c r="N254" s="70"/>
      <c r="O254" s="77" t="s">
        <v>179</v>
      </c>
      <c r="P254" s="79">
        <v>45064.507071759261</v>
      </c>
      <c r="Q254" s="77" t="s">
        <v>1053</v>
      </c>
      <c r="R254" s="77">
        <v>0</v>
      </c>
      <c r="S254" s="77">
        <v>0</v>
      </c>
      <c r="T254" s="77">
        <v>0</v>
      </c>
      <c r="U254" s="77">
        <v>0</v>
      </c>
      <c r="V254" s="77">
        <v>34</v>
      </c>
      <c r="W254" s="82" t="s">
        <v>4947</v>
      </c>
      <c r="X254" s="77"/>
      <c r="Y254" s="77"/>
      <c r="Z254" s="77"/>
      <c r="AA254" s="77"/>
      <c r="AB254" s="77"/>
      <c r="AC254" s="82" t="s">
        <v>8247</v>
      </c>
      <c r="AD254" s="77" t="s">
        <v>8278</v>
      </c>
      <c r="AE254" s="80" t="str">
        <f>HYPERLINK("https://twitter.com/andrewcfonseca/status/1659169508366450690")</f>
        <v>https://twitter.com/andrewcfonseca/status/1659169508366450690</v>
      </c>
      <c r="AF254" s="79">
        <v>45064.507071759261</v>
      </c>
      <c r="AG254" s="85">
        <v>45064</v>
      </c>
      <c r="AH254" s="82" t="s">
        <v>8536</v>
      </c>
      <c r="AI254" s="77"/>
      <c r="AJ254" s="77"/>
      <c r="AK254" s="77"/>
      <c r="AL254" s="77"/>
      <c r="AM254" s="77"/>
      <c r="AN254" s="77"/>
      <c r="AO254" s="77"/>
      <c r="AP254" s="77"/>
      <c r="AQ254" s="77"/>
      <c r="AR254" s="77"/>
      <c r="AS254" s="77"/>
      <c r="AT254" s="77"/>
      <c r="AU254" s="77"/>
      <c r="AV254" s="80" t="str">
        <f>HYPERLINK("https://pbs.twimg.com/profile_images/1452274818494222341/QXc33wOy_normal.jpg")</f>
        <v>https://pbs.twimg.com/profile_images/1452274818494222341/QXc33wOy_normal.jpg</v>
      </c>
      <c r="AW254" s="82" t="s">
        <v>13357</v>
      </c>
      <c r="AX254" s="82" t="s">
        <v>13357</v>
      </c>
      <c r="AY254" s="77"/>
      <c r="AZ254" s="82" t="s">
        <v>17385</v>
      </c>
      <c r="BA254" s="82" t="s">
        <v>17385</v>
      </c>
      <c r="BB254" s="82" t="s">
        <v>17385</v>
      </c>
      <c r="BC254" s="82" t="s">
        <v>13357</v>
      </c>
      <c r="BD254" s="82" t="s">
        <v>17467</v>
      </c>
      <c r="BE254" s="77"/>
      <c r="BF254" s="77"/>
      <c r="BG254" s="77"/>
      <c r="BH254" s="77"/>
      <c r="BI254" s="77"/>
    </row>
    <row r="255" spans="1:61" x14ac:dyDescent="0.25">
      <c r="A255" s="62" t="s">
        <v>276</v>
      </c>
      <c r="B255" s="62" t="s">
        <v>276</v>
      </c>
      <c r="C255" s="63"/>
      <c r="D255" s="64"/>
      <c r="E255" s="65"/>
      <c r="F255" s="66"/>
      <c r="G255" s="63"/>
      <c r="H255" s="67"/>
      <c r="I255" s="68"/>
      <c r="J255" s="68"/>
      <c r="K255" s="32"/>
      <c r="L255" s="75">
        <v>255</v>
      </c>
      <c r="M255" s="75"/>
      <c r="N255" s="70"/>
      <c r="O255" s="77" t="s">
        <v>179</v>
      </c>
      <c r="P255" s="79">
        <v>45088.977662037039</v>
      </c>
      <c r="Q255" s="77" t="s">
        <v>1054</v>
      </c>
      <c r="R255" s="77">
        <v>0</v>
      </c>
      <c r="S255" s="77">
        <v>0</v>
      </c>
      <c r="T255" s="77">
        <v>0</v>
      </c>
      <c r="U255" s="77">
        <v>0</v>
      </c>
      <c r="V255" s="77">
        <v>163</v>
      </c>
      <c r="W255" s="82" t="s">
        <v>4948</v>
      </c>
      <c r="X255" s="77"/>
      <c r="Y255" s="77"/>
      <c r="Z255" s="77"/>
      <c r="AA255" s="77" t="s">
        <v>7367</v>
      </c>
      <c r="AB255" s="77" t="s">
        <v>8227</v>
      </c>
      <c r="AC255" s="82" t="s">
        <v>8232</v>
      </c>
      <c r="AD255" s="77" t="s">
        <v>8278</v>
      </c>
      <c r="AE255" s="80" t="str">
        <f>HYPERLINK("https://twitter.com/andrewcfonseca/status/1668037355314245632")</f>
        <v>https://twitter.com/andrewcfonseca/status/1668037355314245632</v>
      </c>
      <c r="AF255" s="79">
        <v>45088.977662037039</v>
      </c>
      <c r="AG255" s="85">
        <v>45088</v>
      </c>
      <c r="AH255" s="82" t="s">
        <v>8537</v>
      </c>
      <c r="AI255" s="77" t="b">
        <v>0</v>
      </c>
      <c r="AJ255" s="77"/>
      <c r="AK255" s="77"/>
      <c r="AL255" s="77"/>
      <c r="AM255" s="77"/>
      <c r="AN255" s="77"/>
      <c r="AO255" s="77"/>
      <c r="AP255" s="77"/>
      <c r="AQ255" s="77" t="s">
        <v>12252</v>
      </c>
      <c r="AR255" s="77">
        <v>34435</v>
      </c>
      <c r="AS255" s="77"/>
      <c r="AT255" s="77"/>
      <c r="AU255" s="77"/>
      <c r="AV255" s="80" t="str">
        <f>HYPERLINK("https://pbs.twimg.com/ext_tw_video_thumb/1668035135361413122/pu/img/XtHPLbOUczmeFb_x.jpg")</f>
        <v>https://pbs.twimg.com/ext_tw_video_thumb/1668035135361413122/pu/img/XtHPLbOUczmeFb_x.jpg</v>
      </c>
      <c r="AW255" s="82" t="s">
        <v>13358</v>
      </c>
      <c r="AX255" s="82" t="s">
        <v>13358</v>
      </c>
      <c r="AY255" s="77"/>
      <c r="AZ255" s="82" t="s">
        <v>17385</v>
      </c>
      <c r="BA255" s="82" t="s">
        <v>17385</v>
      </c>
      <c r="BB255" s="82" t="s">
        <v>17385</v>
      </c>
      <c r="BC255" s="82" t="s">
        <v>13358</v>
      </c>
      <c r="BD255" s="82" t="s">
        <v>17467</v>
      </c>
      <c r="BE255" s="77"/>
      <c r="BF255" s="77"/>
      <c r="BG255" s="77"/>
      <c r="BH255" s="77"/>
      <c r="BI255" s="77"/>
    </row>
    <row r="256" spans="1:61" x14ac:dyDescent="0.25">
      <c r="A256" s="62" t="s">
        <v>276</v>
      </c>
      <c r="B256" s="62" t="s">
        <v>276</v>
      </c>
      <c r="C256" s="63"/>
      <c r="D256" s="64"/>
      <c r="E256" s="65"/>
      <c r="F256" s="66"/>
      <c r="G256" s="63"/>
      <c r="H256" s="67"/>
      <c r="I256" s="68"/>
      <c r="J256" s="68"/>
      <c r="K256" s="32"/>
      <c r="L256" s="75">
        <v>256</v>
      </c>
      <c r="M256" s="75"/>
      <c r="N256" s="70"/>
      <c r="O256" s="77" t="s">
        <v>179</v>
      </c>
      <c r="P256" s="79">
        <v>45105.986898148149</v>
      </c>
      <c r="Q256" s="77" t="s">
        <v>1055</v>
      </c>
      <c r="R256" s="77">
        <v>0</v>
      </c>
      <c r="S256" s="77">
        <v>0</v>
      </c>
      <c r="T256" s="77">
        <v>0</v>
      </c>
      <c r="U256" s="77">
        <v>0</v>
      </c>
      <c r="V256" s="77">
        <v>31</v>
      </c>
      <c r="W256" s="82" t="s">
        <v>4949</v>
      </c>
      <c r="X256" s="80" t="str">
        <f>HYPERLINK("https://youtu.be/_8-TWmpdeFA")</f>
        <v>https://youtu.be/_8-TWmpdeFA</v>
      </c>
      <c r="Y256" s="77" t="s">
        <v>7064</v>
      </c>
      <c r="Z256" s="77"/>
      <c r="AA256" s="77"/>
      <c r="AB256" s="77"/>
      <c r="AC256" s="82" t="s">
        <v>8234</v>
      </c>
      <c r="AD256" s="77" t="s">
        <v>8278</v>
      </c>
      <c r="AE256" s="80" t="str">
        <f>HYPERLINK("https://twitter.com/andrewcfonseca/status/1674201295786237954")</f>
        <v>https://twitter.com/andrewcfonseca/status/1674201295786237954</v>
      </c>
      <c r="AF256" s="79">
        <v>45105.986898148149</v>
      </c>
      <c r="AG256" s="85">
        <v>45105</v>
      </c>
      <c r="AH256" s="82" t="s">
        <v>8538</v>
      </c>
      <c r="AI256" s="77" t="b">
        <v>0</v>
      </c>
      <c r="AJ256" s="77"/>
      <c r="AK256" s="77"/>
      <c r="AL256" s="77"/>
      <c r="AM256" s="77"/>
      <c r="AN256" s="77"/>
      <c r="AO256" s="77"/>
      <c r="AP256" s="77"/>
      <c r="AQ256" s="77"/>
      <c r="AR256" s="77"/>
      <c r="AS256" s="77"/>
      <c r="AT256" s="77"/>
      <c r="AU256" s="77"/>
      <c r="AV256" s="80" t="str">
        <f>HYPERLINK("https://pbs.twimg.com/profile_images/1452274818494222341/QXc33wOy_normal.jpg")</f>
        <v>https://pbs.twimg.com/profile_images/1452274818494222341/QXc33wOy_normal.jpg</v>
      </c>
      <c r="AW256" s="82" t="s">
        <v>13359</v>
      </c>
      <c r="AX256" s="82" t="s">
        <v>13359</v>
      </c>
      <c r="AY256" s="77"/>
      <c r="AZ256" s="82" t="s">
        <v>17385</v>
      </c>
      <c r="BA256" s="82" t="s">
        <v>17385</v>
      </c>
      <c r="BB256" s="82" t="s">
        <v>17385</v>
      </c>
      <c r="BC256" s="82" t="s">
        <v>13359</v>
      </c>
      <c r="BD256" s="82" t="s">
        <v>17467</v>
      </c>
      <c r="BE256" s="77"/>
      <c r="BF256" s="77"/>
      <c r="BG256" s="77"/>
      <c r="BH256" s="77"/>
      <c r="BI256" s="77"/>
    </row>
    <row r="257" spans="1:61" x14ac:dyDescent="0.25">
      <c r="A257" s="62" t="s">
        <v>277</v>
      </c>
      <c r="B257" s="62" t="s">
        <v>277</v>
      </c>
      <c r="C257" s="63"/>
      <c r="D257" s="64"/>
      <c r="E257" s="65"/>
      <c r="F257" s="66"/>
      <c r="G257" s="63"/>
      <c r="H257" s="67"/>
      <c r="I257" s="68"/>
      <c r="J257" s="68"/>
      <c r="K257" s="32"/>
      <c r="L257" s="75">
        <v>257</v>
      </c>
      <c r="M257" s="75"/>
      <c r="N257" s="70"/>
      <c r="O257" s="77" t="s">
        <v>179</v>
      </c>
      <c r="P257" s="79">
        <v>45141.883784722224</v>
      </c>
      <c r="Q257" s="77" t="s">
        <v>1056</v>
      </c>
      <c r="R257" s="77">
        <v>0</v>
      </c>
      <c r="S257" s="77">
        <v>1</v>
      </c>
      <c r="T257" s="77">
        <v>0</v>
      </c>
      <c r="U257" s="77">
        <v>0</v>
      </c>
      <c r="V257" s="77">
        <v>131</v>
      </c>
      <c r="W257" s="82" t="s">
        <v>4950</v>
      </c>
      <c r="X257" s="77"/>
      <c r="Y257" s="77"/>
      <c r="Z257" s="77"/>
      <c r="AA257" s="77" t="s">
        <v>7368</v>
      </c>
      <c r="AB257" s="77" t="s">
        <v>8227</v>
      </c>
      <c r="AC257" s="82" t="s">
        <v>8233</v>
      </c>
      <c r="AD257" s="77" t="s">
        <v>8283</v>
      </c>
      <c r="AE257" s="80" t="str">
        <f>HYPERLINK("https://twitter.com/arthurodriguex/status/1687209891273031680")</f>
        <v>https://twitter.com/arthurodriguex/status/1687209891273031680</v>
      </c>
      <c r="AF257" s="79">
        <v>45141.883784722224</v>
      </c>
      <c r="AG257" s="85">
        <v>45141</v>
      </c>
      <c r="AH257" s="82" t="s">
        <v>8539</v>
      </c>
      <c r="AI257" s="77" t="b">
        <v>0</v>
      </c>
      <c r="AJ257" s="77"/>
      <c r="AK257" s="77"/>
      <c r="AL257" s="77"/>
      <c r="AM257" s="77"/>
      <c r="AN257" s="77"/>
      <c r="AO257" s="77"/>
      <c r="AP257" s="77"/>
      <c r="AQ257" s="77" t="s">
        <v>12253</v>
      </c>
      <c r="AR257" s="77">
        <v>85866</v>
      </c>
      <c r="AS257" s="77"/>
      <c r="AT257" s="77"/>
      <c r="AU257" s="77"/>
      <c r="AV257" s="80" t="str">
        <f>HYPERLINK("https://pbs.twimg.com/ext_tw_video_thumb/1687209780727697408/pu/img/44E8b-BZYHxh4Ktb.jpg")</f>
        <v>https://pbs.twimg.com/ext_tw_video_thumb/1687209780727697408/pu/img/44E8b-BZYHxh4Ktb.jpg</v>
      </c>
      <c r="AW257" s="82" t="s">
        <v>13360</v>
      </c>
      <c r="AX257" s="82" t="s">
        <v>13360</v>
      </c>
      <c r="AY257" s="77"/>
      <c r="AZ257" s="82" t="s">
        <v>17385</v>
      </c>
      <c r="BA257" s="82" t="s">
        <v>17385</v>
      </c>
      <c r="BB257" s="82" t="s">
        <v>17385</v>
      </c>
      <c r="BC257" s="82" t="s">
        <v>13360</v>
      </c>
      <c r="BD257" s="82" t="s">
        <v>17468</v>
      </c>
      <c r="BE257" s="77"/>
      <c r="BF257" s="77"/>
      <c r="BG257" s="77"/>
      <c r="BH257" s="77"/>
      <c r="BI257" s="77"/>
    </row>
    <row r="258" spans="1:61" x14ac:dyDescent="0.25">
      <c r="A258" s="62" t="s">
        <v>278</v>
      </c>
      <c r="B258" s="62" t="s">
        <v>278</v>
      </c>
      <c r="C258" s="63"/>
      <c r="D258" s="64"/>
      <c r="E258" s="65"/>
      <c r="F258" s="66"/>
      <c r="G258" s="63"/>
      <c r="H258" s="67"/>
      <c r="I258" s="68"/>
      <c r="J258" s="68"/>
      <c r="K258" s="32"/>
      <c r="L258" s="75">
        <v>258</v>
      </c>
      <c r="M258" s="75"/>
      <c r="N258" s="70"/>
      <c r="O258" s="77" t="s">
        <v>179</v>
      </c>
      <c r="P258" s="79">
        <v>45061.060289351852</v>
      </c>
      <c r="Q258" s="77" t="s">
        <v>1057</v>
      </c>
      <c r="R258" s="77">
        <v>0</v>
      </c>
      <c r="S258" s="77">
        <v>0</v>
      </c>
      <c r="T258" s="77">
        <v>0</v>
      </c>
      <c r="U258" s="77">
        <v>0</v>
      </c>
      <c r="V258" s="77">
        <v>539</v>
      </c>
      <c r="W258" s="82" t="s">
        <v>4951</v>
      </c>
      <c r="X258" s="77"/>
      <c r="Y258" s="77"/>
      <c r="Z258" s="77"/>
      <c r="AA258" s="77" t="s">
        <v>7369</v>
      </c>
      <c r="AB258" s="77" t="s">
        <v>8225</v>
      </c>
      <c r="AC258" s="82" t="s">
        <v>8234</v>
      </c>
      <c r="AD258" s="77" t="s">
        <v>8278</v>
      </c>
      <c r="AE258" s="80" t="str">
        <f>HYPERLINK("https://twitter.com/facolommoney/status/1657920436414341122")</f>
        <v>https://twitter.com/facolommoney/status/1657920436414341122</v>
      </c>
      <c r="AF258" s="79">
        <v>45061.060289351852</v>
      </c>
      <c r="AG258" s="85">
        <v>45061</v>
      </c>
      <c r="AH258" s="82" t="s">
        <v>8540</v>
      </c>
      <c r="AI258" s="77" t="b">
        <v>0</v>
      </c>
      <c r="AJ258" s="77"/>
      <c r="AK258" s="77"/>
      <c r="AL258" s="77"/>
      <c r="AM258" s="77"/>
      <c r="AN258" s="77"/>
      <c r="AO258" s="77"/>
      <c r="AP258" s="77"/>
      <c r="AQ258" s="77" t="s">
        <v>12254</v>
      </c>
      <c r="AR258" s="77"/>
      <c r="AS258" s="77"/>
      <c r="AT258" s="77"/>
      <c r="AU258" s="77"/>
      <c r="AV258" s="80" t="str">
        <f>HYPERLINK("https://pbs.twimg.com/media/FwId2Z-WIAMNGwD.jpg")</f>
        <v>https://pbs.twimg.com/media/FwId2Z-WIAMNGwD.jpg</v>
      </c>
      <c r="AW258" s="82" t="s">
        <v>13361</v>
      </c>
      <c r="AX258" s="82" t="s">
        <v>13361</v>
      </c>
      <c r="AY258" s="77"/>
      <c r="AZ258" s="82" t="s">
        <v>17385</v>
      </c>
      <c r="BA258" s="82" t="s">
        <v>17385</v>
      </c>
      <c r="BB258" s="82" t="s">
        <v>17385</v>
      </c>
      <c r="BC258" s="82" t="s">
        <v>13361</v>
      </c>
      <c r="BD258" s="82" t="s">
        <v>17469</v>
      </c>
      <c r="BE258" s="77"/>
      <c r="BF258" s="77"/>
      <c r="BG258" s="77"/>
      <c r="BH258" s="77"/>
      <c r="BI258" s="77"/>
    </row>
    <row r="259" spans="1:61" x14ac:dyDescent="0.25">
      <c r="A259" s="62" t="s">
        <v>278</v>
      </c>
      <c r="B259" s="62" t="s">
        <v>278</v>
      </c>
      <c r="C259" s="63"/>
      <c r="D259" s="64"/>
      <c r="E259" s="65"/>
      <c r="F259" s="66"/>
      <c r="G259" s="63"/>
      <c r="H259" s="67"/>
      <c r="I259" s="68"/>
      <c r="J259" s="68"/>
      <c r="K259" s="32"/>
      <c r="L259" s="75">
        <v>259</v>
      </c>
      <c r="M259" s="75"/>
      <c r="N259" s="70"/>
      <c r="O259" s="77" t="s">
        <v>179</v>
      </c>
      <c r="P259" s="79">
        <v>45060.836759259262</v>
      </c>
      <c r="Q259" s="77" t="s">
        <v>1058</v>
      </c>
      <c r="R259" s="77">
        <v>0</v>
      </c>
      <c r="S259" s="77">
        <v>0</v>
      </c>
      <c r="T259" s="77">
        <v>0</v>
      </c>
      <c r="U259" s="77">
        <v>0</v>
      </c>
      <c r="V259" s="77">
        <v>550</v>
      </c>
      <c r="W259" s="82" t="s">
        <v>4952</v>
      </c>
      <c r="X259" s="77"/>
      <c r="Y259" s="77"/>
      <c r="Z259" s="77"/>
      <c r="AA259" s="77" t="s">
        <v>7370</v>
      </c>
      <c r="AB259" s="77" t="s">
        <v>8225</v>
      </c>
      <c r="AC259" s="82" t="s">
        <v>8234</v>
      </c>
      <c r="AD259" s="77" t="s">
        <v>8278</v>
      </c>
      <c r="AE259" s="80" t="str">
        <f>HYPERLINK("https://twitter.com/facolommoney/status/1657839433469575172")</f>
        <v>https://twitter.com/facolommoney/status/1657839433469575172</v>
      </c>
      <c r="AF259" s="79">
        <v>45060.836759259262</v>
      </c>
      <c r="AG259" s="85">
        <v>45060</v>
      </c>
      <c r="AH259" s="82" t="s">
        <v>8541</v>
      </c>
      <c r="AI259" s="77" t="b">
        <v>0</v>
      </c>
      <c r="AJ259" s="77"/>
      <c r="AK259" s="77"/>
      <c r="AL259" s="77"/>
      <c r="AM259" s="77"/>
      <c r="AN259" s="77"/>
      <c r="AO259" s="77"/>
      <c r="AP259" s="77"/>
      <c r="AQ259" s="77" t="s">
        <v>12255</v>
      </c>
      <c r="AR259" s="77"/>
      <c r="AS259" s="77"/>
      <c r="AT259" s="77"/>
      <c r="AU259" s="77"/>
      <c r="AV259" s="80" t="str">
        <f>HYPERLINK("https://pbs.twimg.com/media/FwHULa8WwAE0SKJ.jpg")</f>
        <v>https://pbs.twimg.com/media/FwHULa8WwAE0SKJ.jpg</v>
      </c>
      <c r="AW259" s="82" t="s">
        <v>13362</v>
      </c>
      <c r="AX259" s="82" t="s">
        <v>13362</v>
      </c>
      <c r="AY259" s="77"/>
      <c r="AZ259" s="82" t="s">
        <v>17385</v>
      </c>
      <c r="BA259" s="82" t="s">
        <v>17385</v>
      </c>
      <c r="BB259" s="82" t="s">
        <v>17385</v>
      </c>
      <c r="BC259" s="82" t="s">
        <v>13362</v>
      </c>
      <c r="BD259" s="82" t="s">
        <v>17469</v>
      </c>
      <c r="BE259" s="77"/>
      <c r="BF259" s="77"/>
      <c r="BG259" s="77"/>
      <c r="BH259" s="77"/>
      <c r="BI259" s="77"/>
    </row>
    <row r="260" spans="1:61" x14ac:dyDescent="0.25">
      <c r="A260" s="62" t="s">
        <v>278</v>
      </c>
      <c r="B260" s="62" t="s">
        <v>278</v>
      </c>
      <c r="C260" s="63"/>
      <c r="D260" s="64"/>
      <c r="E260" s="65"/>
      <c r="F260" s="66"/>
      <c r="G260" s="63"/>
      <c r="H260" s="67"/>
      <c r="I260" s="68"/>
      <c r="J260" s="68"/>
      <c r="K260" s="32"/>
      <c r="L260" s="75">
        <v>260</v>
      </c>
      <c r="M260" s="75"/>
      <c r="N260" s="70"/>
      <c r="O260" s="77" t="s">
        <v>179</v>
      </c>
      <c r="P260" s="79">
        <v>45059.909537037034</v>
      </c>
      <c r="Q260" s="77" t="s">
        <v>1059</v>
      </c>
      <c r="R260" s="77">
        <v>0</v>
      </c>
      <c r="S260" s="77">
        <v>0</v>
      </c>
      <c r="T260" s="77">
        <v>0</v>
      </c>
      <c r="U260" s="77">
        <v>0</v>
      </c>
      <c r="V260" s="77">
        <v>701</v>
      </c>
      <c r="W260" s="82" t="s">
        <v>4953</v>
      </c>
      <c r="X260" s="77"/>
      <c r="Y260" s="77"/>
      <c r="Z260" s="77"/>
      <c r="AA260" s="77" t="s">
        <v>7371</v>
      </c>
      <c r="AB260" s="77" t="s">
        <v>8225</v>
      </c>
      <c r="AC260" s="82" t="s">
        <v>8234</v>
      </c>
      <c r="AD260" s="77" t="s">
        <v>8278</v>
      </c>
      <c r="AE260" s="80" t="str">
        <f>HYPERLINK("https://twitter.com/facolommoney/status/1657503416254361601")</f>
        <v>https://twitter.com/facolommoney/status/1657503416254361601</v>
      </c>
      <c r="AF260" s="79">
        <v>45059.909537037034</v>
      </c>
      <c r="AG260" s="85">
        <v>45059</v>
      </c>
      <c r="AH260" s="82" t="s">
        <v>8542</v>
      </c>
      <c r="AI260" s="77" t="b">
        <v>0</v>
      </c>
      <c r="AJ260" s="77"/>
      <c r="AK260" s="77"/>
      <c r="AL260" s="77"/>
      <c r="AM260" s="77"/>
      <c r="AN260" s="77"/>
      <c r="AO260" s="77"/>
      <c r="AP260" s="77"/>
      <c r="AQ260" s="77" t="s">
        <v>12256</v>
      </c>
      <c r="AR260" s="77"/>
      <c r="AS260" s="77"/>
      <c r="AT260" s="77"/>
      <c r="AU260" s="77"/>
      <c r="AV260" s="80" t="str">
        <f>HYPERLINK("https://pbs.twimg.com/media/FwCikqeWcAMTMaA.jpg")</f>
        <v>https://pbs.twimg.com/media/FwCikqeWcAMTMaA.jpg</v>
      </c>
      <c r="AW260" s="82" t="s">
        <v>13363</v>
      </c>
      <c r="AX260" s="82" t="s">
        <v>13363</v>
      </c>
      <c r="AY260" s="77"/>
      <c r="AZ260" s="82" t="s">
        <v>17385</v>
      </c>
      <c r="BA260" s="82" t="s">
        <v>17385</v>
      </c>
      <c r="BB260" s="82" t="s">
        <v>17385</v>
      </c>
      <c r="BC260" s="82" t="s">
        <v>13363</v>
      </c>
      <c r="BD260" s="82" t="s">
        <v>17469</v>
      </c>
      <c r="BE260" s="77"/>
      <c r="BF260" s="77"/>
      <c r="BG260" s="77"/>
      <c r="BH260" s="77"/>
      <c r="BI260" s="77"/>
    </row>
    <row r="261" spans="1:61" x14ac:dyDescent="0.25">
      <c r="A261" s="62" t="s">
        <v>278</v>
      </c>
      <c r="B261" s="62" t="s">
        <v>278</v>
      </c>
      <c r="C261" s="63"/>
      <c r="D261" s="64"/>
      <c r="E261" s="65"/>
      <c r="F261" s="66"/>
      <c r="G261" s="63"/>
      <c r="H261" s="67"/>
      <c r="I261" s="68"/>
      <c r="J261" s="68"/>
      <c r="K261" s="32"/>
      <c r="L261" s="75">
        <v>261</v>
      </c>
      <c r="M261" s="75"/>
      <c r="N261" s="70"/>
      <c r="O261" s="77" t="s">
        <v>179</v>
      </c>
      <c r="P261" s="79">
        <v>45068.669293981482</v>
      </c>
      <c r="Q261" s="77" t="s">
        <v>1060</v>
      </c>
      <c r="R261" s="77">
        <v>0</v>
      </c>
      <c r="S261" s="77">
        <v>0</v>
      </c>
      <c r="T261" s="77">
        <v>0</v>
      </c>
      <c r="U261" s="77">
        <v>0</v>
      </c>
      <c r="V261" s="77">
        <v>428</v>
      </c>
      <c r="W261" s="82" t="s">
        <v>4954</v>
      </c>
      <c r="X261" s="77"/>
      <c r="Y261" s="77"/>
      <c r="Z261" s="77"/>
      <c r="AA261" s="77" t="s">
        <v>7372</v>
      </c>
      <c r="AB261" s="77" t="s">
        <v>8225</v>
      </c>
      <c r="AC261" s="82" t="s">
        <v>8234</v>
      </c>
      <c r="AD261" s="77" t="s">
        <v>8278</v>
      </c>
      <c r="AE261" s="80" t="str">
        <f>HYPERLINK("https://twitter.com/facolommoney/status/1660677848410083331")</f>
        <v>https://twitter.com/facolommoney/status/1660677848410083331</v>
      </c>
      <c r="AF261" s="79">
        <v>45068.669293981482</v>
      </c>
      <c r="AG261" s="85">
        <v>45068</v>
      </c>
      <c r="AH261" s="82" t="s">
        <v>8543</v>
      </c>
      <c r="AI261" s="77" t="b">
        <v>0</v>
      </c>
      <c r="AJ261" s="77"/>
      <c r="AK261" s="77"/>
      <c r="AL261" s="77"/>
      <c r="AM261" s="77"/>
      <c r="AN261" s="77"/>
      <c r="AO261" s="77"/>
      <c r="AP261" s="77"/>
      <c r="AQ261" s="77" t="s">
        <v>12257</v>
      </c>
      <c r="AR261" s="77"/>
      <c r="AS261" s="77"/>
      <c r="AT261" s="77"/>
      <c r="AU261" s="77"/>
      <c r="AV261" s="80" t="str">
        <f>HYPERLINK("https://pbs.twimg.com/media/Fwvps9KXwAIB7Wu.jpg")</f>
        <v>https://pbs.twimg.com/media/Fwvps9KXwAIB7Wu.jpg</v>
      </c>
      <c r="AW261" s="82" t="s">
        <v>13364</v>
      </c>
      <c r="AX261" s="82" t="s">
        <v>13364</v>
      </c>
      <c r="AY261" s="77"/>
      <c r="AZ261" s="82" t="s">
        <v>17385</v>
      </c>
      <c r="BA261" s="82" t="s">
        <v>17385</v>
      </c>
      <c r="BB261" s="82" t="s">
        <v>17385</v>
      </c>
      <c r="BC261" s="82" t="s">
        <v>13364</v>
      </c>
      <c r="BD261" s="82" t="s">
        <v>17469</v>
      </c>
      <c r="BE261" s="77"/>
      <c r="BF261" s="77"/>
      <c r="BG261" s="77"/>
      <c r="BH261" s="77"/>
      <c r="BI261" s="77"/>
    </row>
    <row r="262" spans="1:61" x14ac:dyDescent="0.25">
      <c r="A262" s="62" t="s">
        <v>278</v>
      </c>
      <c r="B262" s="62" t="s">
        <v>278</v>
      </c>
      <c r="C262" s="63"/>
      <c r="D262" s="64"/>
      <c r="E262" s="65"/>
      <c r="F262" s="66"/>
      <c r="G262" s="63"/>
      <c r="H262" s="67"/>
      <c r="I262" s="68"/>
      <c r="J262" s="68"/>
      <c r="K262" s="32"/>
      <c r="L262" s="75">
        <v>262</v>
      </c>
      <c r="M262" s="75"/>
      <c r="N262" s="70"/>
      <c r="O262" s="77" t="s">
        <v>179</v>
      </c>
      <c r="P262" s="79">
        <v>45065.852708333332</v>
      </c>
      <c r="Q262" s="77" t="s">
        <v>1061</v>
      </c>
      <c r="R262" s="77">
        <v>0</v>
      </c>
      <c r="S262" s="77">
        <v>1</v>
      </c>
      <c r="T262" s="77">
        <v>0</v>
      </c>
      <c r="U262" s="77">
        <v>0</v>
      </c>
      <c r="V262" s="77">
        <v>1499</v>
      </c>
      <c r="W262" s="82" t="s">
        <v>4955</v>
      </c>
      <c r="X262" s="77"/>
      <c r="Y262" s="77"/>
      <c r="Z262" s="77"/>
      <c r="AA262" s="77" t="s">
        <v>7373</v>
      </c>
      <c r="AB262" s="77" t="s">
        <v>8225</v>
      </c>
      <c r="AC262" s="82" t="s">
        <v>8234</v>
      </c>
      <c r="AD262" s="77" t="s">
        <v>8278</v>
      </c>
      <c r="AE262" s="80" t="str">
        <f>HYPERLINK("https://twitter.com/facolommoney/status/1659657151822831638")</f>
        <v>https://twitter.com/facolommoney/status/1659657151822831638</v>
      </c>
      <c r="AF262" s="79">
        <v>45065.852708333332</v>
      </c>
      <c r="AG262" s="85">
        <v>45065</v>
      </c>
      <c r="AH262" s="82" t="s">
        <v>8544</v>
      </c>
      <c r="AI262" s="77" t="b">
        <v>0</v>
      </c>
      <c r="AJ262" s="77"/>
      <c r="AK262" s="77"/>
      <c r="AL262" s="77"/>
      <c r="AM262" s="77"/>
      <c r="AN262" s="77"/>
      <c r="AO262" s="77"/>
      <c r="AP262" s="77"/>
      <c r="AQ262" s="77" t="s">
        <v>12258</v>
      </c>
      <c r="AR262" s="77"/>
      <c r="AS262" s="77"/>
      <c r="AT262" s="77"/>
      <c r="AU262" s="77"/>
      <c r="AV262" s="80" t="str">
        <f>HYPERLINK("https://pbs.twimg.com/media/FwhJYkGWIBMAmX4.jpg")</f>
        <v>https://pbs.twimg.com/media/FwhJYkGWIBMAmX4.jpg</v>
      </c>
      <c r="AW262" s="82" t="s">
        <v>13365</v>
      </c>
      <c r="AX262" s="82" t="s">
        <v>13365</v>
      </c>
      <c r="AY262" s="77"/>
      <c r="AZ262" s="82" t="s">
        <v>17385</v>
      </c>
      <c r="BA262" s="82" t="s">
        <v>17385</v>
      </c>
      <c r="BB262" s="82" t="s">
        <v>17385</v>
      </c>
      <c r="BC262" s="82" t="s">
        <v>13365</v>
      </c>
      <c r="BD262" s="82" t="s">
        <v>17469</v>
      </c>
      <c r="BE262" s="77"/>
      <c r="BF262" s="77"/>
      <c r="BG262" s="77"/>
      <c r="BH262" s="77"/>
      <c r="BI262" s="77"/>
    </row>
    <row r="263" spans="1:61" x14ac:dyDescent="0.25">
      <c r="A263" s="62" t="s">
        <v>278</v>
      </c>
      <c r="B263" s="62" t="s">
        <v>278</v>
      </c>
      <c r="C263" s="63"/>
      <c r="D263" s="64"/>
      <c r="E263" s="65"/>
      <c r="F263" s="66"/>
      <c r="G263" s="63"/>
      <c r="H263" s="67"/>
      <c r="I263" s="68"/>
      <c r="J263" s="68"/>
      <c r="K263" s="32"/>
      <c r="L263" s="75">
        <v>263</v>
      </c>
      <c r="M263" s="75"/>
      <c r="N263" s="70"/>
      <c r="O263" s="77" t="s">
        <v>179</v>
      </c>
      <c r="P263" s="79">
        <v>45065.041342592594</v>
      </c>
      <c r="Q263" s="77" t="s">
        <v>1062</v>
      </c>
      <c r="R263" s="77">
        <v>0</v>
      </c>
      <c r="S263" s="77">
        <v>0</v>
      </c>
      <c r="T263" s="77">
        <v>0</v>
      </c>
      <c r="U263" s="77">
        <v>0</v>
      </c>
      <c r="V263" s="77">
        <v>1924</v>
      </c>
      <c r="W263" s="82" t="s">
        <v>4956</v>
      </c>
      <c r="X263" s="77"/>
      <c r="Y263" s="77"/>
      <c r="Z263" s="77"/>
      <c r="AA263" s="77" t="s">
        <v>7374</v>
      </c>
      <c r="AB263" s="77" t="s">
        <v>8225</v>
      </c>
      <c r="AC263" s="82" t="s">
        <v>8234</v>
      </c>
      <c r="AD263" s="77" t="s">
        <v>8278</v>
      </c>
      <c r="AE263" s="80" t="str">
        <f>HYPERLINK("https://twitter.com/facolommoney/status/1659363124242153478")</f>
        <v>https://twitter.com/facolommoney/status/1659363124242153478</v>
      </c>
      <c r="AF263" s="79">
        <v>45065.041342592594</v>
      </c>
      <c r="AG263" s="85">
        <v>45065</v>
      </c>
      <c r="AH263" s="82" t="s">
        <v>8545</v>
      </c>
      <c r="AI263" s="77" t="b">
        <v>0</v>
      </c>
      <c r="AJ263" s="77"/>
      <c r="AK263" s="77"/>
      <c r="AL263" s="77"/>
      <c r="AM263" s="77"/>
      <c r="AN263" s="77"/>
      <c r="AO263" s="77"/>
      <c r="AP263" s="77"/>
      <c r="AQ263" s="77" t="s">
        <v>12259</v>
      </c>
      <c r="AR263" s="77"/>
      <c r="AS263" s="77"/>
      <c r="AT263" s="77"/>
      <c r="AU263" s="77"/>
      <c r="AV263" s="80" t="str">
        <f>HYPERLINK("https://pbs.twimg.com/media/Fwc9968XwAY7MOp.jpg")</f>
        <v>https://pbs.twimg.com/media/Fwc9968XwAY7MOp.jpg</v>
      </c>
      <c r="AW263" s="82" t="s">
        <v>13366</v>
      </c>
      <c r="AX263" s="82" t="s">
        <v>13366</v>
      </c>
      <c r="AY263" s="77"/>
      <c r="AZ263" s="82" t="s">
        <v>17385</v>
      </c>
      <c r="BA263" s="82" t="s">
        <v>17385</v>
      </c>
      <c r="BB263" s="82" t="s">
        <v>17385</v>
      </c>
      <c r="BC263" s="82" t="s">
        <v>13366</v>
      </c>
      <c r="BD263" s="82" t="s">
        <v>17469</v>
      </c>
      <c r="BE263" s="77"/>
      <c r="BF263" s="77"/>
      <c r="BG263" s="77"/>
      <c r="BH263" s="77"/>
      <c r="BI263" s="77"/>
    </row>
    <row r="264" spans="1:61" x14ac:dyDescent="0.25">
      <c r="A264" s="62" t="s">
        <v>278</v>
      </c>
      <c r="B264" s="62" t="s">
        <v>278</v>
      </c>
      <c r="C264" s="63"/>
      <c r="D264" s="64"/>
      <c r="E264" s="65"/>
      <c r="F264" s="66"/>
      <c r="G264" s="63"/>
      <c r="H264" s="67"/>
      <c r="I264" s="68"/>
      <c r="J264" s="68"/>
      <c r="K264" s="32"/>
      <c r="L264" s="75">
        <v>264</v>
      </c>
      <c r="M264" s="75"/>
      <c r="N264" s="70"/>
      <c r="O264" s="77" t="s">
        <v>179</v>
      </c>
      <c r="P264" s="79">
        <v>45064.850370370368</v>
      </c>
      <c r="Q264" s="77" t="s">
        <v>1063</v>
      </c>
      <c r="R264" s="77">
        <v>0</v>
      </c>
      <c r="S264" s="77">
        <v>0</v>
      </c>
      <c r="T264" s="77">
        <v>0</v>
      </c>
      <c r="U264" s="77">
        <v>0</v>
      </c>
      <c r="V264" s="77">
        <v>1271</v>
      </c>
      <c r="W264" s="82" t="s">
        <v>4955</v>
      </c>
      <c r="X264" s="77"/>
      <c r="Y264" s="77"/>
      <c r="Z264" s="77"/>
      <c r="AA264" s="77" t="s">
        <v>7375</v>
      </c>
      <c r="AB264" s="77" t="s">
        <v>8225</v>
      </c>
      <c r="AC264" s="82" t="s">
        <v>8234</v>
      </c>
      <c r="AD264" s="77" t="s">
        <v>8278</v>
      </c>
      <c r="AE264" s="80" t="str">
        <f>HYPERLINK("https://twitter.com/facolommoney/status/1659293916863004672")</f>
        <v>https://twitter.com/facolommoney/status/1659293916863004672</v>
      </c>
      <c r="AF264" s="79">
        <v>45064.850370370368</v>
      </c>
      <c r="AG264" s="85">
        <v>45064</v>
      </c>
      <c r="AH264" s="82" t="s">
        <v>8546</v>
      </c>
      <c r="AI264" s="77" t="b">
        <v>0</v>
      </c>
      <c r="AJ264" s="77"/>
      <c r="AK264" s="77"/>
      <c r="AL264" s="77"/>
      <c r="AM264" s="77"/>
      <c r="AN264" s="77"/>
      <c r="AO264" s="77"/>
      <c r="AP264" s="77"/>
      <c r="AQ264" s="77" t="s">
        <v>12260</v>
      </c>
      <c r="AR264" s="77"/>
      <c r="AS264" s="77"/>
      <c r="AT264" s="77"/>
      <c r="AU264" s="77"/>
      <c r="AV264" s="80" t="str">
        <f>HYPERLINK("https://pbs.twimg.com/media/Fwb_BfpWcBQflJe.jpg")</f>
        <v>https://pbs.twimg.com/media/Fwb_BfpWcBQflJe.jpg</v>
      </c>
      <c r="AW264" s="82" t="s">
        <v>13367</v>
      </c>
      <c r="AX264" s="82" t="s">
        <v>13367</v>
      </c>
      <c r="AY264" s="77"/>
      <c r="AZ264" s="82" t="s">
        <v>17385</v>
      </c>
      <c r="BA264" s="82" t="s">
        <v>17385</v>
      </c>
      <c r="BB264" s="82" t="s">
        <v>17385</v>
      </c>
      <c r="BC264" s="82" t="s">
        <v>13367</v>
      </c>
      <c r="BD264" s="82" t="s">
        <v>17469</v>
      </c>
      <c r="BE264" s="77"/>
      <c r="BF264" s="77"/>
      <c r="BG264" s="77"/>
      <c r="BH264" s="77"/>
      <c r="BI264" s="77"/>
    </row>
    <row r="265" spans="1:61" x14ac:dyDescent="0.25">
      <c r="A265" s="62" t="s">
        <v>278</v>
      </c>
      <c r="B265" s="62" t="s">
        <v>278</v>
      </c>
      <c r="C265" s="63"/>
      <c r="D265" s="64"/>
      <c r="E265" s="65"/>
      <c r="F265" s="66"/>
      <c r="G265" s="63"/>
      <c r="H265" s="67"/>
      <c r="I265" s="68"/>
      <c r="J265" s="68"/>
      <c r="K265" s="32"/>
      <c r="L265" s="75">
        <v>265</v>
      </c>
      <c r="M265" s="75"/>
      <c r="N265" s="70"/>
      <c r="O265" s="77" t="s">
        <v>179</v>
      </c>
      <c r="P265" s="79">
        <v>45073.913472222222</v>
      </c>
      <c r="Q265" s="77" t="s">
        <v>1064</v>
      </c>
      <c r="R265" s="77">
        <v>0</v>
      </c>
      <c r="S265" s="77">
        <v>1</v>
      </c>
      <c r="T265" s="77">
        <v>0</v>
      </c>
      <c r="U265" s="77">
        <v>0</v>
      </c>
      <c r="V265" s="77">
        <v>1153</v>
      </c>
      <c r="W265" s="82" t="s">
        <v>4957</v>
      </c>
      <c r="X265" s="77"/>
      <c r="Y265" s="77"/>
      <c r="Z265" s="77"/>
      <c r="AA265" s="77" t="s">
        <v>7376</v>
      </c>
      <c r="AB265" s="77" t="s">
        <v>8225</v>
      </c>
      <c r="AC265" s="82" t="s">
        <v>8234</v>
      </c>
      <c r="AD265" s="77" t="s">
        <v>8278</v>
      </c>
      <c r="AE265" s="80" t="str">
        <f>HYPERLINK("https://twitter.com/facolommoney/status/1662578275418357760")</f>
        <v>https://twitter.com/facolommoney/status/1662578275418357760</v>
      </c>
      <c r="AF265" s="79">
        <v>45073.913472222222</v>
      </c>
      <c r="AG265" s="85">
        <v>45073</v>
      </c>
      <c r="AH265" s="82" t="s">
        <v>8547</v>
      </c>
      <c r="AI265" s="77" t="b">
        <v>0</v>
      </c>
      <c r="AJ265" s="77"/>
      <c r="AK265" s="77"/>
      <c r="AL265" s="77"/>
      <c r="AM265" s="77"/>
      <c r="AN265" s="77"/>
      <c r="AO265" s="77"/>
      <c r="AP265" s="77"/>
      <c r="AQ265" s="77" t="s">
        <v>12261</v>
      </c>
      <c r="AR265" s="77"/>
      <c r="AS265" s="77"/>
      <c r="AT265" s="77"/>
      <c r="AU265" s="77"/>
      <c r="AV265" s="80" t="str">
        <f>HYPERLINK("https://pbs.twimg.com/media/FxKqIUZX0AEJGEf.jpg")</f>
        <v>https://pbs.twimg.com/media/FxKqIUZX0AEJGEf.jpg</v>
      </c>
      <c r="AW265" s="82" t="s">
        <v>13368</v>
      </c>
      <c r="AX265" s="82" t="s">
        <v>13368</v>
      </c>
      <c r="AY265" s="77"/>
      <c r="AZ265" s="82" t="s">
        <v>17385</v>
      </c>
      <c r="BA265" s="82" t="s">
        <v>17385</v>
      </c>
      <c r="BB265" s="82" t="s">
        <v>17385</v>
      </c>
      <c r="BC265" s="82" t="s">
        <v>13368</v>
      </c>
      <c r="BD265" s="82" t="s">
        <v>17469</v>
      </c>
      <c r="BE265" s="77"/>
      <c r="BF265" s="77"/>
      <c r="BG265" s="77"/>
      <c r="BH265" s="77"/>
      <c r="BI265" s="77"/>
    </row>
    <row r="266" spans="1:61" x14ac:dyDescent="0.25">
      <c r="A266" s="62" t="s">
        <v>278</v>
      </c>
      <c r="B266" s="62" t="s">
        <v>278</v>
      </c>
      <c r="C266" s="63"/>
      <c r="D266" s="64"/>
      <c r="E266" s="65"/>
      <c r="F266" s="66"/>
      <c r="G266" s="63"/>
      <c r="H266" s="67"/>
      <c r="I266" s="68"/>
      <c r="J266" s="68"/>
      <c r="K266" s="32"/>
      <c r="L266" s="75">
        <v>266</v>
      </c>
      <c r="M266" s="75"/>
      <c r="N266" s="70"/>
      <c r="O266" s="77" t="s">
        <v>179</v>
      </c>
      <c r="P266" s="79">
        <v>45072.910428240742</v>
      </c>
      <c r="Q266" s="77" t="s">
        <v>1065</v>
      </c>
      <c r="R266" s="77">
        <v>0</v>
      </c>
      <c r="S266" s="77">
        <v>1</v>
      </c>
      <c r="T266" s="77">
        <v>0</v>
      </c>
      <c r="U266" s="77">
        <v>0</v>
      </c>
      <c r="V266" s="77">
        <v>490</v>
      </c>
      <c r="W266" s="82" t="s">
        <v>4958</v>
      </c>
      <c r="X266" s="77"/>
      <c r="Y266" s="77"/>
      <c r="Z266" s="77"/>
      <c r="AA266" s="77" t="s">
        <v>7377</v>
      </c>
      <c r="AB266" s="77" t="s">
        <v>8225</v>
      </c>
      <c r="AC266" s="82" t="s">
        <v>8234</v>
      </c>
      <c r="AD266" s="77" t="s">
        <v>8281</v>
      </c>
      <c r="AE266" s="80" t="str">
        <f>HYPERLINK("https://twitter.com/facolommoney/status/1662214781712076800")</f>
        <v>https://twitter.com/facolommoney/status/1662214781712076800</v>
      </c>
      <c r="AF266" s="79">
        <v>45072.910428240742</v>
      </c>
      <c r="AG266" s="85">
        <v>45072</v>
      </c>
      <c r="AH266" s="82" t="s">
        <v>8548</v>
      </c>
      <c r="AI266" s="77" t="b">
        <v>0</v>
      </c>
      <c r="AJ266" s="77"/>
      <c r="AK266" s="77"/>
      <c r="AL266" s="77"/>
      <c r="AM266" s="77"/>
      <c r="AN266" s="77"/>
      <c r="AO266" s="77"/>
      <c r="AP266" s="77"/>
      <c r="AQ266" s="77" t="s">
        <v>12262</v>
      </c>
      <c r="AR266" s="77"/>
      <c r="AS266" s="77"/>
      <c r="AT266" s="77"/>
      <c r="AU266" s="77"/>
      <c r="AV266" s="80" t="str">
        <f>HYPERLINK("https://pbs.twimg.com/media/FxFfiNjXgAMVJuw.jpg")</f>
        <v>https://pbs.twimg.com/media/FxFfiNjXgAMVJuw.jpg</v>
      </c>
      <c r="AW266" s="82" t="s">
        <v>13369</v>
      </c>
      <c r="AX266" s="82" t="s">
        <v>13369</v>
      </c>
      <c r="AY266" s="77"/>
      <c r="AZ266" s="82" t="s">
        <v>17385</v>
      </c>
      <c r="BA266" s="82" t="s">
        <v>17385</v>
      </c>
      <c r="BB266" s="82" t="s">
        <v>17385</v>
      </c>
      <c r="BC266" s="82" t="s">
        <v>13369</v>
      </c>
      <c r="BD266" s="82" t="s">
        <v>17469</v>
      </c>
      <c r="BE266" s="77"/>
      <c r="BF266" s="77"/>
      <c r="BG266" s="77"/>
      <c r="BH266" s="77"/>
      <c r="BI266" s="77"/>
    </row>
    <row r="267" spans="1:61" x14ac:dyDescent="0.25">
      <c r="A267" s="62" t="s">
        <v>278</v>
      </c>
      <c r="B267" s="62" t="s">
        <v>278</v>
      </c>
      <c r="C267" s="63"/>
      <c r="D267" s="64"/>
      <c r="E267" s="65"/>
      <c r="F267" s="66"/>
      <c r="G267" s="63"/>
      <c r="H267" s="67"/>
      <c r="I267" s="68"/>
      <c r="J267" s="68"/>
      <c r="K267" s="32"/>
      <c r="L267" s="75">
        <v>267</v>
      </c>
      <c r="M267" s="75"/>
      <c r="N267" s="70"/>
      <c r="O267" s="77" t="s">
        <v>179</v>
      </c>
      <c r="P267" s="79">
        <v>45062.687893518516</v>
      </c>
      <c r="Q267" s="77" t="s">
        <v>1066</v>
      </c>
      <c r="R267" s="77">
        <v>0</v>
      </c>
      <c r="S267" s="77">
        <v>0</v>
      </c>
      <c r="T267" s="77">
        <v>0</v>
      </c>
      <c r="U267" s="77">
        <v>0</v>
      </c>
      <c r="V267" s="77">
        <v>622</v>
      </c>
      <c r="W267" s="82" t="s">
        <v>4959</v>
      </c>
      <c r="X267" s="77"/>
      <c r="Y267" s="77"/>
      <c r="Z267" s="77"/>
      <c r="AA267" s="77" t="s">
        <v>7378</v>
      </c>
      <c r="AB267" s="77" t="s">
        <v>8225</v>
      </c>
      <c r="AC267" s="82" t="s">
        <v>8234</v>
      </c>
      <c r="AD267" s="77" t="s">
        <v>8278</v>
      </c>
      <c r="AE267" s="80" t="str">
        <f>HYPERLINK("https://twitter.com/facolommoney/status/1658510260502396933")</f>
        <v>https://twitter.com/facolommoney/status/1658510260502396933</v>
      </c>
      <c r="AF267" s="79">
        <v>45062.687893518516</v>
      </c>
      <c r="AG267" s="85">
        <v>45062</v>
      </c>
      <c r="AH267" s="82" t="s">
        <v>8549</v>
      </c>
      <c r="AI267" s="77" t="b">
        <v>0</v>
      </c>
      <c r="AJ267" s="77"/>
      <c r="AK267" s="77"/>
      <c r="AL267" s="77"/>
      <c r="AM267" s="77"/>
      <c r="AN267" s="77"/>
      <c r="AO267" s="77"/>
      <c r="AP267" s="77"/>
      <c r="AQ267" s="77" t="s">
        <v>12263</v>
      </c>
      <c r="AR267" s="77"/>
      <c r="AS267" s="77"/>
      <c r="AT267" s="77"/>
      <c r="AU267" s="77"/>
      <c r="AV267" s="80" t="str">
        <f>HYPERLINK("https://pbs.twimg.com/media/FwQ2SspXsAAnHnL.jpg")</f>
        <v>https://pbs.twimg.com/media/FwQ2SspXsAAnHnL.jpg</v>
      </c>
      <c r="AW267" s="82" t="s">
        <v>13370</v>
      </c>
      <c r="AX267" s="82" t="s">
        <v>13370</v>
      </c>
      <c r="AY267" s="77"/>
      <c r="AZ267" s="82" t="s">
        <v>17385</v>
      </c>
      <c r="BA267" s="82" t="s">
        <v>17385</v>
      </c>
      <c r="BB267" s="82" t="s">
        <v>17385</v>
      </c>
      <c r="BC267" s="82" t="s">
        <v>13370</v>
      </c>
      <c r="BD267" s="82" t="s">
        <v>17469</v>
      </c>
      <c r="BE267" s="77"/>
      <c r="BF267" s="77"/>
      <c r="BG267" s="77"/>
      <c r="BH267" s="77"/>
      <c r="BI267" s="77"/>
    </row>
    <row r="268" spans="1:61" x14ac:dyDescent="0.25">
      <c r="A268" s="62" t="s">
        <v>278</v>
      </c>
      <c r="B268" s="62" t="s">
        <v>278</v>
      </c>
      <c r="C268" s="63"/>
      <c r="D268" s="64"/>
      <c r="E268" s="65"/>
      <c r="F268" s="66"/>
      <c r="G268" s="63"/>
      <c r="H268" s="67"/>
      <c r="I268" s="68"/>
      <c r="J268" s="68"/>
      <c r="K268" s="32"/>
      <c r="L268" s="75">
        <v>268</v>
      </c>
      <c r="M268" s="75"/>
      <c r="N268" s="70"/>
      <c r="O268" s="77" t="s">
        <v>179</v>
      </c>
      <c r="P268" s="79">
        <v>45062.032210648147</v>
      </c>
      <c r="Q268" s="77" t="s">
        <v>1067</v>
      </c>
      <c r="R268" s="77">
        <v>0</v>
      </c>
      <c r="S268" s="77">
        <v>0</v>
      </c>
      <c r="T268" s="77">
        <v>0</v>
      </c>
      <c r="U268" s="77">
        <v>0</v>
      </c>
      <c r="V268" s="77">
        <v>563</v>
      </c>
      <c r="W268" s="82" t="s">
        <v>4960</v>
      </c>
      <c r="X268" s="77"/>
      <c r="Y268" s="77"/>
      <c r="Z268" s="77"/>
      <c r="AA268" s="77" t="s">
        <v>7379</v>
      </c>
      <c r="AB268" s="77" t="s">
        <v>8225</v>
      </c>
      <c r="AC268" s="82" t="s">
        <v>8234</v>
      </c>
      <c r="AD268" s="77" t="s">
        <v>8278</v>
      </c>
      <c r="AE268" s="80" t="str">
        <f>HYPERLINK("https://twitter.com/facolommoney/status/1658272651503104000")</f>
        <v>https://twitter.com/facolommoney/status/1658272651503104000</v>
      </c>
      <c r="AF268" s="79">
        <v>45062.032210648147</v>
      </c>
      <c r="AG268" s="85">
        <v>45062</v>
      </c>
      <c r="AH268" s="82" t="s">
        <v>8550</v>
      </c>
      <c r="AI268" s="77" t="b">
        <v>0</v>
      </c>
      <c r="AJ268" s="77"/>
      <c r="AK268" s="77"/>
      <c r="AL268" s="77"/>
      <c r="AM268" s="77"/>
      <c r="AN268" s="77"/>
      <c r="AO268" s="77"/>
      <c r="AP268" s="77"/>
      <c r="AQ268" s="77" t="s">
        <v>12264</v>
      </c>
      <c r="AR268" s="77"/>
      <c r="AS268" s="77"/>
      <c r="AT268" s="77"/>
      <c r="AU268" s="77"/>
      <c r="AV268" s="80" t="str">
        <f>HYPERLINK("https://pbs.twimg.com/media/FwNeMCbXoAAxBW_.jpg")</f>
        <v>https://pbs.twimg.com/media/FwNeMCbXoAAxBW_.jpg</v>
      </c>
      <c r="AW268" s="82" t="s">
        <v>13371</v>
      </c>
      <c r="AX268" s="82" t="s">
        <v>13371</v>
      </c>
      <c r="AY268" s="77"/>
      <c r="AZ268" s="82" t="s">
        <v>17385</v>
      </c>
      <c r="BA268" s="82" t="s">
        <v>17385</v>
      </c>
      <c r="BB268" s="82" t="s">
        <v>17385</v>
      </c>
      <c r="BC268" s="82" t="s">
        <v>13371</v>
      </c>
      <c r="BD268" s="82" t="s">
        <v>17469</v>
      </c>
      <c r="BE268" s="77"/>
      <c r="BF268" s="77"/>
      <c r="BG268" s="77"/>
      <c r="BH268" s="77"/>
      <c r="BI268" s="77"/>
    </row>
    <row r="269" spans="1:61" x14ac:dyDescent="0.25">
      <c r="A269" s="62" t="s">
        <v>278</v>
      </c>
      <c r="B269" s="62" t="s">
        <v>278</v>
      </c>
      <c r="C269" s="63"/>
      <c r="D269" s="64"/>
      <c r="E269" s="65"/>
      <c r="F269" s="66"/>
      <c r="G269" s="63"/>
      <c r="H269" s="67"/>
      <c r="I269" s="68"/>
      <c r="J269" s="68"/>
      <c r="K269" s="32"/>
      <c r="L269" s="75">
        <v>269</v>
      </c>
      <c r="M269" s="75"/>
      <c r="N269" s="70"/>
      <c r="O269" s="77" t="s">
        <v>179</v>
      </c>
      <c r="P269" s="79">
        <v>45061.847094907411</v>
      </c>
      <c r="Q269" s="77" t="s">
        <v>1068</v>
      </c>
      <c r="R269" s="77">
        <v>0</v>
      </c>
      <c r="S269" s="77">
        <v>1</v>
      </c>
      <c r="T269" s="77">
        <v>0</v>
      </c>
      <c r="U269" s="77">
        <v>0</v>
      </c>
      <c r="V269" s="77">
        <v>757</v>
      </c>
      <c r="W269" s="82" t="s">
        <v>4955</v>
      </c>
      <c r="X269" s="77"/>
      <c r="Y269" s="77"/>
      <c r="Z269" s="77"/>
      <c r="AA269" s="77" t="s">
        <v>7380</v>
      </c>
      <c r="AB269" s="77" t="s">
        <v>8225</v>
      </c>
      <c r="AC269" s="82" t="s">
        <v>8234</v>
      </c>
      <c r="AD269" s="77" t="s">
        <v>8278</v>
      </c>
      <c r="AE269" s="80" t="str">
        <f>HYPERLINK("https://twitter.com/facolommoney/status/1658205563669413888")</f>
        <v>https://twitter.com/facolommoney/status/1658205563669413888</v>
      </c>
      <c r="AF269" s="79">
        <v>45061.847094907411</v>
      </c>
      <c r="AG269" s="85">
        <v>45061</v>
      </c>
      <c r="AH269" s="82" t="s">
        <v>8551</v>
      </c>
      <c r="AI269" s="77" t="b">
        <v>0</v>
      </c>
      <c r="AJ269" s="77"/>
      <c r="AK269" s="77"/>
      <c r="AL269" s="77"/>
      <c r="AM269" s="77"/>
      <c r="AN269" s="77"/>
      <c r="AO269" s="77"/>
      <c r="AP269" s="77"/>
      <c r="AQ269" s="77" t="s">
        <v>12265</v>
      </c>
      <c r="AR269" s="77"/>
      <c r="AS269" s="77"/>
      <c r="AT269" s="77"/>
      <c r="AU269" s="77"/>
      <c r="AV269" s="80" t="str">
        <f>HYPERLINK("https://pbs.twimg.com/media/FwMhK9aWIBcnY-C.jpg")</f>
        <v>https://pbs.twimg.com/media/FwMhK9aWIBcnY-C.jpg</v>
      </c>
      <c r="AW269" s="82" t="s">
        <v>13372</v>
      </c>
      <c r="AX269" s="82" t="s">
        <v>13372</v>
      </c>
      <c r="AY269" s="77"/>
      <c r="AZ269" s="82" t="s">
        <v>17385</v>
      </c>
      <c r="BA269" s="82" t="s">
        <v>17385</v>
      </c>
      <c r="BB269" s="82" t="s">
        <v>17385</v>
      </c>
      <c r="BC269" s="82" t="s">
        <v>13372</v>
      </c>
      <c r="BD269" s="82" t="s">
        <v>17469</v>
      </c>
      <c r="BE269" s="77"/>
      <c r="BF269" s="77"/>
      <c r="BG269" s="77"/>
      <c r="BH269" s="77"/>
      <c r="BI269" s="77"/>
    </row>
    <row r="270" spans="1:61" x14ac:dyDescent="0.25">
      <c r="A270" s="62" t="s">
        <v>278</v>
      </c>
      <c r="B270" s="62" t="s">
        <v>278</v>
      </c>
      <c r="C270" s="63"/>
      <c r="D270" s="64"/>
      <c r="E270" s="65"/>
      <c r="F270" s="66"/>
      <c r="G270" s="63"/>
      <c r="H270" s="67"/>
      <c r="I270" s="68"/>
      <c r="J270" s="68"/>
      <c r="K270" s="32"/>
      <c r="L270" s="75">
        <v>270</v>
      </c>
      <c r="M270" s="75"/>
      <c r="N270" s="70"/>
      <c r="O270" s="77" t="s">
        <v>179</v>
      </c>
      <c r="P270" s="79">
        <v>45061.702418981484</v>
      </c>
      <c r="Q270" s="77" t="s">
        <v>1069</v>
      </c>
      <c r="R270" s="77">
        <v>0</v>
      </c>
      <c r="S270" s="77">
        <v>0</v>
      </c>
      <c r="T270" s="77">
        <v>0</v>
      </c>
      <c r="U270" s="77">
        <v>0</v>
      </c>
      <c r="V270" s="77">
        <v>318</v>
      </c>
      <c r="W270" s="82" t="s">
        <v>4961</v>
      </c>
      <c r="X270" s="77"/>
      <c r="Y270" s="77"/>
      <c r="Z270" s="77"/>
      <c r="AA270" s="77" t="s">
        <v>7381</v>
      </c>
      <c r="AB270" s="77" t="s">
        <v>8225</v>
      </c>
      <c r="AC270" s="82" t="s">
        <v>8234</v>
      </c>
      <c r="AD270" s="77" t="s">
        <v>8278</v>
      </c>
      <c r="AE270" s="80" t="str">
        <f>HYPERLINK("https://twitter.com/facolommoney/status/1658153135163027467")</f>
        <v>https://twitter.com/facolommoney/status/1658153135163027467</v>
      </c>
      <c r="AF270" s="79">
        <v>45061.702418981484</v>
      </c>
      <c r="AG270" s="85">
        <v>45061</v>
      </c>
      <c r="AH270" s="82" t="s">
        <v>8552</v>
      </c>
      <c r="AI270" s="77" t="b">
        <v>0</v>
      </c>
      <c r="AJ270" s="77"/>
      <c r="AK270" s="77"/>
      <c r="AL270" s="77"/>
      <c r="AM270" s="77"/>
      <c r="AN270" s="77"/>
      <c r="AO270" s="77"/>
      <c r="AP270" s="77"/>
      <c r="AQ270" s="77" t="s">
        <v>12266</v>
      </c>
      <c r="AR270" s="77"/>
      <c r="AS270" s="77"/>
      <c r="AT270" s="77"/>
      <c r="AU270" s="77"/>
      <c r="AV270" s="80" t="str">
        <f>HYPERLINK("https://pbs.twimg.com/media/FwLxfTeXsBMr4w1.jpg")</f>
        <v>https://pbs.twimg.com/media/FwLxfTeXsBMr4w1.jpg</v>
      </c>
      <c r="AW270" s="82" t="s">
        <v>13373</v>
      </c>
      <c r="AX270" s="82" t="s">
        <v>13373</v>
      </c>
      <c r="AY270" s="77"/>
      <c r="AZ270" s="82" t="s">
        <v>17385</v>
      </c>
      <c r="BA270" s="82" t="s">
        <v>17385</v>
      </c>
      <c r="BB270" s="82" t="s">
        <v>17385</v>
      </c>
      <c r="BC270" s="82" t="s">
        <v>13373</v>
      </c>
      <c r="BD270" s="82" t="s">
        <v>17469</v>
      </c>
      <c r="BE270" s="77"/>
      <c r="BF270" s="77"/>
      <c r="BG270" s="77"/>
      <c r="BH270" s="77"/>
      <c r="BI270" s="77"/>
    </row>
    <row r="271" spans="1:61" x14ac:dyDescent="0.25">
      <c r="A271" s="62" t="s">
        <v>278</v>
      </c>
      <c r="B271" s="62" t="s">
        <v>278</v>
      </c>
      <c r="C271" s="63"/>
      <c r="D271" s="64"/>
      <c r="E271" s="65"/>
      <c r="F271" s="66"/>
      <c r="G271" s="63"/>
      <c r="H271" s="67"/>
      <c r="I271" s="68"/>
      <c r="J271" s="68"/>
      <c r="K271" s="32"/>
      <c r="L271" s="75">
        <v>271</v>
      </c>
      <c r="M271" s="75"/>
      <c r="N271" s="70"/>
      <c r="O271" s="77" t="s">
        <v>179</v>
      </c>
      <c r="P271" s="79">
        <v>45080.422905092593</v>
      </c>
      <c r="Q271" s="77" t="s">
        <v>1070</v>
      </c>
      <c r="R271" s="77">
        <v>0</v>
      </c>
      <c r="S271" s="77">
        <v>0</v>
      </c>
      <c r="T271" s="77">
        <v>0</v>
      </c>
      <c r="U271" s="77">
        <v>0</v>
      </c>
      <c r="V271" s="77">
        <v>338</v>
      </c>
      <c r="W271" s="82" t="s">
        <v>4962</v>
      </c>
      <c r="X271" s="77"/>
      <c r="Y271" s="77"/>
      <c r="Z271" s="77"/>
      <c r="AA271" s="77" t="s">
        <v>7382</v>
      </c>
      <c r="AB271" s="77" t="s">
        <v>8225</v>
      </c>
      <c r="AC271" s="82" t="s">
        <v>8234</v>
      </c>
      <c r="AD271" s="77" t="s">
        <v>8278</v>
      </c>
      <c r="AE271" s="80" t="str">
        <f>HYPERLINK("https://twitter.com/facolommoney/status/1664937215804284928")</f>
        <v>https://twitter.com/facolommoney/status/1664937215804284928</v>
      </c>
      <c r="AF271" s="79">
        <v>45080.422905092593</v>
      </c>
      <c r="AG271" s="85">
        <v>45080</v>
      </c>
      <c r="AH271" s="82" t="s">
        <v>8553</v>
      </c>
      <c r="AI271" s="77" t="b">
        <v>0</v>
      </c>
      <c r="AJ271" s="77"/>
      <c r="AK271" s="77"/>
      <c r="AL271" s="77"/>
      <c r="AM271" s="77"/>
      <c r="AN271" s="77"/>
      <c r="AO271" s="77"/>
      <c r="AP271" s="77"/>
      <c r="AQ271" s="77" t="s">
        <v>12267</v>
      </c>
      <c r="AR271" s="77"/>
      <c r="AS271" s="77"/>
      <c r="AT271" s="77"/>
      <c r="AU271" s="77"/>
      <c r="AV271" s="80" t="str">
        <f>HYPERLINK("https://pbs.twimg.com/media/FxsLkvtWIAE3eGy.jpg")</f>
        <v>https://pbs.twimg.com/media/FxsLkvtWIAE3eGy.jpg</v>
      </c>
      <c r="AW271" s="82" t="s">
        <v>13374</v>
      </c>
      <c r="AX271" s="82" t="s">
        <v>13374</v>
      </c>
      <c r="AY271" s="77"/>
      <c r="AZ271" s="82" t="s">
        <v>17385</v>
      </c>
      <c r="BA271" s="82" t="s">
        <v>17385</v>
      </c>
      <c r="BB271" s="82" t="s">
        <v>17385</v>
      </c>
      <c r="BC271" s="82" t="s">
        <v>13374</v>
      </c>
      <c r="BD271" s="82" t="s">
        <v>17469</v>
      </c>
      <c r="BE271" s="77"/>
      <c r="BF271" s="77"/>
      <c r="BG271" s="77"/>
      <c r="BH271" s="77"/>
      <c r="BI271" s="77"/>
    </row>
    <row r="272" spans="1:61" x14ac:dyDescent="0.25">
      <c r="A272" s="62" t="s">
        <v>278</v>
      </c>
      <c r="B272" s="62" t="s">
        <v>278</v>
      </c>
      <c r="C272" s="63"/>
      <c r="D272" s="64"/>
      <c r="E272" s="65"/>
      <c r="F272" s="66"/>
      <c r="G272" s="63"/>
      <c r="H272" s="67"/>
      <c r="I272" s="68"/>
      <c r="J272" s="68"/>
      <c r="K272" s="32"/>
      <c r="L272" s="75">
        <v>272</v>
      </c>
      <c r="M272" s="75"/>
      <c r="N272" s="70"/>
      <c r="O272" s="77" t="s">
        <v>179</v>
      </c>
      <c r="P272" s="79">
        <v>45064.666620370372</v>
      </c>
      <c r="Q272" s="77" t="s">
        <v>1071</v>
      </c>
      <c r="R272" s="77">
        <v>0</v>
      </c>
      <c r="S272" s="77">
        <v>0</v>
      </c>
      <c r="T272" s="77">
        <v>0</v>
      </c>
      <c r="U272" s="77">
        <v>0</v>
      </c>
      <c r="V272" s="77">
        <v>1387</v>
      </c>
      <c r="W272" s="82" t="s">
        <v>4963</v>
      </c>
      <c r="X272" s="77"/>
      <c r="Y272" s="77"/>
      <c r="Z272" s="77"/>
      <c r="AA272" s="77" t="s">
        <v>7383</v>
      </c>
      <c r="AB272" s="77" t="s">
        <v>8225</v>
      </c>
      <c r="AC272" s="82" t="s">
        <v>8234</v>
      </c>
      <c r="AD272" s="77" t="s">
        <v>8278</v>
      </c>
      <c r="AE272" s="80" t="str">
        <f>HYPERLINK("https://twitter.com/facolommoney/status/1659227328856072195")</f>
        <v>https://twitter.com/facolommoney/status/1659227328856072195</v>
      </c>
      <c r="AF272" s="79">
        <v>45064.666620370372</v>
      </c>
      <c r="AG272" s="85">
        <v>45064</v>
      </c>
      <c r="AH272" s="82" t="s">
        <v>8554</v>
      </c>
      <c r="AI272" s="77" t="b">
        <v>0</v>
      </c>
      <c r="AJ272" s="77"/>
      <c r="AK272" s="77"/>
      <c r="AL272" s="77"/>
      <c r="AM272" s="77"/>
      <c r="AN272" s="77"/>
      <c r="AO272" s="77"/>
      <c r="AP272" s="77"/>
      <c r="AQ272" s="77" t="s">
        <v>12268</v>
      </c>
      <c r="AR272" s="77"/>
      <c r="AS272" s="77"/>
      <c r="AT272" s="77"/>
      <c r="AU272" s="77"/>
      <c r="AV272" s="80" t="str">
        <f>HYPERLINK("https://pbs.twimg.com/media/FwbCdlRXgAEEEh2.jpg")</f>
        <v>https://pbs.twimg.com/media/FwbCdlRXgAEEEh2.jpg</v>
      </c>
      <c r="AW272" s="82" t="s">
        <v>13375</v>
      </c>
      <c r="AX272" s="82" t="s">
        <v>13375</v>
      </c>
      <c r="AY272" s="77"/>
      <c r="AZ272" s="82" t="s">
        <v>17385</v>
      </c>
      <c r="BA272" s="82" t="s">
        <v>17385</v>
      </c>
      <c r="BB272" s="82" t="s">
        <v>17385</v>
      </c>
      <c r="BC272" s="82" t="s">
        <v>13375</v>
      </c>
      <c r="BD272" s="82" t="s">
        <v>17469</v>
      </c>
      <c r="BE272" s="77"/>
      <c r="BF272" s="77"/>
      <c r="BG272" s="77"/>
      <c r="BH272" s="77"/>
      <c r="BI272" s="77"/>
    </row>
    <row r="273" spans="1:61" x14ac:dyDescent="0.25">
      <c r="A273" s="62" t="s">
        <v>278</v>
      </c>
      <c r="B273" s="62" t="s">
        <v>278</v>
      </c>
      <c r="C273" s="63"/>
      <c r="D273" s="64"/>
      <c r="E273" s="65"/>
      <c r="F273" s="66"/>
      <c r="G273" s="63"/>
      <c r="H273" s="67"/>
      <c r="I273" s="68"/>
      <c r="J273" s="68"/>
      <c r="K273" s="32"/>
      <c r="L273" s="75">
        <v>273</v>
      </c>
      <c r="M273" s="75"/>
      <c r="N273" s="70"/>
      <c r="O273" s="77" t="s">
        <v>179</v>
      </c>
      <c r="P273" s="79">
        <v>45064.022187499999</v>
      </c>
      <c r="Q273" s="77" t="s">
        <v>1072</v>
      </c>
      <c r="R273" s="77">
        <v>0</v>
      </c>
      <c r="S273" s="77">
        <v>0</v>
      </c>
      <c r="T273" s="77">
        <v>0</v>
      </c>
      <c r="U273" s="77">
        <v>0</v>
      </c>
      <c r="V273" s="77">
        <v>1089</v>
      </c>
      <c r="W273" s="82" t="s">
        <v>4964</v>
      </c>
      <c r="X273" s="77"/>
      <c r="Y273" s="77"/>
      <c r="Z273" s="77"/>
      <c r="AA273" s="77" t="s">
        <v>7384</v>
      </c>
      <c r="AB273" s="77" t="s">
        <v>8225</v>
      </c>
      <c r="AC273" s="82" t="s">
        <v>8234</v>
      </c>
      <c r="AD273" s="77" t="s">
        <v>8278</v>
      </c>
      <c r="AE273" s="80" t="str">
        <f>HYPERLINK("https://twitter.com/facolommoney/status/1658993793578807297")</f>
        <v>https://twitter.com/facolommoney/status/1658993793578807297</v>
      </c>
      <c r="AF273" s="79">
        <v>45064.022187499999</v>
      </c>
      <c r="AG273" s="85">
        <v>45064</v>
      </c>
      <c r="AH273" s="82" t="s">
        <v>8555</v>
      </c>
      <c r="AI273" s="77" t="b">
        <v>0</v>
      </c>
      <c r="AJ273" s="77"/>
      <c r="AK273" s="77"/>
      <c r="AL273" s="77"/>
      <c r="AM273" s="77"/>
      <c r="AN273" s="77"/>
      <c r="AO273" s="77"/>
      <c r="AP273" s="77"/>
      <c r="AQ273" s="77" t="s">
        <v>12269</v>
      </c>
      <c r="AR273" s="77"/>
      <c r="AS273" s="77"/>
      <c r="AT273" s="77"/>
      <c r="AU273" s="77"/>
      <c r="AV273" s="80" t="str">
        <f>HYPERLINK("https://pbs.twimg.com/media/FwXuEEBX0AAIage.jpg")</f>
        <v>https://pbs.twimg.com/media/FwXuEEBX0AAIage.jpg</v>
      </c>
      <c r="AW273" s="82" t="s">
        <v>13376</v>
      </c>
      <c r="AX273" s="82" t="s">
        <v>13376</v>
      </c>
      <c r="AY273" s="77"/>
      <c r="AZ273" s="82" t="s">
        <v>17385</v>
      </c>
      <c r="BA273" s="82" t="s">
        <v>17385</v>
      </c>
      <c r="BB273" s="82" t="s">
        <v>17385</v>
      </c>
      <c r="BC273" s="82" t="s">
        <v>13376</v>
      </c>
      <c r="BD273" s="82" t="s">
        <v>17469</v>
      </c>
      <c r="BE273" s="77"/>
      <c r="BF273" s="77"/>
      <c r="BG273" s="77"/>
      <c r="BH273" s="77"/>
      <c r="BI273" s="77"/>
    </row>
    <row r="274" spans="1:61" x14ac:dyDescent="0.25">
      <c r="A274" s="62" t="s">
        <v>278</v>
      </c>
      <c r="B274" s="62" t="s">
        <v>278</v>
      </c>
      <c r="C274" s="63"/>
      <c r="D274" s="64"/>
      <c r="E274" s="65"/>
      <c r="F274" s="66"/>
      <c r="G274" s="63"/>
      <c r="H274" s="67"/>
      <c r="I274" s="68"/>
      <c r="J274" s="68"/>
      <c r="K274" s="32"/>
      <c r="L274" s="75">
        <v>274</v>
      </c>
      <c r="M274" s="75"/>
      <c r="N274" s="70"/>
      <c r="O274" s="77" t="s">
        <v>179</v>
      </c>
      <c r="P274" s="79">
        <v>45063.854317129626</v>
      </c>
      <c r="Q274" s="77" t="s">
        <v>1073</v>
      </c>
      <c r="R274" s="77">
        <v>0</v>
      </c>
      <c r="S274" s="77">
        <v>0</v>
      </c>
      <c r="T274" s="77">
        <v>0</v>
      </c>
      <c r="U274" s="77">
        <v>0</v>
      </c>
      <c r="V274" s="77">
        <v>1031</v>
      </c>
      <c r="W274" s="82" t="s">
        <v>4955</v>
      </c>
      <c r="X274" s="77"/>
      <c r="Y274" s="77"/>
      <c r="Z274" s="77"/>
      <c r="AA274" s="77" t="s">
        <v>7385</v>
      </c>
      <c r="AB274" s="77" t="s">
        <v>8225</v>
      </c>
      <c r="AC274" s="82" t="s">
        <v>8234</v>
      </c>
      <c r="AD274" s="77" t="s">
        <v>8278</v>
      </c>
      <c r="AE274" s="80" t="str">
        <f>HYPERLINK("https://twitter.com/facolommoney/status/1658932960509276163")</f>
        <v>https://twitter.com/facolommoney/status/1658932960509276163</v>
      </c>
      <c r="AF274" s="79">
        <v>45063.854317129626</v>
      </c>
      <c r="AG274" s="85">
        <v>45063</v>
      </c>
      <c r="AH274" s="82" t="s">
        <v>8556</v>
      </c>
      <c r="AI274" s="77" t="b">
        <v>0</v>
      </c>
      <c r="AJ274" s="77"/>
      <c r="AK274" s="77"/>
      <c r="AL274" s="77"/>
      <c r="AM274" s="77"/>
      <c r="AN274" s="77"/>
      <c r="AO274" s="77"/>
      <c r="AP274" s="77"/>
      <c r="AQ274" s="77" t="s">
        <v>12270</v>
      </c>
      <c r="AR274" s="77"/>
      <c r="AS274" s="77"/>
      <c r="AT274" s="77"/>
      <c r="AU274" s="77"/>
      <c r="AV274" s="80" t="str">
        <f>HYPERLINK("https://pbs.twimg.com/media/FwW2vEuWYAAjPLo.jpg")</f>
        <v>https://pbs.twimg.com/media/FwW2vEuWYAAjPLo.jpg</v>
      </c>
      <c r="AW274" s="82" t="s">
        <v>13377</v>
      </c>
      <c r="AX274" s="82" t="s">
        <v>13377</v>
      </c>
      <c r="AY274" s="77"/>
      <c r="AZ274" s="82" t="s">
        <v>17385</v>
      </c>
      <c r="BA274" s="82" t="s">
        <v>17385</v>
      </c>
      <c r="BB274" s="82" t="s">
        <v>17385</v>
      </c>
      <c r="BC274" s="82" t="s">
        <v>13377</v>
      </c>
      <c r="BD274" s="82" t="s">
        <v>17469</v>
      </c>
      <c r="BE274" s="77"/>
      <c r="BF274" s="77"/>
      <c r="BG274" s="77"/>
      <c r="BH274" s="77"/>
      <c r="BI274" s="77"/>
    </row>
    <row r="275" spans="1:61" x14ac:dyDescent="0.25">
      <c r="A275" s="62" t="s">
        <v>278</v>
      </c>
      <c r="B275" s="62" t="s">
        <v>278</v>
      </c>
      <c r="C275" s="63"/>
      <c r="D275" s="64"/>
      <c r="E275" s="65"/>
      <c r="F275" s="66"/>
      <c r="G275" s="63"/>
      <c r="H275" s="67"/>
      <c r="I275" s="68"/>
      <c r="J275" s="68"/>
      <c r="K275" s="32"/>
      <c r="L275" s="75">
        <v>275</v>
      </c>
      <c r="M275" s="75"/>
      <c r="N275" s="70"/>
      <c r="O275" s="77" t="s">
        <v>179</v>
      </c>
      <c r="P275" s="79">
        <v>45063.01253472222</v>
      </c>
      <c r="Q275" s="77" t="s">
        <v>1074</v>
      </c>
      <c r="R275" s="77">
        <v>0</v>
      </c>
      <c r="S275" s="77">
        <v>0</v>
      </c>
      <c r="T275" s="77">
        <v>0</v>
      </c>
      <c r="U275" s="77">
        <v>0</v>
      </c>
      <c r="V275" s="77">
        <v>995</v>
      </c>
      <c r="W275" s="82" t="s">
        <v>4965</v>
      </c>
      <c r="X275" s="77"/>
      <c r="Y275" s="77"/>
      <c r="Z275" s="77"/>
      <c r="AA275" s="77" t="s">
        <v>7386</v>
      </c>
      <c r="AB275" s="77" t="s">
        <v>8225</v>
      </c>
      <c r="AC275" s="82" t="s">
        <v>8234</v>
      </c>
      <c r="AD275" s="77" t="s">
        <v>8278</v>
      </c>
      <c r="AE275" s="80" t="str">
        <f>HYPERLINK("https://twitter.com/facolommoney/status/1658627908049547265")</f>
        <v>https://twitter.com/facolommoney/status/1658627908049547265</v>
      </c>
      <c r="AF275" s="79">
        <v>45063.01253472222</v>
      </c>
      <c r="AG275" s="85">
        <v>45063</v>
      </c>
      <c r="AH275" s="82" t="s">
        <v>8557</v>
      </c>
      <c r="AI275" s="77" t="b">
        <v>0</v>
      </c>
      <c r="AJ275" s="77"/>
      <c r="AK275" s="77"/>
      <c r="AL275" s="77"/>
      <c r="AM275" s="77"/>
      <c r="AN275" s="77"/>
      <c r="AO275" s="77"/>
      <c r="AP275" s="77"/>
      <c r="AQ275" s="77" t="s">
        <v>12271</v>
      </c>
      <c r="AR275" s="77"/>
      <c r="AS275" s="77"/>
      <c r="AT275" s="77"/>
      <c r="AU275" s="77"/>
      <c r="AV275" s="80" t="str">
        <f>HYPERLINK("https://pbs.twimg.com/media/FwShSqTWcAMi5Lq.jpg")</f>
        <v>https://pbs.twimg.com/media/FwShSqTWcAMi5Lq.jpg</v>
      </c>
      <c r="AW275" s="82" t="s">
        <v>13378</v>
      </c>
      <c r="AX275" s="82" t="s">
        <v>13378</v>
      </c>
      <c r="AY275" s="77"/>
      <c r="AZ275" s="82" t="s">
        <v>17385</v>
      </c>
      <c r="BA275" s="82" t="s">
        <v>17385</v>
      </c>
      <c r="BB275" s="82" t="s">
        <v>17385</v>
      </c>
      <c r="BC275" s="82" t="s">
        <v>13378</v>
      </c>
      <c r="BD275" s="82" t="s">
        <v>17469</v>
      </c>
      <c r="BE275" s="77"/>
      <c r="BF275" s="77"/>
      <c r="BG275" s="77"/>
      <c r="BH275" s="77"/>
      <c r="BI275" s="77"/>
    </row>
    <row r="276" spans="1:61" x14ac:dyDescent="0.25">
      <c r="A276" s="62" t="s">
        <v>278</v>
      </c>
      <c r="B276" s="62" t="s">
        <v>278</v>
      </c>
      <c r="C276" s="63"/>
      <c r="D276" s="64"/>
      <c r="E276" s="65"/>
      <c r="F276" s="66"/>
      <c r="G276" s="63"/>
      <c r="H276" s="67"/>
      <c r="I276" s="68"/>
      <c r="J276" s="68"/>
      <c r="K276" s="32"/>
      <c r="L276" s="75">
        <v>276</v>
      </c>
      <c r="M276" s="75"/>
      <c r="N276" s="70"/>
      <c r="O276" s="77" t="s">
        <v>179</v>
      </c>
      <c r="P276" s="79">
        <v>45062.864652777775</v>
      </c>
      <c r="Q276" s="77" t="s">
        <v>1075</v>
      </c>
      <c r="R276" s="77">
        <v>0</v>
      </c>
      <c r="S276" s="77">
        <v>1</v>
      </c>
      <c r="T276" s="77">
        <v>0</v>
      </c>
      <c r="U276" s="77">
        <v>0</v>
      </c>
      <c r="V276" s="77">
        <v>992</v>
      </c>
      <c r="W276" s="82" t="s">
        <v>4955</v>
      </c>
      <c r="X276" s="77"/>
      <c r="Y276" s="77"/>
      <c r="Z276" s="77"/>
      <c r="AA276" s="77" t="s">
        <v>7387</v>
      </c>
      <c r="AB276" s="77" t="s">
        <v>8225</v>
      </c>
      <c r="AC276" s="82" t="s">
        <v>8234</v>
      </c>
      <c r="AD276" s="77" t="s">
        <v>8278</v>
      </c>
      <c r="AE276" s="80" t="str">
        <f>HYPERLINK("https://twitter.com/facolommoney/status/1658574315023990784")</f>
        <v>https://twitter.com/facolommoney/status/1658574315023990784</v>
      </c>
      <c r="AF276" s="79">
        <v>45062.864652777775</v>
      </c>
      <c r="AG276" s="85">
        <v>45062</v>
      </c>
      <c r="AH276" s="82" t="s">
        <v>8558</v>
      </c>
      <c r="AI276" s="77" t="b">
        <v>0</v>
      </c>
      <c r="AJ276" s="77"/>
      <c r="AK276" s="77"/>
      <c r="AL276" s="77"/>
      <c r="AM276" s="77"/>
      <c r="AN276" s="77"/>
      <c r="AO276" s="77"/>
      <c r="AP276" s="77"/>
      <c r="AQ276" s="77" t="s">
        <v>12272</v>
      </c>
      <c r="AR276" s="77"/>
      <c r="AS276" s="77"/>
      <c r="AT276" s="77"/>
      <c r="AU276" s="77"/>
      <c r="AV276" s="80" t="str">
        <f>HYPERLINK("https://pbs.twimg.com/media/FwRwjLkWIAYvuys.jpg")</f>
        <v>https://pbs.twimg.com/media/FwRwjLkWIAYvuys.jpg</v>
      </c>
      <c r="AW276" s="82" t="s">
        <v>13379</v>
      </c>
      <c r="AX276" s="82" t="s">
        <v>13379</v>
      </c>
      <c r="AY276" s="77"/>
      <c r="AZ276" s="82" t="s">
        <v>17385</v>
      </c>
      <c r="BA276" s="82" t="s">
        <v>17385</v>
      </c>
      <c r="BB276" s="82" t="s">
        <v>17385</v>
      </c>
      <c r="BC276" s="82" t="s">
        <v>13379</v>
      </c>
      <c r="BD276" s="82" t="s">
        <v>17469</v>
      </c>
      <c r="BE276" s="77"/>
      <c r="BF276" s="77"/>
      <c r="BG276" s="77"/>
      <c r="BH276" s="77"/>
      <c r="BI276" s="77"/>
    </row>
    <row r="277" spans="1:61" x14ac:dyDescent="0.25">
      <c r="A277" s="62" t="s">
        <v>278</v>
      </c>
      <c r="B277" s="62" t="s">
        <v>278</v>
      </c>
      <c r="C277" s="63"/>
      <c r="D277" s="64"/>
      <c r="E277" s="65"/>
      <c r="F277" s="66"/>
      <c r="G277" s="63"/>
      <c r="H277" s="67"/>
      <c r="I277" s="68"/>
      <c r="J277" s="68"/>
      <c r="K277" s="32"/>
      <c r="L277" s="75">
        <v>277</v>
      </c>
      <c r="M277" s="75"/>
      <c r="N277" s="70"/>
      <c r="O277" s="77" t="s">
        <v>179</v>
      </c>
      <c r="P277" s="79">
        <v>45090.026342592595</v>
      </c>
      <c r="Q277" s="77" t="s">
        <v>1076</v>
      </c>
      <c r="R277" s="77">
        <v>0</v>
      </c>
      <c r="S277" s="77">
        <v>0</v>
      </c>
      <c r="T277" s="77">
        <v>0</v>
      </c>
      <c r="U277" s="77">
        <v>0</v>
      </c>
      <c r="V277" s="77">
        <v>168</v>
      </c>
      <c r="W277" s="82" t="s">
        <v>4957</v>
      </c>
      <c r="X277" s="77"/>
      <c r="Y277" s="77"/>
      <c r="Z277" s="77"/>
      <c r="AA277" s="77" t="s">
        <v>7388</v>
      </c>
      <c r="AB277" s="77" t="s">
        <v>8225</v>
      </c>
      <c r="AC277" s="82" t="s">
        <v>8234</v>
      </c>
      <c r="AD277" s="77" t="s">
        <v>8278</v>
      </c>
      <c r="AE277" s="80" t="str">
        <f>HYPERLINK("https://twitter.com/facolommoney/status/1668417382392406018")</f>
        <v>https://twitter.com/facolommoney/status/1668417382392406018</v>
      </c>
      <c r="AF277" s="79">
        <v>45090.026342592595</v>
      </c>
      <c r="AG277" s="85">
        <v>45090</v>
      </c>
      <c r="AH277" s="82" t="s">
        <v>8559</v>
      </c>
      <c r="AI277" s="77" t="b">
        <v>0</v>
      </c>
      <c r="AJ277" s="77"/>
      <c r="AK277" s="77"/>
      <c r="AL277" s="77"/>
      <c r="AM277" s="77"/>
      <c r="AN277" s="77"/>
      <c r="AO277" s="77"/>
      <c r="AP277" s="77"/>
      <c r="AQ277" s="77" t="s">
        <v>12273</v>
      </c>
      <c r="AR277" s="77"/>
      <c r="AS277" s="77"/>
      <c r="AT277" s="77"/>
      <c r="AU277" s="77"/>
      <c r="AV277" s="80" t="str">
        <f>HYPERLINK("https://pbs.twimg.com/media/FydoxGiX0AATwKn.jpg")</f>
        <v>https://pbs.twimg.com/media/FydoxGiX0AATwKn.jpg</v>
      </c>
      <c r="AW277" s="82" t="s">
        <v>13380</v>
      </c>
      <c r="AX277" s="82" t="s">
        <v>13380</v>
      </c>
      <c r="AY277" s="77"/>
      <c r="AZ277" s="82" t="s">
        <v>17385</v>
      </c>
      <c r="BA277" s="82" t="s">
        <v>17385</v>
      </c>
      <c r="BB277" s="82" t="s">
        <v>17385</v>
      </c>
      <c r="BC277" s="82" t="s">
        <v>13380</v>
      </c>
      <c r="BD277" s="82" t="s">
        <v>17469</v>
      </c>
      <c r="BE277" s="77"/>
      <c r="BF277" s="77"/>
      <c r="BG277" s="77"/>
      <c r="BH277" s="77"/>
      <c r="BI277" s="77"/>
    </row>
    <row r="278" spans="1:61" x14ac:dyDescent="0.25">
      <c r="A278" s="62" t="s">
        <v>278</v>
      </c>
      <c r="B278" s="62" t="s">
        <v>278</v>
      </c>
      <c r="C278" s="63"/>
      <c r="D278" s="64"/>
      <c r="E278" s="65"/>
      <c r="F278" s="66"/>
      <c r="G278" s="63"/>
      <c r="H278" s="67"/>
      <c r="I278" s="68"/>
      <c r="J278" s="68"/>
      <c r="K278" s="32"/>
      <c r="L278" s="75">
        <v>278</v>
      </c>
      <c r="M278" s="75"/>
      <c r="N278" s="70"/>
      <c r="O278" s="77" t="s">
        <v>179</v>
      </c>
      <c r="P278" s="79">
        <v>45077.967303240737</v>
      </c>
      <c r="Q278" s="77" t="s">
        <v>1077</v>
      </c>
      <c r="R278" s="77">
        <v>0</v>
      </c>
      <c r="S278" s="77">
        <v>0</v>
      </c>
      <c r="T278" s="77">
        <v>1</v>
      </c>
      <c r="U278" s="77">
        <v>0</v>
      </c>
      <c r="V278" s="77">
        <v>700</v>
      </c>
      <c r="W278" s="82" t="s">
        <v>4966</v>
      </c>
      <c r="X278" s="77"/>
      <c r="Y278" s="77"/>
      <c r="Z278" s="77"/>
      <c r="AA278" s="77" t="s">
        <v>7389</v>
      </c>
      <c r="AB278" s="77" t="s">
        <v>8225</v>
      </c>
      <c r="AC278" s="82" t="s">
        <v>8234</v>
      </c>
      <c r="AD278" s="77" t="s">
        <v>8278</v>
      </c>
      <c r="AE278" s="80" t="str">
        <f>HYPERLINK("https://twitter.com/facolommoney/status/1664047332747272197")</f>
        <v>https://twitter.com/facolommoney/status/1664047332747272197</v>
      </c>
      <c r="AF278" s="79">
        <v>45077.967303240737</v>
      </c>
      <c r="AG278" s="85">
        <v>45077</v>
      </c>
      <c r="AH278" s="82" t="s">
        <v>8560</v>
      </c>
      <c r="AI278" s="77" t="b">
        <v>0</v>
      </c>
      <c r="AJ278" s="77"/>
      <c r="AK278" s="77"/>
      <c r="AL278" s="77"/>
      <c r="AM278" s="77"/>
      <c r="AN278" s="77"/>
      <c r="AO278" s="77"/>
      <c r="AP278" s="77"/>
      <c r="AQ278" s="77" t="s">
        <v>12274</v>
      </c>
      <c r="AR278" s="77"/>
      <c r="AS278" s="77"/>
      <c r="AT278" s="77"/>
      <c r="AU278" s="77"/>
      <c r="AV278" s="80" t="str">
        <f>HYPERLINK("https://pbs.twimg.com/media/FxfiOsgWAAA-mwb.jpg")</f>
        <v>https://pbs.twimg.com/media/FxfiOsgWAAA-mwb.jpg</v>
      </c>
      <c r="AW278" s="82" t="s">
        <v>13381</v>
      </c>
      <c r="AX278" s="82" t="s">
        <v>13381</v>
      </c>
      <c r="AY278" s="77"/>
      <c r="AZ278" s="82" t="s">
        <v>17385</v>
      </c>
      <c r="BA278" s="82" t="s">
        <v>17385</v>
      </c>
      <c r="BB278" s="82" t="s">
        <v>17385</v>
      </c>
      <c r="BC278" s="82" t="s">
        <v>13381</v>
      </c>
      <c r="BD278" s="82" t="s">
        <v>17469</v>
      </c>
      <c r="BE278" s="77"/>
      <c r="BF278" s="77"/>
      <c r="BG278" s="77"/>
      <c r="BH278" s="77"/>
      <c r="BI278" s="77"/>
    </row>
    <row r="279" spans="1:61" x14ac:dyDescent="0.25">
      <c r="A279" s="62" t="s">
        <v>278</v>
      </c>
      <c r="B279" s="62" t="s">
        <v>278</v>
      </c>
      <c r="C279" s="63"/>
      <c r="D279" s="64"/>
      <c r="E279" s="65"/>
      <c r="F279" s="66"/>
      <c r="G279" s="63"/>
      <c r="H279" s="67"/>
      <c r="I279" s="68"/>
      <c r="J279" s="68"/>
      <c r="K279" s="32"/>
      <c r="L279" s="75">
        <v>279</v>
      </c>
      <c r="M279" s="75"/>
      <c r="N279" s="70"/>
      <c r="O279" s="77" t="s">
        <v>179</v>
      </c>
      <c r="P279" s="79">
        <v>45077.849305555559</v>
      </c>
      <c r="Q279" s="77" t="s">
        <v>1078</v>
      </c>
      <c r="R279" s="77">
        <v>0</v>
      </c>
      <c r="S279" s="77">
        <v>1</v>
      </c>
      <c r="T279" s="77">
        <v>0</v>
      </c>
      <c r="U279" s="77">
        <v>0</v>
      </c>
      <c r="V279" s="77">
        <v>504</v>
      </c>
      <c r="W279" s="82" t="s">
        <v>4967</v>
      </c>
      <c r="X279" s="77"/>
      <c r="Y279" s="77"/>
      <c r="Z279" s="77"/>
      <c r="AA279" s="77" t="s">
        <v>7390</v>
      </c>
      <c r="AB279" s="77" t="s">
        <v>8225</v>
      </c>
      <c r="AC279" s="82" t="s">
        <v>8234</v>
      </c>
      <c r="AD279" s="77" t="s">
        <v>8278</v>
      </c>
      <c r="AE279" s="80" t="str">
        <f>HYPERLINK("https://twitter.com/facolommoney/status/1664004571583094784")</f>
        <v>https://twitter.com/facolommoney/status/1664004571583094784</v>
      </c>
      <c r="AF279" s="79">
        <v>45077.849305555559</v>
      </c>
      <c r="AG279" s="85">
        <v>45077</v>
      </c>
      <c r="AH279" s="82" t="s">
        <v>8561</v>
      </c>
      <c r="AI279" s="77" t="b">
        <v>0</v>
      </c>
      <c r="AJ279" s="77"/>
      <c r="AK279" s="77"/>
      <c r="AL279" s="77"/>
      <c r="AM279" s="77"/>
      <c r="AN279" s="77"/>
      <c r="AO279" s="77"/>
      <c r="AP279" s="77"/>
      <c r="AQ279" s="77" t="s">
        <v>12275</v>
      </c>
      <c r="AR279" s="77"/>
      <c r="AS279" s="77"/>
      <c r="AT279" s="77"/>
      <c r="AU279" s="77"/>
      <c r="AV279" s="80" t="str">
        <f>HYPERLINK("https://pbs.twimg.com/media/Fxe7VuCWcAMIcJe.jpg")</f>
        <v>https://pbs.twimg.com/media/Fxe7VuCWcAMIcJe.jpg</v>
      </c>
      <c r="AW279" s="82" t="s">
        <v>13382</v>
      </c>
      <c r="AX279" s="82" t="s">
        <v>13382</v>
      </c>
      <c r="AY279" s="77"/>
      <c r="AZ279" s="82" t="s">
        <v>17385</v>
      </c>
      <c r="BA279" s="82" t="s">
        <v>17385</v>
      </c>
      <c r="BB279" s="82" t="s">
        <v>17385</v>
      </c>
      <c r="BC279" s="82" t="s">
        <v>13382</v>
      </c>
      <c r="BD279" s="82" t="s">
        <v>17469</v>
      </c>
      <c r="BE279" s="77"/>
      <c r="BF279" s="77"/>
      <c r="BG279" s="77"/>
      <c r="BH279" s="77"/>
      <c r="BI279" s="77"/>
    </row>
    <row r="280" spans="1:61" x14ac:dyDescent="0.25">
      <c r="A280" s="62" t="s">
        <v>278</v>
      </c>
      <c r="B280" s="62" t="s">
        <v>278</v>
      </c>
      <c r="C280" s="63"/>
      <c r="D280" s="64"/>
      <c r="E280" s="65"/>
      <c r="F280" s="66"/>
      <c r="G280" s="63"/>
      <c r="H280" s="67"/>
      <c r="I280" s="68"/>
      <c r="J280" s="68"/>
      <c r="K280" s="32"/>
      <c r="L280" s="75">
        <v>280</v>
      </c>
      <c r="M280" s="75"/>
      <c r="N280" s="70"/>
      <c r="O280" s="77" t="s">
        <v>179</v>
      </c>
      <c r="P280" s="79">
        <v>45077.543263888889</v>
      </c>
      <c r="Q280" s="77" t="s">
        <v>1079</v>
      </c>
      <c r="R280" s="77">
        <v>0</v>
      </c>
      <c r="S280" s="77">
        <v>0</v>
      </c>
      <c r="T280" s="77">
        <v>0</v>
      </c>
      <c r="U280" s="77">
        <v>0</v>
      </c>
      <c r="V280" s="77">
        <v>467</v>
      </c>
      <c r="W280" s="82" t="s">
        <v>4968</v>
      </c>
      <c r="X280" s="77"/>
      <c r="Y280" s="77"/>
      <c r="Z280" s="77"/>
      <c r="AA280" s="77" t="s">
        <v>7391</v>
      </c>
      <c r="AB280" s="77" t="s">
        <v>8225</v>
      </c>
      <c r="AC280" s="82" t="s">
        <v>8234</v>
      </c>
      <c r="AD280" s="77" t="s">
        <v>8278</v>
      </c>
      <c r="AE280" s="80" t="str">
        <f>HYPERLINK("https://twitter.com/facolommoney/status/1663893666354610176")</f>
        <v>https://twitter.com/facolommoney/status/1663893666354610176</v>
      </c>
      <c r="AF280" s="79">
        <v>45077.543263888889</v>
      </c>
      <c r="AG280" s="85">
        <v>45077</v>
      </c>
      <c r="AH280" s="82" t="s">
        <v>8562</v>
      </c>
      <c r="AI280" s="77" t="b">
        <v>0</v>
      </c>
      <c r="AJ280" s="77"/>
      <c r="AK280" s="77"/>
      <c r="AL280" s="77"/>
      <c r="AM280" s="77"/>
      <c r="AN280" s="77"/>
      <c r="AO280" s="77"/>
      <c r="AP280" s="77"/>
      <c r="AQ280" s="77" t="s">
        <v>12276</v>
      </c>
      <c r="AR280" s="77"/>
      <c r="AS280" s="77"/>
      <c r="AT280" s="77"/>
      <c r="AU280" s="77"/>
      <c r="AV280" s="80" t="str">
        <f>HYPERLINK("https://pbs.twimg.com/media/FxdWeLNWIAAMcN-.jpg")</f>
        <v>https://pbs.twimg.com/media/FxdWeLNWIAAMcN-.jpg</v>
      </c>
      <c r="AW280" s="82" t="s">
        <v>13383</v>
      </c>
      <c r="AX280" s="82" t="s">
        <v>13383</v>
      </c>
      <c r="AY280" s="77"/>
      <c r="AZ280" s="82" t="s">
        <v>17385</v>
      </c>
      <c r="BA280" s="82" t="s">
        <v>17385</v>
      </c>
      <c r="BB280" s="82" t="s">
        <v>17385</v>
      </c>
      <c r="BC280" s="82" t="s">
        <v>13383</v>
      </c>
      <c r="BD280" s="82" t="s">
        <v>17469</v>
      </c>
      <c r="BE280" s="77"/>
      <c r="BF280" s="77"/>
      <c r="BG280" s="77"/>
      <c r="BH280" s="77"/>
      <c r="BI280" s="77"/>
    </row>
    <row r="281" spans="1:61" x14ac:dyDescent="0.25">
      <c r="A281" s="62" t="s">
        <v>278</v>
      </c>
      <c r="B281" s="62" t="s">
        <v>278</v>
      </c>
      <c r="C281" s="63"/>
      <c r="D281" s="64"/>
      <c r="E281" s="65"/>
      <c r="F281" s="66"/>
      <c r="G281" s="63"/>
      <c r="H281" s="67"/>
      <c r="I281" s="68"/>
      <c r="J281" s="68"/>
      <c r="K281" s="32"/>
      <c r="L281" s="75">
        <v>281</v>
      </c>
      <c r="M281" s="75"/>
      <c r="N281" s="70"/>
      <c r="O281" s="77" t="s">
        <v>179</v>
      </c>
      <c r="P281" s="79">
        <v>45076.851261574076</v>
      </c>
      <c r="Q281" s="77" t="s">
        <v>1080</v>
      </c>
      <c r="R281" s="77">
        <v>0</v>
      </c>
      <c r="S281" s="77">
        <v>1</v>
      </c>
      <c r="T281" s="77">
        <v>0</v>
      </c>
      <c r="U281" s="77">
        <v>0</v>
      </c>
      <c r="V281" s="77">
        <v>387</v>
      </c>
      <c r="W281" s="82" t="s">
        <v>4969</v>
      </c>
      <c r="X281" s="77"/>
      <c r="Y281" s="77"/>
      <c r="Z281" s="77"/>
      <c r="AA281" s="77" t="s">
        <v>7392</v>
      </c>
      <c r="AB281" s="77" t="s">
        <v>8225</v>
      </c>
      <c r="AC281" s="82" t="s">
        <v>8234</v>
      </c>
      <c r="AD281" s="77" t="s">
        <v>8278</v>
      </c>
      <c r="AE281" s="80" t="str">
        <f>HYPERLINK("https://twitter.com/facolommoney/status/1663642894173982720")</f>
        <v>https://twitter.com/facolommoney/status/1663642894173982720</v>
      </c>
      <c r="AF281" s="79">
        <v>45076.851261574076</v>
      </c>
      <c r="AG281" s="85">
        <v>45076</v>
      </c>
      <c r="AH281" s="82" t="s">
        <v>8563</v>
      </c>
      <c r="AI281" s="77" t="b">
        <v>0</v>
      </c>
      <c r="AJ281" s="77"/>
      <c r="AK281" s="77"/>
      <c r="AL281" s="77"/>
      <c r="AM281" s="77"/>
      <c r="AN281" s="77"/>
      <c r="AO281" s="77"/>
      <c r="AP281" s="77"/>
      <c r="AQ281" s="77" t="s">
        <v>12277</v>
      </c>
      <c r="AR281" s="77"/>
      <c r="AS281" s="77"/>
      <c r="AT281" s="77"/>
      <c r="AU281" s="77"/>
      <c r="AV281" s="80" t="str">
        <f>HYPERLINK("https://pbs.twimg.com/media/FxZyZPtWIAAmNV9.jpg")</f>
        <v>https://pbs.twimg.com/media/FxZyZPtWIAAmNV9.jpg</v>
      </c>
      <c r="AW281" s="82" t="s">
        <v>13384</v>
      </c>
      <c r="AX281" s="82" t="s">
        <v>13384</v>
      </c>
      <c r="AY281" s="77"/>
      <c r="AZ281" s="82" t="s">
        <v>17385</v>
      </c>
      <c r="BA281" s="82" t="s">
        <v>17385</v>
      </c>
      <c r="BB281" s="82" t="s">
        <v>17385</v>
      </c>
      <c r="BC281" s="82" t="s">
        <v>13384</v>
      </c>
      <c r="BD281" s="82" t="s">
        <v>17469</v>
      </c>
      <c r="BE281" s="77"/>
      <c r="BF281" s="77"/>
      <c r="BG281" s="77"/>
      <c r="BH281" s="77"/>
      <c r="BI281" s="77"/>
    </row>
    <row r="282" spans="1:61" x14ac:dyDescent="0.25">
      <c r="A282" s="62" t="s">
        <v>278</v>
      </c>
      <c r="B282" s="62" t="s">
        <v>278</v>
      </c>
      <c r="C282" s="63"/>
      <c r="D282" s="64"/>
      <c r="E282" s="65"/>
      <c r="F282" s="66"/>
      <c r="G282" s="63"/>
      <c r="H282" s="67"/>
      <c r="I282" s="68"/>
      <c r="J282" s="68"/>
      <c r="K282" s="32"/>
      <c r="L282" s="75">
        <v>282</v>
      </c>
      <c r="M282" s="75"/>
      <c r="N282" s="70"/>
      <c r="O282" s="77" t="s">
        <v>179</v>
      </c>
      <c r="P282" s="79">
        <v>45076.004756944443</v>
      </c>
      <c r="Q282" s="77" t="s">
        <v>1081</v>
      </c>
      <c r="R282" s="77">
        <v>0</v>
      </c>
      <c r="S282" s="77">
        <v>0</v>
      </c>
      <c r="T282" s="77">
        <v>0</v>
      </c>
      <c r="U282" s="77">
        <v>0</v>
      </c>
      <c r="V282" s="77">
        <v>466</v>
      </c>
      <c r="W282" s="82" t="s">
        <v>4970</v>
      </c>
      <c r="X282" s="77"/>
      <c r="Y282" s="77"/>
      <c r="Z282" s="77"/>
      <c r="AA282" s="77" t="s">
        <v>7393</v>
      </c>
      <c r="AB282" s="77" t="s">
        <v>8225</v>
      </c>
      <c r="AC282" s="82" t="s">
        <v>8234</v>
      </c>
      <c r="AD282" s="77" t="s">
        <v>8278</v>
      </c>
      <c r="AE282" s="80" t="str">
        <f>HYPERLINK("https://twitter.com/facolommoney/status/1663336130069028865")</f>
        <v>https://twitter.com/facolommoney/status/1663336130069028865</v>
      </c>
      <c r="AF282" s="79">
        <v>45076.004756944443</v>
      </c>
      <c r="AG282" s="85">
        <v>45076</v>
      </c>
      <c r="AH282" s="82" t="s">
        <v>8564</v>
      </c>
      <c r="AI282" s="77" t="b">
        <v>0</v>
      </c>
      <c r="AJ282" s="77"/>
      <c r="AK282" s="77"/>
      <c r="AL282" s="77"/>
      <c r="AM282" s="77"/>
      <c r="AN282" s="77"/>
      <c r="AO282" s="77"/>
      <c r="AP282" s="77"/>
      <c r="AQ282" s="77" t="s">
        <v>12278</v>
      </c>
      <c r="AR282" s="77"/>
      <c r="AS282" s="77"/>
      <c r="AT282" s="77"/>
      <c r="AU282" s="77"/>
      <c r="AV282" s="80" t="str">
        <f>HYPERLINK("https://pbs.twimg.com/media/FxVbZSCWwAEjR-h.jpg")</f>
        <v>https://pbs.twimg.com/media/FxVbZSCWwAEjR-h.jpg</v>
      </c>
      <c r="AW282" s="82" t="s">
        <v>13385</v>
      </c>
      <c r="AX282" s="82" t="s">
        <v>13385</v>
      </c>
      <c r="AY282" s="77"/>
      <c r="AZ282" s="82" t="s">
        <v>17385</v>
      </c>
      <c r="BA282" s="82" t="s">
        <v>17385</v>
      </c>
      <c r="BB282" s="82" t="s">
        <v>17385</v>
      </c>
      <c r="BC282" s="82" t="s">
        <v>13385</v>
      </c>
      <c r="BD282" s="82" t="s">
        <v>17469</v>
      </c>
      <c r="BE282" s="77"/>
      <c r="BF282" s="77"/>
      <c r="BG282" s="77"/>
      <c r="BH282" s="77"/>
      <c r="BI282" s="77"/>
    </row>
    <row r="283" spans="1:61" x14ac:dyDescent="0.25">
      <c r="A283" s="62" t="s">
        <v>278</v>
      </c>
      <c r="B283" s="62" t="s">
        <v>278</v>
      </c>
      <c r="C283" s="63"/>
      <c r="D283" s="64"/>
      <c r="E283" s="65"/>
      <c r="F283" s="66"/>
      <c r="G283" s="63"/>
      <c r="H283" s="67"/>
      <c r="I283" s="68"/>
      <c r="J283" s="68"/>
      <c r="K283" s="32"/>
      <c r="L283" s="75">
        <v>283</v>
      </c>
      <c r="M283" s="75"/>
      <c r="N283" s="70"/>
      <c r="O283" s="77" t="s">
        <v>179</v>
      </c>
      <c r="P283" s="79">
        <v>45075.897002314814</v>
      </c>
      <c r="Q283" s="77" t="s">
        <v>1082</v>
      </c>
      <c r="R283" s="77">
        <v>0</v>
      </c>
      <c r="S283" s="77">
        <v>1</v>
      </c>
      <c r="T283" s="77">
        <v>0</v>
      </c>
      <c r="U283" s="77">
        <v>0</v>
      </c>
      <c r="V283" s="77">
        <v>350</v>
      </c>
      <c r="W283" s="82" t="s">
        <v>4969</v>
      </c>
      <c r="X283" s="77"/>
      <c r="Y283" s="77"/>
      <c r="Z283" s="77"/>
      <c r="AA283" s="77" t="s">
        <v>7394</v>
      </c>
      <c r="AB283" s="77" t="s">
        <v>8225</v>
      </c>
      <c r="AC283" s="82" t="s">
        <v>8234</v>
      </c>
      <c r="AD283" s="77" t="s">
        <v>8278</v>
      </c>
      <c r="AE283" s="80" t="str">
        <f>HYPERLINK("https://twitter.com/facolommoney/status/1663297082793287684")</f>
        <v>https://twitter.com/facolommoney/status/1663297082793287684</v>
      </c>
      <c r="AF283" s="79">
        <v>45075.897002314814</v>
      </c>
      <c r="AG283" s="85">
        <v>45075</v>
      </c>
      <c r="AH283" s="82" t="s">
        <v>8565</v>
      </c>
      <c r="AI283" s="77" t="b">
        <v>0</v>
      </c>
      <c r="AJ283" s="77"/>
      <c r="AK283" s="77"/>
      <c r="AL283" s="77"/>
      <c r="AM283" s="77"/>
      <c r="AN283" s="77"/>
      <c r="AO283" s="77"/>
      <c r="AP283" s="77"/>
      <c r="AQ283" s="77" t="s">
        <v>12279</v>
      </c>
      <c r="AR283" s="77"/>
      <c r="AS283" s="77"/>
      <c r="AT283" s="77"/>
      <c r="AU283" s="77"/>
      <c r="AV283" s="80" t="str">
        <f>HYPERLINK("https://pbs.twimg.com/media/FxU34YtWAAIcs46.jpg")</f>
        <v>https://pbs.twimg.com/media/FxU34YtWAAIcs46.jpg</v>
      </c>
      <c r="AW283" s="82" t="s">
        <v>13386</v>
      </c>
      <c r="AX283" s="82" t="s">
        <v>13386</v>
      </c>
      <c r="AY283" s="77"/>
      <c r="AZ283" s="82" t="s">
        <v>17385</v>
      </c>
      <c r="BA283" s="82" t="s">
        <v>17385</v>
      </c>
      <c r="BB283" s="82" t="s">
        <v>17385</v>
      </c>
      <c r="BC283" s="82" t="s">
        <v>13386</v>
      </c>
      <c r="BD283" s="82" t="s">
        <v>17469</v>
      </c>
      <c r="BE283" s="77"/>
      <c r="BF283" s="77"/>
      <c r="BG283" s="77"/>
      <c r="BH283" s="77"/>
      <c r="BI283" s="77"/>
    </row>
    <row r="284" spans="1:61" x14ac:dyDescent="0.25">
      <c r="A284" s="62" t="s">
        <v>278</v>
      </c>
      <c r="B284" s="62" t="s">
        <v>278</v>
      </c>
      <c r="C284" s="63"/>
      <c r="D284" s="64"/>
      <c r="E284" s="65"/>
      <c r="F284" s="66"/>
      <c r="G284" s="63"/>
      <c r="H284" s="67"/>
      <c r="I284" s="68"/>
      <c r="J284" s="68"/>
      <c r="K284" s="32"/>
      <c r="L284" s="75">
        <v>284</v>
      </c>
      <c r="M284" s="75"/>
      <c r="N284" s="70"/>
      <c r="O284" s="77" t="s">
        <v>179</v>
      </c>
      <c r="P284" s="79">
        <v>45075.456087962964</v>
      </c>
      <c r="Q284" s="77" t="s">
        <v>1083</v>
      </c>
      <c r="R284" s="77">
        <v>0</v>
      </c>
      <c r="S284" s="77">
        <v>0</v>
      </c>
      <c r="T284" s="77">
        <v>0</v>
      </c>
      <c r="U284" s="77">
        <v>0</v>
      </c>
      <c r="V284" s="77">
        <v>273</v>
      </c>
      <c r="W284" s="82" t="s">
        <v>4971</v>
      </c>
      <c r="X284" s="77"/>
      <c r="Y284" s="77"/>
      <c r="Z284" s="77"/>
      <c r="AA284" s="77" t="s">
        <v>7395</v>
      </c>
      <c r="AB284" s="77" t="s">
        <v>8225</v>
      </c>
      <c r="AC284" s="82" t="s">
        <v>8234</v>
      </c>
      <c r="AD284" s="77" t="s">
        <v>8278</v>
      </c>
      <c r="AE284" s="80" t="str">
        <f>HYPERLINK("https://twitter.com/facolommoney/status/1663137299276652545")</f>
        <v>https://twitter.com/facolommoney/status/1663137299276652545</v>
      </c>
      <c r="AF284" s="79">
        <v>45075.456087962964</v>
      </c>
      <c r="AG284" s="85">
        <v>45075</v>
      </c>
      <c r="AH284" s="82" t="s">
        <v>8566</v>
      </c>
      <c r="AI284" s="77" t="b">
        <v>0</v>
      </c>
      <c r="AJ284" s="77"/>
      <c r="AK284" s="77"/>
      <c r="AL284" s="77"/>
      <c r="AM284" s="77"/>
      <c r="AN284" s="77"/>
      <c r="AO284" s="77"/>
      <c r="AP284" s="77"/>
      <c r="AQ284" s="77" t="s">
        <v>12280</v>
      </c>
      <c r="AR284" s="77"/>
      <c r="AS284" s="77"/>
      <c r="AT284" s="77"/>
      <c r="AU284" s="77"/>
      <c r="AV284" s="80" t="str">
        <f>HYPERLINK("https://pbs.twimg.com/media/FxSmjzFX0AQVEk5.jpg")</f>
        <v>https://pbs.twimg.com/media/FxSmjzFX0AQVEk5.jpg</v>
      </c>
      <c r="AW284" s="82" t="s">
        <v>13387</v>
      </c>
      <c r="AX284" s="82" t="s">
        <v>13387</v>
      </c>
      <c r="AY284" s="77"/>
      <c r="AZ284" s="82" t="s">
        <v>17385</v>
      </c>
      <c r="BA284" s="82" t="s">
        <v>17385</v>
      </c>
      <c r="BB284" s="82" t="s">
        <v>17385</v>
      </c>
      <c r="BC284" s="82" t="s">
        <v>13387</v>
      </c>
      <c r="BD284" s="82" t="s">
        <v>17469</v>
      </c>
      <c r="BE284" s="77"/>
      <c r="BF284" s="77"/>
      <c r="BG284" s="77"/>
      <c r="BH284" s="77"/>
      <c r="BI284" s="77"/>
    </row>
    <row r="285" spans="1:61" x14ac:dyDescent="0.25">
      <c r="A285" s="62" t="s">
        <v>278</v>
      </c>
      <c r="B285" s="62" t="s">
        <v>278</v>
      </c>
      <c r="C285" s="63"/>
      <c r="D285" s="64"/>
      <c r="E285" s="65"/>
      <c r="F285" s="66"/>
      <c r="G285" s="63"/>
      <c r="H285" s="67"/>
      <c r="I285" s="68"/>
      <c r="J285" s="68"/>
      <c r="K285" s="32"/>
      <c r="L285" s="75">
        <v>285</v>
      </c>
      <c r="M285" s="75"/>
      <c r="N285" s="70"/>
      <c r="O285" s="77" t="s">
        <v>179</v>
      </c>
      <c r="P285" s="79">
        <v>45097.041805555556</v>
      </c>
      <c r="Q285" s="77" t="s">
        <v>1084</v>
      </c>
      <c r="R285" s="77">
        <v>0</v>
      </c>
      <c r="S285" s="77">
        <v>0</v>
      </c>
      <c r="T285" s="77">
        <v>0</v>
      </c>
      <c r="U285" s="77">
        <v>0</v>
      </c>
      <c r="V285" s="77">
        <v>122</v>
      </c>
      <c r="W285" s="82" t="s">
        <v>4972</v>
      </c>
      <c r="X285" s="77"/>
      <c r="Y285" s="77"/>
      <c r="Z285" s="77"/>
      <c r="AA285" s="77" t="s">
        <v>7396</v>
      </c>
      <c r="AB285" s="77" t="s">
        <v>8227</v>
      </c>
      <c r="AC285" s="82" t="s">
        <v>8234</v>
      </c>
      <c r="AD285" s="77" t="s">
        <v>8278</v>
      </c>
      <c r="AE285" s="80" t="str">
        <f>HYPERLINK("https://twitter.com/facolommoney/status/1670959703055056897")</f>
        <v>https://twitter.com/facolommoney/status/1670959703055056897</v>
      </c>
      <c r="AF285" s="79">
        <v>45097.041805555556</v>
      </c>
      <c r="AG285" s="85">
        <v>45097</v>
      </c>
      <c r="AH285" s="82" t="s">
        <v>8567</v>
      </c>
      <c r="AI285" s="77" t="b">
        <v>0</v>
      </c>
      <c r="AJ285" s="77"/>
      <c r="AK285" s="77"/>
      <c r="AL285" s="77"/>
      <c r="AM285" s="77"/>
      <c r="AN285" s="77"/>
      <c r="AO285" s="77"/>
      <c r="AP285" s="77"/>
      <c r="AQ285" s="77" t="s">
        <v>12281</v>
      </c>
      <c r="AR285" s="77">
        <v>4933</v>
      </c>
      <c r="AS285" s="77"/>
      <c r="AT285" s="77"/>
      <c r="AU285" s="77"/>
      <c r="AV285" s="80" t="str">
        <f>HYPERLINK("https://pbs.twimg.com/ext_tw_video_thumb/1670959688123392001/pu/img/7mi-Y8tpwahYBFPd.jpg")</f>
        <v>https://pbs.twimg.com/ext_tw_video_thumb/1670959688123392001/pu/img/7mi-Y8tpwahYBFPd.jpg</v>
      </c>
      <c r="AW285" s="82" t="s">
        <v>13388</v>
      </c>
      <c r="AX285" s="82" t="s">
        <v>13388</v>
      </c>
      <c r="AY285" s="77"/>
      <c r="AZ285" s="82" t="s">
        <v>17385</v>
      </c>
      <c r="BA285" s="82" t="s">
        <v>17385</v>
      </c>
      <c r="BB285" s="82" t="s">
        <v>17385</v>
      </c>
      <c r="BC285" s="82" t="s">
        <v>13388</v>
      </c>
      <c r="BD285" s="82" t="s">
        <v>17469</v>
      </c>
      <c r="BE285" s="77"/>
      <c r="BF285" s="77"/>
      <c r="BG285" s="77"/>
      <c r="BH285" s="77"/>
      <c r="BI285" s="77"/>
    </row>
    <row r="286" spans="1:61" x14ac:dyDescent="0.25">
      <c r="A286" s="62" t="s">
        <v>278</v>
      </c>
      <c r="B286" s="62" t="s">
        <v>278</v>
      </c>
      <c r="C286" s="63"/>
      <c r="D286" s="64"/>
      <c r="E286" s="65"/>
      <c r="F286" s="66"/>
      <c r="G286" s="63"/>
      <c r="H286" s="67"/>
      <c r="I286" s="68"/>
      <c r="J286" s="68"/>
      <c r="K286" s="32"/>
      <c r="L286" s="75">
        <v>286</v>
      </c>
      <c r="M286" s="75"/>
      <c r="N286" s="70"/>
      <c r="O286" s="77" t="s">
        <v>179</v>
      </c>
      <c r="P286" s="79">
        <v>45086.873356481483</v>
      </c>
      <c r="Q286" s="77" t="s">
        <v>1085</v>
      </c>
      <c r="R286" s="77">
        <v>0</v>
      </c>
      <c r="S286" s="77">
        <v>1</v>
      </c>
      <c r="T286" s="77">
        <v>0</v>
      </c>
      <c r="U286" s="77">
        <v>0</v>
      </c>
      <c r="V286" s="77">
        <v>180</v>
      </c>
      <c r="W286" s="82" t="s">
        <v>4835</v>
      </c>
      <c r="X286" s="77"/>
      <c r="Y286" s="77"/>
      <c r="Z286" s="77"/>
      <c r="AA286" s="77" t="s">
        <v>7397</v>
      </c>
      <c r="AB286" s="77" t="s">
        <v>8225</v>
      </c>
      <c r="AC286" s="82" t="s">
        <v>8234</v>
      </c>
      <c r="AD286" s="77" t="s">
        <v>8278</v>
      </c>
      <c r="AE286" s="80" t="str">
        <f>HYPERLINK("https://twitter.com/facolommoney/status/1667274780213497856")</f>
        <v>https://twitter.com/facolommoney/status/1667274780213497856</v>
      </c>
      <c r="AF286" s="79">
        <v>45086.873356481483</v>
      </c>
      <c r="AG286" s="85">
        <v>45086</v>
      </c>
      <c r="AH286" s="82" t="s">
        <v>8568</v>
      </c>
      <c r="AI286" s="77" t="b">
        <v>0</v>
      </c>
      <c r="AJ286" s="77"/>
      <c r="AK286" s="77"/>
      <c r="AL286" s="77"/>
      <c r="AM286" s="77"/>
      <c r="AN286" s="77"/>
      <c r="AO286" s="77"/>
      <c r="AP286" s="77"/>
      <c r="AQ286" s="77" t="s">
        <v>12282</v>
      </c>
      <c r="AR286" s="77"/>
      <c r="AS286" s="77"/>
      <c r="AT286" s="77"/>
      <c r="AU286" s="77"/>
      <c r="AV286" s="80" t="str">
        <f>HYPERLINK("https://pbs.twimg.com/media/FyNZk45XoAAtnh1.jpg")</f>
        <v>https://pbs.twimg.com/media/FyNZk45XoAAtnh1.jpg</v>
      </c>
      <c r="AW286" s="82" t="s">
        <v>13389</v>
      </c>
      <c r="AX286" s="82" t="s">
        <v>13389</v>
      </c>
      <c r="AY286" s="77"/>
      <c r="AZ286" s="82" t="s">
        <v>17385</v>
      </c>
      <c r="BA286" s="82" t="s">
        <v>17385</v>
      </c>
      <c r="BB286" s="82" t="s">
        <v>17385</v>
      </c>
      <c r="BC286" s="82" t="s">
        <v>13389</v>
      </c>
      <c r="BD286" s="82" t="s">
        <v>17469</v>
      </c>
      <c r="BE286" s="77"/>
      <c r="BF286" s="77"/>
      <c r="BG286" s="77"/>
      <c r="BH286" s="77"/>
      <c r="BI286" s="77"/>
    </row>
    <row r="287" spans="1:61" x14ac:dyDescent="0.25">
      <c r="A287" s="62" t="s">
        <v>278</v>
      </c>
      <c r="B287" s="62" t="s">
        <v>278</v>
      </c>
      <c r="C287" s="63"/>
      <c r="D287" s="64"/>
      <c r="E287" s="65"/>
      <c r="F287" s="66"/>
      <c r="G287" s="63"/>
      <c r="H287" s="67"/>
      <c r="I287" s="68"/>
      <c r="J287" s="68"/>
      <c r="K287" s="32"/>
      <c r="L287" s="75">
        <v>287</v>
      </c>
      <c r="M287" s="75"/>
      <c r="N287" s="70"/>
      <c r="O287" s="77" t="s">
        <v>179</v>
      </c>
      <c r="P287" s="79">
        <v>45071.541388888887</v>
      </c>
      <c r="Q287" s="77" t="s">
        <v>1086</v>
      </c>
      <c r="R287" s="77">
        <v>0</v>
      </c>
      <c r="S287" s="77">
        <v>0</v>
      </c>
      <c r="T287" s="77">
        <v>0</v>
      </c>
      <c r="U287" s="77">
        <v>0</v>
      </c>
      <c r="V287" s="77">
        <v>300</v>
      </c>
      <c r="W287" s="82" t="s">
        <v>4973</v>
      </c>
      <c r="X287" s="77"/>
      <c r="Y287" s="77"/>
      <c r="Z287" s="77"/>
      <c r="AA287" s="77" t="s">
        <v>7398</v>
      </c>
      <c r="AB287" s="77" t="s">
        <v>8225</v>
      </c>
      <c r="AC287" s="82" t="s">
        <v>8234</v>
      </c>
      <c r="AD287" s="77" t="s">
        <v>8278</v>
      </c>
      <c r="AE287" s="80" t="str">
        <f>HYPERLINK("https://twitter.com/facolommoney/status/1661718661013417986")</f>
        <v>https://twitter.com/facolommoney/status/1661718661013417986</v>
      </c>
      <c r="AF287" s="79">
        <v>45071.541388888887</v>
      </c>
      <c r="AG287" s="85">
        <v>45071</v>
      </c>
      <c r="AH287" s="82" t="s">
        <v>8569</v>
      </c>
      <c r="AI287" s="77" t="b">
        <v>0</v>
      </c>
      <c r="AJ287" s="77"/>
      <c r="AK287" s="77"/>
      <c r="AL287" s="77"/>
      <c r="AM287" s="77"/>
      <c r="AN287" s="77"/>
      <c r="AO287" s="77"/>
      <c r="AP287" s="77"/>
      <c r="AQ287" s="77" t="s">
        <v>12283</v>
      </c>
      <c r="AR287" s="77"/>
      <c r="AS287" s="77"/>
      <c r="AT287" s="77"/>
      <c r="AU287" s="77"/>
      <c r="AV287" s="80" t="str">
        <f>HYPERLINK("https://pbs.twimg.com/media/Fw-cUKXWYAAurK_.jpg")</f>
        <v>https://pbs.twimg.com/media/Fw-cUKXWYAAurK_.jpg</v>
      </c>
      <c r="AW287" s="82" t="s">
        <v>13390</v>
      </c>
      <c r="AX287" s="82" t="s">
        <v>13390</v>
      </c>
      <c r="AY287" s="77"/>
      <c r="AZ287" s="82" t="s">
        <v>17385</v>
      </c>
      <c r="BA287" s="82" t="s">
        <v>17385</v>
      </c>
      <c r="BB287" s="82" t="s">
        <v>17385</v>
      </c>
      <c r="BC287" s="82" t="s">
        <v>13390</v>
      </c>
      <c r="BD287" s="82" t="s">
        <v>17469</v>
      </c>
      <c r="BE287" s="77"/>
      <c r="BF287" s="77"/>
      <c r="BG287" s="77"/>
      <c r="BH287" s="77"/>
      <c r="BI287" s="77"/>
    </row>
    <row r="288" spans="1:61" x14ac:dyDescent="0.25">
      <c r="A288" s="62" t="s">
        <v>278</v>
      </c>
      <c r="B288" s="62" t="s">
        <v>278</v>
      </c>
      <c r="C288" s="63"/>
      <c r="D288" s="64"/>
      <c r="E288" s="65"/>
      <c r="F288" s="66"/>
      <c r="G288" s="63"/>
      <c r="H288" s="67"/>
      <c r="I288" s="68"/>
      <c r="J288" s="68"/>
      <c r="K288" s="32"/>
      <c r="L288" s="75">
        <v>288</v>
      </c>
      <c r="M288" s="75"/>
      <c r="N288" s="70"/>
      <c r="O288" s="77" t="s">
        <v>179</v>
      </c>
      <c r="P288" s="79">
        <v>45108.722881944443</v>
      </c>
      <c r="Q288" s="77" t="s">
        <v>1087</v>
      </c>
      <c r="R288" s="77">
        <v>0</v>
      </c>
      <c r="S288" s="77">
        <v>0</v>
      </c>
      <c r="T288" s="77">
        <v>0</v>
      </c>
      <c r="U288" s="77">
        <v>0</v>
      </c>
      <c r="V288" s="77">
        <v>119</v>
      </c>
      <c r="W288" s="82" t="s">
        <v>4974</v>
      </c>
      <c r="X288" s="77"/>
      <c r="Y288" s="77"/>
      <c r="Z288" s="77"/>
      <c r="AA288" s="77" t="s">
        <v>7399</v>
      </c>
      <c r="AB288" s="77" t="s">
        <v>8227</v>
      </c>
      <c r="AC288" s="82" t="s">
        <v>8234</v>
      </c>
      <c r="AD288" s="77" t="s">
        <v>8278</v>
      </c>
      <c r="AE288" s="80" t="str">
        <f>HYPERLINK("https://twitter.com/facolommoney/status/1675192780698648577")</f>
        <v>https://twitter.com/facolommoney/status/1675192780698648577</v>
      </c>
      <c r="AF288" s="79">
        <v>45108.722881944443</v>
      </c>
      <c r="AG288" s="85">
        <v>45108</v>
      </c>
      <c r="AH288" s="82" t="s">
        <v>8570</v>
      </c>
      <c r="AI288" s="77" t="b">
        <v>0</v>
      </c>
      <c r="AJ288" s="77"/>
      <c r="AK288" s="77"/>
      <c r="AL288" s="77"/>
      <c r="AM288" s="77"/>
      <c r="AN288" s="77"/>
      <c r="AO288" s="77"/>
      <c r="AP288" s="77"/>
      <c r="AQ288" s="77" t="s">
        <v>12284</v>
      </c>
      <c r="AR288" s="77">
        <v>3933</v>
      </c>
      <c r="AS288" s="77"/>
      <c r="AT288" s="77"/>
      <c r="AU288" s="77"/>
      <c r="AV288" s="80" t="str">
        <f>HYPERLINK("https://pbs.twimg.com/ext_tw_video_thumb/1675192765125197826/pu/img/AvszVz61OAZSl_9S.jpg")</f>
        <v>https://pbs.twimg.com/ext_tw_video_thumb/1675192765125197826/pu/img/AvszVz61OAZSl_9S.jpg</v>
      </c>
      <c r="AW288" s="82" t="s">
        <v>13391</v>
      </c>
      <c r="AX288" s="82" t="s">
        <v>13391</v>
      </c>
      <c r="AY288" s="77"/>
      <c r="AZ288" s="82" t="s">
        <v>17385</v>
      </c>
      <c r="BA288" s="82" t="s">
        <v>17385</v>
      </c>
      <c r="BB288" s="82" t="s">
        <v>17385</v>
      </c>
      <c r="BC288" s="82" t="s">
        <v>13391</v>
      </c>
      <c r="BD288" s="82" t="s">
        <v>17469</v>
      </c>
      <c r="BE288" s="77"/>
      <c r="BF288" s="77"/>
      <c r="BG288" s="77"/>
      <c r="BH288" s="77"/>
      <c r="BI288" s="77"/>
    </row>
    <row r="289" spans="1:61" x14ac:dyDescent="0.25">
      <c r="A289" s="62" t="s">
        <v>278</v>
      </c>
      <c r="B289" s="62" t="s">
        <v>278</v>
      </c>
      <c r="C289" s="63"/>
      <c r="D289" s="64"/>
      <c r="E289" s="65"/>
      <c r="F289" s="66"/>
      <c r="G289" s="63"/>
      <c r="H289" s="67"/>
      <c r="I289" s="68"/>
      <c r="J289" s="68"/>
      <c r="K289" s="32"/>
      <c r="L289" s="75">
        <v>289</v>
      </c>
      <c r="M289" s="75"/>
      <c r="N289" s="70"/>
      <c r="O289" s="77" t="s">
        <v>179</v>
      </c>
      <c r="P289" s="79">
        <v>45086.020902777775</v>
      </c>
      <c r="Q289" s="77" t="s">
        <v>1088</v>
      </c>
      <c r="R289" s="77">
        <v>0</v>
      </c>
      <c r="S289" s="77">
        <v>0</v>
      </c>
      <c r="T289" s="77">
        <v>0</v>
      </c>
      <c r="U289" s="77">
        <v>0</v>
      </c>
      <c r="V289" s="77">
        <v>205</v>
      </c>
      <c r="W289" s="82" t="s">
        <v>4975</v>
      </c>
      <c r="X289" s="77"/>
      <c r="Y289" s="77"/>
      <c r="Z289" s="77"/>
      <c r="AA289" s="77" t="s">
        <v>7400</v>
      </c>
      <c r="AB289" s="77" t="s">
        <v>8225</v>
      </c>
      <c r="AC289" s="82" t="s">
        <v>8234</v>
      </c>
      <c r="AD289" s="77" t="s">
        <v>8278</v>
      </c>
      <c r="AE289" s="80" t="str">
        <f>HYPERLINK("https://twitter.com/facolommoney/status/1666965858994757634")</f>
        <v>https://twitter.com/facolommoney/status/1666965858994757634</v>
      </c>
      <c r="AF289" s="79">
        <v>45086.020902777775</v>
      </c>
      <c r="AG289" s="85">
        <v>45086</v>
      </c>
      <c r="AH289" s="82" t="s">
        <v>8571</v>
      </c>
      <c r="AI289" s="77" t="b">
        <v>0</v>
      </c>
      <c r="AJ289" s="77"/>
      <c r="AK289" s="77"/>
      <c r="AL289" s="77"/>
      <c r="AM289" s="77"/>
      <c r="AN289" s="77"/>
      <c r="AO289" s="77"/>
      <c r="AP289" s="77"/>
      <c r="AQ289" s="77" t="s">
        <v>12285</v>
      </c>
      <c r="AR289" s="77"/>
      <c r="AS289" s="77"/>
      <c r="AT289" s="77"/>
      <c r="AU289" s="77"/>
      <c r="AV289" s="80" t="str">
        <f>HYPERLINK("https://pbs.twimg.com/media/FyJAnUMWYAAFp7_.jpg")</f>
        <v>https://pbs.twimg.com/media/FyJAnUMWYAAFp7_.jpg</v>
      </c>
      <c r="AW289" s="82" t="s">
        <v>13392</v>
      </c>
      <c r="AX289" s="82" t="s">
        <v>13392</v>
      </c>
      <c r="AY289" s="77"/>
      <c r="AZ289" s="82" t="s">
        <v>17385</v>
      </c>
      <c r="BA289" s="82" t="s">
        <v>17385</v>
      </c>
      <c r="BB289" s="82" t="s">
        <v>17385</v>
      </c>
      <c r="BC289" s="82" t="s">
        <v>13392</v>
      </c>
      <c r="BD289" s="82" t="s">
        <v>17469</v>
      </c>
      <c r="BE289" s="77"/>
      <c r="BF289" s="77"/>
      <c r="BG289" s="77"/>
      <c r="BH289" s="77"/>
      <c r="BI289" s="77"/>
    </row>
    <row r="290" spans="1:61" x14ac:dyDescent="0.25">
      <c r="A290" s="62" t="s">
        <v>278</v>
      </c>
      <c r="B290" s="62" t="s">
        <v>278</v>
      </c>
      <c r="C290" s="63"/>
      <c r="D290" s="64"/>
      <c r="E290" s="65"/>
      <c r="F290" s="66"/>
      <c r="G290" s="63"/>
      <c r="H290" s="67"/>
      <c r="I290" s="68"/>
      <c r="J290" s="68"/>
      <c r="K290" s="32"/>
      <c r="L290" s="75">
        <v>290</v>
      </c>
      <c r="M290" s="75"/>
      <c r="N290" s="70"/>
      <c r="O290" s="77" t="s">
        <v>179</v>
      </c>
      <c r="P290" s="79">
        <v>45085.604953703703</v>
      </c>
      <c r="Q290" s="77" t="s">
        <v>1089</v>
      </c>
      <c r="R290" s="77">
        <v>0</v>
      </c>
      <c r="S290" s="77">
        <v>0</v>
      </c>
      <c r="T290" s="77">
        <v>0</v>
      </c>
      <c r="U290" s="77">
        <v>0</v>
      </c>
      <c r="V290" s="77">
        <v>159</v>
      </c>
      <c r="W290" s="82" t="s">
        <v>4976</v>
      </c>
      <c r="X290" s="77"/>
      <c r="Y290" s="77"/>
      <c r="Z290" s="77"/>
      <c r="AA290" s="77" t="s">
        <v>7401</v>
      </c>
      <c r="AB290" s="77" t="s">
        <v>8225</v>
      </c>
      <c r="AC290" s="82" t="s">
        <v>8234</v>
      </c>
      <c r="AD290" s="77" t="s">
        <v>8281</v>
      </c>
      <c r="AE290" s="80" t="str">
        <f>HYPERLINK("https://twitter.com/facolommoney/status/1666815125364551681")</f>
        <v>https://twitter.com/facolommoney/status/1666815125364551681</v>
      </c>
      <c r="AF290" s="79">
        <v>45085.604953703703</v>
      </c>
      <c r="AG290" s="85">
        <v>45085</v>
      </c>
      <c r="AH290" s="82" t="s">
        <v>8572</v>
      </c>
      <c r="AI290" s="77" t="b">
        <v>0</v>
      </c>
      <c r="AJ290" s="77"/>
      <c r="AK290" s="77"/>
      <c r="AL290" s="77"/>
      <c r="AM290" s="77"/>
      <c r="AN290" s="77"/>
      <c r="AO290" s="77"/>
      <c r="AP290" s="77"/>
      <c r="AQ290" s="77" t="s">
        <v>12286</v>
      </c>
      <c r="AR290" s="77"/>
      <c r="AS290" s="77"/>
      <c r="AT290" s="77"/>
      <c r="AU290" s="77"/>
      <c r="AV290" s="80" t="str">
        <f>HYPERLINK("https://pbs.twimg.com/media/FyG3hbVaYAA1RiU.jpg")</f>
        <v>https://pbs.twimg.com/media/FyG3hbVaYAA1RiU.jpg</v>
      </c>
      <c r="AW290" s="82" t="s">
        <v>13393</v>
      </c>
      <c r="AX290" s="82" t="s">
        <v>13393</v>
      </c>
      <c r="AY290" s="77"/>
      <c r="AZ290" s="82" t="s">
        <v>17385</v>
      </c>
      <c r="BA290" s="82" t="s">
        <v>17385</v>
      </c>
      <c r="BB290" s="82" t="s">
        <v>17385</v>
      </c>
      <c r="BC290" s="82" t="s">
        <v>13393</v>
      </c>
      <c r="BD290" s="82" t="s">
        <v>17469</v>
      </c>
      <c r="BE290" s="77"/>
      <c r="BF290" s="77"/>
      <c r="BG290" s="77"/>
      <c r="BH290" s="77"/>
      <c r="BI290" s="77"/>
    </row>
    <row r="291" spans="1:61" x14ac:dyDescent="0.25">
      <c r="A291" s="62" t="s">
        <v>278</v>
      </c>
      <c r="B291" s="62" t="s">
        <v>278</v>
      </c>
      <c r="C291" s="63"/>
      <c r="D291" s="64"/>
      <c r="E291" s="65"/>
      <c r="F291" s="66"/>
      <c r="G291" s="63"/>
      <c r="H291" s="67"/>
      <c r="I291" s="68"/>
      <c r="J291" s="68"/>
      <c r="K291" s="32"/>
      <c r="L291" s="75">
        <v>291</v>
      </c>
      <c r="M291" s="75"/>
      <c r="N291" s="70"/>
      <c r="O291" s="77" t="s">
        <v>179</v>
      </c>
      <c r="P291" s="79">
        <v>45084.022546296299</v>
      </c>
      <c r="Q291" s="77" t="s">
        <v>1090</v>
      </c>
      <c r="R291" s="77">
        <v>0</v>
      </c>
      <c r="S291" s="77">
        <v>0</v>
      </c>
      <c r="T291" s="77">
        <v>0</v>
      </c>
      <c r="U291" s="77">
        <v>0</v>
      </c>
      <c r="V291" s="77">
        <v>138</v>
      </c>
      <c r="W291" s="82" t="s">
        <v>4977</v>
      </c>
      <c r="X291" s="77"/>
      <c r="Y291" s="77"/>
      <c r="Z291" s="77"/>
      <c r="AA291" s="77" t="s">
        <v>7402</v>
      </c>
      <c r="AB291" s="77" t="s">
        <v>8225</v>
      </c>
      <c r="AC291" s="82" t="s">
        <v>8234</v>
      </c>
      <c r="AD291" s="77" t="s">
        <v>8278</v>
      </c>
      <c r="AE291" s="80" t="str">
        <f>HYPERLINK("https://twitter.com/facolommoney/status/1666241679051898882")</f>
        <v>https://twitter.com/facolommoney/status/1666241679051898882</v>
      </c>
      <c r="AF291" s="79">
        <v>45084.022546296299</v>
      </c>
      <c r="AG291" s="85">
        <v>45084</v>
      </c>
      <c r="AH291" s="82" t="s">
        <v>8573</v>
      </c>
      <c r="AI291" s="77" t="b">
        <v>0</v>
      </c>
      <c r="AJ291" s="77"/>
      <c r="AK291" s="77"/>
      <c r="AL291" s="77"/>
      <c r="AM291" s="77"/>
      <c r="AN291" s="77"/>
      <c r="AO291" s="77"/>
      <c r="AP291" s="77"/>
      <c r="AQ291" s="77" t="s">
        <v>12287</v>
      </c>
      <c r="AR291" s="77"/>
      <c r="AS291" s="77"/>
      <c r="AT291" s="77"/>
      <c r="AU291" s="77"/>
      <c r="AV291" s="80" t="str">
        <f>HYPERLINK("https://pbs.twimg.com/media/Fx-t-fxX0AA4V78.jpg")</f>
        <v>https://pbs.twimg.com/media/Fx-t-fxX0AA4V78.jpg</v>
      </c>
      <c r="AW291" s="82" t="s">
        <v>13394</v>
      </c>
      <c r="AX291" s="82" t="s">
        <v>13394</v>
      </c>
      <c r="AY291" s="77"/>
      <c r="AZ291" s="82" t="s">
        <v>17385</v>
      </c>
      <c r="BA291" s="82" t="s">
        <v>17385</v>
      </c>
      <c r="BB291" s="82" t="s">
        <v>17385</v>
      </c>
      <c r="BC291" s="82" t="s">
        <v>13394</v>
      </c>
      <c r="BD291" s="82" t="s">
        <v>17469</v>
      </c>
      <c r="BE291" s="77"/>
      <c r="BF291" s="77"/>
      <c r="BG291" s="77"/>
      <c r="BH291" s="77"/>
      <c r="BI291" s="77"/>
    </row>
    <row r="292" spans="1:61" x14ac:dyDescent="0.25">
      <c r="A292" s="62" t="s">
        <v>278</v>
      </c>
      <c r="B292" s="62" t="s">
        <v>278</v>
      </c>
      <c r="C292" s="63"/>
      <c r="D292" s="64"/>
      <c r="E292" s="65"/>
      <c r="F292" s="66"/>
      <c r="G292" s="63"/>
      <c r="H292" s="67"/>
      <c r="I292" s="68"/>
      <c r="J292" s="68"/>
      <c r="K292" s="32"/>
      <c r="L292" s="75">
        <v>292</v>
      </c>
      <c r="M292" s="75"/>
      <c r="N292" s="70"/>
      <c r="O292" s="77" t="s">
        <v>179</v>
      </c>
      <c r="P292" s="79">
        <v>45069.971631944441</v>
      </c>
      <c r="Q292" s="77" t="s">
        <v>1091</v>
      </c>
      <c r="R292" s="77">
        <v>0</v>
      </c>
      <c r="S292" s="77">
        <v>0</v>
      </c>
      <c r="T292" s="77">
        <v>0</v>
      </c>
      <c r="U292" s="77">
        <v>0</v>
      </c>
      <c r="V292" s="77">
        <v>464</v>
      </c>
      <c r="W292" s="82" t="s">
        <v>4978</v>
      </c>
      <c r="X292" s="77"/>
      <c r="Y292" s="77"/>
      <c r="Z292" s="77"/>
      <c r="AA292" s="77" t="s">
        <v>7403</v>
      </c>
      <c r="AB292" s="77" t="s">
        <v>8225</v>
      </c>
      <c r="AC292" s="82" t="s">
        <v>8234</v>
      </c>
      <c r="AD292" s="77" t="s">
        <v>8278</v>
      </c>
      <c r="AE292" s="80" t="str">
        <f>HYPERLINK("https://twitter.com/facolommoney/status/1661149797632589824")</f>
        <v>https://twitter.com/facolommoney/status/1661149797632589824</v>
      </c>
      <c r="AF292" s="79">
        <v>45069.971631944441</v>
      </c>
      <c r="AG292" s="85">
        <v>45069</v>
      </c>
      <c r="AH292" s="82" t="s">
        <v>8574</v>
      </c>
      <c r="AI292" s="77" t="b">
        <v>0</v>
      </c>
      <c r="AJ292" s="77"/>
      <c r="AK292" s="77"/>
      <c r="AL292" s="77"/>
      <c r="AM292" s="77"/>
      <c r="AN292" s="77"/>
      <c r="AO292" s="77"/>
      <c r="AP292" s="77"/>
      <c r="AQ292" s="77" t="s">
        <v>12288</v>
      </c>
      <c r="AR292" s="77"/>
      <c r="AS292" s="77"/>
      <c r="AT292" s="77"/>
      <c r="AU292" s="77"/>
      <c r="AV292" s="80" t="str">
        <f>HYPERLINK("https://pbs.twimg.com/media/Fw2W8APWYAARrVU.jpg")</f>
        <v>https://pbs.twimg.com/media/Fw2W8APWYAARrVU.jpg</v>
      </c>
      <c r="AW292" s="82" t="s">
        <v>13395</v>
      </c>
      <c r="AX292" s="82" t="s">
        <v>13395</v>
      </c>
      <c r="AY292" s="77"/>
      <c r="AZ292" s="82" t="s">
        <v>17385</v>
      </c>
      <c r="BA292" s="82" t="s">
        <v>17385</v>
      </c>
      <c r="BB292" s="82" t="s">
        <v>17385</v>
      </c>
      <c r="BC292" s="82" t="s">
        <v>13395</v>
      </c>
      <c r="BD292" s="82" t="s">
        <v>17469</v>
      </c>
      <c r="BE292" s="77"/>
      <c r="BF292" s="77"/>
      <c r="BG292" s="77"/>
      <c r="BH292" s="77"/>
      <c r="BI292" s="77"/>
    </row>
    <row r="293" spans="1:61" x14ac:dyDescent="0.25">
      <c r="A293" s="62" t="s">
        <v>278</v>
      </c>
      <c r="B293" s="62" t="s">
        <v>278</v>
      </c>
      <c r="C293" s="63"/>
      <c r="D293" s="64"/>
      <c r="E293" s="65"/>
      <c r="F293" s="66"/>
      <c r="G293" s="63"/>
      <c r="H293" s="67"/>
      <c r="I293" s="68"/>
      <c r="J293" s="68"/>
      <c r="K293" s="32"/>
      <c r="L293" s="75">
        <v>293</v>
      </c>
      <c r="M293" s="75"/>
      <c r="N293" s="70"/>
      <c r="O293" s="77" t="s">
        <v>179</v>
      </c>
      <c r="P293" s="79">
        <v>45069.851006944446</v>
      </c>
      <c r="Q293" s="77" t="s">
        <v>1092</v>
      </c>
      <c r="R293" s="77">
        <v>0</v>
      </c>
      <c r="S293" s="77">
        <v>1</v>
      </c>
      <c r="T293" s="77">
        <v>0</v>
      </c>
      <c r="U293" s="77">
        <v>0</v>
      </c>
      <c r="V293" s="77">
        <v>465</v>
      </c>
      <c r="W293" s="82" t="s">
        <v>4955</v>
      </c>
      <c r="X293" s="77"/>
      <c r="Y293" s="77"/>
      <c r="Z293" s="77"/>
      <c r="AA293" s="77" t="s">
        <v>7404</v>
      </c>
      <c r="AB293" s="77" t="s">
        <v>8225</v>
      </c>
      <c r="AC293" s="82" t="s">
        <v>8234</v>
      </c>
      <c r="AD293" s="77" t="s">
        <v>8278</v>
      </c>
      <c r="AE293" s="80" t="str">
        <f>HYPERLINK("https://twitter.com/facolommoney/status/1661106086940647439")</f>
        <v>https://twitter.com/facolommoney/status/1661106086940647439</v>
      </c>
      <c r="AF293" s="79">
        <v>45069.851006944446</v>
      </c>
      <c r="AG293" s="85">
        <v>45069</v>
      </c>
      <c r="AH293" s="82" t="s">
        <v>8575</v>
      </c>
      <c r="AI293" s="77" t="b">
        <v>0</v>
      </c>
      <c r="AJ293" s="77"/>
      <c r="AK293" s="77"/>
      <c r="AL293" s="77"/>
      <c r="AM293" s="77"/>
      <c r="AN293" s="77"/>
      <c r="AO293" s="77"/>
      <c r="AP293" s="77"/>
      <c r="AQ293" s="77" t="s">
        <v>12289</v>
      </c>
      <c r="AR293" s="77"/>
      <c r="AS293" s="77"/>
      <c r="AT293" s="77"/>
      <c r="AU293" s="77"/>
      <c r="AV293" s="80" t="str">
        <f>HYPERLINK("https://pbs.twimg.com/media/Fw1vLrKWIBwVeej.jpg")</f>
        <v>https://pbs.twimg.com/media/Fw1vLrKWIBwVeej.jpg</v>
      </c>
      <c r="AW293" s="82" t="s">
        <v>13396</v>
      </c>
      <c r="AX293" s="82" t="s">
        <v>13396</v>
      </c>
      <c r="AY293" s="77"/>
      <c r="AZ293" s="82" t="s">
        <v>17385</v>
      </c>
      <c r="BA293" s="82" t="s">
        <v>17385</v>
      </c>
      <c r="BB293" s="82" t="s">
        <v>17385</v>
      </c>
      <c r="BC293" s="82" t="s">
        <v>13396</v>
      </c>
      <c r="BD293" s="82" t="s">
        <v>17469</v>
      </c>
      <c r="BE293" s="77"/>
      <c r="BF293" s="77"/>
      <c r="BG293" s="77"/>
      <c r="BH293" s="77"/>
      <c r="BI293" s="77"/>
    </row>
    <row r="294" spans="1:61" x14ac:dyDescent="0.25">
      <c r="A294" s="62" t="s">
        <v>278</v>
      </c>
      <c r="B294" s="62" t="s">
        <v>278</v>
      </c>
      <c r="C294" s="63"/>
      <c r="D294" s="64"/>
      <c r="E294" s="65"/>
      <c r="F294" s="66"/>
      <c r="G294" s="63"/>
      <c r="H294" s="67"/>
      <c r="I294" s="68"/>
      <c r="J294" s="68"/>
      <c r="K294" s="32"/>
      <c r="L294" s="75">
        <v>294</v>
      </c>
      <c r="M294" s="75"/>
      <c r="N294" s="70"/>
      <c r="O294" s="77" t="s">
        <v>179</v>
      </c>
      <c r="P294" s="79">
        <v>45069.731423611112</v>
      </c>
      <c r="Q294" s="77" t="s">
        <v>1093</v>
      </c>
      <c r="R294" s="77">
        <v>0</v>
      </c>
      <c r="S294" s="77">
        <v>0</v>
      </c>
      <c r="T294" s="77">
        <v>0</v>
      </c>
      <c r="U294" s="77">
        <v>0</v>
      </c>
      <c r="V294" s="77">
        <v>174</v>
      </c>
      <c r="W294" s="82" t="s">
        <v>4963</v>
      </c>
      <c r="X294" s="77"/>
      <c r="Y294" s="77"/>
      <c r="Z294" s="77"/>
      <c r="AA294" s="77" t="s">
        <v>7405</v>
      </c>
      <c r="AB294" s="77" t="s">
        <v>8225</v>
      </c>
      <c r="AC294" s="82" t="s">
        <v>8234</v>
      </c>
      <c r="AD294" s="77" t="s">
        <v>8278</v>
      </c>
      <c r="AE294" s="80" t="str">
        <f>HYPERLINK("https://twitter.com/facolommoney/status/1661062750682882048")</f>
        <v>https://twitter.com/facolommoney/status/1661062750682882048</v>
      </c>
      <c r="AF294" s="79">
        <v>45069.731423611112</v>
      </c>
      <c r="AG294" s="85">
        <v>45069</v>
      </c>
      <c r="AH294" s="82" t="s">
        <v>8576</v>
      </c>
      <c r="AI294" s="77" t="b">
        <v>0</v>
      </c>
      <c r="AJ294" s="77"/>
      <c r="AK294" s="77"/>
      <c r="AL294" s="77"/>
      <c r="AM294" s="77"/>
      <c r="AN294" s="77"/>
      <c r="AO294" s="77"/>
      <c r="AP294" s="77"/>
      <c r="AQ294" s="77" t="s">
        <v>12290</v>
      </c>
      <c r="AR294" s="77"/>
      <c r="AS294" s="77"/>
      <c r="AT294" s="77"/>
      <c r="AU294" s="77"/>
      <c r="AV294" s="80" t="str">
        <f>HYPERLINK("https://pbs.twimg.com/media/Fw1HxHRXwBgSDmG.jpg")</f>
        <v>https://pbs.twimg.com/media/Fw1HxHRXwBgSDmG.jpg</v>
      </c>
      <c r="AW294" s="82" t="s">
        <v>13397</v>
      </c>
      <c r="AX294" s="82" t="s">
        <v>13397</v>
      </c>
      <c r="AY294" s="77"/>
      <c r="AZ294" s="82" t="s">
        <v>17385</v>
      </c>
      <c r="BA294" s="82" t="s">
        <v>17385</v>
      </c>
      <c r="BB294" s="82" t="s">
        <v>17385</v>
      </c>
      <c r="BC294" s="82" t="s">
        <v>13397</v>
      </c>
      <c r="BD294" s="82" t="s">
        <v>17469</v>
      </c>
      <c r="BE294" s="77"/>
      <c r="BF294" s="77"/>
      <c r="BG294" s="77"/>
      <c r="BH294" s="77"/>
      <c r="BI294" s="77"/>
    </row>
    <row r="295" spans="1:61" x14ac:dyDescent="0.25">
      <c r="A295" s="62" t="s">
        <v>278</v>
      </c>
      <c r="B295" s="62" t="s">
        <v>278</v>
      </c>
      <c r="C295" s="63"/>
      <c r="D295" s="64"/>
      <c r="E295" s="65"/>
      <c r="F295" s="66"/>
      <c r="G295" s="63"/>
      <c r="H295" s="67"/>
      <c r="I295" s="68"/>
      <c r="J295" s="68"/>
      <c r="K295" s="32"/>
      <c r="L295" s="75">
        <v>295</v>
      </c>
      <c r="M295" s="75"/>
      <c r="N295" s="70"/>
      <c r="O295" s="77" t="s">
        <v>179</v>
      </c>
      <c r="P295" s="79">
        <v>45068.848229166666</v>
      </c>
      <c r="Q295" s="77" t="s">
        <v>1094</v>
      </c>
      <c r="R295" s="77">
        <v>0</v>
      </c>
      <c r="S295" s="77">
        <v>1</v>
      </c>
      <c r="T295" s="77">
        <v>0</v>
      </c>
      <c r="U295" s="77">
        <v>0</v>
      </c>
      <c r="V295" s="77">
        <v>1021</v>
      </c>
      <c r="W295" s="82" t="s">
        <v>4955</v>
      </c>
      <c r="X295" s="77"/>
      <c r="Y295" s="77"/>
      <c r="Z295" s="77"/>
      <c r="AA295" s="77" t="s">
        <v>7406</v>
      </c>
      <c r="AB295" s="77" t="s">
        <v>8225</v>
      </c>
      <c r="AC295" s="82" t="s">
        <v>8234</v>
      </c>
      <c r="AD295" s="77" t="s">
        <v>8278</v>
      </c>
      <c r="AE295" s="80" t="str">
        <f>HYPERLINK("https://twitter.com/facolommoney/status/1660742692274425875")</f>
        <v>https://twitter.com/facolommoney/status/1660742692274425875</v>
      </c>
      <c r="AF295" s="79">
        <v>45068.848229166666</v>
      </c>
      <c r="AG295" s="85">
        <v>45068</v>
      </c>
      <c r="AH295" s="82" t="s">
        <v>8577</v>
      </c>
      <c r="AI295" s="77" t="b">
        <v>0</v>
      </c>
      <c r="AJ295" s="77"/>
      <c r="AK295" s="77"/>
      <c r="AL295" s="77"/>
      <c r="AM295" s="77"/>
      <c r="AN295" s="77"/>
      <c r="AO295" s="77"/>
      <c r="AP295" s="77"/>
      <c r="AQ295" s="77" t="s">
        <v>12291</v>
      </c>
      <c r="AR295" s="77"/>
      <c r="AS295" s="77"/>
      <c r="AT295" s="77"/>
      <c r="AU295" s="77"/>
      <c r="AV295" s="80" t="str">
        <f>HYPERLINK("https://pbs.twimg.com/media/FwwkrXAX0A0MRXF.jpg")</f>
        <v>https://pbs.twimg.com/media/FwwkrXAX0A0MRXF.jpg</v>
      </c>
      <c r="AW295" s="82" t="s">
        <v>13398</v>
      </c>
      <c r="AX295" s="82" t="s">
        <v>13398</v>
      </c>
      <c r="AY295" s="77"/>
      <c r="AZ295" s="82" t="s">
        <v>17385</v>
      </c>
      <c r="BA295" s="82" t="s">
        <v>17385</v>
      </c>
      <c r="BB295" s="82" t="s">
        <v>17385</v>
      </c>
      <c r="BC295" s="82" t="s">
        <v>13398</v>
      </c>
      <c r="BD295" s="82" t="s">
        <v>17469</v>
      </c>
      <c r="BE295" s="77"/>
      <c r="BF295" s="77"/>
      <c r="BG295" s="77"/>
      <c r="BH295" s="77"/>
      <c r="BI295" s="77"/>
    </row>
    <row r="296" spans="1:61" x14ac:dyDescent="0.25">
      <c r="A296" s="62" t="s">
        <v>278</v>
      </c>
      <c r="B296" s="62" t="s">
        <v>278</v>
      </c>
      <c r="C296" s="63"/>
      <c r="D296" s="64"/>
      <c r="E296" s="65"/>
      <c r="F296" s="66"/>
      <c r="G296" s="63"/>
      <c r="H296" s="67"/>
      <c r="I296" s="68"/>
      <c r="J296" s="68"/>
      <c r="K296" s="32"/>
      <c r="L296" s="75">
        <v>296</v>
      </c>
      <c r="M296" s="75"/>
      <c r="N296" s="70"/>
      <c r="O296" s="77" t="s">
        <v>179</v>
      </c>
      <c r="P296" s="79">
        <v>45151.563090277778</v>
      </c>
      <c r="Q296" s="77" t="s">
        <v>1095</v>
      </c>
      <c r="R296" s="77">
        <v>0</v>
      </c>
      <c r="S296" s="77">
        <v>0</v>
      </c>
      <c r="T296" s="77">
        <v>0</v>
      </c>
      <c r="U296" s="77">
        <v>0</v>
      </c>
      <c r="V296" s="77">
        <v>135</v>
      </c>
      <c r="W296" s="82" t="s">
        <v>4979</v>
      </c>
      <c r="X296" s="77"/>
      <c r="Y296" s="77"/>
      <c r="Z296" s="77"/>
      <c r="AA296" s="77" t="s">
        <v>7407</v>
      </c>
      <c r="AB296" s="77" t="s">
        <v>8227</v>
      </c>
      <c r="AC296" s="82" t="s">
        <v>8234</v>
      </c>
      <c r="AD296" s="77" t="s">
        <v>8278</v>
      </c>
      <c r="AE296" s="80" t="str">
        <f>HYPERLINK("https://twitter.com/facolommoney/status/1690717551821553665")</f>
        <v>https://twitter.com/facolommoney/status/1690717551821553665</v>
      </c>
      <c r="AF296" s="79">
        <v>45151.563090277778</v>
      </c>
      <c r="AG296" s="85">
        <v>45151</v>
      </c>
      <c r="AH296" s="82" t="s">
        <v>8578</v>
      </c>
      <c r="AI296" s="77" t="b">
        <v>0</v>
      </c>
      <c r="AJ296" s="77"/>
      <c r="AK296" s="77"/>
      <c r="AL296" s="77"/>
      <c r="AM296" s="77"/>
      <c r="AN296" s="77"/>
      <c r="AO296" s="77"/>
      <c r="AP296" s="77"/>
      <c r="AQ296" s="77" t="s">
        <v>12292</v>
      </c>
      <c r="AR296" s="77">
        <v>3566</v>
      </c>
      <c r="AS296" s="77"/>
      <c r="AT296" s="77"/>
      <c r="AU296" s="77"/>
      <c r="AV296" s="80" t="str">
        <f>HYPERLINK("https://pbs.twimg.com/ext_tw_video_thumb/1690717536696868864/pu/img/xVG1z7uphaU6iWK_.jpg")</f>
        <v>https://pbs.twimg.com/ext_tw_video_thumb/1690717536696868864/pu/img/xVG1z7uphaU6iWK_.jpg</v>
      </c>
      <c r="AW296" s="82" t="s">
        <v>13399</v>
      </c>
      <c r="AX296" s="82" t="s">
        <v>13399</v>
      </c>
      <c r="AY296" s="77"/>
      <c r="AZ296" s="82" t="s">
        <v>17385</v>
      </c>
      <c r="BA296" s="82" t="s">
        <v>17385</v>
      </c>
      <c r="BB296" s="82" t="s">
        <v>17385</v>
      </c>
      <c r="BC296" s="82" t="s">
        <v>13399</v>
      </c>
      <c r="BD296" s="82" t="s">
        <v>17469</v>
      </c>
      <c r="BE296" s="77"/>
      <c r="BF296" s="77"/>
      <c r="BG296" s="77"/>
      <c r="BH296" s="77"/>
      <c r="BI296" s="77"/>
    </row>
    <row r="297" spans="1:61" x14ac:dyDescent="0.25">
      <c r="A297" s="62" t="s">
        <v>278</v>
      </c>
      <c r="B297" s="62" t="s">
        <v>278</v>
      </c>
      <c r="C297" s="63"/>
      <c r="D297" s="64"/>
      <c r="E297" s="65"/>
      <c r="F297" s="66"/>
      <c r="G297" s="63"/>
      <c r="H297" s="67"/>
      <c r="I297" s="68"/>
      <c r="J297" s="68"/>
      <c r="K297" s="32"/>
      <c r="L297" s="75">
        <v>297</v>
      </c>
      <c r="M297" s="75"/>
      <c r="N297" s="70"/>
      <c r="O297" s="77" t="s">
        <v>179</v>
      </c>
      <c r="P297" s="79">
        <v>45150.815081018518</v>
      </c>
      <c r="Q297" s="77" t="s">
        <v>1096</v>
      </c>
      <c r="R297" s="77">
        <v>0</v>
      </c>
      <c r="S297" s="77">
        <v>2</v>
      </c>
      <c r="T297" s="77">
        <v>0</v>
      </c>
      <c r="U297" s="77">
        <v>0</v>
      </c>
      <c r="V297" s="77">
        <v>314</v>
      </c>
      <c r="W297" s="82" t="s">
        <v>4980</v>
      </c>
      <c r="X297" s="77"/>
      <c r="Y297" s="77"/>
      <c r="Z297" s="77"/>
      <c r="AA297" s="77" t="s">
        <v>7408</v>
      </c>
      <c r="AB297" s="77" t="s">
        <v>8227</v>
      </c>
      <c r="AC297" s="82" t="s">
        <v>8234</v>
      </c>
      <c r="AD297" s="77" t="s">
        <v>8278</v>
      </c>
      <c r="AE297" s="80" t="str">
        <f>HYPERLINK("https://twitter.com/facolommoney/status/1690446483391152128")</f>
        <v>https://twitter.com/facolommoney/status/1690446483391152128</v>
      </c>
      <c r="AF297" s="79">
        <v>45150.815081018518</v>
      </c>
      <c r="AG297" s="85">
        <v>45150</v>
      </c>
      <c r="AH297" s="82" t="s">
        <v>8579</v>
      </c>
      <c r="AI297" s="77" t="b">
        <v>0</v>
      </c>
      <c r="AJ297" s="77"/>
      <c r="AK297" s="77"/>
      <c r="AL297" s="77"/>
      <c r="AM297" s="77"/>
      <c r="AN297" s="77"/>
      <c r="AO297" s="77"/>
      <c r="AP297" s="77"/>
      <c r="AQ297" s="77" t="s">
        <v>12293</v>
      </c>
      <c r="AR297" s="77">
        <v>4299</v>
      </c>
      <c r="AS297" s="77"/>
      <c r="AT297" s="77"/>
      <c r="AU297" s="77"/>
      <c r="AV297" s="80" t="str">
        <f>HYPERLINK("https://pbs.twimg.com/ext_tw_video_thumb/1690446468107128832/pu/img/Ub0Qib1nFnKdWvN6.jpg")</f>
        <v>https://pbs.twimg.com/ext_tw_video_thumb/1690446468107128832/pu/img/Ub0Qib1nFnKdWvN6.jpg</v>
      </c>
      <c r="AW297" s="82" t="s">
        <v>13400</v>
      </c>
      <c r="AX297" s="82" t="s">
        <v>13400</v>
      </c>
      <c r="AY297" s="77"/>
      <c r="AZ297" s="82" t="s">
        <v>17385</v>
      </c>
      <c r="BA297" s="82" t="s">
        <v>17385</v>
      </c>
      <c r="BB297" s="82" t="s">
        <v>17385</v>
      </c>
      <c r="BC297" s="82" t="s">
        <v>13400</v>
      </c>
      <c r="BD297" s="82" t="s">
        <v>17469</v>
      </c>
      <c r="BE297" s="77"/>
      <c r="BF297" s="77"/>
      <c r="BG297" s="77"/>
      <c r="BH297" s="77"/>
      <c r="BI297" s="77"/>
    </row>
    <row r="298" spans="1:61" x14ac:dyDescent="0.25">
      <c r="A298" s="62" t="s">
        <v>278</v>
      </c>
      <c r="B298" s="62" t="s">
        <v>278</v>
      </c>
      <c r="C298" s="63"/>
      <c r="D298" s="64"/>
      <c r="E298" s="65"/>
      <c r="F298" s="66"/>
      <c r="G298" s="63"/>
      <c r="H298" s="67"/>
      <c r="I298" s="68"/>
      <c r="J298" s="68"/>
      <c r="K298" s="32"/>
      <c r="L298" s="75">
        <v>298</v>
      </c>
      <c r="M298" s="75"/>
      <c r="N298" s="70"/>
      <c r="O298" s="77" t="s">
        <v>179</v>
      </c>
      <c r="P298" s="79">
        <v>45149.057974537034</v>
      </c>
      <c r="Q298" s="77" t="s">
        <v>1097</v>
      </c>
      <c r="R298" s="77">
        <v>0</v>
      </c>
      <c r="S298" s="77">
        <v>2</v>
      </c>
      <c r="T298" s="77">
        <v>0</v>
      </c>
      <c r="U298" s="77">
        <v>0</v>
      </c>
      <c r="V298" s="77">
        <v>285</v>
      </c>
      <c r="W298" s="82" t="s">
        <v>4981</v>
      </c>
      <c r="X298" s="77"/>
      <c r="Y298" s="77"/>
      <c r="Z298" s="77"/>
      <c r="AA298" s="77" t="s">
        <v>7409</v>
      </c>
      <c r="AB298" s="77" t="s">
        <v>8227</v>
      </c>
      <c r="AC298" s="82" t="s">
        <v>8234</v>
      </c>
      <c r="AD298" s="77" t="s">
        <v>8278</v>
      </c>
      <c r="AE298" s="80" t="str">
        <f>HYPERLINK("https://twitter.com/facolommoney/status/1689809731261497345")</f>
        <v>https://twitter.com/facolommoney/status/1689809731261497345</v>
      </c>
      <c r="AF298" s="79">
        <v>45149.057974537034</v>
      </c>
      <c r="AG298" s="85">
        <v>45149</v>
      </c>
      <c r="AH298" s="82" t="s">
        <v>8580</v>
      </c>
      <c r="AI298" s="77" t="b">
        <v>0</v>
      </c>
      <c r="AJ298" s="77"/>
      <c r="AK298" s="77"/>
      <c r="AL298" s="77"/>
      <c r="AM298" s="77"/>
      <c r="AN298" s="77"/>
      <c r="AO298" s="77"/>
      <c r="AP298" s="77"/>
      <c r="AQ298" s="77" t="s">
        <v>12294</v>
      </c>
      <c r="AR298" s="77">
        <v>5933</v>
      </c>
      <c r="AS298" s="77"/>
      <c r="AT298" s="77"/>
      <c r="AU298" s="77"/>
      <c r="AV298" s="80" t="str">
        <f>HYPERLINK("https://pbs.twimg.com/ext_tw_video_thumb/1689809709098770432/pu/img/kHmLproWJfqVRUck.jpg")</f>
        <v>https://pbs.twimg.com/ext_tw_video_thumb/1689809709098770432/pu/img/kHmLproWJfqVRUck.jpg</v>
      </c>
      <c r="AW298" s="82" t="s">
        <v>13401</v>
      </c>
      <c r="AX298" s="82" t="s">
        <v>13401</v>
      </c>
      <c r="AY298" s="77"/>
      <c r="AZ298" s="82" t="s">
        <v>17385</v>
      </c>
      <c r="BA298" s="82" t="s">
        <v>17385</v>
      </c>
      <c r="BB298" s="82" t="s">
        <v>17385</v>
      </c>
      <c r="BC298" s="82" t="s">
        <v>13401</v>
      </c>
      <c r="BD298" s="82" t="s">
        <v>17469</v>
      </c>
      <c r="BE298" s="77"/>
      <c r="BF298" s="77"/>
      <c r="BG298" s="77"/>
      <c r="BH298" s="77"/>
      <c r="BI298" s="77"/>
    </row>
    <row r="299" spans="1:61" x14ac:dyDescent="0.25">
      <c r="A299" s="62" t="s">
        <v>278</v>
      </c>
      <c r="B299" s="62" t="s">
        <v>278</v>
      </c>
      <c r="C299" s="63"/>
      <c r="D299" s="64"/>
      <c r="E299" s="65"/>
      <c r="F299" s="66"/>
      <c r="G299" s="63"/>
      <c r="H299" s="67"/>
      <c r="I299" s="68"/>
      <c r="J299" s="68"/>
      <c r="K299" s="32"/>
      <c r="L299" s="75">
        <v>299</v>
      </c>
      <c r="M299" s="75"/>
      <c r="N299" s="70"/>
      <c r="O299" s="77" t="s">
        <v>179</v>
      </c>
      <c r="P299" s="79">
        <v>45092.015115740738</v>
      </c>
      <c r="Q299" s="77" t="s">
        <v>1098</v>
      </c>
      <c r="R299" s="77">
        <v>0</v>
      </c>
      <c r="S299" s="77">
        <v>0</v>
      </c>
      <c r="T299" s="77">
        <v>0</v>
      </c>
      <c r="U299" s="77">
        <v>0</v>
      </c>
      <c r="V299" s="77">
        <v>154</v>
      </c>
      <c r="W299" s="82" t="s">
        <v>4982</v>
      </c>
      <c r="X299" s="77"/>
      <c r="Y299" s="77"/>
      <c r="Z299" s="77"/>
      <c r="AA299" s="77" t="s">
        <v>7410</v>
      </c>
      <c r="AB299" s="77" t="s">
        <v>8227</v>
      </c>
      <c r="AC299" s="82" t="s">
        <v>8234</v>
      </c>
      <c r="AD299" s="77" t="s">
        <v>8278</v>
      </c>
      <c r="AE299" s="80" t="str">
        <f>HYPERLINK("https://twitter.com/facolommoney/status/1669138090101821441")</f>
        <v>https://twitter.com/facolommoney/status/1669138090101821441</v>
      </c>
      <c r="AF299" s="79">
        <v>45092.015115740738</v>
      </c>
      <c r="AG299" s="85">
        <v>45092</v>
      </c>
      <c r="AH299" s="82" t="s">
        <v>8581</v>
      </c>
      <c r="AI299" s="77" t="b">
        <v>0</v>
      </c>
      <c r="AJ299" s="77"/>
      <c r="AK299" s="77"/>
      <c r="AL299" s="77"/>
      <c r="AM299" s="77"/>
      <c r="AN299" s="77"/>
      <c r="AO299" s="77"/>
      <c r="AP299" s="77"/>
      <c r="AQ299" s="77" t="s">
        <v>12295</v>
      </c>
      <c r="AR299" s="77">
        <v>4933</v>
      </c>
      <c r="AS299" s="77"/>
      <c r="AT299" s="77"/>
      <c r="AU299" s="77"/>
      <c r="AV299" s="80" t="str">
        <f>HYPERLINK("https://pbs.twimg.com/ext_tw_video_thumb/1669138069348311041/pu/img/3FgUWM5p322b9-tY.jpg")</f>
        <v>https://pbs.twimg.com/ext_tw_video_thumb/1669138069348311041/pu/img/3FgUWM5p322b9-tY.jpg</v>
      </c>
      <c r="AW299" s="82" t="s">
        <v>13402</v>
      </c>
      <c r="AX299" s="82" t="s">
        <v>13402</v>
      </c>
      <c r="AY299" s="77"/>
      <c r="AZ299" s="82" t="s">
        <v>17385</v>
      </c>
      <c r="BA299" s="82" t="s">
        <v>17385</v>
      </c>
      <c r="BB299" s="82" t="s">
        <v>17385</v>
      </c>
      <c r="BC299" s="82" t="s">
        <v>13402</v>
      </c>
      <c r="BD299" s="82" t="s">
        <v>17469</v>
      </c>
      <c r="BE299" s="77"/>
      <c r="BF299" s="77"/>
      <c r="BG299" s="77"/>
      <c r="BH299" s="77"/>
      <c r="BI299" s="77"/>
    </row>
    <row r="300" spans="1:61" x14ac:dyDescent="0.25">
      <c r="A300" s="62" t="s">
        <v>279</v>
      </c>
      <c r="B300" s="62" t="s">
        <v>279</v>
      </c>
      <c r="C300" s="63"/>
      <c r="D300" s="64"/>
      <c r="E300" s="65"/>
      <c r="F300" s="66"/>
      <c r="G300" s="63"/>
      <c r="H300" s="67"/>
      <c r="I300" s="68"/>
      <c r="J300" s="68"/>
      <c r="K300" s="32"/>
      <c r="L300" s="75">
        <v>300</v>
      </c>
      <c r="M300" s="75"/>
      <c r="N300" s="70"/>
      <c r="O300" s="77" t="s">
        <v>800</v>
      </c>
      <c r="P300" s="79">
        <v>45134.073645833334</v>
      </c>
      <c r="Q300" s="77" t="s">
        <v>1099</v>
      </c>
      <c r="R300" s="77">
        <v>0</v>
      </c>
      <c r="S300" s="77">
        <v>0</v>
      </c>
      <c r="T300" s="77">
        <v>1</v>
      </c>
      <c r="U300" s="77">
        <v>0</v>
      </c>
      <c r="V300" s="77">
        <v>39</v>
      </c>
      <c r="W300" s="82" t="s">
        <v>4983</v>
      </c>
      <c r="X300" s="77"/>
      <c r="Y300" s="77"/>
      <c r="Z300" s="77"/>
      <c r="AA300" s="77"/>
      <c r="AB300" s="77"/>
      <c r="AC300" s="82" t="s">
        <v>8232</v>
      </c>
      <c r="AD300" s="77" t="s">
        <v>8282</v>
      </c>
      <c r="AE300" s="80" t="str">
        <f>HYPERLINK("https://twitter.com/ayronferreira/status/1684379591211732992")</f>
        <v>https://twitter.com/ayronferreira/status/1684379591211732992</v>
      </c>
      <c r="AF300" s="79">
        <v>45134.073645833334</v>
      </c>
      <c r="AG300" s="85">
        <v>45134</v>
      </c>
      <c r="AH300" s="82" t="s">
        <v>8582</v>
      </c>
      <c r="AI300" s="77"/>
      <c r="AJ300" s="77"/>
      <c r="AK300" s="77"/>
      <c r="AL300" s="77"/>
      <c r="AM300" s="77"/>
      <c r="AN300" s="77"/>
      <c r="AO300" s="77"/>
      <c r="AP300" s="77"/>
      <c r="AQ300" s="77"/>
      <c r="AR300" s="77"/>
      <c r="AS300" s="77"/>
      <c r="AT300" s="77"/>
      <c r="AU300" s="77"/>
      <c r="AV300" s="80" t="str">
        <f>HYPERLINK("https://pbs.twimg.com/profile_images/1323758908658298882/79Ji5FBc_normal.jpg")</f>
        <v>https://pbs.twimg.com/profile_images/1323758908658298882/79Ji5FBc_normal.jpg</v>
      </c>
      <c r="AW300" s="82" t="s">
        <v>13403</v>
      </c>
      <c r="AX300" s="82" t="s">
        <v>17148</v>
      </c>
      <c r="AY300" s="82" t="s">
        <v>17322</v>
      </c>
      <c r="AZ300" s="82" t="s">
        <v>17393</v>
      </c>
      <c r="BA300" s="82" t="s">
        <v>17385</v>
      </c>
      <c r="BB300" s="82" t="s">
        <v>17385</v>
      </c>
      <c r="BC300" s="82" t="s">
        <v>17393</v>
      </c>
      <c r="BD300" s="77">
        <v>190292183</v>
      </c>
      <c r="BE300" s="77"/>
      <c r="BF300" s="77"/>
      <c r="BG300" s="77"/>
      <c r="BH300" s="77"/>
      <c r="BI300" s="77"/>
    </row>
    <row r="301" spans="1:61" x14ac:dyDescent="0.25">
      <c r="A301" s="62" t="s">
        <v>280</v>
      </c>
      <c r="B301" s="62" t="s">
        <v>737</v>
      </c>
      <c r="C301" s="63"/>
      <c r="D301" s="64"/>
      <c r="E301" s="65"/>
      <c r="F301" s="66"/>
      <c r="G301" s="63"/>
      <c r="H301" s="67"/>
      <c r="I301" s="68"/>
      <c r="J301" s="68"/>
      <c r="K301" s="32"/>
      <c r="L301" s="75">
        <v>301</v>
      </c>
      <c r="M301" s="75"/>
      <c r="N301" s="70"/>
      <c r="O301" s="77" t="s">
        <v>802</v>
      </c>
      <c r="P301" s="79">
        <v>45115.641793981478</v>
      </c>
      <c r="Q301" s="77" t="s">
        <v>1100</v>
      </c>
      <c r="R301" s="77">
        <v>0</v>
      </c>
      <c r="S301" s="77">
        <v>0</v>
      </c>
      <c r="T301" s="77">
        <v>0</v>
      </c>
      <c r="U301" s="77">
        <v>0</v>
      </c>
      <c r="V301" s="77">
        <v>38</v>
      </c>
      <c r="W301" s="82" t="s">
        <v>4984</v>
      </c>
      <c r="X301" s="80" t="str">
        <f>HYPERLINK("https://www.cope.es/programas/fin-de-semana/noticias/hay-una-vacuna-contra-hambre-que-dar-comer-gente-hace-por-egoismo-20230708_2803515")</f>
        <v>https://www.cope.es/programas/fin-de-semana/noticias/hay-una-vacuna-contra-hambre-que-dar-comer-gente-hace-por-egoismo-20230708_2803515</v>
      </c>
      <c r="Y301" s="77" t="s">
        <v>7069</v>
      </c>
      <c r="Z301" s="77" t="s">
        <v>737</v>
      </c>
      <c r="AA301" s="77"/>
      <c r="AB301" s="77"/>
      <c r="AC301" s="82" t="s">
        <v>8234</v>
      </c>
      <c r="AD301" s="77" t="s">
        <v>8281</v>
      </c>
      <c r="AE301" s="80" t="str">
        <f>HYPERLINK("https://twitter.com/hmiacatracha/status/1677700113240580113")</f>
        <v>https://twitter.com/hmiacatracha/status/1677700113240580113</v>
      </c>
      <c r="AF301" s="79">
        <v>45115.641793981478</v>
      </c>
      <c r="AG301" s="85">
        <v>45115</v>
      </c>
      <c r="AH301" s="82" t="s">
        <v>8583</v>
      </c>
      <c r="AI301" s="77" t="b">
        <v>0</v>
      </c>
      <c r="AJ301" s="77"/>
      <c r="AK301" s="77"/>
      <c r="AL301" s="77"/>
      <c r="AM301" s="77"/>
      <c r="AN301" s="77"/>
      <c r="AO301" s="77"/>
      <c r="AP301" s="77"/>
      <c r="AQ301" s="77"/>
      <c r="AR301" s="77"/>
      <c r="AS301" s="77"/>
      <c r="AT301" s="77"/>
      <c r="AU301" s="77"/>
      <c r="AV301" s="80" t="str">
        <f>HYPERLINK("https://pbs.twimg.com/profile_images/1675609647628050433/z22lwE44_normal.jpg")</f>
        <v>https://pbs.twimg.com/profile_images/1675609647628050433/z22lwE44_normal.jpg</v>
      </c>
      <c r="AW301" s="82" t="s">
        <v>13404</v>
      </c>
      <c r="AX301" s="82" t="s">
        <v>13404</v>
      </c>
      <c r="AY301" s="77"/>
      <c r="AZ301" s="82" t="s">
        <v>17385</v>
      </c>
      <c r="BA301" s="82" t="s">
        <v>17385</v>
      </c>
      <c r="BB301" s="82" t="s">
        <v>17385</v>
      </c>
      <c r="BC301" s="82" t="s">
        <v>13404</v>
      </c>
      <c r="BD301" s="77">
        <v>625443093</v>
      </c>
      <c r="BE301" s="77"/>
      <c r="BF301" s="77"/>
      <c r="BG301" s="77"/>
      <c r="BH301" s="77"/>
      <c r="BI301" s="77"/>
    </row>
    <row r="302" spans="1:61" x14ac:dyDescent="0.25">
      <c r="A302" s="62" t="s">
        <v>281</v>
      </c>
      <c r="B302" s="62" t="s">
        <v>281</v>
      </c>
      <c r="C302" s="63"/>
      <c r="D302" s="64"/>
      <c r="E302" s="65"/>
      <c r="F302" s="66"/>
      <c r="G302" s="63"/>
      <c r="H302" s="67"/>
      <c r="I302" s="68"/>
      <c r="J302" s="68"/>
      <c r="K302" s="32"/>
      <c r="L302" s="75">
        <v>302</v>
      </c>
      <c r="M302" s="75"/>
      <c r="N302" s="70"/>
      <c r="O302" s="77" t="s">
        <v>179</v>
      </c>
      <c r="P302" s="79">
        <v>45169.579930555556</v>
      </c>
      <c r="Q302" s="77" t="s">
        <v>1101</v>
      </c>
      <c r="R302" s="77">
        <v>0</v>
      </c>
      <c r="S302" s="77">
        <v>0</v>
      </c>
      <c r="T302" s="77">
        <v>0</v>
      </c>
      <c r="U302" s="77">
        <v>0</v>
      </c>
      <c r="V302" s="77">
        <v>103</v>
      </c>
      <c r="W302" s="82" t="s">
        <v>4985</v>
      </c>
      <c r="X302" s="77"/>
      <c r="Y302" s="77"/>
      <c r="Z302" s="77"/>
      <c r="AA302" s="77" t="s">
        <v>7411</v>
      </c>
      <c r="AB302" s="77" t="s">
        <v>8227</v>
      </c>
      <c r="AC302" s="82" t="s">
        <v>8234</v>
      </c>
      <c r="AD302" s="77" t="s">
        <v>8281</v>
      </c>
      <c r="AE302" s="80" t="str">
        <f>HYPERLINK("https://twitter.com/instecovida/status/1697246639172501682")</f>
        <v>https://twitter.com/instecovida/status/1697246639172501682</v>
      </c>
      <c r="AF302" s="79">
        <v>45169.579930555556</v>
      </c>
      <c r="AG302" s="85">
        <v>45169</v>
      </c>
      <c r="AH302" s="82" t="s">
        <v>8584</v>
      </c>
      <c r="AI302" s="77" t="b">
        <v>0</v>
      </c>
      <c r="AJ302" s="77"/>
      <c r="AK302" s="77"/>
      <c r="AL302" s="77"/>
      <c r="AM302" s="77"/>
      <c r="AN302" s="77"/>
      <c r="AO302" s="77"/>
      <c r="AP302" s="77"/>
      <c r="AQ302" s="77" t="s">
        <v>12296</v>
      </c>
      <c r="AR302" s="77">
        <v>33943</v>
      </c>
      <c r="AS302" s="77"/>
      <c r="AT302" s="77"/>
      <c r="AU302" s="77"/>
      <c r="AV302" s="80" t="str">
        <f>HYPERLINK("https://pbs.twimg.com/ext_tw_video_thumb/1697246580188041216/pu/img/kC9_f24xt-gQquKq.jpg")</f>
        <v>https://pbs.twimg.com/ext_tw_video_thumb/1697246580188041216/pu/img/kC9_f24xt-gQquKq.jpg</v>
      </c>
      <c r="AW302" s="82" t="s">
        <v>13405</v>
      </c>
      <c r="AX302" s="82" t="s">
        <v>13405</v>
      </c>
      <c r="AY302" s="77"/>
      <c r="AZ302" s="82" t="s">
        <v>17385</v>
      </c>
      <c r="BA302" s="82" t="s">
        <v>17385</v>
      </c>
      <c r="BB302" s="82" t="s">
        <v>17385</v>
      </c>
      <c r="BC302" s="82" t="s">
        <v>13405</v>
      </c>
      <c r="BD302" s="82" t="s">
        <v>17470</v>
      </c>
      <c r="BE302" s="77"/>
      <c r="BF302" s="77"/>
      <c r="BG302" s="77"/>
      <c r="BH302" s="77"/>
      <c r="BI302" s="77"/>
    </row>
    <row r="303" spans="1:61" x14ac:dyDescent="0.25">
      <c r="A303" s="62" t="s">
        <v>282</v>
      </c>
      <c r="B303" s="62" t="s">
        <v>738</v>
      </c>
      <c r="C303" s="63"/>
      <c r="D303" s="64"/>
      <c r="E303" s="65"/>
      <c r="F303" s="66"/>
      <c r="G303" s="63"/>
      <c r="H303" s="67"/>
      <c r="I303" s="68"/>
      <c r="J303" s="68"/>
      <c r="K303" s="32"/>
      <c r="L303" s="75">
        <v>303</v>
      </c>
      <c r="M303" s="75"/>
      <c r="N303" s="70"/>
      <c r="O303" s="77" t="s">
        <v>802</v>
      </c>
      <c r="P303" s="79">
        <v>45180.565497685187</v>
      </c>
      <c r="Q303" s="77" t="s">
        <v>1102</v>
      </c>
      <c r="R303" s="77">
        <v>0</v>
      </c>
      <c r="S303" s="77">
        <v>7</v>
      </c>
      <c r="T303" s="77">
        <v>0</v>
      </c>
      <c r="U303" s="77">
        <v>1</v>
      </c>
      <c r="V303" s="77">
        <v>957</v>
      </c>
      <c r="W303" s="82" t="s">
        <v>4986</v>
      </c>
      <c r="X303" s="77"/>
      <c r="Y303" s="77"/>
      <c r="Z303" s="77" t="s">
        <v>738</v>
      </c>
      <c r="AA303" s="77" t="s">
        <v>7412</v>
      </c>
      <c r="AB303" s="77" t="s">
        <v>8225</v>
      </c>
      <c r="AC303" s="82" t="s">
        <v>8233</v>
      </c>
      <c r="AD303" s="77" t="s">
        <v>8278</v>
      </c>
      <c r="AE303" s="80" t="str">
        <f>HYPERLINK("https://twitter.com/andrelenski/status/1701227674746671228")</f>
        <v>https://twitter.com/andrelenski/status/1701227674746671228</v>
      </c>
      <c r="AF303" s="79">
        <v>45180.565497685187</v>
      </c>
      <c r="AG303" s="85">
        <v>45180</v>
      </c>
      <c r="AH303" s="82" t="s">
        <v>8585</v>
      </c>
      <c r="AI303" s="77" t="b">
        <v>0</v>
      </c>
      <c r="AJ303" s="77"/>
      <c r="AK303" s="77"/>
      <c r="AL303" s="77"/>
      <c r="AM303" s="77"/>
      <c r="AN303" s="77"/>
      <c r="AO303" s="77"/>
      <c r="AP303" s="77"/>
      <c r="AQ303" s="77" t="s">
        <v>12297</v>
      </c>
      <c r="AR303" s="77"/>
      <c r="AS303" s="77"/>
      <c r="AT303" s="77"/>
      <c r="AU303" s="77"/>
      <c r="AV303" s="80" t="str">
        <f>HYPERLINK("https://pbs.twimg.com/media/F5v5jSfXQAAPj5m.jpg")</f>
        <v>https://pbs.twimg.com/media/F5v5jSfXQAAPj5m.jpg</v>
      </c>
      <c r="AW303" s="82" t="s">
        <v>13406</v>
      </c>
      <c r="AX303" s="82" t="s">
        <v>13406</v>
      </c>
      <c r="AY303" s="77"/>
      <c r="AZ303" s="82" t="s">
        <v>17385</v>
      </c>
      <c r="BA303" s="82" t="s">
        <v>17385</v>
      </c>
      <c r="BB303" s="82" t="s">
        <v>17385</v>
      </c>
      <c r="BC303" s="82" t="s">
        <v>13406</v>
      </c>
      <c r="BD303" s="82" t="s">
        <v>17471</v>
      </c>
      <c r="BE303" s="77"/>
      <c r="BF303" s="77"/>
      <c r="BG303" s="77"/>
      <c r="BH303" s="77"/>
      <c r="BI303" s="77"/>
    </row>
    <row r="304" spans="1:61" x14ac:dyDescent="0.25">
      <c r="A304" s="62" t="s">
        <v>283</v>
      </c>
      <c r="B304" s="62" t="s">
        <v>283</v>
      </c>
      <c r="C304" s="63"/>
      <c r="D304" s="64"/>
      <c r="E304" s="65"/>
      <c r="F304" s="66"/>
      <c r="G304" s="63"/>
      <c r="H304" s="67"/>
      <c r="I304" s="68"/>
      <c r="J304" s="68"/>
      <c r="K304" s="32"/>
      <c r="L304" s="75">
        <v>304</v>
      </c>
      <c r="M304" s="75"/>
      <c r="N304" s="70"/>
      <c r="O304" s="77" t="s">
        <v>179</v>
      </c>
      <c r="P304" s="79">
        <v>45155.728831018518</v>
      </c>
      <c r="Q304" s="77" t="s">
        <v>1103</v>
      </c>
      <c r="R304" s="77">
        <v>1</v>
      </c>
      <c r="S304" s="77">
        <v>8</v>
      </c>
      <c r="T304" s="77">
        <v>4</v>
      </c>
      <c r="U304" s="77">
        <v>1</v>
      </c>
      <c r="V304" s="77">
        <v>472</v>
      </c>
      <c r="W304" s="82" t="s">
        <v>4987</v>
      </c>
      <c r="X304" s="77"/>
      <c r="Y304" s="77"/>
      <c r="Z304" s="77"/>
      <c r="AA304" s="77" t="s">
        <v>7413</v>
      </c>
      <c r="AB304" s="77" t="s">
        <v>8227</v>
      </c>
      <c r="AC304" s="82" t="s">
        <v>8234</v>
      </c>
      <c r="AD304" s="77" t="s">
        <v>8278</v>
      </c>
      <c r="AE304" s="80" t="str">
        <f>HYPERLINK("https://twitter.com/governope/status/1692227167315243241")</f>
        <v>https://twitter.com/governope/status/1692227167315243241</v>
      </c>
      <c r="AF304" s="79">
        <v>45155.728831018518</v>
      </c>
      <c r="AG304" s="85">
        <v>45155</v>
      </c>
      <c r="AH304" s="82" t="s">
        <v>8586</v>
      </c>
      <c r="AI304" s="77" t="b">
        <v>0</v>
      </c>
      <c r="AJ304" s="77"/>
      <c r="AK304" s="77"/>
      <c r="AL304" s="77"/>
      <c r="AM304" s="77"/>
      <c r="AN304" s="77"/>
      <c r="AO304" s="77"/>
      <c r="AP304" s="77"/>
      <c r="AQ304" s="77" t="s">
        <v>12298</v>
      </c>
      <c r="AR304" s="77">
        <v>87379</v>
      </c>
      <c r="AS304" s="77"/>
      <c r="AT304" s="77"/>
      <c r="AU304" s="77"/>
      <c r="AV304" s="80" t="str">
        <f>HYPERLINK("https://pbs.twimg.com/ext_tw_video_thumb/1692227026730487808/pu/img/y_AAgCBVX-if1l_3.jpg")</f>
        <v>https://pbs.twimg.com/ext_tw_video_thumb/1692227026730487808/pu/img/y_AAgCBVX-if1l_3.jpg</v>
      </c>
      <c r="AW304" s="82" t="s">
        <v>13407</v>
      </c>
      <c r="AX304" s="82" t="s">
        <v>13407</v>
      </c>
      <c r="AY304" s="77"/>
      <c r="AZ304" s="82" t="s">
        <v>17385</v>
      </c>
      <c r="BA304" s="82" t="s">
        <v>17385</v>
      </c>
      <c r="BB304" s="82" t="s">
        <v>17385</v>
      </c>
      <c r="BC304" s="82" t="s">
        <v>13407</v>
      </c>
      <c r="BD304" s="82" t="s">
        <v>17472</v>
      </c>
      <c r="BE304" s="77"/>
      <c r="BF304" s="77"/>
      <c r="BG304" s="77"/>
      <c r="BH304" s="77"/>
      <c r="BI304" s="77"/>
    </row>
    <row r="305" spans="1:61" x14ac:dyDescent="0.25">
      <c r="A305" s="62" t="s">
        <v>284</v>
      </c>
      <c r="B305" s="62" t="s">
        <v>284</v>
      </c>
      <c r="C305" s="63"/>
      <c r="D305" s="64"/>
      <c r="E305" s="65"/>
      <c r="F305" s="66"/>
      <c r="G305" s="63"/>
      <c r="H305" s="67"/>
      <c r="I305" s="68"/>
      <c r="J305" s="68"/>
      <c r="K305" s="32"/>
      <c r="L305" s="75">
        <v>305</v>
      </c>
      <c r="M305" s="75"/>
      <c r="N305" s="70"/>
      <c r="O305" s="77" t="s">
        <v>179</v>
      </c>
      <c r="P305" s="79">
        <v>45104.816180555557</v>
      </c>
      <c r="Q305" s="77" t="s">
        <v>1104</v>
      </c>
      <c r="R305" s="77">
        <v>0</v>
      </c>
      <c r="S305" s="77">
        <v>0</v>
      </c>
      <c r="T305" s="77">
        <v>0</v>
      </c>
      <c r="U305" s="77">
        <v>0</v>
      </c>
      <c r="V305" s="77">
        <v>13</v>
      </c>
      <c r="W305" s="82" t="s">
        <v>4988</v>
      </c>
      <c r="X305" s="80" t="str">
        <f>HYPERLINK("https://blogdojuares.com.br/noticia/78274/policia-civil-realiza-acoes-em-porto-alegre-em-combate-a-violencia-contra-a-pessoa-idosa.html")</f>
        <v>https://blogdojuares.com.br/noticia/78274/policia-civil-realiza-acoes-em-porto-alegre-em-combate-a-violencia-contra-a-pessoa-idosa.html</v>
      </c>
      <c r="Y305" s="77" t="s">
        <v>7053</v>
      </c>
      <c r="Z305" s="77"/>
      <c r="AA305" s="77"/>
      <c r="AB305" s="77"/>
      <c r="AC305" s="82" t="s">
        <v>8232</v>
      </c>
      <c r="AD305" s="77" t="s">
        <v>8278</v>
      </c>
      <c r="AE305" s="80" t="str">
        <f>HYPERLINK("https://twitter.com/blogdojuares/status/1673777042754510851")</f>
        <v>https://twitter.com/blogdojuares/status/1673777042754510851</v>
      </c>
      <c r="AF305" s="79">
        <v>45104.816180555557</v>
      </c>
      <c r="AG305" s="85">
        <v>45104</v>
      </c>
      <c r="AH305" s="82" t="s">
        <v>8587</v>
      </c>
      <c r="AI305" s="77" t="b">
        <v>0</v>
      </c>
      <c r="AJ305" s="77"/>
      <c r="AK305" s="77"/>
      <c r="AL305" s="77"/>
      <c r="AM305" s="77"/>
      <c r="AN305" s="77"/>
      <c r="AO305" s="77"/>
      <c r="AP305" s="77"/>
      <c r="AQ305" s="77"/>
      <c r="AR305" s="77"/>
      <c r="AS305" s="77"/>
      <c r="AT305" s="77"/>
      <c r="AU305" s="77"/>
      <c r="AV305" s="80" t="str">
        <f>HYPERLINK("https://pbs.twimg.com/profile_images/1686834655801024512/sVEKXAB3_normal.jpg")</f>
        <v>https://pbs.twimg.com/profile_images/1686834655801024512/sVEKXAB3_normal.jpg</v>
      </c>
      <c r="AW305" s="82" t="s">
        <v>13408</v>
      </c>
      <c r="AX305" s="82" t="s">
        <v>13408</v>
      </c>
      <c r="AY305" s="77"/>
      <c r="AZ305" s="82" t="s">
        <v>17385</v>
      </c>
      <c r="BA305" s="82" t="s">
        <v>17385</v>
      </c>
      <c r="BB305" s="82" t="s">
        <v>17385</v>
      </c>
      <c r="BC305" s="82" t="s">
        <v>13408</v>
      </c>
      <c r="BD305" s="77">
        <v>568494327</v>
      </c>
      <c r="BE305" s="77"/>
      <c r="BF305" s="77"/>
      <c r="BG305" s="77"/>
      <c r="BH305" s="77"/>
      <c r="BI305" s="77"/>
    </row>
    <row r="306" spans="1:61" x14ac:dyDescent="0.25">
      <c r="A306" s="62" t="s">
        <v>285</v>
      </c>
      <c r="B306" s="62" t="s">
        <v>285</v>
      </c>
      <c r="C306" s="63"/>
      <c r="D306" s="64"/>
      <c r="E306" s="65"/>
      <c r="F306" s="66"/>
      <c r="G306" s="63"/>
      <c r="H306" s="67"/>
      <c r="I306" s="68"/>
      <c r="J306" s="68"/>
      <c r="K306" s="32"/>
      <c r="L306" s="75">
        <v>306</v>
      </c>
      <c r="M306" s="75"/>
      <c r="N306" s="70"/>
      <c r="O306" s="77" t="s">
        <v>179</v>
      </c>
      <c r="P306" s="79">
        <v>45057.501388888886</v>
      </c>
      <c r="Q306" s="77" t="s">
        <v>1105</v>
      </c>
      <c r="R306" s="77">
        <v>0</v>
      </c>
      <c r="S306" s="77">
        <v>0</v>
      </c>
      <c r="T306" s="77">
        <v>0</v>
      </c>
      <c r="U306" s="77">
        <v>0</v>
      </c>
      <c r="V306" s="77">
        <v>182</v>
      </c>
      <c r="W306" s="82" t="s">
        <v>4989</v>
      </c>
      <c r="X306" s="80" t="str">
        <f>HYPERLINK("https://www.youtube.com/watch?v=z0a7-14AIKY")</f>
        <v>https://www.youtube.com/watch?v=z0a7-14AIKY</v>
      </c>
      <c r="Y306" s="77" t="s">
        <v>7065</v>
      </c>
      <c r="Z306" s="77"/>
      <c r="AA306" s="77" t="s">
        <v>7414</v>
      </c>
      <c r="AB306" s="77" t="s">
        <v>8227</v>
      </c>
      <c r="AC306" s="82" t="s">
        <v>8232</v>
      </c>
      <c r="AD306" s="77" t="s">
        <v>8284</v>
      </c>
      <c r="AE306" s="80" t="str">
        <f>HYPERLINK("https://twitter.com/umanresa/status/1656630733904007168")</f>
        <v>https://twitter.com/umanresa/status/1656630733904007168</v>
      </c>
      <c r="AF306" s="79">
        <v>45057.501388888886</v>
      </c>
      <c r="AG306" s="85">
        <v>45057</v>
      </c>
      <c r="AH306" s="82" t="s">
        <v>8588</v>
      </c>
      <c r="AI306" s="77" t="b">
        <v>0</v>
      </c>
      <c r="AJ306" s="77"/>
      <c r="AK306" s="77"/>
      <c r="AL306" s="77"/>
      <c r="AM306" s="77"/>
      <c r="AN306" s="77"/>
      <c r="AO306" s="77"/>
      <c r="AP306" s="77"/>
      <c r="AQ306" s="77" t="s">
        <v>12299</v>
      </c>
      <c r="AR306" s="77">
        <v>35702</v>
      </c>
      <c r="AS306" s="77"/>
      <c r="AT306" s="77"/>
      <c r="AU306" s="77"/>
      <c r="AV306" s="80" t="str">
        <f>HYPERLINK("https://pbs.twimg.com/ext_tw_video_thumb/1656585328763842562/pu/img/_UqIWX6nHF2-vzTv.jpg")</f>
        <v>https://pbs.twimg.com/ext_tw_video_thumb/1656585328763842562/pu/img/_UqIWX6nHF2-vzTv.jpg</v>
      </c>
      <c r="AW306" s="82" t="s">
        <v>13409</v>
      </c>
      <c r="AX306" s="82" t="s">
        <v>13409</v>
      </c>
      <c r="AY306" s="77"/>
      <c r="AZ306" s="82" t="s">
        <v>17385</v>
      </c>
      <c r="BA306" s="82" t="s">
        <v>17385</v>
      </c>
      <c r="BB306" s="82" t="s">
        <v>17385</v>
      </c>
      <c r="BC306" s="82" t="s">
        <v>13409</v>
      </c>
      <c r="BD306" s="77">
        <v>393440112</v>
      </c>
      <c r="BE306" s="77"/>
      <c r="BF306" s="77"/>
      <c r="BG306" s="77"/>
      <c r="BH306" s="77"/>
      <c r="BI306" s="77"/>
    </row>
    <row r="307" spans="1:61" x14ac:dyDescent="0.25">
      <c r="A307" s="62" t="s">
        <v>285</v>
      </c>
      <c r="B307" s="62" t="s">
        <v>285</v>
      </c>
      <c r="C307" s="63"/>
      <c r="D307" s="64"/>
      <c r="E307" s="65"/>
      <c r="F307" s="66"/>
      <c r="G307" s="63"/>
      <c r="H307" s="67"/>
      <c r="I307" s="68"/>
      <c r="J307" s="68"/>
      <c r="K307" s="32"/>
      <c r="L307" s="75">
        <v>307</v>
      </c>
      <c r="M307" s="75"/>
      <c r="N307" s="70"/>
      <c r="O307" s="77" t="s">
        <v>179</v>
      </c>
      <c r="P307" s="79">
        <v>45104.736805555556</v>
      </c>
      <c r="Q307" s="77" t="s">
        <v>1106</v>
      </c>
      <c r="R307" s="77">
        <v>1</v>
      </c>
      <c r="S307" s="77">
        <v>2</v>
      </c>
      <c r="T307" s="77">
        <v>0</v>
      </c>
      <c r="U307" s="77">
        <v>0</v>
      </c>
      <c r="V307" s="77">
        <v>166</v>
      </c>
      <c r="W307" s="82" t="s">
        <v>4990</v>
      </c>
      <c r="X307" s="80" t="str">
        <f>HYPERLINK("https://www.umanresa.cat/ca/comunicacio/noticies/umanresa-completa-la-implantacio-de-lavaluacio-de-competencies-de-lestudiantat")</f>
        <v>https://www.umanresa.cat/ca/comunicacio/noticies/umanresa-completa-la-implantacio-de-lavaluacio-de-competencies-de-lestudiantat</v>
      </c>
      <c r="Y307" s="77" t="s">
        <v>7070</v>
      </c>
      <c r="Z307" s="77"/>
      <c r="AA307" s="77" t="s">
        <v>7415</v>
      </c>
      <c r="AB307" s="77" t="s">
        <v>8225</v>
      </c>
      <c r="AC307" s="82" t="s">
        <v>8232</v>
      </c>
      <c r="AD307" s="77" t="s">
        <v>8284</v>
      </c>
      <c r="AE307" s="80" t="str">
        <f>HYPERLINK("https://twitter.com/umanresa/status/1673748275382329366")</f>
        <v>https://twitter.com/umanresa/status/1673748275382329366</v>
      </c>
      <c r="AF307" s="79">
        <v>45104.736805555556</v>
      </c>
      <c r="AG307" s="85">
        <v>45104</v>
      </c>
      <c r="AH307" s="82" t="s">
        <v>8589</v>
      </c>
      <c r="AI307" s="77" t="b">
        <v>0</v>
      </c>
      <c r="AJ307" s="77"/>
      <c r="AK307" s="77"/>
      <c r="AL307" s="77"/>
      <c r="AM307" s="77"/>
      <c r="AN307" s="77"/>
      <c r="AO307" s="77"/>
      <c r="AP307" s="77"/>
      <c r="AQ307" s="77" t="s">
        <v>12300</v>
      </c>
      <c r="AR307" s="77"/>
      <c r="AS307" s="77"/>
      <c r="AT307" s="77"/>
      <c r="AU307" s="77"/>
      <c r="AV307" s="80" t="str">
        <f>HYPERLINK("https://pbs.twimg.com/media/FzovvcCWwAAEK0h.jpg")</f>
        <v>https://pbs.twimg.com/media/FzovvcCWwAAEK0h.jpg</v>
      </c>
      <c r="AW307" s="82" t="s">
        <v>13410</v>
      </c>
      <c r="AX307" s="82" t="s">
        <v>13410</v>
      </c>
      <c r="AY307" s="77"/>
      <c r="AZ307" s="82" t="s">
        <v>17385</v>
      </c>
      <c r="BA307" s="82" t="s">
        <v>17385</v>
      </c>
      <c r="BB307" s="82" t="s">
        <v>17385</v>
      </c>
      <c r="BC307" s="82" t="s">
        <v>13410</v>
      </c>
      <c r="BD307" s="77">
        <v>393440112</v>
      </c>
      <c r="BE307" s="77"/>
      <c r="BF307" s="77"/>
      <c r="BG307" s="77"/>
      <c r="BH307" s="77"/>
      <c r="BI307" s="77"/>
    </row>
    <row r="308" spans="1:61" x14ac:dyDescent="0.25">
      <c r="A308" s="62" t="s">
        <v>285</v>
      </c>
      <c r="B308" s="62" t="s">
        <v>285</v>
      </c>
      <c r="C308" s="63"/>
      <c r="D308" s="64"/>
      <c r="E308" s="65"/>
      <c r="F308" s="66"/>
      <c r="G308" s="63"/>
      <c r="H308" s="67"/>
      <c r="I308" s="68"/>
      <c r="J308" s="68"/>
      <c r="K308" s="32"/>
      <c r="L308" s="75">
        <v>308</v>
      </c>
      <c r="M308" s="75"/>
      <c r="N308" s="70"/>
      <c r="O308" s="77" t="s">
        <v>179</v>
      </c>
      <c r="P308" s="79">
        <v>45107.820138888892</v>
      </c>
      <c r="Q308" s="77" t="s">
        <v>1107</v>
      </c>
      <c r="R308" s="77">
        <v>0</v>
      </c>
      <c r="S308" s="77">
        <v>1</v>
      </c>
      <c r="T308" s="77">
        <v>0</v>
      </c>
      <c r="U308" s="77">
        <v>0</v>
      </c>
      <c r="V308" s="77">
        <v>237</v>
      </c>
      <c r="W308" s="82" t="s">
        <v>4990</v>
      </c>
      <c r="X308" s="80" t="str">
        <f>HYPERLINK("https://www.umanresa.cat/ca/comunicacio/noticies/umanresa-completa-la-implantacio-de-lavaluacio-de-competencies-de-lestudiantat")</f>
        <v>https://www.umanresa.cat/ca/comunicacio/noticies/umanresa-completa-la-implantacio-de-lavaluacio-de-competencies-de-lestudiantat</v>
      </c>
      <c r="Y308" s="77" t="s">
        <v>7070</v>
      </c>
      <c r="Z308" s="77"/>
      <c r="AA308" s="77" t="s">
        <v>7416</v>
      </c>
      <c r="AB308" s="77" t="s">
        <v>8225</v>
      </c>
      <c r="AC308" s="82" t="s">
        <v>8232</v>
      </c>
      <c r="AD308" s="77" t="s">
        <v>8284</v>
      </c>
      <c r="AE308" s="80" t="str">
        <f>HYPERLINK("https://twitter.com/umanresa/status/1674865638035329024")</f>
        <v>https://twitter.com/umanresa/status/1674865638035329024</v>
      </c>
      <c r="AF308" s="79">
        <v>45107.820138888892</v>
      </c>
      <c r="AG308" s="85">
        <v>45107</v>
      </c>
      <c r="AH308" s="82" t="s">
        <v>8590</v>
      </c>
      <c r="AI308" s="77" t="b">
        <v>0</v>
      </c>
      <c r="AJ308" s="77"/>
      <c r="AK308" s="77"/>
      <c r="AL308" s="77"/>
      <c r="AM308" s="77"/>
      <c r="AN308" s="77"/>
      <c r="AO308" s="77"/>
      <c r="AP308" s="77"/>
      <c r="AQ308" s="77" t="s">
        <v>12301</v>
      </c>
      <c r="AR308" s="77"/>
      <c r="AS308" s="77"/>
      <c r="AT308" s="77"/>
      <c r="AU308" s="77"/>
      <c r="AV308" s="80" t="str">
        <f>HYPERLINK("https://pbs.twimg.com/media/FzowHd4XsAMXVJA.jpg")</f>
        <v>https://pbs.twimg.com/media/FzowHd4XsAMXVJA.jpg</v>
      </c>
      <c r="AW308" s="82" t="s">
        <v>13411</v>
      </c>
      <c r="AX308" s="82" t="s">
        <v>13411</v>
      </c>
      <c r="AY308" s="77"/>
      <c r="AZ308" s="82" t="s">
        <v>17385</v>
      </c>
      <c r="BA308" s="82" t="s">
        <v>17385</v>
      </c>
      <c r="BB308" s="82" t="s">
        <v>17385</v>
      </c>
      <c r="BC308" s="82" t="s">
        <v>13411</v>
      </c>
      <c r="BD308" s="77">
        <v>393440112</v>
      </c>
      <c r="BE308" s="77"/>
      <c r="BF308" s="77"/>
      <c r="BG308" s="77"/>
      <c r="BH308" s="77"/>
      <c r="BI308" s="77"/>
    </row>
    <row r="309" spans="1:61" x14ac:dyDescent="0.25">
      <c r="A309" s="62" t="s">
        <v>285</v>
      </c>
      <c r="B309" s="62" t="s">
        <v>285</v>
      </c>
      <c r="C309" s="63"/>
      <c r="D309" s="64"/>
      <c r="E309" s="65"/>
      <c r="F309" s="66"/>
      <c r="G309" s="63"/>
      <c r="H309" s="67"/>
      <c r="I309" s="68"/>
      <c r="J309" s="68"/>
      <c r="K309" s="32"/>
      <c r="L309" s="75">
        <v>309</v>
      </c>
      <c r="M309" s="75"/>
      <c r="N309" s="70"/>
      <c r="O309" s="77" t="s">
        <v>179</v>
      </c>
      <c r="P309" s="79">
        <v>45110.737500000003</v>
      </c>
      <c r="Q309" s="77" t="s">
        <v>1108</v>
      </c>
      <c r="R309" s="77">
        <v>1</v>
      </c>
      <c r="S309" s="77">
        <v>1</v>
      </c>
      <c r="T309" s="77">
        <v>0</v>
      </c>
      <c r="U309" s="77">
        <v>0</v>
      </c>
      <c r="V309" s="77">
        <v>222</v>
      </c>
      <c r="W309" s="82" t="s">
        <v>4990</v>
      </c>
      <c r="X309" s="80" t="str">
        <f>HYPERLINK("https://www.umanresa.cat/ca/comunicacio/noticies/umanresa-completa-la-implantacio-de-lavaluacio-de-competencies-de-lestudiantat")</f>
        <v>https://www.umanresa.cat/ca/comunicacio/noticies/umanresa-completa-la-implantacio-de-lavaluacio-de-competencies-de-lestudiantat</v>
      </c>
      <c r="Y309" s="77" t="s">
        <v>7070</v>
      </c>
      <c r="Z309" s="77"/>
      <c r="AA309" s="77" t="s">
        <v>7417</v>
      </c>
      <c r="AB309" s="77" t="s">
        <v>8225</v>
      </c>
      <c r="AC309" s="82" t="s">
        <v>8232</v>
      </c>
      <c r="AD309" s="77" t="s">
        <v>8284</v>
      </c>
      <c r="AE309" s="80" t="str">
        <f>HYPERLINK("https://twitter.com/umanresa/status/1675922854108631040")</f>
        <v>https://twitter.com/umanresa/status/1675922854108631040</v>
      </c>
      <c r="AF309" s="79">
        <v>45110.737500000003</v>
      </c>
      <c r="AG309" s="85">
        <v>45110</v>
      </c>
      <c r="AH309" s="82" t="s">
        <v>8591</v>
      </c>
      <c r="AI309" s="77" t="b">
        <v>0</v>
      </c>
      <c r="AJ309" s="77"/>
      <c r="AK309" s="77"/>
      <c r="AL309" s="77"/>
      <c r="AM309" s="77"/>
      <c r="AN309" s="77"/>
      <c r="AO309" s="77"/>
      <c r="AP309" s="77"/>
      <c r="AQ309" s="77" t="s">
        <v>12302</v>
      </c>
      <c r="AR309" s="77"/>
      <c r="AS309" s="77"/>
      <c r="AT309" s="77"/>
      <c r="AU309" s="77"/>
      <c r="AV309" s="80" t="str">
        <f>HYPERLINK("https://pbs.twimg.com/media/FzowNwtWwAIpcnR.jpg")</f>
        <v>https://pbs.twimg.com/media/FzowNwtWwAIpcnR.jpg</v>
      </c>
      <c r="AW309" s="82" t="s">
        <v>13412</v>
      </c>
      <c r="AX309" s="82" t="s">
        <v>13412</v>
      </c>
      <c r="AY309" s="77"/>
      <c r="AZ309" s="82" t="s">
        <v>17385</v>
      </c>
      <c r="BA309" s="82" t="s">
        <v>17385</v>
      </c>
      <c r="BB309" s="82" t="s">
        <v>17385</v>
      </c>
      <c r="BC309" s="82" t="s">
        <v>13412</v>
      </c>
      <c r="BD309" s="77">
        <v>393440112</v>
      </c>
      <c r="BE309" s="77"/>
      <c r="BF309" s="77"/>
      <c r="BG309" s="77"/>
      <c r="BH309" s="77"/>
      <c r="BI309" s="77"/>
    </row>
    <row r="310" spans="1:61" x14ac:dyDescent="0.25">
      <c r="A310" s="62" t="s">
        <v>286</v>
      </c>
      <c r="B310" s="62" t="s">
        <v>731</v>
      </c>
      <c r="C310" s="63"/>
      <c r="D310" s="64"/>
      <c r="E310" s="65"/>
      <c r="F310" s="66"/>
      <c r="G310" s="63"/>
      <c r="H310" s="67"/>
      <c r="I310" s="68"/>
      <c r="J310" s="68"/>
      <c r="K310" s="32"/>
      <c r="L310" s="75">
        <v>310</v>
      </c>
      <c r="M310" s="75"/>
      <c r="N310" s="70"/>
      <c r="O310" s="77" t="s">
        <v>802</v>
      </c>
      <c r="P310" s="79">
        <v>45170.251504629632</v>
      </c>
      <c r="Q310" s="77" t="s">
        <v>1109</v>
      </c>
      <c r="R310" s="77">
        <v>0</v>
      </c>
      <c r="S310" s="77">
        <v>0</v>
      </c>
      <c r="T310" s="77">
        <v>0</v>
      </c>
      <c r="U310" s="77">
        <v>0</v>
      </c>
      <c r="V310" s="77">
        <v>21</v>
      </c>
      <c r="W310" s="82" t="s">
        <v>4991</v>
      </c>
      <c r="X310" s="80" t="str">
        <f>HYPERLINK("https://youtu.be/C3SXR-HzGkc?si=nsE7jjrg5-2YH8bZ")</f>
        <v>https://youtu.be/C3SXR-HzGkc?si=nsE7jjrg5-2YH8bZ</v>
      </c>
      <c r="Y310" s="77" t="s">
        <v>7064</v>
      </c>
      <c r="Z310" s="77" t="s">
        <v>731</v>
      </c>
      <c r="AA310" s="77"/>
      <c r="AB310" s="77"/>
      <c r="AC310" s="82" t="s">
        <v>8232</v>
      </c>
      <c r="AD310" s="77" t="s">
        <v>8278</v>
      </c>
      <c r="AE310" s="80" t="str">
        <f>HYPERLINK("https://twitter.com/henriquehikgt/status/1697490006795825314")</f>
        <v>https://twitter.com/henriquehikgt/status/1697490006795825314</v>
      </c>
      <c r="AF310" s="79">
        <v>45170.251504629632</v>
      </c>
      <c r="AG310" s="85">
        <v>45170</v>
      </c>
      <c r="AH310" s="82" t="s">
        <v>8592</v>
      </c>
      <c r="AI310" s="77" t="b">
        <v>0</v>
      </c>
      <c r="AJ310" s="77"/>
      <c r="AK310" s="77"/>
      <c r="AL310" s="77"/>
      <c r="AM310" s="77"/>
      <c r="AN310" s="77"/>
      <c r="AO310" s="77"/>
      <c r="AP310" s="77"/>
      <c r="AQ310" s="77"/>
      <c r="AR310" s="77"/>
      <c r="AS310" s="77"/>
      <c r="AT310" s="77"/>
      <c r="AU310" s="77"/>
      <c r="AV310" s="80" t="str">
        <f>HYPERLINK("https://pbs.twimg.com/profile_images/1189998710941519873/CWsvZbyl_normal.jpg")</f>
        <v>https://pbs.twimg.com/profile_images/1189998710941519873/CWsvZbyl_normal.jpg</v>
      </c>
      <c r="AW310" s="82" t="s">
        <v>13413</v>
      </c>
      <c r="AX310" s="82" t="s">
        <v>13413</v>
      </c>
      <c r="AY310" s="77"/>
      <c r="AZ310" s="82" t="s">
        <v>17385</v>
      </c>
      <c r="BA310" s="82" t="s">
        <v>17385</v>
      </c>
      <c r="BB310" s="82" t="s">
        <v>17385</v>
      </c>
      <c r="BC310" s="82" t="s">
        <v>13413</v>
      </c>
      <c r="BD310" s="77">
        <v>183022394</v>
      </c>
      <c r="BE310" s="77"/>
      <c r="BF310" s="77"/>
      <c r="BG310" s="77"/>
      <c r="BH310" s="77"/>
      <c r="BI310" s="77"/>
    </row>
    <row r="311" spans="1:61" x14ac:dyDescent="0.25">
      <c r="A311" s="62" t="s">
        <v>287</v>
      </c>
      <c r="B311" s="62" t="s">
        <v>287</v>
      </c>
      <c r="C311" s="63"/>
      <c r="D311" s="64"/>
      <c r="E311" s="65"/>
      <c r="F311" s="66"/>
      <c r="G311" s="63"/>
      <c r="H311" s="67"/>
      <c r="I311" s="68"/>
      <c r="J311" s="68"/>
      <c r="K311" s="32"/>
      <c r="L311" s="75">
        <v>311</v>
      </c>
      <c r="M311" s="75"/>
      <c r="N311" s="70"/>
      <c r="O311" s="77" t="s">
        <v>800</v>
      </c>
      <c r="P311" s="79">
        <v>45047.652511574073</v>
      </c>
      <c r="Q311" s="77" t="s">
        <v>1110</v>
      </c>
      <c r="R311" s="77">
        <v>0</v>
      </c>
      <c r="S311" s="77">
        <v>0</v>
      </c>
      <c r="T311" s="77">
        <v>0</v>
      </c>
      <c r="U311" s="77">
        <v>0</v>
      </c>
      <c r="V311" s="77">
        <v>17</v>
      </c>
      <c r="W311" s="82" t="s">
        <v>4992</v>
      </c>
      <c r="X311" s="77"/>
      <c r="Y311" s="77"/>
      <c r="Z311" s="77"/>
      <c r="AA311" s="77"/>
      <c r="AB311" s="77"/>
      <c r="AC311" s="82" t="s">
        <v>8234</v>
      </c>
      <c r="AD311" s="77" t="s">
        <v>8278</v>
      </c>
      <c r="AE311" s="80" t="str">
        <f>HYPERLINK("https://twitter.com/candeprofessor/status/1653061622070378498")</f>
        <v>https://twitter.com/candeprofessor/status/1653061622070378498</v>
      </c>
      <c r="AF311" s="79">
        <v>45047.652511574073</v>
      </c>
      <c r="AG311" s="85">
        <v>45047</v>
      </c>
      <c r="AH311" s="82" t="s">
        <v>8593</v>
      </c>
      <c r="AI311" s="77"/>
      <c r="AJ311" s="77"/>
      <c r="AK311" s="77"/>
      <c r="AL311" s="77"/>
      <c r="AM311" s="77"/>
      <c r="AN311" s="77"/>
      <c r="AO311" s="77"/>
      <c r="AP311" s="77"/>
      <c r="AQ311" s="77"/>
      <c r="AR311" s="77"/>
      <c r="AS311" s="77"/>
      <c r="AT311" s="77"/>
      <c r="AU311" s="77"/>
      <c r="AV311" s="80" t="str">
        <f>HYPERLINK("https://pbs.twimg.com/profile_images/1687123701995610112/amSQV7t7_normal.jpg")</f>
        <v>https://pbs.twimg.com/profile_images/1687123701995610112/amSQV7t7_normal.jpg</v>
      </c>
      <c r="AW311" s="82" t="s">
        <v>13414</v>
      </c>
      <c r="AX311" s="82" t="s">
        <v>17149</v>
      </c>
      <c r="AY311" s="82" t="s">
        <v>17323</v>
      </c>
      <c r="AZ311" s="82" t="s">
        <v>17394</v>
      </c>
      <c r="BA311" s="82" t="s">
        <v>17385</v>
      </c>
      <c r="BB311" s="82" t="s">
        <v>17385</v>
      </c>
      <c r="BC311" s="82" t="s">
        <v>17394</v>
      </c>
      <c r="BD311" s="82" t="s">
        <v>17323</v>
      </c>
      <c r="BE311" s="77"/>
      <c r="BF311" s="77"/>
      <c r="BG311" s="77"/>
      <c r="BH311" s="77"/>
      <c r="BI311" s="77"/>
    </row>
    <row r="312" spans="1:61" x14ac:dyDescent="0.25">
      <c r="A312" s="62" t="s">
        <v>288</v>
      </c>
      <c r="B312" s="62" t="s">
        <v>288</v>
      </c>
      <c r="C312" s="63"/>
      <c r="D312" s="64"/>
      <c r="E312" s="65"/>
      <c r="F312" s="66"/>
      <c r="G312" s="63"/>
      <c r="H312" s="67"/>
      <c r="I312" s="68"/>
      <c r="J312" s="68"/>
      <c r="K312" s="32"/>
      <c r="L312" s="75">
        <v>312</v>
      </c>
      <c r="M312" s="75"/>
      <c r="N312" s="70"/>
      <c r="O312" s="77" t="s">
        <v>179</v>
      </c>
      <c r="P312" s="79">
        <v>45096.500023148146</v>
      </c>
      <c r="Q312" s="77" t="s">
        <v>1111</v>
      </c>
      <c r="R312" s="77">
        <v>0</v>
      </c>
      <c r="S312" s="77">
        <v>0</v>
      </c>
      <c r="T312" s="77">
        <v>0</v>
      </c>
      <c r="U312" s="77">
        <v>0</v>
      </c>
      <c r="V312" s="77">
        <v>14</v>
      </c>
      <c r="W312" s="82" t="s">
        <v>4993</v>
      </c>
      <c r="X312" s="80" t="str">
        <f>HYPERLINK("https://www.williamhunt.com.br/segredos-dos-investimentos-para-iniciantes")</f>
        <v>https://www.williamhunt.com.br/segredos-dos-investimentos-para-iniciantes</v>
      </c>
      <c r="Y312" s="77" t="s">
        <v>7053</v>
      </c>
      <c r="Z312" s="77"/>
      <c r="AA312" s="77" t="s">
        <v>7418</v>
      </c>
      <c r="AB312" s="77" t="s">
        <v>8228</v>
      </c>
      <c r="AC312" s="82" t="s">
        <v>8232</v>
      </c>
      <c r="AD312" s="77" t="s">
        <v>8278</v>
      </c>
      <c r="AE312" s="80" t="str">
        <f>HYPERLINK("https://twitter.com/williamhuntbr/status/1670763365659025409")</f>
        <v>https://twitter.com/williamhuntbr/status/1670763365659025409</v>
      </c>
      <c r="AF312" s="79">
        <v>45096.500023148146</v>
      </c>
      <c r="AG312" s="85">
        <v>45096</v>
      </c>
      <c r="AH312" s="82" t="s">
        <v>8594</v>
      </c>
      <c r="AI312" s="77" t="b">
        <v>0</v>
      </c>
      <c r="AJ312" s="77"/>
      <c r="AK312" s="77"/>
      <c r="AL312" s="77"/>
      <c r="AM312" s="77"/>
      <c r="AN312" s="77"/>
      <c r="AO312" s="77"/>
      <c r="AP312" s="77"/>
      <c r="AQ312" s="77" t="s">
        <v>12303</v>
      </c>
      <c r="AR312" s="77"/>
      <c r="AS312" s="77"/>
      <c r="AT312" s="77"/>
      <c r="AU312" s="77"/>
      <c r="AV312" s="80" t="str">
        <f>HYPERLINK("https://pbs.twimg.com/media/FyH_YioWAAEyn50.jpg")</f>
        <v>https://pbs.twimg.com/media/FyH_YioWAAEyn50.jpg</v>
      </c>
      <c r="AW312" s="82" t="s">
        <v>13415</v>
      </c>
      <c r="AX312" s="82" t="s">
        <v>13415</v>
      </c>
      <c r="AY312" s="77"/>
      <c r="AZ312" s="82" t="s">
        <v>17385</v>
      </c>
      <c r="BA312" s="82" t="s">
        <v>17385</v>
      </c>
      <c r="BB312" s="82" t="s">
        <v>17385</v>
      </c>
      <c r="BC312" s="82" t="s">
        <v>13415</v>
      </c>
      <c r="BD312" s="82" t="s">
        <v>17473</v>
      </c>
      <c r="BE312" s="77"/>
      <c r="BF312" s="77"/>
      <c r="BG312" s="77"/>
      <c r="BH312" s="77"/>
      <c r="BI312" s="77"/>
    </row>
    <row r="313" spans="1:61" x14ac:dyDescent="0.25">
      <c r="A313" s="62" t="s">
        <v>288</v>
      </c>
      <c r="B313" s="62" t="s">
        <v>288</v>
      </c>
      <c r="C313" s="63"/>
      <c r="D313" s="64"/>
      <c r="E313" s="65"/>
      <c r="F313" s="66"/>
      <c r="G313" s="63"/>
      <c r="H313" s="67"/>
      <c r="I313" s="68"/>
      <c r="J313" s="68"/>
      <c r="K313" s="32"/>
      <c r="L313" s="75">
        <v>313</v>
      </c>
      <c r="M313" s="75"/>
      <c r="N313" s="70"/>
      <c r="O313" s="77" t="s">
        <v>179</v>
      </c>
      <c r="P313" s="79">
        <v>45159.5</v>
      </c>
      <c r="Q313" s="77" t="s">
        <v>1112</v>
      </c>
      <c r="R313" s="77">
        <v>0</v>
      </c>
      <c r="S313" s="77">
        <v>0</v>
      </c>
      <c r="T313" s="77">
        <v>0</v>
      </c>
      <c r="U313" s="77">
        <v>0</v>
      </c>
      <c r="V313" s="77">
        <v>14</v>
      </c>
      <c r="W313" s="82" t="s">
        <v>4994</v>
      </c>
      <c r="X313" s="80" t="str">
        <f>HYPERLINK("http://www.williamhunt.com.br/completo")</f>
        <v>http://www.williamhunt.com.br/completo</v>
      </c>
      <c r="Y313" s="77" t="s">
        <v>7053</v>
      </c>
      <c r="Z313" s="77"/>
      <c r="AA313" s="77" t="s">
        <v>7419</v>
      </c>
      <c r="AB313" s="77" t="s">
        <v>8226</v>
      </c>
      <c r="AC313" s="82" t="s">
        <v>8232</v>
      </c>
      <c r="AD313" s="77" t="s">
        <v>8278</v>
      </c>
      <c r="AE313" s="80" t="str">
        <f>HYPERLINK("https://twitter.com/williamhuntbr/status/1693593793113862517")</f>
        <v>https://twitter.com/williamhuntbr/status/1693593793113862517</v>
      </c>
      <c r="AF313" s="79">
        <v>45159.5</v>
      </c>
      <c r="AG313" s="85">
        <v>45159</v>
      </c>
      <c r="AH313" s="82" t="s">
        <v>8595</v>
      </c>
      <c r="AI313" s="77" t="b">
        <v>0</v>
      </c>
      <c r="AJ313" s="77"/>
      <c r="AK313" s="77"/>
      <c r="AL313" s="77"/>
      <c r="AM313" s="77"/>
      <c r="AN313" s="77"/>
      <c r="AO313" s="77"/>
      <c r="AP313" s="77"/>
      <c r="AQ313" s="77" t="s">
        <v>12304</v>
      </c>
      <c r="AR313" s="77"/>
      <c r="AS313" s="77"/>
      <c r="AT313" s="77"/>
      <c r="AU313" s="77"/>
      <c r="AV313" s="80" t="str">
        <f>HYPERLINK("https://pbs.twimg.com/media/F3BNQmIXwAA87Gb.jpg")</f>
        <v>https://pbs.twimg.com/media/F3BNQmIXwAA87Gb.jpg</v>
      </c>
      <c r="AW313" s="82" t="s">
        <v>13416</v>
      </c>
      <c r="AX313" s="82" t="s">
        <v>13416</v>
      </c>
      <c r="AY313" s="77"/>
      <c r="AZ313" s="82" t="s">
        <v>17385</v>
      </c>
      <c r="BA313" s="82" t="s">
        <v>17385</v>
      </c>
      <c r="BB313" s="82" t="s">
        <v>17385</v>
      </c>
      <c r="BC313" s="82" t="s">
        <v>13416</v>
      </c>
      <c r="BD313" s="82" t="s">
        <v>17473</v>
      </c>
      <c r="BE313" s="77"/>
      <c r="BF313" s="77"/>
      <c r="BG313" s="77"/>
      <c r="BH313" s="77"/>
      <c r="BI313" s="77"/>
    </row>
    <row r="314" spans="1:61" x14ac:dyDescent="0.25">
      <c r="A314" s="62" t="s">
        <v>288</v>
      </c>
      <c r="B314" s="62" t="s">
        <v>288</v>
      </c>
      <c r="C314" s="63"/>
      <c r="D314" s="64"/>
      <c r="E314" s="65"/>
      <c r="F314" s="66"/>
      <c r="G314" s="63"/>
      <c r="H314" s="67"/>
      <c r="I314" s="68"/>
      <c r="J314" s="68"/>
      <c r="K314" s="32"/>
      <c r="L314" s="75">
        <v>314</v>
      </c>
      <c r="M314" s="75"/>
      <c r="N314" s="70"/>
      <c r="O314" s="77" t="s">
        <v>179</v>
      </c>
      <c r="P314" s="79">
        <v>45170.500011574077</v>
      </c>
      <c r="Q314" s="77" t="s">
        <v>1113</v>
      </c>
      <c r="R314" s="77">
        <v>0</v>
      </c>
      <c r="S314" s="77">
        <v>0</v>
      </c>
      <c r="T314" s="77">
        <v>0</v>
      </c>
      <c r="U314" s="77">
        <v>0</v>
      </c>
      <c r="V314" s="77">
        <v>25</v>
      </c>
      <c r="W314" s="82" t="s">
        <v>4995</v>
      </c>
      <c r="X314" s="80" t="str">
        <f>HYPERLINK("http://www.williamhunt.com.br/completo")</f>
        <v>http://www.williamhunt.com.br/completo</v>
      </c>
      <c r="Y314" s="77" t="s">
        <v>7053</v>
      </c>
      <c r="Z314" s="77"/>
      <c r="AA314" s="77" t="s">
        <v>7420</v>
      </c>
      <c r="AB314" s="77" t="s">
        <v>8225</v>
      </c>
      <c r="AC314" s="82" t="s">
        <v>8232</v>
      </c>
      <c r="AD314" s="77" t="s">
        <v>8278</v>
      </c>
      <c r="AE314" s="80" t="str">
        <f>HYPERLINK("https://twitter.com/williamhuntbr/status/1697580063984926956")</f>
        <v>https://twitter.com/williamhuntbr/status/1697580063984926956</v>
      </c>
      <c r="AF314" s="79">
        <v>45170.500011574077</v>
      </c>
      <c r="AG314" s="85">
        <v>45170</v>
      </c>
      <c r="AH314" s="82" t="s">
        <v>8596</v>
      </c>
      <c r="AI314" s="77" t="b">
        <v>0</v>
      </c>
      <c r="AJ314" s="77"/>
      <c r="AK314" s="77"/>
      <c r="AL314" s="77"/>
      <c r="AM314" s="77"/>
      <c r="AN314" s="77"/>
      <c r="AO314" s="77"/>
      <c r="AP314" s="77"/>
      <c r="AQ314" s="77" t="s">
        <v>12305</v>
      </c>
      <c r="AR314" s="77"/>
      <c r="AS314" s="77"/>
      <c r="AT314" s="77"/>
      <c r="AU314" s="77"/>
      <c r="AV314" s="80" t="str">
        <f>HYPERLINK("https://pbs.twimg.com/media/F4KGNypWgAA7JqG.jpg")</f>
        <v>https://pbs.twimg.com/media/F4KGNypWgAA7JqG.jpg</v>
      </c>
      <c r="AW314" s="82" t="s">
        <v>13417</v>
      </c>
      <c r="AX314" s="82" t="s">
        <v>13417</v>
      </c>
      <c r="AY314" s="77"/>
      <c r="AZ314" s="82" t="s">
        <v>17385</v>
      </c>
      <c r="BA314" s="82" t="s">
        <v>17385</v>
      </c>
      <c r="BB314" s="82" t="s">
        <v>17385</v>
      </c>
      <c r="BC314" s="82" t="s">
        <v>13417</v>
      </c>
      <c r="BD314" s="82" t="s">
        <v>17473</v>
      </c>
      <c r="BE314" s="77"/>
      <c r="BF314" s="77"/>
      <c r="BG314" s="77"/>
      <c r="BH314" s="77"/>
      <c r="BI314" s="77"/>
    </row>
    <row r="315" spans="1:61" x14ac:dyDescent="0.25">
      <c r="A315" s="62" t="s">
        <v>288</v>
      </c>
      <c r="B315" s="62" t="s">
        <v>288</v>
      </c>
      <c r="C315" s="63"/>
      <c r="D315" s="64"/>
      <c r="E315" s="65"/>
      <c r="F315" s="66"/>
      <c r="G315" s="63"/>
      <c r="H315" s="67"/>
      <c r="I315" s="68"/>
      <c r="J315" s="68"/>
      <c r="K315" s="32"/>
      <c r="L315" s="75">
        <v>315</v>
      </c>
      <c r="M315" s="75"/>
      <c r="N315" s="70"/>
      <c r="O315" s="77" t="s">
        <v>179</v>
      </c>
      <c r="P315" s="79">
        <v>45065.500023148146</v>
      </c>
      <c r="Q315" s="77" t="s">
        <v>1114</v>
      </c>
      <c r="R315" s="77">
        <v>0</v>
      </c>
      <c r="S315" s="77">
        <v>0</v>
      </c>
      <c r="T315" s="77">
        <v>0</v>
      </c>
      <c r="U315" s="77">
        <v>0</v>
      </c>
      <c r="V315" s="77">
        <v>14</v>
      </c>
      <c r="W315" s="82" t="s">
        <v>4996</v>
      </c>
      <c r="X315" s="80" t="str">
        <f>HYPERLINK("https://www.williamhunt.com.br/segredos-dos-investimentos-para-iniciantes")</f>
        <v>https://www.williamhunt.com.br/segredos-dos-investimentos-para-iniciantes</v>
      </c>
      <c r="Y315" s="77" t="s">
        <v>7053</v>
      </c>
      <c r="Z315" s="77"/>
      <c r="AA315" s="77" t="s">
        <v>7421</v>
      </c>
      <c r="AB315" s="77" t="s">
        <v>8228</v>
      </c>
      <c r="AC315" s="82" t="s">
        <v>8232</v>
      </c>
      <c r="AD315" s="77" t="s">
        <v>8278</v>
      </c>
      <c r="AE315" s="80" t="str">
        <f>HYPERLINK("https://twitter.com/williamhuntbr/status/1659529341955641346")</f>
        <v>https://twitter.com/williamhuntbr/status/1659529341955641346</v>
      </c>
      <c r="AF315" s="79">
        <v>45065.500023148146</v>
      </c>
      <c r="AG315" s="85">
        <v>45065</v>
      </c>
      <c r="AH315" s="82" t="s">
        <v>8594</v>
      </c>
      <c r="AI315" s="77" t="b">
        <v>0</v>
      </c>
      <c r="AJ315" s="77"/>
      <c r="AK315" s="77"/>
      <c r="AL315" s="77"/>
      <c r="AM315" s="77"/>
      <c r="AN315" s="77"/>
      <c r="AO315" s="77"/>
      <c r="AP315" s="77"/>
      <c r="AQ315" s="77" t="s">
        <v>12306</v>
      </c>
      <c r="AR315" s="77"/>
      <c r="AS315" s="77"/>
      <c r="AT315" s="77"/>
      <c r="AU315" s="77"/>
      <c r="AV315" s="80" t="str">
        <f>HYPERLINK("https://pbs.twimg.com/media/Fv4A4nbX0AACx8d.jpg")</f>
        <v>https://pbs.twimg.com/media/Fv4A4nbX0AACx8d.jpg</v>
      </c>
      <c r="AW315" s="82" t="s">
        <v>13418</v>
      </c>
      <c r="AX315" s="82" t="s">
        <v>13418</v>
      </c>
      <c r="AY315" s="77"/>
      <c r="AZ315" s="82" t="s">
        <v>17385</v>
      </c>
      <c r="BA315" s="82" t="s">
        <v>17385</v>
      </c>
      <c r="BB315" s="82" t="s">
        <v>17385</v>
      </c>
      <c r="BC315" s="82" t="s">
        <v>13418</v>
      </c>
      <c r="BD315" s="82" t="s">
        <v>17473</v>
      </c>
      <c r="BE315" s="77"/>
      <c r="BF315" s="77"/>
      <c r="BG315" s="77"/>
      <c r="BH315" s="77"/>
      <c r="BI315" s="77"/>
    </row>
    <row r="316" spans="1:61" x14ac:dyDescent="0.25">
      <c r="A316" s="62" t="s">
        <v>288</v>
      </c>
      <c r="B316" s="62" t="s">
        <v>288</v>
      </c>
      <c r="C316" s="63"/>
      <c r="D316" s="64"/>
      <c r="E316" s="65"/>
      <c r="F316" s="66"/>
      <c r="G316" s="63"/>
      <c r="H316" s="67"/>
      <c r="I316" s="68"/>
      <c r="J316" s="68"/>
      <c r="K316" s="32"/>
      <c r="L316" s="75">
        <v>316</v>
      </c>
      <c r="M316" s="75"/>
      <c r="N316" s="70"/>
      <c r="O316" s="77" t="s">
        <v>179</v>
      </c>
      <c r="P316" s="79">
        <v>45182.5</v>
      </c>
      <c r="Q316" s="77" t="s">
        <v>1115</v>
      </c>
      <c r="R316" s="77">
        <v>0</v>
      </c>
      <c r="S316" s="77">
        <v>0</v>
      </c>
      <c r="T316" s="77">
        <v>0</v>
      </c>
      <c r="U316" s="77">
        <v>0</v>
      </c>
      <c r="V316" s="77">
        <v>27</v>
      </c>
      <c r="W316" s="82" t="s">
        <v>4997</v>
      </c>
      <c r="X316" s="80" t="str">
        <f>HYPERLINK("http://www.williamhunt.com.br/completo")</f>
        <v>http://www.williamhunt.com.br/completo</v>
      </c>
      <c r="Y316" s="77" t="s">
        <v>7053</v>
      </c>
      <c r="Z316" s="77"/>
      <c r="AA316" s="77" t="s">
        <v>7422</v>
      </c>
      <c r="AB316" s="77" t="s">
        <v>8225</v>
      </c>
      <c r="AC316" s="82" t="s">
        <v>8232</v>
      </c>
      <c r="AD316" s="77" t="s">
        <v>8278</v>
      </c>
      <c r="AE316" s="80" t="str">
        <f>HYPERLINK("https://twitter.com/williamhuntbr/status/1701928714274037999")</f>
        <v>https://twitter.com/williamhuntbr/status/1701928714274037999</v>
      </c>
      <c r="AF316" s="79">
        <v>45182.5</v>
      </c>
      <c r="AG316" s="85">
        <v>45182</v>
      </c>
      <c r="AH316" s="82" t="s">
        <v>8595</v>
      </c>
      <c r="AI316" s="77" t="b">
        <v>0</v>
      </c>
      <c r="AJ316" s="77"/>
      <c r="AK316" s="77"/>
      <c r="AL316" s="77"/>
      <c r="AM316" s="77"/>
      <c r="AN316" s="77"/>
      <c r="AO316" s="77"/>
      <c r="AP316" s="77"/>
      <c r="AQ316" s="77" t="s">
        <v>12307</v>
      </c>
      <c r="AR316" s="77"/>
      <c r="AS316" s="77"/>
      <c r="AT316" s="77"/>
      <c r="AU316" s="77"/>
      <c r="AV316" s="80" t="str">
        <f>HYPERLINK("https://pbs.twimg.com/media/F5NgI5MXIAAf6Em.jpg")</f>
        <v>https://pbs.twimg.com/media/F5NgI5MXIAAf6Em.jpg</v>
      </c>
      <c r="AW316" s="82" t="s">
        <v>13419</v>
      </c>
      <c r="AX316" s="82" t="s">
        <v>13419</v>
      </c>
      <c r="AY316" s="77"/>
      <c r="AZ316" s="82" t="s">
        <v>17385</v>
      </c>
      <c r="BA316" s="82" t="s">
        <v>17385</v>
      </c>
      <c r="BB316" s="82" t="s">
        <v>17385</v>
      </c>
      <c r="BC316" s="82" t="s">
        <v>13419</v>
      </c>
      <c r="BD316" s="82" t="s">
        <v>17473</v>
      </c>
      <c r="BE316" s="77"/>
      <c r="BF316" s="77"/>
      <c r="BG316" s="77"/>
      <c r="BH316" s="77"/>
      <c r="BI316" s="77"/>
    </row>
    <row r="317" spans="1:61" x14ac:dyDescent="0.25">
      <c r="A317" s="62" t="s">
        <v>289</v>
      </c>
      <c r="B317" s="62" t="s">
        <v>739</v>
      </c>
      <c r="C317" s="63"/>
      <c r="D317" s="64"/>
      <c r="E317" s="65"/>
      <c r="F317" s="66"/>
      <c r="G317" s="63"/>
      <c r="H317" s="67"/>
      <c r="I317" s="68"/>
      <c r="J317" s="68"/>
      <c r="K317" s="32"/>
      <c r="L317" s="75">
        <v>317</v>
      </c>
      <c r="M317" s="75"/>
      <c r="N317" s="70"/>
      <c r="O317" s="77" t="s">
        <v>800</v>
      </c>
      <c r="P317" s="79">
        <v>45185.617986111109</v>
      </c>
      <c r="Q317" s="77" t="s">
        <v>1116</v>
      </c>
      <c r="R317" s="77">
        <v>0</v>
      </c>
      <c r="S317" s="77">
        <v>0</v>
      </c>
      <c r="T317" s="77">
        <v>0</v>
      </c>
      <c r="U317" s="77">
        <v>0</v>
      </c>
      <c r="V317" s="77">
        <v>5</v>
      </c>
      <c r="W317" s="82" t="s">
        <v>4835</v>
      </c>
      <c r="X317" s="77"/>
      <c r="Y317" s="77"/>
      <c r="Z317" s="77" t="s">
        <v>739</v>
      </c>
      <c r="AA317" s="77"/>
      <c r="AB317" s="77"/>
      <c r="AC317" s="82" t="s">
        <v>8232</v>
      </c>
      <c r="AD317" s="77" t="s">
        <v>8278</v>
      </c>
      <c r="AE317" s="80" t="str">
        <f>HYPERLINK("https://twitter.com/10marcellofaria/status/1703058634471506256")</f>
        <v>https://twitter.com/10marcellofaria/status/1703058634471506256</v>
      </c>
      <c r="AF317" s="79">
        <v>45185.617986111109</v>
      </c>
      <c r="AG317" s="85">
        <v>45185</v>
      </c>
      <c r="AH317" s="82" t="s">
        <v>8597</v>
      </c>
      <c r="AI317" s="77"/>
      <c r="AJ317" s="77"/>
      <c r="AK317" s="77"/>
      <c r="AL317" s="77"/>
      <c r="AM317" s="77"/>
      <c r="AN317" s="77"/>
      <c r="AO317" s="77"/>
      <c r="AP317" s="77"/>
      <c r="AQ317" s="77"/>
      <c r="AR317" s="77"/>
      <c r="AS317" s="77"/>
      <c r="AT317" s="77"/>
      <c r="AU317" s="77"/>
      <c r="AV317" s="80" t="str">
        <f>HYPERLINK("https://pbs.twimg.com/profile_images/1689391341208276993/GAz-Skga_normal.jpg")</f>
        <v>https://pbs.twimg.com/profile_images/1689391341208276993/GAz-Skga_normal.jpg</v>
      </c>
      <c r="AW317" s="82" t="s">
        <v>13420</v>
      </c>
      <c r="AX317" s="82" t="s">
        <v>17150</v>
      </c>
      <c r="AY317" s="82" t="s">
        <v>17324</v>
      </c>
      <c r="AZ317" s="82" t="s">
        <v>17150</v>
      </c>
      <c r="BA317" s="82" t="s">
        <v>17385</v>
      </c>
      <c r="BB317" s="82" t="s">
        <v>17385</v>
      </c>
      <c r="BC317" s="82" t="s">
        <v>17150</v>
      </c>
      <c r="BD317" s="82" t="s">
        <v>17474</v>
      </c>
      <c r="BE317" s="77"/>
      <c r="BF317" s="77"/>
      <c r="BG317" s="77"/>
      <c r="BH317" s="77"/>
      <c r="BI317" s="77"/>
    </row>
    <row r="318" spans="1:61" x14ac:dyDescent="0.25">
      <c r="A318" s="62" t="s">
        <v>290</v>
      </c>
      <c r="B318" s="62" t="s">
        <v>290</v>
      </c>
      <c r="C318" s="63"/>
      <c r="D318" s="64"/>
      <c r="E318" s="65"/>
      <c r="F318" s="66"/>
      <c r="G318" s="63"/>
      <c r="H318" s="67"/>
      <c r="I318" s="68"/>
      <c r="J318" s="68"/>
      <c r="K318" s="32"/>
      <c r="L318" s="75">
        <v>318</v>
      </c>
      <c r="M318" s="75"/>
      <c r="N318" s="70"/>
      <c r="O318" s="77" t="s">
        <v>179</v>
      </c>
      <c r="P318" s="79">
        <v>45091.539733796293</v>
      </c>
      <c r="Q318" s="77" t="s">
        <v>1117</v>
      </c>
      <c r="R318" s="77">
        <v>0</v>
      </c>
      <c r="S318" s="77">
        <v>1</v>
      </c>
      <c r="T318" s="77">
        <v>0</v>
      </c>
      <c r="U318" s="77">
        <v>0</v>
      </c>
      <c r="V318" s="77">
        <v>13</v>
      </c>
      <c r="W318" s="82" t="s">
        <v>4998</v>
      </c>
      <c r="X318" s="77"/>
      <c r="Y318" s="77"/>
      <c r="Z318" s="77"/>
      <c r="AA318" s="77" t="s">
        <v>7423</v>
      </c>
      <c r="AB318" s="77" t="s">
        <v>8227</v>
      </c>
      <c r="AC318" s="82" t="s">
        <v>8233</v>
      </c>
      <c r="AD318" s="77" t="s">
        <v>8278</v>
      </c>
      <c r="AE318" s="80" t="str">
        <f>HYPERLINK("https://twitter.com/oconvergente_/status/1668965816946049025")</f>
        <v>https://twitter.com/oconvergente_/status/1668965816946049025</v>
      </c>
      <c r="AF318" s="79">
        <v>45091.539733796293</v>
      </c>
      <c r="AG318" s="85">
        <v>45091</v>
      </c>
      <c r="AH318" s="82" t="s">
        <v>8598</v>
      </c>
      <c r="AI318" s="77" t="b">
        <v>0</v>
      </c>
      <c r="AJ318" s="77"/>
      <c r="AK318" s="77"/>
      <c r="AL318" s="77"/>
      <c r="AM318" s="77"/>
      <c r="AN318" s="77"/>
      <c r="AO318" s="77"/>
      <c r="AP318" s="77"/>
      <c r="AQ318" s="77" t="s">
        <v>12308</v>
      </c>
      <c r="AR318" s="77">
        <v>45000</v>
      </c>
      <c r="AS318" s="77"/>
      <c r="AT318" s="77"/>
      <c r="AU318" s="77"/>
      <c r="AV318" s="80" t="str">
        <f>HYPERLINK("https://pbs.twimg.com/ext_tw_video_thumb/1668965738525196289/pu/img/3hsOgKC-2jbb9emJ.jpg")</f>
        <v>https://pbs.twimg.com/ext_tw_video_thumb/1668965738525196289/pu/img/3hsOgKC-2jbb9emJ.jpg</v>
      </c>
      <c r="AW318" s="82" t="s">
        <v>13421</v>
      </c>
      <c r="AX318" s="82" t="s">
        <v>13421</v>
      </c>
      <c r="AY318" s="77"/>
      <c r="AZ318" s="82" t="s">
        <v>17385</v>
      </c>
      <c r="BA318" s="82" t="s">
        <v>17385</v>
      </c>
      <c r="BB318" s="82" t="s">
        <v>17385</v>
      </c>
      <c r="BC318" s="82" t="s">
        <v>13421</v>
      </c>
      <c r="BD318" s="82" t="s">
        <v>17475</v>
      </c>
      <c r="BE318" s="77"/>
      <c r="BF318" s="77"/>
      <c r="BG318" s="77"/>
      <c r="BH318" s="77"/>
      <c r="BI318" s="77"/>
    </row>
    <row r="319" spans="1:61" x14ac:dyDescent="0.25">
      <c r="A319" s="62" t="s">
        <v>291</v>
      </c>
      <c r="B319" s="62" t="s">
        <v>291</v>
      </c>
      <c r="C319" s="63"/>
      <c r="D319" s="64"/>
      <c r="E319" s="65"/>
      <c r="F319" s="66"/>
      <c r="G319" s="63"/>
      <c r="H319" s="67"/>
      <c r="I319" s="68"/>
      <c r="J319" s="68"/>
      <c r="K319" s="32"/>
      <c r="L319" s="75">
        <v>319</v>
      </c>
      <c r="M319" s="75"/>
      <c r="N319" s="70"/>
      <c r="O319" s="77" t="s">
        <v>179</v>
      </c>
      <c r="P319" s="79">
        <v>45171.49858796296</v>
      </c>
      <c r="Q319" s="77" t="s">
        <v>1118</v>
      </c>
      <c r="R319" s="77">
        <v>0</v>
      </c>
      <c r="S319" s="77">
        <v>0</v>
      </c>
      <c r="T319" s="77">
        <v>0</v>
      </c>
      <c r="U319" s="77">
        <v>0</v>
      </c>
      <c r="V319" s="77">
        <v>10</v>
      </c>
      <c r="W319" s="82" t="s">
        <v>4999</v>
      </c>
      <c r="X319" s="77"/>
      <c r="Y319" s="77"/>
      <c r="Z319" s="77"/>
      <c r="AA319" s="77" t="s">
        <v>7424</v>
      </c>
      <c r="AB319" s="77" t="s">
        <v>8225</v>
      </c>
      <c r="AC319" s="82" t="s">
        <v>8234</v>
      </c>
      <c r="AD319" s="77" t="s">
        <v>8278</v>
      </c>
      <c r="AE319" s="80" t="str">
        <f>HYPERLINK("https://twitter.com/johanancastell/status/1697941935648911781")</f>
        <v>https://twitter.com/johanancastell/status/1697941935648911781</v>
      </c>
      <c r="AF319" s="79">
        <v>45171.49858796296</v>
      </c>
      <c r="AG319" s="85">
        <v>45171</v>
      </c>
      <c r="AH319" s="82" t="s">
        <v>8599</v>
      </c>
      <c r="AI319" s="77" t="b">
        <v>0</v>
      </c>
      <c r="AJ319" s="77"/>
      <c r="AK319" s="77"/>
      <c r="AL319" s="77"/>
      <c r="AM319" s="77"/>
      <c r="AN319" s="77"/>
      <c r="AO319" s="77"/>
      <c r="AP319" s="77"/>
      <c r="AQ319" s="77" t="s">
        <v>12309</v>
      </c>
      <c r="AR319" s="77"/>
      <c r="AS319" s="77"/>
      <c r="AT319" s="77"/>
      <c r="AU319" s="77"/>
      <c r="AV319" s="80" t="str">
        <f>HYPERLINK("https://pbs.twimg.com/media/F5BNMSVXwAAHR43.jpg")</f>
        <v>https://pbs.twimg.com/media/F5BNMSVXwAAHR43.jpg</v>
      </c>
      <c r="AW319" s="82" t="s">
        <v>13422</v>
      </c>
      <c r="AX319" s="82" t="s">
        <v>13422</v>
      </c>
      <c r="AY319" s="77"/>
      <c r="AZ319" s="82" t="s">
        <v>17385</v>
      </c>
      <c r="BA319" s="82" t="s">
        <v>17385</v>
      </c>
      <c r="BB319" s="82" t="s">
        <v>17385</v>
      </c>
      <c r="BC319" s="82" t="s">
        <v>13422</v>
      </c>
      <c r="BD319" s="77">
        <v>488289654</v>
      </c>
      <c r="BE319" s="77"/>
      <c r="BF319" s="77"/>
      <c r="BG319" s="77"/>
      <c r="BH319" s="77"/>
      <c r="BI319" s="77"/>
    </row>
    <row r="320" spans="1:61" x14ac:dyDescent="0.25">
      <c r="A320" s="62" t="s">
        <v>292</v>
      </c>
      <c r="B320" s="62" t="s">
        <v>292</v>
      </c>
      <c r="C320" s="63"/>
      <c r="D320" s="64"/>
      <c r="E320" s="65"/>
      <c r="F320" s="66"/>
      <c r="G320" s="63"/>
      <c r="H320" s="67"/>
      <c r="I320" s="68"/>
      <c r="J320" s="68"/>
      <c r="K320" s="32"/>
      <c r="L320" s="75">
        <v>320</v>
      </c>
      <c r="M320" s="75"/>
      <c r="N320" s="70"/>
      <c r="O320" s="77" t="s">
        <v>800</v>
      </c>
      <c r="P320" s="79">
        <v>45125.981990740744</v>
      </c>
      <c r="Q320" s="77" t="s">
        <v>1119</v>
      </c>
      <c r="R320" s="77">
        <v>0</v>
      </c>
      <c r="S320" s="77">
        <v>0</v>
      </c>
      <c r="T320" s="77">
        <v>1</v>
      </c>
      <c r="U320" s="77">
        <v>0</v>
      </c>
      <c r="V320" s="77">
        <v>6</v>
      </c>
      <c r="W320" s="82" t="s">
        <v>4835</v>
      </c>
      <c r="X320" s="77"/>
      <c r="Y320" s="77"/>
      <c r="Z320" s="77"/>
      <c r="AA320" s="77"/>
      <c r="AB320" s="77"/>
      <c r="AC320" s="82" t="s">
        <v>8233</v>
      </c>
      <c r="AD320" s="77" t="s">
        <v>8278</v>
      </c>
      <c r="AE320" s="80" t="str">
        <f>HYPERLINK("https://twitter.com/jeffersonlucabr/status/1681447272578715648")</f>
        <v>https://twitter.com/jeffersonlucabr/status/1681447272578715648</v>
      </c>
      <c r="AF320" s="79">
        <v>45125.981990740744</v>
      </c>
      <c r="AG320" s="85">
        <v>45125</v>
      </c>
      <c r="AH320" s="82" t="s">
        <v>8600</v>
      </c>
      <c r="AI320" s="77"/>
      <c r="AJ320" s="77"/>
      <c r="AK320" s="77"/>
      <c r="AL320" s="77"/>
      <c r="AM320" s="77"/>
      <c r="AN320" s="77"/>
      <c r="AO320" s="77"/>
      <c r="AP320" s="77"/>
      <c r="AQ320" s="77"/>
      <c r="AR320" s="77"/>
      <c r="AS320" s="77"/>
      <c r="AT320" s="77"/>
      <c r="AU320" s="77"/>
      <c r="AV320" s="80" t="str">
        <f>HYPERLINK("https://pbs.twimg.com/profile_images/1678417005513154562/G2KycPKv_normal.jpg")</f>
        <v>https://pbs.twimg.com/profile_images/1678417005513154562/G2KycPKv_normal.jpg</v>
      </c>
      <c r="AW320" s="82" t="s">
        <v>13423</v>
      </c>
      <c r="AX320" s="82" t="s">
        <v>17151</v>
      </c>
      <c r="AY320" s="82" t="s">
        <v>17325</v>
      </c>
      <c r="AZ320" s="82" t="s">
        <v>17151</v>
      </c>
      <c r="BA320" s="82" t="s">
        <v>17385</v>
      </c>
      <c r="BB320" s="82" t="s">
        <v>17385</v>
      </c>
      <c r="BC320" s="82" t="s">
        <v>17151</v>
      </c>
      <c r="BD320" s="82" t="s">
        <v>17325</v>
      </c>
      <c r="BE320" s="77"/>
      <c r="BF320" s="77"/>
      <c r="BG320" s="77"/>
      <c r="BH320" s="77"/>
      <c r="BI320" s="77"/>
    </row>
    <row r="321" spans="1:61" x14ac:dyDescent="0.25">
      <c r="A321" s="62" t="s">
        <v>293</v>
      </c>
      <c r="B321" s="62" t="s">
        <v>293</v>
      </c>
      <c r="C321" s="63"/>
      <c r="D321" s="64"/>
      <c r="E321" s="65"/>
      <c r="F321" s="66"/>
      <c r="G321" s="63"/>
      <c r="H321" s="67"/>
      <c r="I321" s="68"/>
      <c r="J321" s="68"/>
      <c r="K321" s="32"/>
      <c r="L321" s="75">
        <v>321</v>
      </c>
      <c r="M321" s="75"/>
      <c r="N321" s="70"/>
      <c r="O321" s="77" t="s">
        <v>179</v>
      </c>
      <c r="P321" s="79">
        <v>45143.798854166664</v>
      </c>
      <c r="Q321" s="77" t="s">
        <v>1120</v>
      </c>
      <c r="R321" s="77">
        <v>4</v>
      </c>
      <c r="S321" s="77">
        <v>7</v>
      </c>
      <c r="T321" s="77">
        <v>5</v>
      </c>
      <c r="U321" s="77">
        <v>0</v>
      </c>
      <c r="V321" s="77">
        <v>59</v>
      </c>
      <c r="W321" s="82" t="s">
        <v>5000</v>
      </c>
      <c r="X321" s="80" t="str">
        <f>HYPERLINK("https://www.youtube.com/watch?v=d5UJ_CS6zXg")</f>
        <v>https://www.youtube.com/watch?v=d5UJ_CS6zXg</v>
      </c>
      <c r="Y321" s="77" t="s">
        <v>7065</v>
      </c>
      <c r="Z321" s="77"/>
      <c r="AA321" s="77"/>
      <c r="AB321" s="77"/>
      <c r="AC321" s="82" t="s">
        <v>8232</v>
      </c>
      <c r="AD321" s="77" t="s">
        <v>8278</v>
      </c>
      <c r="AE321" s="80" t="str">
        <f>HYPERLINK("https://twitter.com/visualmodo/status/1687903887171231745")</f>
        <v>https://twitter.com/visualmodo/status/1687903887171231745</v>
      </c>
      <c r="AF321" s="79">
        <v>45143.798854166664</v>
      </c>
      <c r="AG321" s="85">
        <v>45143</v>
      </c>
      <c r="AH321" s="82" t="s">
        <v>8601</v>
      </c>
      <c r="AI321" s="77" t="b">
        <v>0</v>
      </c>
      <c r="AJ321" s="77"/>
      <c r="AK321" s="77"/>
      <c r="AL321" s="77"/>
      <c r="AM321" s="77"/>
      <c r="AN321" s="77"/>
      <c r="AO321" s="77"/>
      <c r="AP321" s="77"/>
      <c r="AQ321" s="77"/>
      <c r="AR321" s="77"/>
      <c r="AS321" s="77"/>
      <c r="AT321" s="77"/>
      <c r="AU321" s="77"/>
      <c r="AV321" s="80" t="str">
        <f>HYPERLINK("https://pbs.twimg.com/profile_images/1374328322390429696/o0flYVfp_normal.jpg")</f>
        <v>https://pbs.twimg.com/profile_images/1374328322390429696/o0flYVfp_normal.jpg</v>
      </c>
      <c r="AW321" s="82" t="s">
        <v>13424</v>
      </c>
      <c r="AX321" s="82" t="s">
        <v>13424</v>
      </c>
      <c r="AY321" s="77"/>
      <c r="AZ321" s="82" t="s">
        <v>17385</v>
      </c>
      <c r="BA321" s="82" t="s">
        <v>17385</v>
      </c>
      <c r="BB321" s="82" t="s">
        <v>17385</v>
      </c>
      <c r="BC321" s="82" t="s">
        <v>13424</v>
      </c>
      <c r="BD321" s="77">
        <v>898194865</v>
      </c>
      <c r="BE321" s="77"/>
      <c r="BF321" s="77"/>
      <c r="BG321" s="77"/>
      <c r="BH321" s="77"/>
      <c r="BI321" s="77"/>
    </row>
    <row r="322" spans="1:61" x14ac:dyDescent="0.25">
      <c r="A322" s="62" t="s">
        <v>293</v>
      </c>
      <c r="B322" s="62" t="s">
        <v>293</v>
      </c>
      <c r="C322" s="63"/>
      <c r="D322" s="64"/>
      <c r="E322" s="65"/>
      <c r="F322" s="66"/>
      <c r="G322" s="63"/>
      <c r="H322" s="67"/>
      <c r="I322" s="68"/>
      <c r="J322" s="68"/>
      <c r="K322" s="32"/>
      <c r="L322" s="75">
        <v>322</v>
      </c>
      <c r="M322" s="75"/>
      <c r="N322" s="70"/>
      <c r="O322" s="77" t="s">
        <v>179</v>
      </c>
      <c r="P322" s="79">
        <v>45164.678379629629</v>
      </c>
      <c r="Q322" s="77" t="s">
        <v>1121</v>
      </c>
      <c r="R322" s="77">
        <v>6</v>
      </c>
      <c r="S322" s="77">
        <v>9</v>
      </c>
      <c r="T322" s="77">
        <v>3</v>
      </c>
      <c r="U322" s="77">
        <v>0</v>
      </c>
      <c r="V322" s="77">
        <v>163</v>
      </c>
      <c r="W322" s="82" t="s">
        <v>5001</v>
      </c>
      <c r="X322" s="80" t="str">
        <f>HYPERLINK("https://www.youtube.com/watch?v=KJcJEkcJ2IU")</f>
        <v>https://www.youtube.com/watch?v=KJcJEkcJ2IU</v>
      </c>
      <c r="Y322" s="77" t="s">
        <v>7065</v>
      </c>
      <c r="Z322" s="77"/>
      <c r="AA322" s="77"/>
      <c r="AB322" s="77"/>
      <c r="AC322" s="82" t="s">
        <v>8232</v>
      </c>
      <c r="AD322" s="77" t="s">
        <v>8278</v>
      </c>
      <c r="AE322" s="80" t="str">
        <f>HYPERLINK("https://twitter.com/visualmodo/status/1695470376959058122")</f>
        <v>https://twitter.com/visualmodo/status/1695470376959058122</v>
      </c>
      <c r="AF322" s="79">
        <v>45164.678379629629</v>
      </c>
      <c r="AG322" s="85">
        <v>45164</v>
      </c>
      <c r="AH322" s="82" t="s">
        <v>8602</v>
      </c>
      <c r="AI322" s="77" t="b">
        <v>0</v>
      </c>
      <c r="AJ322" s="77"/>
      <c r="AK322" s="77"/>
      <c r="AL322" s="77"/>
      <c r="AM322" s="77"/>
      <c r="AN322" s="77"/>
      <c r="AO322" s="77"/>
      <c r="AP322" s="77"/>
      <c r="AQ322" s="77"/>
      <c r="AR322" s="77"/>
      <c r="AS322" s="77"/>
      <c r="AT322" s="77"/>
      <c r="AU322" s="77"/>
      <c r="AV322" s="80" t="str">
        <f>HYPERLINK("https://pbs.twimg.com/profile_images/1374328322390429696/o0flYVfp_normal.jpg")</f>
        <v>https://pbs.twimg.com/profile_images/1374328322390429696/o0flYVfp_normal.jpg</v>
      </c>
      <c r="AW322" s="82" t="s">
        <v>13425</v>
      </c>
      <c r="AX322" s="82" t="s">
        <v>13425</v>
      </c>
      <c r="AY322" s="77"/>
      <c r="AZ322" s="82" t="s">
        <v>17385</v>
      </c>
      <c r="BA322" s="82" t="s">
        <v>17385</v>
      </c>
      <c r="BB322" s="82" t="s">
        <v>17385</v>
      </c>
      <c r="BC322" s="82" t="s">
        <v>13425</v>
      </c>
      <c r="BD322" s="77">
        <v>898194865</v>
      </c>
      <c r="BE322" s="77"/>
      <c r="BF322" s="77"/>
      <c r="BG322" s="77"/>
      <c r="BH322" s="77"/>
      <c r="BI322" s="77"/>
    </row>
    <row r="323" spans="1:61" x14ac:dyDescent="0.25">
      <c r="A323" s="62" t="s">
        <v>294</v>
      </c>
      <c r="B323" s="62" t="s">
        <v>294</v>
      </c>
      <c r="C323" s="63"/>
      <c r="D323" s="64"/>
      <c r="E323" s="65"/>
      <c r="F323" s="66"/>
      <c r="G323" s="63"/>
      <c r="H323" s="67"/>
      <c r="I323" s="68"/>
      <c r="J323" s="68"/>
      <c r="K323" s="32"/>
      <c r="L323" s="75">
        <v>323</v>
      </c>
      <c r="M323" s="75"/>
      <c r="N323" s="70"/>
      <c r="O323" s="77" t="s">
        <v>179</v>
      </c>
      <c r="P323" s="79">
        <v>45106.485613425924</v>
      </c>
      <c r="Q323" s="77" t="s">
        <v>1122</v>
      </c>
      <c r="R323" s="77">
        <v>0</v>
      </c>
      <c r="S323" s="77">
        <v>2</v>
      </c>
      <c r="T323" s="77">
        <v>0</v>
      </c>
      <c r="U323" s="77">
        <v>0</v>
      </c>
      <c r="V323" s="77">
        <v>76</v>
      </c>
      <c r="W323" s="82" t="s">
        <v>5002</v>
      </c>
      <c r="X323" s="77"/>
      <c r="Y323" s="77"/>
      <c r="Z323" s="77"/>
      <c r="AA323" s="77"/>
      <c r="AB323" s="77"/>
      <c r="AC323" s="82" t="s">
        <v>8233</v>
      </c>
      <c r="AD323" s="77" t="s">
        <v>8278</v>
      </c>
      <c r="AE323" s="80" t="str">
        <f>HYPERLINK("https://twitter.com/awsan/status/1674382023971024897")</f>
        <v>https://twitter.com/awsan/status/1674382023971024897</v>
      </c>
      <c r="AF323" s="79">
        <v>45106.485613425924</v>
      </c>
      <c r="AG323" s="85">
        <v>45106</v>
      </c>
      <c r="AH323" s="82" t="s">
        <v>8603</v>
      </c>
      <c r="AI323" s="77" t="b">
        <v>0</v>
      </c>
      <c r="AJ323" s="77"/>
      <c r="AK323" s="77"/>
      <c r="AL323" s="77"/>
      <c r="AM323" s="77"/>
      <c r="AN323" s="77"/>
      <c r="AO323" s="77"/>
      <c r="AP323" s="77"/>
      <c r="AQ323" s="77"/>
      <c r="AR323" s="77"/>
      <c r="AS323" s="77"/>
      <c r="AT323" s="77"/>
      <c r="AU323" s="77"/>
      <c r="AV323" s="80" t="str">
        <f>HYPERLINK("https://pbs.twimg.com/profile_images/1705906138611331072/ceSu-E4H_normal.jpg")</f>
        <v>https://pbs.twimg.com/profile_images/1705906138611331072/ceSu-E4H_normal.jpg</v>
      </c>
      <c r="AW323" s="82" t="s">
        <v>13426</v>
      </c>
      <c r="AX323" s="82" t="s">
        <v>13426</v>
      </c>
      <c r="AY323" s="77"/>
      <c r="AZ323" s="82" t="s">
        <v>17385</v>
      </c>
      <c r="BA323" s="82" t="s">
        <v>17385</v>
      </c>
      <c r="BB323" s="82" t="s">
        <v>17385</v>
      </c>
      <c r="BC323" s="82" t="s">
        <v>13426</v>
      </c>
      <c r="BD323" s="77">
        <v>59500133</v>
      </c>
      <c r="BE323" s="77"/>
      <c r="BF323" s="77"/>
      <c r="BG323" s="77"/>
      <c r="BH323" s="77"/>
      <c r="BI323" s="77"/>
    </row>
    <row r="324" spans="1:61" x14ac:dyDescent="0.25">
      <c r="A324" s="62" t="s">
        <v>295</v>
      </c>
      <c r="B324" s="62" t="s">
        <v>295</v>
      </c>
      <c r="C324" s="63"/>
      <c r="D324" s="64"/>
      <c r="E324" s="65"/>
      <c r="F324" s="66"/>
      <c r="G324" s="63"/>
      <c r="H324" s="67"/>
      <c r="I324" s="68"/>
      <c r="J324" s="68"/>
      <c r="K324" s="32"/>
      <c r="L324" s="75">
        <v>324</v>
      </c>
      <c r="M324" s="75"/>
      <c r="N324" s="70"/>
      <c r="O324" s="77" t="s">
        <v>179</v>
      </c>
      <c r="P324" s="79">
        <v>45069.05740740741</v>
      </c>
      <c r="Q324" s="77" t="s">
        <v>1123</v>
      </c>
      <c r="R324" s="77">
        <v>0</v>
      </c>
      <c r="S324" s="77">
        <v>0</v>
      </c>
      <c r="T324" s="77">
        <v>0</v>
      </c>
      <c r="U324" s="77">
        <v>0</v>
      </c>
      <c r="V324" s="77">
        <v>99</v>
      </c>
      <c r="W324" s="82" t="s">
        <v>5003</v>
      </c>
      <c r="X324" s="80" t="str">
        <f>HYPERLINK("https://t.me/Braskemacionistas")</f>
        <v>https://t.me/Braskemacionistas</v>
      </c>
      <c r="Y324" s="77" t="s">
        <v>7071</v>
      </c>
      <c r="Z324" s="77"/>
      <c r="AA324" s="77"/>
      <c r="AB324" s="77"/>
      <c r="AC324" s="82" t="s">
        <v>8233</v>
      </c>
      <c r="AD324" s="77" t="s">
        <v>8278</v>
      </c>
      <c r="AE324" s="80" t="str">
        <f>HYPERLINK("https://twitter.com/wesleyluiz01/status/1660818494353727488")</f>
        <v>https://twitter.com/wesleyluiz01/status/1660818494353727488</v>
      </c>
      <c r="AF324" s="79">
        <v>45069.05740740741</v>
      </c>
      <c r="AG324" s="85">
        <v>45069</v>
      </c>
      <c r="AH324" s="82" t="s">
        <v>8604</v>
      </c>
      <c r="AI324" s="77" t="b">
        <v>0</v>
      </c>
      <c r="AJ324" s="77"/>
      <c r="AK324" s="77"/>
      <c r="AL324" s="77"/>
      <c r="AM324" s="77"/>
      <c r="AN324" s="77"/>
      <c r="AO324" s="77"/>
      <c r="AP324" s="77"/>
      <c r="AQ324" s="77"/>
      <c r="AR324" s="77"/>
      <c r="AS324" s="77"/>
      <c r="AT324" s="77"/>
      <c r="AU324" s="77"/>
      <c r="AV324" s="80" t="str">
        <f>HYPERLINK("https://pbs.twimg.com/profile_images/1662690104551383041/YIZ053IJ_normal.jpg")</f>
        <v>https://pbs.twimg.com/profile_images/1662690104551383041/YIZ053IJ_normal.jpg</v>
      </c>
      <c r="AW324" s="82" t="s">
        <v>13427</v>
      </c>
      <c r="AX324" s="82" t="s">
        <v>13427</v>
      </c>
      <c r="AY324" s="77"/>
      <c r="AZ324" s="82" t="s">
        <v>17385</v>
      </c>
      <c r="BA324" s="82" t="s">
        <v>17385</v>
      </c>
      <c r="BB324" s="82" t="s">
        <v>17385</v>
      </c>
      <c r="BC324" s="82" t="s">
        <v>13427</v>
      </c>
      <c r="BD324" s="82" t="s">
        <v>17476</v>
      </c>
      <c r="BE324" s="77"/>
      <c r="BF324" s="77"/>
      <c r="BG324" s="77"/>
      <c r="BH324" s="77"/>
      <c r="BI324" s="77"/>
    </row>
    <row r="325" spans="1:61" x14ac:dyDescent="0.25">
      <c r="A325" s="62" t="s">
        <v>296</v>
      </c>
      <c r="B325" s="62" t="s">
        <v>296</v>
      </c>
      <c r="C325" s="63"/>
      <c r="D325" s="64"/>
      <c r="E325" s="65"/>
      <c r="F325" s="66"/>
      <c r="G325" s="63"/>
      <c r="H325" s="67"/>
      <c r="I325" s="68"/>
      <c r="J325" s="68"/>
      <c r="K325" s="32"/>
      <c r="L325" s="75">
        <v>325</v>
      </c>
      <c r="M325" s="75"/>
      <c r="N325" s="70"/>
      <c r="O325" s="77" t="s">
        <v>179</v>
      </c>
      <c r="P325" s="79">
        <v>45077.25571759259</v>
      </c>
      <c r="Q325" s="77" t="s">
        <v>1124</v>
      </c>
      <c r="R325" s="77">
        <v>0</v>
      </c>
      <c r="S325" s="77">
        <v>1</v>
      </c>
      <c r="T325" s="77">
        <v>0</v>
      </c>
      <c r="U325" s="77">
        <v>0</v>
      </c>
      <c r="V325" s="77">
        <v>23</v>
      </c>
      <c r="W325" s="82" t="s">
        <v>5004</v>
      </c>
      <c r="X325" s="80" t="str">
        <f>HYPERLINK("https://chat.whatsapp.com/JKV2kms5U9gFTpc4JPxPA0")</f>
        <v>https://chat.whatsapp.com/JKV2kms5U9gFTpc4JPxPA0</v>
      </c>
      <c r="Y325" s="77" t="s">
        <v>7072</v>
      </c>
      <c r="Z325" s="77"/>
      <c r="AA325" s="77"/>
      <c r="AB325" s="77"/>
      <c r="AC325" s="82" t="s">
        <v>8234</v>
      </c>
      <c r="AD325" s="77" t="s">
        <v>8285</v>
      </c>
      <c r="AE325" s="80" t="str">
        <f>HYPERLINK("https://twitter.com/nancy_fxgold_/status/1663789463586365440")</f>
        <v>https://twitter.com/nancy_fxgold_/status/1663789463586365440</v>
      </c>
      <c r="AF325" s="79">
        <v>45077.25571759259</v>
      </c>
      <c r="AG325" s="85">
        <v>45077</v>
      </c>
      <c r="AH325" s="82" t="s">
        <v>8605</v>
      </c>
      <c r="AI325" s="77" t="b">
        <v>0</v>
      </c>
      <c r="AJ325" s="77"/>
      <c r="AK325" s="77"/>
      <c r="AL325" s="77"/>
      <c r="AM325" s="77"/>
      <c r="AN325" s="77"/>
      <c r="AO325" s="77"/>
      <c r="AP325" s="77"/>
      <c r="AQ325" s="77"/>
      <c r="AR325" s="77"/>
      <c r="AS325" s="77"/>
      <c r="AT325" s="77"/>
      <c r="AU325" s="77"/>
      <c r="AV325" s="80" t="str">
        <f>HYPERLINK("https://pbs.twimg.com/profile_images/1660520217821450240/HGU5UVFh_normal.jpg")</f>
        <v>https://pbs.twimg.com/profile_images/1660520217821450240/HGU5UVFh_normal.jpg</v>
      </c>
      <c r="AW325" s="82" t="s">
        <v>13428</v>
      </c>
      <c r="AX325" s="82" t="s">
        <v>13428</v>
      </c>
      <c r="AY325" s="77"/>
      <c r="AZ325" s="82" t="s">
        <v>17385</v>
      </c>
      <c r="BA325" s="82" t="s">
        <v>17385</v>
      </c>
      <c r="BB325" s="82" t="s">
        <v>17385</v>
      </c>
      <c r="BC325" s="82" t="s">
        <v>13428</v>
      </c>
      <c r="BD325" s="82" t="s">
        <v>17477</v>
      </c>
      <c r="BE325" s="77"/>
      <c r="BF325" s="77"/>
      <c r="BG325" s="77"/>
      <c r="BH325" s="77"/>
      <c r="BI325" s="77"/>
    </row>
    <row r="326" spans="1:61" x14ac:dyDescent="0.25">
      <c r="A326" s="62" t="s">
        <v>297</v>
      </c>
      <c r="B326" s="62" t="s">
        <v>740</v>
      </c>
      <c r="C326" s="63"/>
      <c r="D326" s="64"/>
      <c r="E326" s="65"/>
      <c r="F326" s="66"/>
      <c r="G326" s="63"/>
      <c r="H326" s="67"/>
      <c r="I326" s="68"/>
      <c r="J326" s="68"/>
      <c r="K326" s="32"/>
      <c r="L326" s="75">
        <v>326</v>
      </c>
      <c r="M326" s="75"/>
      <c r="N326" s="70"/>
      <c r="O326" s="77" t="s">
        <v>805</v>
      </c>
      <c r="P326" s="79">
        <v>45141.61210648148</v>
      </c>
      <c r="Q326" s="77" t="s">
        <v>1125</v>
      </c>
      <c r="R326" s="77">
        <v>0</v>
      </c>
      <c r="S326" s="77">
        <v>1</v>
      </c>
      <c r="T326" s="77">
        <v>0</v>
      </c>
      <c r="U326" s="77">
        <v>0</v>
      </c>
      <c r="V326" s="77">
        <v>13</v>
      </c>
      <c r="W326" s="82" t="s">
        <v>5005</v>
      </c>
      <c r="X326" s="77"/>
      <c r="Y326" s="77"/>
      <c r="Z326" s="77" t="s">
        <v>7154</v>
      </c>
      <c r="AA326" s="77"/>
      <c r="AB326" s="77"/>
      <c r="AC326" s="82" t="s">
        <v>8234</v>
      </c>
      <c r="AD326" s="77" t="s">
        <v>8278</v>
      </c>
      <c r="AE326" s="80" t="str">
        <f>HYPERLINK("https://twitter.com/luciasantanna22/status/1687111439679660033")</f>
        <v>https://twitter.com/luciasantanna22/status/1687111439679660033</v>
      </c>
      <c r="AF326" s="79">
        <v>45141.61210648148</v>
      </c>
      <c r="AG326" s="85">
        <v>45141</v>
      </c>
      <c r="AH326" s="82" t="s">
        <v>8606</v>
      </c>
      <c r="AI326" s="77"/>
      <c r="AJ326" s="77"/>
      <c r="AK326" s="77"/>
      <c r="AL326" s="77"/>
      <c r="AM326" s="77"/>
      <c r="AN326" s="77"/>
      <c r="AO326" s="77"/>
      <c r="AP326" s="77"/>
      <c r="AQ326" s="77"/>
      <c r="AR326" s="77"/>
      <c r="AS326" s="77"/>
      <c r="AT326" s="77"/>
      <c r="AU326" s="77"/>
      <c r="AV326" s="80" t="str">
        <f>HYPERLINK("https://pbs.twimg.com/profile_images/1705441108887527424/5ciRr3vy_normal.jpg")</f>
        <v>https://pbs.twimg.com/profile_images/1705441108887527424/5ciRr3vy_normal.jpg</v>
      </c>
      <c r="AW326" s="82" t="s">
        <v>13429</v>
      </c>
      <c r="AX326" s="82" t="s">
        <v>17152</v>
      </c>
      <c r="AY326" s="82" t="s">
        <v>17326</v>
      </c>
      <c r="AZ326" s="82" t="s">
        <v>17395</v>
      </c>
      <c r="BA326" s="82" t="s">
        <v>17385</v>
      </c>
      <c r="BB326" s="82" t="s">
        <v>17385</v>
      </c>
      <c r="BC326" s="82" t="s">
        <v>17395</v>
      </c>
      <c r="BD326" s="82" t="s">
        <v>17478</v>
      </c>
      <c r="BE326" s="77"/>
      <c r="BF326" s="77"/>
      <c r="BG326" s="77"/>
      <c r="BH326" s="77"/>
      <c r="BI326" s="77"/>
    </row>
    <row r="327" spans="1:61" x14ac:dyDescent="0.25">
      <c r="A327" s="62" t="s">
        <v>297</v>
      </c>
      <c r="B327" s="62" t="s">
        <v>741</v>
      </c>
      <c r="C327" s="63"/>
      <c r="D327" s="64"/>
      <c r="E327" s="65"/>
      <c r="F327" s="66"/>
      <c r="G327" s="63"/>
      <c r="H327" s="67"/>
      <c r="I327" s="68"/>
      <c r="J327" s="68"/>
      <c r="K327" s="32"/>
      <c r="L327" s="75">
        <v>327</v>
      </c>
      <c r="M327" s="75"/>
      <c r="N327" s="70"/>
      <c r="O327" s="77" t="s">
        <v>800</v>
      </c>
      <c r="P327" s="79">
        <v>45141.61210648148</v>
      </c>
      <c r="Q327" s="77" t="s">
        <v>1125</v>
      </c>
      <c r="R327" s="77">
        <v>0</v>
      </c>
      <c r="S327" s="77">
        <v>1</v>
      </c>
      <c r="T327" s="77">
        <v>0</v>
      </c>
      <c r="U327" s="77">
        <v>0</v>
      </c>
      <c r="V327" s="77">
        <v>13</v>
      </c>
      <c r="W327" s="82" t="s">
        <v>5005</v>
      </c>
      <c r="X327" s="77"/>
      <c r="Y327" s="77"/>
      <c r="Z327" s="77" t="s">
        <v>7154</v>
      </c>
      <c r="AA327" s="77"/>
      <c r="AB327" s="77"/>
      <c r="AC327" s="82" t="s">
        <v>8234</v>
      </c>
      <c r="AD327" s="77" t="s">
        <v>8278</v>
      </c>
      <c r="AE327" s="80" t="str">
        <f>HYPERLINK("https://twitter.com/luciasantanna22/status/1687111439679660033")</f>
        <v>https://twitter.com/luciasantanna22/status/1687111439679660033</v>
      </c>
      <c r="AF327" s="79">
        <v>45141.61210648148</v>
      </c>
      <c r="AG327" s="85">
        <v>45141</v>
      </c>
      <c r="AH327" s="82" t="s">
        <v>8606</v>
      </c>
      <c r="AI327" s="77"/>
      <c r="AJ327" s="77"/>
      <c r="AK327" s="77"/>
      <c r="AL327" s="77"/>
      <c r="AM327" s="77"/>
      <c r="AN327" s="77"/>
      <c r="AO327" s="77"/>
      <c r="AP327" s="77"/>
      <c r="AQ327" s="77"/>
      <c r="AR327" s="77"/>
      <c r="AS327" s="77"/>
      <c r="AT327" s="77"/>
      <c r="AU327" s="77"/>
      <c r="AV327" s="80" t="str">
        <f>HYPERLINK("https://pbs.twimg.com/profile_images/1705441108887527424/5ciRr3vy_normal.jpg")</f>
        <v>https://pbs.twimg.com/profile_images/1705441108887527424/5ciRr3vy_normal.jpg</v>
      </c>
      <c r="AW327" s="82" t="s">
        <v>13429</v>
      </c>
      <c r="AX327" s="82" t="s">
        <v>17152</v>
      </c>
      <c r="AY327" s="82" t="s">
        <v>17326</v>
      </c>
      <c r="AZ327" s="82" t="s">
        <v>17395</v>
      </c>
      <c r="BA327" s="82" t="s">
        <v>17385</v>
      </c>
      <c r="BB327" s="82" t="s">
        <v>17385</v>
      </c>
      <c r="BC327" s="82" t="s">
        <v>17395</v>
      </c>
      <c r="BD327" s="82" t="s">
        <v>17478</v>
      </c>
      <c r="BE327" s="77"/>
      <c r="BF327" s="77"/>
      <c r="BG327" s="77"/>
      <c r="BH327" s="77"/>
      <c r="BI327" s="77"/>
    </row>
    <row r="328" spans="1:61" x14ac:dyDescent="0.25">
      <c r="A328" s="62" t="s">
        <v>298</v>
      </c>
      <c r="B328" s="62" t="s">
        <v>298</v>
      </c>
      <c r="C328" s="63"/>
      <c r="D328" s="64"/>
      <c r="E328" s="65"/>
      <c r="F328" s="66"/>
      <c r="G328" s="63"/>
      <c r="H328" s="67"/>
      <c r="I328" s="68"/>
      <c r="J328" s="68"/>
      <c r="K328" s="32"/>
      <c r="L328" s="75">
        <v>328</v>
      </c>
      <c r="M328" s="75"/>
      <c r="N328" s="70"/>
      <c r="O328" s="77" t="s">
        <v>179</v>
      </c>
      <c r="P328" s="79">
        <v>45139.537083333336</v>
      </c>
      <c r="Q328" s="77" t="s">
        <v>1126</v>
      </c>
      <c r="R328" s="77">
        <v>0</v>
      </c>
      <c r="S328" s="77">
        <v>0</v>
      </c>
      <c r="T328" s="77">
        <v>0</v>
      </c>
      <c r="U328" s="77">
        <v>0</v>
      </c>
      <c r="V328" s="77">
        <v>15</v>
      </c>
      <c r="W328" s="82" t="s">
        <v>5006</v>
      </c>
      <c r="X328" s="80" t="str">
        <f>HYPERLINK("https://x.gd/DihcT")</f>
        <v>https://x.gd/DihcT</v>
      </c>
      <c r="Y328" s="77" t="s">
        <v>7073</v>
      </c>
      <c r="Z328" s="77"/>
      <c r="AA328" s="77"/>
      <c r="AB328" s="77"/>
      <c r="AC328" s="82" t="s">
        <v>8232</v>
      </c>
      <c r="AD328" s="77" t="s">
        <v>8278</v>
      </c>
      <c r="AE328" s="80" t="str">
        <f>HYPERLINK("https://twitter.com/jsemanario/status/1686359475932774401")</f>
        <v>https://twitter.com/jsemanario/status/1686359475932774401</v>
      </c>
      <c r="AF328" s="79">
        <v>45139.537083333336</v>
      </c>
      <c r="AG328" s="85">
        <v>45139</v>
      </c>
      <c r="AH328" s="82" t="s">
        <v>8607</v>
      </c>
      <c r="AI328" s="77" t="b">
        <v>0</v>
      </c>
      <c r="AJ328" s="77"/>
      <c r="AK328" s="77"/>
      <c r="AL328" s="77"/>
      <c r="AM328" s="77"/>
      <c r="AN328" s="77"/>
      <c r="AO328" s="77"/>
      <c r="AP328" s="77"/>
      <c r="AQ328" s="77"/>
      <c r="AR328" s="77"/>
      <c r="AS328" s="77"/>
      <c r="AT328" s="77"/>
      <c r="AU328" s="77"/>
      <c r="AV328" s="80" t="str">
        <f>HYPERLINK("https://pbs.twimg.com/profile_images/1483395221828296713/y8zFb35F_normal.jpg")</f>
        <v>https://pbs.twimg.com/profile_images/1483395221828296713/y8zFb35F_normal.jpg</v>
      </c>
      <c r="AW328" s="82" t="s">
        <v>13430</v>
      </c>
      <c r="AX328" s="82" t="s">
        <v>13430</v>
      </c>
      <c r="AY328" s="77"/>
      <c r="AZ328" s="82" t="s">
        <v>17385</v>
      </c>
      <c r="BA328" s="82" t="s">
        <v>17385</v>
      </c>
      <c r="BB328" s="82" t="s">
        <v>17385</v>
      </c>
      <c r="BC328" s="82" t="s">
        <v>13430</v>
      </c>
      <c r="BD328" s="77">
        <v>222416371</v>
      </c>
      <c r="BE328" s="77"/>
      <c r="BF328" s="77"/>
      <c r="BG328" s="77"/>
      <c r="BH328" s="77"/>
      <c r="BI328" s="77"/>
    </row>
    <row r="329" spans="1:61" x14ac:dyDescent="0.25">
      <c r="A329" s="62" t="s">
        <v>299</v>
      </c>
      <c r="B329" s="62" t="s">
        <v>299</v>
      </c>
      <c r="C329" s="63"/>
      <c r="D329" s="64"/>
      <c r="E329" s="65"/>
      <c r="F329" s="66"/>
      <c r="G329" s="63"/>
      <c r="H329" s="67"/>
      <c r="I329" s="68"/>
      <c r="J329" s="68"/>
      <c r="K329" s="32"/>
      <c r="L329" s="75">
        <v>329</v>
      </c>
      <c r="M329" s="75"/>
      <c r="N329" s="70"/>
      <c r="O329" s="77" t="s">
        <v>179</v>
      </c>
      <c r="P329" s="79">
        <v>45061.967766203707</v>
      </c>
      <c r="Q329" s="77" t="s">
        <v>1127</v>
      </c>
      <c r="R329" s="77">
        <v>0</v>
      </c>
      <c r="S329" s="77">
        <v>0</v>
      </c>
      <c r="T329" s="77">
        <v>0</v>
      </c>
      <c r="U329" s="77">
        <v>0</v>
      </c>
      <c r="V329" s="77">
        <v>31</v>
      </c>
      <c r="W329" s="82" t="s">
        <v>5007</v>
      </c>
      <c r="X329" s="80" t="str">
        <f>HYPERLINK("https://www.youtube.com/@FacilitandooInvestidor/featured")</f>
        <v>https://www.youtube.com/@FacilitandooInvestidor/featured</v>
      </c>
      <c r="Y329" s="77" t="s">
        <v>7065</v>
      </c>
      <c r="Z329" s="77"/>
      <c r="AA329" s="77" t="s">
        <v>7425</v>
      </c>
      <c r="AB329" s="77" t="s">
        <v>8225</v>
      </c>
      <c r="AC329" s="82" t="s">
        <v>8232</v>
      </c>
      <c r="AD329" s="77" t="s">
        <v>8278</v>
      </c>
      <c r="AE329" s="80" t="str">
        <f>HYPERLINK("https://twitter.com/dleon3211/status/1658249295030525954")</f>
        <v>https://twitter.com/dleon3211/status/1658249295030525954</v>
      </c>
      <c r="AF329" s="79">
        <v>45061.967766203707</v>
      </c>
      <c r="AG329" s="85">
        <v>45061</v>
      </c>
      <c r="AH329" s="82" t="s">
        <v>8608</v>
      </c>
      <c r="AI329" s="77" t="b">
        <v>0</v>
      </c>
      <c r="AJ329" s="77"/>
      <c r="AK329" s="77"/>
      <c r="AL329" s="77"/>
      <c r="AM329" s="77"/>
      <c r="AN329" s="77"/>
      <c r="AO329" s="77"/>
      <c r="AP329" s="77"/>
      <c r="AQ329" s="77" t="s">
        <v>12310</v>
      </c>
      <c r="AR329" s="77"/>
      <c r="AS329" s="77"/>
      <c r="AT329" s="77"/>
      <c r="AU329" s="77"/>
      <c r="AV329" s="80" t="str">
        <f>HYPERLINK("https://pbs.twimg.com/media/FwNI2LUWcAg-wFc.jpg")</f>
        <v>https://pbs.twimg.com/media/FwNI2LUWcAg-wFc.jpg</v>
      </c>
      <c r="AW329" s="82" t="s">
        <v>13431</v>
      </c>
      <c r="AX329" s="82" t="s">
        <v>13431</v>
      </c>
      <c r="AY329" s="77"/>
      <c r="AZ329" s="82" t="s">
        <v>17385</v>
      </c>
      <c r="BA329" s="82" t="s">
        <v>17385</v>
      </c>
      <c r="BB329" s="82" t="s">
        <v>17385</v>
      </c>
      <c r="BC329" s="82" t="s">
        <v>13431</v>
      </c>
      <c r="BD329" s="82" t="s">
        <v>17479</v>
      </c>
      <c r="BE329" s="77"/>
      <c r="BF329" s="77"/>
      <c r="BG329" s="77"/>
      <c r="BH329" s="77"/>
      <c r="BI329" s="77"/>
    </row>
    <row r="330" spans="1:61" x14ac:dyDescent="0.25">
      <c r="A330" s="62" t="s">
        <v>299</v>
      </c>
      <c r="B330" s="62" t="s">
        <v>299</v>
      </c>
      <c r="C330" s="63"/>
      <c r="D330" s="64"/>
      <c r="E330" s="65"/>
      <c r="F330" s="66"/>
      <c r="G330" s="63"/>
      <c r="H330" s="67"/>
      <c r="I330" s="68"/>
      <c r="J330" s="68"/>
      <c r="K330" s="32"/>
      <c r="L330" s="75">
        <v>330</v>
      </c>
      <c r="M330" s="75"/>
      <c r="N330" s="70"/>
      <c r="O330" s="77" t="s">
        <v>179</v>
      </c>
      <c r="P330" s="79">
        <v>45190.267060185186</v>
      </c>
      <c r="Q330" s="77" t="s">
        <v>1128</v>
      </c>
      <c r="R330" s="77">
        <v>0</v>
      </c>
      <c r="S330" s="77">
        <v>0</v>
      </c>
      <c r="T330" s="77">
        <v>0</v>
      </c>
      <c r="U330" s="77">
        <v>0</v>
      </c>
      <c r="V330" s="77">
        <v>89</v>
      </c>
      <c r="W330" s="82" t="s">
        <v>5008</v>
      </c>
      <c r="X330" s="80" t="str">
        <f>HYPERLINK("https://youtu.be/JD-TLh0eqZQ")</f>
        <v>https://youtu.be/JD-TLh0eqZQ</v>
      </c>
      <c r="Y330" s="77" t="s">
        <v>7064</v>
      </c>
      <c r="Z330" s="77"/>
      <c r="AA330" s="77"/>
      <c r="AB330" s="77"/>
      <c r="AC330" s="82" t="s">
        <v>8234</v>
      </c>
      <c r="AD330" s="77" t="s">
        <v>8278</v>
      </c>
      <c r="AE330" s="80" t="str">
        <f>HYPERLINK("https://twitter.com/dleon3211/status/1704743404846891379")</f>
        <v>https://twitter.com/dleon3211/status/1704743404846891379</v>
      </c>
      <c r="AF330" s="79">
        <v>45190.267060185186</v>
      </c>
      <c r="AG330" s="85">
        <v>45190</v>
      </c>
      <c r="AH330" s="82" t="s">
        <v>8609</v>
      </c>
      <c r="AI330" s="77" t="b">
        <v>0</v>
      </c>
      <c r="AJ330" s="77"/>
      <c r="AK330" s="77"/>
      <c r="AL330" s="77"/>
      <c r="AM330" s="77"/>
      <c r="AN330" s="77"/>
      <c r="AO330" s="77"/>
      <c r="AP330" s="77"/>
      <c r="AQ330" s="77"/>
      <c r="AR330" s="77"/>
      <c r="AS330" s="77"/>
      <c r="AT330" s="77"/>
      <c r="AU330" s="77"/>
      <c r="AV330" s="80" t="str">
        <f>HYPERLINK("https://pbs.twimg.com/profile_images/1274898161270693888/LBuU3TmH_normal.jpg")</f>
        <v>https://pbs.twimg.com/profile_images/1274898161270693888/LBuU3TmH_normal.jpg</v>
      </c>
      <c r="AW330" s="82" t="s">
        <v>13432</v>
      </c>
      <c r="AX330" s="82" t="s">
        <v>13432</v>
      </c>
      <c r="AY330" s="77"/>
      <c r="AZ330" s="82" t="s">
        <v>17385</v>
      </c>
      <c r="BA330" s="82" t="s">
        <v>17385</v>
      </c>
      <c r="BB330" s="82" t="s">
        <v>17385</v>
      </c>
      <c r="BC330" s="82" t="s">
        <v>13432</v>
      </c>
      <c r="BD330" s="82" t="s">
        <v>17479</v>
      </c>
      <c r="BE330" s="77"/>
      <c r="BF330" s="77"/>
      <c r="BG330" s="77"/>
      <c r="BH330" s="77"/>
      <c r="BI330" s="77"/>
    </row>
    <row r="331" spans="1:61" x14ac:dyDescent="0.25">
      <c r="A331" s="62" t="s">
        <v>299</v>
      </c>
      <c r="B331" s="62" t="s">
        <v>299</v>
      </c>
      <c r="C331" s="63"/>
      <c r="D331" s="64"/>
      <c r="E331" s="65"/>
      <c r="F331" s="66"/>
      <c r="G331" s="63"/>
      <c r="H331" s="67"/>
      <c r="I331" s="68"/>
      <c r="J331" s="68"/>
      <c r="K331" s="32"/>
      <c r="L331" s="75">
        <v>331</v>
      </c>
      <c r="M331" s="75"/>
      <c r="N331" s="70"/>
      <c r="O331" s="77" t="s">
        <v>179</v>
      </c>
      <c r="P331" s="79">
        <v>45060.042037037034</v>
      </c>
      <c r="Q331" s="77" t="s">
        <v>1129</v>
      </c>
      <c r="R331" s="77">
        <v>0</v>
      </c>
      <c r="S331" s="77">
        <v>0</v>
      </c>
      <c r="T331" s="77">
        <v>0</v>
      </c>
      <c r="U331" s="77">
        <v>0</v>
      </c>
      <c r="V331" s="77">
        <v>56</v>
      </c>
      <c r="W331" s="82" t="s">
        <v>5009</v>
      </c>
      <c r="X331" s="80" t="str">
        <f>HYPERLINK("https://www.youtube.com/@FacilitandooInvestidor/featured")</f>
        <v>https://www.youtube.com/@FacilitandooInvestidor/featured</v>
      </c>
      <c r="Y331" s="77" t="s">
        <v>7065</v>
      </c>
      <c r="Z331" s="77"/>
      <c r="AA331" s="77" t="s">
        <v>7426</v>
      </c>
      <c r="AB331" s="77" t="s">
        <v>8225</v>
      </c>
      <c r="AC331" s="82" t="s">
        <v>8232</v>
      </c>
      <c r="AD331" s="77" t="s">
        <v>8278</v>
      </c>
      <c r="AE331" s="80" t="str">
        <f>HYPERLINK("https://twitter.com/dleon3211/status/1657551434903175170")</f>
        <v>https://twitter.com/dleon3211/status/1657551434903175170</v>
      </c>
      <c r="AF331" s="79">
        <v>45060.042037037034</v>
      </c>
      <c r="AG331" s="85">
        <v>45060</v>
      </c>
      <c r="AH331" s="82" t="s">
        <v>8610</v>
      </c>
      <c r="AI331" s="77" t="b">
        <v>0</v>
      </c>
      <c r="AJ331" s="77"/>
      <c r="AK331" s="77"/>
      <c r="AL331" s="77"/>
      <c r="AM331" s="77"/>
      <c r="AN331" s="77"/>
      <c r="AO331" s="77"/>
      <c r="AP331" s="77"/>
      <c r="AQ331" s="77" t="s">
        <v>12311</v>
      </c>
      <c r="AR331" s="77"/>
      <c r="AS331" s="77"/>
      <c r="AT331" s="77"/>
      <c r="AU331" s="77"/>
      <c r="AV331" s="80" t="str">
        <f>HYPERLINK("https://pbs.twimg.com/media/FwDNsV6WIAIqib-.png")</f>
        <v>https://pbs.twimg.com/media/FwDNsV6WIAIqib-.png</v>
      </c>
      <c r="AW331" s="82" t="s">
        <v>13433</v>
      </c>
      <c r="AX331" s="82" t="s">
        <v>13433</v>
      </c>
      <c r="AY331" s="77"/>
      <c r="AZ331" s="82" t="s">
        <v>17385</v>
      </c>
      <c r="BA331" s="82" t="s">
        <v>17385</v>
      </c>
      <c r="BB331" s="82" t="s">
        <v>17385</v>
      </c>
      <c r="BC331" s="82" t="s">
        <v>13433</v>
      </c>
      <c r="BD331" s="82" t="s">
        <v>17479</v>
      </c>
      <c r="BE331" s="77"/>
      <c r="BF331" s="77"/>
      <c r="BG331" s="77"/>
      <c r="BH331" s="77"/>
      <c r="BI331" s="77"/>
    </row>
    <row r="332" spans="1:61" x14ac:dyDescent="0.25">
      <c r="A332" s="62" t="s">
        <v>300</v>
      </c>
      <c r="B332" s="62" t="s">
        <v>742</v>
      </c>
      <c r="C332" s="63"/>
      <c r="D332" s="64"/>
      <c r="E332" s="65"/>
      <c r="F332" s="66"/>
      <c r="G332" s="63"/>
      <c r="H332" s="67"/>
      <c r="I332" s="68"/>
      <c r="J332" s="68"/>
      <c r="K332" s="32"/>
      <c r="L332" s="75">
        <v>332</v>
      </c>
      <c r="M332" s="75"/>
      <c r="N332" s="70"/>
      <c r="O332" s="77" t="s">
        <v>802</v>
      </c>
      <c r="P332" s="79">
        <v>45135.684664351851</v>
      </c>
      <c r="Q332" s="77" t="s">
        <v>1130</v>
      </c>
      <c r="R332" s="77">
        <v>0</v>
      </c>
      <c r="S332" s="77">
        <v>1</v>
      </c>
      <c r="T332" s="77">
        <v>0</v>
      </c>
      <c r="U332" s="77">
        <v>0</v>
      </c>
      <c r="V332" s="77">
        <v>173</v>
      </c>
      <c r="W332" s="82" t="s">
        <v>5010</v>
      </c>
      <c r="X332" s="77"/>
      <c r="Y332" s="77"/>
      <c r="Z332" s="77" t="s">
        <v>742</v>
      </c>
      <c r="AA332" s="77"/>
      <c r="AB332" s="77"/>
      <c r="AC332" s="82" t="s">
        <v>8233</v>
      </c>
      <c r="AD332" s="77" t="s">
        <v>8278</v>
      </c>
      <c r="AE332" s="80" t="str">
        <f>HYPERLINK("https://twitter.com/hellentaynan/status/1684963404346269696")</f>
        <v>https://twitter.com/hellentaynan/status/1684963404346269696</v>
      </c>
      <c r="AF332" s="79">
        <v>45135.684664351851</v>
      </c>
      <c r="AG332" s="85">
        <v>45135</v>
      </c>
      <c r="AH332" s="82" t="s">
        <v>8611</v>
      </c>
      <c r="AI332" s="77"/>
      <c r="AJ332" s="77"/>
      <c r="AK332" s="77"/>
      <c r="AL332" s="77"/>
      <c r="AM332" s="77"/>
      <c r="AN332" s="77"/>
      <c r="AO332" s="77"/>
      <c r="AP332" s="77"/>
      <c r="AQ332" s="77"/>
      <c r="AR332" s="77"/>
      <c r="AS332" s="77"/>
      <c r="AT332" s="77"/>
      <c r="AU332" s="77"/>
      <c r="AV332" s="80" t="str">
        <f>HYPERLINK("https://pbs.twimg.com/profile_images/1612197438382653440/rDIbNk2g_normal.jpg")</f>
        <v>https://pbs.twimg.com/profile_images/1612197438382653440/rDIbNk2g_normal.jpg</v>
      </c>
      <c r="AW332" s="82" t="s">
        <v>13434</v>
      </c>
      <c r="AX332" s="82" t="s">
        <v>13434</v>
      </c>
      <c r="AY332" s="77"/>
      <c r="AZ332" s="82" t="s">
        <v>17385</v>
      </c>
      <c r="BA332" s="82" t="s">
        <v>17385</v>
      </c>
      <c r="BB332" s="82" t="s">
        <v>17385</v>
      </c>
      <c r="BC332" s="82" t="s">
        <v>13434</v>
      </c>
      <c r="BD332" s="77">
        <v>60222160</v>
      </c>
      <c r="BE332" s="77"/>
      <c r="BF332" s="77"/>
      <c r="BG332" s="77"/>
      <c r="BH332" s="77"/>
      <c r="BI332" s="77"/>
    </row>
    <row r="333" spans="1:61" x14ac:dyDescent="0.25">
      <c r="A333" s="62" t="s">
        <v>301</v>
      </c>
      <c r="B333" s="62" t="s">
        <v>301</v>
      </c>
      <c r="C333" s="63"/>
      <c r="D333" s="64"/>
      <c r="E333" s="65"/>
      <c r="F333" s="66"/>
      <c r="G333" s="63"/>
      <c r="H333" s="67"/>
      <c r="I333" s="68"/>
      <c r="J333" s="68"/>
      <c r="K333" s="32"/>
      <c r="L333" s="75">
        <v>333</v>
      </c>
      <c r="M333" s="75"/>
      <c r="N333" s="70"/>
      <c r="O333" s="77" t="s">
        <v>179</v>
      </c>
      <c r="P333" s="79">
        <v>45118.396423611113</v>
      </c>
      <c r="Q333" s="77" t="s">
        <v>1131</v>
      </c>
      <c r="R333" s="77">
        <v>0</v>
      </c>
      <c r="S333" s="77">
        <v>0</v>
      </c>
      <c r="T333" s="77">
        <v>0</v>
      </c>
      <c r="U333" s="77">
        <v>0</v>
      </c>
      <c r="V333" s="77">
        <v>10</v>
      </c>
      <c r="W333" s="82" t="s">
        <v>5011</v>
      </c>
      <c r="X333" s="80" t="s">
        <v>7000</v>
      </c>
      <c r="Y333" s="77" t="s">
        <v>7074</v>
      </c>
      <c r="Z333" s="77"/>
      <c r="AA333" s="77"/>
      <c r="AB333" s="77"/>
      <c r="AC333" s="82" t="s">
        <v>8232</v>
      </c>
      <c r="AD333" s="77" t="s">
        <v>8278</v>
      </c>
      <c r="AE333" s="80" t="str">
        <f>HYPERLINK("https://twitter.com/mais_superior/status/1678698357085093888")</f>
        <v>https://twitter.com/mais_superior/status/1678698357085093888</v>
      </c>
      <c r="AF333" s="79">
        <v>45118.396423611113</v>
      </c>
      <c r="AG333" s="85">
        <v>45118</v>
      </c>
      <c r="AH333" s="82" t="s">
        <v>8612</v>
      </c>
      <c r="AI333" s="77" t="b">
        <v>0</v>
      </c>
      <c r="AJ333" s="77"/>
      <c r="AK333" s="77"/>
      <c r="AL333" s="77"/>
      <c r="AM333" s="77"/>
      <c r="AN333" s="77"/>
      <c r="AO333" s="77"/>
      <c r="AP333" s="77"/>
      <c r="AQ333" s="77"/>
      <c r="AR333" s="77"/>
      <c r="AS333" s="77"/>
      <c r="AT333" s="77"/>
      <c r="AU333" s="77"/>
      <c r="AV333" s="80" t="str">
        <f>HYPERLINK("https://pbs.twimg.com/profile_images/1303008746445176832/8f22kqoM_normal.jpg")</f>
        <v>https://pbs.twimg.com/profile_images/1303008746445176832/8f22kqoM_normal.jpg</v>
      </c>
      <c r="AW333" s="82" t="s">
        <v>13435</v>
      </c>
      <c r="AX333" s="82" t="s">
        <v>13435</v>
      </c>
      <c r="AY333" s="77"/>
      <c r="AZ333" s="82" t="s">
        <v>17385</v>
      </c>
      <c r="BA333" s="82" t="s">
        <v>17385</v>
      </c>
      <c r="BB333" s="82" t="s">
        <v>17385</v>
      </c>
      <c r="BC333" s="82" t="s">
        <v>13435</v>
      </c>
      <c r="BD333" s="77">
        <v>2862272213</v>
      </c>
      <c r="BE333" s="77"/>
      <c r="BF333" s="77"/>
      <c r="BG333" s="77"/>
      <c r="BH333" s="77"/>
      <c r="BI333" s="77"/>
    </row>
    <row r="334" spans="1:61" x14ac:dyDescent="0.25">
      <c r="A334" s="62" t="s">
        <v>302</v>
      </c>
      <c r="B334" s="62" t="s">
        <v>302</v>
      </c>
      <c r="C334" s="63"/>
      <c r="D334" s="64"/>
      <c r="E334" s="65"/>
      <c r="F334" s="66"/>
      <c r="G334" s="63"/>
      <c r="H334" s="67"/>
      <c r="I334" s="68"/>
      <c r="J334" s="68"/>
      <c r="K334" s="32"/>
      <c r="L334" s="75">
        <v>334</v>
      </c>
      <c r="M334" s="75"/>
      <c r="N334" s="70"/>
      <c r="O334" s="77" t="s">
        <v>179</v>
      </c>
      <c r="P334" s="79">
        <v>45055.915520833332</v>
      </c>
      <c r="Q334" s="77" t="s">
        <v>1132</v>
      </c>
      <c r="R334" s="77">
        <v>0</v>
      </c>
      <c r="S334" s="77">
        <v>0</v>
      </c>
      <c r="T334" s="77">
        <v>0</v>
      </c>
      <c r="U334" s="77">
        <v>0</v>
      </c>
      <c r="V334" s="77">
        <v>17</v>
      </c>
      <c r="W334" s="82" t="s">
        <v>5012</v>
      </c>
      <c r="X334" s="80" t="str">
        <f>HYPERLINK("https://instagr.am/p/CsCaWaZvTtw/")</f>
        <v>https://instagr.am/p/CsCaWaZvTtw/</v>
      </c>
      <c r="Y334" s="77" t="s">
        <v>7075</v>
      </c>
      <c r="Z334" s="77"/>
      <c r="AA334" s="77" t="s">
        <v>7427</v>
      </c>
      <c r="AB334" s="77" t="s">
        <v>8225</v>
      </c>
      <c r="AC334" s="82" t="s">
        <v>8248</v>
      </c>
      <c r="AD334" s="77" t="s">
        <v>8281</v>
      </c>
      <c r="AE334" s="80" t="str">
        <f>HYPERLINK("https://twitter.com/esron/status/1656056035713470464")</f>
        <v>https://twitter.com/esron/status/1656056035713470464</v>
      </c>
      <c r="AF334" s="79">
        <v>45055.915520833332</v>
      </c>
      <c r="AG334" s="85">
        <v>45055</v>
      </c>
      <c r="AH334" s="82" t="s">
        <v>8613</v>
      </c>
      <c r="AI334" s="77" t="b">
        <v>0</v>
      </c>
      <c r="AJ334" s="77"/>
      <c r="AK334" s="77"/>
      <c r="AL334" s="77"/>
      <c r="AM334" s="77"/>
      <c r="AN334" s="77"/>
      <c r="AO334" s="77"/>
      <c r="AP334" s="77"/>
      <c r="AQ334" s="77" t="s">
        <v>12312</v>
      </c>
      <c r="AR334" s="77"/>
      <c r="AS334" s="77"/>
      <c r="AT334" s="77"/>
      <c r="AU334" s="77"/>
      <c r="AV334" s="80" t="str">
        <f>HYPERLINK("https://pbs.twimg.com/media/Fvt-MFWXwAIu8Cw.jpg")</f>
        <v>https://pbs.twimg.com/media/Fvt-MFWXwAIu8Cw.jpg</v>
      </c>
      <c r="AW334" s="82" t="s">
        <v>13436</v>
      </c>
      <c r="AX334" s="82" t="s">
        <v>13436</v>
      </c>
      <c r="AY334" s="77"/>
      <c r="AZ334" s="82" t="s">
        <v>17385</v>
      </c>
      <c r="BA334" s="82" t="s">
        <v>17385</v>
      </c>
      <c r="BB334" s="82" t="s">
        <v>17385</v>
      </c>
      <c r="BC334" s="82" t="s">
        <v>13436</v>
      </c>
      <c r="BD334" s="77">
        <v>15536888</v>
      </c>
      <c r="BE334" s="77"/>
      <c r="BF334" s="77"/>
      <c r="BG334" s="77"/>
      <c r="BH334" s="77"/>
      <c r="BI334" s="77"/>
    </row>
    <row r="335" spans="1:61" x14ac:dyDescent="0.25">
      <c r="A335" s="62" t="s">
        <v>302</v>
      </c>
      <c r="B335" s="62" t="s">
        <v>302</v>
      </c>
      <c r="C335" s="63"/>
      <c r="D335" s="64"/>
      <c r="E335" s="65"/>
      <c r="F335" s="66"/>
      <c r="G335" s="63"/>
      <c r="H335" s="67"/>
      <c r="I335" s="68"/>
      <c r="J335" s="68"/>
      <c r="K335" s="32"/>
      <c r="L335" s="75">
        <v>335</v>
      </c>
      <c r="M335" s="75"/>
      <c r="N335" s="70"/>
      <c r="O335" s="77" t="s">
        <v>179</v>
      </c>
      <c r="P335" s="79">
        <v>45099.844409722224</v>
      </c>
      <c r="Q335" s="77" t="s">
        <v>1133</v>
      </c>
      <c r="R335" s="77">
        <v>0</v>
      </c>
      <c r="S335" s="77">
        <v>0</v>
      </c>
      <c r="T335" s="77">
        <v>0</v>
      </c>
      <c r="U335" s="77">
        <v>0</v>
      </c>
      <c r="V335" s="77">
        <v>21</v>
      </c>
      <c r="W335" s="82" t="s">
        <v>5013</v>
      </c>
      <c r="X335" s="77"/>
      <c r="Y335" s="77"/>
      <c r="Z335" s="77"/>
      <c r="AA335" s="77"/>
      <c r="AB335" s="77"/>
      <c r="AC335" s="82" t="s">
        <v>8234</v>
      </c>
      <c r="AD335" s="77" t="s">
        <v>8278</v>
      </c>
      <c r="AE335" s="80" t="str">
        <f>HYPERLINK("https://twitter.com/esron/status/1671975330578309140")</f>
        <v>https://twitter.com/esron/status/1671975330578309140</v>
      </c>
      <c r="AF335" s="79">
        <v>45099.844409722224</v>
      </c>
      <c r="AG335" s="85">
        <v>45099</v>
      </c>
      <c r="AH335" s="82" t="s">
        <v>8614</v>
      </c>
      <c r="AI335" s="77"/>
      <c r="AJ335" s="77" t="s">
        <v>11996</v>
      </c>
      <c r="AK335" s="77" t="s">
        <v>12007</v>
      </c>
      <c r="AL335" s="77" t="s">
        <v>12010</v>
      </c>
      <c r="AM335" s="77" t="s">
        <v>12016</v>
      </c>
      <c r="AN335" s="77" t="s">
        <v>12028</v>
      </c>
      <c r="AO335" s="77" t="s">
        <v>12042</v>
      </c>
      <c r="AP335" s="77" t="s">
        <v>12051</v>
      </c>
      <c r="AQ335" s="77"/>
      <c r="AR335" s="77"/>
      <c r="AS335" s="77"/>
      <c r="AT335" s="77"/>
      <c r="AU335" s="77"/>
      <c r="AV335" s="80" t="str">
        <f>HYPERLINK("https://pbs.twimg.com/profile_images/1471442566243663880/MsfMW_eL_normal.jpg")</f>
        <v>https://pbs.twimg.com/profile_images/1471442566243663880/MsfMW_eL_normal.jpg</v>
      </c>
      <c r="AW335" s="82" t="s">
        <v>13437</v>
      </c>
      <c r="AX335" s="82" t="s">
        <v>13437</v>
      </c>
      <c r="AY335" s="77"/>
      <c r="AZ335" s="82" t="s">
        <v>17385</v>
      </c>
      <c r="BA335" s="82" t="s">
        <v>17385</v>
      </c>
      <c r="BB335" s="82" t="s">
        <v>17385</v>
      </c>
      <c r="BC335" s="82" t="s">
        <v>13437</v>
      </c>
      <c r="BD335" s="77">
        <v>15536888</v>
      </c>
      <c r="BE335" s="77"/>
      <c r="BF335" s="77"/>
      <c r="BG335" s="77"/>
      <c r="BH335" s="77"/>
      <c r="BI335" s="77"/>
    </row>
    <row r="336" spans="1:61" x14ac:dyDescent="0.25">
      <c r="A336" s="62" t="s">
        <v>303</v>
      </c>
      <c r="B336" s="62" t="s">
        <v>303</v>
      </c>
      <c r="C336" s="63"/>
      <c r="D336" s="64"/>
      <c r="E336" s="65"/>
      <c r="F336" s="66"/>
      <c r="G336" s="63"/>
      <c r="H336" s="67"/>
      <c r="I336" s="68"/>
      <c r="J336" s="68"/>
      <c r="K336" s="32"/>
      <c r="L336" s="75">
        <v>336</v>
      </c>
      <c r="M336" s="75"/>
      <c r="N336" s="70"/>
      <c r="O336" s="77" t="s">
        <v>179</v>
      </c>
      <c r="P336" s="79">
        <v>45072.695636574077</v>
      </c>
      <c r="Q336" s="77" t="s">
        <v>1134</v>
      </c>
      <c r="R336" s="77">
        <v>0</v>
      </c>
      <c r="S336" s="77">
        <v>1</v>
      </c>
      <c r="T336" s="77">
        <v>0</v>
      </c>
      <c r="U336" s="77">
        <v>0</v>
      </c>
      <c r="V336" s="77">
        <v>136</v>
      </c>
      <c r="W336" s="82" t="s">
        <v>5014</v>
      </c>
      <c r="X336" s="80" t="str">
        <f>HYPERLINK("https://relatorioreservado.com.br/noticias/carrefour-vai-colocar-suas-proprias-acoes-no-carrinho-de-compras/")</f>
        <v>https://relatorioreservado.com.br/noticias/carrefour-vai-colocar-suas-proprias-acoes-no-carrinho-de-compras/</v>
      </c>
      <c r="Y336" s="77" t="s">
        <v>7053</v>
      </c>
      <c r="Z336" s="77"/>
      <c r="AA336" s="77"/>
      <c r="AB336" s="77"/>
      <c r="AC336" s="82" t="s">
        <v>8232</v>
      </c>
      <c r="AD336" s="77" t="s">
        <v>8278</v>
      </c>
      <c r="AE336" s="80" t="str">
        <f>HYPERLINK("https://twitter.com/relatorio/status/1662136944564879371")</f>
        <v>https://twitter.com/relatorio/status/1662136944564879371</v>
      </c>
      <c r="AF336" s="79">
        <v>45072.695636574077</v>
      </c>
      <c r="AG336" s="85">
        <v>45072</v>
      </c>
      <c r="AH336" s="82" t="s">
        <v>8615</v>
      </c>
      <c r="AI336" s="77" t="b">
        <v>0</v>
      </c>
      <c r="AJ336" s="77"/>
      <c r="AK336" s="77"/>
      <c r="AL336" s="77"/>
      <c r="AM336" s="77"/>
      <c r="AN336" s="77"/>
      <c r="AO336" s="77"/>
      <c r="AP336" s="77"/>
      <c r="AQ336" s="77"/>
      <c r="AR336" s="77"/>
      <c r="AS336" s="77"/>
      <c r="AT336" s="77"/>
      <c r="AU336" s="77"/>
      <c r="AV336" s="80" t="str">
        <f>HYPERLINK("https://pbs.twimg.com/profile_images/805755815005212672/57wbxO5Y_normal.jpg")</f>
        <v>https://pbs.twimg.com/profile_images/805755815005212672/57wbxO5Y_normal.jpg</v>
      </c>
      <c r="AW336" s="82" t="s">
        <v>13438</v>
      </c>
      <c r="AX336" s="82" t="s">
        <v>13438</v>
      </c>
      <c r="AY336" s="77"/>
      <c r="AZ336" s="82" t="s">
        <v>17385</v>
      </c>
      <c r="BA336" s="82" t="s">
        <v>17385</v>
      </c>
      <c r="BB336" s="82" t="s">
        <v>17385</v>
      </c>
      <c r="BC336" s="82" t="s">
        <v>13438</v>
      </c>
      <c r="BD336" s="77">
        <v>17598453</v>
      </c>
      <c r="BE336" s="77"/>
      <c r="BF336" s="77"/>
      <c r="BG336" s="77"/>
      <c r="BH336" s="77"/>
      <c r="BI336" s="77"/>
    </row>
    <row r="337" spans="1:61" x14ac:dyDescent="0.25">
      <c r="A337" s="62" t="s">
        <v>303</v>
      </c>
      <c r="B337" s="62" t="s">
        <v>303</v>
      </c>
      <c r="C337" s="63"/>
      <c r="D337" s="64"/>
      <c r="E337" s="65"/>
      <c r="F337" s="66"/>
      <c r="G337" s="63"/>
      <c r="H337" s="67"/>
      <c r="I337" s="68"/>
      <c r="J337" s="68"/>
      <c r="K337" s="32"/>
      <c r="L337" s="75">
        <v>337</v>
      </c>
      <c r="M337" s="75"/>
      <c r="N337" s="70"/>
      <c r="O337" s="77" t="s">
        <v>179</v>
      </c>
      <c r="P337" s="79">
        <v>45118.791041666664</v>
      </c>
      <c r="Q337" s="77" t="s">
        <v>1135</v>
      </c>
      <c r="R337" s="77">
        <v>0</v>
      </c>
      <c r="S337" s="77">
        <v>2</v>
      </c>
      <c r="T337" s="77">
        <v>0</v>
      </c>
      <c r="U337" s="77">
        <v>0</v>
      </c>
      <c r="V337" s="77">
        <v>295</v>
      </c>
      <c r="W337" s="82" t="s">
        <v>5015</v>
      </c>
      <c r="X337" s="80" t="str">
        <f>HYPERLINK("https://relatorioreservado.com.br/noticias/luiz-barsi-avanca-no-capital-da-aes-brasil/")</f>
        <v>https://relatorioreservado.com.br/noticias/luiz-barsi-avanca-no-capital-da-aes-brasil/</v>
      </c>
      <c r="Y337" s="77" t="s">
        <v>7053</v>
      </c>
      <c r="Z337" s="77"/>
      <c r="AA337" s="77"/>
      <c r="AB337" s="77"/>
      <c r="AC337" s="82" t="s">
        <v>8232</v>
      </c>
      <c r="AD337" s="77" t="s">
        <v>8278</v>
      </c>
      <c r="AE337" s="80" t="str">
        <f>HYPERLINK("https://twitter.com/relatorio/status/1678841363016699904")</f>
        <v>https://twitter.com/relatorio/status/1678841363016699904</v>
      </c>
      <c r="AF337" s="79">
        <v>45118.791041666664</v>
      </c>
      <c r="AG337" s="85">
        <v>45118</v>
      </c>
      <c r="AH337" s="82" t="s">
        <v>8616</v>
      </c>
      <c r="AI337" s="77" t="b">
        <v>0</v>
      </c>
      <c r="AJ337" s="77"/>
      <c r="AK337" s="77"/>
      <c r="AL337" s="77"/>
      <c r="AM337" s="77"/>
      <c r="AN337" s="77"/>
      <c r="AO337" s="77"/>
      <c r="AP337" s="77"/>
      <c r="AQ337" s="77"/>
      <c r="AR337" s="77"/>
      <c r="AS337" s="77"/>
      <c r="AT337" s="77"/>
      <c r="AU337" s="77"/>
      <c r="AV337" s="80" t="str">
        <f>HYPERLINK("https://pbs.twimg.com/profile_images/805755815005212672/57wbxO5Y_normal.jpg")</f>
        <v>https://pbs.twimg.com/profile_images/805755815005212672/57wbxO5Y_normal.jpg</v>
      </c>
      <c r="AW337" s="82" t="s">
        <v>13439</v>
      </c>
      <c r="AX337" s="82" t="s">
        <v>13439</v>
      </c>
      <c r="AY337" s="77"/>
      <c r="AZ337" s="82" t="s">
        <v>17385</v>
      </c>
      <c r="BA337" s="82" t="s">
        <v>17385</v>
      </c>
      <c r="BB337" s="82" t="s">
        <v>17385</v>
      </c>
      <c r="BC337" s="82" t="s">
        <v>13439</v>
      </c>
      <c r="BD337" s="77">
        <v>17598453</v>
      </c>
      <c r="BE337" s="77"/>
      <c r="BF337" s="77"/>
      <c r="BG337" s="77"/>
      <c r="BH337" s="77"/>
      <c r="BI337" s="77"/>
    </row>
    <row r="338" spans="1:61" x14ac:dyDescent="0.25">
      <c r="A338" s="62" t="s">
        <v>304</v>
      </c>
      <c r="B338" s="62" t="s">
        <v>304</v>
      </c>
      <c r="C338" s="63"/>
      <c r="D338" s="64"/>
      <c r="E338" s="65"/>
      <c r="F338" s="66"/>
      <c r="G338" s="63"/>
      <c r="H338" s="67"/>
      <c r="I338" s="68"/>
      <c r="J338" s="68"/>
      <c r="K338" s="32"/>
      <c r="L338" s="75">
        <v>338</v>
      </c>
      <c r="M338" s="75"/>
      <c r="N338" s="70"/>
      <c r="O338" s="77" t="s">
        <v>179</v>
      </c>
      <c r="P338" s="79">
        <v>45104.367129629631</v>
      </c>
      <c r="Q338" s="77" t="s">
        <v>1136</v>
      </c>
      <c r="R338" s="77">
        <v>0</v>
      </c>
      <c r="S338" s="77">
        <v>0</v>
      </c>
      <c r="T338" s="77">
        <v>0</v>
      </c>
      <c r="U338" s="77">
        <v>0</v>
      </c>
      <c r="V338" s="77">
        <v>209</v>
      </c>
      <c r="W338" s="82" t="s">
        <v>5016</v>
      </c>
      <c r="X338" s="77"/>
      <c r="Y338" s="77"/>
      <c r="Z338" s="77"/>
      <c r="AA338" s="77" t="s">
        <v>7428</v>
      </c>
      <c r="AB338" s="77" t="s">
        <v>8227</v>
      </c>
      <c r="AC338" s="82" t="s">
        <v>8232</v>
      </c>
      <c r="AD338" s="77" t="s">
        <v>8278</v>
      </c>
      <c r="AE338" s="80" t="str">
        <f>HYPERLINK("https://twitter.com/funnybetbrasil/status/1673614310910689282")</f>
        <v>https://twitter.com/funnybetbrasil/status/1673614310910689282</v>
      </c>
      <c r="AF338" s="79">
        <v>45104.367129629631</v>
      </c>
      <c r="AG338" s="85">
        <v>45104</v>
      </c>
      <c r="AH338" s="82" t="s">
        <v>8617</v>
      </c>
      <c r="AI338" s="77" t="b">
        <v>0</v>
      </c>
      <c r="AJ338" s="77"/>
      <c r="AK338" s="77"/>
      <c r="AL338" s="77"/>
      <c r="AM338" s="77"/>
      <c r="AN338" s="77"/>
      <c r="AO338" s="77"/>
      <c r="AP338" s="77"/>
      <c r="AQ338" s="77" t="s">
        <v>12313</v>
      </c>
      <c r="AR338" s="77">
        <v>57000</v>
      </c>
      <c r="AS338" s="77"/>
      <c r="AT338" s="77"/>
      <c r="AU338" s="77"/>
      <c r="AV338" s="80" t="str">
        <f>HYPERLINK("https://pbs.twimg.com/ext_tw_video_thumb/1673613762933260288/pu/img/GjQnkECjPT0FvRry.jpg")</f>
        <v>https://pbs.twimg.com/ext_tw_video_thumb/1673613762933260288/pu/img/GjQnkECjPT0FvRry.jpg</v>
      </c>
      <c r="AW338" s="82" t="s">
        <v>13440</v>
      </c>
      <c r="AX338" s="82" t="s">
        <v>13440</v>
      </c>
      <c r="AY338" s="77"/>
      <c r="AZ338" s="82" t="s">
        <v>17385</v>
      </c>
      <c r="BA338" s="82" t="s">
        <v>17385</v>
      </c>
      <c r="BB338" s="82" t="s">
        <v>17385</v>
      </c>
      <c r="BC338" s="82" t="s">
        <v>13440</v>
      </c>
      <c r="BD338" s="82" t="s">
        <v>17480</v>
      </c>
      <c r="BE338" s="77"/>
      <c r="BF338" s="77"/>
      <c r="BG338" s="77"/>
      <c r="BH338" s="77"/>
      <c r="BI338" s="77"/>
    </row>
    <row r="339" spans="1:61" x14ac:dyDescent="0.25">
      <c r="A339" s="62" t="s">
        <v>304</v>
      </c>
      <c r="B339" s="62" t="s">
        <v>304</v>
      </c>
      <c r="C339" s="63"/>
      <c r="D339" s="64"/>
      <c r="E339" s="65"/>
      <c r="F339" s="66"/>
      <c r="G339" s="63"/>
      <c r="H339" s="67"/>
      <c r="I339" s="68"/>
      <c r="J339" s="68"/>
      <c r="K339" s="32"/>
      <c r="L339" s="75">
        <v>339</v>
      </c>
      <c r="M339" s="75"/>
      <c r="N339" s="70"/>
      <c r="O339" s="77" t="s">
        <v>179</v>
      </c>
      <c r="P339" s="79">
        <v>45112.360613425924</v>
      </c>
      <c r="Q339" s="77" t="s">
        <v>1137</v>
      </c>
      <c r="R339" s="77">
        <v>0</v>
      </c>
      <c r="S339" s="77">
        <v>0</v>
      </c>
      <c r="T339" s="77">
        <v>0</v>
      </c>
      <c r="U339" s="77">
        <v>0</v>
      </c>
      <c r="V339" s="77">
        <v>138</v>
      </c>
      <c r="W339" s="82" t="s">
        <v>5016</v>
      </c>
      <c r="X339" s="77"/>
      <c r="Y339" s="77"/>
      <c r="Z339" s="77"/>
      <c r="AA339" s="77" t="s">
        <v>7429</v>
      </c>
      <c r="AB339" s="77" t="s">
        <v>8227</v>
      </c>
      <c r="AC339" s="82" t="s">
        <v>8232</v>
      </c>
      <c r="AD339" s="77" t="s">
        <v>8278</v>
      </c>
      <c r="AE339" s="80" t="str">
        <f>HYPERLINK("https://twitter.com/funnybetbrasil/status/1676511052626907136")</f>
        <v>https://twitter.com/funnybetbrasil/status/1676511052626907136</v>
      </c>
      <c r="AF339" s="79">
        <v>45112.360613425924</v>
      </c>
      <c r="AG339" s="85">
        <v>45112</v>
      </c>
      <c r="AH339" s="82" t="s">
        <v>8618</v>
      </c>
      <c r="AI339" s="77" t="b">
        <v>0</v>
      </c>
      <c r="AJ339" s="77"/>
      <c r="AK339" s="77"/>
      <c r="AL339" s="77"/>
      <c r="AM339" s="77"/>
      <c r="AN339" s="77"/>
      <c r="AO339" s="77"/>
      <c r="AP339" s="77"/>
      <c r="AQ339" s="77" t="s">
        <v>12314</v>
      </c>
      <c r="AR339" s="77">
        <v>65736</v>
      </c>
      <c r="AS339" s="77"/>
      <c r="AT339" s="77"/>
      <c r="AU339" s="77"/>
      <c r="AV339" s="80" t="str">
        <f>HYPERLINK("https://pbs.twimg.com/ext_tw_video_thumb/1676510982607175680/pu/img/5UcTimoeUFqyt99f.jpg")</f>
        <v>https://pbs.twimg.com/ext_tw_video_thumb/1676510982607175680/pu/img/5UcTimoeUFqyt99f.jpg</v>
      </c>
      <c r="AW339" s="82" t="s">
        <v>13441</v>
      </c>
      <c r="AX339" s="82" t="s">
        <v>13441</v>
      </c>
      <c r="AY339" s="77"/>
      <c r="AZ339" s="82" t="s">
        <v>17385</v>
      </c>
      <c r="BA339" s="82" t="s">
        <v>17385</v>
      </c>
      <c r="BB339" s="82" t="s">
        <v>17385</v>
      </c>
      <c r="BC339" s="82" t="s">
        <v>13441</v>
      </c>
      <c r="BD339" s="82" t="s">
        <v>17480</v>
      </c>
      <c r="BE339" s="77"/>
      <c r="BF339" s="77"/>
      <c r="BG339" s="77"/>
      <c r="BH339" s="77"/>
      <c r="BI339" s="77"/>
    </row>
    <row r="340" spans="1:61" x14ac:dyDescent="0.25">
      <c r="A340" s="62" t="s">
        <v>304</v>
      </c>
      <c r="B340" s="62" t="s">
        <v>304</v>
      </c>
      <c r="C340" s="63"/>
      <c r="D340" s="64"/>
      <c r="E340" s="65"/>
      <c r="F340" s="66"/>
      <c r="G340" s="63"/>
      <c r="H340" s="67"/>
      <c r="I340" s="68"/>
      <c r="J340" s="68"/>
      <c r="K340" s="32"/>
      <c r="L340" s="75">
        <v>340</v>
      </c>
      <c r="M340" s="75"/>
      <c r="N340" s="70"/>
      <c r="O340" s="77" t="s">
        <v>179</v>
      </c>
      <c r="P340" s="79">
        <v>45112.344560185185</v>
      </c>
      <c r="Q340" s="77" t="s">
        <v>1138</v>
      </c>
      <c r="R340" s="77">
        <v>0</v>
      </c>
      <c r="S340" s="77">
        <v>0</v>
      </c>
      <c r="T340" s="77">
        <v>0</v>
      </c>
      <c r="U340" s="77">
        <v>0</v>
      </c>
      <c r="V340" s="77">
        <v>112</v>
      </c>
      <c r="W340" s="82" t="s">
        <v>5017</v>
      </c>
      <c r="X340" s="77"/>
      <c r="Y340" s="77"/>
      <c r="Z340" s="77"/>
      <c r="AA340" s="77" t="s">
        <v>7430</v>
      </c>
      <c r="AB340" s="77" t="s">
        <v>8227</v>
      </c>
      <c r="AC340" s="82" t="s">
        <v>8232</v>
      </c>
      <c r="AD340" s="77" t="s">
        <v>8278</v>
      </c>
      <c r="AE340" s="80" t="str">
        <f>HYPERLINK("https://twitter.com/funnybetbrasil/status/1676505235626287104")</f>
        <v>https://twitter.com/funnybetbrasil/status/1676505235626287104</v>
      </c>
      <c r="AF340" s="79">
        <v>45112.344560185185</v>
      </c>
      <c r="AG340" s="85">
        <v>45112</v>
      </c>
      <c r="AH340" s="82" t="s">
        <v>8619</v>
      </c>
      <c r="AI340" s="77" t="b">
        <v>0</v>
      </c>
      <c r="AJ340" s="77"/>
      <c r="AK340" s="77"/>
      <c r="AL340" s="77"/>
      <c r="AM340" s="77"/>
      <c r="AN340" s="77"/>
      <c r="AO340" s="77"/>
      <c r="AP340" s="77"/>
      <c r="AQ340" s="77" t="s">
        <v>12315</v>
      </c>
      <c r="AR340" s="77">
        <v>42966</v>
      </c>
      <c r="AS340" s="77"/>
      <c r="AT340" s="77"/>
      <c r="AU340" s="77"/>
      <c r="AV340" s="80" t="str">
        <f>HYPERLINK("https://pbs.twimg.com/ext_tw_video_thumb/1676501903964766208/pu/img/6eRJRBgfUqWAKi2J.jpg")</f>
        <v>https://pbs.twimg.com/ext_tw_video_thumb/1676501903964766208/pu/img/6eRJRBgfUqWAKi2J.jpg</v>
      </c>
      <c r="AW340" s="82" t="s">
        <v>13442</v>
      </c>
      <c r="AX340" s="82" t="s">
        <v>13442</v>
      </c>
      <c r="AY340" s="77"/>
      <c r="AZ340" s="82" t="s">
        <v>17385</v>
      </c>
      <c r="BA340" s="82" t="s">
        <v>17385</v>
      </c>
      <c r="BB340" s="82" t="s">
        <v>17385</v>
      </c>
      <c r="BC340" s="82" t="s">
        <v>13442</v>
      </c>
      <c r="BD340" s="82" t="s">
        <v>17480</v>
      </c>
      <c r="BE340" s="77"/>
      <c r="BF340" s="77"/>
      <c r="BG340" s="77"/>
      <c r="BH340" s="77"/>
      <c r="BI340" s="77"/>
    </row>
    <row r="341" spans="1:61" x14ac:dyDescent="0.25">
      <c r="A341" s="62" t="s">
        <v>304</v>
      </c>
      <c r="B341" s="62" t="s">
        <v>304</v>
      </c>
      <c r="C341" s="63"/>
      <c r="D341" s="64"/>
      <c r="E341" s="65"/>
      <c r="F341" s="66"/>
      <c r="G341" s="63"/>
      <c r="H341" s="67"/>
      <c r="I341" s="68"/>
      <c r="J341" s="68"/>
      <c r="K341" s="32"/>
      <c r="L341" s="75">
        <v>341</v>
      </c>
      <c r="M341" s="75"/>
      <c r="N341" s="70"/>
      <c r="O341" s="77" t="s">
        <v>179</v>
      </c>
      <c r="P341" s="79">
        <v>45149.527083333334</v>
      </c>
      <c r="Q341" s="77" t="s">
        <v>1139</v>
      </c>
      <c r="R341" s="77">
        <v>0</v>
      </c>
      <c r="S341" s="77">
        <v>0</v>
      </c>
      <c r="T341" s="77">
        <v>0</v>
      </c>
      <c r="U341" s="77">
        <v>0</v>
      </c>
      <c r="V341" s="77">
        <v>103</v>
      </c>
      <c r="W341" s="82" t="s">
        <v>5018</v>
      </c>
      <c r="X341" s="77"/>
      <c r="Y341" s="77"/>
      <c r="Z341" s="77"/>
      <c r="AA341" s="77" t="s">
        <v>7431</v>
      </c>
      <c r="AB341" s="77" t="s">
        <v>8227</v>
      </c>
      <c r="AC341" s="82" t="s">
        <v>8232</v>
      </c>
      <c r="AD341" s="77" t="s">
        <v>8280</v>
      </c>
      <c r="AE341" s="80" t="str">
        <f>HYPERLINK("https://twitter.com/funnybetbrasil/status/1689979728680419330")</f>
        <v>https://twitter.com/funnybetbrasil/status/1689979728680419330</v>
      </c>
      <c r="AF341" s="79">
        <v>45149.527083333334</v>
      </c>
      <c r="AG341" s="85">
        <v>45149</v>
      </c>
      <c r="AH341" s="82" t="s">
        <v>8620</v>
      </c>
      <c r="AI341" s="77" t="b">
        <v>0</v>
      </c>
      <c r="AJ341" s="77"/>
      <c r="AK341" s="77"/>
      <c r="AL341" s="77"/>
      <c r="AM341" s="77"/>
      <c r="AN341" s="77"/>
      <c r="AO341" s="77"/>
      <c r="AP341" s="77"/>
      <c r="AQ341" s="77" t="s">
        <v>12316</v>
      </c>
      <c r="AR341" s="77">
        <v>12050</v>
      </c>
      <c r="AS341" s="77"/>
      <c r="AT341" s="77"/>
      <c r="AU341" s="77"/>
      <c r="AV341" s="80" t="str">
        <f>HYPERLINK("https://pbs.twimg.com/ext_tw_video_thumb/1689632478338932737/pu/img/VX1W9OiJd3rI7zjR.jpg")</f>
        <v>https://pbs.twimg.com/ext_tw_video_thumb/1689632478338932737/pu/img/VX1W9OiJd3rI7zjR.jpg</v>
      </c>
      <c r="AW341" s="82" t="s">
        <v>13443</v>
      </c>
      <c r="AX341" s="82" t="s">
        <v>13443</v>
      </c>
      <c r="AY341" s="77"/>
      <c r="AZ341" s="82" t="s">
        <v>17385</v>
      </c>
      <c r="BA341" s="82" t="s">
        <v>17385</v>
      </c>
      <c r="BB341" s="82" t="s">
        <v>17385</v>
      </c>
      <c r="BC341" s="82" t="s">
        <v>13443</v>
      </c>
      <c r="BD341" s="82" t="s">
        <v>17480</v>
      </c>
      <c r="BE341" s="77"/>
      <c r="BF341" s="77"/>
      <c r="BG341" s="77"/>
      <c r="BH341" s="77"/>
      <c r="BI341" s="77"/>
    </row>
    <row r="342" spans="1:61" x14ac:dyDescent="0.25">
      <c r="A342" s="62" t="s">
        <v>304</v>
      </c>
      <c r="B342" s="62" t="s">
        <v>304</v>
      </c>
      <c r="C342" s="63"/>
      <c r="D342" s="64"/>
      <c r="E342" s="65"/>
      <c r="F342" s="66"/>
      <c r="G342" s="63"/>
      <c r="H342" s="67"/>
      <c r="I342" s="68"/>
      <c r="J342" s="68"/>
      <c r="K342" s="32"/>
      <c r="L342" s="75">
        <v>342</v>
      </c>
      <c r="M342" s="75"/>
      <c r="N342" s="70"/>
      <c r="O342" s="77" t="s">
        <v>179</v>
      </c>
      <c r="P342" s="79">
        <v>45148.566967592589</v>
      </c>
      <c r="Q342" s="77" t="s">
        <v>1140</v>
      </c>
      <c r="R342" s="77">
        <v>0</v>
      </c>
      <c r="S342" s="77">
        <v>0</v>
      </c>
      <c r="T342" s="77">
        <v>0</v>
      </c>
      <c r="U342" s="77">
        <v>0</v>
      </c>
      <c r="V342" s="77">
        <v>136</v>
      </c>
      <c r="W342" s="82" t="s">
        <v>5018</v>
      </c>
      <c r="X342" s="77"/>
      <c r="Y342" s="77"/>
      <c r="Z342" s="77"/>
      <c r="AA342" s="77" t="s">
        <v>7432</v>
      </c>
      <c r="AB342" s="77" t="s">
        <v>8227</v>
      </c>
      <c r="AC342" s="82" t="s">
        <v>8232</v>
      </c>
      <c r="AD342" s="77" t="s">
        <v>8280</v>
      </c>
      <c r="AE342" s="80" t="str">
        <f>HYPERLINK("https://twitter.com/funnybetbrasil/status/1689631796806508544")</f>
        <v>https://twitter.com/funnybetbrasil/status/1689631796806508544</v>
      </c>
      <c r="AF342" s="79">
        <v>45148.566967592589</v>
      </c>
      <c r="AG342" s="85">
        <v>45148</v>
      </c>
      <c r="AH342" s="82" t="s">
        <v>8621</v>
      </c>
      <c r="AI342" s="77" t="b">
        <v>0</v>
      </c>
      <c r="AJ342" s="77"/>
      <c r="AK342" s="77"/>
      <c r="AL342" s="77"/>
      <c r="AM342" s="77"/>
      <c r="AN342" s="77"/>
      <c r="AO342" s="77"/>
      <c r="AP342" s="77"/>
      <c r="AQ342" s="77" t="s">
        <v>12317</v>
      </c>
      <c r="AR342" s="77">
        <v>10008</v>
      </c>
      <c r="AS342" s="77"/>
      <c r="AT342" s="77"/>
      <c r="AU342" s="77"/>
      <c r="AV342" s="80" t="str">
        <f>HYPERLINK("https://pbs.twimg.com/ext_tw_video_thumb/1689631633392189440/pu/img/wdxlDdCvYnuxB19j.jpg")</f>
        <v>https://pbs.twimg.com/ext_tw_video_thumb/1689631633392189440/pu/img/wdxlDdCvYnuxB19j.jpg</v>
      </c>
      <c r="AW342" s="82" t="s">
        <v>13444</v>
      </c>
      <c r="AX342" s="82" t="s">
        <v>13444</v>
      </c>
      <c r="AY342" s="77"/>
      <c r="AZ342" s="82" t="s">
        <v>17385</v>
      </c>
      <c r="BA342" s="82" t="s">
        <v>17385</v>
      </c>
      <c r="BB342" s="82" t="s">
        <v>17385</v>
      </c>
      <c r="BC342" s="82" t="s">
        <v>13444</v>
      </c>
      <c r="BD342" s="82" t="s">
        <v>17480</v>
      </c>
      <c r="BE342" s="77"/>
      <c r="BF342" s="77"/>
      <c r="BG342" s="77"/>
      <c r="BH342" s="77"/>
      <c r="BI342" s="77"/>
    </row>
    <row r="343" spans="1:61" x14ac:dyDescent="0.25">
      <c r="A343" s="62" t="s">
        <v>305</v>
      </c>
      <c r="B343" s="62" t="s">
        <v>305</v>
      </c>
      <c r="C343" s="63"/>
      <c r="D343" s="64"/>
      <c r="E343" s="65"/>
      <c r="F343" s="66"/>
      <c r="G343" s="63"/>
      <c r="H343" s="67"/>
      <c r="I343" s="68"/>
      <c r="J343" s="68"/>
      <c r="K343" s="32"/>
      <c r="L343" s="75">
        <v>343</v>
      </c>
      <c r="M343" s="75"/>
      <c r="N343" s="70"/>
      <c r="O343" s="77" t="s">
        <v>179</v>
      </c>
      <c r="P343" s="79">
        <v>45091.728402777779</v>
      </c>
      <c r="Q343" s="77" t="s">
        <v>1141</v>
      </c>
      <c r="R343" s="77">
        <v>0</v>
      </c>
      <c r="S343" s="77">
        <v>1</v>
      </c>
      <c r="T343" s="77">
        <v>0</v>
      </c>
      <c r="U343" s="77">
        <v>0</v>
      </c>
      <c r="V343" s="77">
        <v>54</v>
      </c>
      <c r="W343" s="82" t="s">
        <v>4982</v>
      </c>
      <c r="X343" s="80" t="str">
        <f>HYPERLINK("https://hubdoinvestidor.com.br/insigth/bolsa-ultrapassa-os-116-mil-pontos-ainda-vale-a-pena-investir/")</f>
        <v>https://hubdoinvestidor.com.br/insigth/bolsa-ultrapassa-os-116-mil-pontos-ainda-vale-a-pena-investir/</v>
      </c>
      <c r="Y343" s="77" t="s">
        <v>7053</v>
      </c>
      <c r="Z343" s="77"/>
      <c r="AA343" s="77"/>
      <c r="AB343" s="77"/>
      <c r="AC343" s="82" t="s">
        <v>8232</v>
      </c>
      <c r="AD343" s="77" t="s">
        <v>8278</v>
      </c>
      <c r="AE343" s="80" t="str">
        <f>HYPERLINK("https://twitter.com/hubinvestidor/status/1669034190346625049")</f>
        <v>https://twitter.com/hubinvestidor/status/1669034190346625049</v>
      </c>
      <c r="AF343" s="79">
        <v>45091.728402777779</v>
      </c>
      <c r="AG343" s="85">
        <v>45091</v>
      </c>
      <c r="AH343" s="82" t="s">
        <v>8622</v>
      </c>
      <c r="AI343" s="77" t="b">
        <v>0</v>
      </c>
      <c r="AJ343" s="77"/>
      <c r="AK343" s="77"/>
      <c r="AL343" s="77"/>
      <c r="AM343" s="77"/>
      <c r="AN343" s="77"/>
      <c r="AO343" s="77"/>
      <c r="AP343" s="77"/>
      <c r="AQ343" s="77"/>
      <c r="AR343" s="77"/>
      <c r="AS343" s="77"/>
      <c r="AT343" s="77"/>
      <c r="AU343" s="77"/>
      <c r="AV343" s="80" t="str">
        <f>HYPERLINK("https://pbs.twimg.com/profile_images/1260173862563651585/hl2WdjmD_normal.jpg")</f>
        <v>https://pbs.twimg.com/profile_images/1260173862563651585/hl2WdjmD_normal.jpg</v>
      </c>
      <c r="AW343" s="82" t="s">
        <v>13445</v>
      </c>
      <c r="AX343" s="82" t="s">
        <v>13445</v>
      </c>
      <c r="AY343" s="77"/>
      <c r="AZ343" s="82" t="s">
        <v>17385</v>
      </c>
      <c r="BA343" s="82" t="s">
        <v>17385</v>
      </c>
      <c r="BB343" s="82" t="s">
        <v>17385</v>
      </c>
      <c r="BC343" s="82" t="s">
        <v>13445</v>
      </c>
      <c r="BD343" s="82" t="s">
        <v>17481</v>
      </c>
      <c r="BE343" s="77"/>
      <c r="BF343" s="77"/>
      <c r="BG343" s="77"/>
      <c r="BH343" s="77"/>
      <c r="BI343" s="77"/>
    </row>
    <row r="344" spans="1:61" x14ac:dyDescent="0.25">
      <c r="A344" s="62" t="s">
        <v>306</v>
      </c>
      <c r="B344" s="62" t="s">
        <v>306</v>
      </c>
      <c r="C344" s="63"/>
      <c r="D344" s="64"/>
      <c r="E344" s="65"/>
      <c r="F344" s="66"/>
      <c r="G344" s="63"/>
      <c r="H344" s="67"/>
      <c r="I344" s="68"/>
      <c r="J344" s="68"/>
      <c r="K344" s="32"/>
      <c r="L344" s="75">
        <v>344</v>
      </c>
      <c r="M344" s="75"/>
      <c r="N344" s="70"/>
      <c r="O344" s="77" t="s">
        <v>179</v>
      </c>
      <c r="P344" s="79">
        <v>45051.75</v>
      </c>
      <c r="Q344" s="77" t="s">
        <v>1142</v>
      </c>
      <c r="R344" s="77">
        <v>0</v>
      </c>
      <c r="S344" s="77">
        <v>1</v>
      </c>
      <c r="T344" s="77">
        <v>0</v>
      </c>
      <c r="U344" s="77">
        <v>0</v>
      </c>
      <c r="V344" s="77">
        <v>12</v>
      </c>
      <c r="W344" s="82" t="s">
        <v>4855</v>
      </c>
      <c r="X344" s="80" t="str">
        <f>HYPERLINK("https://www.alagoasnanet.com.br/v3/detran-lanca-campanha-maio-amarelo-2023-e-reforca-atencao-pela-vida-no-transito/")</f>
        <v>https://www.alagoasnanet.com.br/v3/detran-lanca-campanha-maio-amarelo-2023-e-reforca-atencao-pela-vida-no-transito/</v>
      </c>
      <c r="Y344" s="77" t="s">
        <v>7053</v>
      </c>
      <c r="Z344" s="77"/>
      <c r="AA344" s="77"/>
      <c r="AB344" s="77"/>
      <c r="AC344" s="82" t="s">
        <v>8232</v>
      </c>
      <c r="AD344" s="77" t="s">
        <v>8278</v>
      </c>
      <c r="AE344" s="80" t="str">
        <f>HYPERLINK("https://twitter.com/alnanet/status/1654546502901981185")</f>
        <v>https://twitter.com/alnanet/status/1654546502901981185</v>
      </c>
      <c r="AF344" s="79">
        <v>45051.75</v>
      </c>
      <c r="AG344" s="85">
        <v>45051</v>
      </c>
      <c r="AH344" s="82" t="s">
        <v>8623</v>
      </c>
      <c r="AI344" s="77" t="b">
        <v>0</v>
      </c>
      <c r="AJ344" s="77"/>
      <c r="AK344" s="77"/>
      <c r="AL344" s="77"/>
      <c r="AM344" s="77"/>
      <c r="AN344" s="77"/>
      <c r="AO344" s="77"/>
      <c r="AP344" s="77"/>
      <c r="AQ344" s="77"/>
      <c r="AR344" s="77"/>
      <c r="AS344" s="77"/>
      <c r="AT344" s="77"/>
      <c r="AU344" s="77"/>
      <c r="AV344" s="80" t="str">
        <f>HYPERLINK("https://pbs.twimg.com/profile_images/882492702318788608/4wf94PGZ_normal.jpg")</f>
        <v>https://pbs.twimg.com/profile_images/882492702318788608/4wf94PGZ_normal.jpg</v>
      </c>
      <c r="AW344" s="82" t="s">
        <v>13446</v>
      </c>
      <c r="AX344" s="82" t="s">
        <v>13446</v>
      </c>
      <c r="AY344" s="77"/>
      <c r="AZ344" s="82" t="s">
        <v>17385</v>
      </c>
      <c r="BA344" s="82" t="s">
        <v>17385</v>
      </c>
      <c r="BB344" s="82" t="s">
        <v>17385</v>
      </c>
      <c r="BC344" s="82" t="s">
        <v>13446</v>
      </c>
      <c r="BD344" s="77">
        <v>257625339</v>
      </c>
      <c r="BE344" s="77"/>
      <c r="BF344" s="77"/>
      <c r="BG344" s="77"/>
      <c r="BH344" s="77"/>
      <c r="BI344" s="77"/>
    </row>
    <row r="345" spans="1:61" x14ac:dyDescent="0.25">
      <c r="A345" s="62" t="s">
        <v>306</v>
      </c>
      <c r="B345" s="62" t="s">
        <v>306</v>
      </c>
      <c r="C345" s="63"/>
      <c r="D345" s="64"/>
      <c r="E345" s="65"/>
      <c r="F345" s="66"/>
      <c r="G345" s="63"/>
      <c r="H345" s="67"/>
      <c r="I345" s="68"/>
      <c r="J345" s="68"/>
      <c r="K345" s="32"/>
      <c r="L345" s="75">
        <v>345</v>
      </c>
      <c r="M345" s="75"/>
      <c r="N345" s="70"/>
      <c r="O345" s="77" t="s">
        <v>179</v>
      </c>
      <c r="P345" s="79">
        <v>45127.541701388887</v>
      </c>
      <c r="Q345" s="77" t="s">
        <v>1143</v>
      </c>
      <c r="R345" s="77">
        <v>0</v>
      </c>
      <c r="S345" s="77">
        <v>0</v>
      </c>
      <c r="T345" s="77">
        <v>0</v>
      </c>
      <c r="U345" s="77">
        <v>0</v>
      </c>
      <c r="V345" s="77">
        <v>1</v>
      </c>
      <c r="W345" s="82" t="s">
        <v>4855</v>
      </c>
      <c r="X345" s="80" t="str">
        <f>HYPERLINK("https://www.alagoasnanet.com.br/v3/alagoas-e-destaque-em-acoes-implantadas-no-plano-de-reducao-de-mortes-no-transito/")</f>
        <v>https://www.alagoasnanet.com.br/v3/alagoas-e-destaque-em-acoes-implantadas-no-plano-de-reducao-de-mortes-no-transito/</v>
      </c>
      <c r="Y345" s="77" t="s">
        <v>7053</v>
      </c>
      <c r="Z345" s="77"/>
      <c r="AA345" s="77"/>
      <c r="AB345" s="77"/>
      <c r="AC345" s="82" t="s">
        <v>8232</v>
      </c>
      <c r="AD345" s="77" t="s">
        <v>8278</v>
      </c>
      <c r="AE345" s="80" t="str">
        <f>HYPERLINK("https://twitter.com/alnanet/status/1682012493676445696")</f>
        <v>https://twitter.com/alnanet/status/1682012493676445696</v>
      </c>
      <c r="AF345" s="79">
        <v>45127.541701388887</v>
      </c>
      <c r="AG345" s="85">
        <v>45127</v>
      </c>
      <c r="AH345" s="82" t="s">
        <v>8624</v>
      </c>
      <c r="AI345" s="77" t="b">
        <v>0</v>
      </c>
      <c r="AJ345" s="77"/>
      <c r="AK345" s="77"/>
      <c r="AL345" s="77"/>
      <c r="AM345" s="77"/>
      <c r="AN345" s="77"/>
      <c r="AO345" s="77"/>
      <c r="AP345" s="77"/>
      <c r="AQ345" s="77"/>
      <c r="AR345" s="77"/>
      <c r="AS345" s="77"/>
      <c r="AT345" s="77"/>
      <c r="AU345" s="77"/>
      <c r="AV345" s="80" t="str">
        <f>HYPERLINK("https://pbs.twimg.com/profile_images/882492702318788608/4wf94PGZ_normal.jpg")</f>
        <v>https://pbs.twimg.com/profile_images/882492702318788608/4wf94PGZ_normal.jpg</v>
      </c>
      <c r="AW345" s="82" t="s">
        <v>13447</v>
      </c>
      <c r="AX345" s="82" t="s">
        <v>13447</v>
      </c>
      <c r="AY345" s="77"/>
      <c r="AZ345" s="82" t="s">
        <v>17385</v>
      </c>
      <c r="BA345" s="82" t="s">
        <v>17385</v>
      </c>
      <c r="BB345" s="82" t="s">
        <v>17385</v>
      </c>
      <c r="BC345" s="82" t="s">
        <v>13447</v>
      </c>
      <c r="BD345" s="77">
        <v>257625339</v>
      </c>
      <c r="BE345" s="77"/>
      <c r="BF345" s="77"/>
      <c r="BG345" s="77"/>
      <c r="BH345" s="77"/>
      <c r="BI345" s="77"/>
    </row>
    <row r="346" spans="1:61" x14ac:dyDescent="0.25">
      <c r="A346" s="62" t="s">
        <v>306</v>
      </c>
      <c r="B346" s="62" t="s">
        <v>306</v>
      </c>
      <c r="C346" s="63"/>
      <c r="D346" s="64"/>
      <c r="E346" s="65"/>
      <c r="F346" s="66"/>
      <c r="G346" s="63"/>
      <c r="H346" s="67"/>
      <c r="I346" s="68"/>
      <c r="J346" s="68"/>
      <c r="K346" s="32"/>
      <c r="L346" s="75">
        <v>346</v>
      </c>
      <c r="M346" s="75"/>
      <c r="N346" s="70"/>
      <c r="O346" s="77" t="s">
        <v>179</v>
      </c>
      <c r="P346" s="79">
        <v>45071.375</v>
      </c>
      <c r="Q346" s="77" t="s">
        <v>1144</v>
      </c>
      <c r="R346" s="77">
        <v>0</v>
      </c>
      <c r="S346" s="77">
        <v>0</v>
      </c>
      <c r="T346" s="77">
        <v>0</v>
      </c>
      <c r="U346" s="77">
        <v>0</v>
      </c>
      <c r="V346" s="77">
        <v>31</v>
      </c>
      <c r="W346" s="82" t="s">
        <v>4855</v>
      </c>
      <c r="X346" s="80" t="str">
        <f>HYPERLINK("https://www.alagoasnanet.com.br/v3/governo-trabalhando-vai-levar-acoes-para-arapiraca-e-olho-dagua-das-flores/")</f>
        <v>https://www.alagoasnanet.com.br/v3/governo-trabalhando-vai-levar-acoes-para-arapiraca-e-olho-dagua-das-flores/</v>
      </c>
      <c r="Y346" s="77" t="s">
        <v>7053</v>
      </c>
      <c r="Z346" s="77"/>
      <c r="AA346" s="77"/>
      <c r="AB346" s="77"/>
      <c r="AC346" s="82" t="s">
        <v>8232</v>
      </c>
      <c r="AD346" s="77" t="s">
        <v>8278</v>
      </c>
      <c r="AE346" s="80" t="str">
        <f>HYPERLINK("https://twitter.com/alnanet/status/1661658361669079042")</f>
        <v>https://twitter.com/alnanet/status/1661658361669079042</v>
      </c>
      <c r="AF346" s="79">
        <v>45071.375</v>
      </c>
      <c r="AG346" s="85">
        <v>45071</v>
      </c>
      <c r="AH346" s="82" t="s">
        <v>8625</v>
      </c>
      <c r="AI346" s="77" t="b">
        <v>0</v>
      </c>
      <c r="AJ346" s="77"/>
      <c r="AK346" s="77"/>
      <c r="AL346" s="77"/>
      <c r="AM346" s="77"/>
      <c r="AN346" s="77"/>
      <c r="AO346" s="77"/>
      <c r="AP346" s="77"/>
      <c r="AQ346" s="77"/>
      <c r="AR346" s="77"/>
      <c r="AS346" s="77"/>
      <c r="AT346" s="77"/>
      <c r="AU346" s="77"/>
      <c r="AV346" s="80" t="str">
        <f>HYPERLINK("https://pbs.twimg.com/profile_images/882492702318788608/4wf94PGZ_normal.jpg")</f>
        <v>https://pbs.twimg.com/profile_images/882492702318788608/4wf94PGZ_normal.jpg</v>
      </c>
      <c r="AW346" s="82" t="s">
        <v>13448</v>
      </c>
      <c r="AX346" s="82" t="s">
        <v>13448</v>
      </c>
      <c r="AY346" s="77"/>
      <c r="AZ346" s="82" t="s">
        <v>17385</v>
      </c>
      <c r="BA346" s="82" t="s">
        <v>17385</v>
      </c>
      <c r="BB346" s="82" t="s">
        <v>17385</v>
      </c>
      <c r="BC346" s="82" t="s">
        <v>13448</v>
      </c>
      <c r="BD346" s="77">
        <v>257625339</v>
      </c>
      <c r="BE346" s="77"/>
      <c r="BF346" s="77"/>
      <c r="BG346" s="77"/>
      <c r="BH346" s="77"/>
      <c r="BI346" s="77"/>
    </row>
    <row r="347" spans="1:61" x14ac:dyDescent="0.25">
      <c r="A347" s="62" t="s">
        <v>306</v>
      </c>
      <c r="B347" s="62" t="s">
        <v>306</v>
      </c>
      <c r="C347" s="63"/>
      <c r="D347" s="64"/>
      <c r="E347" s="65"/>
      <c r="F347" s="66"/>
      <c r="G347" s="63"/>
      <c r="H347" s="67"/>
      <c r="I347" s="68"/>
      <c r="J347" s="68"/>
      <c r="K347" s="32"/>
      <c r="L347" s="75">
        <v>347</v>
      </c>
      <c r="M347" s="75"/>
      <c r="N347" s="70"/>
      <c r="O347" s="77" t="s">
        <v>179</v>
      </c>
      <c r="P347" s="79">
        <v>45146.895833333336</v>
      </c>
      <c r="Q347" s="77" t="s">
        <v>1145</v>
      </c>
      <c r="R347" s="77">
        <v>0</v>
      </c>
      <c r="S347" s="77">
        <v>0</v>
      </c>
      <c r="T347" s="77">
        <v>0</v>
      </c>
      <c r="U347" s="77">
        <v>0</v>
      </c>
      <c r="V347" s="77">
        <v>1</v>
      </c>
      <c r="W347" s="82" t="s">
        <v>4855</v>
      </c>
      <c r="X347" s="80" t="str">
        <f>HYPERLINK("https://www.alagoasnanet.com.br/v3/imagem-institucional-e-destaque-em-forum-para-os-futuros-soldados-da-pmal/")</f>
        <v>https://www.alagoasnanet.com.br/v3/imagem-institucional-e-destaque-em-forum-para-os-futuros-soldados-da-pmal/</v>
      </c>
      <c r="Y347" s="77" t="s">
        <v>7053</v>
      </c>
      <c r="Z347" s="77"/>
      <c r="AA347" s="77"/>
      <c r="AB347" s="77"/>
      <c r="AC347" s="82" t="s">
        <v>8232</v>
      </c>
      <c r="AD347" s="77" t="s">
        <v>8278</v>
      </c>
      <c r="AE347" s="80" t="str">
        <f>HYPERLINK("https://twitter.com/alnanet/status/1689026195151876096")</f>
        <v>https://twitter.com/alnanet/status/1689026195151876096</v>
      </c>
      <c r="AF347" s="79">
        <v>45146.895833333336</v>
      </c>
      <c r="AG347" s="85">
        <v>45146</v>
      </c>
      <c r="AH347" s="82" t="s">
        <v>8626</v>
      </c>
      <c r="AI347" s="77" t="b">
        <v>0</v>
      </c>
      <c r="AJ347" s="77"/>
      <c r="AK347" s="77"/>
      <c r="AL347" s="77"/>
      <c r="AM347" s="77"/>
      <c r="AN347" s="77"/>
      <c r="AO347" s="77"/>
      <c r="AP347" s="77"/>
      <c r="AQ347" s="77"/>
      <c r="AR347" s="77"/>
      <c r="AS347" s="77"/>
      <c r="AT347" s="77"/>
      <c r="AU347" s="77"/>
      <c r="AV347" s="80" t="str">
        <f>HYPERLINK("https://pbs.twimg.com/profile_images/882492702318788608/4wf94PGZ_normal.jpg")</f>
        <v>https://pbs.twimg.com/profile_images/882492702318788608/4wf94PGZ_normal.jpg</v>
      </c>
      <c r="AW347" s="82" t="s">
        <v>13449</v>
      </c>
      <c r="AX347" s="82" t="s">
        <v>13449</v>
      </c>
      <c r="AY347" s="77"/>
      <c r="AZ347" s="82" t="s">
        <v>17385</v>
      </c>
      <c r="BA347" s="82" t="s">
        <v>17385</v>
      </c>
      <c r="BB347" s="82" t="s">
        <v>17385</v>
      </c>
      <c r="BC347" s="82" t="s">
        <v>13449</v>
      </c>
      <c r="BD347" s="77">
        <v>257625339</v>
      </c>
      <c r="BE347" s="77"/>
      <c r="BF347" s="77"/>
      <c r="BG347" s="77"/>
      <c r="BH347" s="77"/>
      <c r="BI347" s="77"/>
    </row>
    <row r="348" spans="1:61" x14ac:dyDescent="0.25">
      <c r="A348" s="62" t="s">
        <v>306</v>
      </c>
      <c r="B348" s="62" t="s">
        <v>306</v>
      </c>
      <c r="C348" s="63"/>
      <c r="D348" s="64"/>
      <c r="E348" s="65"/>
      <c r="F348" s="66"/>
      <c r="G348" s="63"/>
      <c r="H348" s="67"/>
      <c r="I348" s="68"/>
      <c r="J348" s="68"/>
      <c r="K348" s="32"/>
      <c r="L348" s="75">
        <v>348</v>
      </c>
      <c r="M348" s="75"/>
      <c r="N348" s="70"/>
      <c r="O348" s="77" t="s">
        <v>179</v>
      </c>
      <c r="P348" s="79">
        <v>45114.5625</v>
      </c>
      <c r="Q348" s="77" t="s">
        <v>1146</v>
      </c>
      <c r="R348" s="77">
        <v>0</v>
      </c>
      <c r="S348" s="77">
        <v>0</v>
      </c>
      <c r="T348" s="77">
        <v>0</v>
      </c>
      <c r="U348" s="77">
        <v>0</v>
      </c>
      <c r="V348" s="77">
        <v>8</v>
      </c>
      <c r="W348" s="82" t="s">
        <v>4855</v>
      </c>
      <c r="X348" s="80" t="str">
        <f>HYPERLINK("https://www.alagoasnanet.com.br/v3/medidas-preveem-acoes-voltadas-a-populacao-em-situacao-de-rua/")</f>
        <v>https://www.alagoasnanet.com.br/v3/medidas-preveem-acoes-voltadas-a-populacao-em-situacao-de-rua/</v>
      </c>
      <c r="Y348" s="77" t="s">
        <v>7053</v>
      </c>
      <c r="Z348" s="77"/>
      <c r="AA348" s="77"/>
      <c r="AB348" s="77"/>
      <c r="AC348" s="82" t="s">
        <v>8232</v>
      </c>
      <c r="AD348" s="77" t="s">
        <v>8278</v>
      </c>
      <c r="AE348" s="80" t="str">
        <f>HYPERLINK("https://twitter.com/alnanet/status/1677308987992342528")</f>
        <v>https://twitter.com/alnanet/status/1677308987992342528</v>
      </c>
      <c r="AF348" s="79">
        <v>45114.5625</v>
      </c>
      <c r="AG348" s="85">
        <v>45114</v>
      </c>
      <c r="AH348" s="82" t="s">
        <v>8627</v>
      </c>
      <c r="AI348" s="77" t="b">
        <v>0</v>
      </c>
      <c r="AJ348" s="77"/>
      <c r="AK348" s="77"/>
      <c r="AL348" s="77"/>
      <c r="AM348" s="77"/>
      <c r="AN348" s="77"/>
      <c r="AO348" s="77"/>
      <c r="AP348" s="77"/>
      <c r="AQ348" s="77"/>
      <c r="AR348" s="77"/>
      <c r="AS348" s="77"/>
      <c r="AT348" s="77"/>
      <c r="AU348" s="77"/>
      <c r="AV348" s="80" t="str">
        <f>HYPERLINK("https://pbs.twimg.com/profile_images/882492702318788608/4wf94PGZ_normal.jpg")</f>
        <v>https://pbs.twimg.com/profile_images/882492702318788608/4wf94PGZ_normal.jpg</v>
      </c>
      <c r="AW348" s="82" t="s">
        <v>13450</v>
      </c>
      <c r="AX348" s="82" t="s">
        <v>13450</v>
      </c>
      <c r="AY348" s="77"/>
      <c r="AZ348" s="82" t="s">
        <v>17385</v>
      </c>
      <c r="BA348" s="82" t="s">
        <v>17385</v>
      </c>
      <c r="BB348" s="82" t="s">
        <v>17385</v>
      </c>
      <c r="BC348" s="82" t="s">
        <v>13450</v>
      </c>
      <c r="BD348" s="77">
        <v>257625339</v>
      </c>
      <c r="BE348" s="77"/>
      <c r="BF348" s="77"/>
      <c r="BG348" s="77"/>
      <c r="BH348" s="77"/>
      <c r="BI348" s="77"/>
    </row>
    <row r="349" spans="1:61" x14ac:dyDescent="0.25">
      <c r="A349" s="62" t="s">
        <v>306</v>
      </c>
      <c r="B349" s="62" t="s">
        <v>306</v>
      </c>
      <c r="C349" s="63"/>
      <c r="D349" s="64"/>
      <c r="E349" s="65"/>
      <c r="F349" s="66"/>
      <c r="G349" s="63"/>
      <c r="H349" s="67"/>
      <c r="I349" s="68"/>
      <c r="J349" s="68"/>
      <c r="K349" s="32"/>
      <c r="L349" s="75">
        <v>349</v>
      </c>
      <c r="M349" s="75"/>
      <c r="N349" s="70"/>
      <c r="O349" s="77" t="s">
        <v>179</v>
      </c>
      <c r="P349" s="79">
        <v>45044.812719907408</v>
      </c>
      <c r="Q349" s="77" t="s">
        <v>1147</v>
      </c>
      <c r="R349" s="77">
        <v>0</v>
      </c>
      <c r="S349" s="77">
        <v>0</v>
      </c>
      <c r="T349" s="77">
        <v>0</v>
      </c>
      <c r="U349" s="77">
        <v>0</v>
      </c>
      <c r="V349" s="77">
        <v>2</v>
      </c>
      <c r="W349" s="82" t="s">
        <v>4855</v>
      </c>
      <c r="X349" s="80" t="str">
        <f>HYPERLINK("https://pst.cr/R91YZ")</f>
        <v>https://pst.cr/R91YZ</v>
      </c>
      <c r="Y349" s="77" t="s">
        <v>7076</v>
      </c>
      <c r="Z349" s="77"/>
      <c r="AA349" s="77"/>
      <c r="AB349" s="77"/>
      <c r="AC349" s="82" t="s">
        <v>8249</v>
      </c>
      <c r="AD349" s="77" t="s">
        <v>8278</v>
      </c>
      <c r="AE349" s="80" t="str">
        <f>HYPERLINK("https://twitter.com/alnanet/status/1652032514964201481")</f>
        <v>https://twitter.com/alnanet/status/1652032514964201481</v>
      </c>
      <c r="AF349" s="79">
        <v>45044.812719907408</v>
      </c>
      <c r="AG349" s="85">
        <v>45044</v>
      </c>
      <c r="AH349" s="82" t="s">
        <v>8628</v>
      </c>
      <c r="AI349" s="77" t="b">
        <v>0</v>
      </c>
      <c r="AJ349" s="77"/>
      <c r="AK349" s="77"/>
      <c r="AL349" s="77"/>
      <c r="AM349" s="77"/>
      <c r="AN349" s="77"/>
      <c r="AO349" s="77"/>
      <c r="AP349" s="77"/>
      <c r="AQ349" s="77"/>
      <c r="AR349" s="77"/>
      <c r="AS349" s="77"/>
      <c r="AT349" s="77"/>
      <c r="AU349" s="77"/>
      <c r="AV349" s="80" t="str">
        <f>HYPERLINK("https://pbs.twimg.com/profile_images/882492702318788608/4wf94PGZ_normal.jpg")</f>
        <v>https://pbs.twimg.com/profile_images/882492702318788608/4wf94PGZ_normal.jpg</v>
      </c>
      <c r="AW349" s="82" t="s">
        <v>13451</v>
      </c>
      <c r="AX349" s="82" t="s">
        <v>13451</v>
      </c>
      <c r="AY349" s="77"/>
      <c r="AZ349" s="82" t="s">
        <v>17385</v>
      </c>
      <c r="BA349" s="82" t="s">
        <v>17385</v>
      </c>
      <c r="BB349" s="82" t="s">
        <v>17385</v>
      </c>
      <c r="BC349" s="82" t="s">
        <v>13451</v>
      </c>
      <c r="BD349" s="77">
        <v>257625339</v>
      </c>
      <c r="BE349" s="77"/>
      <c r="BF349" s="77"/>
      <c r="BG349" s="77"/>
      <c r="BH349" s="77"/>
      <c r="BI349" s="77"/>
    </row>
    <row r="350" spans="1:61" x14ac:dyDescent="0.25">
      <c r="A350" s="62" t="s">
        <v>306</v>
      </c>
      <c r="B350" s="62" t="s">
        <v>306</v>
      </c>
      <c r="C350" s="63"/>
      <c r="D350" s="64"/>
      <c r="E350" s="65"/>
      <c r="F350" s="66"/>
      <c r="G350" s="63"/>
      <c r="H350" s="67"/>
      <c r="I350" s="68"/>
      <c r="J350" s="68"/>
      <c r="K350" s="32"/>
      <c r="L350" s="75">
        <v>350</v>
      </c>
      <c r="M350" s="75"/>
      <c r="N350" s="70"/>
      <c r="O350" s="77" t="s">
        <v>179</v>
      </c>
      <c r="P350" s="79">
        <v>45150.083333333336</v>
      </c>
      <c r="Q350" s="77" t="s">
        <v>1148</v>
      </c>
      <c r="R350" s="77">
        <v>0</v>
      </c>
      <c r="S350" s="77">
        <v>1</v>
      </c>
      <c r="T350" s="77">
        <v>0</v>
      </c>
      <c r="U350" s="77">
        <v>0</v>
      </c>
      <c r="V350" s="77">
        <v>11</v>
      </c>
      <c r="W350" s="82" t="s">
        <v>4855</v>
      </c>
      <c r="X350" s="80" t="str">
        <f>HYPERLINK("https://www.alagoasnanet.com.br/v3/agosto-lilas-policia-militar-intensifica-acoes-de-combate-a-violencia-contra-a-mulher/")</f>
        <v>https://www.alagoasnanet.com.br/v3/agosto-lilas-policia-militar-intensifica-acoes-de-combate-a-violencia-contra-a-mulher/</v>
      </c>
      <c r="Y350" s="77" t="s">
        <v>7053</v>
      </c>
      <c r="Z350" s="77"/>
      <c r="AA350" s="77"/>
      <c r="AB350" s="77"/>
      <c r="AC350" s="82" t="s">
        <v>8232</v>
      </c>
      <c r="AD350" s="77" t="s">
        <v>8278</v>
      </c>
      <c r="AE350" s="80" t="str">
        <f>HYPERLINK("https://twitter.com/alnanet/status/1690181306565771264")</f>
        <v>https://twitter.com/alnanet/status/1690181306565771264</v>
      </c>
      <c r="AF350" s="79">
        <v>45150.083333333336</v>
      </c>
      <c r="AG350" s="85">
        <v>45150</v>
      </c>
      <c r="AH350" s="82" t="s">
        <v>8370</v>
      </c>
      <c r="AI350" s="77" t="b">
        <v>0</v>
      </c>
      <c r="AJ350" s="77"/>
      <c r="AK350" s="77"/>
      <c r="AL350" s="77"/>
      <c r="AM350" s="77"/>
      <c r="AN350" s="77"/>
      <c r="AO350" s="77"/>
      <c r="AP350" s="77"/>
      <c r="AQ350" s="77"/>
      <c r="AR350" s="77"/>
      <c r="AS350" s="77"/>
      <c r="AT350" s="77"/>
      <c r="AU350" s="77"/>
      <c r="AV350" s="80" t="str">
        <f>HYPERLINK("https://pbs.twimg.com/profile_images/882492702318788608/4wf94PGZ_normal.jpg")</f>
        <v>https://pbs.twimg.com/profile_images/882492702318788608/4wf94PGZ_normal.jpg</v>
      </c>
      <c r="AW350" s="82" t="s">
        <v>13452</v>
      </c>
      <c r="AX350" s="82" t="s">
        <v>13452</v>
      </c>
      <c r="AY350" s="77"/>
      <c r="AZ350" s="82" t="s">
        <v>17385</v>
      </c>
      <c r="BA350" s="82" t="s">
        <v>17385</v>
      </c>
      <c r="BB350" s="82" t="s">
        <v>17385</v>
      </c>
      <c r="BC350" s="82" t="s">
        <v>13452</v>
      </c>
      <c r="BD350" s="77">
        <v>257625339</v>
      </c>
      <c r="BE350" s="77"/>
      <c r="BF350" s="77"/>
      <c r="BG350" s="77"/>
      <c r="BH350" s="77"/>
      <c r="BI350" s="77"/>
    </row>
    <row r="351" spans="1:61" x14ac:dyDescent="0.25">
      <c r="A351" s="62" t="s">
        <v>306</v>
      </c>
      <c r="B351" s="62" t="s">
        <v>306</v>
      </c>
      <c r="C351" s="63"/>
      <c r="D351" s="64"/>
      <c r="E351" s="65"/>
      <c r="F351" s="66"/>
      <c r="G351" s="63"/>
      <c r="H351" s="67"/>
      <c r="I351" s="68"/>
      <c r="J351" s="68"/>
      <c r="K351" s="32"/>
      <c r="L351" s="75">
        <v>351</v>
      </c>
      <c r="M351" s="75"/>
      <c r="N351" s="70"/>
      <c r="O351" s="77" t="s">
        <v>179</v>
      </c>
      <c r="P351" s="79">
        <v>45142.604166666664</v>
      </c>
      <c r="Q351" s="77" t="s">
        <v>1149</v>
      </c>
      <c r="R351" s="77">
        <v>0</v>
      </c>
      <c r="S351" s="77">
        <v>0</v>
      </c>
      <c r="T351" s="77">
        <v>0</v>
      </c>
      <c r="U351" s="77">
        <v>0</v>
      </c>
      <c r="V351" s="77">
        <v>4</v>
      </c>
      <c r="W351" s="82" t="s">
        <v>4855</v>
      </c>
      <c r="X351" s="80" t="str">
        <f>HYPERLINK("https://www.alagoasnanet.com.br/v3/governo-apresenta-propostas-para-combater-o-racismo-no-esporte/")</f>
        <v>https://www.alagoasnanet.com.br/v3/governo-apresenta-propostas-para-combater-o-racismo-no-esporte/</v>
      </c>
      <c r="Y351" s="77" t="s">
        <v>7053</v>
      </c>
      <c r="Z351" s="77"/>
      <c r="AA351" s="77"/>
      <c r="AB351" s="77"/>
      <c r="AC351" s="82" t="s">
        <v>8232</v>
      </c>
      <c r="AD351" s="77" t="s">
        <v>8278</v>
      </c>
      <c r="AE351" s="80" t="str">
        <f>HYPERLINK("https://twitter.com/alnanet/status/1687470948469886976")</f>
        <v>https://twitter.com/alnanet/status/1687470948469886976</v>
      </c>
      <c r="AF351" s="79">
        <v>45142.604166666664</v>
      </c>
      <c r="AG351" s="85">
        <v>45142</v>
      </c>
      <c r="AH351" s="82" t="s">
        <v>8629</v>
      </c>
      <c r="AI351" s="77" t="b">
        <v>0</v>
      </c>
      <c r="AJ351" s="77"/>
      <c r="AK351" s="77"/>
      <c r="AL351" s="77"/>
      <c r="AM351" s="77"/>
      <c r="AN351" s="77"/>
      <c r="AO351" s="77"/>
      <c r="AP351" s="77"/>
      <c r="AQ351" s="77"/>
      <c r="AR351" s="77"/>
      <c r="AS351" s="77"/>
      <c r="AT351" s="77"/>
      <c r="AU351" s="77"/>
      <c r="AV351" s="80" t="str">
        <f>HYPERLINK("https://pbs.twimg.com/profile_images/882492702318788608/4wf94PGZ_normal.jpg")</f>
        <v>https://pbs.twimg.com/profile_images/882492702318788608/4wf94PGZ_normal.jpg</v>
      </c>
      <c r="AW351" s="82" t="s">
        <v>13453</v>
      </c>
      <c r="AX351" s="82" t="s">
        <v>13453</v>
      </c>
      <c r="AY351" s="77"/>
      <c r="AZ351" s="82" t="s">
        <v>17385</v>
      </c>
      <c r="BA351" s="82" t="s">
        <v>17385</v>
      </c>
      <c r="BB351" s="82" t="s">
        <v>17385</v>
      </c>
      <c r="BC351" s="82" t="s">
        <v>13453</v>
      </c>
      <c r="BD351" s="77">
        <v>257625339</v>
      </c>
      <c r="BE351" s="77"/>
      <c r="BF351" s="77"/>
      <c r="BG351" s="77"/>
      <c r="BH351" s="77"/>
      <c r="BI351" s="77"/>
    </row>
    <row r="352" spans="1:61" x14ac:dyDescent="0.25">
      <c r="A352" s="62" t="s">
        <v>306</v>
      </c>
      <c r="B352" s="62" t="s">
        <v>306</v>
      </c>
      <c r="C352" s="63"/>
      <c r="D352" s="64"/>
      <c r="E352" s="65"/>
      <c r="F352" s="66"/>
      <c r="G352" s="63"/>
      <c r="H352" s="67"/>
      <c r="I352" s="68"/>
      <c r="J352" s="68"/>
      <c r="K352" s="32"/>
      <c r="L352" s="75">
        <v>352</v>
      </c>
      <c r="M352" s="75"/>
      <c r="N352" s="70"/>
      <c r="O352" s="77" t="s">
        <v>179</v>
      </c>
      <c r="P352" s="79">
        <v>45062.8125</v>
      </c>
      <c r="Q352" s="77" t="s">
        <v>1150</v>
      </c>
      <c r="R352" s="77">
        <v>0</v>
      </c>
      <c r="S352" s="77">
        <v>1</v>
      </c>
      <c r="T352" s="77">
        <v>0</v>
      </c>
      <c r="U352" s="77">
        <v>0</v>
      </c>
      <c r="V352" s="77">
        <v>11</v>
      </c>
      <c r="W352" s="82" t="s">
        <v>4855</v>
      </c>
      <c r="X352" s="80" t="str">
        <f>HYPERLINK("https://www.alagoasnanet.com.br/v3/delmiro-gouveia-recebera-programa-do-governo-de-alagoas-na-proxima-6a/")</f>
        <v>https://www.alagoasnanet.com.br/v3/delmiro-gouveia-recebera-programa-do-governo-de-alagoas-na-proxima-6a/</v>
      </c>
      <c r="Y352" s="77" t="s">
        <v>7053</v>
      </c>
      <c r="Z352" s="77"/>
      <c r="AA352" s="77"/>
      <c r="AB352" s="77"/>
      <c r="AC352" s="82" t="s">
        <v>8232</v>
      </c>
      <c r="AD352" s="77" t="s">
        <v>8278</v>
      </c>
      <c r="AE352" s="80" t="str">
        <f>HYPERLINK("https://twitter.com/alnanet/status/1658555417734291457")</f>
        <v>https://twitter.com/alnanet/status/1658555417734291457</v>
      </c>
      <c r="AF352" s="79">
        <v>45062.8125</v>
      </c>
      <c r="AG352" s="85">
        <v>45062</v>
      </c>
      <c r="AH352" s="82" t="s">
        <v>8630</v>
      </c>
      <c r="AI352" s="77" t="b">
        <v>0</v>
      </c>
      <c r="AJ352" s="77"/>
      <c r="AK352" s="77"/>
      <c r="AL352" s="77"/>
      <c r="AM352" s="77"/>
      <c r="AN352" s="77"/>
      <c r="AO352" s="77"/>
      <c r="AP352" s="77"/>
      <c r="AQ352" s="77"/>
      <c r="AR352" s="77"/>
      <c r="AS352" s="77"/>
      <c r="AT352" s="77"/>
      <c r="AU352" s="77"/>
      <c r="AV352" s="80" t="str">
        <f>HYPERLINK("https://pbs.twimg.com/profile_images/882492702318788608/4wf94PGZ_normal.jpg")</f>
        <v>https://pbs.twimg.com/profile_images/882492702318788608/4wf94PGZ_normal.jpg</v>
      </c>
      <c r="AW352" s="82" t="s">
        <v>13454</v>
      </c>
      <c r="AX352" s="82" t="s">
        <v>13454</v>
      </c>
      <c r="AY352" s="77"/>
      <c r="AZ352" s="82" t="s">
        <v>17385</v>
      </c>
      <c r="BA352" s="82" t="s">
        <v>17385</v>
      </c>
      <c r="BB352" s="82" t="s">
        <v>17385</v>
      </c>
      <c r="BC352" s="82" t="s">
        <v>13454</v>
      </c>
      <c r="BD352" s="77">
        <v>257625339</v>
      </c>
      <c r="BE352" s="77"/>
      <c r="BF352" s="77"/>
      <c r="BG352" s="77"/>
      <c r="BH352" s="77"/>
      <c r="BI352" s="77"/>
    </row>
    <row r="353" spans="1:61" x14ac:dyDescent="0.25">
      <c r="A353" s="62" t="s">
        <v>306</v>
      </c>
      <c r="B353" s="62" t="s">
        <v>306</v>
      </c>
      <c r="C353" s="63"/>
      <c r="D353" s="64"/>
      <c r="E353" s="65"/>
      <c r="F353" s="66"/>
      <c r="G353" s="63"/>
      <c r="H353" s="67"/>
      <c r="I353" s="68"/>
      <c r="J353" s="68"/>
      <c r="K353" s="32"/>
      <c r="L353" s="75">
        <v>353</v>
      </c>
      <c r="M353" s="75"/>
      <c r="N353" s="70"/>
      <c r="O353" s="77" t="s">
        <v>179</v>
      </c>
      <c r="P353" s="79">
        <v>45191.583356481482</v>
      </c>
      <c r="Q353" s="77" t="s">
        <v>1151</v>
      </c>
      <c r="R353" s="77">
        <v>0</v>
      </c>
      <c r="S353" s="77">
        <v>0</v>
      </c>
      <c r="T353" s="77">
        <v>0</v>
      </c>
      <c r="U353" s="77">
        <v>0</v>
      </c>
      <c r="V353" s="77">
        <v>12</v>
      </c>
      <c r="W353" s="82" t="s">
        <v>4855</v>
      </c>
      <c r="X353" s="80" t="str">
        <f>HYPERLINK("https://www.alagoasnanet.com.br/v3/tjal-ale-e-abrasel-iniciam-parceria-em-combate-a-violencia-domestica/")</f>
        <v>https://www.alagoasnanet.com.br/v3/tjal-ale-e-abrasel-iniciam-parceria-em-combate-a-violencia-domestica/</v>
      </c>
      <c r="Y353" s="77" t="s">
        <v>7053</v>
      </c>
      <c r="Z353" s="77"/>
      <c r="AA353" s="77"/>
      <c r="AB353" s="77"/>
      <c r="AC353" s="82" t="s">
        <v>8232</v>
      </c>
      <c r="AD353" s="77" t="s">
        <v>8278</v>
      </c>
      <c r="AE353" s="80" t="str">
        <f>HYPERLINK("https://twitter.com/alnanet/status/1705220412328521758")</f>
        <v>https://twitter.com/alnanet/status/1705220412328521758</v>
      </c>
      <c r="AF353" s="79">
        <v>45191.583356481482</v>
      </c>
      <c r="AG353" s="85">
        <v>45191</v>
      </c>
      <c r="AH353" s="82" t="s">
        <v>8631</v>
      </c>
      <c r="AI353" s="77" t="b">
        <v>0</v>
      </c>
      <c r="AJ353" s="77"/>
      <c r="AK353" s="77"/>
      <c r="AL353" s="77"/>
      <c r="AM353" s="77"/>
      <c r="AN353" s="77"/>
      <c r="AO353" s="77"/>
      <c r="AP353" s="77"/>
      <c r="AQ353" s="77"/>
      <c r="AR353" s="77"/>
      <c r="AS353" s="77"/>
      <c r="AT353" s="77"/>
      <c r="AU353" s="77"/>
      <c r="AV353" s="80" t="str">
        <f>HYPERLINK("https://pbs.twimg.com/profile_images/882492702318788608/4wf94PGZ_normal.jpg")</f>
        <v>https://pbs.twimg.com/profile_images/882492702318788608/4wf94PGZ_normal.jpg</v>
      </c>
      <c r="AW353" s="82" t="s">
        <v>13455</v>
      </c>
      <c r="AX353" s="82" t="s">
        <v>13455</v>
      </c>
      <c r="AY353" s="77"/>
      <c r="AZ353" s="82" t="s">
        <v>17385</v>
      </c>
      <c r="BA353" s="82" t="s">
        <v>17385</v>
      </c>
      <c r="BB353" s="82" t="s">
        <v>17385</v>
      </c>
      <c r="BC353" s="82" t="s">
        <v>13455</v>
      </c>
      <c r="BD353" s="77">
        <v>257625339</v>
      </c>
      <c r="BE353" s="77"/>
      <c r="BF353" s="77"/>
      <c r="BG353" s="77"/>
      <c r="BH353" s="77"/>
      <c r="BI353" s="77"/>
    </row>
    <row r="354" spans="1:61" x14ac:dyDescent="0.25">
      <c r="A354" s="62" t="s">
        <v>306</v>
      </c>
      <c r="B354" s="62" t="s">
        <v>306</v>
      </c>
      <c r="C354" s="63"/>
      <c r="D354" s="64"/>
      <c r="E354" s="65"/>
      <c r="F354" s="66"/>
      <c r="G354" s="63"/>
      <c r="H354" s="67"/>
      <c r="I354" s="68"/>
      <c r="J354" s="68"/>
      <c r="K354" s="32"/>
      <c r="L354" s="75">
        <v>354</v>
      </c>
      <c r="M354" s="75"/>
      <c r="N354" s="70"/>
      <c r="O354" s="77" t="s">
        <v>179</v>
      </c>
      <c r="P354" s="79">
        <v>45066.375023148146</v>
      </c>
      <c r="Q354" s="77" t="s">
        <v>1152</v>
      </c>
      <c r="R354" s="77">
        <v>0</v>
      </c>
      <c r="S354" s="77">
        <v>0</v>
      </c>
      <c r="T354" s="77">
        <v>0</v>
      </c>
      <c r="U354" s="77">
        <v>0</v>
      </c>
      <c r="V354" s="77">
        <v>6</v>
      </c>
      <c r="W354" s="82" t="s">
        <v>4855</v>
      </c>
      <c r="X354" s="80" t="str">
        <f>HYPERLINK("https://www.alagoasnanet.com.br/v3/governo-trabalhando-seris-da-inicio-a-acoes-no-sertao-alagoano/?amp=1")</f>
        <v>https://www.alagoasnanet.com.br/v3/governo-trabalhando-seris-da-inicio-a-acoes-no-sertao-alagoano/?amp=1</v>
      </c>
      <c r="Y354" s="77" t="s">
        <v>7053</v>
      </c>
      <c r="Z354" s="77"/>
      <c r="AA354" s="77"/>
      <c r="AB354" s="77"/>
      <c r="AC354" s="82" t="s">
        <v>8232</v>
      </c>
      <c r="AD354" s="77" t="s">
        <v>8278</v>
      </c>
      <c r="AE354" s="80" t="str">
        <f>HYPERLINK("https://twitter.com/alnanet/status/1659846431593893889")</f>
        <v>https://twitter.com/alnanet/status/1659846431593893889</v>
      </c>
      <c r="AF354" s="79">
        <v>45066.375023148146</v>
      </c>
      <c r="AG354" s="85">
        <v>45066</v>
      </c>
      <c r="AH354" s="82" t="s">
        <v>8632</v>
      </c>
      <c r="AI354" s="77" t="b">
        <v>0</v>
      </c>
      <c r="AJ354" s="77"/>
      <c r="AK354" s="77"/>
      <c r="AL354" s="77"/>
      <c r="AM354" s="77"/>
      <c r="AN354" s="77"/>
      <c r="AO354" s="77"/>
      <c r="AP354" s="77"/>
      <c r="AQ354" s="77"/>
      <c r="AR354" s="77"/>
      <c r="AS354" s="77"/>
      <c r="AT354" s="77"/>
      <c r="AU354" s="77"/>
      <c r="AV354" s="80" t="str">
        <f>HYPERLINK("https://pbs.twimg.com/profile_images/882492702318788608/4wf94PGZ_normal.jpg")</f>
        <v>https://pbs.twimg.com/profile_images/882492702318788608/4wf94PGZ_normal.jpg</v>
      </c>
      <c r="AW354" s="82" t="s">
        <v>13456</v>
      </c>
      <c r="AX354" s="82" t="s">
        <v>13456</v>
      </c>
      <c r="AY354" s="77"/>
      <c r="AZ354" s="82" t="s">
        <v>17385</v>
      </c>
      <c r="BA354" s="82" t="s">
        <v>17385</v>
      </c>
      <c r="BB354" s="82" t="s">
        <v>17385</v>
      </c>
      <c r="BC354" s="82" t="s">
        <v>13456</v>
      </c>
      <c r="BD354" s="77">
        <v>257625339</v>
      </c>
      <c r="BE354" s="77"/>
      <c r="BF354" s="77"/>
      <c r="BG354" s="77"/>
      <c r="BH354" s="77"/>
      <c r="BI354" s="77"/>
    </row>
    <row r="355" spans="1:61" x14ac:dyDescent="0.25">
      <c r="A355" s="62" t="s">
        <v>306</v>
      </c>
      <c r="B355" s="62" t="s">
        <v>306</v>
      </c>
      <c r="C355" s="63"/>
      <c r="D355" s="64"/>
      <c r="E355" s="65"/>
      <c r="F355" s="66"/>
      <c r="G355" s="63"/>
      <c r="H355" s="67"/>
      <c r="I355" s="68"/>
      <c r="J355" s="68"/>
      <c r="K355" s="32"/>
      <c r="L355" s="75">
        <v>355</v>
      </c>
      <c r="M355" s="75"/>
      <c r="N355" s="70"/>
      <c r="O355" s="77" t="s">
        <v>179</v>
      </c>
      <c r="P355" s="79">
        <v>45065.666678240741</v>
      </c>
      <c r="Q355" s="77" t="s">
        <v>1153</v>
      </c>
      <c r="R355" s="77">
        <v>0</v>
      </c>
      <c r="S355" s="77">
        <v>0</v>
      </c>
      <c r="T355" s="77">
        <v>0</v>
      </c>
      <c r="U355" s="77">
        <v>0</v>
      </c>
      <c r="V355" s="77">
        <v>4</v>
      </c>
      <c r="W355" s="82" t="s">
        <v>4855</v>
      </c>
      <c r="X355" s="80" t="str">
        <f>HYPERLINK("https://www.alagoasnanet.com.br/v3/semarh-levara-diversas-acoes-ao-sertao-alagoano-nesta-sexta-e-sabado/?amp=1")</f>
        <v>https://www.alagoasnanet.com.br/v3/semarh-levara-diversas-acoes-ao-sertao-alagoano-nesta-sexta-e-sabado/?amp=1</v>
      </c>
      <c r="Y355" s="77" t="s">
        <v>7053</v>
      </c>
      <c r="Z355" s="77"/>
      <c r="AA355" s="77"/>
      <c r="AB355" s="77"/>
      <c r="AC355" s="82" t="s">
        <v>8232</v>
      </c>
      <c r="AD355" s="77" t="s">
        <v>8278</v>
      </c>
      <c r="AE355" s="80" t="str">
        <f>HYPERLINK("https://twitter.com/alnanet/status/1659589737760292865")</f>
        <v>https://twitter.com/alnanet/status/1659589737760292865</v>
      </c>
      <c r="AF355" s="79">
        <v>45065.666678240741</v>
      </c>
      <c r="AG355" s="85">
        <v>45065</v>
      </c>
      <c r="AH355" s="82" t="s">
        <v>8633</v>
      </c>
      <c r="AI355" s="77" t="b">
        <v>0</v>
      </c>
      <c r="AJ355" s="77"/>
      <c r="AK355" s="77"/>
      <c r="AL355" s="77"/>
      <c r="AM355" s="77"/>
      <c r="AN355" s="77"/>
      <c r="AO355" s="77"/>
      <c r="AP355" s="77"/>
      <c r="AQ355" s="77"/>
      <c r="AR355" s="77"/>
      <c r="AS355" s="77"/>
      <c r="AT355" s="77"/>
      <c r="AU355" s="77"/>
      <c r="AV355" s="80" t="str">
        <f>HYPERLINK("https://pbs.twimg.com/profile_images/882492702318788608/4wf94PGZ_normal.jpg")</f>
        <v>https://pbs.twimg.com/profile_images/882492702318788608/4wf94PGZ_normal.jpg</v>
      </c>
      <c r="AW355" s="82" t="s">
        <v>13457</v>
      </c>
      <c r="AX355" s="82" t="s">
        <v>13457</v>
      </c>
      <c r="AY355" s="77"/>
      <c r="AZ355" s="82" t="s">
        <v>17385</v>
      </c>
      <c r="BA355" s="82" t="s">
        <v>17385</v>
      </c>
      <c r="BB355" s="82" t="s">
        <v>17385</v>
      </c>
      <c r="BC355" s="82" t="s">
        <v>13457</v>
      </c>
      <c r="BD355" s="77">
        <v>257625339</v>
      </c>
      <c r="BE355" s="77"/>
      <c r="BF355" s="77"/>
      <c r="BG355" s="77"/>
      <c r="BH355" s="77"/>
      <c r="BI355" s="77"/>
    </row>
    <row r="356" spans="1:61" x14ac:dyDescent="0.25">
      <c r="A356" s="62" t="s">
        <v>306</v>
      </c>
      <c r="B356" s="62" t="s">
        <v>306</v>
      </c>
      <c r="C356" s="63"/>
      <c r="D356" s="64"/>
      <c r="E356" s="65"/>
      <c r="F356" s="66"/>
      <c r="G356" s="63"/>
      <c r="H356" s="67"/>
      <c r="I356" s="68"/>
      <c r="J356" s="68"/>
      <c r="K356" s="32"/>
      <c r="L356" s="75">
        <v>356</v>
      </c>
      <c r="M356" s="75"/>
      <c r="N356" s="70"/>
      <c r="O356" s="77" t="s">
        <v>179</v>
      </c>
      <c r="P356" s="79">
        <v>45065.583356481482</v>
      </c>
      <c r="Q356" s="77" t="s">
        <v>1154</v>
      </c>
      <c r="R356" s="77">
        <v>0</v>
      </c>
      <c r="S356" s="77">
        <v>0</v>
      </c>
      <c r="T356" s="77">
        <v>0</v>
      </c>
      <c r="U356" s="77">
        <v>0</v>
      </c>
      <c r="V356" s="77">
        <v>14</v>
      </c>
      <c r="W356" s="82" t="s">
        <v>4855</v>
      </c>
      <c r="X356" s="80" t="str">
        <f>HYPERLINK("https://www.alagoasnanet.com.br/v3/ima-leva-acoes-para-o-sertao-de-alagoas-durante-o-governo-trabalhando/?amp=1")</f>
        <v>https://www.alagoasnanet.com.br/v3/ima-leva-acoes-para-o-sertao-de-alagoas-durante-o-governo-trabalhando/?amp=1</v>
      </c>
      <c r="Y356" s="77" t="s">
        <v>7053</v>
      </c>
      <c r="Z356" s="77"/>
      <c r="AA356" s="77"/>
      <c r="AB356" s="77"/>
      <c r="AC356" s="82" t="s">
        <v>8232</v>
      </c>
      <c r="AD356" s="77" t="s">
        <v>8278</v>
      </c>
      <c r="AE356" s="80" t="str">
        <f>HYPERLINK("https://twitter.com/alnanet/status/1659559542697390081")</f>
        <v>https://twitter.com/alnanet/status/1659559542697390081</v>
      </c>
      <c r="AF356" s="79">
        <v>45065.583356481482</v>
      </c>
      <c r="AG356" s="85">
        <v>45065</v>
      </c>
      <c r="AH356" s="82" t="s">
        <v>8631</v>
      </c>
      <c r="AI356" s="77" t="b">
        <v>0</v>
      </c>
      <c r="AJ356" s="77"/>
      <c r="AK356" s="77"/>
      <c r="AL356" s="77"/>
      <c r="AM356" s="77"/>
      <c r="AN356" s="77"/>
      <c r="AO356" s="77"/>
      <c r="AP356" s="77"/>
      <c r="AQ356" s="77"/>
      <c r="AR356" s="77"/>
      <c r="AS356" s="77"/>
      <c r="AT356" s="77"/>
      <c r="AU356" s="77"/>
      <c r="AV356" s="80" t="str">
        <f>HYPERLINK("https://pbs.twimg.com/profile_images/882492702318788608/4wf94PGZ_normal.jpg")</f>
        <v>https://pbs.twimg.com/profile_images/882492702318788608/4wf94PGZ_normal.jpg</v>
      </c>
      <c r="AW356" s="82" t="s">
        <v>13458</v>
      </c>
      <c r="AX356" s="82" t="s">
        <v>13458</v>
      </c>
      <c r="AY356" s="77"/>
      <c r="AZ356" s="82" t="s">
        <v>17385</v>
      </c>
      <c r="BA356" s="82" t="s">
        <v>17385</v>
      </c>
      <c r="BB356" s="82" t="s">
        <v>17385</v>
      </c>
      <c r="BC356" s="82" t="s">
        <v>13458</v>
      </c>
      <c r="BD356" s="77">
        <v>257625339</v>
      </c>
      <c r="BE356" s="77"/>
      <c r="BF356" s="77"/>
      <c r="BG356" s="77"/>
      <c r="BH356" s="77"/>
      <c r="BI356" s="77"/>
    </row>
    <row r="357" spans="1:61" x14ac:dyDescent="0.25">
      <c r="A357" s="62" t="s">
        <v>307</v>
      </c>
      <c r="B357" s="62" t="s">
        <v>307</v>
      </c>
      <c r="C357" s="63"/>
      <c r="D357" s="64"/>
      <c r="E357" s="65"/>
      <c r="F357" s="66"/>
      <c r="G357" s="63"/>
      <c r="H357" s="67"/>
      <c r="I357" s="68"/>
      <c r="J357" s="68"/>
      <c r="K357" s="32"/>
      <c r="L357" s="75">
        <v>357</v>
      </c>
      <c r="M357" s="75"/>
      <c r="N357" s="70"/>
      <c r="O357" s="77" t="s">
        <v>179</v>
      </c>
      <c r="P357" s="79">
        <v>45072.614525462966</v>
      </c>
      <c r="Q357" s="77" t="s">
        <v>1155</v>
      </c>
      <c r="R357" s="77">
        <v>0</v>
      </c>
      <c r="S357" s="77">
        <v>0</v>
      </c>
      <c r="T357" s="77">
        <v>0</v>
      </c>
      <c r="U357" s="77">
        <v>0</v>
      </c>
      <c r="V357" s="77">
        <v>70</v>
      </c>
      <c r="W357" s="82" t="s">
        <v>5019</v>
      </c>
      <c r="X357" s="80" t="str">
        <f>HYPERLINK("https://open.spotify.com/episode/6MRfCLyNsu9byknV2Kf1fX?si=TYqrw-aNR0aGZNa2YlfCMw")</f>
        <v>https://open.spotify.com/episode/6MRfCLyNsu9byknV2Kf1fX?si=TYqrw-aNR0aGZNa2YlfCMw</v>
      </c>
      <c r="Y357" s="77" t="s">
        <v>7077</v>
      </c>
      <c r="Z357" s="77"/>
      <c r="AA357" s="77" t="s">
        <v>7433</v>
      </c>
      <c r="AB357" s="77" t="s">
        <v>8225</v>
      </c>
      <c r="AC357" s="82" t="s">
        <v>8232</v>
      </c>
      <c r="AD357" s="77" t="s">
        <v>8278</v>
      </c>
      <c r="AE357" s="80" t="str">
        <f>HYPERLINK("https://twitter.com/crfminas/status/1662107552237121537")</f>
        <v>https://twitter.com/crfminas/status/1662107552237121537</v>
      </c>
      <c r="AF357" s="79">
        <v>45072.614525462966</v>
      </c>
      <c r="AG357" s="85">
        <v>45072</v>
      </c>
      <c r="AH357" s="82" t="s">
        <v>8634</v>
      </c>
      <c r="AI357" s="77" t="b">
        <v>0</v>
      </c>
      <c r="AJ357" s="77"/>
      <c r="AK357" s="77"/>
      <c r="AL357" s="77"/>
      <c r="AM357" s="77"/>
      <c r="AN357" s="77"/>
      <c r="AO357" s="77"/>
      <c r="AP357" s="77"/>
      <c r="AQ357" s="77" t="s">
        <v>12318</v>
      </c>
      <c r="AR357" s="77"/>
      <c r="AS357" s="77"/>
      <c r="AT357" s="77"/>
      <c r="AU357" s="77"/>
      <c r="AV357" s="80" t="str">
        <f>HYPERLINK("https://pbs.twimg.com/media/FxD99L0XsAQ1Cyr.jpg")</f>
        <v>https://pbs.twimg.com/media/FxD99L0XsAQ1Cyr.jpg</v>
      </c>
      <c r="AW357" s="82" t="s">
        <v>13459</v>
      </c>
      <c r="AX357" s="82" t="s">
        <v>13459</v>
      </c>
      <c r="AY357" s="77"/>
      <c r="AZ357" s="82" t="s">
        <v>17385</v>
      </c>
      <c r="BA357" s="82" t="s">
        <v>17385</v>
      </c>
      <c r="BB357" s="82" t="s">
        <v>17385</v>
      </c>
      <c r="BC357" s="82" t="s">
        <v>13459</v>
      </c>
      <c r="BD357" s="82" t="s">
        <v>17482</v>
      </c>
      <c r="BE357" s="77"/>
      <c r="BF357" s="77"/>
      <c r="BG357" s="77"/>
      <c r="BH357" s="77"/>
      <c r="BI357" s="77"/>
    </row>
    <row r="358" spans="1:61" x14ac:dyDescent="0.25">
      <c r="A358" s="62" t="s">
        <v>308</v>
      </c>
      <c r="B358" s="62" t="s">
        <v>308</v>
      </c>
      <c r="C358" s="63"/>
      <c r="D358" s="64"/>
      <c r="E358" s="65"/>
      <c r="F358" s="66"/>
      <c r="G358" s="63"/>
      <c r="H358" s="67"/>
      <c r="I358" s="68"/>
      <c r="J358" s="68"/>
      <c r="K358" s="32"/>
      <c r="L358" s="75">
        <v>358</v>
      </c>
      <c r="M358" s="75"/>
      <c r="N358" s="70"/>
      <c r="O358" s="77" t="s">
        <v>179</v>
      </c>
      <c r="P358" s="79">
        <v>45096.85261574074</v>
      </c>
      <c r="Q358" s="77" t="s">
        <v>1156</v>
      </c>
      <c r="R358" s="77">
        <v>0</v>
      </c>
      <c r="S358" s="77">
        <v>0</v>
      </c>
      <c r="T358" s="77">
        <v>0</v>
      </c>
      <c r="U358" s="77">
        <v>0</v>
      </c>
      <c r="V358" s="77">
        <v>11</v>
      </c>
      <c r="W358" s="82" t="s">
        <v>5020</v>
      </c>
      <c r="X358" s="77"/>
      <c r="Y358" s="77"/>
      <c r="Z358" s="77"/>
      <c r="AA358" s="77" t="s">
        <v>7434</v>
      </c>
      <c r="AB358" s="77" t="s">
        <v>8229</v>
      </c>
      <c r="AC358" s="82" t="s">
        <v>8232</v>
      </c>
      <c r="AD358" s="77" t="s">
        <v>8278</v>
      </c>
      <c r="AE358" s="80" t="str">
        <f>HYPERLINK("https://twitter.com/moprify/status/1670891141221212160")</f>
        <v>https://twitter.com/moprify/status/1670891141221212160</v>
      </c>
      <c r="AF358" s="79">
        <v>45096.85261574074</v>
      </c>
      <c r="AG358" s="85">
        <v>45096</v>
      </c>
      <c r="AH358" s="82" t="s">
        <v>8635</v>
      </c>
      <c r="AI358" s="77" t="b">
        <v>0</v>
      </c>
      <c r="AJ358" s="77"/>
      <c r="AK358" s="77"/>
      <c r="AL358" s="77"/>
      <c r="AM358" s="77"/>
      <c r="AN358" s="77"/>
      <c r="AO358" s="77"/>
      <c r="AP358" s="77"/>
      <c r="AQ358" s="77" t="s">
        <v>12319</v>
      </c>
      <c r="AR358" s="77"/>
      <c r="AS358" s="77"/>
      <c r="AT358" s="77"/>
      <c r="AU358" s="77"/>
      <c r="AV358" s="80" t="str">
        <f>HYPERLINK("https://pbs.twimg.com/media/FzAxPjDWcAMZr-X.png")</f>
        <v>https://pbs.twimg.com/media/FzAxPjDWcAMZr-X.png</v>
      </c>
      <c r="AW358" s="82" t="s">
        <v>13460</v>
      </c>
      <c r="AX358" s="82" t="s">
        <v>13460</v>
      </c>
      <c r="AY358" s="77"/>
      <c r="AZ358" s="82" t="s">
        <v>17385</v>
      </c>
      <c r="BA358" s="82" t="s">
        <v>17385</v>
      </c>
      <c r="BB358" s="82" t="s">
        <v>17385</v>
      </c>
      <c r="BC358" s="82" t="s">
        <v>13460</v>
      </c>
      <c r="BD358" s="82" t="s">
        <v>17483</v>
      </c>
      <c r="BE358" s="77"/>
      <c r="BF358" s="77"/>
      <c r="BG358" s="77"/>
      <c r="BH358" s="77"/>
      <c r="BI358" s="77"/>
    </row>
    <row r="359" spans="1:61" x14ac:dyDescent="0.25">
      <c r="A359" s="62" t="s">
        <v>308</v>
      </c>
      <c r="B359" s="62" t="s">
        <v>308</v>
      </c>
      <c r="C359" s="63"/>
      <c r="D359" s="64"/>
      <c r="E359" s="65"/>
      <c r="F359" s="66"/>
      <c r="G359" s="63"/>
      <c r="H359" s="67"/>
      <c r="I359" s="68"/>
      <c r="J359" s="68"/>
      <c r="K359" s="32"/>
      <c r="L359" s="75">
        <v>359</v>
      </c>
      <c r="M359" s="75"/>
      <c r="N359" s="70"/>
      <c r="O359" s="77" t="s">
        <v>179</v>
      </c>
      <c r="P359" s="79">
        <v>45098.688101851854</v>
      </c>
      <c r="Q359" s="77" t="s">
        <v>1157</v>
      </c>
      <c r="R359" s="77">
        <v>0</v>
      </c>
      <c r="S359" s="77">
        <v>0</v>
      </c>
      <c r="T359" s="77">
        <v>0</v>
      </c>
      <c r="U359" s="77">
        <v>0</v>
      </c>
      <c r="V359" s="77">
        <v>17</v>
      </c>
      <c r="W359" s="82" t="s">
        <v>5021</v>
      </c>
      <c r="X359" s="77"/>
      <c r="Y359" s="77"/>
      <c r="Z359" s="77"/>
      <c r="AA359" s="77" t="s">
        <v>7435</v>
      </c>
      <c r="AB359" s="77" t="s">
        <v>8225</v>
      </c>
      <c r="AC359" s="82" t="s">
        <v>8232</v>
      </c>
      <c r="AD359" s="77" t="s">
        <v>8278</v>
      </c>
      <c r="AE359" s="80" t="str">
        <f>HYPERLINK("https://twitter.com/moprify/status/1671556299098554375")</f>
        <v>https://twitter.com/moprify/status/1671556299098554375</v>
      </c>
      <c r="AF359" s="79">
        <v>45098.688101851854</v>
      </c>
      <c r="AG359" s="85">
        <v>45098</v>
      </c>
      <c r="AH359" s="82" t="s">
        <v>8636</v>
      </c>
      <c r="AI359" s="77" t="b">
        <v>0</v>
      </c>
      <c r="AJ359" s="77"/>
      <c r="AK359" s="77"/>
      <c r="AL359" s="77"/>
      <c r="AM359" s="77"/>
      <c r="AN359" s="77"/>
      <c r="AO359" s="77"/>
      <c r="AP359" s="77"/>
      <c r="AQ359" s="77" t="s">
        <v>12320</v>
      </c>
      <c r="AR359" s="77"/>
      <c r="AS359" s="77"/>
      <c r="AT359" s="77"/>
      <c r="AU359" s="77"/>
      <c r="AV359" s="80" t="str">
        <f>HYPERLINK("https://pbs.twimg.com/media/FzKPXI6WcAILLxm.jpg")</f>
        <v>https://pbs.twimg.com/media/FzKPXI6WcAILLxm.jpg</v>
      </c>
      <c r="AW359" s="82" t="s">
        <v>13461</v>
      </c>
      <c r="AX359" s="82" t="s">
        <v>13461</v>
      </c>
      <c r="AY359" s="77"/>
      <c r="AZ359" s="82" t="s">
        <v>17385</v>
      </c>
      <c r="BA359" s="82" t="s">
        <v>17385</v>
      </c>
      <c r="BB359" s="82" t="s">
        <v>17385</v>
      </c>
      <c r="BC359" s="82" t="s">
        <v>13461</v>
      </c>
      <c r="BD359" s="82" t="s">
        <v>17483</v>
      </c>
      <c r="BE359" s="77"/>
      <c r="BF359" s="77"/>
      <c r="BG359" s="77"/>
      <c r="BH359" s="77"/>
      <c r="BI359" s="77"/>
    </row>
    <row r="360" spans="1:61" x14ac:dyDescent="0.25">
      <c r="A360" s="62" t="s">
        <v>308</v>
      </c>
      <c r="B360" s="62" t="s">
        <v>308</v>
      </c>
      <c r="C360" s="63"/>
      <c r="D360" s="64"/>
      <c r="E360" s="65"/>
      <c r="F360" s="66"/>
      <c r="G360" s="63"/>
      <c r="H360" s="67"/>
      <c r="I360" s="68"/>
      <c r="J360" s="68"/>
      <c r="K360" s="32"/>
      <c r="L360" s="75">
        <v>360</v>
      </c>
      <c r="M360" s="75"/>
      <c r="N360" s="70"/>
      <c r="O360" s="77" t="s">
        <v>179</v>
      </c>
      <c r="P360" s="79">
        <v>45117.926157407404</v>
      </c>
      <c r="Q360" s="77" t="s">
        <v>1158</v>
      </c>
      <c r="R360" s="77">
        <v>0</v>
      </c>
      <c r="S360" s="77">
        <v>0</v>
      </c>
      <c r="T360" s="77">
        <v>0</v>
      </c>
      <c r="U360" s="77">
        <v>0</v>
      </c>
      <c r="V360" s="77">
        <v>11</v>
      </c>
      <c r="W360" s="82" t="s">
        <v>5022</v>
      </c>
      <c r="X360" s="77"/>
      <c r="Y360" s="77"/>
      <c r="Z360" s="77"/>
      <c r="AA360" s="77" t="s">
        <v>7436</v>
      </c>
      <c r="AB360" s="77" t="s">
        <v>8227</v>
      </c>
      <c r="AC360" s="82" t="s">
        <v>8233</v>
      </c>
      <c r="AD360" s="77" t="s">
        <v>8278</v>
      </c>
      <c r="AE360" s="80" t="str">
        <f>HYPERLINK("https://twitter.com/moprify/status/1678527938759741442")</f>
        <v>https://twitter.com/moprify/status/1678527938759741442</v>
      </c>
      <c r="AF360" s="79">
        <v>45117.926157407404</v>
      </c>
      <c r="AG360" s="85">
        <v>45117</v>
      </c>
      <c r="AH360" s="82" t="s">
        <v>8637</v>
      </c>
      <c r="AI360" s="77" t="b">
        <v>0</v>
      </c>
      <c r="AJ360" s="77"/>
      <c r="AK360" s="77"/>
      <c r="AL360" s="77"/>
      <c r="AM360" s="77"/>
      <c r="AN360" s="77"/>
      <c r="AO360" s="77"/>
      <c r="AP360" s="77"/>
      <c r="AQ360" s="77" t="s">
        <v>12321</v>
      </c>
      <c r="AR360" s="77">
        <v>59603</v>
      </c>
      <c r="AS360" s="77"/>
      <c r="AT360" s="77"/>
      <c r="AU360" s="77"/>
      <c r="AV360" s="80" t="str">
        <f>HYPERLINK("https://pbs.twimg.com/ext_tw_video_thumb/1678527867213234176/pu/img/GJ11vBO2dyZyfFzw.jpg")</f>
        <v>https://pbs.twimg.com/ext_tw_video_thumb/1678527867213234176/pu/img/GJ11vBO2dyZyfFzw.jpg</v>
      </c>
      <c r="AW360" s="82" t="s">
        <v>13462</v>
      </c>
      <c r="AX360" s="82" t="s">
        <v>13462</v>
      </c>
      <c r="AY360" s="77"/>
      <c r="AZ360" s="82" t="s">
        <v>17385</v>
      </c>
      <c r="BA360" s="82" t="s">
        <v>17385</v>
      </c>
      <c r="BB360" s="82" t="s">
        <v>17385</v>
      </c>
      <c r="BC360" s="82" t="s">
        <v>13462</v>
      </c>
      <c r="BD360" s="82" t="s">
        <v>17483</v>
      </c>
      <c r="BE360" s="77"/>
      <c r="BF360" s="77"/>
      <c r="BG360" s="77"/>
      <c r="BH360" s="77"/>
      <c r="BI360" s="77"/>
    </row>
    <row r="361" spans="1:61" x14ac:dyDescent="0.25">
      <c r="A361" s="62" t="s">
        <v>309</v>
      </c>
      <c r="B361" s="62" t="s">
        <v>309</v>
      </c>
      <c r="C361" s="63"/>
      <c r="D361" s="64"/>
      <c r="E361" s="65"/>
      <c r="F361" s="66"/>
      <c r="G361" s="63"/>
      <c r="H361" s="67"/>
      <c r="I361" s="68"/>
      <c r="J361" s="68"/>
      <c r="K361" s="32"/>
      <c r="L361" s="75">
        <v>361</v>
      </c>
      <c r="M361" s="75"/>
      <c r="N361" s="70"/>
      <c r="O361" s="77" t="s">
        <v>179</v>
      </c>
      <c r="P361" s="79">
        <v>45062.802488425928</v>
      </c>
      <c r="Q361" s="77" t="s">
        <v>1159</v>
      </c>
      <c r="R361" s="77">
        <v>0</v>
      </c>
      <c r="S361" s="77">
        <v>0</v>
      </c>
      <c r="T361" s="77">
        <v>0</v>
      </c>
      <c r="U361" s="77">
        <v>0</v>
      </c>
      <c r="V361" s="77">
        <v>27</v>
      </c>
      <c r="W361" s="82" t="s">
        <v>5023</v>
      </c>
      <c r="X361" s="80" t="str">
        <f>HYPERLINK("https://www.samirnews.com/2023/05/warren-buffet-vende-todas-as-suas-acoes.html")</f>
        <v>https://www.samirnews.com/2023/05/warren-buffet-vende-todas-as-suas-acoes.html</v>
      </c>
      <c r="Y361" s="77" t="s">
        <v>7078</v>
      </c>
      <c r="Z361" s="77"/>
      <c r="AA361" s="77"/>
      <c r="AB361" s="77"/>
      <c r="AC361" s="82" t="s">
        <v>8250</v>
      </c>
      <c r="AD361" s="77" t="s">
        <v>8278</v>
      </c>
      <c r="AE361" s="80" t="str">
        <f>HYPERLINK("https://twitter.com/canalfs0ciety/status/1658551787614289921")</f>
        <v>https://twitter.com/canalfs0ciety/status/1658551787614289921</v>
      </c>
      <c r="AF361" s="79">
        <v>45062.802488425928</v>
      </c>
      <c r="AG361" s="85">
        <v>45062</v>
      </c>
      <c r="AH361" s="82" t="s">
        <v>8638</v>
      </c>
      <c r="AI361" s="77" t="b">
        <v>0</v>
      </c>
      <c r="AJ361" s="77"/>
      <c r="AK361" s="77"/>
      <c r="AL361" s="77"/>
      <c r="AM361" s="77"/>
      <c r="AN361" s="77"/>
      <c r="AO361" s="77"/>
      <c r="AP361" s="77"/>
      <c r="AQ361" s="77"/>
      <c r="AR361" s="77"/>
      <c r="AS361" s="77"/>
      <c r="AT361" s="77"/>
      <c r="AU361" s="77"/>
      <c r="AV361" s="80" t="str">
        <f>HYPERLINK("https://pbs.twimg.com/profile_images/1445853333302890497/_g428Fz1_normal.jpg")</f>
        <v>https://pbs.twimg.com/profile_images/1445853333302890497/_g428Fz1_normal.jpg</v>
      </c>
      <c r="AW361" s="82" t="s">
        <v>13463</v>
      </c>
      <c r="AX361" s="82" t="s">
        <v>13463</v>
      </c>
      <c r="AY361" s="77"/>
      <c r="AZ361" s="82" t="s">
        <v>17385</v>
      </c>
      <c r="BA361" s="82" t="s">
        <v>17385</v>
      </c>
      <c r="BB361" s="82" t="s">
        <v>17385</v>
      </c>
      <c r="BC361" s="82" t="s">
        <v>13463</v>
      </c>
      <c r="BD361" s="82" t="s">
        <v>17484</v>
      </c>
      <c r="BE361" s="77"/>
      <c r="BF361" s="77"/>
      <c r="BG361" s="77"/>
      <c r="BH361" s="77"/>
      <c r="BI361" s="77"/>
    </row>
    <row r="362" spans="1:61" x14ac:dyDescent="0.25">
      <c r="A362" s="62" t="s">
        <v>309</v>
      </c>
      <c r="B362" s="62" t="s">
        <v>309</v>
      </c>
      <c r="C362" s="63"/>
      <c r="D362" s="64"/>
      <c r="E362" s="65"/>
      <c r="F362" s="66"/>
      <c r="G362" s="63"/>
      <c r="H362" s="67"/>
      <c r="I362" s="68"/>
      <c r="J362" s="68"/>
      <c r="K362" s="32"/>
      <c r="L362" s="75">
        <v>362</v>
      </c>
      <c r="M362" s="75"/>
      <c r="N362" s="70"/>
      <c r="O362" s="77" t="s">
        <v>179</v>
      </c>
      <c r="P362" s="79">
        <v>45084.659918981481</v>
      </c>
      <c r="Q362" s="77" t="s">
        <v>1160</v>
      </c>
      <c r="R362" s="77">
        <v>0</v>
      </c>
      <c r="S362" s="77">
        <v>0</v>
      </c>
      <c r="T362" s="77">
        <v>0</v>
      </c>
      <c r="U362" s="77">
        <v>0</v>
      </c>
      <c r="V362" s="77">
        <v>6</v>
      </c>
      <c r="W362" s="82" t="s">
        <v>5024</v>
      </c>
      <c r="X362" s="80" t="str">
        <f>HYPERLINK("https://www.samirnews.com/2023/06/8-acoes-que-podem-fazer-o-carregador.html")</f>
        <v>https://www.samirnews.com/2023/06/8-acoes-que-podem-fazer-o-carregador.html</v>
      </c>
      <c r="Y362" s="77" t="s">
        <v>7078</v>
      </c>
      <c r="Z362" s="77"/>
      <c r="AA362" s="77"/>
      <c r="AB362" s="77"/>
      <c r="AC362" s="82" t="s">
        <v>8250</v>
      </c>
      <c r="AD362" s="77" t="s">
        <v>8278</v>
      </c>
      <c r="AE362" s="80" t="str">
        <f>HYPERLINK("https://twitter.com/canalfs0ciety/status/1666472657083068417")</f>
        <v>https://twitter.com/canalfs0ciety/status/1666472657083068417</v>
      </c>
      <c r="AF362" s="79">
        <v>45084.659918981481</v>
      </c>
      <c r="AG362" s="85">
        <v>45084</v>
      </c>
      <c r="AH362" s="82" t="s">
        <v>8639</v>
      </c>
      <c r="AI362" s="77" t="b">
        <v>0</v>
      </c>
      <c r="AJ362" s="77"/>
      <c r="AK362" s="77"/>
      <c r="AL362" s="77"/>
      <c r="AM362" s="77"/>
      <c r="AN362" s="77"/>
      <c r="AO362" s="77"/>
      <c r="AP362" s="77"/>
      <c r="AQ362" s="77"/>
      <c r="AR362" s="77"/>
      <c r="AS362" s="77"/>
      <c r="AT362" s="77"/>
      <c r="AU362" s="77"/>
      <c r="AV362" s="80" t="str">
        <f>HYPERLINK("https://pbs.twimg.com/profile_images/1445853333302890497/_g428Fz1_normal.jpg")</f>
        <v>https://pbs.twimg.com/profile_images/1445853333302890497/_g428Fz1_normal.jpg</v>
      </c>
      <c r="AW362" s="82" t="s">
        <v>13464</v>
      </c>
      <c r="AX362" s="82" t="s">
        <v>13464</v>
      </c>
      <c r="AY362" s="77"/>
      <c r="AZ362" s="82" t="s">
        <v>17385</v>
      </c>
      <c r="BA362" s="82" t="s">
        <v>17385</v>
      </c>
      <c r="BB362" s="82" t="s">
        <v>17385</v>
      </c>
      <c r="BC362" s="82" t="s">
        <v>13464</v>
      </c>
      <c r="BD362" s="82" t="s">
        <v>17484</v>
      </c>
      <c r="BE362" s="77"/>
      <c r="BF362" s="77"/>
      <c r="BG362" s="77"/>
      <c r="BH362" s="77"/>
      <c r="BI362" s="77"/>
    </row>
    <row r="363" spans="1:61" x14ac:dyDescent="0.25">
      <c r="A363" s="62" t="s">
        <v>310</v>
      </c>
      <c r="B363" s="62" t="s">
        <v>310</v>
      </c>
      <c r="C363" s="63"/>
      <c r="D363" s="64"/>
      <c r="E363" s="65"/>
      <c r="F363" s="66"/>
      <c r="G363" s="63"/>
      <c r="H363" s="67"/>
      <c r="I363" s="68"/>
      <c r="J363" s="68"/>
      <c r="K363" s="32"/>
      <c r="L363" s="75">
        <v>363</v>
      </c>
      <c r="M363" s="75"/>
      <c r="N363" s="70"/>
      <c r="O363" s="77" t="s">
        <v>179</v>
      </c>
      <c r="P363" s="79">
        <v>45142.946122685185</v>
      </c>
      <c r="Q363" s="77" t="s">
        <v>1161</v>
      </c>
      <c r="R363" s="77">
        <v>0</v>
      </c>
      <c r="S363" s="77">
        <v>1</v>
      </c>
      <c r="T363" s="77">
        <v>0</v>
      </c>
      <c r="U363" s="77">
        <v>1</v>
      </c>
      <c r="V363" s="77">
        <v>702</v>
      </c>
      <c r="W363" s="77"/>
      <c r="X363" s="77"/>
      <c r="Y363" s="77"/>
      <c r="Z363" s="77"/>
      <c r="AA363" s="77" t="s">
        <v>7437</v>
      </c>
      <c r="AB363" s="77" t="s">
        <v>8227</v>
      </c>
      <c r="AC363" s="82" t="s">
        <v>8238</v>
      </c>
      <c r="AD363" s="77" t="s">
        <v>8278</v>
      </c>
      <c r="AE363" s="80" t="str">
        <f>HYPERLINK("https://twitter.com/jornaldagazeta/status/1687594870259511296")</f>
        <v>https://twitter.com/jornaldagazeta/status/1687594870259511296</v>
      </c>
      <c r="AF363" s="79">
        <v>45142.946122685185</v>
      </c>
      <c r="AG363" s="85">
        <v>45142</v>
      </c>
      <c r="AH363" s="82" t="s">
        <v>8640</v>
      </c>
      <c r="AI363" s="77" t="b">
        <v>0</v>
      </c>
      <c r="AJ363" s="77"/>
      <c r="AK363" s="77"/>
      <c r="AL363" s="77"/>
      <c r="AM363" s="77"/>
      <c r="AN363" s="77"/>
      <c r="AO363" s="77"/>
      <c r="AP363" s="77"/>
      <c r="AQ363" s="77" t="s">
        <v>12322</v>
      </c>
      <c r="AR363" s="77">
        <v>141827</v>
      </c>
      <c r="AS363" s="77"/>
      <c r="AT363" s="77"/>
      <c r="AU363" s="77"/>
      <c r="AV363" s="80" t="str">
        <f>HYPERLINK("https://pbs.twimg.com/amplify_video_thumb/1687594774285414401/img/q0CUq8LYS8cUTWiS.jpg")</f>
        <v>https://pbs.twimg.com/amplify_video_thumb/1687594774285414401/img/q0CUq8LYS8cUTWiS.jpg</v>
      </c>
      <c r="AW363" s="82" t="s">
        <v>13465</v>
      </c>
      <c r="AX363" s="82" t="s">
        <v>13465</v>
      </c>
      <c r="AY363" s="77"/>
      <c r="AZ363" s="82" t="s">
        <v>17385</v>
      </c>
      <c r="BA363" s="82" t="s">
        <v>17385</v>
      </c>
      <c r="BB363" s="82" t="s">
        <v>17385</v>
      </c>
      <c r="BC363" s="82" t="s">
        <v>13465</v>
      </c>
      <c r="BD363" s="77">
        <v>35005785</v>
      </c>
      <c r="BE363" s="77"/>
      <c r="BF363" s="77"/>
      <c r="BG363" s="77"/>
      <c r="BH363" s="77"/>
      <c r="BI363" s="77"/>
    </row>
    <row r="364" spans="1:61" x14ac:dyDescent="0.25">
      <c r="A364" s="62" t="s">
        <v>311</v>
      </c>
      <c r="B364" s="62" t="s">
        <v>311</v>
      </c>
      <c r="C364" s="63"/>
      <c r="D364" s="64"/>
      <c r="E364" s="65"/>
      <c r="F364" s="66"/>
      <c r="G364" s="63"/>
      <c r="H364" s="67"/>
      <c r="I364" s="68"/>
      <c r="J364" s="68"/>
      <c r="K364" s="32"/>
      <c r="L364" s="75">
        <v>364</v>
      </c>
      <c r="M364" s="75"/>
      <c r="N364" s="70"/>
      <c r="O364" s="77" t="s">
        <v>179</v>
      </c>
      <c r="P364" s="79">
        <v>45062.272372685184</v>
      </c>
      <c r="Q364" s="77" t="s">
        <v>1162</v>
      </c>
      <c r="R364" s="77">
        <v>0</v>
      </c>
      <c r="S364" s="77">
        <v>1</v>
      </c>
      <c r="T364" s="77">
        <v>0</v>
      </c>
      <c r="U364" s="77">
        <v>0</v>
      </c>
      <c r="V364" s="77">
        <v>136</v>
      </c>
      <c r="W364" s="82" t="s">
        <v>5025</v>
      </c>
      <c r="X364" s="77"/>
      <c r="Y364" s="77"/>
      <c r="Z364" s="77"/>
      <c r="AA364" s="77" t="s">
        <v>7438</v>
      </c>
      <c r="AB364" s="77" t="s">
        <v>8227</v>
      </c>
      <c r="AC364" s="82" t="s">
        <v>8232</v>
      </c>
      <c r="AD364" s="77" t="s">
        <v>8280</v>
      </c>
      <c r="AE364" s="80" t="str">
        <f>HYPERLINK("https://twitter.com/smashupbrazil/status/1658359683000721408")</f>
        <v>https://twitter.com/smashupbrazil/status/1658359683000721408</v>
      </c>
      <c r="AF364" s="79">
        <v>45062.272372685184</v>
      </c>
      <c r="AG364" s="85">
        <v>45062</v>
      </c>
      <c r="AH364" s="82" t="s">
        <v>8641</v>
      </c>
      <c r="AI364" s="77" t="b">
        <v>0</v>
      </c>
      <c r="AJ364" s="77"/>
      <c r="AK364" s="77"/>
      <c r="AL364" s="77"/>
      <c r="AM364" s="77"/>
      <c r="AN364" s="77"/>
      <c r="AO364" s="77"/>
      <c r="AP364" s="77"/>
      <c r="AQ364" s="77" t="s">
        <v>12323</v>
      </c>
      <c r="AR364" s="77">
        <v>53406</v>
      </c>
      <c r="AS364" s="77"/>
      <c r="AT364" s="77"/>
      <c r="AU364" s="77"/>
      <c r="AV364" s="80" t="str">
        <f>HYPERLINK("https://pbs.twimg.com/ext_tw_video_thumb/1658359605292933121/pu/img/DupDXCW3hFmiV_DI.jpg")</f>
        <v>https://pbs.twimg.com/ext_tw_video_thumb/1658359605292933121/pu/img/DupDXCW3hFmiV_DI.jpg</v>
      </c>
      <c r="AW364" s="82" t="s">
        <v>13466</v>
      </c>
      <c r="AX364" s="82" t="s">
        <v>13466</v>
      </c>
      <c r="AY364" s="77"/>
      <c r="AZ364" s="82" t="s">
        <v>17385</v>
      </c>
      <c r="BA364" s="82" t="s">
        <v>17385</v>
      </c>
      <c r="BB364" s="82" t="s">
        <v>17385</v>
      </c>
      <c r="BC364" s="82" t="s">
        <v>13466</v>
      </c>
      <c r="BD364" s="82" t="s">
        <v>17485</v>
      </c>
      <c r="BE364" s="77"/>
      <c r="BF364" s="77"/>
      <c r="BG364" s="77"/>
      <c r="BH364" s="77"/>
      <c r="BI364" s="77"/>
    </row>
    <row r="365" spans="1:61" x14ac:dyDescent="0.25">
      <c r="A365" s="62" t="s">
        <v>311</v>
      </c>
      <c r="B365" s="62" t="s">
        <v>311</v>
      </c>
      <c r="C365" s="63"/>
      <c r="D365" s="64"/>
      <c r="E365" s="65"/>
      <c r="F365" s="66"/>
      <c r="G365" s="63"/>
      <c r="H365" s="67"/>
      <c r="I365" s="68"/>
      <c r="J365" s="68"/>
      <c r="K365" s="32"/>
      <c r="L365" s="75">
        <v>365</v>
      </c>
      <c r="M365" s="75"/>
      <c r="N365" s="70"/>
      <c r="O365" s="77" t="s">
        <v>179</v>
      </c>
      <c r="P365" s="79">
        <v>45062.271898148145</v>
      </c>
      <c r="Q365" s="77" t="s">
        <v>1163</v>
      </c>
      <c r="R365" s="77">
        <v>0</v>
      </c>
      <c r="S365" s="77">
        <v>0</v>
      </c>
      <c r="T365" s="77">
        <v>0</v>
      </c>
      <c r="U365" s="77">
        <v>0</v>
      </c>
      <c r="V365" s="77">
        <v>102</v>
      </c>
      <c r="W365" s="82" t="s">
        <v>5025</v>
      </c>
      <c r="X365" s="77"/>
      <c r="Y365" s="77"/>
      <c r="Z365" s="77"/>
      <c r="AA365" s="77" t="s">
        <v>7439</v>
      </c>
      <c r="AB365" s="77" t="s">
        <v>8225</v>
      </c>
      <c r="AC365" s="82" t="s">
        <v>8232</v>
      </c>
      <c r="AD365" s="77" t="s">
        <v>8280</v>
      </c>
      <c r="AE365" s="80" t="str">
        <f>HYPERLINK("https://twitter.com/smashupbrazil/status/1658359510413574145")</f>
        <v>https://twitter.com/smashupbrazil/status/1658359510413574145</v>
      </c>
      <c r="AF365" s="79">
        <v>45062.271898148145</v>
      </c>
      <c r="AG365" s="85">
        <v>45062</v>
      </c>
      <c r="AH365" s="82" t="s">
        <v>8642</v>
      </c>
      <c r="AI365" s="77" t="b">
        <v>0</v>
      </c>
      <c r="AJ365" s="77"/>
      <c r="AK365" s="77"/>
      <c r="AL365" s="77"/>
      <c r="AM365" s="77"/>
      <c r="AN365" s="77"/>
      <c r="AO365" s="77"/>
      <c r="AP365" s="77"/>
      <c r="AQ365" s="77" t="s">
        <v>12324</v>
      </c>
      <c r="AR365" s="77"/>
      <c r="AS365" s="77"/>
      <c r="AT365" s="77"/>
      <c r="AU365" s="77"/>
      <c r="AV365" s="80" t="str">
        <f>HYPERLINK("https://pbs.twimg.com/media/FwOtK0xWwAAWnea.jpg")</f>
        <v>https://pbs.twimg.com/media/FwOtK0xWwAAWnea.jpg</v>
      </c>
      <c r="AW365" s="82" t="s">
        <v>13467</v>
      </c>
      <c r="AX365" s="82" t="s">
        <v>13467</v>
      </c>
      <c r="AY365" s="77"/>
      <c r="AZ365" s="82" t="s">
        <v>17385</v>
      </c>
      <c r="BA365" s="82" t="s">
        <v>17385</v>
      </c>
      <c r="BB365" s="82" t="s">
        <v>17385</v>
      </c>
      <c r="BC365" s="82" t="s">
        <v>13467</v>
      </c>
      <c r="BD365" s="82" t="s">
        <v>17485</v>
      </c>
      <c r="BE365" s="77"/>
      <c r="BF365" s="77"/>
      <c r="BG365" s="77"/>
      <c r="BH365" s="77"/>
      <c r="BI365" s="77"/>
    </row>
    <row r="366" spans="1:61" x14ac:dyDescent="0.25">
      <c r="A366" s="62" t="s">
        <v>311</v>
      </c>
      <c r="B366" s="62" t="s">
        <v>311</v>
      </c>
      <c r="C366" s="63"/>
      <c r="D366" s="64"/>
      <c r="E366" s="65"/>
      <c r="F366" s="66"/>
      <c r="G366" s="63"/>
      <c r="H366" s="67"/>
      <c r="I366" s="68"/>
      <c r="J366" s="68"/>
      <c r="K366" s="32"/>
      <c r="L366" s="75">
        <v>366</v>
      </c>
      <c r="M366" s="75"/>
      <c r="N366" s="70"/>
      <c r="O366" s="77" t="s">
        <v>179</v>
      </c>
      <c r="P366" s="79">
        <v>45062.27175925926</v>
      </c>
      <c r="Q366" s="77" t="s">
        <v>1164</v>
      </c>
      <c r="R366" s="77">
        <v>0</v>
      </c>
      <c r="S366" s="77">
        <v>3</v>
      </c>
      <c r="T366" s="77">
        <v>1</v>
      </c>
      <c r="U366" s="77">
        <v>0</v>
      </c>
      <c r="V366" s="77">
        <v>124</v>
      </c>
      <c r="W366" s="82" t="s">
        <v>5025</v>
      </c>
      <c r="X366" s="77"/>
      <c r="Y366" s="77"/>
      <c r="Z366" s="77"/>
      <c r="AA366" s="77" t="s">
        <v>7440</v>
      </c>
      <c r="AB366" s="77" t="s">
        <v>8225</v>
      </c>
      <c r="AC366" s="82" t="s">
        <v>8232</v>
      </c>
      <c r="AD366" s="77" t="s">
        <v>8280</v>
      </c>
      <c r="AE366" s="80" t="str">
        <f>HYPERLINK("https://twitter.com/smashupbrazil/status/1658359457095598082")</f>
        <v>https://twitter.com/smashupbrazil/status/1658359457095598082</v>
      </c>
      <c r="AF366" s="79">
        <v>45062.27175925926</v>
      </c>
      <c r="AG366" s="85">
        <v>45062</v>
      </c>
      <c r="AH366" s="82" t="s">
        <v>8643</v>
      </c>
      <c r="AI366" s="77" t="b">
        <v>0</v>
      </c>
      <c r="AJ366" s="77"/>
      <c r="AK366" s="77"/>
      <c r="AL366" s="77"/>
      <c r="AM366" s="77"/>
      <c r="AN366" s="77"/>
      <c r="AO366" s="77"/>
      <c r="AP366" s="77"/>
      <c r="AQ366" s="77" t="s">
        <v>12325</v>
      </c>
      <c r="AR366" s="77"/>
      <c r="AS366" s="77"/>
      <c r="AT366" s="77"/>
      <c r="AU366" s="77"/>
      <c r="AV366" s="80" t="str">
        <f>HYPERLINK("https://pbs.twimg.com/media/FwOtH9PXwAEVo7G.jpg")</f>
        <v>https://pbs.twimg.com/media/FwOtH9PXwAEVo7G.jpg</v>
      </c>
      <c r="AW366" s="82" t="s">
        <v>13468</v>
      </c>
      <c r="AX366" s="82" t="s">
        <v>13468</v>
      </c>
      <c r="AY366" s="77"/>
      <c r="AZ366" s="82" t="s">
        <v>17385</v>
      </c>
      <c r="BA366" s="82" t="s">
        <v>17385</v>
      </c>
      <c r="BB366" s="82" t="s">
        <v>17385</v>
      </c>
      <c r="BC366" s="82" t="s">
        <v>13468</v>
      </c>
      <c r="BD366" s="82" t="s">
        <v>17485</v>
      </c>
      <c r="BE366" s="77"/>
      <c r="BF366" s="77"/>
      <c r="BG366" s="77"/>
      <c r="BH366" s="77"/>
      <c r="BI366" s="77"/>
    </row>
    <row r="367" spans="1:61" x14ac:dyDescent="0.25">
      <c r="A367" s="62" t="s">
        <v>311</v>
      </c>
      <c r="B367" s="62" t="s">
        <v>311</v>
      </c>
      <c r="C367" s="63"/>
      <c r="D367" s="64"/>
      <c r="E367" s="65"/>
      <c r="F367" s="66"/>
      <c r="G367" s="63"/>
      <c r="H367" s="67"/>
      <c r="I367" s="68"/>
      <c r="J367" s="68"/>
      <c r="K367" s="32"/>
      <c r="L367" s="75">
        <v>367</v>
      </c>
      <c r="M367" s="75"/>
      <c r="N367" s="70"/>
      <c r="O367" s="77" t="s">
        <v>179</v>
      </c>
      <c r="P367" s="79">
        <v>45062.271643518521</v>
      </c>
      <c r="Q367" s="77" t="s">
        <v>1165</v>
      </c>
      <c r="R367" s="77">
        <v>0</v>
      </c>
      <c r="S367" s="77">
        <v>0</v>
      </c>
      <c r="T367" s="77">
        <v>0</v>
      </c>
      <c r="U367" s="77">
        <v>0</v>
      </c>
      <c r="V367" s="77">
        <v>89</v>
      </c>
      <c r="W367" s="82" t="s">
        <v>5025</v>
      </c>
      <c r="X367" s="77"/>
      <c r="Y367" s="77"/>
      <c r="Z367" s="77"/>
      <c r="AA367" s="77" t="s">
        <v>7441</v>
      </c>
      <c r="AB367" s="77" t="s">
        <v>8225</v>
      </c>
      <c r="AC367" s="82" t="s">
        <v>8232</v>
      </c>
      <c r="AD367" s="77" t="s">
        <v>8280</v>
      </c>
      <c r="AE367" s="80" t="str">
        <f>HYPERLINK("https://twitter.com/smashupbrazil/status/1658359414976397312")</f>
        <v>https://twitter.com/smashupbrazil/status/1658359414976397312</v>
      </c>
      <c r="AF367" s="79">
        <v>45062.271643518521</v>
      </c>
      <c r="AG367" s="85">
        <v>45062</v>
      </c>
      <c r="AH367" s="82" t="s">
        <v>8644</v>
      </c>
      <c r="AI367" s="77" t="b">
        <v>0</v>
      </c>
      <c r="AJ367" s="77"/>
      <c r="AK367" s="77"/>
      <c r="AL367" s="77"/>
      <c r="AM367" s="77"/>
      <c r="AN367" s="77"/>
      <c r="AO367" s="77"/>
      <c r="AP367" s="77"/>
      <c r="AQ367" s="77" t="s">
        <v>12326</v>
      </c>
      <c r="AR367" s="77"/>
      <c r="AS367" s="77"/>
      <c r="AT367" s="77"/>
      <c r="AU367" s="77"/>
      <c r="AV367" s="80" t="str">
        <f>HYPERLINK("https://pbs.twimg.com/media/FwOtFO7XoAIDS-7.jpg")</f>
        <v>https://pbs.twimg.com/media/FwOtFO7XoAIDS-7.jpg</v>
      </c>
      <c r="AW367" s="82" t="s">
        <v>13469</v>
      </c>
      <c r="AX367" s="82" t="s">
        <v>13469</v>
      </c>
      <c r="AY367" s="77"/>
      <c r="AZ367" s="82" t="s">
        <v>17385</v>
      </c>
      <c r="BA367" s="82" t="s">
        <v>17385</v>
      </c>
      <c r="BB367" s="82" t="s">
        <v>17385</v>
      </c>
      <c r="BC367" s="82" t="s">
        <v>13469</v>
      </c>
      <c r="BD367" s="82" t="s">
        <v>17485</v>
      </c>
      <c r="BE367" s="77"/>
      <c r="BF367" s="77"/>
      <c r="BG367" s="77"/>
      <c r="BH367" s="77"/>
      <c r="BI367" s="77"/>
    </row>
    <row r="368" spans="1:61" x14ac:dyDescent="0.25">
      <c r="A368" s="62" t="s">
        <v>311</v>
      </c>
      <c r="B368" s="62" t="s">
        <v>311</v>
      </c>
      <c r="C368" s="63"/>
      <c r="D368" s="64"/>
      <c r="E368" s="65"/>
      <c r="F368" s="66"/>
      <c r="G368" s="63"/>
      <c r="H368" s="67"/>
      <c r="I368" s="68"/>
      <c r="J368" s="68"/>
      <c r="K368" s="32"/>
      <c r="L368" s="75">
        <v>368</v>
      </c>
      <c r="M368" s="75"/>
      <c r="N368" s="70"/>
      <c r="O368" s="77" t="s">
        <v>179</v>
      </c>
      <c r="P368" s="79">
        <v>45062.271493055552</v>
      </c>
      <c r="Q368" s="77" t="s">
        <v>1166</v>
      </c>
      <c r="R368" s="77">
        <v>0</v>
      </c>
      <c r="S368" s="77">
        <v>0</v>
      </c>
      <c r="T368" s="77">
        <v>0</v>
      </c>
      <c r="U368" s="77">
        <v>0</v>
      </c>
      <c r="V368" s="77">
        <v>79</v>
      </c>
      <c r="W368" s="82" t="s">
        <v>5025</v>
      </c>
      <c r="X368" s="77"/>
      <c r="Y368" s="77"/>
      <c r="Z368" s="77"/>
      <c r="AA368" s="77" t="s">
        <v>7442</v>
      </c>
      <c r="AB368" s="77" t="s">
        <v>8225</v>
      </c>
      <c r="AC368" s="82" t="s">
        <v>8232</v>
      </c>
      <c r="AD368" s="77" t="s">
        <v>8280</v>
      </c>
      <c r="AE368" s="80" t="str">
        <f>HYPERLINK("https://twitter.com/smashupbrazil/status/1658359363591913472")</f>
        <v>https://twitter.com/smashupbrazil/status/1658359363591913472</v>
      </c>
      <c r="AF368" s="79">
        <v>45062.271493055552</v>
      </c>
      <c r="AG368" s="85">
        <v>45062</v>
      </c>
      <c r="AH368" s="82" t="s">
        <v>8645</v>
      </c>
      <c r="AI368" s="77" t="b">
        <v>0</v>
      </c>
      <c r="AJ368" s="77"/>
      <c r="AK368" s="77"/>
      <c r="AL368" s="77"/>
      <c r="AM368" s="77"/>
      <c r="AN368" s="77"/>
      <c r="AO368" s="77"/>
      <c r="AP368" s="77"/>
      <c r="AQ368" s="77" t="s">
        <v>12327</v>
      </c>
      <c r="AR368" s="77"/>
      <c r="AS368" s="77"/>
      <c r="AT368" s="77"/>
      <c r="AU368" s="77"/>
      <c r="AV368" s="80" t="str">
        <f>HYPERLINK("https://pbs.twimg.com/media/FwOs_OIXsAIuHDk.jpg")</f>
        <v>https://pbs.twimg.com/media/FwOs_OIXsAIuHDk.jpg</v>
      </c>
      <c r="AW368" s="82" t="s">
        <v>13470</v>
      </c>
      <c r="AX368" s="82" t="s">
        <v>13470</v>
      </c>
      <c r="AY368" s="77"/>
      <c r="AZ368" s="82" t="s">
        <v>17385</v>
      </c>
      <c r="BA368" s="82" t="s">
        <v>17385</v>
      </c>
      <c r="BB368" s="82" t="s">
        <v>17385</v>
      </c>
      <c r="BC368" s="82" t="s">
        <v>13470</v>
      </c>
      <c r="BD368" s="82" t="s">
        <v>17485</v>
      </c>
      <c r="BE368" s="77"/>
      <c r="BF368" s="77"/>
      <c r="BG368" s="77"/>
      <c r="BH368" s="77"/>
      <c r="BI368" s="77"/>
    </row>
    <row r="369" spans="1:61" x14ac:dyDescent="0.25">
      <c r="A369" s="62" t="s">
        <v>311</v>
      </c>
      <c r="B369" s="62" t="s">
        <v>311</v>
      </c>
      <c r="C369" s="63"/>
      <c r="D369" s="64"/>
      <c r="E369" s="65"/>
      <c r="F369" s="66"/>
      <c r="G369" s="63"/>
      <c r="H369" s="67"/>
      <c r="I369" s="68"/>
      <c r="J369" s="68"/>
      <c r="K369" s="32"/>
      <c r="L369" s="75">
        <v>369</v>
      </c>
      <c r="M369" s="75"/>
      <c r="N369" s="70"/>
      <c r="O369" s="77" t="s">
        <v>179</v>
      </c>
      <c r="P369" s="79">
        <v>45088.061805555553</v>
      </c>
      <c r="Q369" s="77" t="s">
        <v>1167</v>
      </c>
      <c r="R369" s="77">
        <v>0</v>
      </c>
      <c r="S369" s="77">
        <v>0</v>
      </c>
      <c r="T369" s="77">
        <v>1</v>
      </c>
      <c r="U369" s="77">
        <v>0</v>
      </c>
      <c r="V369" s="77">
        <v>163</v>
      </c>
      <c r="W369" s="82" t="s">
        <v>5025</v>
      </c>
      <c r="X369" s="77"/>
      <c r="Y369" s="77"/>
      <c r="Z369" s="77"/>
      <c r="AA369" s="77" t="s">
        <v>7443</v>
      </c>
      <c r="AB369" s="77" t="s">
        <v>8227</v>
      </c>
      <c r="AC369" s="82" t="s">
        <v>8232</v>
      </c>
      <c r="AD369" s="77" t="s">
        <v>8280</v>
      </c>
      <c r="AE369" s="80" t="str">
        <f>HYPERLINK("https://twitter.com/smashupbrazil/status/1667705457648226305")</f>
        <v>https://twitter.com/smashupbrazil/status/1667705457648226305</v>
      </c>
      <c r="AF369" s="79">
        <v>45088.061805555553</v>
      </c>
      <c r="AG369" s="85">
        <v>45088</v>
      </c>
      <c r="AH369" s="82" t="s">
        <v>8646</v>
      </c>
      <c r="AI369" s="77" t="b">
        <v>0</v>
      </c>
      <c r="AJ369" s="77"/>
      <c r="AK369" s="77"/>
      <c r="AL369" s="77"/>
      <c r="AM369" s="77"/>
      <c r="AN369" s="77"/>
      <c r="AO369" s="77"/>
      <c r="AP369" s="77"/>
      <c r="AQ369" s="77" t="s">
        <v>12328</v>
      </c>
      <c r="AR369" s="77">
        <v>51501</v>
      </c>
      <c r="AS369" s="77"/>
      <c r="AT369" s="77"/>
      <c r="AU369" s="77"/>
      <c r="AV369" s="80" t="str">
        <f>HYPERLINK("https://pbs.twimg.com/ext_tw_video_thumb/1667086512993759234/pu/img/Rt1iwxlWBlguBUAJ.jpg")</f>
        <v>https://pbs.twimg.com/ext_tw_video_thumb/1667086512993759234/pu/img/Rt1iwxlWBlguBUAJ.jpg</v>
      </c>
      <c r="AW369" s="82" t="s">
        <v>13471</v>
      </c>
      <c r="AX369" s="82" t="s">
        <v>13471</v>
      </c>
      <c r="AY369" s="77"/>
      <c r="AZ369" s="82" t="s">
        <v>17385</v>
      </c>
      <c r="BA369" s="82" t="s">
        <v>17385</v>
      </c>
      <c r="BB369" s="82" t="s">
        <v>17385</v>
      </c>
      <c r="BC369" s="82" t="s">
        <v>13471</v>
      </c>
      <c r="BD369" s="82" t="s">
        <v>17485</v>
      </c>
      <c r="BE369" s="77"/>
      <c r="BF369" s="77"/>
      <c r="BG369" s="77"/>
      <c r="BH369" s="77"/>
      <c r="BI369" s="77"/>
    </row>
    <row r="370" spans="1:61" x14ac:dyDescent="0.25">
      <c r="A370" s="62" t="s">
        <v>311</v>
      </c>
      <c r="B370" s="62" t="s">
        <v>311</v>
      </c>
      <c r="C370" s="63"/>
      <c r="D370" s="64"/>
      <c r="E370" s="65"/>
      <c r="F370" s="66"/>
      <c r="G370" s="63"/>
      <c r="H370" s="67"/>
      <c r="I370" s="68"/>
      <c r="J370" s="68"/>
      <c r="K370" s="32"/>
      <c r="L370" s="75">
        <v>370</v>
      </c>
      <c r="M370" s="75"/>
      <c r="N370" s="70"/>
      <c r="O370" s="77" t="s">
        <v>179</v>
      </c>
      <c r="P370" s="79">
        <v>45087.936111111114</v>
      </c>
      <c r="Q370" s="77" t="s">
        <v>1168</v>
      </c>
      <c r="R370" s="77">
        <v>0</v>
      </c>
      <c r="S370" s="77">
        <v>1</v>
      </c>
      <c r="T370" s="77">
        <v>0</v>
      </c>
      <c r="U370" s="77">
        <v>0</v>
      </c>
      <c r="V370" s="77">
        <v>125</v>
      </c>
      <c r="W370" s="82" t="s">
        <v>5025</v>
      </c>
      <c r="X370" s="77"/>
      <c r="Y370" s="77"/>
      <c r="Z370" s="77"/>
      <c r="AA370" s="77" t="s">
        <v>7444</v>
      </c>
      <c r="AB370" s="77" t="s">
        <v>8227</v>
      </c>
      <c r="AC370" s="82" t="s">
        <v>8232</v>
      </c>
      <c r="AD370" s="77" t="s">
        <v>8280</v>
      </c>
      <c r="AE370" s="80" t="str">
        <f>HYPERLINK("https://twitter.com/smashupbrazil/status/1667659907431030788")</f>
        <v>https://twitter.com/smashupbrazil/status/1667659907431030788</v>
      </c>
      <c r="AF370" s="79">
        <v>45087.936111111114</v>
      </c>
      <c r="AG370" s="85">
        <v>45087</v>
      </c>
      <c r="AH370" s="82" t="s">
        <v>8647</v>
      </c>
      <c r="AI370" s="77" t="b">
        <v>0</v>
      </c>
      <c r="AJ370" s="77"/>
      <c r="AK370" s="77"/>
      <c r="AL370" s="77"/>
      <c r="AM370" s="77"/>
      <c r="AN370" s="77"/>
      <c r="AO370" s="77"/>
      <c r="AP370" s="77"/>
      <c r="AQ370" s="77" t="s">
        <v>12329</v>
      </c>
      <c r="AR370" s="77">
        <v>59745</v>
      </c>
      <c r="AS370" s="77"/>
      <c r="AT370" s="77"/>
      <c r="AU370" s="77"/>
      <c r="AV370" s="80" t="str">
        <f>HYPERLINK("https://pbs.twimg.com/ext_tw_video_thumb/1667086221997113345/pu/img/nTmHFa1L19MjG5HE.jpg")</f>
        <v>https://pbs.twimg.com/ext_tw_video_thumb/1667086221997113345/pu/img/nTmHFa1L19MjG5HE.jpg</v>
      </c>
      <c r="AW370" s="82" t="s">
        <v>13472</v>
      </c>
      <c r="AX370" s="82" t="s">
        <v>13472</v>
      </c>
      <c r="AY370" s="77"/>
      <c r="AZ370" s="82" t="s">
        <v>17385</v>
      </c>
      <c r="BA370" s="82" t="s">
        <v>17385</v>
      </c>
      <c r="BB370" s="82" t="s">
        <v>17385</v>
      </c>
      <c r="BC370" s="82" t="s">
        <v>13472</v>
      </c>
      <c r="BD370" s="82" t="s">
        <v>17485</v>
      </c>
      <c r="BE370" s="77"/>
      <c r="BF370" s="77"/>
      <c r="BG370" s="77"/>
      <c r="BH370" s="77"/>
      <c r="BI370" s="77"/>
    </row>
    <row r="371" spans="1:61" x14ac:dyDescent="0.25">
      <c r="A371" s="62" t="s">
        <v>311</v>
      </c>
      <c r="B371" s="62" t="s">
        <v>311</v>
      </c>
      <c r="C371" s="63"/>
      <c r="D371" s="64"/>
      <c r="E371" s="65"/>
      <c r="F371" s="66"/>
      <c r="G371" s="63"/>
      <c r="H371" s="67"/>
      <c r="I371" s="68"/>
      <c r="J371" s="68"/>
      <c r="K371" s="32"/>
      <c r="L371" s="75">
        <v>371</v>
      </c>
      <c r="M371" s="75"/>
      <c r="N371" s="70"/>
      <c r="O371" s="77" t="s">
        <v>179</v>
      </c>
      <c r="P371" s="79">
        <v>45087.560416666667</v>
      </c>
      <c r="Q371" s="77" t="s">
        <v>1169</v>
      </c>
      <c r="R371" s="77">
        <v>0</v>
      </c>
      <c r="S371" s="77">
        <v>0</v>
      </c>
      <c r="T371" s="77">
        <v>0</v>
      </c>
      <c r="U371" s="77">
        <v>0</v>
      </c>
      <c r="V371" s="77">
        <v>99</v>
      </c>
      <c r="W371" s="82" t="s">
        <v>5025</v>
      </c>
      <c r="X371" s="77"/>
      <c r="Y371" s="77"/>
      <c r="Z371" s="77"/>
      <c r="AA371" s="77" t="s">
        <v>7445</v>
      </c>
      <c r="AB371" s="77" t="s">
        <v>8227</v>
      </c>
      <c r="AC371" s="82" t="s">
        <v>8232</v>
      </c>
      <c r="AD371" s="77" t="s">
        <v>8280</v>
      </c>
      <c r="AE371" s="80" t="str">
        <f>HYPERLINK("https://twitter.com/smashupbrazil/status/1667523760558047236")</f>
        <v>https://twitter.com/smashupbrazil/status/1667523760558047236</v>
      </c>
      <c r="AF371" s="79">
        <v>45087.560416666667</v>
      </c>
      <c r="AG371" s="85">
        <v>45087</v>
      </c>
      <c r="AH371" s="82" t="s">
        <v>8648</v>
      </c>
      <c r="AI371" s="77" t="b">
        <v>0</v>
      </c>
      <c r="AJ371" s="77"/>
      <c r="AK371" s="77"/>
      <c r="AL371" s="77"/>
      <c r="AM371" s="77"/>
      <c r="AN371" s="77"/>
      <c r="AO371" s="77"/>
      <c r="AP371" s="77"/>
      <c r="AQ371" s="77" t="s">
        <v>12330</v>
      </c>
      <c r="AR371" s="77">
        <v>21687</v>
      </c>
      <c r="AS371" s="77"/>
      <c r="AT371" s="77"/>
      <c r="AU371" s="77"/>
      <c r="AV371" s="80" t="str">
        <f>HYPERLINK("https://pbs.twimg.com/ext_tw_video_thumb/1667086037858893825/pu/img/H49HDO-37bin-Krw.jpg")</f>
        <v>https://pbs.twimg.com/ext_tw_video_thumb/1667086037858893825/pu/img/H49HDO-37bin-Krw.jpg</v>
      </c>
      <c r="AW371" s="82" t="s">
        <v>13473</v>
      </c>
      <c r="AX371" s="82" t="s">
        <v>13473</v>
      </c>
      <c r="AY371" s="77"/>
      <c r="AZ371" s="82" t="s">
        <v>17385</v>
      </c>
      <c r="BA371" s="82" t="s">
        <v>17385</v>
      </c>
      <c r="BB371" s="82" t="s">
        <v>17385</v>
      </c>
      <c r="BC371" s="82" t="s">
        <v>13473</v>
      </c>
      <c r="BD371" s="82" t="s">
        <v>17485</v>
      </c>
      <c r="BE371" s="77"/>
      <c r="BF371" s="77"/>
      <c r="BG371" s="77"/>
      <c r="BH371" s="77"/>
      <c r="BI371" s="77"/>
    </row>
    <row r="372" spans="1:61" x14ac:dyDescent="0.25">
      <c r="A372" s="62" t="s">
        <v>311</v>
      </c>
      <c r="B372" s="62" t="s">
        <v>311</v>
      </c>
      <c r="C372" s="63"/>
      <c r="D372" s="64"/>
      <c r="E372" s="65"/>
      <c r="F372" s="66"/>
      <c r="G372" s="63"/>
      <c r="H372" s="67"/>
      <c r="I372" s="68"/>
      <c r="J372" s="68"/>
      <c r="K372" s="32"/>
      <c r="L372" s="75">
        <v>372</v>
      </c>
      <c r="M372" s="75"/>
      <c r="N372" s="70"/>
      <c r="O372" s="77" t="s">
        <v>179</v>
      </c>
      <c r="P372" s="79">
        <v>45087.102083333331</v>
      </c>
      <c r="Q372" s="77" t="s">
        <v>1170</v>
      </c>
      <c r="R372" s="77">
        <v>0</v>
      </c>
      <c r="S372" s="77">
        <v>0</v>
      </c>
      <c r="T372" s="77">
        <v>0</v>
      </c>
      <c r="U372" s="77">
        <v>0</v>
      </c>
      <c r="V372" s="77">
        <v>131</v>
      </c>
      <c r="W372" s="82" t="s">
        <v>5025</v>
      </c>
      <c r="X372" s="77"/>
      <c r="Y372" s="77"/>
      <c r="Z372" s="77"/>
      <c r="AA372" s="77" t="s">
        <v>7446</v>
      </c>
      <c r="AB372" s="77" t="s">
        <v>8227</v>
      </c>
      <c r="AC372" s="82" t="s">
        <v>8232</v>
      </c>
      <c r="AD372" s="77" t="s">
        <v>8280</v>
      </c>
      <c r="AE372" s="80" t="str">
        <f>HYPERLINK("https://twitter.com/smashupbrazil/status/1667357665826324481")</f>
        <v>https://twitter.com/smashupbrazil/status/1667357665826324481</v>
      </c>
      <c r="AF372" s="79">
        <v>45087.102083333331</v>
      </c>
      <c r="AG372" s="85">
        <v>45087</v>
      </c>
      <c r="AH372" s="82" t="s">
        <v>8649</v>
      </c>
      <c r="AI372" s="77" t="b">
        <v>0</v>
      </c>
      <c r="AJ372" s="77"/>
      <c r="AK372" s="77"/>
      <c r="AL372" s="77"/>
      <c r="AM372" s="77"/>
      <c r="AN372" s="77"/>
      <c r="AO372" s="77"/>
      <c r="AP372" s="77"/>
      <c r="AQ372" s="77" t="s">
        <v>12331</v>
      </c>
      <c r="AR372" s="77">
        <v>50317</v>
      </c>
      <c r="AS372" s="77"/>
      <c r="AT372" s="77"/>
      <c r="AU372" s="77"/>
      <c r="AV372" s="80" t="str">
        <f>HYPERLINK("https://pbs.twimg.com/ext_tw_video_thumb/1667085800373202945/pu/img/Yu7um-7eJ7blAXdR.jpg")</f>
        <v>https://pbs.twimg.com/ext_tw_video_thumb/1667085800373202945/pu/img/Yu7um-7eJ7blAXdR.jpg</v>
      </c>
      <c r="AW372" s="82" t="s">
        <v>13474</v>
      </c>
      <c r="AX372" s="82" t="s">
        <v>13474</v>
      </c>
      <c r="AY372" s="77"/>
      <c r="AZ372" s="82" t="s">
        <v>17385</v>
      </c>
      <c r="BA372" s="82" t="s">
        <v>17385</v>
      </c>
      <c r="BB372" s="82" t="s">
        <v>17385</v>
      </c>
      <c r="BC372" s="82" t="s">
        <v>13474</v>
      </c>
      <c r="BD372" s="82" t="s">
        <v>17485</v>
      </c>
      <c r="BE372" s="77"/>
      <c r="BF372" s="77"/>
      <c r="BG372" s="77"/>
      <c r="BH372" s="77"/>
      <c r="BI372" s="77"/>
    </row>
    <row r="373" spans="1:61" x14ac:dyDescent="0.25">
      <c r="A373" s="62" t="s">
        <v>311</v>
      </c>
      <c r="B373" s="62" t="s">
        <v>311</v>
      </c>
      <c r="C373" s="63"/>
      <c r="D373" s="64"/>
      <c r="E373" s="65"/>
      <c r="F373" s="66"/>
      <c r="G373" s="63"/>
      <c r="H373" s="67"/>
      <c r="I373" s="68"/>
      <c r="J373" s="68"/>
      <c r="K373" s="32"/>
      <c r="L373" s="75">
        <v>373</v>
      </c>
      <c r="M373" s="75"/>
      <c r="N373" s="70"/>
      <c r="O373" s="77" t="s">
        <v>179</v>
      </c>
      <c r="P373" s="79">
        <v>45087.018055555556</v>
      </c>
      <c r="Q373" s="77" t="s">
        <v>1171</v>
      </c>
      <c r="R373" s="77">
        <v>0</v>
      </c>
      <c r="S373" s="77">
        <v>0</v>
      </c>
      <c r="T373" s="77">
        <v>0</v>
      </c>
      <c r="U373" s="77">
        <v>0</v>
      </c>
      <c r="V373" s="77">
        <v>143</v>
      </c>
      <c r="W373" s="82" t="s">
        <v>5025</v>
      </c>
      <c r="X373" s="77"/>
      <c r="Y373" s="77"/>
      <c r="Z373" s="77"/>
      <c r="AA373" s="77" t="s">
        <v>7447</v>
      </c>
      <c r="AB373" s="77" t="s">
        <v>8227</v>
      </c>
      <c r="AC373" s="82" t="s">
        <v>8232</v>
      </c>
      <c r="AD373" s="77" t="s">
        <v>8280</v>
      </c>
      <c r="AE373" s="80" t="str">
        <f>HYPERLINK("https://twitter.com/smashupbrazil/status/1667327215179005958")</f>
        <v>https://twitter.com/smashupbrazil/status/1667327215179005958</v>
      </c>
      <c r="AF373" s="79">
        <v>45087.018055555556</v>
      </c>
      <c r="AG373" s="85">
        <v>45087</v>
      </c>
      <c r="AH373" s="82" t="s">
        <v>8650</v>
      </c>
      <c r="AI373" s="77" t="b">
        <v>0</v>
      </c>
      <c r="AJ373" s="77"/>
      <c r="AK373" s="77"/>
      <c r="AL373" s="77"/>
      <c r="AM373" s="77"/>
      <c r="AN373" s="77"/>
      <c r="AO373" s="77"/>
      <c r="AP373" s="77"/>
      <c r="AQ373" s="77" t="s">
        <v>12332</v>
      </c>
      <c r="AR373" s="77">
        <v>45742</v>
      </c>
      <c r="AS373" s="77"/>
      <c r="AT373" s="77"/>
      <c r="AU373" s="77"/>
      <c r="AV373" s="80" t="str">
        <f>HYPERLINK("https://pbs.twimg.com/ext_tw_video_thumb/1667085653471813633/pu/img/5n5jSMIlgDXsz1cn.jpg")</f>
        <v>https://pbs.twimg.com/ext_tw_video_thumb/1667085653471813633/pu/img/5n5jSMIlgDXsz1cn.jpg</v>
      </c>
      <c r="AW373" s="82" t="s">
        <v>13475</v>
      </c>
      <c r="AX373" s="82" t="s">
        <v>13475</v>
      </c>
      <c r="AY373" s="77"/>
      <c r="AZ373" s="82" t="s">
        <v>17385</v>
      </c>
      <c r="BA373" s="82" t="s">
        <v>17385</v>
      </c>
      <c r="BB373" s="82" t="s">
        <v>17385</v>
      </c>
      <c r="BC373" s="82" t="s">
        <v>13475</v>
      </c>
      <c r="BD373" s="82" t="s">
        <v>17485</v>
      </c>
      <c r="BE373" s="77"/>
      <c r="BF373" s="77"/>
      <c r="BG373" s="77"/>
      <c r="BH373" s="77"/>
      <c r="BI373" s="77"/>
    </row>
    <row r="374" spans="1:61" x14ac:dyDescent="0.25">
      <c r="A374" s="62" t="s">
        <v>311</v>
      </c>
      <c r="B374" s="62" t="s">
        <v>311</v>
      </c>
      <c r="C374" s="63"/>
      <c r="D374" s="64"/>
      <c r="E374" s="65"/>
      <c r="F374" s="66"/>
      <c r="G374" s="63"/>
      <c r="H374" s="67"/>
      <c r="I374" s="68"/>
      <c r="J374" s="68"/>
      <c r="K374" s="32"/>
      <c r="L374" s="75">
        <v>374</v>
      </c>
      <c r="M374" s="75"/>
      <c r="N374" s="70"/>
      <c r="O374" s="77" t="s">
        <v>179</v>
      </c>
      <c r="P374" s="79">
        <v>45086.892361111109</v>
      </c>
      <c r="Q374" s="77" t="s">
        <v>1172</v>
      </c>
      <c r="R374" s="77">
        <v>0</v>
      </c>
      <c r="S374" s="77">
        <v>0</v>
      </c>
      <c r="T374" s="77">
        <v>0</v>
      </c>
      <c r="U374" s="77">
        <v>0</v>
      </c>
      <c r="V374" s="77">
        <v>104</v>
      </c>
      <c r="W374" s="82" t="s">
        <v>5025</v>
      </c>
      <c r="X374" s="77"/>
      <c r="Y374" s="77"/>
      <c r="Z374" s="77"/>
      <c r="AA374" s="77" t="s">
        <v>7448</v>
      </c>
      <c r="AB374" s="77" t="s">
        <v>8227</v>
      </c>
      <c r="AC374" s="82" t="s">
        <v>8232</v>
      </c>
      <c r="AD374" s="77" t="s">
        <v>8280</v>
      </c>
      <c r="AE374" s="80" t="str">
        <f>HYPERLINK("https://twitter.com/smashupbrazil/status/1667281665247559681")</f>
        <v>https://twitter.com/smashupbrazil/status/1667281665247559681</v>
      </c>
      <c r="AF374" s="79">
        <v>45086.892361111109</v>
      </c>
      <c r="AG374" s="85">
        <v>45086</v>
      </c>
      <c r="AH374" s="82" t="s">
        <v>8651</v>
      </c>
      <c r="AI374" s="77" t="b">
        <v>0</v>
      </c>
      <c r="AJ374" s="77"/>
      <c r="AK374" s="77"/>
      <c r="AL374" s="77"/>
      <c r="AM374" s="77"/>
      <c r="AN374" s="77"/>
      <c r="AO374" s="77"/>
      <c r="AP374" s="77"/>
      <c r="AQ374" s="77" t="s">
        <v>12333</v>
      </c>
      <c r="AR374" s="77">
        <v>49272</v>
      </c>
      <c r="AS374" s="77"/>
      <c r="AT374" s="77"/>
      <c r="AU374" s="77"/>
      <c r="AV374" s="80" t="str">
        <f>HYPERLINK("https://pbs.twimg.com/ext_tw_video_thumb/1667085519442915328/pu/img/yhzRL2QYOFOEI1wz.jpg")</f>
        <v>https://pbs.twimg.com/ext_tw_video_thumb/1667085519442915328/pu/img/yhzRL2QYOFOEI1wz.jpg</v>
      </c>
      <c r="AW374" s="82" t="s">
        <v>13476</v>
      </c>
      <c r="AX374" s="82" t="s">
        <v>13476</v>
      </c>
      <c r="AY374" s="77"/>
      <c r="AZ374" s="82" t="s">
        <v>17385</v>
      </c>
      <c r="BA374" s="82" t="s">
        <v>17385</v>
      </c>
      <c r="BB374" s="82" t="s">
        <v>17385</v>
      </c>
      <c r="BC374" s="82" t="s">
        <v>13476</v>
      </c>
      <c r="BD374" s="82" t="s">
        <v>17485</v>
      </c>
      <c r="BE374" s="77"/>
      <c r="BF374" s="77"/>
      <c r="BG374" s="77"/>
      <c r="BH374" s="77"/>
      <c r="BI374" s="77"/>
    </row>
    <row r="375" spans="1:61" x14ac:dyDescent="0.25">
      <c r="A375" s="62" t="s">
        <v>311</v>
      </c>
      <c r="B375" s="62" t="s">
        <v>311</v>
      </c>
      <c r="C375" s="63"/>
      <c r="D375" s="64"/>
      <c r="E375" s="65"/>
      <c r="F375" s="66"/>
      <c r="G375" s="63"/>
      <c r="H375" s="67"/>
      <c r="I375" s="68"/>
      <c r="J375" s="68"/>
      <c r="K375" s="32"/>
      <c r="L375" s="75">
        <v>375</v>
      </c>
      <c r="M375" s="75"/>
      <c r="N375" s="70"/>
      <c r="O375" s="77" t="s">
        <v>179</v>
      </c>
      <c r="P375" s="79">
        <v>45086.600694444445</v>
      </c>
      <c r="Q375" s="77" t="s">
        <v>1173</v>
      </c>
      <c r="R375" s="77">
        <v>0</v>
      </c>
      <c r="S375" s="77">
        <v>0</v>
      </c>
      <c r="T375" s="77">
        <v>0</v>
      </c>
      <c r="U375" s="77">
        <v>0</v>
      </c>
      <c r="V375" s="77">
        <v>104</v>
      </c>
      <c r="W375" s="82" t="s">
        <v>5025</v>
      </c>
      <c r="X375" s="77"/>
      <c r="Y375" s="77"/>
      <c r="Z375" s="77"/>
      <c r="AA375" s="77" t="s">
        <v>7449</v>
      </c>
      <c r="AB375" s="77" t="s">
        <v>8227</v>
      </c>
      <c r="AC375" s="82" t="s">
        <v>8232</v>
      </c>
      <c r="AD375" s="77" t="s">
        <v>8280</v>
      </c>
      <c r="AE375" s="80" t="str">
        <f>HYPERLINK("https://twitter.com/smashupbrazil/status/1667175968828522496")</f>
        <v>https://twitter.com/smashupbrazil/status/1667175968828522496</v>
      </c>
      <c r="AF375" s="79">
        <v>45086.600694444445</v>
      </c>
      <c r="AG375" s="85">
        <v>45086</v>
      </c>
      <c r="AH375" s="82" t="s">
        <v>8652</v>
      </c>
      <c r="AI375" s="77" t="b">
        <v>0</v>
      </c>
      <c r="AJ375" s="77"/>
      <c r="AK375" s="77"/>
      <c r="AL375" s="77"/>
      <c r="AM375" s="77"/>
      <c r="AN375" s="77"/>
      <c r="AO375" s="77"/>
      <c r="AP375" s="77"/>
      <c r="AQ375" s="77" t="s">
        <v>12334</v>
      </c>
      <c r="AR375" s="77">
        <v>55053</v>
      </c>
      <c r="AS375" s="77"/>
      <c r="AT375" s="77"/>
      <c r="AU375" s="77"/>
      <c r="AV375" s="80" t="str">
        <f>HYPERLINK("https://pbs.twimg.com/ext_tw_video_thumb/1667085294301065216/pu/img/B6ufLUVp13ai7bhs.jpg")</f>
        <v>https://pbs.twimg.com/ext_tw_video_thumb/1667085294301065216/pu/img/B6ufLUVp13ai7bhs.jpg</v>
      </c>
      <c r="AW375" s="82" t="s">
        <v>13477</v>
      </c>
      <c r="AX375" s="82" t="s">
        <v>13477</v>
      </c>
      <c r="AY375" s="77"/>
      <c r="AZ375" s="82" t="s">
        <v>17385</v>
      </c>
      <c r="BA375" s="82" t="s">
        <v>17385</v>
      </c>
      <c r="BB375" s="82" t="s">
        <v>17385</v>
      </c>
      <c r="BC375" s="82" t="s">
        <v>13477</v>
      </c>
      <c r="BD375" s="82" t="s">
        <v>17485</v>
      </c>
      <c r="BE375" s="77"/>
      <c r="BF375" s="77"/>
      <c r="BG375" s="77"/>
      <c r="BH375" s="77"/>
      <c r="BI375" s="77"/>
    </row>
    <row r="376" spans="1:61" x14ac:dyDescent="0.25">
      <c r="A376" s="62" t="s">
        <v>311</v>
      </c>
      <c r="B376" s="62" t="s">
        <v>311</v>
      </c>
      <c r="C376" s="63"/>
      <c r="D376" s="64"/>
      <c r="E376" s="65"/>
      <c r="F376" s="66"/>
      <c r="G376" s="63"/>
      <c r="H376" s="67"/>
      <c r="I376" s="68"/>
      <c r="J376" s="68"/>
      <c r="K376" s="32"/>
      <c r="L376" s="75">
        <v>376</v>
      </c>
      <c r="M376" s="75"/>
      <c r="N376" s="70"/>
      <c r="O376" s="77" t="s">
        <v>179</v>
      </c>
      <c r="P376" s="79">
        <v>45107.569351851853</v>
      </c>
      <c r="Q376" s="77" t="s">
        <v>1174</v>
      </c>
      <c r="R376" s="77">
        <v>0</v>
      </c>
      <c r="S376" s="77">
        <v>0</v>
      </c>
      <c r="T376" s="77">
        <v>0</v>
      </c>
      <c r="U376" s="77">
        <v>0</v>
      </c>
      <c r="V376" s="77">
        <v>123</v>
      </c>
      <c r="W376" s="82" t="s">
        <v>5025</v>
      </c>
      <c r="X376" s="77"/>
      <c r="Y376" s="77"/>
      <c r="Z376" s="77"/>
      <c r="AA376" s="77" t="s">
        <v>7450</v>
      </c>
      <c r="AB376" s="77" t="s">
        <v>8227</v>
      </c>
      <c r="AC376" s="82" t="s">
        <v>8232</v>
      </c>
      <c r="AD376" s="77" t="s">
        <v>8280</v>
      </c>
      <c r="AE376" s="80" t="str">
        <f>HYPERLINK("https://twitter.com/smashupbrazil/status/1674774758880337923")</f>
        <v>https://twitter.com/smashupbrazil/status/1674774758880337923</v>
      </c>
      <c r="AF376" s="79">
        <v>45107.569351851853</v>
      </c>
      <c r="AG376" s="85">
        <v>45107</v>
      </c>
      <c r="AH376" s="82" t="s">
        <v>8653</v>
      </c>
      <c r="AI376" s="77" t="b">
        <v>0</v>
      </c>
      <c r="AJ376" s="77"/>
      <c r="AK376" s="77"/>
      <c r="AL376" s="77"/>
      <c r="AM376" s="77"/>
      <c r="AN376" s="77"/>
      <c r="AO376" s="77"/>
      <c r="AP376" s="77"/>
      <c r="AQ376" s="77" t="s">
        <v>12335</v>
      </c>
      <c r="AR376" s="77">
        <v>12421</v>
      </c>
      <c r="AS376" s="77"/>
      <c r="AT376" s="77"/>
      <c r="AU376" s="77"/>
      <c r="AV376" s="80" t="str">
        <f>HYPERLINK("https://pbs.twimg.com/ext_tw_video_thumb/1674774443477049345/pu/img/tGOilwHOWmc9aktp.jpg")</f>
        <v>https://pbs.twimg.com/ext_tw_video_thumb/1674774443477049345/pu/img/tGOilwHOWmc9aktp.jpg</v>
      </c>
      <c r="AW376" s="82" t="s">
        <v>13478</v>
      </c>
      <c r="AX376" s="82" t="s">
        <v>13478</v>
      </c>
      <c r="AY376" s="77"/>
      <c r="AZ376" s="82" t="s">
        <v>17385</v>
      </c>
      <c r="BA376" s="82" t="s">
        <v>17385</v>
      </c>
      <c r="BB376" s="82" t="s">
        <v>17385</v>
      </c>
      <c r="BC376" s="82" t="s">
        <v>13478</v>
      </c>
      <c r="BD376" s="82" t="s">
        <v>17485</v>
      </c>
      <c r="BE376" s="77"/>
      <c r="BF376" s="77"/>
      <c r="BG376" s="77"/>
      <c r="BH376" s="77"/>
      <c r="BI376" s="77"/>
    </row>
    <row r="377" spans="1:61" x14ac:dyDescent="0.25">
      <c r="A377" s="62" t="s">
        <v>311</v>
      </c>
      <c r="B377" s="62" t="s">
        <v>311</v>
      </c>
      <c r="C377" s="63"/>
      <c r="D377" s="64"/>
      <c r="E377" s="65"/>
      <c r="F377" s="66"/>
      <c r="G377" s="63"/>
      <c r="H377" s="67"/>
      <c r="I377" s="68"/>
      <c r="J377" s="68"/>
      <c r="K377" s="32"/>
      <c r="L377" s="75">
        <v>377</v>
      </c>
      <c r="M377" s="75"/>
      <c r="N377" s="70"/>
      <c r="O377" s="77" t="s">
        <v>179</v>
      </c>
      <c r="P377" s="79">
        <v>45107.568391203706</v>
      </c>
      <c r="Q377" s="77" t="s">
        <v>1175</v>
      </c>
      <c r="R377" s="77">
        <v>0</v>
      </c>
      <c r="S377" s="77">
        <v>0</v>
      </c>
      <c r="T377" s="77">
        <v>0</v>
      </c>
      <c r="U377" s="77">
        <v>0</v>
      </c>
      <c r="V377" s="77">
        <v>100</v>
      </c>
      <c r="W377" s="82" t="s">
        <v>5026</v>
      </c>
      <c r="X377" s="77"/>
      <c r="Y377" s="77"/>
      <c r="Z377" s="77"/>
      <c r="AA377" s="77" t="s">
        <v>7451</v>
      </c>
      <c r="AB377" s="77" t="s">
        <v>8227</v>
      </c>
      <c r="AC377" s="82" t="s">
        <v>8232</v>
      </c>
      <c r="AD377" s="77" t="s">
        <v>8278</v>
      </c>
      <c r="AE377" s="80" t="str">
        <f>HYPERLINK("https://twitter.com/smashupbrazil/status/1674774407091466242")</f>
        <v>https://twitter.com/smashupbrazil/status/1674774407091466242</v>
      </c>
      <c r="AF377" s="79">
        <v>45107.568391203706</v>
      </c>
      <c r="AG377" s="85">
        <v>45107</v>
      </c>
      <c r="AH377" s="82" t="s">
        <v>8654</v>
      </c>
      <c r="AI377" s="77" t="b">
        <v>0</v>
      </c>
      <c r="AJ377" s="77"/>
      <c r="AK377" s="77"/>
      <c r="AL377" s="77"/>
      <c r="AM377" s="77"/>
      <c r="AN377" s="77"/>
      <c r="AO377" s="77"/>
      <c r="AP377" s="77"/>
      <c r="AQ377" s="77" t="s">
        <v>12336</v>
      </c>
      <c r="AR377" s="77">
        <v>9983</v>
      </c>
      <c r="AS377" s="77"/>
      <c r="AT377" s="77"/>
      <c r="AU377" s="77"/>
      <c r="AV377" s="80" t="str">
        <f>HYPERLINK("https://pbs.twimg.com/ext_tw_video_thumb/1674774192598966272/pu/img/wpl_XhAYXyG2q-JR.jpg")</f>
        <v>https://pbs.twimg.com/ext_tw_video_thumb/1674774192598966272/pu/img/wpl_XhAYXyG2q-JR.jpg</v>
      </c>
      <c r="AW377" s="82" t="s">
        <v>13479</v>
      </c>
      <c r="AX377" s="82" t="s">
        <v>13479</v>
      </c>
      <c r="AY377" s="77"/>
      <c r="AZ377" s="82" t="s">
        <v>17385</v>
      </c>
      <c r="BA377" s="82" t="s">
        <v>17385</v>
      </c>
      <c r="BB377" s="82" t="s">
        <v>17385</v>
      </c>
      <c r="BC377" s="82" t="s">
        <v>13479</v>
      </c>
      <c r="BD377" s="82" t="s">
        <v>17485</v>
      </c>
      <c r="BE377" s="77"/>
      <c r="BF377" s="77"/>
      <c r="BG377" s="77"/>
      <c r="BH377" s="77"/>
      <c r="BI377" s="77"/>
    </row>
    <row r="378" spans="1:61" x14ac:dyDescent="0.25">
      <c r="A378" s="62" t="s">
        <v>311</v>
      </c>
      <c r="B378" s="62" t="s">
        <v>311</v>
      </c>
      <c r="C378" s="63"/>
      <c r="D378" s="64"/>
      <c r="E378" s="65"/>
      <c r="F378" s="66"/>
      <c r="G378" s="63"/>
      <c r="H378" s="67"/>
      <c r="I378" s="68"/>
      <c r="J378" s="68"/>
      <c r="K378" s="32"/>
      <c r="L378" s="75">
        <v>378</v>
      </c>
      <c r="M378" s="75"/>
      <c r="N378" s="70"/>
      <c r="O378" s="77" t="s">
        <v>179</v>
      </c>
      <c r="P378" s="79">
        <v>45107.567615740743</v>
      </c>
      <c r="Q378" s="77" t="s">
        <v>1176</v>
      </c>
      <c r="R378" s="77">
        <v>0</v>
      </c>
      <c r="S378" s="77">
        <v>0</v>
      </c>
      <c r="T378" s="77">
        <v>0</v>
      </c>
      <c r="U378" s="77">
        <v>0</v>
      </c>
      <c r="V378" s="77">
        <v>94</v>
      </c>
      <c r="W378" s="82" t="s">
        <v>5026</v>
      </c>
      <c r="X378" s="77"/>
      <c r="Y378" s="77"/>
      <c r="Z378" s="77"/>
      <c r="AA378" s="77" t="s">
        <v>7452</v>
      </c>
      <c r="AB378" s="77" t="s">
        <v>8227</v>
      </c>
      <c r="AC378" s="82" t="s">
        <v>8232</v>
      </c>
      <c r="AD378" s="77" t="s">
        <v>8278</v>
      </c>
      <c r="AE378" s="80" t="str">
        <f>HYPERLINK("https://twitter.com/smashupbrazil/status/1674774126920351744")</f>
        <v>https://twitter.com/smashupbrazil/status/1674774126920351744</v>
      </c>
      <c r="AF378" s="79">
        <v>45107.567615740743</v>
      </c>
      <c r="AG378" s="85">
        <v>45107</v>
      </c>
      <c r="AH378" s="82" t="s">
        <v>8655</v>
      </c>
      <c r="AI378" s="77" t="b">
        <v>0</v>
      </c>
      <c r="AJ378" s="77"/>
      <c r="AK378" s="77"/>
      <c r="AL378" s="77"/>
      <c r="AM378" s="77"/>
      <c r="AN378" s="77"/>
      <c r="AO378" s="77"/>
      <c r="AP378" s="77"/>
      <c r="AQ378" s="77" t="s">
        <v>12337</v>
      </c>
      <c r="AR378" s="77">
        <v>9983</v>
      </c>
      <c r="AS378" s="77"/>
      <c r="AT378" s="77"/>
      <c r="AU378" s="77"/>
      <c r="AV378" s="80" t="str">
        <f>HYPERLINK("https://pbs.twimg.com/ext_tw_video_thumb/1674773674107506689/pu/img/gXqooW8LxLbV1QlA.jpg")</f>
        <v>https://pbs.twimg.com/ext_tw_video_thumb/1674773674107506689/pu/img/gXqooW8LxLbV1QlA.jpg</v>
      </c>
      <c r="AW378" s="82" t="s">
        <v>13480</v>
      </c>
      <c r="AX378" s="82" t="s">
        <v>13480</v>
      </c>
      <c r="AY378" s="77"/>
      <c r="AZ378" s="82" t="s">
        <v>17385</v>
      </c>
      <c r="BA378" s="82" t="s">
        <v>17385</v>
      </c>
      <c r="BB378" s="82" t="s">
        <v>17385</v>
      </c>
      <c r="BC378" s="82" t="s">
        <v>13480</v>
      </c>
      <c r="BD378" s="82" t="s">
        <v>17485</v>
      </c>
      <c r="BE378" s="77"/>
      <c r="BF378" s="77"/>
      <c r="BG378" s="77"/>
      <c r="BH378" s="77"/>
      <c r="BI378" s="77"/>
    </row>
    <row r="379" spans="1:61" x14ac:dyDescent="0.25">
      <c r="A379" s="62" t="s">
        <v>311</v>
      </c>
      <c r="B379" s="62" t="s">
        <v>311</v>
      </c>
      <c r="C379" s="63"/>
      <c r="D379" s="64"/>
      <c r="E379" s="65"/>
      <c r="F379" s="66"/>
      <c r="G379" s="63"/>
      <c r="H379" s="67"/>
      <c r="I379" s="68"/>
      <c r="J379" s="68"/>
      <c r="K379" s="32"/>
      <c r="L379" s="75">
        <v>379</v>
      </c>
      <c r="M379" s="75"/>
      <c r="N379" s="70"/>
      <c r="O379" s="77" t="s">
        <v>179</v>
      </c>
      <c r="P379" s="79">
        <v>45180.729618055557</v>
      </c>
      <c r="Q379" s="77" t="s">
        <v>1177</v>
      </c>
      <c r="R379" s="77">
        <v>0</v>
      </c>
      <c r="S379" s="77">
        <v>0</v>
      </c>
      <c r="T379" s="77">
        <v>2</v>
      </c>
      <c r="U379" s="77">
        <v>0</v>
      </c>
      <c r="V379" s="77">
        <v>122</v>
      </c>
      <c r="W379" s="82" t="s">
        <v>5025</v>
      </c>
      <c r="X379" s="77"/>
      <c r="Y379" s="77"/>
      <c r="Z379" s="77"/>
      <c r="AA379" s="77" t="s">
        <v>7453</v>
      </c>
      <c r="AB379" s="77" t="s">
        <v>8227</v>
      </c>
      <c r="AC379" s="82" t="s">
        <v>8232</v>
      </c>
      <c r="AD379" s="77" t="s">
        <v>8280</v>
      </c>
      <c r="AE379" s="80" t="str">
        <f>HYPERLINK("https://twitter.com/smashupbrazil/status/1701287150795497659")</f>
        <v>https://twitter.com/smashupbrazil/status/1701287150795497659</v>
      </c>
      <c r="AF379" s="79">
        <v>45180.729618055557</v>
      </c>
      <c r="AG379" s="85">
        <v>45180</v>
      </c>
      <c r="AH379" s="82" t="s">
        <v>8656</v>
      </c>
      <c r="AI379" s="77" t="b">
        <v>0</v>
      </c>
      <c r="AJ379" s="77"/>
      <c r="AK379" s="77"/>
      <c r="AL379" s="77"/>
      <c r="AM379" s="77"/>
      <c r="AN379" s="77"/>
      <c r="AO379" s="77"/>
      <c r="AP379" s="77"/>
      <c r="AQ379" s="77" t="s">
        <v>12338</v>
      </c>
      <c r="AR379" s="77">
        <v>25466</v>
      </c>
      <c r="AS379" s="77"/>
      <c r="AT379" s="77"/>
      <c r="AU379" s="77"/>
      <c r="AV379" s="80" t="str">
        <f>HYPERLINK("https://pbs.twimg.com/ext_tw_video_thumb/1701287058839572480/pu/img/fejik9Vggj_7t1Q-.jpg")</f>
        <v>https://pbs.twimg.com/ext_tw_video_thumb/1701287058839572480/pu/img/fejik9Vggj_7t1Q-.jpg</v>
      </c>
      <c r="AW379" s="82" t="s">
        <v>13481</v>
      </c>
      <c r="AX379" s="82" t="s">
        <v>13481</v>
      </c>
      <c r="AY379" s="77"/>
      <c r="AZ379" s="82" t="s">
        <v>17385</v>
      </c>
      <c r="BA379" s="82" t="s">
        <v>17385</v>
      </c>
      <c r="BB379" s="82" t="s">
        <v>17385</v>
      </c>
      <c r="BC379" s="82" t="s">
        <v>13481</v>
      </c>
      <c r="BD379" s="82" t="s">
        <v>17485</v>
      </c>
      <c r="BE379" s="77"/>
      <c r="BF379" s="77"/>
      <c r="BG379" s="77"/>
      <c r="BH379" s="77"/>
      <c r="BI379" s="77"/>
    </row>
    <row r="380" spans="1:61" x14ac:dyDescent="0.25">
      <c r="A380" s="62" t="s">
        <v>311</v>
      </c>
      <c r="B380" s="62" t="s">
        <v>311</v>
      </c>
      <c r="C380" s="63"/>
      <c r="D380" s="64"/>
      <c r="E380" s="65"/>
      <c r="F380" s="66"/>
      <c r="G380" s="63"/>
      <c r="H380" s="67"/>
      <c r="I380" s="68"/>
      <c r="J380" s="68"/>
      <c r="K380" s="32"/>
      <c r="L380" s="75">
        <v>380</v>
      </c>
      <c r="M380" s="75"/>
      <c r="N380" s="70"/>
      <c r="O380" s="77" t="s">
        <v>179</v>
      </c>
      <c r="P380" s="79">
        <v>45173.931944444441</v>
      </c>
      <c r="Q380" s="77" t="s">
        <v>1178</v>
      </c>
      <c r="R380" s="77">
        <v>0</v>
      </c>
      <c r="S380" s="77">
        <v>0</v>
      </c>
      <c r="T380" s="77">
        <v>0</v>
      </c>
      <c r="U380" s="77">
        <v>0</v>
      </c>
      <c r="V380" s="77">
        <v>129</v>
      </c>
      <c r="W380" s="82" t="s">
        <v>5025</v>
      </c>
      <c r="X380" s="77"/>
      <c r="Y380" s="77"/>
      <c r="Z380" s="77"/>
      <c r="AA380" s="77" t="s">
        <v>7454</v>
      </c>
      <c r="AB380" s="77" t="s">
        <v>8227</v>
      </c>
      <c r="AC380" s="82" t="s">
        <v>8232</v>
      </c>
      <c r="AD380" s="77" t="s">
        <v>8280</v>
      </c>
      <c r="AE380" s="80" t="str">
        <f>HYPERLINK("https://twitter.com/smashupbrazil/status/1698823753793409185")</f>
        <v>https://twitter.com/smashupbrazil/status/1698823753793409185</v>
      </c>
      <c r="AF380" s="79">
        <v>45173.931944444441</v>
      </c>
      <c r="AG380" s="85">
        <v>45173</v>
      </c>
      <c r="AH380" s="82" t="s">
        <v>8657</v>
      </c>
      <c r="AI380" s="77" t="b">
        <v>0</v>
      </c>
      <c r="AJ380" s="77"/>
      <c r="AK380" s="77"/>
      <c r="AL380" s="77"/>
      <c r="AM380" s="77"/>
      <c r="AN380" s="77"/>
      <c r="AO380" s="77"/>
      <c r="AP380" s="77"/>
      <c r="AQ380" s="77" t="s">
        <v>12339</v>
      </c>
      <c r="AR380" s="77">
        <v>46138</v>
      </c>
      <c r="AS380" s="77"/>
      <c r="AT380" s="77"/>
      <c r="AU380" s="77"/>
      <c r="AV380" s="80" t="str">
        <f>HYPERLINK("https://pbs.twimg.com/ext_tw_video_thumb/1698672744542752768/pu/img/dX5LVQ05UxtoH-fv.jpg")</f>
        <v>https://pbs.twimg.com/ext_tw_video_thumb/1698672744542752768/pu/img/dX5LVQ05UxtoH-fv.jpg</v>
      </c>
      <c r="AW380" s="82" t="s">
        <v>13482</v>
      </c>
      <c r="AX380" s="82" t="s">
        <v>13482</v>
      </c>
      <c r="AY380" s="77"/>
      <c r="AZ380" s="82" t="s">
        <v>17385</v>
      </c>
      <c r="BA380" s="82" t="s">
        <v>17385</v>
      </c>
      <c r="BB380" s="82" t="s">
        <v>17385</v>
      </c>
      <c r="BC380" s="82" t="s">
        <v>13482</v>
      </c>
      <c r="BD380" s="82" t="s">
        <v>17485</v>
      </c>
      <c r="BE380" s="77"/>
      <c r="BF380" s="77"/>
      <c r="BG380" s="77"/>
      <c r="BH380" s="77"/>
      <c r="BI380" s="77"/>
    </row>
    <row r="381" spans="1:61" x14ac:dyDescent="0.25">
      <c r="A381" s="62" t="s">
        <v>311</v>
      </c>
      <c r="B381" s="62" t="s">
        <v>311</v>
      </c>
      <c r="C381" s="63"/>
      <c r="D381" s="64"/>
      <c r="E381" s="65"/>
      <c r="F381" s="66"/>
      <c r="G381" s="63"/>
      <c r="H381" s="67"/>
      <c r="I381" s="68"/>
      <c r="J381" s="68"/>
      <c r="K381" s="32"/>
      <c r="L381" s="75">
        <v>381</v>
      </c>
      <c r="M381" s="75"/>
      <c r="N381" s="70"/>
      <c r="O381" s="77" t="s">
        <v>179</v>
      </c>
      <c r="P381" s="79">
        <v>45173.512499999997</v>
      </c>
      <c r="Q381" s="77" t="s">
        <v>1179</v>
      </c>
      <c r="R381" s="77">
        <v>0</v>
      </c>
      <c r="S381" s="77">
        <v>1</v>
      </c>
      <c r="T381" s="77">
        <v>0</v>
      </c>
      <c r="U381" s="77">
        <v>0</v>
      </c>
      <c r="V381" s="77">
        <v>90</v>
      </c>
      <c r="W381" s="82" t="s">
        <v>5025</v>
      </c>
      <c r="X381" s="77"/>
      <c r="Y381" s="77"/>
      <c r="Z381" s="77"/>
      <c r="AA381" s="77" t="s">
        <v>7455</v>
      </c>
      <c r="AB381" s="77" t="s">
        <v>8227</v>
      </c>
      <c r="AC381" s="82" t="s">
        <v>8232</v>
      </c>
      <c r="AD381" s="77" t="s">
        <v>8280</v>
      </c>
      <c r="AE381" s="80" t="str">
        <f>HYPERLINK("https://twitter.com/smashupbrazil/status/1698671753244057839")</f>
        <v>https://twitter.com/smashupbrazil/status/1698671753244057839</v>
      </c>
      <c r="AF381" s="79">
        <v>45173.512499999997</v>
      </c>
      <c r="AG381" s="85">
        <v>45173</v>
      </c>
      <c r="AH381" s="82" t="s">
        <v>8658</v>
      </c>
      <c r="AI381" s="77" t="b">
        <v>0</v>
      </c>
      <c r="AJ381" s="77"/>
      <c r="AK381" s="77"/>
      <c r="AL381" s="77"/>
      <c r="AM381" s="77"/>
      <c r="AN381" s="77"/>
      <c r="AO381" s="77"/>
      <c r="AP381" s="77"/>
      <c r="AQ381" s="77" t="s">
        <v>12340</v>
      </c>
      <c r="AR381" s="77">
        <v>16233</v>
      </c>
      <c r="AS381" s="77"/>
      <c r="AT381" s="77"/>
      <c r="AU381" s="77"/>
      <c r="AV381" s="80" t="str">
        <f>HYPERLINK("https://pbs.twimg.com/ext_tw_video_thumb/1698671530857861120/pu/img/mjfYOVFvHMLPrca4.jpg")</f>
        <v>https://pbs.twimg.com/ext_tw_video_thumb/1698671530857861120/pu/img/mjfYOVFvHMLPrca4.jpg</v>
      </c>
      <c r="AW381" s="82" t="s">
        <v>13483</v>
      </c>
      <c r="AX381" s="82" t="s">
        <v>13483</v>
      </c>
      <c r="AY381" s="77"/>
      <c r="AZ381" s="82" t="s">
        <v>17385</v>
      </c>
      <c r="BA381" s="82" t="s">
        <v>17385</v>
      </c>
      <c r="BB381" s="82" t="s">
        <v>17385</v>
      </c>
      <c r="BC381" s="82" t="s">
        <v>13483</v>
      </c>
      <c r="BD381" s="82" t="s">
        <v>17485</v>
      </c>
      <c r="BE381" s="77"/>
      <c r="BF381" s="77"/>
      <c r="BG381" s="77"/>
      <c r="BH381" s="77"/>
      <c r="BI381" s="77"/>
    </row>
    <row r="382" spans="1:61" x14ac:dyDescent="0.25">
      <c r="A382" s="62" t="s">
        <v>311</v>
      </c>
      <c r="B382" s="62" t="s">
        <v>311</v>
      </c>
      <c r="C382" s="63"/>
      <c r="D382" s="64"/>
      <c r="E382" s="65"/>
      <c r="F382" s="66"/>
      <c r="G382" s="63"/>
      <c r="H382" s="67"/>
      <c r="I382" s="68"/>
      <c r="J382" s="68"/>
      <c r="K382" s="32"/>
      <c r="L382" s="75">
        <v>382</v>
      </c>
      <c r="M382" s="75"/>
      <c r="N382" s="70"/>
      <c r="O382" s="77" t="s">
        <v>179</v>
      </c>
      <c r="P382" s="79">
        <v>45076.444895833331</v>
      </c>
      <c r="Q382" s="77" t="s">
        <v>1180</v>
      </c>
      <c r="R382" s="77">
        <v>0</v>
      </c>
      <c r="S382" s="77">
        <v>2</v>
      </c>
      <c r="T382" s="77">
        <v>1</v>
      </c>
      <c r="U382" s="77">
        <v>0</v>
      </c>
      <c r="V382" s="77">
        <v>225</v>
      </c>
      <c r="W382" s="82" t="s">
        <v>5025</v>
      </c>
      <c r="X382" s="77"/>
      <c r="Y382" s="77"/>
      <c r="Z382" s="77"/>
      <c r="AA382" s="77" t="s">
        <v>7456</v>
      </c>
      <c r="AB382" s="77" t="s">
        <v>8227</v>
      </c>
      <c r="AC382" s="82" t="s">
        <v>8232</v>
      </c>
      <c r="AD382" s="77" t="s">
        <v>8280</v>
      </c>
      <c r="AE382" s="80" t="str">
        <f>HYPERLINK("https://twitter.com/smashupbrazil/status/1663495629929078786")</f>
        <v>https://twitter.com/smashupbrazil/status/1663495629929078786</v>
      </c>
      <c r="AF382" s="79">
        <v>45076.444895833331</v>
      </c>
      <c r="AG382" s="85">
        <v>45076</v>
      </c>
      <c r="AH382" s="82" t="s">
        <v>8659</v>
      </c>
      <c r="AI382" s="77" t="b">
        <v>0</v>
      </c>
      <c r="AJ382" s="77"/>
      <c r="AK382" s="77"/>
      <c r="AL382" s="77"/>
      <c r="AM382" s="77"/>
      <c r="AN382" s="77"/>
      <c r="AO382" s="77"/>
      <c r="AP382" s="77"/>
      <c r="AQ382" s="77" t="s">
        <v>12341</v>
      </c>
      <c r="AR382" s="77">
        <v>57910</v>
      </c>
      <c r="AS382" s="77"/>
      <c r="AT382" s="77"/>
      <c r="AU382" s="77"/>
      <c r="AV382" s="80" t="str">
        <f>HYPERLINK("https://pbs.twimg.com/ext_tw_video_thumb/1663495516393558018/pu/img/JWoK6Kd7p-uuqvMo.jpg")</f>
        <v>https://pbs.twimg.com/ext_tw_video_thumb/1663495516393558018/pu/img/JWoK6Kd7p-uuqvMo.jpg</v>
      </c>
      <c r="AW382" s="82" t="s">
        <v>13484</v>
      </c>
      <c r="AX382" s="82" t="s">
        <v>13484</v>
      </c>
      <c r="AY382" s="77"/>
      <c r="AZ382" s="82" t="s">
        <v>17385</v>
      </c>
      <c r="BA382" s="82" t="s">
        <v>17385</v>
      </c>
      <c r="BB382" s="82" t="s">
        <v>17385</v>
      </c>
      <c r="BC382" s="82" t="s">
        <v>13484</v>
      </c>
      <c r="BD382" s="82" t="s">
        <v>17485</v>
      </c>
      <c r="BE382" s="77"/>
      <c r="BF382" s="77"/>
      <c r="BG382" s="77"/>
      <c r="BH382" s="77"/>
      <c r="BI382" s="77"/>
    </row>
    <row r="383" spans="1:61" x14ac:dyDescent="0.25">
      <c r="A383" s="62" t="s">
        <v>311</v>
      </c>
      <c r="B383" s="62" t="s">
        <v>311</v>
      </c>
      <c r="C383" s="63"/>
      <c r="D383" s="64"/>
      <c r="E383" s="65"/>
      <c r="F383" s="66"/>
      <c r="G383" s="63"/>
      <c r="H383" s="67"/>
      <c r="I383" s="68"/>
      <c r="J383" s="68"/>
      <c r="K383" s="32"/>
      <c r="L383" s="75">
        <v>383</v>
      </c>
      <c r="M383" s="75"/>
      <c r="N383" s="70"/>
      <c r="O383" s="77" t="s">
        <v>179</v>
      </c>
      <c r="P383" s="79">
        <v>45076.444467592592</v>
      </c>
      <c r="Q383" s="77" t="s">
        <v>1181</v>
      </c>
      <c r="R383" s="77">
        <v>0</v>
      </c>
      <c r="S383" s="77">
        <v>0</v>
      </c>
      <c r="T383" s="77">
        <v>3</v>
      </c>
      <c r="U383" s="77">
        <v>0</v>
      </c>
      <c r="V383" s="77">
        <v>185</v>
      </c>
      <c r="W383" s="82" t="s">
        <v>5025</v>
      </c>
      <c r="X383" s="77"/>
      <c r="Y383" s="77"/>
      <c r="Z383" s="77"/>
      <c r="AA383" s="77" t="s">
        <v>7457</v>
      </c>
      <c r="AB383" s="77" t="s">
        <v>8227</v>
      </c>
      <c r="AC383" s="82" t="s">
        <v>8232</v>
      </c>
      <c r="AD383" s="77" t="s">
        <v>8280</v>
      </c>
      <c r="AE383" s="80" t="str">
        <f>HYPERLINK("https://twitter.com/smashupbrazil/status/1663495474509234176")</f>
        <v>https://twitter.com/smashupbrazil/status/1663495474509234176</v>
      </c>
      <c r="AF383" s="79">
        <v>45076.444467592592</v>
      </c>
      <c r="AG383" s="85">
        <v>45076</v>
      </c>
      <c r="AH383" s="82" t="s">
        <v>8660</v>
      </c>
      <c r="AI383" s="77" t="b">
        <v>0</v>
      </c>
      <c r="AJ383" s="77"/>
      <c r="AK383" s="77"/>
      <c r="AL383" s="77"/>
      <c r="AM383" s="77"/>
      <c r="AN383" s="77"/>
      <c r="AO383" s="77"/>
      <c r="AP383" s="77"/>
      <c r="AQ383" s="77" t="s">
        <v>12342</v>
      </c>
      <c r="AR383" s="77">
        <v>40588</v>
      </c>
      <c r="AS383" s="77"/>
      <c r="AT383" s="77"/>
      <c r="AU383" s="77"/>
      <c r="AV383" s="80" t="str">
        <f>HYPERLINK("https://pbs.twimg.com/ext_tw_video_thumb/1663495402451005441/pu/img/Qomn8mXQ7kdXVH0_.jpg")</f>
        <v>https://pbs.twimg.com/ext_tw_video_thumb/1663495402451005441/pu/img/Qomn8mXQ7kdXVH0_.jpg</v>
      </c>
      <c r="AW383" s="82" t="s">
        <v>13485</v>
      </c>
      <c r="AX383" s="82" t="s">
        <v>13485</v>
      </c>
      <c r="AY383" s="77"/>
      <c r="AZ383" s="82" t="s">
        <v>17385</v>
      </c>
      <c r="BA383" s="82" t="s">
        <v>17385</v>
      </c>
      <c r="BB383" s="82" t="s">
        <v>17385</v>
      </c>
      <c r="BC383" s="82" t="s">
        <v>13485</v>
      </c>
      <c r="BD383" s="82" t="s">
        <v>17485</v>
      </c>
      <c r="BE383" s="77"/>
      <c r="BF383" s="77"/>
      <c r="BG383" s="77"/>
      <c r="BH383" s="77"/>
      <c r="BI383" s="77"/>
    </row>
    <row r="384" spans="1:61" x14ac:dyDescent="0.25">
      <c r="A384" s="62" t="s">
        <v>311</v>
      </c>
      <c r="B384" s="62" t="s">
        <v>311</v>
      </c>
      <c r="C384" s="63"/>
      <c r="D384" s="64"/>
      <c r="E384" s="65"/>
      <c r="F384" s="66"/>
      <c r="G384" s="63"/>
      <c r="H384" s="67"/>
      <c r="I384" s="68"/>
      <c r="J384" s="68"/>
      <c r="K384" s="32"/>
      <c r="L384" s="75">
        <v>384</v>
      </c>
      <c r="M384" s="75"/>
      <c r="N384" s="70"/>
      <c r="O384" s="77" t="s">
        <v>179</v>
      </c>
      <c r="P384" s="79">
        <v>45076.444143518522</v>
      </c>
      <c r="Q384" s="77" t="s">
        <v>1182</v>
      </c>
      <c r="R384" s="77">
        <v>0</v>
      </c>
      <c r="S384" s="77">
        <v>0</v>
      </c>
      <c r="T384" s="77">
        <v>2</v>
      </c>
      <c r="U384" s="77">
        <v>0</v>
      </c>
      <c r="V384" s="77">
        <v>156</v>
      </c>
      <c r="W384" s="82" t="s">
        <v>5025</v>
      </c>
      <c r="X384" s="77"/>
      <c r="Y384" s="77"/>
      <c r="Z384" s="77"/>
      <c r="AA384" s="77" t="s">
        <v>7458</v>
      </c>
      <c r="AB384" s="77" t="s">
        <v>8227</v>
      </c>
      <c r="AC384" s="82" t="s">
        <v>8232</v>
      </c>
      <c r="AD384" s="77" t="s">
        <v>8280</v>
      </c>
      <c r="AE384" s="80" t="str">
        <f>HYPERLINK("https://twitter.com/smashupbrazil/status/1663495357047660546")</f>
        <v>https://twitter.com/smashupbrazil/status/1663495357047660546</v>
      </c>
      <c r="AF384" s="79">
        <v>45076.444143518522</v>
      </c>
      <c r="AG384" s="85">
        <v>45076</v>
      </c>
      <c r="AH384" s="82" t="s">
        <v>8661</v>
      </c>
      <c r="AI384" s="77" t="b">
        <v>0</v>
      </c>
      <c r="AJ384" s="77"/>
      <c r="AK384" s="77"/>
      <c r="AL384" s="77"/>
      <c r="AM384" s="77"/>
      <c r="AN384" s="77"/>
      <c r="AO384" s="77"/>
      <c r="AP384" s="77"/>
      <c r="AQ384" s="77" t="s">
        <v>12343</v>
      </c>
      <c r="AR384" s="77">
        <v>55100</v>
      </c>
      <c r="AS384" s="77"/>
      <c r="AT384" s="77"/>
      <c r="AU384" s="77"/>
      <c r="AV384" s="80" t="str">
        <f>HYPERLINK("https://pbs.twimg.com/ext_tw_video_thumb/1663495189015547904/pu/img/YGMOLDPYJD1LtKDC.jpg")</f>
        <v>https://pbs.twimg.com/ext_tw_video_thumb/1663495189015547904/pu/img/YGMOLDPYJD1LtKDC.jpg</v>
      </c>
      <c r="AW384" s="82" t="s">
        <v>13486</v>
      </c>
      <c r="AX384" s="82" t="s">
        <v>13486</v>
      </c>
      <c r="AY384" s="77"/>
      <c r="AZ384" s="82" t="s">
        <v>17385</v>
      </c>
      <c r="BA384" s="82" t="s">
        <v>17385</v>
      </c>
      <c r="BB384" s="82" t="s">
        <v>17385</v>
      </c>
      <c r="BC384" s="82" t="s">
        <v>13486</v>
      </c>
      <c r="BD384" s="82" t="s">
        <v>17485</v>
      </c>
      <c r="BE384" s="77"/>
      <c r="BF384" s="77"/>
      <c r="BG384" s="77"/>
      <c r="BH384" s="77"/>
      <c r="BI384" s="77"/>
    </row>
    <row r="385" spans="1:61" x14ac:dyDescent="0.25">
      <c r="A385" s="62" t="s">
        <v>311</v>
      </c>
      <c r="B385" s="62" t="s">
        <v>311</v>
      </c>
      <c r="C385" s="63"/>
      <c r="D385" s="64"/>
      <c r="E385" s="65"/>
      <c r="F385" s="66"/>
      <c r="G385" s="63"/>
      <c r="H385" s="67"/>
      <c r="I385" s="68"/>
      <c r="J385" s="68"/>
      <c r="K385" s="32"/>
      <c r="L385" s="75">
        <v>385</v>
      </c>
      <c r="M385" s="75"/>
      <c r="N385" s="70"/>
      <c r="O385" s="77" t="s">
        <v>179</v>
      </c>
      <c r="P385" s="79">
        <v>45075.303078703706</v>
      </c>
      <c r="Q385" s="77" t="s">
        <v>1183</v>
      </c>
      <c r="R385" s="77">
        <v>0</v>
      </c>
      <c r="S385" s="77">
        <v>0</v>
      </c>
      <c r="T385" s="77">
        <v>1</v>
      </c>
      <c r="U385" s="77">
        <v>0</v>
      </c>
      <c r="V385" s="77">
        <v>163</v>
      </c>
      <c r="W385" s="82" t="s">
        <v>5025</v>
      </c>
      <c r="X385" s="77"/>
      <c r="Y385" s="77"/>
      <c r="Z385" s="77"/>
      <c r="AA385" s="77" t="s">
        <v>7459</v>
      </c>
      <c r="AB385" s="77" t="s">
        <v>8227</v>
      </c>
      <c r="AC385" s="82" t="s">
        <v>8232</v>
      </c>
      <c r="AD385" s="77" t="s">
        <v>8280</v>
      </c>
      <c r="AE385" s="80" t="str">
        <f>HYPERLINK("https://twitter.com/smashupbrazil/status/1663081850267418627")</f>
        <v>https://twitter.com/smashupbrazil/status/1663081850267418627</v>
      </c>
      <c r="AF385" s="79">
        <v>45075.303078703706</v>
      </c>
      <c r="AG385" s="85">
        <v>45075</v>
      </c>
      <c r="AH385" s="82" t="s">
        <v>8662</v>
      </c>
      <c r="AI385" s="77" t="b">
        <v>0</v>
      </c>
      <c r="AJ385" s="77"/>
      <c r="AK385" s="77"/>
      <c r="AL385" s="77"/>
      <c r="AM385" s="77"/>
      <c r="AN385" s="77"/>
      <c r="AO385" s="77"/>
      <c r="AP385" s="77"/>
      <c r="AQ385" s="77" t="s">
        <v>12344</v>
      </c>
      <c r="AR385" s="77">
        <v>36316</v>
      </c>
      <c r="AS385" s="77"/>
      <c r="AT385" s="77"/>
      <c r="AU385" s="77"/>
      <c r="AV385" s="80" t="str">
        <f>HYPERLINK("https://pbs.twimg.com/ext_tw_video_thumb/1663081756499558400/pu/img/QcQ2TxwCMPzeQ-OF.jpg")</f>
        <v>https://pbs.twimg.com/ext_tw_video_thumb/1663081756499558400/pu/img/QcQ2TxwCMPzeQ-OF.jpg</v>
      </c>
      <c r="AW385" s="82" t="s">
        <v>13487</v>
      </c>
      <c r="AX385" s="82" t="s">
        <v>13487</v>
      </c>
      <c r="AY385" s="77"/>
      <c r="AZ385" s="82" t="s">
        <v>17385</v>
      </c>
      <c r="BA385" s="82" t="s">
        <v>17385</v>
      </c>
      <c r="BB385" s="82" t="s">
        <v>17385</v>
      </c>
      <c r="BC385" s="82" t="s">
        <v>13487</v>
      </c>
      <c r="BD385" s="82" t="s">
        <v>17485</v>
      </c>
      <c r="BE385" s="77"/>
      <c r="BF385" s="77"/>
      <c r="BG385" s="77"/>
      <c r="BH385" s="77"/>
      <c r="BI385" s="77"/>
    </row>
    <row r="386" spans="1:61" x14ac:dyDescent="0.25">
      <c r="A386" s="62" t="s">
        <v>311</v>
      </c>
      <c r="B386" s="62" t="s">
        <v>311</v>
      </c>
      <c r="C386" s="63"/>
      <c r="D386" s="64"/>
      <c r="E386" s="65"/>
      <c r="F386" s="66"/>
      <c r="G386" s="63"/>
      <c r="H386" s="67"/>
      <c r="I386" s="68"/>
      <c r="J386" s="68"/>
      <c r="K386" s="32"/>
      <c r="L386" s="75">
        <v>386</v>
      </c>
      <c r="M386" s="75"/>
      <c r="N386" s="70"/>
      <c r="O386" s="77" t="s">
        <v>179</v>
      </c>
      <c r="P386" s="79">
        <v>45075.301979166667</v>
      </c>
      <c r="Q386" s="77" t="s">
        <v>1184</v>
      </c>
      <c r="R386" s="77">
        <v>0</v>
      </c>
      <c r="S386" s="77">
        <v>0</v>
      </c>
      <c r="T386" s="77">
        <v>1</v>
      </c>
      <c r="U386" s="77">
        <v>0</v>
      </c>
      <c r="V386" s="77">
        <v>147</v>
      </c>
      <c r="W386" s="82" t="s">
        <v>5025</v>
      </c>
      <c r="X386" s="77"/>
      <c r="Y386" s="77"/>
      <c r="Z386" s="77"/>
      <c r="AA386" s="77" t="s">
        <v>7460</v>
      </c>
      <c r="AB386" s="77" t="s">
        <v>8227</v>
      </c>
      <c r="AC386" s="82" t="s">
        <v>8232</v>
      </c>
      <c r="AD386" s="77" t="s">
        <v>8280</v>
      </c>
      <c r="AE386" s="80" t="str">
        <f>HYPERLINK("https://twitter.com/smashupbrazil/status/1663081454601904133")</f>
        <v>https://twitter.com/smashupbrazil/status/1663081454601904133</v>
      </c>
      <c r="AF386" s="79">
        <v>45075.301979166667</v>
      </c>
      <c r="AG386" s="85">
        <v>45075</v>
      </c>
      <c r="AH386" s="82" t="s">
        <v>8663</v>
      </c>
      <c r="AI386" s="77" t="b">
        <v>0</v>
      </c>
      <c r="AJ386" s="77"/>
      <c r="AK386" s="77"/>
      <c r="AL386" s="77"/>
      <c r="AM386" s="77"/>
      <c r="AN386" s="77"/>
      <c r="AO386" s="77"/>
      <c r="AP386" s="77"/>
      <c r="AQ386" s="77" t="s">
        <v>12345</v>
      </c>
      <c r="AR386" s="77">
        <v>24775</v>
      </c>
      <c r="AS386" s="77"/>
      <c r="AT386" s="77"/>
      <c r="AU386" s="77"/>
      <c r="AV386" s="80" t="str">
        <f>HYPERLINK("https://pbs.twimg.com/ext_tw_video_thumb/1663081407516688384/pu/img/VOn_4ON_-El4svpj.jpg")</f>
        <v>https://pbs.twimg.com/ext_tw_video_thumb/1663081407516688384/pu/img/VOn_4ON_-El4svpj.jpg</v>
      </c>
      <c r="AW386" s="82" t="s">
        <v>13488</v>
      </c>
      <c r="AX386" s="82" t="s">
        <v>13488</v>
      </c>
      <c r="AY386" s="77"/>
      <c r="AZ386" s="82" t="s">
        <v>17385</v>
      </c>
      <c r="BA386" s="82" t="s">
        <v>17385</v>
      </c>
      <c r="BB386" s="82" t="s">
        <v>17385</v>
      </c>
      <c r="BC386" s="82" t="s">
        <v>13488</v>
      </c>
      <c r="BD386" s="82" t="s">
        <v>17485</v>
      </c>
      <c r="BE386" s="77"/>
      <c r="BF386" s="77"/>
      <c r="BG386" s="77"/>
      <c r="BH386" s="77"/>
      <c r="BI386" s="77"/>
    </row>
    <row r="387" spans="1:61" x14ac:dyDescent="0.25">
      <c r="A387" s="62" t="s">
        <v>311</v>
      </c>
      <c r="B387" s="62" t="s">
        <v>311</v>
      </c>
      <c r="C387" s="63"/>
      <c r="D387" s="64"/>
      <c r="E387" s="65"/>
      <c r="F387" s="66"/>
      <c r="G387" s="63"/>
      <c r="H387" s="67"/>
      <c r="I387" s="68"/>
      <c r="J387" s="68"/>
      <c r="K387" s="32"/>
      <c r="L387" s="75">
        <v>387</v>
      </c>
      <c r="M387" s="75"/>
      <c r="N387" s="70"/>
      <c r="O387" s="77" t="s">
        <v>179</v>
      </c>
      <c r="P387" s="79">
        <v>45075.301701388889</v>
      </c>
      <c r="Q387" s="77" t="s">
        <v>1185</v>
      </c>
      <c r="R387" s="77">
        <v>0</v>
      </c>
      <c r="S387" s="77">
        <v>0</v>
      </c>
      <c r="T387" s="77">
        <v>3</v>
      </c>
      <c r="U387" s="77">
        <v>0</v>
      </c>
      <c r="V387" s="77">
        <v>156</v>
      </c>
      <c r="W387" s="82" t="s">
        <v>5025</v>
      </c>
      <c r="X387" s="77"/>
      <c r="Y387" s="77"/>
      <c r="Z387" s="77"/>
      <c r="AA387" s="77" t="s">
        <v>7461</v>
      </c>
      <c r="AB387" s="77" t="s">
        <v>8227</v>
      </c>
      <c r="AC387" s="82" t="s">
        <v>8232</v>
      </c>
      <c r="AD387" s="77" t="s">
        <v>8280</v>
      </c>
      <c r="AE387" s="80" t="str">
        <f>HYPERLINK("https://twitter.com/smashupbrazil/status/1663081353405947911")</f>
        <v>https://twitter.com/smashupbrazil/status/1663081353405947911</v>
      </c>
      <c r="AF387" s="79">
        <v>45075.301701388889</v>
      </c>
      <c r="AG387" s="85">
        <v>45075</v>
      </c>
      <c r="AH387" s="82" t="s">
        <v>8664</v>
      </c>
      <c r="AI387" s="77" t="b">
        <v>0</v>
      </c>
      <c r="AJ387" s="77"/>
      <c r="AK387" s="77"/>
      <c r="AL387" s="77"/>
      <c r="AM387" s="77"/>
      <c r="AN387" s="77"/>
      <c r="AO387" s="77"/>
      <c r="AP387" s="77"/>
      <c r="AQ387" s="77" t="s">
        <v>12346</v>
      </c>
      <c r="AR387" s="77">
        <v>57539</v>
      </c>
      <c r="AS387" s="77"/>
      <c r="AT387" s="77"/>
      <c r="AU387" s="77"/>
      <c r="AV387" s="80" t="str">
        <f>HYPERLINK("https://pbs.twimg.com/ext_tw_video_thumb/1663081104826421249/pu/img/zJhJQjTz1e00NF00.jpg")</f>
        <v>https://pbs.twimg.com/ext_tw_video_thumb/1663081104826421249/pu/img/zJhJQjTz1e00NF00.jpg</v>
      </c>
      <c r="AW387" s="82" t="s">
        <v>13489</v>
      </c>
      <c r="AX387" s="82" t="s">
        <v>13489</v>
      </c>
      <c r="AY387" s="77"/>
      <c r="AZ387" s="82" t="s">
        <v>17385</v>
      </c>
      <c r="BA387" s="82" t="s">
        <v>17385</v>
      </c>
      <c r="BB387" s="82" t="s">
        <v>17385</v>
      </c>
      <c r="BC387" s="82" t="s">
        <v>13489</v>
      </c>
      <c r="BD387" s="82" t="s">
        <v>17485</v>
      </c>
      <c r="BE387" s="77"/>
      <c r="BF387" s="77"/>
      <c r="BG387" s="77"/>
      <c r="BH387" s="77"/>
      <c r="BI387" s="77"/>
    </row>
    <row r="388" spans="1:61" x14ac:dyDescent="0.25">
      <c r="A388" s="62" t="s">
        <v>311</v>
      </c>
      <c r="B388" s="62" t="s">
        <v>311</v>
      </c>
      <c r="C388" s="63"/>
      <c r="D388" s="64"/>
      <c r="E388" s="65"/>
      <c r="F388" s="66"/>
      <c r="G388" s="63"/>
      <c r="H388" s="67"/>
      <c r="I388" s="68"/>
      <c r="J388" s="68"/>
      <c r="K388" s="32"/>
      <c r="L388" s="75">
        <v>388</v>
      </c>
      <c r="M388" s="75"/>
      <c r="N388" s="70"/>
      <c r="O388" s="77" t="s">
        <v>179</v>
      </c>
      <c r="P388" s="79">
        <v>45182.917361111111</v>
      </c>
      <c r="Q388" s="77" t="s">
        <v>1186</v>
      </c>
      <c r="R388" s="77">
        <v>0</v>
      </c>
      <c r="S388" s="77">
        <v>0</v>
      </c>
      <c r="T388" s="77">
        <v>1</v>
      </c>
      <c r="U388" s="77">
        <v>0</v>
      </c>
      <c r="V388" s="77">
        <v>152</v>
      </c>
      <c r="W388" s="82" t="s">
        <v>5027</v>
      </c>
      <c r="X388" s="77"/>
      <c r="Y388" s="77"/>
      <c r="Z388" s="77"/>
      <c r="AA388" s="77" t="s">
        <v>7462</v>
      </c>
      <c r="AB388" s="77" t="s">
        <v>8227</v>
      </c>
      <c r="AC388" s="82" t="s">
        <v>8232</v>
      </c>
      <c r="AD388" s="77" t="s">
        <v>8278</v>
      </c>
      <c r="AE388" s="80" t="str">
        <f>HYPERLINK("https://twitter.com/smashupbrazil/status/1702079960091926897")</f>
        <v>https://twitter.com/smashupbrazil/status/1702079960091926897</v>
      </c>
      <c r="AF388" s="79">
        <v>45182.917361111111</v>
      </c>
      <c r="AG388" s="85">
        <v>45182</v>
      </c>
      <c r="AH388" s="82" t="s">
        <v>8665</v>
      </c>
      <c r="AI388" s="77" t="b">
        <v>0</v>
      </c>
      <c r="AJ388" s="77"/>
      <c r="AK388" s="77"/>
      <c r="AL388" s="77"/>
      <c r="AM388" s="77"/>
      <c r="AN388" s="77"/>
      <c r="AO388" s="77"/>
      <c r="AP388" s="77"/>
      <c r="AQ388" s="77" t="s">
        <v>12347</v>
      </c>
      <c r="AR388" s="77">
        <v>38966</v>
      </c>
      <c r="AS388" s="77"/>
      <c r="AT388" s="77"/>
      <c r="AU388" s="77"/>
      <c r="AV388" s="80" t="str">
        <f>HYPERLINK("https://pbs.twimg.com/ext_tw_video_thumb/1701958926390935552/pu/img/Qa9ld2GHuZtqL65V.jpg")</f>
        <v>https://pbs.twimg.com/ext_tw_video_thumb/1701958926390935552/pu/img/Qa9ld2GHuZtqL65V.jpg</v>
      </c>
      <c r="AW388" s="82" t="s">
        <v>13490</v>
      </c>
      <c r="AX388" s="82" t="s">
        <v>13490</v>
      </c>
      <c r="AY388" s="77"/>
      <c r="AZ388" s="82" t="s">
        <v>17385</v>
      </c>
      <c r="BA388" s="82" t="s">
        <v>17385</v>
      </c>
      <c r="BB388" s="82" t="s">
        <v>17385</v>
      </c>
      <c r="BC388" s="82" t="s">
        <v>13490</v>
      </c>
      <c r="BD388" s="82" t="s">
        <v>17485</v>
      </c>
      <c r="BE388" s="77"/>
      <c r="BF388" s="77"/>
      <c r="BG388" s="77"/>
      <c r="BH388" s="77"/>
      <c r="BI388" s="77"/>
    </row>
    <row r="389" spans="1:61" x14ac:dyDescent="0.25">
      <c r="A389" s="62" t="s">
        <v>311</v>
      </c>
      <c r="B389" s="62" t="s">
        <v>311</v>
      </c>
      <c r="C389" s="63"/>
      <c r="D389" s="64"/>
      <c r="E389" s="65"/>
      <c r="F389" s="66"/>
      <c r="G389" s="63"/>
      <c r="H389" s="67"/>
      <c r="I389" s="68"/>
      <c r="J389" s="68"/>
      <c r="K389" s="32"/>
      <c r="L389" s="75">
        <v>389</v>
      </c>
      <c r="M389" s="75"/>
      <c r="N389" s="70"/>
      <c r="O389" s="77" t="s">
        <v>179</v>
      </c>
      <c r="P389" s="79">
        <v>45180.938194444447</v>
      </c>
      <c r="Q389" s="77" t="s">
        <v>1187</v>
      </c>
      <c r="R389" s="77">
        <v>0</v>
      </c>
      <c r="S389" s="77">
        <v>0</v>
      </c>
      <c r="T389" s="77">
        <v>0</v>
      </c>
      <c r="U389" s="77">
        <v>0</v>
      </c>
      <c r="V389" s="77">
        <v>177</v>
      </c>
      <c r="W389" s="82" t="s">
        <v>5025</v>
      </c>
      <c r="X389" s="77"/>
      <c r="Y389" s="77"/>
      <c r="Z389" s="77"/>
      <c r="AA389" s="77" t="s">
        <v>7463</v>
      </c>
      <c r="AB389" s="77" t="s">
        <v>8227</v>
      </c>
      <c r="AC389" s="82" t="s">
        <v>8232</v>
      </c>
      <c r="AD389" s="77" t="s">
        <v>8280</v>
      </c>
      <c r="AE389" s="80" t="str">
        <f>HYPERLINK("https://twitter.com/smashupbrazil/status/1701362733881475088")</f>
        <v>https://twitter.com/smashupbrazil/status/1701362733881475088</v>
      </c>
      <c r="AF389" s="79">
        <v>45180.938194444447</v>
      </c>
      <c r="AG389" s="85">
        <v>45180</v>
      </c>
      <c r="AH389" s="82" t="s">
        <v>8666</v>
      </c>
      <c r="AI389" s="77" t="b">
        <v>0</v>
      </c>
      <c r="AJ389" s="77"/>
      <c r="AK389" s="77"/>
      <c r="AL389" s="77"/>
      <c r="AM389" s="77"/>
      <c r="AN389" s="77"/>
      <c r="AO389" s="77"/>
      <c r="AP389" s="77"/>
      <c r="AQ389" s="77" t="s">
        <v>12348</v>
      </c>
      <c r="AR389" s="77">
        <v>34551</v>
      </c>
      <c r="AS389" s="77"/>
      <c r="AT389" s="77"/>
      <c r="AU389" s="77"/>
      <c r="AV389" s="80" t="str">
        <f>HYPERLINK("https://pbs.twimg.com/ext_tw_video_thumb/1701287211839397888/pu/img/kP6Ldb9xYfr-HQBA.jpg")</f>
        <v>https://pbs.twimg.com/ext_tw_video_thumb/1701287211839397888/pu/img/kP6Ldb9xYfr-HQBA.jpg</v>
      </c>
      <c r="AW389" s="82" t="s">
        <v>13491</v>
      </c>
      <c r="AX389" s="82" t="s">
        <v>13491</v>
      </c>
      <c r="AY389" s="77"/>
      <c r="AZ389" s="82" t="s">
        <v>17385</v>
      </c>
      <c r="BA389" s="82" t="s">
        <v>17385</v>
      </c>
      <c r="BB389" s="82" t="s">
        <v>17385</v>
      </c>
      <c r="BC389" s="82" t="s">
        <v>13491</v>
      </c>
      <c r="BD389" s="82" t="s">
        <v>17485</v>
      </c>
      <c r="BE389" s="77"/>
      <c r="BF389" s="77"/>
      <c r="BG389" s="77"/>
      <c r="BH389" s="77"/>
      <c r="BI389" s="77"/>
    </row>
    <row r="390" spans="1:61" x14ac:dyDescent="0.25">
      <c r="A390" s="62" t="s">
        <v>311</v>
      </c>
      <c r="B390" s="62" t="s">
        <v>311</v>
      </c>
      <c r="C390" s="63"/>
      <c r="D390" s="64"/>
      <c r="E390" s="65"/>
      <c r="F390" s="66"/>
      <c r="G390" s="63"/>
      <c r="H390" s="67"/>
      <c r="I390" s="68"/>
      <c r="J390" s="68"/>
      <c r="K390" s="32"/>
      <c r="L390" s="75">
        <v>390</v>
      </c>
      <c r="M390" s="75"/>
      <c r="N390" s="70"/>
      <c r="O390" s="77" t="s">
        <v>179</v>
      </c>
      <c r="P390" s="79">
        <v>45057.560416666667</v>
      </c>
      <c r="Q390" s="77" t="s">
        <v>1188</v>
      </c>
      <c r="R390" s="77">
        <v>0</v>
      </c>
      <c r="S390" s="77">
        <v>1</v>
      </c>
      <c r="T390" s="77">
        <v>2</v>
      </c>
      <c r="U390" s="77">
        <v>0</v>
      </c>
      <c r="V390" s="77">
        <v>197</v>
      </c>
      <c r="W390" s="82" t="s">
        <v>5025</v>
      </c>
      <c r="X390" s="77"/>
      <c r="Y390" s="77"/>
      <c r="Z390" s="77"/>
      <c r="AA390" s="77" t="s">
        <v>7464</v>
      </c>
      <c r="AB390" s="77" t="s">
        <v>8227</v>
      </c>
      <c r="AC390" s="82" t="s">
        <v>8232</v>
      </c>
      <c r="AD390" s="77" t="s">
        <v>8280</v>
      </c>
      <c r="AE390" s="80" t="str">
        <f>HYPERLINK("https://twitter.com/smashupbrazil/status/1656652127467634692")</f>
        <v>https://twitter.com/smashupbrazil/status/1656652127467634692</v>
      </c>
      <c r="AF390" s="79">
        <v>45057.560416666667</v>
      </c>
      <c r="AG390" s="85">
        <v>45057</v>
      </c>
      <c r="AH390" s="82" t="s">
        <v>8648</v>
      </c>
      <c r="AI390" s="77" t="b">
        <v>0</v>
      </c>
      <c r="AJ390" s="77"/>
      <c r="AK390" s="77"/>
      <c r="AL390" s="77"/>
      <c r="AM390" s="77"/>
      <c r="AN390" s="77"/>
      <c r="AO390" s="77"/>
      <c r="AP390" s="77"/>
      <c r="AQ390" s="77" t="s">
        <v>12349</v>
      </c>
      <c r="AR390" s="77">
        <v>51176</v>
      </c>
      <c r="AS390" s="77"/>
      <c r="AT390" s="77"/>
      <c r="AU390" s="77"/>
      <c r="AV390" s="80" t="str">
        <f>HYPERLINK("https://pbs.twimg.com/ext_tw_video_thumb/1656649550243799042/pu/img/ySXnQVDJAlgYb_eY.jpg")</f>
        <v>https://pbs.twimg.com/ext_tw_video_thumb/1656649550243799042/pu/img/ySXnQVDJAlgYb_eY.jpg</v>
      </c>
      <c r="AW390" s="82" t="s">
        <v>13492</v>
      </c>
      <c r="AX390" s="82" t="s">
        <v>13492</v>
      </c>
      <c r="AY390" s="77"/>
      <c r="AZ390" s="82" t="s">
        <v>17385</v>
      </c>
      <c r="BA390" s="82" t="s">
        <v>17385</v>
      </c>
      <c r="BB390" s="82" t="s">
        <v>17385</v>
      </c>
      <c r="BC390" s="82" t="s">
        <v>13492</v>
      </c>
      <c r="BD390" s="82" t="s">
        <v>17485</v>
      </c>
      <c r="BE390" s="77"/>
      <c r="BF390" s="77"/>
      <c r="BG390" s="77"/>
      <c r="BH390" s="77"/>
      <c r="BI390" s="77"/>
    </row>
    <row r="391" spans="1:61" x14ac:dyDescent="0.25">
      <c r="A391" s="62" t="s">
        <v>311</v>
      </c>
      <c r="B391" s="62" t="s">
        <v>311</v>
      </c>
      <c r="C391" s="63"/>
      <c r="D391" s="64"/>
      <c r="E391" s="65"/>
      <c r="F391" s="66"/>
      <c r="G391" s="63"/>
      <c r="H391" s="67"/>
      <c r="I391" s="68"/>
      <c r="J391" s="68"/>
      <c r="K391" s="32"/>
      <c r="L391" s="75">
        <v>391</v>
      </c>
      <c r="M391" s="75"/>
      <c r="N391" s="70"/>
      <c r="O391" s="77" t="s">
        <v>179</v>
      </c>
      <c r="P391" s="79">
        <v>45057.545972222222</v>
      </c>
      <c r="Q391" s="77" t="s">
        <v>1189</v>
      </c>
      <c r="R391" s="77">
        <v>0</v>
      </c>
      <c r="S391" s="77">
        <v>2</v>
      </c>
      <c r="T391" s="77">
        <v>0</v>
      </c>
      <c r="U391" s="77">
        <v>0</v>
      </c>
      <c r="V391" s="77">
        <v>131</v>
      </c>
      <c r="W391" s="82" t="s">
        <v>5025</v>
      </c>
      <c r="X391" s="77"/>
      <c r="Y391" s="77"/>
      <c r="Z391" s="77"/>
      <c r="AA391" s="77" t="s">
        <v>7465</v>
      </c>
      <c r="AB391" s="77" t="s">
        <v>8225</v>
      </c>
      <c r="AC391" s="82" t="s">
        <v>8232</v>
      </c>
      <c r="AD391" s="77" t="s">
        <v>8280</v>
      </c>
      <c r="AE391" s="80" t="str">
        <f>HYPERLINK("https://twitter.com/smashupbrazil/status/1656646890660716545")</f>
        <v>https://twitter.com/smashupbrazil/status/1656646890660716545</v>
      </c>
      <c r="AF391" s="79">
        <v>45057.545972222222</v>
      </c>
      <c r="AG391" s="85">
        <v>45057</v>
      </c>
      <c r="AH391" s="82" t="s">
        <v>8667</v>
      </c>
      <c r="AI391" s="77" t="b">
        <v>0</v>
      </c>
      <c r="AJ391" s="77"/>
      <c r="AK391" s="77"/>
      <c r="AL391" s="77"/>
      <c r="AM391" s="77"/>
      <c r="AN391" s="77"/>
      <c r="AO391" s="77"/>
      <c r="AP391" s="77"/>
      <c r="AQ391" s="77" t="s">
        <v>12350</v>
      </c>
      <c r="AR391" s="77"/>
      <c r="AS391" s="77"/>
      <c r="AT391" s="77"/>
      <c r="AU391" s="77"/>
      <c r="AV391" s="80" t="str">
        <f>HYPERLINK("https://pbs.twimg.com/media/Fv2XTq4WIAg8ro6.png")</f>
        <v>https://pbs.twimg.com/media/Fv2XTq4WIAg8ro6.png</v>
      </c>
      <c r="AW391" s="82" t="s">
        <v>13493</v>
      </c>
      <c r="AX391" s="82" t="s">
        <v>13493</v>
      </c>
      <c r="AY391" s="77"/>
      <c r="AZ391" s="82" t="s">
        <v>17385</v>
      </c>
      <c r="BA391" s="82" t="s">
        <v>17385</v>
      </c>
      <c r="BB391" s="82" t="s">
        <v>17385</v>
      </c>
      <c r="BC391" s="82" t="s">
        <v>13493</v>
      </c>
      <c r="BD391" s="82" t="s">
        <v>17485</v>
      </c>
      <c r="BE391" s="77"/>
      <c r="BF391" s="77"/>
      <c r="BG391" s="77"/>
      <c r="BH391" s="77"/>
      <c r="BI391" s="77"/>
    </row>
    <row r="392" spans="1:61" x14ac:dyDescent="0.25">
      <c r="A392" s="62" t="s">
        <v>311</v>
      </c>
      <c r="B392" s="62" t="s">
        <v>311</v>
      </c>
      <c r="C392" s="63"/>
      <c r="D392" s="64"/>
      <c r="E392" s="65"/>
      <c r="F392" s="66"/>
      <c r="G392" s="63"/>
      <c r="H392" s="67"/>
      <c r="I392" s="68"/>
      <c r="J392" s="68"/>
      <c r="K392" s="32"/>
      <c r="L392" s="75">
        <v>392</v>
      </c>
      <c r="M392" s="75"/>
      <c r="N392" s="70"/>
      <c r="O392" s="77" t="s">
        <v>179</v>
      </c>
      <c r="P392" s="79">
        <v>45057.545069444444</v>
      </c>
      <c r="Q392" s="77" t="s">
        <v>1190</v>
      </c>
      <c r="R392" s="77">
        <v>0</v>
      </c>
      <c r="S392" s="77">
        <v>1</v>
      </c>
      <c r="T392" s="77">
        <v>0</v>
      </c>
      <c r="U392" s="77">
        <v>0</v>
      </c>
      <c r="V392" s="77">
        <v>144</v>
      </c>
      <c r="W392" s="82" t="s">
        <v>5028</v>
      </c>
      <c r="X392" s="77"/>
      <c r="Y392" s="77"/>
      <c r="Z392" s="77"/>
      <c r="AA392" s="77" t="s">
        <v>7466</v>
      </c>
      <c r="AB392" s="77" t="s">
        <v>8225</v>
      </c>
      <c r="AC392" s="82" t="s">
        <v>8232</v>
      </c>
      <c r="AD392" s="77" t="s">
        <v>8284</v>
      </c>
      <c r="AE392" s="80" t="str">
        <f>HYPERLINK("https://twitter.com/smashupbrazil/status/1656646562620030978")</f>
        <v>https://twitter.com/smashupbrazil/status/1656646562620030978</v>
      </c>
      <c r="AF392" s="79">
        <v>45057.545069444444</v>
      </c>
      <c r="AG392" s="85">
        <v>45057</v>
      </c>
      <c r="AH392" s="82" t="s">
        <v>8668</v>
      </c>
      <c r="AI392" s="77" t="b">
        <v>0</v>
      </c>
      <c r="AJ392" s="77"/>
      <c r="AK392" s="77"/>
      <c r="AL392" s="77"/>
      <c r="AM392" s="77"/>
      <c r="AN392" s="77"/>
      <c r="AO392" s="77"/>
      <c r="AP392" s="77"/>
      <c r="AQ392" s="77" t="s">
        <v>12351</v>
      </c>
      <c r="AR392" s="77"/>
      <c r="AS392" s="77"/>
      <c r="AT392" s="77"/>
      <c r="AU392" s="77"/>
      <c r="AV392" s="80" t="str">
        <f>HYPERLINK("https://pbs.twimg.com/media/Fv2XHZ8WwAYE2yA.png")</f>
        <v>https://pbs.twimg.com/media/Fv2XHZ8WwAYE2yA.png</v>
      </c>
      <c r="AW392" s="82" t="s">
        <v>13494</v>
      </c>
      <c r="AX392" s="82" t="s">
        <v>13494</v>
      </c>
      <c r="AY392" s="77"/>
      <c r="AZ392" s="82" t="s">
        <v>17385</v>
      </c>
      <c r="BA392" s="82" t="s">
        <v>17385</v>
      </c>
      <c r="BB392" s="82" t="s">
        <v>17385</v>
      </c>
      <c r="BC392" s="82" t="s">
        <v>13494</v>
      </c>
      <c r="BD392" s="82" t="s">
        <v>17485</v>
      </c>
      <c r="BE392" s="77"/>
      <c r="BF392" s="77"/>
      <c r="BG392" s="77"/>
      <c r="BH392" s="77"/>
      <c r="BI392" s="77"/>
    </row>
    <row r="393" spans="1:61" x14ac:dyDescent="0.25">
      <c r="A393" s="62" t="s">
        <v>311</v>
      </c>
      <c r="B393" s="62" t="s">
        <v>311</v>
      </c>
      <c r="C393" s="63"/>
      <c r="D393" s="64"/>
      <c r="E393" s="65"/>
      <c r="F393" s="66"/>
      <c r="G393" s="63"/>
      <c r="H393" s="67"/>
      <c r="I393" s="68"/>
      <c r="J393" s="68"/>
      <c r="K393" s="32"/>
      <c r="L393" s="75">
        <v>393</v>
      </c>
      <c r="M393" s="75"/>
      <c r="N393" s="70"/>
      <c r="O393" s="77" t="s">
        <v>179</v>
      </c>
      <c r="P393" s="79">
        <v>45192.495138888888</v>
      </c>
      <c r="Q393" s="77" t="s">
        <v>1191</v>
      </c>
      <c r="R393" s="77">
        <v>0</v>
      </c>
      <c r="S393" s="77">
        <v>0</v>
      </c>
      <c r="T393" s="77">
        <v>0</v>
      </c>
      <c r="U393" s="77">
        <v>0</v>
      </c>
      <c r="V393" s="77">
        <v>121</v>
      </c>
      <c r="W393" s="82" t="s">
        <v>5025</v>
      </c>
      <c r="X393" s="77"/>
      <c r="Y393" s="77"/>
      <c r="Z393" s="77"/>
      <c r="AA393" s="77" t="s">
        <v>7467</v>
      </c>
      <c r="AB393" s="77" t="s">
        <v>8227</v>
      </c>
      <c r="AC393" s="82" t="s">
        <v>8232</v>
      </c>
      <c r="AD393" s="77" t="s">
        <v>8280</v>
      </c>
      <c r="AE393" s="80" t="str">
        <f>HYPERLINK("https://twitter.com/smashupbrazil/status/1705550830345318467")</f>
        <v>https://twitter.com/smashupbrazil/status/1705550830345318467</v>
      </c>
      <c r="AF393" s="79">
        <v>45192.495138888888</v>
      </c>
      <c r="AG393" s="85">
        <v>45192</v>
      </c>
      <c r="AH393" s="82" t="s">
        <v>8669</v>
      </c>
      <c r="AI393" s="77" t="b">
        <v>0</v>
      </c>
      <c r="AJ393" s="77"/>
      <c r="AK393" s="77"/>
      <c r="AL393" s="77"/>
      <c r="AM393" s="77"/>
      <c r="AN393" s="77"/>
      <c r="AO393" s="77"/>
      <c r="AP393" s="77"/>
      <c r="AQ393" s="77" t="s">
        <v>12352</v>
      </c>
      <c r="AR393" s="77">
        <v>12003</v>
      </c>
      <c r="AS393" s="77"/>
      <c r="AT393" s="77"/>
      <c r="AU393" s="77"/>
      <c r="AV393" s="80" t="str">
        <f>HYPERLINK("https://pbs.twimg.com/ext_tw_video_thumb/1704871470470664192/pu/img/5ewCCGIizMXBkQKm.jpg")</f>
        <v>https://pbs.twimg.com/ext_tw_video_thumb/1704871470470664192/pu/img/5ewCCGIizMXBkQKm.jpg</v>
      </c>
      <c r="AW393" s="82" t="s">
        <v>13495</v>
      </c>
      <c r="AX393" s="82" t="s">
        <v>13495</v>
      </c>
      <c r="AY393" s="77"/>
      <c r="AZ393" s="82" t="s">
        <v>17385</v>
      </c>
      <c r="BA393" s="82" t="s">
        <v>17385</v>
      </c>
      <c r="BB393" s="82" t="s">
        <v>17385</v>
      </c>
      <c r="BC393" s="82" t="s">
        <v>13495</v>
      </c>
      <c r="BD393" s="82" t="s">
        <v>17485</v>
      </c>
      <c r="BE393" s="77"/>
      <c r="BF393" s="77"/>
      <c r="BG393" s="77"/>
      <c r="BH393" s="77"/>
      <c r="BI393" s="77"/>
    </row>
    <row r="394" spans="1:61" x14ac:dyDescent="0.25">
      <c r="A394" s="62" t="s">
        <v>311</v>
      </c>
      <c r="B394" s="62" t="s">
        <v>311</v>
      </c>
      <c r="C394" s="63"/>
      <c r="D394" s="64"/>
      <c r="E394" s="65"/>
      <c r="F394" s="66"/>
      <c r="G394" s="63"/>
      <c r="H394" s="67"/>
      <c r="I394" s="68"/>
      <c r="J394" s="68"/>
      <c r="K394" s="32"/>
      <c r="L394" s="75">
        <v>394</v>
      </c>
      <c r="M394" s="75"/>
      <c r="N394" s="70"/>
      <c r="O394" s="77" t="s">
        <v>179</v>
      </c>
      <c r="P394" s="79">
        <v>45190.942361111112</v>
      </c>
      <c r="Q394" s="77" t="s">
        <v>1192</v>
      </c>
      <c r="R394" s="77">
        <v>0</v>
      </c>
      <c r="S394" s="77">
        <v>0</v>
      </c>
      <c r="T394" s="77">
        <v>0</v>
      </c>
      <c r="U394" s="77">
        <v>0</v>
      </c>
      <c r="V394" s="77">
        <v>66</v>
      </c>
      <c r="W394" s="82" t="s">
        <v>5029</v>
      </c>
      <c r="X394" s="77"/>
      <c r="Y394" s="77"/>
      <c r="Z394" s="77"/>
      <c r="AA394" s="77" t="s">
        <v>7468</v>
      </c>
      <c r="AB394" s="77" t="s">
        <v>8227</v>
      </c>
      <c r="AC394" s="82" t="s">
        <v>8232</v>
      </c>
      <c r="AD394" s="77" t="s">
        <v>8278</v>
      </c>
      <c r="AE394" s="80" t="str">
        <f>HYPERLINK("https://twitter.com/smashupbrazil/status/1704988122621309148")</f>
        <v>https://twitter.com/smashupbrazil/status/1704988122621309148</v>
      </c>
      <c r="AF394" s="79">
        <v>45190.942361111112</v>
      </c>
      <c r="AG394" s="85">
        <v>45190</v>
      </c>
      <c r="AH394" s="82" t="s">
        <v>8670</v>
      </c>
      <c r="AI394" s="77" t="b">
        <v>0</v>
      </c>
      <c r="AJ394" s="77"/>
      <c r="AK394" s="77"/>
      <c r="AL394" s="77"/>
      <c r="AM394" s="77"/>
      <c r="AN394" s="77"/>
      <c r="AO394" s="77"/>
      <c r="AP394" s="77"/>
      <c r="AQ394" s="77" t="s">
        <v>12353</v>
      </c>
      <c r="AR394" s="77">
        <v>24938</v>
      </c>
      <c r="AS394" s="77"/>
      <c r="AT394" s="77"/>
      <c r="AU394" s="77"/>
      <c r="AV394" s="80" t="str">
        <f>HYPERLINK("https://pbs.twimg.com/ext_tw_video_thumb/1704867419603542016/pu/img/Ba2vAHBFCS4bFe98.jpg")</f>
        <v>https://pbs.twimg.com/ext_tw_video_thumb/1704867419603542016/pu/img/Ba2vAHBFCS4bFe98.jpg</v>
      </c>
      <c r="AW394" s="82" t="s">
        <v>13496</v>
      </c>
      <c r="AX394" s="82" t="s">
        <v>13496</v>
      </c>
      <c r="AY394" s="77"/>
      <c r="AZ394" s="82" t="s">
        <v>17385</v>
      </c>
      <c r="BA394" s="82" t="s">
        <v>17385</v>
      </c>
      <c r="BB394" s="82" t="s">
        <v>17385</v>
      </c>
      <c r="BC394" s="82" t="s">
        <v>13496</v>
      </c>
      <c r="BD394" s="82" t="s">
        <v>17485</v>
      </c>
      <c r="BE394" s="77"/>
      <c r="BF394" s="77"/>
      <c r="BG394" s="77"/>
      <c r="BH394" s="77"/>
      <c r="BI394" s="77"/>
    </row>
    <row r="395" spans="1:61" x14ac:dyDescent="0.25">
      <c r="A395" s="62" t="s">
        <v>311</v>
      </c>
      <c r="B395" s="62" t="s">
        <v>311</v>
      </c>
      <c r="C395" s="63"/>
      <c r="D395" s="64"/>
      <c r="E395" s="65"/>
      <c r="F395" s="66"/>
      <c r="G395" s="63"/>
      <c r="H395" s="67"/>
      <c r="I395" s="68"/>
      <c r="J395" s="68"/>
      <c r="K395" s="32"/>
      <c r="L395" s="75">
        <v>395</v>
      </c>
      <c r="M395" s="75"/>
      <c r="N395" s="70"/>
      <c r="O395" s="77" t="s">
        <v>179</v>
      </c>
      <c r="P395" s="79">
        <v>45196.071527777778</v>
      </c>
      <c r="Q395" s="77" t="s">
        <v>1193</v>
      </c>
      <c r="R395" s="77">
        <v>0</v>
      </c>
      <c r="S395" s="77">
        <v>0</v>
      </c>
      <c r="T395" s="77">
        <v>1</v>
      </c>
      <c r="U395" s="77">
        <v>0</v>
      </c>
      <c r="V395" s="77">
        <v>106</v>
      </c>
      <c r="W395" s="82" t="s">
        <v>5030</v>
      </c>
      <c r="X395" s="77"/>
      <c r="Y395" s="77"/>
      <c r="Z395" s="77"/>
      <c r="AA395" s="77" t="s">
        <v>7469</v>
      </c>
      <c r="AB395" s="77" t="s">
        <v>8227</v>
      </c>
      <c r="AC395" s="82" t="s">
        <v>8232</v>
      </c>
      <c r="AD395" s="77" t="s">
        <v>8280</v>
      </c>
      <c r="AE395" s="80" t="str">
        <f>HYPERLINK("https://twitter.com/smashupbrazil/status/1706846870218146078")</f>
        <v>https://twitter.com/smashupbrazil/status/1706846870218146078</v>
      </c>
      <c r="AF395" s="79">
        <v>45196.071527777778</v>
      </c>
      <c r="AG395" s="85">
        <v>45196</v>
      </c>
      <c r="AH395" s="82" t="s">
        <v>8671</v>
      </c>
      <c r="AI395" s="77" t="b">
        <v>0</v>
      </c>
      <c r="AJ395" s="77"/>
      <c r="AK395" s="77"/>
      <c r="AL395" s="77"/>
      <c r="AM395" s="77"/>
      <c r="AN395" s="77"/>
      <c r="AO395" s="77"/>
      <c r="AP395" s="77"/>
      <c r="AQ395" s="77" t="s">
        <v>12354</v>
      </c>
      <c r="AR395" s="77">
        <v>40766</v>
      </c>
      <c r="AS395" s="77"/>
      <c r="AT395" s="77"/>
      <c r="AU395" s="77"/>
      <c r="AV395" s="80" t="str">
        <f>HYPERLINK("https://pbs.twimg.com/ext_tw_video_thumb/1706756163847831553/pu/img/qXK1tcujIEQ3YF4N.jpg")</f>
        <v>https://pbs.twimg.com/ext_tw_video_thumb/1706756163847831553/pu/img/qXK1tcujIEQ3YF4N.jpg</v>
      </c>
      <c r="AW395" s="82" t="s">
        <v>13497</v>
      </c>
      <c r="AX395" s="82" t="s">
        <v>13497</v>
      </c>
      <c r="AY395" s="77"/>
      <c r="AZ395" s="82" t="s">
        <v>17385</v>
      </c>
      <c r="BA395" s="82" t="s">
        <v>17385</v>
      </c>
      <c r="BB395" s="82" t="s">
        <v>17385</v>
      </c>
      <c r="BC395" s="82" t="s">
        <v>13497</v>
      </c>
      <c r="BD395" s="82" t="s">
        <v>17485</v>
      </c>
      <c r="BE395" s="77"/>
      <c r="BF395" s="77"/>
      <c r="BG395" s="77"/>
      <c r="BH395" s="77"/>
      <c r="BI395" s="77"/>
    </row>
    <row r="396" spans="1:61" x14ac:dyDescent="0.25">
      <c r="A396" s="62" t="s">
        <v>311</v>
      </c>
      <c r="B396" s="62" t="s">
        <v>311</v>
      </c>
      <c r="C396" s="63"/>
      <c r="D396" s="64"/>
      <c r="E396" s="65"/>
      <c r="F396" s="66"/>
      <c r="G396" s="63"/>
      <c r="H396" s="67"/>
      <c r="I396" s="68"/>
      <c r="J396" s="68"/>
      <c r="K396" s="32"/>
      <c r="L396" s="75">
        <v>396</v>
      </c>
      <c r="M396" s="75"/>
      <c r="N396" s="70"/>
      <c r="O396" s="77" t="s">
        <v>179</v>
      </c>
      <c r="P396" s="79">
        <v>45190.620173611111</v>
      </c>
      <c r="Q396" s="77" t="s">
        <v>1194</v>
      </c>
      <c r="R396" s="77">
        <v>0</v>
      </c>
      <c r="S396" s="77">
        <v>0</v>
      </c>
      <c r="T396" s="77">
        <v>0</v>
      </c>
      <c r="U396" s="77">
        <v>0</v>
      </c>
      <c r="V396" s="77">
        <v>71</v>
      </c>
      <c r="W396" s="82" t="s">
        <v>5025</v>
      </c>
      <c r="X396" s="77"/>
      <c r="Y396" s="77"/>
      <c r="Z396" s="77"/>
      <c r="AA396" s="77" t="s">
        <v>7470</v>
      </c>
      <c r="AB396" s="77" t="s">
        <v>8227</v>
      </c>
      <c r="AC396" s="82" t="s">
        <v>8232</v>
      </c>
      <c r="AD396" s="77" t="s">
        <v>8280</v>
      </c>
      <c r="AE396" s="80" t="str">
        <f>HYPERLINK("https://twitter.com/smashupbrazil/status/1704871368150618621")</f>
        <v>https://twitter.com/smashupbrazil/status/1704871368150618621</v>
      </c>
      <c r="AF396" s="79">
        <v>45190.620173611111</v>
      </c>
      <c r="AG396" s="85">
        <v>45190</v>
      </c>
      <c r="AH396" s="82" t="s">
        <v>8672</v>
      </c>
      <c r="AI396" s="77" t="b">
        <v>0</v>
      </c>
      <c r="AJ396" s="77"/>
      <c r="AK396" s="77"/>
      <c r="AL396" s="77"/>
      <c r="AM396" s="77"/>
      <c r="AN396" s="77"/>
      <c r="AO396" s="77"/>
      <c r="AP396" s="77"/>
      <c r="AQ396" s="77" t="s">
        <v>12355</v>
      </c>
      <c r="AR396" s="77">
        <v>12003</v>
      </c>
      <c r="AS396" s="77"/>
      <c r="AT396" s="77"/>
      <c r="AU396" s="77"/>
      <c r="AV396" s="80" t="str">
        <f>HYPERLINK("https://pbs.twimg.com/ext_tw_video_thumb/1704871139129122816/pu/img/V9Na1HwzwhgchbPC.jpg")</f>
        <v>https://pbs.twimg.com/ext_tw_video_thumb/1704871139129122816/pu/img/V9Na1HwzwhgchbPC.jpg</v>
      </c>
      <c r="AW396" s="82" t="s">
        <v>13498</v>
      </c>
      <c r="AX396" s="82" t="s">
        <v>13498</v>
      </c>
      <c r="AY396" s="77"/>
      <c r="AZ396" s="82" t="s">
        <v>17385</v>
      </c>
      <c r="BA396" s="82" t="s">
        <v>17385</v>
      </c>
      <c r="BB396" s="82" t="s">
        <v>17385</v>
      </c>
      <c r="BC396" s="82" t="s">
        <v>13498</v>
      </c>
      <c r="BD396" s="82" t="s">
        <v>17485</v>
      </c>
      <c r="BE396" s="77"/>
      <c r="BF396" s="77"/>
      <c r="BG396" s="77"/>
      <c r="BH396" s="77"/>
      <c r="BI396" s="77"/>
    </row>
    <row r="397" spans="1:61" x14ac:dyDescent="0.25">
      <c r="A397" s="62" t="s">
        <v>311</v>
      </c>
      <c r="B397" s="62" t="s">
        <v>311</v>
      </c>
      <c r="C397" s="63"/>
      <c r="D397" s="64"/>
      <c r="E397" s="65"/>
      <c r="F397" s="66"/>
      <c r="G397" s="63"/>
      <c r="H397" s="67"/>
      <c r="I397" s="68"/>
      <c r="J397" s="68"/>
      <c r="K397" s="32"/>
      <c r="L397" s="75">
        <v>397</v>
      </c>
      <c r="M397" s="75"/>
      <c r="N397" s="70"/>
      <c r="O397" s="77" t="s">
        <v>179</v>
      </c>
      <c r="P397" s="79">
        <v>45103.566874999997</v>
      </c>
      <c r="Q397" s="77" t="s">
        <v>1195</v>
      </c>
      <c r="R397" s="77">
        <v>0</v>
      </c>
      <c r="S397" s="77">
        <v>0</v>
      </c>
      <c r="T397" s="77">
        <v>0</v>
      </c>
      <c r="U397" s="77">
        <v>0</v>
      </c>
      <c r="V397" s="77">
        <v>155</v>
      </c>
      <c r="W397" s="82" t="s">
        <v>5025</v>
      </c>
      <c r="X397" s="77"/>
      <c r="Y397" s="77"/>
      <c r="Z397" s="77"/>
      <c r="AA397" s="77" t="s">
        <v>7471</v>
      </c>
      <c r="AB397" s="77" t="s">
        <v>8227</v>
      </c>
      <c r="AC397" s="82" t="s">
        <v>8232</v>
      </c>
      <c r="AD397" s="77" t="s">
        <v>8280</v>
      </c>
      <c r="AE397" s="80" t="str">
        <f>HYPERLINK("https://twitter.com/smashupbrazil/status/1673324306456010757")</f>
        <v>https://twitter.com/smashupbrazil/status/1673324306456010757</v>
      </c>
      <c r="AF397" s="79">
        <v>45103.566874999997</v>
      </c>
      <c r="AG397" s="85">
        <v>45103</v>
      </c>
      <c r="AH397" s="82" t="s">
        <v>8673</v>
      </c>
      <c r="AI397" s="77" t="b">
        <v>0</v>
      </c>
      <c r="AJ397" s="77"/>
      <c r="AK397" s="77"/>
      <c r="AL397" s="77"/>
      <c r="AM397" s="77"/>
      <c r="AN397" s="77"/>
      <c r="AO397" s="77"/>
      <c r="AP397" s="77"/>
      <c r="AQ397" s="77" t="s">
        <v>12356</v>
      </c>
      <c r="AR397" s="77">
        <v>58333</v>
      </c>
      <c r="AS397" s="77"/>
      <c r="AT397" s="77"/>
      <c r="AU397" s="77"/>
      <c r="AV397" s="80" t="str">
        <f>HYPERLINK("https://pbs.twimg.com/ext_tw_video_thumb/1673323796227321856/pu/img/S1Uk_pck0mahLjEQ.jpg")</f>
        <v>https://pbs.twimg.com/ext_tw_video_thumb/1673323796227321856/pu/img/S1Uk_pck0mahLjEQ.jpg</v>
      </c>
      <c r="AW397" s="82" t="s">
        <v>13499</v>
      </c>
      <c r="AX397" s="82" t="s">
        <v>13499</v>
      </c>
      <c r="AY397" s="77"/>
      <c r="AZ397" s="82" t="s">
        <v>17385</v>
      </c>
      <c r="BA397" s="82" t="s">
        <v>17385</v>
      </c>
      <c r="BB397" s="82" t="s">
        <v>17385</v>
      </c>
      <c r="BC397" s="82" t="s">
        <v>13499</v>
      </c>
      <c r="BD397" s="82" t="s">
        <v>17485</v>
      </c>
      <c r="BE397" s="77"/>
      <c r="BF397" s="77"/>
      <c r="BG397" s="77"/>
      <c r="BH397" s="77"/>
      <c r="BI397" s="77"/>
    </row>
    <row r="398" spans="1:61" x14ac:dyDescent="0.25">
      <c r="A398" s="62" t="s">
        <v>311</v>
      </c>
      <c r="B398" s="62" t="s">
        <v>311</v>
      </c>
      <c r="C398" s="63"/>
      <c r="D398" s="64"/>
      <c r="E398" s="65"/>
      <c r="F398" s="66"/>
      <c r="G398" s="63"/>
      <c r="H398" s="67"/>
      <c r="I398" s="68"/>
      <c r="J398" s="68"/>
      <c r="K398" s="32"/>
      <c r="L398" s="75">
        <v>398</v>
      </c>
      <c r="M398" s="75"/>
      <c r="N398" s="70"/>
      <c r="O398" s="77" t="s">
        <v>179</v>
      </c>
      <c r="P398" s="79">
        <v>45103.565254629626</v>
      </c>
      <c r="Q398" s="77" t="s">
        <v>1196</v>
      </c>
      <c r="R398" s="77">
        <v>0</v>
      </c>
      <c r="S398" s="77">
        <v>0</v>
      </c>
      <c r="T398" s="77">
        <v>0</v>
      </c>
      <c r="U398" s="77">
        <v>0</v>
      </c>
      <c r="V398" s="77">
        <v>144</v>
      </c>
      <c r="W398" s="82" t="s">
        <v>5025</v>
      </c>
      <c r="X398" s="77"/>
      <c r="Y398" s="77"/>
      <c r="Z398" s="77"/>
      <c r="AA398" s="77" t="s">
        <v>7472</v>
      </c>
      <c r="AB398" s="77" t="s">
        <v>8227</v>
      </c>
      <c r="AC398" s="82" t="s">
        <v>8232</v>
      </c>
      <c r="AD398" s="77" t="s">
        <v>8280</v>
      </c>
      <c r="AE398" s="80" t="str">
        <f>HYPERLINK("https://twitter.com/smashupbrazil/status/1673323720436269059")</f>
        <v>https://twitter.com/smashupbrazil/status/1673323720436269059</v>
      </c>
      <c r="AF398" s="79">
        <v>45103.565254629626</v>
      </c>
      <c r="AG398" s="85">
        <v>45103</v>
      </c>
      <c r="AH398" s="82" t="s">
        <v>8674</v>
      </c>
      <c r="AI398" s="77" t="b">
        <v>0</v>
      </c>
      <c r="AJ398" s="77"/>
      <c r="AK398" s="77"/>
      <c r="AL398" s="77"/>
      <c r="AM398" s="77"/>
      <c r="AN398" s="77"/>
      <c r="AO398" s="77"/>
      <c r="AP398" s="77"/>
      <c r="AQ398" s="77" t="s">
        <v>12357</v>
      </c>
      <c r="AR398" s="77">
        <v>18203</v>
      </c>
      <c r="AS398" s="77"/>
      <c r="AT398" s="77"/>
      <c r="AU398" s="77"/>
      <c r="AV398" s="80" t="str">
        <f>HYPERLINK("https://pbs.twimg.com/ext_tw_video_thumb/1673323481923047424/pu/img/VHFs6dCllWeBmlkB.jpg")</f>
        <v>https://pbs.twimg.com/ext_tw_video_thumb/1673323481923047424/pu/img/VHFs6dCllWeBmlkB.jpg</v>
      </c>
      <c r="AW398" s="82" t="s">
        <v>13500</v>
      </c>
      <c r="AX398" s="82" t="s">
        <v>13500</v>
      </c>
      <c r="AY398" s="77"/>
      <c r="AZ398" s="82" t="s">
        <v>17385</v>
      </c>
      <c r="BA398" s="82" t="s">
        <v>17385</v>
      </c>
      <c r="BB398" s="82" t="s">
        <v>17385</v>
      </c>
      <c r="BC398" s="82" t="s">
        <v>13500</v>
      </c>
      <c r="BD398" s="82" t="s">
        <v>17485</v>
      </c>
      <c r="BE398" s="77"/>
      <c r="BF398" s="77"/>
      <c r="BG398" s="77"/>
      <c r="BH398" s="77"/>
      <c r="BI398" s="77"/>
    </row>
    <row r="399" spans="1:61" x14ac:dyDescent="0.25">
      <c r="A399" s="62" t="s">
        <v>311</v>
      </c>
      <c r="B399" s="62" t="s">
        <v>311</v>
      </c>
      <c r="C399" s="63"/>
      <c r="D399" s="64"/>
      <c r="E399" s="65"/>
      <c r="F399" s="66"/>
      <c r="G399" s="63"/>
      <c r="H399" s="67"/>
      <c r="I399" s="68"/>
      <c r="J399" s="68"/>
      <c r="K399" s="32"/>
      <c r="L399" s="75">
        <v>399</v>
      </c>
      <c r="M399" s="75"/>
      <c r="N399" s="70"/>
      <c r="O399" s="77" t="s">
        <v>179</v>
      </c>
      <c r="P399" s="79">
        <v>45103.564502314817</v>
      </c>
      <c r="Q399" s="77" t="s">
        <v>1197</v>
      </c>
      <c r="R399" s="77">
        <v>0</v>
      </c>
      <c r="S399" s="77">
        <v>0</v>
      </c>
      <c r="T399" s="77">
        <v>0</v>
      </c>
      <c r="U399" s="77">
        <v>0</v>
      </c>
      <c r="V399" s="77">
        <v>143</v>
      </c>
      <c r="W399" s="82" t="s">
        <v>5025</v>
      </c>
      <c r="X399" s="77"/>
      <c r="Y399" s="77"/>
      <c r="Z399" s="77"/>
      <c r="AA399" s="77" t="s">
        <v>7473</v>
      </c>
      <c r="AB399" s="77" t="s">
        <v>8227</v>
      </c>
      <c r="AC399" s="82" t="s">
        <v>8232</v>
      </c>
      <c r="AD399" s="77" t="s">
        <v>8280</v>
      </c>
      <c r="AE399" s="80" t="str">
        <f>HYPERLINK("https://twitter.com/smashupbrazil/status/1673323448905375751")</f>
        <v>https://twitter.com/smashupbrazil/status/1673323448905375751</v>
      </c>
      <c r="AF399" s="79">
        <v>45103.564502314817</v>
      </c>
      <c r="AG399" s="85">
        <v>45103</v>
      </c>
      <c r="AH399" s="82" t="s">
        <v>8675</v>
      </c>
      <c r="AI399" s="77" t="b">
        <v>0</v>
      </c>
      <c r="AJ399" s="77"/>
      <c r="AK399" s="77"/>
      <c r="AL399" s="77"/>
      <c r="AM399" s="77"/>
      <c r="AN399" s="77"/>
      <c r="AO399" s="77"/>
      <c r="AP399" s="77"/>
      <c r="AQ399" s="77" t="s">
        <v>12358</v>
      </c>
      <c r="AR399" s="77">
        <v>11215</v>
      </c>
      <c r="AS399" s="77"/>
      <c r="AT399" s="77"/>
      <c r="AU399" s="77"/>
      <c r="AV399" s="80" t="str">
        <f>HYPERLINK("https://pbs.twimg.com/ext_tw_video_thumb/1673323365514313737/pu/img/cRINUXIOdTrEkIrU.jpg")</f>
        <v>https://pbs.twimg.com/ext_tw_video_thumb/1673323365514313737/pu/img/cRINUXIOdTrEkIrU.jpg</v>
      </c>
      <c r="AW399" s="82" t="s">
        <v>13501</v>
      </c>
      <c r="AX399" s="82" t="s">
        <v>13501</v>
      </c>
      <c r="AY399" s="77"/>
      <c r="AZ399" s="82" t="s">
        <v>17385</v>
      </c>
      <c r="BA399" s="82" t="s">
        <v>17385</v>
      </c>
      <c r="BB399" s="82" t="s">
        <v>17385</v>
      </c>
      <c r="BC399" s="82" t="s">
        <v>13501</v>
      </c>
      <c r="BD399" s="82" t="s">
        <v>17485</v>
      </c>
      <c r="BE399" s="77"/>
      <c r="BF399" s="77"/>
      <c r="BG399" s="77"/>
      <c r="BH399" s="77"/>
      <c r="BI399" s="77"/>
    </row>
    <row r="400" spans="1:61" x14ac:dyDescent="0.25">
      <c r="A400" s="62" t="s">
        <v>311</v>
      </c>
      <c r="B400" s="62" t="s">
        <v>311</v>
      </c>
      <c r="C400" s="63"/>
      <c r="D400" s="64"/>
      <c r="E400" s="65"/>
      <c r="F400" s="66"/>
      <c r="G400" s="63"/>
      <c r="H400" s="67"/>
      <c r="I400" s="68"/>
      <c r="J400" s="68"/>
      <c r="K400" s="32"/>
      <c r="L400" s="75">
        <v>400</v>
      </c>
      <c r="M400" s="75"/>
      <c r="N400" s="70"/>
      <c r="O400" s="77" t="s">
        <v>179</v>
      </c>
      <c r="P400" s="79">
        <v>45063.421249999999</v>
      </c>
      <c r="Q400" s="77" t="s">
        <v>1198</v>
      </c>
      <c r="R400" s="77">
        <v>0</v>
      </c>
      <c r="S400" s="77">
        <v>1</v>
      </c>
      <c r="T400" s="77">
        <v>1</v>
      </c>
      <c r="U400" s="77">
        <v>0</v>
      </c>
      <c r="V400" s="77">
        <v>108</v>
      </c>
      <c r="W400" s="82" t="s">
        <v>5025</v>
      </c>
      <c r="X400" s="77"/>
      <c r="Y400" s="77"/>
      <c r="Z400" s="77"/>
      <c r="AA400" s="77" t="s">
        <v>7474</v>
      </c>
      <c r="AB400" s="77" t="s">
        <v>8227</v>
      </c>
      <c r="AC400" s="82" t="s">
        <v>8232</v>
      </c>
      <c r="AD400" s="77" t="s">
        <v>8280</v>
      </c>
      <c r="AE400" s="80" t="str">
        <f>HYPERLINK("https://twitter.com/smashupbrazil/status/1658776022114873344")</f>
        <v>https://twitter.com/smashupbrazil/status/1658776022114873344</v>
      </c>
      <c r="AF400" s="79">
        <v>45063.421249999999</v>
      </c>
      <c r="AG400" s="85">
        <v>45063</v>
      </c>
      <c r="AH400" s="82" t="s">
        <v>8676</v>
      </c>
      <c r="AI400" s="77" t="b">
        <v>0</v>
      </c>
      <c r="AJ400" s="77"/>
      <c r="AK400" s="77"/>
      <c r="AL400" s="77"/>
      <c r="AM400" s="77"/>
      <c r="AN400" s="77"/>
      <c r="AO400" s="77"/>
      <c r="AP400" s="77"/>
      <c r="AQ400" s="77" t="s">
        <v>12359</v>
      </c>
      <c r="AR400" s="77">
        <v>43537</v>
      </c>
      <c r="AS400" s="77"/>
      <c r="AT400" s="77"/>
      <c r="AU400" s="77"/>
      <c r="AV400" s="80" t="str">
        <f>HYPERLINK("https://pbs.twimg.com/ext_tw_video_thumb/1658775941160615937/pu/img/psPK1eHsCDb8WMlY.jpg")</f>
        <v>https://pbs.twimg.com/ext_tw_video_thumb/1658775941160615937/pu/img/psPK1eHsCDb8WMlY.jpg</v>
      </c>
      <c r="AW400" s="82" t="s">
        <v>13502</v>
      </c>
      <c r="AX400" s="82" t="s">
        <v>13502</v>
      </c>
      <c r="AY400" s="77"/>
      <c r="AZ400" s="82" t="s">
        <v>17385</v>
      </c>
      <c r="BA400" s="82" t="s">
        <v>17385</v>
      </c>
      <c r="BB400" s="82" t="s">
        <v>17385</v>
      </c>
      <c r="BC400" s="82" t="s">
        <v>13502</v>
      </c>
      <c r="BD400" s="82" t="s">
        <v>17485</v>
      </c>
      <c r="BE400" s="77"/>
      <c r="BF400" s="77"/>
      <c r="BG400" s="77"/>
      <c r="BH400" s="77"/>
      <c r="BI400" s="77"/>
    </row>
    <row r="401" spans="1:61" x14ac:dyDescent="0.25">
      <c r="A401" s="62" t="s">
        <v>311</v>
      </c>
      <c r="B401" s="62" t="s">
        <v>311</v>
      </c>
      <c r="C401" s="63"/>
      <c r="D401" s="64"/>
      <c r="E401" s="65"/>
      <c r="F401" s="66"/>
      <c r="G401" s="63"/>
      <c r="H401" s="67"/>
      <c r="I401" s="68"/>
      <c r="J401" s="68"/>
      <c r="K401" s="32"/>
      <c r="L401" s="75">
        <v>401</v>
      </c>
      <c r="M401" s="75"/>
      <c r="N401" s="70"/>
      <c r="O401" s="77" t="s">
        <v>179</v>
      </c>
      <c r="P401" s="79">
        <v>45063.420891203707</v>
      </c>
      <c r="Q401" s="77" t="s">
        <v>1199</v>
      </c>
      <c r="R401" s="77">
        <v>0</v>
      </c>
      <c r="S401" s="77">
        <v>1</v>
      </c>
      <c r="T401" s="77">
        <v>0</v>
      </c>
      <c r="U401" s="77">
        <v>0</v>
      </c>
      <c r="V401" s="77">
        <v>99</v>
      </c>
      <c r="W401" s="82" t="s">
        <v>5025</v>
      </c>
      <c r="X401" s="77"/>
      <c r="Y401" s="77"/>
      <c r="Z401" s="77"/>
      <c r="AA401" s="77" t="s">
        <v>7475</v>
      </c>
      <c r="AB401" s="77" t="s">
        <v>8227</v>
      </c>
      <c r="AC401" s="82" t="s">
        <v>8232</v>
      </c>
      <c r="AD401" s="77" t="s">
        <v>8280</v>
      </c>
      <c r="AE401" s="80" t="str">
        <f>HYPERLINK("https://twitter.com/smashupbrazil/status/1658775890015268867")</f>
        <v>https://twitter.com/smashupbrazil/status/1658775890015268867</v>
      </c>
      <c r="AF401" s="79">
        <v>45063.420891203707</v>
      </c>
      <c r="AG401" s="85">
        <v>45063</v>
      </c>
      <c r="AH401" s="82" t="s">
        <v>8677</v>
      </c>
      <c r="AI401" s="77" t="b">
        <v>0</v>
      </c>
      <c r="AJ401" s="77"/>
      <c r="AK401" s="77"/>
      <c r="AL401" s="77"/>
      <c r="AM401" s="77"/>
      <c r="AN401" s="77"/>
      <c r="AO401" s="77"/>
      <c r="AP401" s="77"/>
      <c r="AQ401" s="77" t="s">
        <v>12360</v>
      </c>
      <c r="AR401" s="77">
        <v>67268</v>
      </c>
      <c r="AS401" s="77"/>
      <c r="AT401" s="77"/>
      <c r="AU401" s="77"/>
      <c r="AV401" s="80" t="str">
        <f>HYPERLINK("https://pbs.twimg.com/ext_tw_video_thumb/1658775806871519232/pu/img/e3e4yLQ8f1iCANp0.jpg")</f>
        <v>https://pbs.twimg.com/ext_tw_video_thumb/1658775806871519232/pu/img/e3e4yLQ8f1iCANp0.jpg</v>
      </c>
      <c r="AW401" s="82" t="s">
        <v>13503</v>
      </c>
      <c r="AX401" s="82" t="s">
        <v>13503</v>
      </c>
      <c r="AY401" s="77"/>
      <c r="AZ401" s="82" t="s">
        <v>17385</v>
      </c>
      <c r="BA401" s="82" t="s">
        <v>17385</v>
      </c>
      <c r="BB401" s="82" t="s">
        <v>17385</v>
      </c>
      <c r="BC401" s="82" t="s">
        <v>13503</v>
      </c>
      <c r="BD401" s="82" t="s">
        <v>17485</v>
      </c>
      <c r="BE401" s="77"/>
      <c r="BF401" s="77"/>
      <c r="BG401" s="77"/>
      <c r="BH401" s="77"/>
      <c r="BI401" s="77"/>
    </row>
    <row r="402" spans="1:61" x14ac:dyDescent="0.25">
      <c r="A402" s="62" t="s">
        <v>311</v>
      </c>
      <c r="B402" s="62" t="s">
        <v>311</v>
      </c>
      <c r="C402" s="63"/>
      <c r="D402" s="64"/>
      <c r="E402" s="65"/>
      <c r="F402" s="66"/>
      <c r="G402" s="63"/>
      <c r="H402" s="67"/>
      <c r="I402" s="68"/>
      <c r="J402" s="68"/>
      <c r="K402" s="32"/>
      <c r="L402" s="75">
        <v>402</v>
      </c>
      <c r="M402" s="75"/>
      <c r="N402" s="70"/>
      <c r="O402" s="77" t="s">
        <v>179</v>
      </c>
      <c r="P402" s="79">
        <v>45063.418657407405</v>
      </c>
      <c r="Q402" s="77" t="s">
        <v>1200</v>
      </c>
      <c r="R402" s="77">
        <v>0</v>
      </c>
      <c r="S402" s="77">
        <v>1</v>
      </c>
      <c r="T402" s="77">
        <v>0</v>
      </c>
      <c r="U402" s="77">
        <v>0</v>
      </c>
      <c r="V402" s="77">
        <v>109</v>
      </c>
      <c r="W402" s="82" t="s">
        <v>5025</v>
      </c>
      <c r="X402" s="77"/>
      <c r="Y402" s="77"/>
      <c r="Z402" s="77"/>
      <c r="AA402" s="77" t="s">
        <v>7476</v>
      </c>
      <c r="AB402" s="77" t="s">
        <v>8227</v>
      </c>
      <c r="AC402" s="82" t="s">
        <v>8232</v>
      </c>
      <c r="AD402" s="77" t="s">
        <v>8280</v>
      </c>
      <c r="AE402" s="80" t="str">
        <f>HYPERLINK("https://twitter.com/smashupbrazil/status/1658775079617024000")</f>
        <v>https://twitter.com/smashupbrazil/status/1658775079617024000</v>
      </c>
      <c r="AF402" s="79">
        <v>45063.418657407405</v>
      </c>
      <c r="AG402" s="85">
        <v>45063</v>
      </c>
      <c r="AH402" s="82" t="s">
        <v>8678</v>
      </c>
      <c r="AI402" s="77" t="b">
        <v>0</v>
      </c>
      <c r="AJ402" s="77"/>
      <c r="AK402" s="77"/>
      <c r="AL402" s="77"/>
      <c r="AM402" s="77"/>
      <c r="AN402" s="77"/>
      <c r="AO402" s="77"/>
      <c r="AP402" s="77"/>
      <c r="AQ402" s="77" t="s">
        <v>12361</v>
      </c>
      <c r="AR402" s="77">
        <v>15209</v>
      </c>
      <c r="AS402" s="77"/>
      <c r="AT402" s="77"/>
      <c r="AU402" s="77"/>
      <c r="AV402" s="80" t="str">
        <f>HYPERLINK("https://pbs.twimg.com/ext_tw_video_thumb/1658775004136308738/pu/img/uZW3KioiIG4Zizkt.jpg")</f>
        <v>https://pbs.twimg.com/ext_tw_video_thumb/1658775004136308738/pu/img/uZW3KioiIG4Zizkt.jpg</v>
      </c>
      <c r="AW402" s="82" t="s">
        <v>13504</v>
      </c>
      <c r="AX402" s="82" t="s">
        <v>13504</v>
      </c>
      <c r="AY402" s="77"/>
      <c r="AZ402" s="82" t="s">
        <v>17385</v>
      </c>
      <c r="BA402" s="82" t="s">
        <v>17385</v>
      </c>
      <c r="BB402" s="82" t="s">
        <v>17385</v>
      </c>
      <c r="BC402" s="82" t="s">
        <v>13504</v>
      </c>
      <c r="BD402" s="82" t="s">
        <v>17485</v>
      </c>
      <c r="BE402" s="77"/>
      <c r="BF402" s="77"/>
      <c r="BG402" s="77"/>
      <c r="BH402" s="77"/>
      <c r="BI402" s="77"/>
    </row>
    <row r="403" spans="1:61" x14ac:dyDescent="0.25">
      <c r="A403" s="62" t="s">
        <v>311</v>
      </c>
      <c r="B403" s="62" t="s">
        <v>311</v>
      </c>
      <c r="C403" s="63"/>
      <c r="D403" s="64"/>
      <c r="E403" s="65"/>
      <c r="F403" s="66"/>
      <c r="G403" s="63"/>
      <c r="H403" s="67"/>
      <c r="I403" s="68"/>
      <c r="J403" s="68"/>
      <c r="K403" s="32"/>
      <c r="L403" s="75">
        <v>403</v>
      </c>
      <c r="M403" s="75"/>
      <c r="N403" s="70"/>
      <c r="O403" s="77" t="s">
        <v>179</v>
      </c>
      <c r="P403" s="79">
        <v>45063.418275462966</v>
      </c>
      <c r="Q403" s="77" t="s">
        <v>1201</v>
      </c>
      <c r="R403" s="77">
        <v>0</v>
      </c>
      <c r="S403" s="77">
        <v>1</v>
      </c>
      <c r="T403" s="77">
        <v>0</v>
      </c>
      <c r="U403" s="77">
        <v>0</v>
      </c>
      <c r="V403" s="77">
        <v>101</v>
      </c>
      <c r="W403" s="82" t="s">
        <v>5025</v>
      </c>
      <c r="X403" s="77"/>
      <c r="Y403" s="77"/>
      <c r="Z403" s="77"/>
      <c r="AA403" s="77" t="s">
        <v>7477</v>
      </c>
      <c r="AB403" s="77" t="s">
        <v>8227</v>
      </c>
      <c r="AC403" s="82" t="s">
        <v>8232</v>
      </c>
      <c r="AD403" s="77" t="s">
        <v>8280</v>
      </c>
      <c r="AE403" s="80" t="str">
        <f>HYPERLINK("https://twitter.com/smashupbrazil/status/1658774941339209728")</f>
        <v>https://twitter.com/smashupbrazil/status/1658774941339209728</v>
      </c>
      <c r="AF403" s="79">
        <v>45063.418275462966</v>
      </c>
      <c r="AG403" s="85">
        <v>45063</v>
      </c>
      <c r="AH403" s="82" t="s">
        <v>8679</v>
      </c>
      <c r="AI403" s="77" t="b">
        <v>0</v>
      </c>
      <c r="AJ403" s="77"/>
      <c r="AK403" s="77"/>
      <c r="AL403" s="77"/>
      <c r="AM403" s="77"/>
      <c r="AN403" s="77"/>
      <c r="AO403" s="77"/>
      <c r="AP403" s="77"/>
      <c r="AQ403" s="77" t="s">
        <v>12362</v>
      </c>
      <c r="AR403" s="77">
        <v>49133</v>
      </c>
      <c r="AS403" s="77"/>
      <c r="AT403" s="77"/>
      <c r="AU403" s="77"/>
      <c r="AV403" s="80" t="str">
        <f>HYPERLINK("https://pbs.twimg.com/ext_tw_video_thumb/1658774852105281536/pu/img/SdRggoliXIDgT0e9.jpg")</f>
        <v>https://pbs.twimg.com/ext_tw_video_thumb/1658774852105281536/pu/img/SdRggoliXIDgT0e9.jpg</v>
      </c>
      <c r="AW403" s="82" t="s">
        <v>13505</v>
      </c>
      <c r="AX403" s="82" t="s">
        <v>13505</v>
      </c>
      <c r="AY403" s="77"/>
      <c r="AZ403" s="82" t="s">
        <v>17385</v>
      </c>
      <c r="BA403" s="82" t="s">
        <v>17385</v>
      </c>
      <c r="BB403" s="82" t="s">
        <v>17385</v>
      </c>
      <c r="BC403" s="82" t="s">
        <v>13505</v>
      </c>
      <c r="BD403" s="82" t="s">
        <v>17485</v>
      </c>
      <c r="BE403" s="77"/>
      <c r="BF403" s="77"/>
      <c r="BG403" s="77"/>
      <c r="BH403" s="77"/>
      <c r="BI403" s="77"/>
    </row>
    <row r="404" spans="1:61" x14ac:dyDescent="0.25">
      <c r="A404" s="62" t="s">
        <v>311</v>
      </c>
      <c r="B404" s="62" t="s">
        <v>311</v>
      </c>
      <c r="C404" s="63"/>
      <c r="D404" s="64"/>
      <c r="E404" s="65"/>
      <c r="F404" s="66"/>
      <c r="G404" s="63"/>
      <c r="H404" s="67"/>
      <c r="I404" s="68"/>
      <c r="J404" s="68"/>
      <c r="K404" s="32"/>
      <c r="L404" s="75">
        <v>404</v>
      </c>
      <c r="M404" s="75"/>
      <c r="N404" s="70"/>
      <c r="O404" s="77" t="s">
        <v>179</v>
      </c>
      <c r="P404" s="79">
        <v>45195.821134259262</v>
      </c>
      <c r="Q404" s="77" t="s">
        <v>1202</v>
      </c>
      <c r="R404" s="77">
        <v>0</v>
      </c>
      <c r="S404" s="77">
        <v>0</v>
      </c>
      <c r="T404" s="77">
        <v>1</v>
      </c>
      <c r="U404" s="77">
        <v>0</v>
      </c>
      <c r="V404" s="77">
        <v>67</v>
      </c>
      <c r="W404" s="82" t="s">
        <v>5025</v>
      </c>
      <c r="X404" s="77"/>
      <c r="Y404" s="77"/>
      <c r="Z404" s="77"/>
      <c r="AA404" s="77" t="s">
        <v>7478</v>
      </c>
      <c r="AB404" s="77" t="s">
        <v>8227</v>
      </c>
      <c r="AC404" s="82" t="s">
        <v>8232</v>
      </c>
      <c r="AD404" s="77" t="s">
        <v>8280</v>
      </c>
      <c r="AE404" s="80" t="str">
        <f>HYPERLINK("https://twitter.com/smashupbrazil/status/1706756132449272032")</f>
        <v>https://twitter.com/smashupbrazil/status/1706756132449272032</v>
      </c>
      <c r="AF404" s="79">
        <v>45195.821134259262</v>
      </c>
      <c r="AG404" s="85">
        <v>45195</v>
      </c>
      <c r="AH404" s="82" t="s">
        <v>8680</v>
      </c>
      <c r="AI404" s="77" t="b">
        <v>0</v>
      </c>
      <c r="AJ404" s="77"/>
      <c r="AK404" s="77"/>
      <c r="AL404" s="77"/>
      <c r="AM404" s="77"/>
      <c r="AN404" s="77"/>
      <c r="AO404" s="77"/>
      <c r="AP404" s="77"/>
      <c r="AQ404" s="77" t="s">
        <v>12363</v>
      </c>
      <c r="AR404" s="77">
        <v>12003</v>
      </c>
      <c r="AS404" s="77"/>
      <c r="AT404" s="77"/>
      <c r="AU404" s="77"/>
      <c r="AV404" s="80" t="str">
        <f>HYPERLINK("https://pbs.twimg.com/ext_tw_video_thumb/1706756022483009536/pu/img/BXpG8VHqHz1my6Qq.jpg")</f>
        <v>https://pbs.twimg.com/ext_tw_video_thumb/1706756022483009536/pu/img/BXpG8VHqHz1my6Qq.jpg</v>
      </c>
      <c r="AW404" s="82" t="s">
        <v>13506</v>
      </c>
      <c r="AX404" s="82" t="s">
        <v>13506</v>
      </c>
      <c r="AY404" s="77"/>
      <c r="AZ404" s="82" t="s">
        <v>17385</v>
      </c>
      <c r="BA404" s="82" t="s">
        <v>17385</v>
      </c>
      <c r="BB404" s="82" t="s">
        <v>17385</v>
      </c>
      <c r="BC404" s="82" t="s">
        <v>13506</v>
      </c>
      <c r="BD404" s="82" t="s">
        <v>17485</v>
      </c>
      <c r="BE404" s="77"/>
      <c r="BF404" s="77"/>
      <c r="BG404" s="77"/>
      <c r="BH404" s="77"/>
      <c r="BI404" s="77"/>
    </row>
    <row r="405" spans="1:61" x14ac:dyDescent="0.25">
      <c r="A405" s="62" t="s">
        <v>311</v>
      </c>
      <c r="B405" s="62" t="s">
        <v>311</v>
      </c>
      <c r="C405" s="63"/>
      <c r="D405" s="64"/>
      <c r="E405" s="65"/>
      <c r="F405" s="66"/>
      <c r="G405" s="63"/>
      <c r="H405" s="67"/>
      <c r="I405" s="68"/>
      <c r="J405" s="68"/>
      <c r="K405" s="32"/>
      <c r="L405" s="75">
        <v>405</v>
      </c>
      <c r="M405" s="75"/>
      <c r="N405" s="70"/>
      <c r="O405" s="77" t="s">
        <v>179</v>
      </c>
      <c r="P405" s="79">
        <v>45066.339259259257</v>
      </c>
      <c r="Q405" s="77" t="s">
        <v>1203</v>
      </c>
      <c r="R405" s="77">
        <v>1</v>
      </c>
      <c r="S405" s="77">
        <v>0</v>
      </c>
      <c r="T405" s="77">
        <v>0</v>
      </c>
      <c r="U405" s="77">
        <v>0</v>
      </c>
      <c r="V405" s="77">
        <v>138</v>
      </c>
      <c r="W405" s="82" t="s">
        <v>5025</v>
      </c>
      <c r="X405" s="77"/>
      <c r="Y405" s="77"/>
      <c r="Z405" s="77"/>
      <c r="AA405" s="77" t="s">
        <v>7479</v>
      </c>
      <c r="AB405" s="77" t="s">
        <v>8227</v>
      </c>
      <c r="AC405" s="82" t="s">
        <v>8232</v>
      </c>
      <c r="AD405" s="77" t="s">
        <v>8280</v>
      </c>
      <c r="AE405" s="80" t="str">
        <f>HYPERLINK("https://twitter.com/smashupbrazil/status/1659833470904827905")</f>
        <v>https://twitter.com/smashupbrazil/status/1659833470904827905</v>
      </c>
      <c r="AF405" s="79">
        <v>45066.339259259257</v>
      </c>
      <c r="AG405" s="85">
        <v>45066</v>
      </c>
      <c r="AH405" s="82" t="s">
        <v>8681</v>
      </c>
      <c r="AI405" s="77" t="b">
        <v>0</v>
      </c>
      <c r="AJ405" s="77"/>
      <c r="AK405" s="77"/>
      <c r="AL405" s="77"/>
      <c r="AM405" s="77"/>
      <c r="AN405" s="77"/>
      <c r="AO405" s="77"/>
      <c r="AP405" s="77"/>
      <c r="AQ405" s="77" t="s">
        <v>12364</v>
      </c>
      <c r="AR405" s="77">
        <v>67105</v>
      </c>
      <c r="AS405" s="77"/>
      <c r="AT405" s="77"/>
      <c r="AU405" s="77"/>
      <c r="AV405" s="80" t="str">
        <f>HYPERLINK("https://pbs.twimg.com/ext_tw_video_thumb/1659833410100113408/pu/img/0XYC6kSKcfCFcHjE.jpg")</f>
        <v>https://pbs.twimg.com/ext_tw_video_thumb/1659833410100113408/pu/img/0XYC6kSKcfCFcHjE.jpg</v>
      </c>
      <c r="AW405" s="82" t="s">
        <v>13507</v>
      </c>
      <c r="AX405" s="82" t="s">
        <v>13507</v>
      </c>
      <c r="AY405" s="77"/>
      <c r="AZ405" s="82" t="s">
        <v>17385</v>
      </c>
      <c r="BA405" s="82" t="s">
        <v>17385</v>
      </c>
      <c r="BB405" s="82" t="s">
        <v>17385</v>
      </c>
      <c r="BC405" s="82" t="s">
        <v>13507</v>
      </c>
      <c r="BD405" s="82" t="s">
        <v>17485</v>
      </c>
      <c r="BE405" s="77"/>
      <c r="BF405" s="77"/>
      <c r="BG405" s="77"/>
      <c r="BH405" s="77"/>
      <c r="BI405" s="77"/>
    </row>
    <row r="406" spans="1:61" x14ac:dyDescent="0.25">
      <c r="A406" s="62" t="s">
        <v>311</v>
      </c>
      <c r="B406" s="62" t="s">
        <v>311</v>
      </c>
      <c r="C406" s="63"/>
      <c r="D406" s="64"/>
      <c r="E406" s="65"/>
      <c r="F406" s="66"/>
      <c r="G406" s="63"/>
      <c r="H406" s="67"/>
      <c r="I406" s="68"/>
      <c r="J406" s="68"/>
      <c r="K406" s="32"/>
      <c r="L406" s="75">
        <v>406</v>
      </c>
      <c r="M406" s="75"/>
      <c r="N406" s="70"/>
      <c r="O406" s="77" t="s">
        <v>179</v>
      </c>
      <c r="P406" s="79">
        <v>45066.338935185187</v>
      </c>
      <c r="Q406" s="77" t="s">
        <v>1204</v>
      </c>
      <c r="R406" s="77">
        <v>1</v>
      </c>
      <c r="S406" s="77">
        <v>1</v>
      </c>
      <c r="T406" s="77">
        <v>0</v>
      </c>
      <c r="U406" s="77">
        <v>0</v>
      </c>
      <c r="V406" s="77">
        <v>130</v>
      </c>
      <c r="W406" s="82" t="s">
        <v>5025</v>
      </c>
      <c r="X406" s="77"/>
      <c r="Y406" s="77"/>
      <c r="Z406" s="77"/>
      <c r="AA406" s="77" t="s">
        <v>7480</v>
      </c>
      <c r="AB406" s="77" t="s">
        <v>8227</v>
      </c>
      <c r="AC406" s="82" t="s">
        <v>8232</v>
      </c>
      <c r="AD406" s="77" t="s">
        <v>8280</v>
      </c>
      <c r="AE406" s="80" t="str">
        <f>HYPERLINK("https://twitter.com/smashupbrazil/status/1659833354970071043")</f>
        <v>https://twitter.com/smashupbrazil/status/1659833354970071043</v>
      </c>
      <c r="AF406" s="79">
        <v>45066.338935185187</v>
      </c>
      <c r="AG406" s="85">
        <v>45066</v>
      </c>
      <c r="AH406" s="82" t="s">
        <v>8682</v>
      </c>
      <c r="AI406" s="77" t="b">
        <v>0</v>
      </c>
      <c r="AJ406" s="77"/>
      <c r="AK406" s="77"/>
      <c r="AL406" s="77"/>
      <c r="AM406" s="77"/>
      <c r="AN406" s="77"/>
      <c r="AO406" s="77"/>
      <c r="AP406" s="77"/>
      <c r="AQ406" s="77" t="s">
        <v>12365</v>
      </c>
      <c r="AR406" s="77">
        <v>52477</v>
      </c>
      <c r="AS406" s="77"/>
      <c r="AT406" s="77"/>
      <c r="AU406" s="77"/>
      <c r="AV406" s="80" t="str">
        <f>HYPERLINK("https://pbs.twimg.com/ext_tw_video_thumb/1659833260740952066/pu/img/UJqUFYPejXI3ATRz.jpg")</f>
        <v>https://pbs.twimg.com/ext_tw_video_thumb/1659833260740952066/pu/img/UJqUFYPejXI3ATRz.jpg</v>
      </c>
      <c r="AW406" s="82" t="s">
        <v>13508</v>
      </c>
      <c r="AX406" s="82" t="s">
        <v>13508</v>
      </c>
      <c r="AY406" s="77"/>
      <c r="AZ406" s="82" t="s">
        <v>17385</v>
      </c>
      <c r="BA406" s="82" t="s">
        <v>17385</v>
      </c>
      <c r="BB406" s="82" t="s">
        <v>17385</v>
      </c>
      <c r="BC406" s="82" t="s">
        <v>13508</v>
      </c>
      <c r="BD406" s="82" t="s">
        <v>17485</v>
      </c>
      <c r="BE406" s="77"/>
      <c r="BF406" s="77"/>
      <c r="BG406" s="77"/>
      <c r="BH406" s="77"/>
      <c r="BI406" s="77"/>
    </row>
    <row r="407" spans="1:61" x14ac:dyDescent="0.25">
      <c r="A407" s="62" t="s">
        <v>311</v>
      </c>
      <c r="B407" s="62" t="s">
        <v>311</v>
      </c>
      <c r="C407" s="63"/>
      <c r="D407" s="64"/>
      <c r="E407" s="65"/>
      <c r="F407" s="66"/>
      <c r="G407" s="63"/>
      <c r="H407" s="67"/>
      <c r="I407" s="68"/>
      <c r="J407" s="68"/>
      <c r="K407" s="32"/>
      <c r="L407" s="75">
        <v>407</v>
      </c>
      <c r="M407" s="75"/>
      <c r="N407" s="70"/>
      <c r="O407" s="77" t="s">
        <v>179</v>
      </c>
      <c r="P407" s="79">
        <v>45066.338576388887</v>
      </c>
      <c r="Q407" s="77" t="s">
        <v>1205</v>
      </c>
      <c r="R407" s="77">
        <v>1</v>
      </c>
      <c r="S407" s="77">
        <v>0</v>
      </c>
      <c r="T407" s="77">
        <v>0</v>
      </c>
      <c r="U407" s="77">
        <v>0</v>
      </c>
      <c r="V407" s="77">
        <v>107</v>
      </c>
      <c r="W407" s="82" t="s">
        <v>5025</v>
      </c>
      <c r="X407" s="77"/>
      <c r="Y407" s="77"/>
      <c r="Z407" s="77"/>
      <c r="AA407" s="77" t="s">
        <v>7481</v>
      </c>
      <c r="AB407" s="77" t="s">
        <v>8227</v>
      </c>
      <c r="AC407" s="82" t="s">
        <v>8232</v>
      </c>
      <c r="AD407" s="77" t="s">
        <v>8280</v>
      </c>
      <c r="AE407" s="80" t="str">
        <f>HYPERLINK("https://twitter.com/smashupbrazil/status/1659833222669258752")</f>
        <v>https://twitter.com/smashupbrazil/status/1659833222669258752</v>
      </c>
      <c r="AF407" s="79">
        <v>45066.338576388887</v>
      </c>
      <c r="AG407" s="85">
        <v>45066</v>
      </c>
      <c r="AH407" s="82" t="s">
        <v>8683</v>
      </c>
      <c r="AI407" s="77" t="b">
        <v>0</v>
      </c>
      <c r="AJ407" s="77"/>
      <c r="AK407" s="77"/>
      <c r="AL407" s="77"/>
      <c r="AM407" s="77"/>
      <c r="AN407" s="77"/>
      <c r="AO407" s="77"/>
      <c r="AP407" s="77"/>
      <c r="AQ407" s="77" t="s">
        <v>12366</v>
      </c>
      <c r="AR407" s="77">
        <v>52477</v>
      </c>
      <c r="AS407" s="77"/>
      <c r="AT407" s="77"/>
      <c r="AU407" s="77"/>
      <c r="AV407" s="80" t="str">
        <f>HYPERLINK("https://pbs.twimg.com/ext_tw_video_thumb/1659833165303693312/pu/img/rUPrltDKWV0MKooF.jpg")</f>
        <v>https://pbs.twimg.com/ext_tw_video_thumb/1659833165303693312/pu/img/rUPrltDKWV0MKooF.jpg</v>
      </c>
      <c r="AW407" s="82" t="s">
        <v>13509</v>
      </c>
      <c r="AX407" s="82" t="s">
        <v>13509</v>
      </c>
      <c r="AY407" s="77"/>
      <c r="AZ407" s="82" t="s">
        <v>17385</v>
      </c>
      <c r="BA407" s="82" t="s">
        <v>17385</v>
      </c>
      <c r="BB407" s="82" t="s">
        <v>17385</v>
      </c>
      <c r="BC407" s="82" t="s">
        <v>13509</v>
      </c>
      <c r="BD407" s="82" t="s">
        <v>17485</v>
      </c>
      <c r="BE407" s="77"/>
      <c r="BF407" s="77"/>
      <c r="BG407" s="77"/>
      <c r="BH407" s="77"/>
      <c r="BI407" s="77"/>
    </row>
    <row r="408" spans="1:61" x14ac:dyDescent="0.25">
      <c r="A408" s="62" t="s">
        <v>311</v>
      </c>
      <c r="B408" s="62" t="s">
        <v>311</v>
      </c>
      <c r="C408" s="63"/>
      <c r="D408" s="64"/>
      <c r="E408" s="65"/>
      <c r="F408" s="66"/>
      <c r="G408" s="63"/>
      <c r="H408" s="67"/>
      <c r="I408" s="68"/>
      <c r="J408" s="68"/>
      <c r="K408" s="32"/>
      <c r="L408" s="75">
        <v>408</v>
      </c>
      <c r="M408" s="75"/>
      <c r="N408" s="70"/>
      <c r="O408" s="77" t="s">
        <v>179</v>
      </c>
      <c r="P408" s="79">
        <v>45066.338090277779</v>
      </c>
      <c r="Q408" s="77" t="s">
        <v>1206</v>
      </c>
      <c r="R408" s="77">
        <v>0</v>
      </c>
      <c r="S408" s="77">
        <v>1</v>
      </c>
      <c r="T408" s="77">
        <v>0</v>
      </c>
      <c r="U408" s="77">
        <v>0</v>
      </c>
      <c r="V408" s="77">
        <v>85</v>
      </c>
      <c r="W408" s="82" t="s">
        <v>5025</v>
      </c>
      <c r="X408" s="77"/>
      <c r="Y408" s="77"/>
      <c r="Z408" s="77"/>
      <c r="AA408" s="77" t="s">
        <v>7482</v>
      </c>
      <c r="AB408" s="77" t="s">
        <v>8225</v>
      </c>
      <c r="AC408" s="82" t="s">
        <v>8232</v>
      </c>
      <c r="AD408" s="77" t="s">
        <v>8280</v>
      </c>
      <c r="AE408" s="80" t="str">
        <f>HYPERLINK("https://twitter.com/smashupbrazil/status/1659833045916975104")</f>
        <v>https://twitter.com/smashupbrazil/status/1659833045916975104</v>
      </c>
      <c r="AF408" s="79">
        <v>45066.338090277779</v>
      </c>
      <c r="AG408" s="85">
        <v>45066</v>
      </c>
      <c r="AH408" s="82" t="s">
        <v>8684</v>
      </c>
      <c r="AI408" s="77" t="b">
        <v>0</v>
      </c>
      <c r="AJ408" s="77"/>
      <c r="AK408" s="77"/>
      <c r="AL408" s="77"/>
      <c r="AM408" s="77"/>
      <c r="AN408" s="77"/>
      <c r="AO408" s="77"/>
      <c r="AP408" s="77"/>
      <c r="AQ408" s="77" t="s">
        <v>12367</v>
      </c>
      <c r="AR408" s="77"/>
      <c r="AS408" s="77"/>
      <c r="AT408" s="77"/>
      <c r="AU408" s="77"/>
      <c r="AV408" s="80" t="str">
        <f>HYPERLINK("https://pbs.twimg.com/media/FwjpVrCWwAIwuAC.jpg")</f>
        <v>https://pbs.twimg.com/media/FwjpVrCWwAIwuAC.jpg</v>
      </c>
      <c r="AW408" s="82" t="s">
        <v>13510</v>
      </c>
      <c r="AX408" s="82" t="s">
        <v>13510</v>
      </c>
      <c r="AY408" s="77"/>
      <c r="AZ408" s="82" t="s">
        <v>17385</v>
      </c>
      <c r="BA408" s="82" t="s">
        <v>17385</v>
      </c>
      <c r="BB408" s="82" t="s">
        <v>17385</v>
      </c>
      <c r="BC408" s="82" t="s">
        <v>13510</v>
      </c>
      <c r="BD408" s="82" t="s">
        <v>17485</v>
      </c>
      <c r="BE408" s="77"/>
      <c r="BF408" s="77"/>
      <c r="BG408" s="77"/>
      <c r="BH408" s="77"/>
      <c r="BI408" s="77"/>
    </row>
    <row r="409" spans="1:61" x14ac:dyDescent="0.25">
      <c r="A409" s="62" t="s">
        <v>311</v>
      </c>
      <c r="B409" s="62" t="s">
        <v>311</v>
      </c>
      <c r="C409" s="63"/>
      <c r="D409" s="64"/>
      <c r="E409" s="65"/>
      <c r="F409" s="66"/>
      <c r="G409" s="63"/>
      <c r="H409" s="67"/>
      <c r="I409" s="68"/>
      <c r="J409" s="68"/>
      <c r="K409" s="32"/>
      <c r="L409" s="75">
        <v>409</v>
      </c>
      <c r="M409" s="75"/>
      <c r="N409" s="70"/>
      <c r="O409" s="77" t="s">
        <v>179</v>
      </c>
      <c r="P409" s="79">
        <v>45066.337604166663</v>
      </c>
      <c r="Q409" s="77" t="s">
        <v>1207</v>
      </c>
      <c r="R409" s="77">
        <v>0</v>
      </c>
      <c r="S409" s="77">
        <v>0</v>
      </c>
      <c r="T409" s="77">
        <v>0</v>
      </c>
      <c r="U409" s="77">
        <v>0</v>
      </c>
      <c r="V409" s="77">
        <v>69</v>
      </c>
      <c r="W409" s="82" t="s">
        <v>5025</v>
      </c>
      <c r="X409" s="77"/>
      <c r="Y409" s="77"/>
      <c r="Z409" s="77"/>
      <c r="AA409" s="77" t="s">
        <v>7483</v>
      </c>
      <c r="AB409" s="77" t="s">
        <v>8225</v>
      </c>
      <c r="AC409" s="82" t="s">
        <v>8232</v>
      </c>
      <c r="AD409" s="77" t="s">
        <v>8280</v>
      </c>
      <c r="AE409" s="80" t="str">
        <f>HYPERLINK("https://twitter.com/smashupbrazil/status/1659832872423890979")</f>
        <v>https://twitter.com/smashupbrazil/status/1659832872423890979</v>
      </c>
      <c r="AF409" s="79">
        <v>45066.337604166663</v>
      </c>
      <c r="AG409" s="85">
        <v>45066</v>
      </c>
      <c r="AH409" s="82" t="s">
        <v>8685</v>
      </c>
      <c r="AI409" s="77" t="b">
        <v>0</v>
      </c>
      <c r="AJ409" s="77"/>
      <c r="AK409" s="77"/>
      <c r="AL409" s="77"/>
      <c r="AM409" s="77"/>
      <c r="AN409" s="77"/>
      <c r="AO409" s="77"/>
      <c r="AP409" s="77"/>
      <c r="AQ409" s="77" t="s">
        <v>12368</v>
      </c>
      <c r="AR409" s="77"/>
      <c r="AS409" s="77"/>
      <c r="AT409" s="77"/>
      <c r="AU409" s="77"/>
      <c r="AV409" s="80" t="str">
        <f>HYPERLINK("https://pbs.twimg.com/media/FwjpLvLXsAEBnYq.jpg")</f>
        <v>https://pbs.twimg.com/media/FwjpLvLXsAEBnYq.jpg</v>
      </c>
      <c r="AW409" s="82" t="s">
        <v>13511</v>
      </c>
      <c r="AX409" s="82" t="s">
        <v>13511</v>
      </c>
      <c r="AY409" s="77"/>
      <c r="AZ409" s="82" t="s">
        <v>17385</v>
      </c>
      <c r="BA409" s="82" t="s">
        <v>17385</v>
      </c>
      <c r="BB409" s="82" t="s">
        <v>17385</v>
      </c>
      <c r="BC409" s="82" t="s">
        <v>13511</v>
      </c>
      <c r="BD409" s="82" t="s">
        <v>17485</v>
      </c>
      <c r="BE409" s="77"/>
      <c r="BF409" s="77"/>
      <c r="BG409" s="77"/>
      <c r="BH409" s="77"/>
      <c r="BI409" s="77"/>
    </row>
    <row r="410" spans="1:61" x14ac:dyDescent="0.25">
      <c r="A410" s="62" t="s">
        <v>311</v>
      </c>
      <c r="B410" s="62" t="s">
        <v>311</v>
      </c>
      <c r="C410" s="63"/>
      <c r="D410" s="64"/>
      <c r="E410" s="65"/>
      <c r="F410" s="66"/>
      <c r="G410" s="63"/>
      <c r="H410" s="67"/>
      <c r="I410" s="68"/>
      <c r="J410" s="68"/>
      <c r="K410" s="32"/>
      <c r="L410" s="75">
        <v>410</v>
      </c>
      <c r="M410" s="75"/>
      <c r="N410" s="70"/>
      <c r="O410" s="77" t="s">
        <v>179</v>
      </c>
      <c r="P410" s="79">
        <v>45066.337442129632</v>
      </c>
      <c r="Q410" s="77" t="s">
        <v>1208</v>
      </c>
      <c r="R410" s="77">
        <v>0</v>
      </c>
      <c r="S410" s="77">
        <v>0</v>
      </c>
      <c r="T410" s="77">
        <v>0</v>
      </c>
      <c r="U410" s="77">
        <v>0</v>
      </c>
      <c r="V410" s="77">
        <v>87</v>
      </c>
      <c r="W410" s="82" t="s">
        <v>5025</v>
      </c>
      <c r="X410" s="77"/>
      <c r="Y410" s="77"/>
      <c r="Z410" s="77"/>
      <c r="AA410" s="77" t="s">
        <v>7484</v>
      </c>
      <c r="AB410" s="77" t="s">
        <v>8225</v>
      </c>
      <c r="AC410" s="82" t="s">
        <v>8232</v>
      </c>
      <c r="AD410" s="77" t="s">
        <v>8280</v>
      </c>
      <c r="AE410" s="80" t="str">
        <f>HYPERLINK("https://twitter.com/smashupbrazil/status/1659832814857011203")</f>
        <v>https://twitter.com/smashupbrazil/status/1659832814857011203</v>
      </c>
      <c r="AF410" s="79">
        <v>45066.337442129632</v>
      </c>
      <c r="AG410" s="85">
        <v>45066</v>
      </c>
      <c r="AH410" s="82" t="s">
        <v>8686</v>
      </c>
      <c r="AI410" s="77" t="b">
        <v>0</v>
      </c>
      <c r="AJ410" s="77"/>
      <c r="AK410" s="77"/>
      <c r="AL410" s="77"/>
      <c r="AM410" s="77"/>
      <c r="AN410" s="77"/>
      <c r="AO410" s="77"/>
      <c r="AP410" s="77"/>
      <c r="AQ410" s="77" t="s">
        <v>12369</v>
      </c>
      <c r="AR410" s="77"/>
      <c r="AS410" s="77"/>
      <c r="AT410" s="77"/>
      <c r="AU410" s="77"/>
      <c r="AV410" s="80" t="str">
        <f>HYPERLINK("https://pbs.twimg.com/media/FwjpDwbXoAALK0k.jpg")</f>
        <v>https://pbs.twimg.com/media/FwjpDwbXoAALK0k.jpg</v>
      </c>
      <c r="AW410" s="82" t="s">
        <v>13512</v>
      </c>
      <c r="AX410" s="82" t="s">
        <v>13512</v>
      </c>
      <c r="AY410" s="77"/>
      <c r="AZ410" s="82" t="s">
        <v>17385</v>
      </c>
      <c r="BA410" s="82" t="s">
        <v>17385</v>
      </c>
      <c r="BB410" s="82" t="s">
        <v>17385</v>
      </c>
      <c r="BC410" s="82" t="s">
        <v>13512</v>
      </c>
      <c r="BD410" s="82" t="s">
        <v>17485</v>
      </c>
      <c r="BE410" s="77"/>
      <c r="BF410" s="77"/>
      <c r="BG410" s="77"/>
      <c r="BH410" s="77"/>
      <c r="BI410" s="77"/>
    </row>
    <row r="411" spans="1:61" x14ac:dyDescent="0.25">
      <c r="A411" s="62" t="s">
        <v>312</v>
      </c>
      <c r="B411" s="62" t="s">
        <v>312</v>
      </c>
      <c r="C411" s="63"/>
      <c r="D411" s="64"/>
      <c r="E411" s="65"/>
      <c r="F411" s="66"/>
      <c r="G411" s="63"/>
      <c r="H411" s="67"/>
      <c r="I411" s="68"/>
      <c r="J411" s="68"/>
      <c r="K411" s="32"/>
      <c r="L411" s="75">
        <v>411</v>
      </c>
      <c r="M411" s="75"/>
      <c r="N411" s="70"/>
      <c r="O411" s="77" t="s">
        <v>179</v>
      </c>
      <c r="P411" s="79">
        <v>45072.604178240741</v>
      </c>
      <c r="Q411" s="77" t="s">
        <v>1209</v>
      </c>
      <c r="R411" s="77">
        <v>2</v>
      </c>
      <c r="S411" s="77">
        <v>4</v>
      </c>
      <c r="T411" s="77">
        <v>0</v>
      </c>
      <c r="U411" s="77">
        <v>0</v>
      </c>
      <c r="V411" s="77">
        <v>1012</v>
      </c>
      <c r="W411" s="82" t="s">
        <v>5031</v>
      </c>
      <c r="X411" s="80" t="str">
        <f>HYPERLINK("https://forbes.com.br/forbes-money/2023/05/nvidia-ameaca-ultrapassar-valor-de-mercado-da-amazon/")</f>
        <v>https://forbes.com.br/forbes-money/2023/05/nvidia-ameaca-ultrapassar-valor-de-mercado-da-amazon/</v>
      </c>
      <c r="Y411" s="77" t="s">
        <v>7053</v>
      </c>
      <c r="Z411" s="77"/>
      <c r="AA411" s="77"/>
      <c r="AB411" s="77"/>
      <c r="AC411" s="82" t="s">
        <v>8232</v>
      </c>
      <c r="AD411" s="77" t="s">
        <v>8278</v>
      </c>
      <c r="AE411" s="80" t="str">
        <f>HYPERLINK("https://twitter.com/forbesbr/status/1662103800650530816")</f>
        <v>https://twitter.com/forbesbr/status/1662103800650530816</v>
      </c>
      <c r="AF411" s="79">
        <v>45072.604178240741</v>
      </c>
      <c r="AG411" s="85">
        <v>45072</v>
      </c>
      <c r="AH411" s="82" t="s">
        <v>8687</v>
      </c>
      <c r="AI411" s="77" t="b">
        <v>0</v>
      </c>
      <c r="AJ411" s="77"/>
      <c r="AK411" s="77"/>
      <c r="AL411" s="77"/>
      <c r="AM411" s="77"/>
      <c r="AN411" s="77"/>
      <c r="AO411" s="77"/>
      <c r="AP411" s="77"/>
      <c r="AQ411" s="77"/>
      <c r="AR411" s="77"/>
      <c r="AS411" s="77"/>
      <c r="AT411" s="77"/>
      <c r="AU411" s="77"/>
      <c r="AV411" s="80" t="str">
        <f>HYPERLINK("https://pbs.twimg.com/profile_images/1334211682235768834/iQOE8aBe_normal.jpg")</f>
        <v>https://pbs.twimg.com/profile_images/1334211682235768834/iQOE8aBe_normal.jpg</v>
      </c>
      <c r="AW411" s="82" t="s">
        <v>13513</v>
      </c>
      <c r="AX411" s="82" t="s">
        <v>13513</v>
      </c>
      <c r="AY411" s="77"/>
      <c r="AZ411" s="82" t="s">
        <v>17385</v>
      </c>
      <c r="BA411" s="82" t="s">
        <v>17385</v>
      </c>
      <c r="BB411" s="82" t="s">
        <v>17385</v>
      </c>
      <c r="BC411" s="82" t="s">
        <v>13513</v>
      </c>
      <c r="BD411" s="77">
        <v>510272910</v>
      </c>
      <c r="BE411" s="77"/>
      <c r="BF411" s="77"/>
      <c r="BG411" s="77"/>
      <c r="BH411" s="77"/>
      <c r="BI411" s="77"/>
    </row>
    <row r="412" spans="1:61" x14ac:dyDescent="0.25">
      <c r="A412" s="62" t="s">
        <v>312</v>
      </c>
      <c r="B412" s="62" t="s">
        <v>312</v>
      </c>
      <c r="C412" s="63"/>
      <c r="D412" s="64"/>
      <c r="E412" s="65"/>
      <c r="F412" s="66"/>
      <c r="G412" s="63"/>
      <c r="H412" s="67"/>
      <c r="I412" s="68"/>
      <c r="J412" s="68"/>
      <c r="K412" s="32"/>
      <c r="L412" s="75">
        <v>412</v>
      </c>
      <c r="M412" s="75"/>
      <c r="N412" s="70"/>
      <c r="O412" s="77" t="s">
        <v>179</v>
      </c>
      <c r="P412" s="79">
        <v>45078.666666666664</v>
      </c>
      <c r="Q412" s="77" t="s">
        <v>1210</v>
      </c>
      <c r="R412" s="77">
        <v>1</v>
      </c>
      <c r="S412" s="77">
        <v>3</v>
      </c>
      <c r="T412" s="77">
        <v>0</v>
      </c>
      <c r="U412" s="77">
        <v>0</v>
      </c>
      <c r="V412" s="77">
        <v>1002</v>
      </c>
      <c r="W412" s="82" t="s">
        <v>5032</v>
      </c>
      <c r="X412" s="80" t="str">
        <f>HYPERLINK("https://forbes.com.br/forbes-money/2023/06/vale-copel-e-prio-sao-as-acoes-mais-recomendadas-para-junho/")</f>
        <v>https://forbes.com.br/forbes-money/2023/06/vale-copel-e-prio-sao-as-acoes-mais-recomendadas-para-junho/</v>
      </c>
      <c r="Y412" s="77" t="s">
        <v>7053</v>
      </c>
      <c r="Z412" s="77"/>
      <c r="AA412" s="77"/>
      <c r="AB412" s="77"/>
      <c r="AC412" s="82" t="s">
        <v>8232</v>
      </c>
      <c r="AD412" s="77" t="s">
        <v>8278</v>
      </c>
      <c r="AE412" s="80" t="str">
        <f>HYPERLINK("https://twitter.com/forbesbr/status/1664300773956792320")</f>
        <v>https://twitter.com/forbesbr/status/1664300773956792320</v>
      </c>
      <c r="AF412" s="79">
        <v>45078.666666666664</v>
      </c>
      <c r="AG412" s="85">
        <v>45078</v>
      </c>
      <c r="AH412" s="82" t="s">
        <v>8688</v>
      </c>
      <c r="AI412" s="77" t="b">
        <v>0</v>
      </c>
      <c r="AJ412" s="77"/>
      <c r="AK412" s="77"/>
      <c r="AL412" s="77"/>
      <c r="AM412" s="77"/>
      <c r="AN412" s="77"/>
      <c r="AO412" s="77"/>
      <c r="AP412" s="77"/>
      <c r="AQ412" s="77"/>
      <c r="AR412" s="77"/>
      <c r="AS412" s="77"/>
      <c r="AT412" s="77"/>
      <c r="AU412" s="77"/>
      <c r="AV412" s="80" t="str">
        <f>HYPERLINK("https://pbs.twimg.com/profile_images/1334211682235768834/iQOE8aBe_normal.jpg")</f>
        <v>https://pbs.twimg.com/profile_images/1334211682235768834/iQOE8aBe_normal.jpg</v>
      </c>
      <c r="AW412" s="82" t="s">
        <v>13514</v>
      </c>
      <c r="AX412" s="82" t="s">
        <v>13514</v>
      </c>
      <c r="AY412" s="77"/>
      <c r="AZ412" s="82" t="s">
        <v>17385</v>
      </c>
      <c r="BA412" s="82" t="s">
        <v>17385</v>
      </c>
      <c r="BB412" s="82" t="s">
        <v>17385</v>
      </c>
      <c r="BC412" s="82" t="s">
        <v>13514</v>
      </c>
      <c r="BD412" s="77">
        <v>510272910</v>
      </c>
      <c r="BE412" s="77"/>
      <c r="BF412" s="77"/>
      <c r="BG412" s="77"/>
      <c r="BH412" s="77"/>
      <c r="BI412" s="77"/>
    </row>
    <row r="413" spans="1:61" x14ac:dyDescent="0.25">
      <c r="A413" s="62" t="s">
        <v>312</v>
      </c>
      <c r="B413" s="62" t="s">
        <v>312</v>
      </c>
      <c r="C413" s="63"/>
      <c r="D413" s="64"/>
      <c r="E413" s="65"/>
      <c r="F413" s="66"/>
      <c r="G413" s="63"/>
      <c r="H413" s="67"/>
      <c r="I413" s="68"/>
      <c r="J413" s="68"/>
      <c r="K413" s="32"/>
      <c r="L413" s="75">
        <v>413</v>
      </c>
      <c r="M413" s="75"/>
      <c r="N413" s="70"/>
      <c r="O413" s="77" t="s">
        <v>179</v>
      </c>
      <c r="P413" s="79">
        <v>45109.761111111111</v>
      </c>
      <c r="Q413" s="77" t="s">
        <v>1211</v>
      </c>
      <c r="R413" s="77">
        <v>2</v>
      </c>
      <c r="S413" s="77">
        <v>10</v>
      </c>
      <c r="T413" s="77">
        <v>2</v>
      </c>
      <c r="U413" s="77">
        <v>0</v>
      </c>
      <c r="V413" s="77">
        <v>1665</v>
      </c>
      <c r="W413" s="82" t="s">
        <v>5033</v>
      </c>
      <c r="X413" s="80" t="str">
        <f>HYPERLINK("https://forbes.com.br/forbes-money/2023/07/os-bilionarios-que-mais-venderam-acoes-ate-agora-em-2023/")</f>
        <v>https://forbes.com.br/forbes-money/2023/07/os-bilionarios-que-mais-venderam-acoes-ate-agora-em-2023/</v>
      </c>
      <c r="Y413" s="77" t="s">
        <v>7053</v>
      </c>
      <c r="Z413" s="77"/>
      <c r="AA413" s="77"/>
      <c r="AB413" s="77"/>
      <c r="AC413" s="82" t="s">
        <v>8232</v>
      </c>
      <c r="AD413" s="77" t="s">
        <v>8278</v>
      </c>
      <c r="AE413" s="80" t="str">
        <f>HYPERLINK("https://twitter.com/forbesbr/status/1675569022602027013")</f>
        <v>https://twitter.com/forbesbr/status/1675569022602027013</v>
      </c>
      <c r="AF413" s="79">
        <v>45109.761111111111</v>
      </c>
      <c r="AG413" s="85">
        <v>45109</v>
      </c>
      <c r="AH413" s="82" t="s">
        <v>8689</v>
      </c>
      <c r="AI413" s="77" t="b">
        <v>0</v>
      </c>
      <c r="AJ413" s="77"/>
      <c r="AK413" s="77"/>
      <c r="AL413" s="77"/>
      <c r="AM413" s="77"/>
      <c r="AN413" s="77"/>
      <c r="AO413" s="77"/>
      <c r="AP413" s="77"/>
      <c r="AQ413" s="77"/>
      <c r="AR413" s="77"/>
      <c r="AS413" s="77"/>
      <c r="AT413" s="77"/>
      <c r="AU413" s="77"/>
      <c r="AV413" s="80" t="str">
        <f>HYPERLINK("https://pbs.twimg.com/profile_images/1334211682235768834/iQOE8aBe_normal.jpg")</f>
        <v>https://pbs.twimg.com/profile_images/1334211682235768834/iQOE8aBe_normal.jpg</v>
      </c>
      <c r="AW413" s="82" t="s">
        <v>13515</v>
      </c>
      <c r="AX413" s="82" t="s">
        <v>13515</v>
      </c>
      <c r="AY413" s="77"/>
      <c r="AZ413" s="82" t="s">
        <v>17385</v>
      </c>
      <c r="BA413" s="82" t="s">
        <v>17385</v>
      </c>
      <c r="BB413" s="82" t="s">
        <v>17385</v>
      </c>
      <c r="BC413" s="82" t="s">
        <v>13515</v>
      </c>
      <c r="BD413" s="77">
        <v>510272910</v>
      </c>
      <c r="BE413" s="77"/>
      <c r="BF413" s="77"/>
      <c r="BG413" s="77"/>
      <c r="BH413" s="77"/>
      <c r="BI413" s="77"/>
    </row>
    <row r="414" spans="1:61" x14ac:dyDescent="0.25">
      <c r="A414" s="62" t="s">
        <v>312</v>
      </c>
      <c r="B414" s="62" t="s">
        <v>312</v>
      </c>
      <c r="C414" s="63"/>
      <c r="D414" s="64"/>
      <c r="E414" s="65"/>
      <c r="F414" s="66"/>
      <c r="G414" s="63"/>
      <c r="H414" s="67"/>
      <c r="I414" s="68"/>
      <c r="J414" s="68"/>
      <c r="K414" s="32"/>
      <c r="L414" s="75">
        <v>414</v>
      </c>
      <c r="M414" s="75"/>
      <c r="N414" s="70"/>
      <c r="O414" s="77" t="s">
        <v>179</v>
      </c>
      <c r="P414" s="79">
        <v>45128.645833333336</v>
      </c>
      <c r="Q414" s="77" t="s">
        <v>1212</v>
      </c>
      <c r="R414" s="77">
        <v>1</v>
      </c>
      <c r="S414" s="77">
        <v>5</v>
      </c>
      <c r="T414" s="77">
        <v>0</v>
      </c>
      <c r="U414" s="77">
        <v>0</v>
      </c>
      <c r="V414" s="77">
        <v>1147</v>
      </c>
      <c r="W414" s="82" t="s">
        <v>5034</v>
      </c>
      <c r="X414" s="80" t="str">
        <f>HYPERLINK("https://forbes.com.br/forbes-money/2023/07/quais-acoes-podem-se-beneficiar-com-a-reforma-tributaria/")</f>
        <v>https://forbes.com.br/forbes-money/2023/07/quais-acoes-podem-se-beneficiar-com-a-reforma-tributaria/</v>
      </c>
      <c r="Y414" s="77" t="s">
        <v>7053</v>
      </c>
      <c r="Z414" s="77"/>
      <c r="AA414" s="77"/>
      <c r="AB414" s="77"/>
      <c r="AC414" s="82" t="s">
        <v>8232</v>
      </c>
      <c r="AD414" s="77" t="s">
        <v>8278</v>
      </c>
      <c r="AE414" s="80" t="str">
        <f>HYPERLINK("https://twitter.com/forbesbr/status/1682412617833275392")</f>
        <v>https://twitter.com/forbesbr/status/1682412617833275392</v>
      </c>
      <c r="AF414" s="79">
        <v>45128.645833333336</v>
      </c>
      <c r="AG414" s="85">
        <v>45128</v>
      </c>
      <c r="AH414" s="82" t="s">
        <v>8690</v>
      </c>
      <c r="AI414" s="77" t="b">
        <v>0</v>
      </c>
      <c r="AJ414" s="77"/>
      <c r="AK414" s="77"/>
      <c r="AL414" s="77"/>
      <c r="AM414" s="77"/>
      <c r="AN414" s="77"/>
      <c r="AO414" s="77"/>
      <c r="AP414" s="77"/>
      <c r="AQ414" s="77"/>
      <c r="AR414" s="77"/>
      <c r="AS414" s="77"/>
      <c r="AT414" s="77"/>
      <c r="AU414" s="77"/>
      <c r="AV414" s="80" t="str">
        <f>HYPERLINK("https://pbs.twimg.com/profile_images/1334211682235768834/iQOE8aBe_normal.jpg")</f>
        <v>https://pbs.twimg.com/profile_images/1334211682235768834/iQOE8aBe_normal.jpg</v>
      </c>
      <c r="AW414" s="82" t="s">
        <v>13516</v>
      </c>
      <c r="AX414" s="82" t="s">
        <v>13516</v>
      </c>
      <c r="AY414" s="77"/>
      <c r="AZ414" s="82" t="s">
        <v>17385</v>
      </c>
      <c r="BA414" s="82" t="s">
        <v>17385</v>
      </c>
      <c r="BB414" s="82" t="s">
        <v>17385</v>
      </c>
      <c r="BC414" s="82" t="s">
        <v>13516</v>
      </c>
      <c r="BD414" s="77">
        <v>510272910</v>
      </c>
      <c r="BE414" s="77"/>
      <c r="BF414" s="77"/>
      <c r="BG414" s="77"/>
      <c r="BH414" s="77"/>
      <c r="BI414" s="77"/>
    </row>
    <row r="415" spans="1:61" x14ac:dyDescent="0.25">
      <c r="A415" s="62" t="s">
        <v>313</v>
      </c>
      <c r="B415" s="62" t="s">
        <v>313</v>
      </c>
      <c r="C415" s="63"/>
      <c r="D415" s="64"/>
      <c r="E415" s="65"/>
      <c r="F415" s="66"/>
      <c r="G415" s="63"/>
      <c r="H415" s="67"/>
      <c r="I415" s="68"/>
      <c r="J415" s="68"/>
      <c r="K415" s="32"/>
      <c r="L415" s="75">
        <v>415</v>
      </c>
      <c r="M415" s="75"/>
      <c r="N415" s="70"/>
      <c r="O415" s="77" t="s">
        <v>179</v>
      </c>
      <c r="P415" s="79">
        <v>45169.580358796295</v>
      </c>
      <c r="Q415" s="77" t="s">
        <v>1213</v>
      </c>
      <c r="R415" s="77">
        <v>0</v>
      </c>
      <c r="S415" s="77">
        <v>2</v>
      </c>
      <c r="T415" s="77">
        <v>0</v>
      </c>
      <c r="U415" s="77">
        <v>0</v>
      </c>
      <c r="V415" s="77">
        <v>112</v>
      </c>
      <c r="W415" s="82" t="s">
        <v>5035</v>
      </c>
      <c r="X415" s="77"/>
      <c r="Y415" s="77"/>
      <c r="Z415" s="77"/>
      <c r="AA415" s="77" t="s">
        <v>7485</v>
      </c>
      <c r="AB415" s="77" t="s">
        <v>8227</v>
      </c>
      <c r="AC415" s="82" t="s">
        <v>8232</v>
      </c>
      <c r="AD415" s="77" t="s">
        <v>8278</v>
      </c>
      <c r="AE415" s="80" t="str">
        <f>HYPERLINK("https://twitter.com/borja_on_stocks/status/1697246793099280495")</f>
        <v>https://twitter.com/borja_on_stocks/status/1697246793099280495</v>
      </c>
      <c r="AF415" s="79">
        <v>45169.580358796295</v>
      </c>
      <c r="AG415" s="85">
        <v>45169</v>
      </c>
      <c r="AH415" s="82" t="s">
        <v>8691</v>
      </c>
      <c r="AI415" s="77" t="b">
        <v>0</v>
      </c>
      <c r="AJ415" s="77"/>
      <c r="AK415" s="77"/>
      <c r="AL415" s="77"/>
      <c r="AM415" s="77"/>
      <c r="AN415" s="77"/>
      <c r="AO415" s="77"/>
      <c r="AP415" s="77"/>
      <c r="AQ415" s="77" t="s">
        <v>12370</v>
      </c>
      <c r="AR415" s="77">
        <v>44560</v>
      </c>
      <c r="AS415" s="77"/>
      <c r="AT415" s="77"/>
      <c r="AU415" s="77"/>
      <c r="AV415" s="80" t="str">
        <f>HYPERLINK("https://pbs.twimg.com/ext_tw_video_thumb/1697244297635262464/pu/img/yUjGwyWpRFPqfwZC.jpg")</f>
        <v>https://pbs.twimg.com/ext_tw_video_thumb/1697244297635262464/pu/img/yUjGwyWpRFPqfwZC.jpg</v>
      </c>
      <c r="AW415" s="82" t="s">
        <v>13517</v>
      </c>
      <c r="AX415" s="82" t="s">
        <v>13517</v>
      </c>
      <c r="AY415" s="77"/>
      <c r="AZ415" s="82" t="s">
        <v>17385</v>
      </c>
      <c r="BA415" s="82" t="s">
        <v>17385</v>
      </c>
      <c r="BB415" s="82" t="s">
        <v>17385</v>
      </c>
      <c r="BC415" s="82" t="s">
        <v>13517</v>
      </c>
      <c r="BD415" s="82" t="s">
        <v>17486</v>
      </c>
      <c r="BE415" s="77"/>
      <c r="BF415" s="77"/>
      <c r="BG415" s="77"/>
      <c r="BH415" s="77"/>
      <c r="BI415" s="77"/>
    </row>
    <row r="416" spans="1:61" x14ac:dyDescent="0.25">
      <c r="A416" s="62" t="s">
        <v>313</v>
      </c>
      <c r="B416" s="62" t="s">
        <v>313</v>
      </c>
      <c r="C416" s="63"/>
      <c r="D416" s="64"/>
      <c r="E416" s="65"/>
      <c r="F416" s="66"/>
      <c r="G416" s="63"/>
      <c r="H416" s="67"/>
      <c r="I416" s="68"/>
      <c r="J416" s="68"/>
      <c r="K416" s="32"/>
      <c r="L416" s="75">
        <v>416</v>
      </c>
      <c r="M416" s="75"/>
      <c r="N416" s="70"/>
      <c r="O416" s="77" t="s">
        <v>179</v>
      </c>
      <c r="P416" s="79">
        <v>45182.531944444447</v>
      </c>
      <c r="Q416" s="77" t="s">
        <v>1214</v>
      </c>
      <c r="R416" s="77">
        <v>0</v>
      </c>
      <c r="S416" s="77">
        <v>0</v>
      </c>
      <c r="T416" s="77">
        <v>0</v>
      </c>
      <c r="U416" s="77">
        <v>0</v>
      </c>
      <c r="V416" s="77">
        <v>44</v>
      </c>
      <c r="W416" s="82" t="s">
        <v>5036</v>
      </c>
      <c r="X416" s="80" t="str">
        <f>HYPERLINK("https://www.youtube.com/@BorjaOnStocks")</f>
        <v>https://www.youtube.com/@BorjaOnStocks</v>
      </c>
      <c r="Y416" s="77" t="s">
        <v>7065</v>
      </c>
      <c r="Z416" s="77"/>
      <c r="AA416" s="77" t="s">
        <v>7486</v>
      </c>
      <c r="AB416" s="77" t="s">
        <v>8225</v>
      </c>
      <c r="AC416" s="82" t="s">
        <v>8232</v>
      </c>
      <c r="AD416" s="77" t="s">
        <v>8278</v>
      </c>
      <c r="AE416" s="80" t="str">
        <f>HYPERLINK("https://twitter.com/borja_on_stocks/status/1701940289756418395")</f>
        <v>https://twitter.com/borja_on_stocks/status/1701940289756418395</v>
      </c>
      <c r="AF416" s="79">
        <v>45182.531944444447</v>
      </c>
      <c r="AG416" s="85">
        <v>45182</v>
      </c>
      <c r="AH416" s="82" t="s">
        <v>8692</v>
      </c>
      <c r="AI416" s="77" t="b">
        <v>0</v>
      </c>
      <c r="AJ416" s="77"/>
      <c r="AK416" s="77"/>
      <c r="AL416" s="77"/>
      <c r="AM416" s="77"/>
      <c r="AN416" s="77"/>
      <c r="AO416" s="77"/>
      <c r="AP416" s="77"/>
      <c r="AQ416" s="77" t="s">
        <v>12371</v>
      </c>
      <c r="AR416" s="77"/>
      <c r="AS416" s="77"/>
      <c r="AT416" s="77"/>
      <c r="AU416" s="77"/>
      <c r="AV416" s="80" t="str">
        <f>HYPERLINK("https://pbs.twimg.com/media/F5qk4FbWIAAofE_.jpg")</f>
        <v>https://pbs.twimg.com/media/F5qk4FbWIAAofE_.jpg</v>
      </c>
      <c r="AW416" s="82" t="s">
        <v>13518</v>
      </c>
      <c r="AX416" s="82" t="s">
        <v>13518</v>
      </c>
      <c r="AY416" s="77"/>
      <c r="AZ416" s="82" t="s">
        <v>17385</v>
      </c>
      <c r="BA416" s="82" t="s">
        <v>17385</v>
      </c>
      <c r="BB416" s="82" t="s">
        <v>17385</v>
      </c>
      <c r="BC416" s="82" t="s">
        <v>13518</v>
      </c>
      <c r="BD416" s="82" t="s">
        <v>17486</v>
      </c>
      <c r="BE416" s="77"/>
      <c r="BF416" s="77"/>
      <c r="BG416" s="77"/>
      <c r="BH416" s="77"/>
      <c r="BI416" s="77"/>
    </row>
    <row r="417" spans="1:61" x14ac:dyDescent="0.25">
      <c r="A417" s="62" t="s">
        <v>313</v>
      </c>
      <c r="B417" s="62" t="s">
        <v>313</v>
      </c>
      <c r="C417" s="63"/>
      <c r="D417" s="64"/>
      <c r="E417" s="65"/>
      <c r="F417" s="66"/>
      <c r="G417" s="63"/>
      <c r="H417" s="67"/>
      <c r="I417" s="68"/>
      <c r="J417" s="68"/>
      <c r="K417" s="32"/>
      <c r="L417" s="75">
        <v>417</v>
      </c>
      <c r="M417" s="75"/>
      <c r="N417" s="70"/>
      <c r="O417" s="77" t="s">
        <v>179</v>
      </c>
      <c r="P417" s="79">
        <v>45173.592870370368</v>
      </c>
      <c r="Q417" s="77" t="s">
        <v>1215</v>
      </c>
      <c r="R417" s="77">
        <v>0</v>
      </c>
      <c r="S417" s="77">
        <v>0</v>
      </c>
      <c r="T417" s="77">
        <v>0</v>
      </c>
      <c r="U417" s="77">
        <v>0</v>
      </c>
      <c r="V417" s="77">
        <v>46</v>
      </c>
      <c r="W417" s="82" t="s">
        <v>5036</v>
      </c>
      <c r="X417" s="80" t="str">
        <f>HYPERLINK("https://borjaonstocks.com/newsletter-bos/")</f>
        <v>https://borjaonstocks.com/newsletter-bos/</v>
      </c>
      <c r="Y417" s="77" t="s">
        <v>7079</v>
      </c>
      <c r="Z417" s="77"/>
      <c r="AA417" s="77" t="s">
        <v>7487</v>
      </c>
      <c r="AB417" s="77" t="s">
        <v>8225</v>
      </c>
      <c r="AC417" s="82" t="s">
        <v>8232</v>
      </c>
      <c r="AD417" s="77" t="s">
        <v>8278</v>
      </c>
      <c r="AE417" s="80" t="str">
        <f>HYPERLINK("https://twitter.com/borja_on_stocks/status/1698700880487268754")</f>
        <v>https://twitter.com/borja_on_stocks/status/1698700880487268754</v>
      </c>
      <c r="AF417" s="79">
        <v>45173.592870370368</v>
      </c>
      <c r="AG417" s="85">
        <v>45173</v>
      </c>
      <c r="AH417" s="82" t="s">
        <v>8693</v>
      </c>
      <c r="AI417" s="77" t="b">
        <v>0</v>
      </c>
      <c r="AJ417" s="77"/>
      <c r="AK417" s="77"/>
      <c r="AL417" s="77"/>
      <c r="AM417" s="77"/>
      <c r="AN417" s="77"/>
      <c r="AO417" s="77"/>
      <c r="AP417" s="77"/>
      <c r="AQ417" s="77" t="s">
        <v>12372</v>
      </c>
      <c r="AR417" s="77"/>
      <c r="AS417" s="77"/>
      <c r="AT417" s="77"/>
      <c r="AU417" s="77"/>
      <c r="AV417" s="80" t="str">
        <f>HYPERLINK("https://pbs.twimg.com/media/F5L_WVdWgAEdQzD.jpg")</f>
        <v>https://pbs.twimg.com/media/F5L_WVdWgAEdQzD.jpg</v>
      </c>
      <c r="AW417" s="82" t="s">
        <v>13519</v>
      </c>
      <c r="AX417" s="82" t="s">
        <v>13519</v>
      </c>
      <c r="AY417" s="77"/>
      <c r="AZ417" s="82" t="s">
        <v>17385</v>
      </c>
      <c r="BA417" s="82" t="s">
        <v>17385</v>
      </c>
      <c r="BB417" s="82" t="s">
        <v>17385</v>
      </c>
      <c r="BC417" s="82" t="s">
        <v>13519</v>
      </c>
      <c r="BD417" s="82" t="s">
        <v>17486</v>
      </c>
      <c r="BE417" s="77"/>
      <c r="BF417" s="77"/>
      <c r="BG417" s="77"/>
      <c r="BH417" s="77"/>
      <c r="BI417" s="77"/>
    </row>
    <row r="418" spans="1:61" x14ac:dyDescent="0.25">
      <c r="A418" s="62" t="s">
        <v>313</v>
      </c>
      <c r="B418" s="62" t="s">
        <v>313</v>
      </c>
      <c r="C418" s="63"/>
      <c r="D418" s="64"/>
      <c r="E418" s="65"/>
      <c r="F418" s="66"/>
      <c r="G418" s="63"/>
      <c r="H418" s="67"/>
      <c r="I418" s="68"/>
      <c r="J418" s="68"/>
      <c r="K418" s="32"/>
      <c r="L418" s="75">
        <v>418</v>
      </c>
      <c r="M418" s="75"/>
      <c r="N418" s="70"/>
      <c r="O418" s="77" t="s">
        <v>179</v>
      </c>
      <c r="P418" s="79">
        <v>45190.542361111111</v>
      </c>
      <c r="Q418" s="77" t="s">
        <v>1216</v>
      </c>
      <c r="R418" s="77">
        <v>0</v>
      </c>
      <c r="S418" s="77">
        <v>0</v>
      </c>
      <c r="T418" s="77">
        <v>0</v>
      </c>
      <c r="U418" s="77">
        <v>0</v>
      </c>
      <c r="V418" s="77">
        <v>49</v>
      </c>
      <c r="W418" s="82" t="s">
        <v>5036</v>
      </c>
      <c r="X418" s="77"/>
      <c r="Y418" s="77"/>
      <c r="Z418" s="77"/>
      <c r="AA418" s="77" t="s">
        <v>7488</v>
      </c>
      <c r="AB418" s="77" t="s">
        <v>8227</v>
      </c>
      <c r="AC418" s="82" t="s">
        <v>8232</v>
      </c>
      <c r="AD418" s="77" t="s">
        <v>8278</v>
      </c>
      <c r="AE418" s="80" t="str">
        <f>HYPERLINK("https://twitter.com/borja_on_stocks/status/1704843167797809378")</f>
        <v>https://twitter.com/borja_on_stocks/status/1704843167797809378</v>
      </c>
      <c r="AF418" s="79">
        <v>45190.542361111111</v>
      </c>
      <c r="AG418" s="85">
        <v>45190</v>
      </c>
      <c r="AH418" s="82" t="s">
        <v>8694</v>
      </c>
      <c r="AI418" s="77" t="b">
        <v>0</v>
      </c>
      <c r="AJ418" s="77"/>
      <c r="AK418" s="77"/>
      <c r="AL418" s="77"/>
      <c r="AM418" s="77"/>
      <c r="AN418" s="77"/>
      <c r="AO418" s="77"/>
      <c r="AP418" s="77"/>
      <c r="AQ418" s="77" t="s">
        <v>12373</v>
      </c>
      <c r="AR418" s="77">
        <v>43371</v>
      </c>
      <c r="AS418" s="77"/>
      <c r="AT418" s="77"/>
      <c r="AU418" s="77"/>
      <c r="AV418" s="80" t="str">
        <f>HYPERLINK("https://pbs.twimg.com/ext_tw_video_thumb/1700857019362611200/pu/img/yvXVNLoN2OxGiX-c.jpg")</f>
        <v>https://pbs.twimg.com/ext_tw_video_thumb/1700857019362611200/pu/img/yvXVNLoN2OxGiX-c.jpg</v>
      </c>
      <c r="AW418" s="82" t="s">
        <v>13520</v>
      </c>
      <c r="AX418" s="82" t="s">
        <v>13520</v>
      </c>
      <c r="AY418" s="77"/>
      <c r="AZ418" s="82" t="s">
        <v>17385</v>
      </c>
      <c r="BA418" s="82" t="s">
        <v>17385</v>
      </c>
      <c r="BB418" s="82" t="s">
        <v>17385</v>
      </c>
      <c r="BC418" s="82" t="s">
        <v>13520</v>
      </c>
      <c r="BD418" s="82" t="s">
        <v>17486</v>
      </c>
      <c r="BE418" s="77"/>
      <c r="BF418" s="77"/>
      <c r="BG418" s="77"/>
      <c r="BH418" s="77"/>
      <c r="BI418" s="77"/>
    </row>
    <row r="419" spans="1:61" x14ac:dyDescent="0.25">
      <c r="A419" s="62" t="s">
        <v>314</v>
      </c>
      <c r="B419" s="62" t="s">
        <v>314</v>
      </c>
      <c r="C419" s="63"/>
      <c r="D419" s="64"/>
      <c r="E419" s="65"/>
      <c r="F419" s="66"/>
      <c r="G419" s="63"/>
      <c r="H419" s="67"/>
      <c r="I419" s="68"/>
      <c r="J419" s="68"/>
      <c r="K419" s="32"/>
      <c r="L419" s="75">
        <v>419</v>
      </c>
      <c r="M419" s="75"/>
      <c r="N419" s="70"/>
      <c r="O419" s="77" t="s">
        <v>179</v>
      </c>
      <c r="P419" s="79">
        <v>45188.721956018519</v>
      </c>
      <c r="Q419" s="77" t="s">
        <v>1217</v>
      </c>
      <c r="R419" s="77">
        <v>0</v>
      </c>
      <c r="S419" s="77">
        <v>0</v>
      </c>
      <c r="T419" s="77">
        <v>0</v>
      </c>
      <c r="U419" s="77">
        <v>0</v>
      </c>
      <c r="V419" s="77">
        <v>11</v>
      </c>
      <c r="W419" s="82" t="s">
        <v>5037</v>
      </c>
      <c r="X419" s="77"/>
      <c r="Y419" s="77"/>
      <c r="Z419" s="77"/>
      <c r="AA419" s="77"/>
      <c r="AB419" s="77"/>
      <c r="AC419" s="82" t="s">
        <v>8234</v>
      </c>
      <c r="AD419" s="77" t="s">
        <v>8278</v>
      </c>
      <c r="AE419" s="80" t="str">
        <f>HYPERLINK("https://twitter.com/mercado_em_alta/status/1704183476528841205")</f>
        <v>https://twitter.com/mercado_em_alta/status/1704183476528841205</v>
      </c>
      <c r="AF419" s="79">
        <v>45188.721956018519</v>
      </c>
      <c r="AG419" s="85">
        <v>45188</v>
      </c>
      <c r="AH419" s="82" t="s">
        <v>8695</v>
      </c>
      <c r="AI419" s="77"/>
      <c r="AJ419" s="77"/>
      <c r="AK419" s="77"/>
      <c r="AL419" s="77"/>
      <c r="AM419" s="77"/>
      <c r="AN419" s="77"/>
      <c r="AO419" s="77"/>
      <c r="AP419" s="77"/>
      <c r="AQ419" s="77"/>
      <c r="AR419" s="77"/>
      <c r="AS419" s="77"/>
      <c r="AT419" s="77"/>
      <c r="AU419" s="77"/>
      <c r="AV419" s="80" t="str">
        <f>HYPERLINK("https://pbs.twimg.com/profile_images/1702721679204524032/vwVPTrwt_normal.jpg")</f>
        <v>https://pbs.twimg.com/profile_images/1702721679204524032/vwVPTrwt_normal.jpg</v>
      </c>
      <c r="AW419" s="82" t="s">
        <v>13521</v>
      </c>
      <c r="AX419" s="82" t="s">
        <v>13521</v>
      </c>
      <c r="AY419" s="77"/>
      <c r="AZ419" s="82" t="s">
        <v>17385</v>
      </c>
      <c r="BA419" s="82" t="s">
        <v>17385</v>
      </c>
      <c r="BB419" s="82" t="s">
        <v>17385</v>
      </c>
      <c r="BC419" s="82" t="s">
        <v>13521</v>
      </c>
      <c r="BD419" s="82" t="s">
        <v>17487</v>
      </c>
      <c r="BE419" s="77"/>
      <c r="BF419" s="77"/>
      <c r="BG419" s="77"/>
      <c r="BH419" s="77"/>
      <c r="BI419" s="77"/>
    </row>
    <row r="420" spans="1:61" x14ac:dyDescent="0.25">
      <c r="A420" s="62" t="s">
        <v>315</v>
      </c>
      <c r="B420" s="62" t="s">
        <v>315</v>
      </c>
      <c r="C420" s="63"/>
      <c r="D420" s="64"/>
      <c r="E420" s="65"/>
      <c r="F420" s="66"/>
      <c r="G420" s="63"/>
      <c r="H420" s="67"/>
      <c r="I420" s="68"/>
      <c r="J420" s="68"/>
      <c r="K420" s="32"/>
      <c r="L420" s="75">
        <v>420</v>
      </c>
      <c r="M420" s="75"/>
      <c r="N420" s="70"/>
      <c r="O420" s="77" t="s">
        <v>179</v>
      </c>
      <c r="P420" s="79">
        <v>45162.157939814817</v>
      </c>
      <c r="Q420" s="77" t="s">
        <v>1218</v>
      </c>
      <c r="R420" s="77">
        <v>0</v>
      </c>
      <c r="S420" s="77">
        <v>1</v>
      </c>
      <c r="T420" s="77">
        <v>0</v>
      </c>
      <c r="U420" s="77">
        <v>0</v>
      </c>
      <c r="V420" s="77">
        <v>19</v>
      </c>
      <c r="W420" s="82" t="s">
        <v>5038</v>
      </c>
      <c r="X420" s="80" t="str">
        <f>HYPERLINK("https://pay.kiwify.com.br/7I99azV?afid=mc4UG0LU")</f>
        <v>https://pay.kiwify.com.br/7I99azV?afid=mc4UG0LU</v>
      </c>
      <c r="Y420" s="77" t="s">
        <v>7053</v>
      </c>
      <c r="Z420" s="77"/>
      <c r="AA420" s="77"/>
      <c r="AB420" s="77"/>
      <c r="AC420" s="82" t="s">
        <v>8232</v>
      </c>
      <c r="AD420" s="77" t="s">
        <v>8278</v>
      </c>
      <c r="AE420" s="80" t="str">
        <f>HYPERLINK("https://twitter.com/beyourscompany/status/1694556999239741712")</f>
        <v>https://twitter.com/beyourscompany/status/1694556999239741712</v>
      </c>
      <c r="AF420" s="79">
        <v>45162.157939814817</v>
      </c>
      <c r="AG420" s="85">
        <v>45162</v>
      </c>
      <c r="AH420" s="82" t="s">
        <v>8696</v>
      </c>
      <c r="AI420" s="77" t="b">
        <v>0</v>
      </c>
      <c r="AJ420" s="77"/>
      <c r="AK420" s="77"/>
      <c r="AL420" s="77"/>
      <c r="AM420" s="77"/>
      <c r="AN420" s="77"/>
      <c r="AO420" s="77"/>
      <c r="AP420" s="77"/>
      <c r="AQ420" s="77"/>
      <c r="AR420" s="77"/>
      <c r="AS420" s="77"/>
      <c r="AT420" s="77"/>
      <c r="AU420" s="77"/>
      <c r="AV420" s="80" t="str">
        <f>HYPERLINK("https://pbs.twimg.com/profile_images/1693798116053377024/cxGXWjJM_normal.png")</f>
        <v>https://pbs.twimg.com/profile_images/1693798116053377024/cxGXWjJM_normal.png</v>
      </c>
      <c r="AW420" s="82" t="s">
        <v>13522</v>
      </c>
      <c r="AX420" s="82" t="s">
        <v>13522</v>
      </c>
      <c r="AY420" s="77"/>
      <c r="AZ420" s="82" t="s">
        <v>17385</v>
      </c>
      <c r="BA420" s="82" t="s">
        <v>17385</v>
      </c>
      <c r="BB420" s="82" t="s">
        <v>17385</v>
      </c>
      <c r="BC420" s="82" t="s">
        <v>13522</v>
      </c>
      <c r="BD420" s="82" t="s">
        <v>17488</v>
      </c>
      <c r="BE420" s="77"/>
      <c r="BF420" s="77"/>
      <c r="BG420" s="77"/>
      <c r="BH420" s="77"/>
      <c r="BI420" s="77"/>
    </row>
    <row r="421" spans="1:61" x14ac:dyDescent="0.25">
      <c r="A421" s="62" t="s">
        <v>316</v>
      </c>
      <c r="B421" s="62" t="s">
        <v>316</v>
      </c>
      <c r="C421" s="63"/>
      <c r="D421" s="64"/>
      <c r="E421" s="65"/>
      <c r="F421" s="66"/>
      <c r="G421" s="63"/>
      <c r="H421" s="67"/>
      <c r="I421" s="68"/>
      <c r="J421" s="68"/>
      <c r="K421" s="32"/>
      <c r="L421" s="75">
        <v>421</v>
      </c>
      <c r="M421" s="75"/>
      <c r="N421" s="70"/>
      <c r="O421" s="77" t="s">
        <v>179</v>
      </c>
      <c r="P421" s="79">
        <v>45089.527430555558</v>
      </c>
      <c r="Q421" s="77" t="s">
        <v>1219</v>
      </c>
      <c r="R421" s="77">
        <v>0</v>
      </c>
      <c r="S421" s="77">
        <v>0</v>
      </c>
      <c r="T421" s="77">
        <v>0</v>
      </c>
      <c r="U421" s="77">
        <v>0</v>
      </c>
      <c r="V421" s="77">
        <v>28</v>
      </c>
      <c r="W421" s="82" t="s">
        <v>5039</v>
      </c>
      <c r="X421" s="77"/>
      <c r="Y421" s="77"/>
      <c r="Z421" s="77"/>
      <c r="AA421" s="77"/>
      <c r="AB421" s="77"/>
      <c r="AC421" s="82" t="s">
        <v>8232</v>
      </c>
      <c r="AD421" s="77" t="s">
        <v>8278</v>
      </c>
      <c r="AE421" s="80" t="str">
        <f>HYPERLINK("https://twitter.com/sonartrade/status/1668236583391174658")</f>
        <v>https://twitter.com/sonartrade/status/1668236583391174658</v>
      </c>
      <c r="AF421" s="79">
        <v>45089.527430555558</v>
      </c>
      <c r="AG421" s="85">
        <v>45089</v>
      </c>
      <c r="AH421" s="82" t="s">
        <v>8697</v>
      </c>
      <c r="AI421" s="77"/>
      <c r="AJ421" s="77"/>
      <c r="AK421" s="77"/>
      <c r="AL421" s="77"/>
      <c r="AM421" s="77"/>
      <c r="AN421" s="77"/>
      <c r="AO421" s="77"/>
      <c r="AP421" s="77"/>
      <c r="AQ421" s="77"/>
      <c r="AR421" s="77"/>
      <c r="AS421" s="77"/>
      <c r="AT421" s="77"/>
      <c r="AU421" s="77"/>
      <c r="AV421" s="80" t="str">
        <f>HYPERLINK("https://pbs.twimg.com/profile_images/1369748302854504453/ShpJasNI_normal.jpg")</f>
        <v>https://pbs.twimg.com/profile_images/1369748302854504453/ShpJasNI_normal.jpg</v>
      </c>
      <c r="AW421" s="82" t="s">
        <v>13523</v>
      </c>
      <c r="AX421" s="82" t="s">
        <v>13523</v>
      </c>
      <c r="AY421" s="77"/>
      <c r="AZ421" s="82" t="s">
        <v>17385</v>
      </c>
      <c r="BA421" s="82" t="s">
        <v>17385</v>
      </c>
      <c r="BB421" s="82" t="s">
        <v>17385</v>
      </c>
      <c r="BC421" s="82" t="s">
        <v>13523</v>
      </c>
      <c r="BD421" s="82" t="s">
        <v>17489</v>
      </c>
      <c r="BE421" s="77"/>
      <c r="BF421" s="77"/>
      <c r="BG421" s="77"/>
      <c r="BH421" s="77"/>
      <c r="BI421" s="77"/>
    </row>
    <row r="422" spans="1:61" x14ac:dyDescent="0.25">
      <c r="A422" s="62" t="s">
        <v>317</v>
      </c>
      <c r="B422" s="62" t="s">
        <v>317</v>
      </c>
      <c r="C422" s="63"/>
      <c r="D422" s="64"/>
      <c r="E422" s="65"/>
      <c r="F422" s="66"/>
      <c r="G422" s="63"/>
      <c r="H422" s="67"/>
      <c r="I422" s="68"/>
      <c r="J422" s="68"/>
      <c r="K422" s="32"/>
      <c r="L422" s="75">
        <v>422</v>
      </c>
      <c r="M422" s="75"/>
      <c r="N422" s="70"/>
      <c r="O422" s="77" t="s">
        <v>179</v>
      </c>
      <c r="P422" s="79">
        <v>45054.982685185183</v>
      </c>
      <c r="Q422" s="77" t="s">
        <v>1220</v>
      </c>
      <c r="R422" s="77">
        <v>0</v>
      </c>
      <c r="S422" s="77">
        <v>1</v>
      </c>
      <c r="T422" s="77">
        <v>0</v>
      </c>
      <c r="U422" s="77">
        <v>0</v>
      </c>
      <c r="V422" s="77">
        <v>128</v>
      </c>
      <c r="W422" s="82" t="s">
        <v>5040</v>
      </c>
      <c r="X422" s="77"/>
      <c r="Y422" s="77"/>
      <c r="Z422" s="77"/>
      <c r="AA422" s="77" t="s">
        <v>7489</v>
      </c>
      <c r="AB422" s="77" t="s">
        <v>8225</v>
      </c>
      <c r="AC422" s="82" t="s">
        <v>8233</v>
      </c>
      <c r="AD422" s="77" t="s">
        <v>8278</v>
      </c>
      <c r="AE422" s="80" t="str">
        <f>HYPERLINK("https://twitter.com/janningmiguel/status/1655717985024196608")</f>
        <v>https://twitter.com/janningmiguel/status/1655717985024196608</v>
      </c>
      <c r="AF422" s="79">
        <v>45054.982685185183</v>
      </c>
      <c r="AG422" s="85">
        <v>45054</v>
      </c>
      <c r="AH422" s="82" t="s">
        <v>8698</v>
      </c>
      <c r="AI422" s="77" t="b">
        <v>0</v>
      </c>
      <c r="AJ422" s="77"/>
      <c r="AK422" s="77"/>
      <c r="AL422" s="77"/>
      <c r="AM422" s="77"/>
      <c r="AN422" s="77"/>
      <c r="AO422" s="77"/>
      <c r="AP422" s="77"/>
      <c r="AQ422" s="77" t="s">
        <v>12374</v>
      </c>
      <c r="AR422" s="77"/>
      <c r="AS422" s="77"/>
      <c r="AT422" s="77"/>
      <c r="AU422" s="77"/>
      <c r="AV422" s="80" t="str">
        <f>HYPERLINK("https://pbs.twimg.com/media/FvpKuuFWYAEvraq.jpg")</f>
        <v>https://pbs.twimg.com/media/FvpKuuFWYAEvraq.jpg</v>
      </c>
      <c r="AW422" s="82" t="s">
        <v>13524</v>
      </c>
      <c r="AX422" s="82" t="s">
        <v>13524</v>
      </c>
      <c r="AY422" s="77"/>
      <c r="AZ422" s="82" t="s">
        <v>17385</v>
      </c>
      <c r="BA422" s="82" t="s">
        <v>17385</v>
      </c>
      <c r="BB422" s="82" t="s">
        <v>17385</v>
      </c>
      <c r="BC422" s="82" t="s">
        <v>13524</v>
      </c>
      <c r="BD422" s="82" t="s">
        <v>17490</v>
      </c>
      <c r="BE422" s="77"/>
      <c r="BF422" s="77"/>
      <c r="BG422" s="77"/>
      <c r="BH422" s="77"/>
      <c r="BI422" s="77"/>
    </row>
    <row r="423" spans="1:61" x14ac:dyDescent="0.25">
      <c r="A423" s="62" t="s">
        <v>318</v>
      </c>
      <c r="B423" s="62" t="s">
        <v>318</v>
      </c>
      <c r="C423" s="63"/>
      <c r="D423" s="64"/>
      <c r="E423" s="65"/>
      <c r="F423" s="66"/>
      <c r="G423" s="63"/>
      <c r="H423" s="67"/>
      <c r="I423" s="68"/>
      <c r="J423" s="68"/>
      <c r="K423" s="32"/>
      <c r="L423" s="75">
        <v>423</v>
      </c>
      <c r="M423" s="75"/>
      <c r="N423" s="70"/>
      <c r="O423" s="77" t="s">
        <v>800</v>
      </c>
      <c r="P423" s="79">
        <v>45055.878078703703</v>
      </c>
      <c r="Q423" s="77" t="s">
        <v>1221</v>
      </c>
      <c r="R423" s="77">
        <v>0</v>
      </c>
      <c r="S423" s="77">
        <v>3</v>
      </c>
      <c r="T423" s="77">
        <v>1</v>
      </c>
      <c r="U423" s="77">
        <v>0</v>
      </c>
      <c r="V423" s="77">
        <v>37</v>
      </c>
      <c r="W423" s="82" t="s">
        <v>4835</v>
      </c>
      <c r="X423" s="77"/>
      <c r="Y423" s="77"/>
      <c r="Z423" s="77"/>
      <c r="AA423" s="77"/>
      <c r="AB423" s="77"/>
      <c r="AC423" s="82" t="s">
        <v>8232</v>
      </c>
      <c r="AD423" s="77" t="s">
        <v>8278</v>
      </c>
      <c r="AE423" s="80" t="str">
        <f>HYPERLINK("https://twitter.com/eduardo_garufi/status/1656042467727138816")</f>
        <v>https://twitter.com/eduardo_garufi/status/1656042467727138816</v>
      </c>
      <c r="AF423" s="79">
        <v>45055.878078703703</v>
      </c>
      <c r="AG423" s="85">
        <v>45055</v>
      </c>
      <c r="AH423" s="82" t="s">
        <v>8699</v>
      </c>
      <c r="AI423" s="77"/>
      <c r="AJ423" s="77"/>
      <c r="AK423" s="77"/>
      <c r="AL423" s="77"/>
      <c r="AM423" s="77"/>
      <c r="AN423" s="77"/>
      <c r="AO423" s="77"/>
      <c r="AP423" s="77"/>
      <c r="AQ423" s="77"/>
      <c r="AR423" s="77"/>
      <c r="AS423" s="77"/>
      <c r="AT423" s="77"/>
      <c r="AU423" s="77"/>
      <c r="AV423" s="80" t="str">
        <f>HYPERLINK("https://pbs.twimg.com/profile_images/1679209222507053056/x4xiqfDI_normal.jpg")</f>
        <v>https://pbs.twimg.com/profile_images/1679209222507053056/x4xiqfDI_normal.jpg</v>
      </c>
      <c r="AW423" s="82" t="s">
        <v>13525</v>
      </c>
      <c r="AX423" s="82" t="s">
        <v>17153</v>
      </c>
      <c r="AY423" s="82" t="s">
        <v>17327</v>
      </c>
      <c r="AZ423" s="82" t="s">
        <v>17153</v>
      </c>
      <c r="BA423" s="82" t="s">
        <v>17385</v>
      </c>
      <c r="BB423" s="82" t="s">
        <v>17385</v>
      </c>
      <c r="BC423" s="82" t="s">
        <v>17153</v>
      </c>
      <c r="BD423" s="77">
        <v>86519869</v>
      </c>
      <c r="BE423" s="77"/>
      <c r="BF423" s="77"/>
      <c r="BG423" s="77"/>
      <c r="BH423" s="77"/>
      <c r="BI423" s="77"/>
    </row>
    <row r="424" spans="1:61" x14ac:dyDescent="0.25">
      <c r="A424" s="62" t="s">
        <v>319</v>
      </c>
      <c r="B424" s="62" t="s">
        <v>319</v>
      </c>
      <c r="C424" s="63"/>
      <c r="D424" s="64"/>
      <c r="E424" s="65"/>
      <c r="F424" s="66"/>
      <c r="G424" s="63"/>
      <c r="H424" s="67"/>
      <c r="I424" s="68"/>
      <c r="J424" s="68"/>
      <c r="K424" s="32"/>
      <c r="L424" s="75">
        <v>424</v>
      </c>
      <c r="M424" s="75"/>
      <c r="N424" s="70"/>
      <c r="O424" s="77" t="s">
        <v>179</v>
      </c>
      <c r="P424" s="79">
        <v>45119.506053240744</v>
      </c>
      <c r="Q424" s="77" t="s">
        <v>1222</v>
      </c>
      <c r="R424" s="77">
        <v>0</v>
      </c>
      <c r="S424" s="77">
        <v>0</v>
      </c>
      <c r="T424" s="77">
        <v>0</v>
      </c>
      <c r="U424" s="77">
        <v>0</v>
      </c>
      <c r="V424" s="77">
        <v>10</v>
      </c>
      <c r="W424" s="82" t="s">
        <v>5041</v>
      </c>
      <c r="X424" s="80" t="str">
        <f>HYPERLINK("http://wix.to/jMQ7AeS")</f>
        <v>http://wix.to/jMQ7AeS</v>
      </c>
      <c r="Y424" s="77" t="s">
        <v>7080</v>
      </c>
      <c r="Z424" s="77"/>
      <c r="AA424" s="77"/>
      <c r="AB424" s="77"/>
      <c r="AC424" s="82" t="s">
        <v>8251</v>
      </c>
      <c r="AD424" s="77" t="s">
        <v>8278</v>
      </c>
      <c r="AE424" s="80" t="str">
        <f>HYPERLINK("https://twitter.com/izzinvest/status/1679100471829753861")</f>
        <v>https://twitter.com/izzinvest/status/1679100471829753861</v>
      </c>
      <c r="AF424" s="79">
        <v>45119.506053240744</v>
      </c>
      <c r="AG424" s="85">
        <v>45119</v>
      </c>
      <c r="AH424" s="82" t="s">
        <v>8700</v>
      </c>
      <c r="AI424" s="77" t="b">
        <v>0</v>
      </c>
      <c r="AJ424" s="77"/>
      <c r="AK424" s="77"/>
      <c r="AL424" s="77"/>
      <c r="AM424" s="77"/>
      <c r="AN424" s="77"/>
      <c r="AO424" s="77"/>
      <c r="AP424" s="77"/>
      <c r="AQ424" s="77"/>
      <c r="AR424" s="77"/>
      <c r="AS424" s="77"/>
      <c r="AT424" s="77"/>
      <c r="AU424" s="77"/>
      <c r="AV424" s="80" t="str">
        <f>HYPERLINK("https://pbs.twimg.com/profile_images/1531432052767309824/ZIroamAA_normal.jpg")</f>
        <v>https://pbs.twimg.com/profile_images/1531432052767309824/ZIroamAA_normal.jpg</v>
      </c>
      <c r="AW424" s="82" t="s">
        <v>13526</v>
      </c>
      <c r="AX424" s="82" t="s">
        <v>13526</v>
      </c>
      <c r="AY424" s="77"/>
      <c r="AZ424" s="82" t="s">
        <v>17385</v>
      </c>
      <c r="BA424" s="82" t="s">
        <v>17385</v>
      </c>
      <c r="BB424" s="82" t="s">
        <v>17385</v>
      </c>
      <c r="BC424" s="82" t="s">
        <v>13526</v>
      </c>
      <c r="BD424" s="82" t="s">
        <v>17491</v>
      </c>
      <c r="BE424" s="77"/>
      <c r="BF424" s="77"/>
      <c r="BG424" s="77"/>
      <c r="BH424" s="77"/>
      <c r="BI424" s="77"/>
    </row>
    <row r="425" spans="1:61" x14ac:dyDescent="0.25">
      <c r="A425" s="62" t="s">
        <v>319</v>
      </c>
      <c r="B425" s="62" t="s">
        <v>319</v>
      </c>
      <c r="C425" s="63"/>
      <c r="D425" s="64"/>
      <c r="E425" s="65"/>
      <c r="F425" s="66"/>
      <c r="G425" s="63"/>
      <c r="H425" s="67"/>
      <c r="I425" s="68"/>
      <c r="J425" s="68"/>
      <c r="K425" s="32"/>
      <c r="L425" s="75">
        <v>425</v>
      </c>
      <c r="M425" s="75"/>
      <c r="N425" s="70"/>
      <c r="O425" s="77" t="s">
        <v>179</v>
      </c>
      <c r="P425" s="79">
        <v>45173.508136574077</v>
      </c>
      <c r="Q425" s="77" t="s">
        <v>1223</v>
      </c>
      <c r="R425" s="77">
        <v>0</v>
      </c>
      <c r="S425" s="77">
        <v>0</v>
      </c>
      <c r="T425" s="77">
        <v>0</v>
      </c>
      <c r="U425" s="77">
        <v>0</v>
      </c>
      <c r="V425" s="77">
        <v>10</v>
      </c>
      <c r="W425" s="82" t="s">
        <v>5042</v>
      </c>
      <c r="X425" s="80" t="str">
        <f>HYPERLINK("http://wix.to/KNwUffP")</f>
        <v>http://wix.to/KNwUffP</v>
      </c>
      <c r="Y425" s="77" t="s">
        <v>7080</v>
      </c>
      <c r="Z425" s="77"/>
      <c r="AA425" s="77"/>
      <c r="AB425" s="77"/>
      <c r="AC425" s="82" t="s">
        <v>8251</v>
      </c>
      <c r="AD425" s="77" t="s">
        <v>8278</v>
      </c>
      <c r="AE425" s="80" t="str">
        <f>HYPERLINK("https://twitter.com/izzinvest/status/1698670173417582962")</f>
        <v>https://twitter.com/izzinvest/status/1698670173417582962</v>
      </c>
      <c r="AF425" s="79">
        <v>45173.508136574077</v>
      </c>
      <c r="AG425" s="85">
        <v>45173</v>
      </c>
      <c r="AH425" s="82" t="s">
        <v>8701</v>
      </c>
      <c r="AI425" s="77" t="b">
        <v>0</v>
      </c>
      <c r="AJ425" s="77"/>
      <c r="AK425" s="77"/>
      <c r="AL425" s="77"/>
      <c r="AM425" s="77"/>
      <c r="AN425" s="77"/>
      <c r="AO425" s="77"/>
      <c r="AP425" s="77"/>
      <c r="AQ425" s="77"/>
      <c r="AR425" s="77"/>
      <c r="AS425" s="77"/>
      <c r="AT425" s="77"/>
      <c r="AU425" s="77"/>
      <c r="AV425" s="80" t="str">
        <f>HYPERLINK("https://pbs.twimg.com/profile_images/1531432052767309824/ZIroamAA_normal.jpg")</f>
        <v>https://pbs.twimg.com/profile_images/1531432052767309824/ZIroamAA_normal.jpg</v>
      </c>
      <c r="AW425" s="82" t="s">
        <v>13527</v>
      </c>
      <c r="AX425" s="82" t="s">
        <v>13527</v>
      </c>
      <c r="AY425" s="77"/>
      <c r="AZ425" s="82" t="s">
        <v>17385</v>
      </c>
      <c r="BA425" s="82" t="s">
        <v>17385</v>
      </c>
      <c r="BB425" s="82" t="s">
        <v>17385</v>
      </c>
      <c r="BC425" s="82" t="s">
        <v>13527</v>
      </c>
      <c r="BD425" s="82" t="s">
        <v>17491</v>
      </c>
      <c r="BE425" s="77"/>
      <c r="BF425" s="77"/>
      <c r="BG425" s="77"/>
      <c r="BH425" s="77"/>
      <c r="BI425" s="77"/>
    </row>
    <row r="426" spans="1:61" x14ac:dyDescent="0.25">
      <c r="A426" s="62" t="s">
        <v>320</v>
      </c>
      <c r="B426" s="62" t="s">
        <v>320</v>
      </c>
      <c r="C426" s="63"/>
      <c r="D426" s="64"/>
      <c r="E426" s="65"/>
      <c r="F426" s="66"/>
      <c r="G426" s="63"/>
      <c r="H426" s="67"/>
      <c r="I426" s="68"/>
      <c r="J426" s="68"/>
      <c r="K426" s="32"/>
      <c r="L426" s="75">
        <v>426</v>
      </c>
      <c r="M426" s="75"/>
      <c r="N426" s="70"/>
      <c r="O426" s="77" t="s">
        <v>179</v>
      </c>
      <c r="P426" s="79">
        <v>45058.762673611112</v>
      </c>
      <c r="Q426" s="77" t="s">
        <v>1224</v>
      </c>
      <c r="R426" s="77">
        <v>0</v>
      </c>
      <c r="S426" s="77">
        <v>0</v>
      </c>
      <c r="T426" s="77">
        <v>0</v>
      </c>
      <c r="U426" s="77">
        <v>0</v>
      </c>
      <c r="V426" s="77">
        <v>34</v>
      </c>
      <c r="W426" s="82" t="s">
        <v>5043</v>
      </c>
      <c r="X426" s="80" t="str">
        <f>HYPERLINK("https://draft.blogger.com/blog/post/edit/7062850918077721588/2708310875069702295")</f>
        <v>https://draft.blogger.com/blog/post/edit/7062850918077721588/2708310875069702295</v>
      </c>
      <c r="Y426" s="77" t="s">
        <v>7081</v>
      </c>
      <c r="Z426" s="77"/>
      <c r="AA426" s="77" t="s">
        <v>7490</v>
      </c>
      <c r="AB426" s="77" t="s">
        <v>8225</v>
      </c>
      <c r="AC426" s="82" t="s">
        <v>8232</v>
      </c>
      <c r="AD426" s="77" t="s">
        <v>8278</v>
      </c>
      <c r="AE426" s="80" t="str">
        <f>HYPERLINK("https://twitter.com/andreluiztorr11/status/1657087809054728193")</f>
        <v>https://twitter.com/andreluiztorr11/status/1657087809054728193</v>
      </c>
      <c r="AF426" s="79">
        <v>45058.762673611112</v>
      </c>
      <c r="AG426" s="85">
        <v>45058</v>
      </c>
      <c r="AH426" s="82" t="s">
        <v>8702</v>
      </c>
      <c r="AI426" s="77" t="b">
        <v>0</v>
      </c>
      <c r="AJ426" s="77"/>
      <c r="AK426" s="77"/>
      <c r="AL426" s="77"/>
      <c r="AM426" s="77"/>
      <c r="AN426" s="77"/>
      <c r="AO426" s="77"/>
      <c r="AP426" s="77"/>
      <c r="AQ426" s="77" t="s">
        <v>12375</v>
      </c>
      <c r="AR426" s="77"/>
      <c r="AS426" s="77"/>
      <c r="AT426" s="77"/>
      <c r="AU426" s="77"/>
      <c r="AV426" s="80" t="str">
        <f>HYPERLINK("https://pbs.twimg.com/media/Fv8ojRqWwAQvoOA.jpg")</f>
        <v>https://pbs.twimg.com/media/Fv8ojRqWwAQvoOA.jpg</v>
      </c>
      <c r="AW426" s="82" t="s">
        <v>13528</v>
      </c>
      <c r="AX426" s="82" t="s">
        <v>13528</v>
      </c>
      <c r="AY426" s="77"/>
      <c r="AZ426" s="82" t="s">
        <v>17385</v>
      </c>
      <c r="BA426" s="82" t="s">
        <v>17385</v>
      </c>
      <c r="BB426" s="82" t="s">
        <v>17385</v>
      </c>
      <c r="BC426" s="82" t="s">
        <v>13528</v>
      </c>
      <c r="BD426" s="82" t="s">
        <v>17492</v>
      </c>
      <c r="BE426" s="77"/>
      <c r="BF426" s="77"/>
      <c r="BG426" s="77"/>
      <c r="BH426" s="77"/>
      <c r="BI426" s="77"/>
    </row>
    <row r="427" spans="1:61" x14ac:dyDescent="0.25">
      <c r="A427" s="62" t="s">
        <v>321</v>
      </c>
      <c r="B427" s="62" t="s">
        <v>321</v>
      </c>
      <c r="C427" s="63"/>
      <c r="D427" s="64"/>
      <c r="E427" s="65"/>
      <c r="F427" s="66"/>
      <c r="G427" s="63"/>
      <c r="H427" s="67"/>
      <c r="I427" s="68"/>
      <c r="J427" s="68"/>
      <c r="K427" s="32"/>
      <c r="L427" s="75">
        <v>427</v>
      </c>
      <c r="M427" s="75"/>
      <c r="N427" s="70"/>
      <c r="O427" s="77" t="s">
        <v>179</v>
      </c>
      <c r="P427" s="79">
        <v>45158.872916666667</v>
      </c>
      <c r="Q427" s="77" t="s">
        <v>1225</v>
      </c>
      <c r="R427" s="77">
        <v>0</v>
      </c>
      <c r="S427" s="77">
        <v>0</v>
      </c>
      <c r="T427" s="77">
        <v>0</v>
      </c>
      <c r="U427" s="77">
        <v>0</v>
      </c>
      <c r="V427" s="77">
        <v>11</v>
      </c>
      <c r="W427" s="82" t="s">
        <v>4835</v>
      </c>
      <c r="X427" s="80" t="str">
        <f>HYPERLINK("https://buff.ly/3P1p49t")</f>
        <v>https://buff.ly/3P1p49t</v>
      </c>
      <c r="Y427" s="77" t="s">
        <v>7082</v>
      </c>
      <c r="Z427" s="77"/>
      <c r="AA427" s="77"/>
      <c r="AB427" s="77"/>
      <c r="AC427" s="82" t="s">
        <v>8252</v>
      </c>
      <c r="AD427" s="77" t="s">
        <v>8278</v>
      </c>
      <c r="AE427" s="80" t="str">
        <f>HYPERLINK("https://twitter.com/freeclassific/status/1693366547283120144")</f>
        <v>https://twitter.com/freeclassific/status/1693366547283120144</v>
      </c>
      <c r="AF427" s="79">
        <v>45158.872916666667</v>
      </c>
      <c r="AG427" s="85">
        <v>45158</v>
      </c>
      <c r="AH427" s="82" t="s">
        <v>8703</v>
      </c>
      <c r="AI427" s="77" t="b">
        <v>0</v>
      </c>
      <c r="AJ427" s="77"/>
      <c r="AK427" s="77"/>
      <c r="AL427" s="77"/>
      <c r="AM427" s="77"/>
      <c r="AN427" s="77"/>
      <c r="AO427" s="77"/>
      <c r="AP427" s="77"/>
      <c r="AQ427" s="77"/>
      <c r="AR427" s="77"/>
      <c r="AS427" s="77"/>
      <c r="AT427" s="77"/>
      <c r="AU427" s="77"/>
      <c r="AV427" s="80" t="str">
        <f>HYPERLINK("https://pbs.twimg.com/profile_images/1431648743728852993/tLJ7F5Lu_normal.png")</f>
        <v>https://pbs.twimg.com/profile_images/1431648743728852993/tLJ7F5Lu_normal.png</v>
      </c>
      <c r="AW427" s="82" t="s">
        <v>13529</v>
      </c>
      <c r="AX427" s="82" t="s">
        <v>13529</v>
      </c>
      <c r="AY427" s="77"/>
      <c r="AZ427" s="82" t="s">
        <v>17385</v>
      </c>
      <c r="BA427" s="82" t="s">
        <v>17385</v>
      </c>
      <c r="BB427" s="82" t="s">
        <v>17385</v>
      </c>
      <c r="BC427" s="82" t="s">
        <v>13529</v>
      </c>
      <c r="BD427" s="77">
        <v>489723814</v>
      </c>
      <c r="BE427" s="77"/>
      <c r="BF427" s="77"/>
      <c r="BG427" s="77"/>
      <c r="BH427" s="77"/>
      <c r="BI427" s="77"/>
    </row>
    <row r="428" spans="1:61" x14ac:dyDescent="0.25">
      <c r="A428" s="62" t="s">
        <v>321</v>
      </c>
      <c r="B428" s="62" t="s">
        <v>321</v>
      </c>
      <c r="C428" s="63"/>
      <c r="D428" s="64"/>
      <c r="E428" s="65"/>
      <c r="F428" s="66"/>
      <c r="G428" s="63"/>
      <c r="H428" s="67"/>
      <c r="I428" s="68"/>
      <c r="J428" s="68"/>
      <c r="K428" s="32"/>
      <c r="L428" s="75">
        <v>428</v>
      </c>
      <c r="M428" s="75"/>
      <c r="N428" s="70"/>
      <c r="O428" s="77" t="s">
        <v>179</v>
      </c>
      <c r="P428" s="79">
        <v>45158.51458333333</v>
      </c>
      <c r="Q428" s="77" t="s">
        <v>1226</v>
      </c>
      <c r="R428" s="77">
        <v>0</v>
      </c>
      <c r="S428" s="77">
        <v>0</v>
      </c>
      <c r="T428" s="77">
        <v>0</v>
      </c>
      <c r="U428" s="77">
        <v>0</v>
      </c>
      <c r="V428" s="77">
        <v>7</v>
      </c>
      <c r="W428" s="82" t="s">
        <v>4835</v>
      </c>
      <c r="X428" s="80" t="str">
        <f>HYPERLINK("https://buff.ly/44mR2kM")</f>
        <v>https://buff.ly/44mR2kM</v>
      </c>
      <c r="Y428" s="77" t="s">
        <v>7082</v>
      </c>
      <c r="Z428" s="77"/>
      <c r="AA428" s="77"/>
      <c r="AB428" s="77"/>
      <c r="AC428" s="82" t="s">
        <v>8252</v>
      </c>
      <c r="AD428" s="77" t="s">
        <v>8278</v>
      </c>
      <c r="AE428" s="80" t="str">
        <f>HYPERLINK("https://twitter.com/freeclassific/status/1693236691211796735")</f>
        <v>https://twitter.com/freeclassific/status/1693236691211796735</v>
      </c>
      <c r="AF428" s="79">
        <v>45158.51458333333</v>
      </c>
      <c r="AG428" s="85">
        <v>45158</v>
      </c>
      <c r="AH428" s="82" t="s">
        <v>8704</v>
      </c>
      <c r="AI428" s="77" t="b">
        <v>0</v>
      </c>
      <c r="AJ428" s="77"/>
      <c r="AK428" s="77"/>
      <c r="AL428" s="77"/>
      <c r="AM428" s="77"/>
      <c r="AN428" s="77"/>
      <c r="AO428" s="77"/>
      <c r="AP428" s="77"/>
      <c r="AQ428" s="77"/>
      <c r="AR428" s="77"/>
      <c r="AS428" s="77"/>
      <c r="AT428" s="77"/>
      <c r="AU428" s="77"/>
      <c r="AV428" s="80" t="str">
        <f>HYPERLINK("https://pbs.twimg.com/profile_images/1431648743728852993/tLJ7F5Lu_normal.png")</f>
        <v>https://pbs.twimg.com/profile_images/1431648743728852993/tLJ7F5Lu_normal.png</v>
      </c>
      <c r="AW428" s="82" t="s">
        <v>13530</v>
      </c>
      <c r="AX428" s="82" t="s">
        <v>13530</v>
      </c>
      <c r="AY428" s="77"/>
      <c r="AZ428" s="82" t="s">
        <v>17385</v>
      </c>
      <c r="BA428" s="82" t="s">
        <v>17385</v>
      </c>
      <c r="BB428" s="82" t="s">
        <v>17385</v>
      </c>
      <c r="BC428" s="82" t="s">
        <v>13530</v>
      </c>
      <c r="BD428" s="77">
        <v>489723814</v>
      </c>
      <c r="BE428" s="77"/>
      <c r="BF428" s="77"/>
      <c r="BG428" s="77"/>
      <c r="BH428" s="77"/>
      <c r="BI428" s="77"/>
    </row>
    <row r="429" spans="1:61" x14ac:dyDescent="0.25">
      <c r="A429" s="62" t="s">
        <v>321</v>
      </c>
      <c r="B429" s="62" t="s">
        <v>321</v>
      </c>
      <c r="C429" s="63"/>
      <c r="D429" s="64"/>
      <c r="E429" s="65"/>
      <c r="F429" s="66"/>
      <c r="G429" s="63"/>
      <c r="H429" s="67"/>
      <c r="I429" s="68"/>
      <c r="J429" s="68"/>
      <c r="K429" s="32"/>
      <c r="L429" s="75">
        <v>429</v>
      </c>
      <c r="M429" s="75"/>
      <c r="N429" s="70"/>
      <c r="O429" s="77" t="s">
        <v>179</v>
      </c>
      <c r="P429" s="79">
        <v>45148.722916666666</v>
      </c>
      <c r="Q429" s="77" t="s">
        <v>1227</v>
      </c>
      <c r="R429" s="77">
        <v>0</v>
      </c>
      <c r="S429" s="77">
        <v>0</v>
      </c>
      <c r="T429" s="77">
        <v>0</v>
      </c>
      <c r="U429" s="77">
        <v>0</v>
      </c>
      <c r="V429" s="77">
        <v>7</v>
      </c>
      <c r="W429" s="82" t="s">
        <v>4835</v>
      </c>
      <c r="X429" s="80" t="str">
        <f>HYPERLINK("https://buff.ly/3KwziMy")</f>
        <v>https://buff.ly/3KwziMy</v>
      </c>
      <c r="Y429" s="77" t="s">
        <v>7082</v>
      </c>
      <c r="Z429" s="77"/>
      <c r="AA429" s="77"/>
      <c r="AB429" s="77"/>
      <c r="AC429" s="82" t="s">
        <v>8252</v>
      </c>
      <c r="AD429" s="77" t="s">
        <v>8278</v>
      </c>
      <c r="AE429" s="80" t="str">
        <f>HYPERLINK("https://twitter.com/freeclassific/status/1689688308559802392")</f>
        <v>https://twitter.com/freeclassific/status/1689688308559802392</v>
      </c>
      <c r="AF429" s="79">
        <v>45148.722916666666</v>
      </c>
      <c r="AG429" s="85">
        <v>45148</v>
      </c>
      <c r="AH429" s="82" t="s">
        <v>8705</v>
      </c>
      <c r="AI429" s="77" t="b">
        <v>0</v>
      </c>
      <c r="AJ429" s="77"/>
      <c r="AK429" s="77"/>
      <c r="AL429" s="77"/>
      <c r="AM429" s="77"/>
      <c r="AN429" s="77"/>
      <c r="AO429" s="77"/>
      <c r="AP429" s="77"/>
      <c r="AQ429" s="77"/>
      <c r="AR429" s="77"/>
      <c r="AS429" s="77"/>
      <c r="AT429" s="77"/>
      <c r="AU429" s="77"/>
      <c r="AV429" s="80" t="str">
        <f>HYPERLINK("https://pbs.twimg.com/profile_images/1431648743728852993/tLJ7F5Lu_normal.png")</f>
        <v>https://pbs.twimg.com/profile_images/1431648743728852993/tLJ7F5Lu_normal.png</v>
      </c>
      <c r="AW429" s="82" t="s">
        <v>13531</v>
      </c>
      <c r="AX429" s="82" t="s">
        <v>13531</v>
      </c>
      <c r="AY429" s="77"/>
      <c r="AZ429" s="82" t="s">
        <v>17385</v>
      </c>
      <c r="BA429" s="82" t="s">
        <v>17385</v>
      </c>
      <c r="BB429" s="82" t="s">
        <v>17385</v>
      </c>
      <c r="BC429" s="82" t="s">
        <v>13531</v>
      </c>
      <c r="BD429" s="77">
        <v>489723814</v>
      </c>
      <c r="BE429" s="77"/>
      <c r="BF429" s="77"/>
      <c r="BG429" s="77"/>
      <c r="BH429" s="77"/>
      <c r="BI429" s="77"/>
    </row>
    <row r="430" spans="1:61" x14ac:dyDescent="0.25">
      <c r="A430" s="62" t="s">
        <v>321</v>
      </c>
      <c r="B430" s="62" t="s">
        <v>321</v>
      </c>
      <c r="C430" s="63"/>
      <c r="D430" s="64"/>
      <c r="E430" s="65"/>
      <c r="F430" s="66"/>
      <c r="G430" s="63"/>
      <c r="H430" s="67"/>
      <c r="I430" s="68"/>
      <c r="J430" s="68"/>
      <c r="K430" s="32"/>
      <c r="L430" s="75">
        <v>430</v>
      </c>
      <c r="M430" s="75"/>
      <c r="N430" s="70"/>
      <c r="O430" s="77" t="s">
        <v>179</v>
      </c>
      <c r="P430" s="79">
        <v>45183.722916666666</v>
      </c>
      <c r="Q430" s="77" t="s">
        <v>1228</v>
      </c>
      <c r="R430" s="77">
        <v>0</v>
      </c>
      <c r="S430" s="77">
        <v>0</v>
      </c>
      <c r="T430" s="77">
        <v>0</v>
      </c>
      <c r="U430" s="77">
        <v>0</v>
      </c>
      <c r="V430" s="77">
        <v>5</v>
      </c>
      <c r="W430" s="82" t="s">
        <v>4835</v>
      </c>
      <c r="X430" s="80" t="str">
        <f>HYPERLINK("https://buff.ly/3ZtvtOF")</f>
        <v>https://buff.ly/3ZtvtOF</v>
      </c>
      <c r="Y430" s="77" t="s">
        <v>7082</v>
      </c>
      <c r="Z430" s="77"/>
      <c r="AA430" s="77"/>
      <c r="AB430" s="77"/>
      <c r="AC430" s="82" t="s">
        <v>8252</v>
      </c>
      <c r="AD430" s="77" t="s">
        <v>8278</v>
      </c>
      <c r="AE430" s="80" t="str">
        <f>HYPERLINK("https://twitter.com/freeclassific/status/1702371884556324991")</f>
        <v>https://twitter.com/freeclassific/status/1702371884556324991</v>
      </c>
      <c r="AF430" s="79">
        <v>45183.722916666666</v>
      </c>
      <c r="AG430" s="85">
        <v>45183</v>
      </c>
      <c r="AH430" s="82" t="s">
        <v>8705</v>
      </c>
      <c r="AI430" s="77" t="b">
        <v>0</v>
      </c>
      <c r="AJ430" s="77"/>
      <c r="AK430" s="77"/>
      <c r="AL430" s="77"/>
      <c r="AM430" s="77"/>
      <c r="AN430" s="77"/>
      <c r="AO430" s="77"/>
      <c r="AP430" s="77"/>
      <c r="AQ430" s="77"/>
      <c r="AR430" s="77"/>
      <c r="AS430" s="77"/>
      <c r="AT430" s="77"/>
      <c r="AU430" s="77"/>
      <c r="AV430" s="80" t="str">
        <f>HYPERLINK("https://pbs.twimg.com/profile_images/1431648743728852993/tLJ7F5Lu_normal.png")</f>
        <v>https://pbs.twimg.com/profile_images/1431648743728852993/tLJ7F5Lu_normal.png</v>
      </c>
      <c r="AW430" s="82" t="s">
        <v>13532</v>
      </c>
      <c r="AX430" s="82" t="s">
        <v>13532</v>
      </c>
      <c r="AY430" s="77"/>
      <c r="AZ430" s="82" t="s">
        <v>17385</v>
      </c>
      <c r="BA430" s="82" t="s">
        <v>17385</v>
      </c>
      <c r="BB430" s="82" t="s">
        <v>17385</v>
      </c>
      <c r="BC430" s="82" t="s">
        <v>13532</v>
      </c>
      <c r="BD430" s="77">
        <v>489723814</v>
      </c>
      <c r="BE430" s="77"/>
      <c r="BF430" s="77"/>
      <c r="BG430" s="77"/>
      <c r="BH430" s="77"/>
      <c r="BI430" s="77"/>
    </row>
    <row r="431" spans="1:61" x14ac:dyDescent="0.25">
      <c r="A431" s="62" t="s">
        <v>321</v>
      </c>
      <c r="B431" s="62" t="s">
        <v>321</v>
      </c>
      <c r="C431" s="63"/>
      <c r="D431" s="64"/>
      <c r="E431" s="65"/>
      <c r="F431" s="66"/>
      <c r="G431" s="63"/>
      <c r="H431" s="67"/>
      <c r="I431" s="68"/>
      <c r="J431" s="68"/>
      <c r="K431" s="32"/>
      <c r="L431" s="75">
        <v>431</v>
      </c>
      <c r="M431" s="75"/>
      <c r="N431" s="70"/>
      <c r="O431" s="77" t="s">
        <v>179</v>
      </c>
      <c r="P431" s="79">
        <v>45181.968055555553</v>
      </c>
      <c r="Q431" s="77" t="s">
        <v>1229</v>
      </c>
      <c r="R431" s="77">
        <v>0</v>
      </c>
      <c r="S431" s="77">
        <v>0</v>
      </c>
      <c r="T431" s="77">
        <v>0</v>
      </c>
      <c r="U431" s="77">
        <v>0</v>
      </c>
      <c r="V431" s="77">
        <v>9</v>
      </c>
      <c r="W431" s="82" t="s">
        <v>4835</v>
      </c>
      <c r="X431" s="80" t="str">
        <f>HYPERLINK("https://buff.ly/3EAtoGI")</f>
        <v>https://buff.ly/3EAtoGI</v>
      </c>
      <c r="Y431" s="77" t="s">
        <v>7082</v>
      </c>
      <c r="Z431" s="77"/>
      <c r="AA431" s="77"/>
      <c r="AB431" s="77"/>
      <c r="AC431" s="82" t="s">
        <v>8252</v>
      </c>
      <c r="AD431" s="77" t="s">
        <v>8278</v>
      </c>
      <c r="AE431" s="80" t="str">
        <f>HYPERLINK("https://twitter.com/freeclassific/status/1701735943424585823")</f>
        <v>https://twitter.com/freeclassific/status/1701735943424585823</v>
      </c>
      <c r="AF431" s="79">
        <v>45181.968055555553</v>
      </c>
      <c r="AG431" s="85">
        <v>45181</v>
      </c>
      <c r="AH431" s="82" t="s">
        <v>8706</v>
      </c>
      <c r="AI431" s="77" t="b">
        <v>0</v>
      </c>
      <c r="AJ431" s="77"/>
      <c r="AK431" s="77"/>
      <c r="AL431" s="77"/>
      <c r="AM431" s="77"/>
      <c r="AN431" s="77"/>
      <c r="AO431" s="77"/>
      <c r="AP431" s="77"/>
      <c r="AQ431" s="77"/>
      <c r="AR431" s="77"/>
      <c r="AS431" s="77"/>
      <c r="AT431" s="77"/>
      <c r="AU431" s="77"/>
      <c r="AV431" s="80" t="str">
        <f>HYPERLINK("https://pbs.twimg.com/profile_images/1431648743728852993/tLJ7F5Lu_normal.png")</f>
        <v>https://pbs.twimg.com/profile_images/1431648743728852993/tLJ7F5Lu_normal.png</v>
      </c>
      <c r="AW431" s="82" t="s">
        <v>13533</v>
      </c>
      <c r="AX431" s="82" t="s">
        <v>13533</v>
      </c>
      <c r="AY431" s="77"/>
      <c r="AZ431" s="82" t="s">
        <v>17385</v>
      </c>
      <c r="BA431" s="82" t="s">
        <v>17385</v>
      </c>
      <c r="BB431" s="82" t="s">
        <v>17385</v>
      </c>
      <c r="BC431" s="82" t="s">
        <v>13533</v>
      </c>
      <c r="BD431" s="77">
        <v>489723814</v>
      </c>
      <c r="BE431" s="77"/>
      <c r="BF431" s="77"/>
      <c r="BG431" s="77"/>
      <c r="BH431" s="77"/>
      <c r="BI431" s="77"/>
    </row>
    <row r="432" spans="1:61" x14ac:dyDescent="0.25">
      <c r="A432" s="62" t="s">
        <v>321</v>
      </c>
      <c r="B432" s="62" t="s">
        <v>321</v>
      </c>
      <c r="C432" s="63"/>
      <c r="D432" s="64"/>
      <c r="E432" s="65"/>
      <c r="F432" s="66"/>
      <c r="G432" s="63"/>
      <c r="H432" s="67"/>
      <c r="I432" s="68"/>
      <c r="J432" s="68"/>
      <c r="K432" s="32"/>
      <c r="L432" s="75">
        <v>432</v>
      </c>
      <c r="M432" s="75"/>
      <c r="N432" s="70"/>
      <c r="O432" s="77" t="s">
        <v>179</v>
      </c>
      <c r="P432" s="79">
        <v>45179.968055555553</v>
      </c>
      <c r="Q432" s="77" t="s">
        <v>1230</v>
      </c>
      <c r="R432" s="77">
        <v>0</v>
      </c>
      <c r="S432" s="77">
        <v>0</v>
      </c>
      <c r="T432" s="77">
        <v>0</v>
      </c>
      <c r="U432" s="77">
        <v>0</v>
      </c>
      <c r="V432" s="77">
        <v>12</v>
      </c>
      <c r="W432" s="82" t="s">
        <v>4835</v>
      </c>
      <c r="X432" s="80" t="str">
        <f>HYPERLINK("https://buff.ly/3P3hzxK")</f>
        <v>https://buff.ly/3P3hzxK</v>
      </c>
      <c r="Y432" s="77" t="s">
        <v>7082</v>
      </c>
      <c r="Z432" s="77"/>
      <c r="AA432" s="77"/>
      <c r="AB432" s="77"/>
      <c r="AC432" s="82" t="s">
        <v>8252</v>
      </c>
      <c r="AD432" s="77" t="s">
        <v>8278</v>
      </c>
      <c r="AE432" s="80" t="str">
        <f>HYPERLINK("https://twitter.com/freeclassific/status/1701011169736335560")</f>
        <v>https://twitter.com/freeclassific/status/1701011169736335560</v>
      </c>
      <c r="AF432" s="79">
        <v>45179.968055555553</v>
      </c>
      <c r="AG432" s="85">
        <v>45179</v>
      </c>
      <c r="AH432" s="82" t="s">
        <v>8706</v>
      </c>
      <c r="AI432" s="77" t="b">
        <v>0</v>
      </c>
      <c r="AJ432" s="77"/>
      <c r="AK432" s="77"/>
      <c r="AL432" s="77"/>
      <c r="AM432" s="77"/>
      <c r="AN432" s="77"/>
      <c r="AO432" s="77"/>
      <c r="AP432" s="77"/>
      <c r="AQ432" s="77"/>
      <c r="AR432" s="77"/>
      <c r="AS432" s="77"/>
      <c r="AT432" s="77"/>
      <c r="AU432" s="77"/>
      <c r="AV432" s="80" t="str">
        <f>HYPERLINK("https://pbs.twimg.com/profile_images/1431648743728852993/tLJ7F5Lu_normal.png")</f>
        <v>https://pbs.twimg.com/profile_images/1431648743728852993/tLJ7F5Lu_normal.png</v>
      </c>
      <c r="AW432" s="82" t="s">
        <v>13534</v>
      </c>
      <c r="AX432" s="82" t="s">
        <v>13534</v>
      </c>
      <c r="AY432" s="77"/>
      <c r="AZ432" s="82" t="s">
        <v>17385</v>
      </c>
      <c r="BA432" s="82" t="s">
        <v>17385</v>
      </c>
      <c r="BB432" s="82" t="s">
        <v>17385</v>
      </c>
      <c r="BC432" s="82" t="s">
        <v>13534</v>
      </c>
      <c r="BD432" s="77">
        <v>489723814</v>
      </c>
      <c r="BE432" s="77"/>
      <c r="BF432" s="77"/>
      <c r="BG432" s="77"/>
      <c r="BH432" s="77"/>
      <c r="BI432" s="77"/>
    </row>
    <row r="433" spans="1:61" x14ac:dyDescent="0.25">
      <c r="A433" s="62" t="s">
        <v>321</v>
      </c>
      <c r="B433" s="62" t="s">
        <v>321</v>
      </c>
      <c r="C433" s="63"/>
      <c r="D433" s="64"/>
      <c r="E433" s="65"/>
      <c r="F433" s="66"/>
      <c r="G433" s="63"/>
      <c r="H433" s="67"/>
      <c r="I433" s="68"/>
      <c r="J433" s="68"/>
      <c r="K433" s="32"/>
      <c r="L433" s="75">
        <v>433</v>
      </c>
      <c r="M433" s="75"/>
      <c r="N433" s="70"/>
      <c r="O433" s="77" t="s">
        <v>179</v>
      </c>
      <c r="P433" s="79">
        <v>45173.968055555553</v>
      </c>
      <c r="Q433" s="77" t="s">
        <v>1231</v>
      </c>
      <c r="R433" s="77">
        <v>0</v>
      </c>
      <c r="S433" s="77">
        <v>0</v>
      </c>
      <c r="T433" s="77">
        <v>0</v>
      </c>
      <c r="U433" s="77">
        <v>0</v>
      </c>
      <c r="V433" s="77">
        <v>5</v>
      </c>
      <c r="W433" s="82" t="s">
        <v>4835</v>
      </c>
      <c r="X433" s="80" t="str">
        <f>HYPERLINK("https://buff.ly/3R8LfvY")</f>
        <v>https://buff.ly/3R8LfvY</v>
      </c>
      <c r="Y433" s="77" t="s">
        <v>7082</v>
      </c>
      <c r="Z433" s="77"/>
      <c r="AA433" s="77"/>
      <c r="AB433" s="77"/>
      <c r="AC433" s="82" t="s">
        <v>8252</v>
      </c>
      <c r="AD433" s="77" t="s">
        <v>8278</v>
      </c>
      <c r="AE433" s="80" t="str">
        <f>HYPERLINK("https://twitter.com/freeclassific/status/1698836839912603744")</f>
        <v>https://twitter.com/freeclassific/status/1698836839912603744</v>
      </c>
      <c r="AF433" s="79">
        <v>45173.968055555553</v>
      </c>
      <c r="AG433" s="85">
        <v>45173</v>
      </c>
      <c r="AH433" s="82" t="s">
        <v>8706</v>
      </c>
      <c r="AI433" s="77" t="b">
        <v>0</v>
      </c>
      <c r="AJ433" s="77"/>
      <c r="AK433" s="77"/>
      <c r="AL433" s="77"/>
      <c r="AM433" s="77"/>
      <c r="AN433" s="77"/>
      <c r="AO433" s="77"/>
      <c r="AP433" s="77"/>
      <c r="AQ433" s="77"/>
      <c r="AR433" s="77"/>
      <c r="AS433" s="77"/>
      <c r="AT433" s="77"/>
      <c r="AU433" s="77"/>
      <c r="AV433" s="80" t="str">
        <f>HYPERLINK("https://pbs.twimg.com/profile_images/1431648743728852993/tLJ7F5Lu_normal.png")</f>
        <v>https://pbs.twimg.com/profile_images/1431648743728852993/tLJ7F5Lu_normal.png</v>
      </c>
      <c r="AW433" s="82" t="s">
        <v>13535</v>
      </c>
      <c r="AX433" s="82" t="s">
        <v>13535</v>
      </c>
      <c r="AY433" s="77"/>
      <c r="AZ433" s="82" t="s">
        <v>17385</v>
      </c>
      <c r="BA433" s="82" t="s">
        <v>17385</v>
      </c>
      <c r="BB433" s="82" t="s">
        <v>17385</v>
      </c>
      <c r="BC433" s="82" t="s">
        <v>13535</v>
      </c>
      <c r="BD433" s="77">
        <v>489723814</v>
      </c>
      <c r="BE433" s="77"/>
      <c r="BF433" s="77"/>
      <c r="BG433" s="77"/>
      <c r="BH433" s="77"/>
      <c r="BI433" s="77"/>
    </row>
    <row r="434" spans="1:61" x14ac:dyDescent="0.25">
      <c r="A434" s="62" t="s">
        <v>321</v>
      </c>
      <c r="B434" s="62" t="s">
        <v>321</v>
      </c>
      <c r="C434" s="63"/>
      <c r="D434" s="64"/>
      <c r="E434" s="65"/>
      <c r="F434" s="66"/>
      <c r="G434" s="63"/>
      <c r="H434" s="67"/>
      <c r="I434" s="68"/>
      <c r="J434" s="68"/>
      <c r="K434" s="32"/>
      <c r="L434" s="75">
        <v>434</v>
      </c>
      <c r="M434" s="75"/>
      <c r="N434" s="70"/>
      <c r="O434" s="77" t="s">
        <v>179</v>
      </c>
      <c r="P434" s="79">
        <v>45173.722916666666</v>
      </c>
      <c r="Q434" s="77" t="s">
        <v>1232</v>
      </c>
      <c r="R434" s="77">
        <v>0</v>
      </c>
      <c r="S434" s="77">
        <v>0</v>
      </c>
      <c r="T434" s="77">
        <v>0</v>
      </c>
      <c r="U434" s="77">
        <v>0</v>
      </c>
      <c r="V434" s="77">
        <v>4</v>
      </c>
      <c r="W434" s="82" t="s">
        <v>4835</v>
      </c>
      <c r="X434" s="80" t="str">
        <f>HYPERLINK("https://buff.ly/3RncROj")</f>
        <v>https://buff.ly/3RncROj</v>
      </c>
      <c r="Y434" s="77" t="s">
        <v>7082</v>
      </c>
      <c r="Z434" s="77"/>
      <c r="AA434" s="77"/>
      <c r="AB434" s="77"/>
      <c r="AC434" s="82" t="s">
        <v>8252</v>
      </c>
      <c r="AD434" s="77" t="s">
        <v>8278</v>
      </c>
      <c r="AE434" s="80" t="str">
        <f>HYPERLINK("https://twitter.com/freeclassific/status/1698748006734893185")</f>
        <v>https://twitter.com/freeclassific/status/1698748006734893185</v>
      </c>
      <c r="AF434" s="79">
        <v>45173.722916666666</v>
      </c>
      <c r="AG434" s="85">
        <v>45173</v>
      </c>
      <c r="AH434" s="82" t="s">
        <v>8705</v>
      </c>
      <c r="AI434" s="77" t="b">
        <v>0</v>
      </c>
      <c r="AJ434" s="77"/>
      <c r="AK434" s="77"/>
      <c r="AL434" s="77"/>
      <c r="AM434" s="77"/>
      <c r="AN434" s="77"/>
      <c r="AO434" s="77"/>
      <c r="AP434" s="77"/>
      <c r="AQ434" s="77"/>
      <c r="AR434" s="77"/>
      <c r="AS434" s="77"/>
      <c r="AT434" s="77"/>
      <c r="AU434" s="77"/>
      <c r="AV434" s="80" t="str">
        <f>HYPERLINK("https://pbs.twimg.com/profile_images/1431648743728852993/tLJ7F5Lu_normal.png")</f>
        <v>https://pbs.twimg.com/profile_images/1431648743728852993/tLJ7F5Lu_normal.png</v>
      </c>
      <c r="AW434" s="82" t="s">
        <v>13536</v>
      </c>
      <c r="AX434" s="82" t="s">
        <v>13536</v>
      </c>
      <c r="AY434" s="77"/>
      <c r="AZ434" s="82" t="s">
        <v>17385</v>
      </c>
      <c r="BA434" s="82" t="s">
        <v>17385</v>
      </c>
      <c r="BB434" s="82" t="s">
        <v>17385</v>
      </c>
      <c r="BC434" s="82" t="s">
        <v>13536</v>
      </c>
      <c r="BD434" s="77">
        <v>489723814</v>
      </c>
      <c r="BE434" s="77"/>
      <c r="BF434" s="77"/>
      <c r="BG434" s="77"/>
      <c r="BH434" s="77"/>
      <c r="BI434" s="77"/>
    </row>
    <row r="435" spans="1:61" x14ac:dyDescent="0.25">
      <c r="A435" s="62" t="s">
        <v>321</v>
      </c>
      <c r="B435" s="62" t="s">
        <v>321</v>
      </c>
      <c r="C435" s="63"/>
      <c r="D435" s="64"/>
      <c r="E435" s="65"/>
      <c r="F435" s="66"/>
      <c r="G435" s="63"/>
      <c r="H435" s="67"/>
      <c r="I435" s="68"/>
      <c r="J435" s="68"/>
      <c r="K435" s="32"/>
      <c r="L435" s="75">
        <v>435</v>
      </c>
      <c r="M435" s="75"/>
      <c r="N435" s="70"/>
      <c r="O435" s="77" t="s">
        <v>179</v>
      </c>
      <c r="P435" s="79">
        <v>45163.51458333333</v>
      </c>
      <c r="Q435" s="77" t="s">
        <v>1233</v>
      </c>
      <c r="R435" s="77">
        <v>0</v>
      </c>
      <c r="S435" s="77">
        <v>0</v>
      </c>
      <c r="T435" s="77">
        <v>0</v>
      </c>
      <c r="U435" s="77">
        <v>0</v>
      </c>
      <c r="V435" s="77">
        <v>4</v>
      </c>
      <c r="W435" s="82" t="s">
        <v>4835</v>
      </c>
      <c r="X435" s="80" t="str">
        <f>HYPERLINK("https://buff.ly/3E5geBo")</f>
        <v>https://buff.ly/3E5geBo</v>
      </c>
      <c r="Y435" s="77" t="s">
        <v>7082</v>
      </c>
      <c r="Z435" s="77"/>
      <c r="AA435" s="77"/>
      <c r="AB435" s="77"/>
      <c r="AC435" s="82" t="s">
        <v>8252</v>
      </c>
      <c r="AD435" s="77" t="s">
        <v>8278</v>
      </c>
      <c r="AE435" s="80" t="str">
        <f>HYPERLINK("https://twitter.com/freeclassific/status/1695048630019797268")</f>
        <v>https://twitter.com/freeclassific/status/1695048630019797268</v>
      </c>
      <c r="AF435" s="79">
        <v>45163.51458333333</v>
      </c>
      <c r="AG435" s="85">
        <v>45163</v>
      </c>
      <c r="AH435" s="82" t="s">
        <v>8704</v>
      </c>
      <c r="AI435" s="77" t="b">
        <v>0</v>
      </c>
      <c r="AJ435" s="77"/>
      <c r="AK435" s="77"/>
      <c r="AL435" s="77"/>
      <c r="AM435" s="77"/>
      <c r="AN435" s="77"/>
      <c r="AO435" s="77"/>
      <c r="AP435" s="77"/>
      <c r="AQ435" s="77"/>
      <c r="AR435" s="77"/>
      <c r="AS435" s="77"/>
      <c r="AT435" s="77"/>
      <c r="AU435" s="77"/>
      <c r="AV435" s="80" t="str">
        <f>HYPERLINK("https://pbs.twimg.com/profile_images/1431648743728852993/tLJ7F5Lu_normal.png")</f>
        <v>https://pbs.twimg.com/profile_images/1431648743728852993/tLJ7F5Lu_normal.png</v>
      </c>
      <c r="AW435" s="82" t="s">
        <v>13537</v>
      </c>
      <c r="AX435" s="82" t="s">
        <v>13537</v>
      </c>
      <c r="AY435" s="77"/>
      <c r="AZ435" s="82" t="s">
        <v>17385</v>
      </c>
      <c r="BA435" s="82" t="s">
        <v>17385</v>
      </c>
      <c r="BB435" s="82" t="s">
        <v>17385</v>
      </c>
      <c r="BC435" s="82" t="s">
        <v>13537</v>
      </c>
      <c r="BD435" s="77">
        <v>489723814</v>
      </c>
      <c r="BE435" s="77"/>
      <c r="BF435" s="77"/>
      <c r="BG435" s="77"/>
      <c r="BH435" s="77"/>
      <c r="BI435" s="77"/>
    </row>
    <row r="436" spans="1:61" x14ac:dyDescent="0.25">
      <c r="A436" s="62" t="s">
        <v>321</v>
      </c>
      <c r="B436" s="62" t="s">
        <v>321</v>
      </c>
      <c r="C436" s="63"/>
      <c r="D436" s="64"/>
      <c r="E436" s="65"/>
      <c r="F436" s="66"/>
      <c r="G436" s="63"/>
      <c r="H436" s="67"/>
      <c r="I436" s="68"/>
      <c r="J436" s="68"/>
      <c r="K436" s="32"/>
      <c r="L436" s="75">
        <v>436</v>
      </c>
      <c r="M436" s="75"/>
      <c r="N436" s="70"/>
      <c r="O436" s="77" t="s">
        <v>179</v>
      </c>
      <c r="P436" s="79">
        <v>45188.51458333333</v>
      </c>
      <c r="Q436" s="77" t="s">
        <v>1234</v>
      </c>
      <c r="R436" s="77">
        <v>0</v>
      </c>
      <c r="S436" s="77">
        <v>0</v>
      </c>
      <c r="T436" s="77">
        <v>0</v>
      </c>
      <c r="U436" s="77">
        <v>0</v>
      </c>
      <c r="V436" s="77">
        <v>1</v>
      </c>
      <c r="W436" s="82" t="s">
        <v>4835</v>
      </c>
      <c r="X436" s="80" t="str">
        <f>HYPERLINK("https://buff.ly/48vW0yX")</f>
        <v>https://buff.ly/48vW0yX</v>
      </c>
      <c r="Y436" s="77" t="s">
        <v>7082</v>
      </c>
      <c r="Z436" s="77"/>
      <c r="AA436" s="77"/>
      <c r="AB436" s="77"/>
      <c r="AC436" s="82" t="s">
        <v>8252</v>
      </c>
      <c r="AD436" s="77" t="s">
        <v>8278</v>
      </c>
      <c r="AE436" s="80" t="str">
        <f>HYPERLINK("https://twitter.com/freeclassific/status/1704108328400347248")</f>
        <v>https://twitter.com/freeclassific/status/1704108328400347248</v>
      </c>
      <c r="AF436" s="79">
        <v>45188.51458333333</v>
      </c>
      <c r="AG436" s="85">
        <v>45188</v>
      </c>
      <c r="AH436" s="82" t="s">
        <v>8704</v>
      </c>
      <c r="AI436" s="77" t="b">
        <v>0</v>
      </c>
      <c r="AJ436" s="77"/>
      <c r="AK436" s="77"/>
      <c r="AL436" s="77"/>
      <c r="AM436" s="77"/>
      <c r="AN436" s="77"/>
      <c r="AO436" s="77"/>
      <c r="AP436" s="77"/>
      <c r="AQ436" s="77"/>
      <c r="AR436" s="77"/>
      <c r="AS436" s="77"/>
      <c r="AT436" s="77"/>
      <c r="AU436" s="77"/>
      <c r="AV436" s="80" t="str">
        <f>HYPERLINK("https://pbs.twimg.com/profile_images/1431648743728852993/tLJ7F5Lu_normal.png")</f>
        <v>https://pbs.twimg.com/profile_images/1431648743728852993/tLJ7F5Lu_normal.png</v>
      </c>
      <c r="AW436" s="82" t="s">
        <v>13538</v>
      </c>
      <c r="AX436" s="82" t="s">
        <v>13538</v>
      </c>
      <c r="AY436" s="77"/>
      <c r="AZ436" s="82" t="s">
        <v>17385</v>
      </c>
      <c r="BA436" s="82" t="s">
        <v>17385</v>
      </c>
      <c r="BB436" s="82" t="s">
        <v>17385</v>
      </c>
      <c r="BC436" s="82" t="s">
        <v>13538</v>
      </c>
      <c r="BD436" s="77">
        <v>489723814</v>
      </c>
      <c r="BE436" s="77"/>
      <c r="BF436" s="77"/>
      <c r="BG436" s="77"/>
      <c r="BH436" s="77"/>
      <c r="BI436" s="77"/>
    </row>
    <row r="437" spans="1:61" x14ac:dyDescent="0.25">
      <c r="A437" s="62" t="s">
        <v>321</v>
      </c>
      <c r="B437" s="62" t="s">
        <v>321</v>
      </c>
      <c r="C437" s="63"/>
      <c r="D437" s="64"/>
      <c r="E437" s="65"/>
      <c r="F437" s="66"/>
      <c r="G437" s="63"/>
      <c r="H437" s="67"/>
      <c r="I437" s="68"/>
      <c r="J437" s="68"/>
      <c r="K437" s="32"/>
      <c r="L437" s="75">
        <v>437</v>
      </c>
      <c r="M437" s="75"/>
      <c r="N437" s="70"/>
      <c r="O437" s="77" t="s">
        <v>179</v>
      </c>
      <c r="P437" s="79">
        <v>45188.872916666667</v>
      </c>
      <c r="Q437" s="77" t="s">
        <v>1235</v>
      </c>
      <c r="R437" s="77">
        <v>0</v>
      </c>
      <c r="S437" s="77">
        <v>0</v>
      </c>
      <c r="T437" s="77">
        <v>0</v>
      </c>
      <c r="U437" s="77">
        <v>0</v>
      </c>
      <c r="V437" s="77">
        <v>3</v>
      </c>
      <c r="W437" s="82" t="s">
        <v>4835</v>
      </c>
      <c r="X437" s="80" t="str">
        <f>HYPERLINK("https://buff.ly/3Rl9nM5")</f>
        <v>https://buff.ly/3Rl9nM5</v>
      </c>
      <c r="Y437" s="77" t="s">
        <v>7082</v>
      </c>
      <c r="Z437" s="77"/>
      <c r="AA437" s="77"/>
      <c r="AB437" s="77"/>
      <c r="AC437" s="82" t="s">
        <v>8252</v>
      </c>
      <c r="AD437" s="77" t="s">
        <v>8278</v>
      </c>
      <c r="AE437" s="80" t="str">
        <f>HYPERLINK("https://twitter.com/freeclassific/status/1704238181690773528")</f>
        <v>https://twitter.com/freeclassific/status/1704238181690773528</v>
      </c>
      <c r="AF437" s="79">
        <v>45188.872916666667</v>
      </c>
      <c r="AG437" s="85">
        <v>45188</v>
      </c>
      <c r="AH437" s="82" t="s">
        <v>8703</v>
      </c>
      <c r="AI437" s="77" t="b">
        <v>0</v>
      </c>
      <c r="AJ437" s="77"/>
      <c r="AK437" s="77"/>
      <c r="AL437" s="77"/>
      <c r="AM437" s="77"/>
      <c r="AN437" s="77"/>
      <c r="AO437" s="77"/>
      <c r="AP437" s="77"/>
      <c r="AQ437" s="77"/>
      <c r="AR437" s="77"/>
      <c r="AS437" s="77"/>
      <c r="AT437" s="77"/>
      <c r="AU437" s="77"/>
      <c r="AV437" s="80" t="str">
        <f>HYPERLINK("https://pbs.twimg.com/profile_images/1431648743728852993/tLJ7F5Lu_normal.png")</f>
        <v>https://pbs.twimg.com/profile_images/1431648743728852993/tLJ7F5Lu_normal.png</v>
      </c>
      <c r="AW437" s="82" t="s">
        <v>13539</v>
      </c>
      <c r="AX437" s="82" t="s">
        <v>13539</v>
      </c>
      <c r="AY437" s="77"/>
      <c r="AZ437" s="82" t="s">
        <v>17385</v>
      </c>
      <c r="BA437" s="82" t="s">
        <v>17385</v>
      </c>
      <c r="BB437" s="82" t="s">
        <v>17385</v>
      </c>
      <c r="BC437" s="82" t="s">
        <v>13539</v>
      </c>
      <c r="BD437" s="77">
        <v>489723814</v>
      </c>
      <c r="BE437" s="77"/>
      <c r="BF437" s="77"/>
      <c r="BG437" s="77"/>
      <c r="BH437" s="77"/>
      <c r="BI437" s="77"/>
    </row>
    <row r="438" spans="1:61" x14ac:dyDescent="0.25">
      <c r="A438" s="62" t="s">
        <v>321</v>
      </c>
      <c r="B438" s="62" t="s">
        <v>321</v>
      </c>
      <c r="C438" s="63"/>
      <c r="D438" s="64"/>
      <c r="E438" s="65"/>
      <c r="F438" s="66"/>
      <c r="G438" s="63"/>
      <c r="H438" s="67"/>
      <c r="I438" s="68"/>
      <c r="J438" s="68"/>
      <c r="K438" s="32"/>
      <c r="L438" s="75">
        <v>438</v>
      </c>
      <c r="M438" s="75"/>
      <c r="N438" s="70"/>
      <c r="O438" s="77" t="s">
        <v>179</v>
      </c>
      <c r="P438" s="79">
        <v>45184.722916666666</v>
      </c>
      <c r="Q438" s="77" t="s">
        <v>1236</v>
      </c>
      <c r="R438" s="77">
        <v>0</v>
      </c>
      <c r="S438" s="77">
        <v>0</v>
      </c>
      <c r="T438" s="77">
        <v>0</v>
      </c>
      <c r="U438" s="77">
        <v>0</v>
      </c>
      <c r="V438" s="77">
        <v>7</v>
      </c>
      <c r="W438" s="82" t="s">
        <v>4835</v>
      </c>
      <c r="X438" s="80" t="str">
        <f>HYPERLINK("https://buff.ly/3PfrujO")</f>
        <v>https://buff.ly/3PfrujO</v>
      </c>
      <c r="Y438" s="77" t="s">
        <v>7082</v>
      </c>
      <c r="Z438" s="77"/>
      <c r="AA438" s="77"/>
      <c r="AB438" s="77"/>
      <c r="AC438" s="82" t="s">
        <v>8252</v>
      </c>
      <c r="AD438" s="77" t="s">
        <v>8278</v>
      </c>
      <c r="AE438" s="80" t="str">
        <f>HYPERLINK("https://twitter.com/freeclassific/status/1702734274389053595")</f>
        <v>https://twitter.com/freeclassific/status/1702734274389053595</v>
      </c>
      <c r="AF438" s="79">
        <v>45184.722916666666</v>
      </c>
      <c r="AG438" s="85">
        <v>45184</v>
      </c>
      <c r="AH438" s="82" t="s">
        <v>8705</v>
      </c>
      <c r="AI438" s="77" t="b">
        <v>0</v>
      </c>
      <c r="AJ438" s="77"/>
      <c r="AK438" s="77"/>
      <c r="AL438" s="77"/>
      <c r="AM438" s="77"/>
      <c r="AN438" s="77"/>
      <c r="AO438" s="77"/>
      <c r="AP438" s="77"/>
      <c r="AQ438" s="77"/>
      <c r="AR438" s="77"/>
      <c r="AS438" s="77"/>
      <c r="AT438" s="77"/>
      <c r="AU438" s="77"/>
      <c r="AV438" s="80" t="str">
        <f>HYPERLINK("https://pbs.twimg.com/profile_images/1431648743728852993/tLJ7F5Lu_normal.png")</f>
        <v>https://pbs.twimg.com/profile_images/1431648743728852993/tLJ7F5Lu_normal.png</v>
      </c>
      <c r="AW438" s="82" t="s">
        <v>13540</v>
      </c>
      <c r="AX438" s="82" t="s">
        <v>13540</v>
      </c>
      <c r="AY438" s="77"/>
      <c r="AZ438" s="82" t="s">
        <v>17385</v>
      </c>
      <c r="BA438" s="82" t="s">
        <v>17385</v>
      </c>
      <c r="BB438" s="82" t="s">
        <v>17385</v>
      </c>
      <c r="BC438" s="82" t="s">
        <v>13540</v>
      </c>
      <c r="BD438" s="77">
        <v>489723814</v>
      </c>
      <c r="BE438" s="77"/>
      <c r="BF438" s="77"/>
      <c r="BG438" s="77"/>
      <c r="BH438" s="77"/>
      <c r="BI438" s="77"/>
    </row>
    <row r="439" spans="1:61" x14ac:dyDescent="0.25">
      <c r="A439" s="62" t="s">
        <v>321</v>
      </c>
      <c r="B439" s="62" t="s">
        <v>321</v>
      </c>
      <c r="C439" s="63"/>
      <c r="D439" s="64"/>
      <c r="E439" s="65"/>
      <c r="F439" s="66"/>
      <c r="G439" s="63"/>
      <c r="H439" s="67"/>
      <c r="I439" s="68"/>
      <c r="J439" s="68"/>
      <c r="K439" s="32"/>
      <c r="L439" s="75">
        <v>439</v>
      </c>
      <c r="M439" s="75"/>
      <c r="N439" s="70"/>
      <c r="O439" s="77" t="s">
        <v>179</v>
      </c>
      <c r="P439" s="79">
        <v>45182.968055555553</v>
      </c>
      <c r="Q439" s="77" t="s">
        <v>1237</v>
      </c>
      <c r="R439" s="77">
        <v>0</v>
      </c>
      <c r="S439" s="77">
        <v>0</v>
      </c>
      <c r="T439" s="77">
        <v>0</v>
      </c>
      <c r="U439" s="77">
        <v>0</v>
      </c>
      <c r="V439" s="77">
        <v>6</v>
      </c>
      <c r="W439" s="82" t="s">
        <v>4835</v>
      </c>
      <c r="X439" s="80" t="str">
        <f>HYPERLINK("https://buff.ly/3PgzQaO")</f>
        <v>https://buff.ly/3PgzQaO</v>
      </c>
      <c r="Y439" s="77" t="s">
        <v>7082</v>
      </c>
      <c r="Z439" s="77"/>
      <c r="AA439" s="77"/>
      <c r="AB439" s="77"/>
      <c r="AC439" s="82" t="s">
        <v>8252</v>
      </c>
      <c r="AD439" s="77" t="s">
        <v>8278</v>
      </c>
      <c r="AE439" s="80" t="str">
        <f>HYPERLINK("https://twitter.com/freeclassific/status/1702098333748093021")</f>
        <v>https://twitter.com/freeclassific/status/1702098333748093021</v>
      </c>
      <c r="AF439" s="79">
        <v>45182.968055555553</v>
      </c>
      <c r="AG439" s="85">
        <v>45182</v>
      </c>
      <c r="AH439" s="82" t="s">
        <v>8706</v>
      </c>
      <c r="AI439" s="77" t="b">
        <v>0</v>
      </c>
      <c r="AJ439" s="77"/>
      <c r="AK439" s="77"/>
      <c r="AL439" s="77"/>
      <c r="AM439" s="77"/>
      <c r="AN439" s="77"/>
      <c r="AO439" s="77"/>
      <c r="AP439" s="77"/>
      <c r="AQ439" s="77"/>
      <c r="AR439" s="77"/>
      <c r="AS439" s="77"/>
      <c r="AT439" s="77"/>
      <c r="AU439" s="77"/>
      <c r="AV439" s="80" t="str">
        <f>HYPERLINK("https://pbs.twimg.com/profile_images/1431648743728852993/tLJ7F5Lu_normal.png")</f>
        <v>https://pbs.twimg.com/profile_images/1431648743728852993/tLJ7F5Lu_normal.png</v>
      </c>
      <c r="AW439" s="82" t="s">
        <v>13541</v>
      </c>
      <c r="AX439" s="82" t="s">
        <v>13541</v>
      </c>
      <c r="AY439" s="77"/>
      <c r="AZ439" s="82" t="s">
        <v>17385</v>
      </c>
      <c r="BA439" s="82" t="s">
        <v>17385</v>
      </c>
      <c r="BB439" s="82" t="s">
        <v>17385</v>
      </c>
      <c r="BC439" s="82" t="s">
        <v>13541</v>
      </c>
      <c r="BD439" s="77">
        <v>489723814</v>
      </c>
      <c r="BE439" s="77"/>
      <c r="BF439" s="77"/>
      <c r="BG439" s="77"/>
      <c r="BH439" s="77"/>
      <c r="BI439" s="77"/>
    </row>
    <row r="440" spans="1:61" x14ac:dyDescent="0.25">
      <c r="A440" s="62" t="s">
        <v>321</v>
      </c>
      <c r="B440" s="62" t="s">
        <v>321</v>
      </c>
      <c r="C440" s="63"/>
      <c r="D440" s="64"/>
      <c r="E440" s="65"/>
      <c r="F440" s="66"/>
      <c r="G440" s="63"/>
      <c r="H440" s="67"/>
      <c r="I440" s="68"/>
      <c r="J440" s="68"/>
      <c r="K440" s="32"/>
      <c r="L440" s="75">
        <v>440</v>
      </c>
      <c r="M440" s="75"/>
      <c r="N440" s="70"/>
      <c r="O440" s="77" t="s">
        <v>179</v>
      </c>
      <c r="P440" s="79">
        <v>45182.872928240744</v>
      </c>
      <c r="Q440" s="77" t="s">
        <v>1238</v>
      </c>
      <c r="R440" s="77">
        <v>0</v>
      </c>
      <c r="S440" s="77">
        <v>0</v>
      </c>
      <c r="T440" s="77">
        <v>0</v>
      </c>
      <c r="U440" s="77">
        <v>0</v>
      </c>
      <c r="V440" s="77">
        <v>3</v>
      </c>
      <c r="W440" s="82" t="s">
        <v>4835</v>
      </c>
      <c r="X440" s="80" t="str">
        <f>HYPERLINK("https://buff.ly/3Px3eeu")</f>
        <v>https://buff.ly/3Px3eeu</v>
      </c>
      <c r="Y440" s="77" t="s">
        <v>7082</v>
      </c>
      <c r="Z440" s="77"/>
      <c r="AA440" s="77"/>
      <c r="AB440" s="77"/>
      <c r="AC440" s="82" t="s">
        <v>8252</v>
      </c>
      <c r="AD440" s="77" t="s">
        <v>8278</v>
      </c>
      <c r="AE440" s="80" t="str">
        <f>HYPERLINK("https://twitter.com/freeclassific/status/1702063857227665680")</f>
        <v>https://twitter.com/freeclassific/status/1702063857227665680</v>
      </c>
      <c r="AF440" s="79">
        <v>45182.872928240744</v>
      </c>
      <c r="AG440" s="85">
        <v>45182</v>
      </c>
      <c r="AH440" s="82" t="s">
        <v>8707</v>
      </c>
      <c r="AI440" s="77" t="b">
        <v>0</v>
      </c>
      <c r="AJ440" s="77"/>
      <c r="AK440" s="77"/>
      <c r="AL440" s="77"/>
      <c r="AM440" s="77"/>
      <c r="AN440" s="77"/>
      <c r="AO440" s="77"/>
      <c r="AP440" s="77"/>
      <c r="AQ440" s="77"/>
      <c r="AR440" s="77"/>
      <c r="AS440" s="77"/>
      <c r="AT440" s="77"/>
      <c r="AU440" s="77"/>
      <c r="AV440" s="80" t="str">
        <f>HYPERLINK("https://pbs.twimg.com/profile_images/1431648743728852993/tLJ7F5Lu_normal.png")</f>
        <v>https://pbs.twimg.com/profile_images/1431648743728852993/tLJ7F5Lu_normal.png</v>
      </c>
      <c r="AW440" s="82" t="s">
        <v>13542</v>
      </c>
      <c r="AX440" s="82" t="s">
        <v>13542</v>
      </c>
      <c r="AY440" s="77"/>
      <c r="AZ440" s="82" t="s">
        <v>17385</v>
      </c>
      <c r="BA440" s="82" t="s">
        <v>17385</v>
      </c>
      <c r="BB440" s="82" t="s">
        <v>17385</v>
      </c>
      <c r="BC440" s="82" t="s">
        <v>13542</v>
      </c>
      <c r="BD440" s="77">
        <v>489723814</v>
      </c>
      <c r="BE440" s="77"/>
      <c r="BF440" s="77"/>
      <c r="BG440" s="77"/>
      <c r="BH440" s="77"/>
      <c r="BI440" s="77"/>
    </row>
    <row r="441" spans="1:61" x14ac:dyDescent="0.25">
      <c r="A441" s="62" t="s">
        <v>321</v>
      </c>
      <c r="B441" s="62" t="s">
        <v>321</v>
      </c>
      <c r="C441" s="63"/>
      <c r="D441" s="64"/>
      <c r="E441" s="65"/>
      <c r="F441" s="66"/>
      <c r="G441" s="63"/>
      <c r="H441" s="67"/>
      <c r="I441" s="68"/>
      <c r="J441" s="68"/>
      <c r="K441" s="32"/>
      <c r="L441" s="75">
        <v>441</v>
      </c>
      <c r="M441" s="75"/>
      <c r="N441" s="70"/>
      <c r="O441" s="77" t="s">
        <v>179</v>
      </c>
      <c r="P441" s="79">
        <v>45181.722916666666</v>
      </c>
      <c r="Q441" s="77" t="s">
        <v>1239</v>
      </c>
      <c r="R441" s="77">
        <v>0</v>
      </c>
      <c r="S441" s="77">
        <v>0</v>
      </c>
      <c r="T441" s="77">
        <v>0</v>
      </c>
      <c r="U441" s="77">
        <v>0</v>
      </c>
      <c r="V441" s="77">
        <v>11</v>
      </c>
      <c r="W441" s="82" t="s">
        <v>4835</v>
      </c>
      <c r="X441" s="80" t="str">
        <f>HYPERLINK("https://buff.ly/44IagRP")</f>
        <v>https://buff.ly/44IagRP</v>
      </c>
      <c r="Y441" s="77" t="s">
        <v>7082</v>
      </c>
      <c r="Z441" s="77"/>
      <c r="AA441" s="77"/>
      <c r="AB441" s="77"/>
      <c r="AC441" s="82" t="s">
        <v>8252</v>
      </c>
      <c r="AD441" s="77" t="s">
        <v>8278</v>
      </c>
      <c r="AE441" s="80" t="str">
        <f>HYPERLINK("https://twitter.com/freeclassific/status/1701647109923983463")</f>
        <v>https://twitter.com/freeclassific/status/1701647109923983463</v>
      </c>
      <c r="AF441" s="79">
        <v>45181.722916666666</v>
      </c>
      <c r="AG441" s="85">
        <v>45181</v>
      </c>
      <c r="AH441" s="82" t="s">
        <v>8705</v>
      </c>
      <c r="AI441" s="77" t="b">
        <v>0</v>
      </c>
      <c r="AJ441" s="77"/>
      <c r="AK441" s="77"/>
      <c r="AL441" s="77"/>
      <c r="AM441" s="77"/>
      <c r="AN441" s="77"/>
      <c r="AO441" s="77"/>
      <c r="AP441" s="77"/>
      <c r="AQ441" s="77"/>
      <c r="AR441" s="77"/>
      <c r="AS441" s="77"/>
      <c r="AT441" s="77"/>
      <c r="AU441" s="77"/>
      <c r="AV441" s="80" t="str">
        <f>HYPERLINK("https://pbs.twimg.com/profile_images/1431648743728852993/tLJ7F5Lu_normal.png")</f>
        <v>https://pbs.twimg.com/profile_images/1431648743728852993/tLJ7F5Lu_normal.png</v>
      </c>
      <c r="AW441" s="82" t="s">
        <v>13543</v>
      </c>
      <c r="AX441" s="82" t="s">
        <v>13543</v>
      </c>
      <c r="AY441" s="77"/>
      <c r="AZ441" s="82" t="s">
        <v>17385</v>
      </c>
      <c r="BA441" s="82" t="s">
        <v>17385</v>
      </c>
      <c r="BB441" s="82" t="s">
        <v>17385</v>
      </c>
      <c r="BC441" s="82" t="s">
        <v>13543</v>
      </c>
      <c r="BD441" s="77">
        <v>489723814</v>
      </c>
      <c r="BE441" s="77"/>
      <c r="BF441" s="77"/>
      <c r="BG441" s="77"/>
      <c r="BH441" s="77"/>
      <c r="BI441" s="77"/>
    </row>
    <row r="442" spans="1:61" x14ac:dyDescent="0.25">
      <c r="A442" s="62" t="s">
        <v>321</v>
      </c>
      <c r="B442" s="62" t="s">
        <v>321</v>
      </c>
      <c r="C442" s="63"/>
      <c r="D442" s="64"/>
      <c r="E442" s="65"/>
      <c r="F442" s="66"/>
      <c r="G442" s="63"/>
      <c r="H442" s="67"/>
      <c r="I442" s="68"/>
      <c r="J442" s="68"/>
      <c r="K442" s="32"/>
      <c r="L442" s="75">
        <v>442</v>
      </c>
      <c r="M442" s="75"/>
      <c r="N442" s="70"/>
      <c r="O442" s="77" t="s">
        <v>179</v>
      </c>
      <c r="P442" s="79">
        <v>45178.968055555553</v>
      </c>
      <c r="Q442" s="77" t="s">
        <v>1240</v>
      </c>
      <c r="R442" s="77">
        <v>0</v>
      </c>
      <c r="S442" s="77">
        <v>0</v>
      </c>
      <c r="T442" s="77">
        <v>0</v>
      </c>
      <c r="U442" s="77">
        <v>0</v>
      </c>
      <c r="V442" s="77">
        <v>10</v>
      </c>
      <c r="W442" s="82" t="s">
        <v>4835</v>
      </c>
      <c r="X442" s="80" t="str">
        <f>HYPERLINK("https://buff.ly/3r5Sw57")</f>
        <v>https://buff.ly/3r5Sw57</v>
      </c>
      <c r="Y442" s="77" t="s">
        <v>7082</v>
      </c>
      <c r="Z442" s="77"/>
      <c r="AA442" s="77"/>
      <c r="AB442" s="77"/>
      <c r="AC442" s="82" t="s">
        <v>8252</v>
      </c>
      <c r="AD442" s="77" t="s">
        <v>8278</v>
      </c>
      <c r="AE442" s="80" t="str">
        <f>HYPERLINK("https://twitter.com/freeclassific/status/1700648782352847210")</f>
        <v>https://twitter.com/freeclassific/status/1700648782352847210</v>
      </c>
      <c r="AF442" s="79">
        <v>45178.968055555553</v>
      </c>
      <c r="AG442" s="85">
        <v>45178</v>
      </c>
      <c r="AH442" s="82" t="s">
        <v>8706</v>
      </c>
      <c r="AI442" s="77" t="b">
        <v>0</v>
      </c>
      <c r="AJ442" s="77"/>
      <c r="AK442" s="77"/>
      <c r="AL442" s="77"/>
      <c r="AM442" s="77"/>
      <c r="AN442" s="77"/>
      <c r="AO442" s="77"/>
      <c r="AP442" s="77"/>
      <c r="AQ442" s="77"/>
      <c r="AR442" s="77"/>
      <c r="AS442" s="77"/>
      <c r="AT442" s="77"/>
      <c r="AU442" s="77"/>
      <c r="AV442" s="80" t="str">
        <f>HYPERLINK("https://pbs.twimg.com/profile_images/1431648743728852993/tLJ7F5Lu_normal.png")</f>
        <v>https://pbs.twimg.com/profile_images/1431648743728852993/tLJ7F5Lu_normal.png</v>
      </c>
      <c r="AW442" s="82" t="s">
        <v>13544</v>
      </c>
      <c r="AX442" s="82" t="s">
        <v>13544</v>
      </c>
      <c r="AY442" s="77"/>
      <c r="AZ442" s="82" t="s">
        <v>17385</v>
      </c>
      <c r="BA442" s="82" t="s">
        <v>17385</v>
      </c>
      <c r="BB442" s="82" t="s">
        <v>17385</v>
      </c>
      <c r="BC442" s="82" t="s">
        <v>13544</v>
      </c>
      <c r="BD442" s="77">
        <v>489723814</v>
      </c>
      <c r="BE442" s="77"/>
      <c r="BF442" s="77"/>
      <c r="BG442" s="77"/>
      <c r="BH442" s="77"/>
      <c r="BI442" s="77"/>
    </row>
    <row r="443" spans="1:61" x14ac:dyDescent="0.25">
      <c r="A443" s="62" t="s">
        <v>321</v>
      </c>
      <c r="B443" s="62" t="s">
        <v>321</v>
      </c>
      <c r="C443" s="63"/>
      <c r="D443" s="64"/>
      <c r="E443" s="65"/>
      <c r="F443" s="66"/>
      <c r="G443" s="63"/>
      <c r="H443" s="67"/>
      <c r="I443" s="68"/>
      <c r="J443" s="68"/>
      <c r="K443" s="32"/>
      <c r="L443" s="75">
        <v>443</v>
      </c>
      <c r="M443" s="75"/>
      <c r="N443" s="70"/>
      <c r="O443" s="77" t="s">
        <v>179</v>
      </c>
      <c r="P443" s="79">
        <v>45189.872916666667</v>
      </c>
      <c r="Q443" s="77" t="s">
        <v>1241</v>
      </c>
      <c r="R443" s="77">
        <v>0</v>
      </c>
      <c r="S443" s="77">
        <v>0</v>
      </c>
      <c r="T443" s="77">
        <v>0</v>
      </c>
      <c r="U443" s="77">
        <v>0</v>
      </c>
      <c r="V443" s="77">
        <v>4</v>
      </c>
      <c r="W443" s="82" t="s">
        <v>4835</v>
      </c>
      <c r="X443" s="80" t="str">
        <f>HYPERLINK("https://buff.ly/3PIHJaF")</f>
        <v>https://buff.ly/3PIHJaF</v>
      </c>
      <c r="Y443" s="77" t="s">
        <v>7082</v>
      </c>
      <c r="Z443" s="77"/>
      <c r="AA443" s="77"/>
      <c r="AB443" s="77"/>
      <c r="AC443" s="82" t="s">
        <v>8252</v>
      </c>
      <c r="AD443" s="77" t="s">
        <v>8278</v>
      </c>
      <c r="AE443" s="80" t="str">
        <f>HYPERLINK("https://twitter.com/freeclassific/status/1704600568633622835")</f>
        <v>https://twitter.com/freeclassific/status/1704600568633622835</v>
      </c>
      <c r="AF443" s="79">
        <v>45189.872916666667</v>
      </c>
      <c r="AG443" s="85">
        <v>45189</v>
      </c>
      <c r="AH443" s="82" t="s">
        <v>8703</v>
      </c>
      <c r="AI443" s="77" t="b">
        <v>0</v>
      </c>
      <c r="AJ443" s="77"/>
      <c r="AK443" s="77"/>
      <c r="AL443" s="77"/>
      <c r="AM443" s="77"/>
      <c r="AN443" s="77"/>
      <c r="AO443" s="77"/>
      <c r="AP443" s="77"/>
      <c r="AQ443" s="77"/>
      <c r="AR443" s="77"/>
      <c r="AS443" s="77"/>
      <c r="AT443" s="77"/>
      <c r="AU443" s="77"/>
      <c r="AV443" s="80" t="str">
        <f>HYPERLINK("https://pbs.twimg.com/profile_images/1431648743728852993/tLJ7F5Lu_normal.png")</f>
        <v>https://pbs.twimg.com/profile_images/1431648743728852993/tLJ7F5Lu_normal.png</v>
      </c>
      <c r="AW443" s="82" t="s">
        <v>13545</v>
      </c>
      <c r="AX443" s="82" t="s">
        <v>13545</v>
      </c>
      <c r="AY443" s="77"/>
      <c r="AZ443" s="82" t="s">
        <v>17385</v>
      </c>
      <c r="BA443" s="82" t="s">
        <v>17385</v>
      </c>
      <c r="BB443" s="82" t="s">
        <v>17385</v>
      </c>
      <c r="BC443" s="82" t="s">
        <v>13545</v>
      </c>
      <c r="BD443" s="77">
        <v>489723814</v>
      </c>
      <c r="BE443" s="77"/>
      <c r="BF443" s="77"/>
      <c r="BG443" s="77"/>
      <c r="BH443" s="77"/>
      <c r="BI443" s="77"/>
    </row>
    <row r="444" spans="1:61" x14ac:dyDescent="0.25">
      <c r="A444" s="62" t="s">
        <v>321</v>
      </c>
      <c r="B444" s="62" t="s">
        <v>321</v>
      </c>
      <c r="C444" s="63"/>
      <c r="D444" s="64"/>
      <c r="E444" s="65"/>
      <c r="F444" s="66"/>
      <c r="G444" s="63"/>
      <c r="H444" s="67"/>
      <c r="I444" s="68"/>
      <c r="J444" s="68"/>
      <c r="K444" s="32"/>
      <c r="L444" s="75">
        <v>444</v>
      </c>
      <c r="M444" s="75"/>
      <c r="N444" s="70"/>
      <c r="O444" s="77" t="s">
        <v>179</v>
      </c>
      <c r="P444" s="79">
        <v>45162.872916666667</v>
      </c>
      <c r="Q444" s="77" t="s">
        <v>1242</v>
      </c>
      <c r="R444" s="77">
        <v>0</v>
      </c>
      <c r="S444" s="77">
        <v>0</v>
      </c>
      <c r="T444" s="77">
        <v>0</v>
      </c>
      <c r="U444" s="77">
        <v>0</v>
      </c>
      <c r="V444" s="77">
        <v>1</v>
      </c>
      <c r="W444" s="82" t="s">
        <v>4835</v>
      </c>
      <c r="X444" s="80" t="str">
        <f>HYPERLINK("https://buff.ly/3KShI5X")</f>
        <v>https://buff.ly/3KShI5X</v>
      </c>
      <c r="Y444" s="77" t="s">
        <v>7082</v>
      </c>
      <c r="Z444" s="77"/>
      <c r="AA444" s="77"/>
      <c r="AB444" s="77"/>
      <c r="AC444" s="82" t="s">
        <v>8252</v>
      </c>
      <c r="AD444" s="77" t="s">
        <v>8278</v>
      </c>
      <c r="AE444" s="80" t="str">
        <f>HYPERLINK("https://twitter.com/freeclassific/status/1694816096203710900")</f>
        <v>https://twitter.com/freeclassific/status/1694816096203710900</v>
      </c>
      <c r="AF444" s="79">
        <v>45162.872916666667</v>
      </c>
      <c r="AG444" s="85">
        <v>45162</v>
      </c>
      <c r="AH444" s="82" t="s">
        <v>8703</v>
      </c>
      <c r="AI444" s="77" t="b">
        <v>0</v>
      </c>
      <c r="AJ444" s="77"/>
      <c r="AK444" s="77"/>
      <c r="AL444" s="77"/>
      <c r="AM444" s="77"/>
      <c r="AN444" s="77"/>
      <c r="AO444" s="77"/>
      <c r="AP444" s="77"/>
      <c r="AQ444" s="77"/>
      <c r="AR444" s="77"/>
      <c r="AS444" s="77"/>
      <c r="AT444" s="77"/>
      <c r="AU444" s="77"/>
      <c r="AV444" s="80" t="str">
        <f>HYPERLINK("https://pbs.twimg.com/profile_images/1431648743728852993/tLJ7F5Lu_normal.png")</f>
        <v>https://pbs.twimg.com/profile_images/1431648743728852993/tLJ7F5Lu_normal.png</v>
      </c>
      <c r="AW444" s="82" t="s">
        <v>13546</v>
      </c>
      <c r="AX444" s="82" t="s">
        <v>13546</v>
      </c>
      <c r="AY444" s="77"/>
      <c r="AZ444" s="82" t="s">
        <v>17385</v>
      </c>
      <c r="BA444" s="82" t="s">
        <v>17385</v>
      </c>
      <c r="BB444" s="82" t="s">
        <v>17385</v>
      </c>
      <c r="BC444" s="82" t="s">
        <v>13546</v>
      </c>
      <c r="BD444" s="77">
        <v>489723814</v>
      </c>
      <c r="BE444" s="77"/>
      <c r="BF444" s="77"/>
      <c r="BG444" s="77"/>
      <c r="BH444" s="77"/>
      <c r="BI444" s="77"/>
    </row>
    <row r="445" spans="1:61" x14ac:dyDescent="0.25">
      <c r="A445" s="62" t="s">
        <v>321</v>
      </c>
      <c r="B445" s="62" t="s">
        <v>321</v>
      </c>
      <c r="C445" s="63"/>
      <c r="D445" s="64"/>
      <c r="E445" s="65"/>
      <c r="F445" s="66"/>
      <c r="G445" s="63"/>
      <c r="H445" s="67"/>
      <c r="I445" s="68"/>
      <c r="J445" s="68"/>
      <c r="K445" s="32"/>
      <c r="L445" s="75">
        <v>445</v>
      </c>
      <c r="M445" s="75"/>
      <c r="N445" s="70"/>
      <c r="O445" s="77" t="s">
        <v>179</v>
      </c>
      <c r="P445" s="79">
        <v>45162.722916666666</v>
      </c>
      <c r="Q445" s="77" t="s">
        <v>1243</v>
      </c>
      <c r="R445" s="77">
        <v>0</v>
      </c>
      <c r="S445" s="77">
        <v>0</v>
      </c>
      <c r="T445" s="77">
        <v>0</v>
      </c>
      <c r="U445" s="77">
        <v>0</v>
      </c>
      <c r="V445" s="77">
        <v>6</v>
      </c>
      <c r="W445" s="82" t="s">
        <v>4835</v>
      </c>
      <c r="X445" s="80" t="str">
        <f>HYPERLINK("https://buff.ly/3qJZWeb")</f>
        <v>https://buff.ly/3qJZWeb</v>
      </c>
      <c r="Y445" s="77" t="s">
        <v>7082</v>
      </c>
      <c r="Z445" s="77"/>
      <c r="AA445" s="77"/>
      <c r="AB445" s="77"/>
      <c r="AC445" s="82" t="s">
        <v>8252</v>
      </c>
      <c r="AD445" s="77" t="s">
        <v>8278</v>
      </c>
      <c r="AE445" s="80" t="str">
        <f>HYPERLINK("https://twitter.com/freeclassific/status/1694761738510430569")</f>
        <v>https://twitter.com/freeclassific/status/1694761738510430569</v>
      </c>
      <c r="AF445" s="79">
        <v>45162.722916666666</v>
      </c>
      <c r="AG445" s="85">
        <v>45162</v>
      </c>
      <c r="AH445" s="82" t="s">
        <v>8705</v>
      </c>
      <c r="AI445" s="77" t="b">
        <v>0</v>
      </c>
      <c r="AJ445" s="77"/>
      <c r="AK445" s="77"/>
      <c r="AL445" s="77"/>
      <c r="AM445" s="77"/>
      <c r="AN445" s="77"/>
      <c r="AO445" s="77"/>
      <c r="AP445" s="77"/>
      <c r="AQ445" s="77"/>
      <c r="AR445" s="77"/>
      <c r="AS445" s="77"/>
      <c r="AT445" s="77"/>
      <c r="AU445" s="77"/>
      <c r="AV445" s="80" t="str">
        <f>HYPERLINK("https://pbs.twimg.com/profile_images/1431648743728852993/tLJ7F5Lu_normal.png")</f>
        <v>https://pbs.twimg.com/profile_images/1431648743728852993/tLJ7F5Lu_normal.png</v>
      </c>
      <c r="AW445" s="82" t="s">
        <v>13547</v>
      </c>
      <c r="AX445" s="82" t="s">
        <v>13547</v>
      </c>
      <c r="AY445" s="77"/>
      <c r="AZ445" s="82" t="s">
        <v>17385</v>
      </c>
      <c r="BA445" s="82" t="s">
        <v>17385</v>
      </c>
      <c r="BB445" s="82" t="s">
        <v>17385</v>
      </c>
      <c r="BC445" s="82" t="s">
        <v>13547</v>
      </c>
      <c r="BD445" s="77">
        <v>489723814</v>
      </c>
      <c r="BE445" s="77"/>
      <c r="BF445" s="77"/>
      <c r="BG445" s="77"/>
      <c r="BH445" s="77"/>
      <c r="BI445" s="77"/>
    </row>
    <row r="446" spans="1:61" x14ac:dyDescent="0.25">
      <c r="A446" s="62" t="s">
        <v>322</v>
      </c>
      <c r="B446" s="62" t="s">
        <v>322</v>
      </c>
      <c r="C446" s="63"/>
      <c r="D446" s="64"/>
      <c r="E446" s="65"/>
      <c r="F446" s="66"/>
      <c r="G446" s="63"/>
      <c r="H446" s="67"/>
      <c r="I446" s="68"/>
      <c r="J446" s="68"/>
      <c r="K446" s="32"/>
      <c r="L446" s="75">
        <v>446</v>
      </c>
      <c r="M446" s="75"/>
      <c r="N446" s="70"/>
      <c r="O446" s="77" t="s">
        <v>179</v>
      </c>
      <c r="P446" s="79">
        <v>45162.58388888889</v>
      </c>
      <c r="Q446" s="77" t="s">
        <v>1244</v>
      </c>
      <c r="R446" s="77">
        <v>0</v>
      </c>
      <c r="S446" s="77">
        <v>0</v>
      </c>
      <c r="T446" s="77">
        <v>0</v>
      </c>
      <c r="U446" s="77">
        <v>0</v>
      </c>
      <c r="V446" s="77">
        <v>33</v>
      </c>
      <c r="W446" s="82" t="s">
        <v>5044</v>
      </c>
      <c r="X446" s="80" t="str">
        <f>HYPERLINK("http://wp.me/p4RTuC-PcJ")</f>
        <v>http://wp.me/p4RTuC-PcJ</v>
      </c>
      <c r="Y446" s="77" t="s">
        <v>7083</v>
      </c>
      <c r="Z446" s="77"/>
      <c r="AA446" s="77"/>
      <c r="AB446" s="77"/>
      <c r="AC446" s="82" t="s">
        <v>8233</v>
      </c>
      <c r="AD446" s="77" t="s">
        <v>8278</v>
      </c>
      <c r="AE446" s="80" t="str">
        <f>HYPERLINK("https://twitter.com/rafaelporcari/status/1694711359517466754")</f>
        <v>https://twitter.com/rafaelporcari/status/1694711359517466754</v>
      </c>
      <c r="AF446" s="79">
        <v>45162.58388888889</v>
      </c>
      <c r="AG446" s="85">
        <v>45162</v>
      </c>
      <c r="AH446" s="82" t="s">
        <v>8708</v>
      </c>
      <c r="AI446" s="77" t="b">
        <v>0</v>
      </c>
      <c r="AJ446" s="77"/>
      <c r="AK446" s="77"/>
      <c r="AL446" s="77"/>
      <c r="AM446" s="77"/>
      <c r="AN446" s="77"/>
      <c r="AO446" s="77"/>
      <c r="AP446" s="77"/>
      <c r="AQ446" s="77"/>
      <c r="AR446" s="77"/>
      <c r="AS446" s="77"/>
      <c r="AT446" s="77"/>
      <c r="AU446" s="77"/>
      <c r="AV446" s="80" t="str">
        <f>HYPERLINK("https://pbs.twimg.com/profile_images/1406282412871630856/W89Wdi2l_normal.jpg")</f>
        <v>https://pbs.twimg.com/profile_images/1406282412871630856/W89Wdi2l_normal.jpg</v>
      </c>
      <c r="AW446" s="82" t="s">
        <v>13548</v>
      </c>
      <c r="AX446" s="82" t="s">
        <v>13548</v>
      </c>
      <c r="AY446" s="77"/>
      <c r="AZ446" s="82" t="s">
        <v>17385</v>
      </c>
      <c r="BA446" s="82" t="s">
        <v>17385</v>
      </c>
      <c r="BB446" s="82" t="s">
        <v>17385</v>
      </c>
      <c r="BC446" s="82" t="s">
        <v>13548</v>
      </c>
      <c r="BD446" s="77">
        <v>51565827</v>
      </c>
      <c r="BE446" s="77"/>
      <c r="BF446" s="77"/>
      <c r="BG446" s="77"/>
      <c r="BH446" s="77"/>
      <c r="BI446" s="77"/>
    </row>
    <row r="447" spans="1:61" x14ac:dyDescent="0.25">
      <c r="A447" s="62" t="s">
        <v>323</v>
      </c>
      <c r="B447" s="62" t="s">
        <v>323</v>
      </c>
      <c r="C447" s="63"/>
      <c r="D447" s="64"/>
      <c r="E447" s="65"/>
      <c r="F447" s="66"/>
      <c r="G447" s="63"/>
      <c r="H447" s="67"/>
      <c r="I447" s="68"/>
      <c r="J447" s="68"/>
      <c r="K447" s="32"/>
      <c r="L447" s="75">
        <v>447</v>
      </c>
      <c r="M447" s="75"/>
      <c r="N447" s="70"/>
      <c r="O447" s="77" t="s">
        <v>179</v>
      </c>
      <c r="P447" s="79">
        <v>45072.531354166669</v>
      </c>
      <c r="Q447" s="77" t="s">
        <v>1245</v>
      </c>
      <c r="R447" s="77">
        <v>0</v>
      </c>
      <c r="S447" s="77">
        <v>0</v>
      </c>
      <c r="T447" s="77">
        <v>0</v>
      </c>
      <c r="U447" s="77">
        <v>0</v>
      </c>
      <c r="V447" s="77">
        <v>51</v>
      </c>
      <c r="W447" s="82" t="s">
        <v>5045</v>
      </c>
      <c r="X447" s="80" t="str">
        <f>HYPERLINK("https://cutt.ly/SALA-DE-SINAIS-CRASH-ROLETA-GRATIS")</f>
        <v>https://cutt.ly/SALA-DE-SINAIS-CRASH-ROLETA-GRATIS</v>
      </c>
      <c r="Y447" s="77" t="s">
        <v>7059</v>
      </c>
      <c r="Z447" s="77"/>
      <c r="AA447" s="77" t="s">
        <v>7491</v>
      </c>
      <c r="AB447" s="77" t="s">
        <v>8227</v>
      </c>
      <c r="AC447" s="82" t="s">
        <v>8232</v>
      </c>
      <c r="AD447" s="77" t="s">
        <v>8278</v>
      </c>
      <c r="AE447" s="80" t="str">
        <f>HYPERLINK("https://twitter.com/roletasalafree/status/1662077409917534211")</f>
        <v>https://twitter.com/roletasalafree/status/1662077409917534211</v>
      </c>
      <c r="AF447" s="79">
        <v>45072.531354166669</v>
      </c>
      <c r="AG447" s="85">
        <v>45072</v>
      </c>
      <c r="AH447" s="82" t="s">
        <v>8709</v>
      </c>
      <c r="AI447" s="77" t="b">
        <v>0</v>
      </c>
      <c r="AJ447" s="77"/>
      <c r="AK447" s="77"/>
      <c r="AL447" s="77"/>
      <c r="AM447" s="77"/>
      <c r="AN447" s="77"/>
      <c r="AO447" s="77"/>
      <c r="AP447" s="77"/>
      <c r="AQ447" s="77" t="s">
        <v>12376</v>
      </c>
      <c r="AR447" s="77">
        <v>9533</v>
      </c>
      <c r="AS447" s="77"/>
      <c r="AT447" s="77"/>
      <c r="AU447" s="77"/>
      <c r="AV447" s="80" t="str">
        <f>HYPERLINK("https://pbs.twimg.com/ext_tw_video_thumb/1662077381677400064/pu/img/QLTh58paZdYnSEwc.jpg")</f>
        <v>https://pbs.twimg.com/ext_tw_video_thumb/1662077381677400064/pu/img/QLTh58paZdYnSEwc.jpg</v>
      </c>
      <c r="AW447" s="82" t="s">
        <v>13549</v>
      </c>
      <c r="AX447" s="82" t="s">
        <v>13549</v>
      </c>
      <c r="AY447" s="77"/>
      <c r="AZ447" s="82" t="s">
        <v>17385</v>
      </c>
      <c r="BA447" s="82" t="s">
        <v>17385</v>
      </c>
      <c r="BB447" s="82" t="s">
        <v>17385</v>
      </c>
      <c r="BC447" s="82" t="s">
        <v>13549</v>
      </c>
      <c r="BD447" s="82" t="s">
        <v>17493</v>
      </c>
      <c r="BE447" s="77"/>
      <c r="BF447" s="77"/>
      <c r="BG447" s="77"/>
      <c r="BH447" s="77"/>
      <c r="BI447" s="77"/>
    </row>
    <row r="448" spans="1:61" x14ac:dyDescent="0.25">
      <c r="A448" s="62" t="s">
        <v>323</v>
      </c>
      <c r="B448" s="62" t="s">
        <v>323</v>
      </c>
      <c r="C448" s="63"/>
      <c r="D448" s="64"/>
      <c r="E448" s="65"/>
      <c r="F448" s="66"/>
      <c r="G448" s="63"/>
      <c r="H448" s="67"/>
      <c r="I448" s="68"/>
      <c r="J448" s="68"/>
      <c r="K448" s="32"/>
      <c r="L448" s="75">
        <v>448</v>
      </c>
      <c r="M448" s="75"/>
      <c r="N448" s="70"/>
      <c r="O448" s="77" t="s">
        <v>179</v>
      </c>
      <c r="P448" s="79">
        <v>45072.53087962963</v>
      </c>
      <c r="Q448" s="77" t="s">
        <v>1246</v>
      </c>
      <c r="R448" s="77">
        <v>0</v>
      </c>
      <c r="S448" s="77">
        <v>0</v>
      </c>
      <c r="T448" s="77">
        <v>0</v>
      </c>
      <c r="U448" s="77">
        <v>0</v>
      </c>
      <c r="V448" s="77">
        <v>22</v>
      </c>
      <c r="W448" s="82" t="s">
        <v>5045</v>
      </c>
      <c r="X448" s="80" t="str">
        <f>HYPERLINK("https://cutt.ly/SALA-DE-SINAIS-CRASH-ROLETA-GRATIS")</f>
        <v>https://cutt.ly/SALA-DE-SINAIS-CRASH-ROLETA-GRATIS</v>
      </c>
      <c r="Y448" s="77" t="s">
        <v>7059</v>
      </c>
      <c r="Z448" s="77"/>
      <c r="AA448" s="77" t="s">
        <v>7492</v>
      </c>
      <c r="AB448" s="77" t="s">
        <v>8227</v>
      </c>
      <c r="AC448" s="82" t="s">
        <v>8232</v>
      </c>
      <c r="AD448" s="77" t="s">
        <v>8278</v>
      </c>
      <c r="AE448" s="80" t="str">
        <f>HYPERLINK("https://twitter.com/roletasalafree/status/1662077239960150017")</f>
        <v>https://twitter.com/roletasalafree/status/1662077239960150017</v>
      </c>
      <c r="AF448" s="79">
        <v>45072.53087962963</v>
      </c>
      <c r="AG448" s="85">
        <v>45072</v>
      </c>
      <c r="AH448" s="82" t="s">
        <v>8710</v>
      </c>
      <c r="AI448" s="77" t="b">
        <v>0</v>
      </c>
      <c r="AJ448" s="77"/>
      <c r="AK448" s="77"/>
      <c r="AL448" s="77"/>
      <c r="AM448" s="77"/>
      <c r="AN448" s="77"/>
      <c r="AO448" s="77"/>
      <c r="AP448" s="77"/>
      <c r="AQ448" s="77" t="s">
        <v>12377</v>
      </c>
      <c r="AR448" s="77">
        <v>31532</v>
      </c>
      <c r="AS448" s="77"/>
      <c r="AT448" s="77"/>
      <c r="AU448" s="77"/>
      <c r="AV448" s="80" t="str">
        <f>HYPERLINK("https://pbs.twimg.com/ext_tw_video_thumb/1662077026767863809/pu/img/JWMT99jpe6pqgRFZ.jpg")</f>
        <v>https://pbs.twimg.com/ext_tw_video_thumb/1662077026767863809/pu/img/JWMT99jpe6pqgRFZ.jpg</v>
      </c>
      <c r="AW448" s="82" t="s">
        <v>13550</v>
      </c>
      <c r="AX448" s="82" t="s">
        <v>13550</v>
      </c>
      <c r="AY448" s="77"/>
      <c r="AZ448" s="82" t="s">
        <v>17385</v>
      </c>
      <c r="BA448" s="82" t="s">
        <v>17385</v>
      </c>
      <c r="BB448" s="82" t="s">
        <v>17385</v>
      </c>
      <c r="BC448" s="82" t="s">
        <v>13550</v>
      </c>
      <c r="BD448" s="82" t="s">
        <v>17493</v>
      </c>
      <c r="BE448" s="77"/>
      <c r="BF448" s="77"/>
      <c r="BG448" s="77"/>
      <c r="BH448" s="77"/>
      <c r="BI448" s="77"/>
    </row>
    <row r="449" spans="1:61" x14ac:dyDescent="0.25">
      <c r="A449" s="62" t="s">
        <v>323</v>
      </c>
      <c r="B449" s="62" t="s">
        <v>323</v>
      </c>
      <c r="C449" s="63"/>
      <c r="D449" s="64"/>
      <c r="E449" s="65"/>
      <c r="F449" s="66"/>
      <c r="G449" s="63"/>
      <c r="H449" s="67"/>
      <c r="I449" s="68"/>
      <c r="J449" s="68"/>
      <c r="K449" s="32"/>
      <c r="L449" s="75">
        <v>449</v>
      </c>
      <c r="M449" s="75"/>
      <c r="N449" s="70"/>
      <c r="O449" s="77" t="s">
        <v>179</v>
      </c>
      <c r="P449" s="79">
        <v>45083.986550925925</v>
      </c>
      <c r="Q449" s="77" t="s">
        <v>1247</v>
      </c>
      <c r="R449" s="77">
        <v>0</v>
      </c>
      <c r="S449" s="77">
        <v>0</v>
      </c>
      <c r="T449" s="77">
        <v>0</v>
      </c>
      <c r="U449" s="77">
        <v>0</v>
      </c>
      <c r="V449" s="77">
        <v>40</v>
      </c>
      <c r="W449" s="82" t="s">
        <v>5045</v>
      </c>
      <c r="X449" s="80" t="str">
        <f>HYPERLINK("https://cutt.ly/SALA-DE-SINAIS-CRASH-ROLETA-GRATIS")</f>
        <v>https://cutt.ly/SALA-DE-SINAIS-CRASH-ROLETA-GRATIS</v>
      </c>
      <c r="Y449" s="77" t="s">
        <v>7059</v>
      </c>
      <c r="Z449" s="77"/>
      <c r="AA449" s="77" t="s">
        <v>7493</v>
      </c>
      <c r="AB449" s="77" t="s">
        <v>8225</v>
      </c>
      <c r="AC449" s="82" t="s">
        <v>8232</v>
      </c>
      <c r="AD449" s="77" t="s">
        <v>8278</v>
      </c>
      <c r="AE449" s="80" t="str">
        <f>HYPERLINK("https://twitter.com/roletasalafree/status/1666228634393231365")</f>
        <v>https://twitter.com/roletasalafree/status/1666228634393231365</v>
      </c>
      <c r="AF449" s="79">
        <v>45083.986550925925</v>
      </c>
      <c r="AG449" s="85">
        <v>45083</v>
      </c>
      <c r="AH449" s="82" t="s">
        <v>8711</v>
      </c>
      <c r="AI449" s="77" t="b">
        <v>0</v>
      </c>
      <c r="AJ449" s="77"/>
      <c r="AK449" s="77"/>
      <c r="AL449" s="77"/>
      <c r="AM449" s="77"/>
      <c r="AN449" s="77"/>
      <c r="AO449" s="77"/>
      <c r="AP449" s="77"/>
      <c r="AQ449" s="77" t="s">
        <v>12378</v>
      </c>
      <c r="AR449" s="77"/>
      <c r="AS449" s="77"/>
      <c r="AT449" s="77"/>
      <c r="AU449" s="77"/>
      <c r="AV449" s="80" t="str">
        <f>HYPERLINK("https://pbs.twimg.com/media/Fx-iGeHWAAEcjTi.jpg")</f>
        <v>https://pbs.twimg.com/media/Fx-iGeHWAAEcjTi.jpg</v>
      </c>
      <c r="AW449" s="82" t="s">
        <v>13551</v>
      </c>
      <c r="AX449" s="82" t="s">
        <v>13551</v>
      </c>
      <c r="AY449" s="77"/>
      <c r="AZ449" s="82" t="s">
        <v>17385</v>
      </c>
      <c r="BA449" s="82" t="s">
        <v>17385</v>
      </c>
      <c r="BB449" s="82" t="s">
        <v>17385</v>
      </c>
      <c r="BC449" s="82" t="s">
        <v>13551</v>
      </c>
      <c r="BD449" s="82" t="s">
        <v>17493</v>
      </c>
      <c r="BE449" s="77"/>
      <c r="BF449" s="77"/>
      <c r="BG449" s="77"/>
      <c r="BH449" s="77"/>
      <c r="BI449" s="77"/>
    </row>
    <row r="450" spans="1:61" x14ac:dyDescent="0.25">
      <c r="A450" s="62" t="s">
        <v>323</v>
      </c>
      <c r="B450" s="62" t="s">
        <v>323</v>
      </c>
      <c r="C450" s="63"/>
      <c r="D450" s="64"/>
      <c r="E450" s="65"/>
      <c r="F450" s="66"/>
      <c r="G450" s="63"/>
      <c r="H450" s="67"/>
      <c r="I450" s="68"/>
      <c r="J450" s="68"/>
      <c r="K450" s="32"/>
      <c r="L450" s="75">
        <v>450</v>
      </c>
      <c r="M450" s="75"/>
      <c r="N450" s="70"/>
      <c r="O450" s="77" t="s">
        <v>179</v>
      </c>
      <c r="P450" s="79">
        <v>45083.98642361111</v>
      </c>
      <c r="Q450" s="77" t="s">
        <v>1248</v>
      </c>
      <c r="R450" s="77">
        <v>0</v>
      </c>
      <c r="S450" s="77">
        <v>0</v>
      </c>
      <c r="T450" s="77">
        <v>0</v>
      </c>
      <c r="U450" s="77">
        <v>0</v>
      </c>
      <c r="V450" s="77">
        <v>34</v>
      </c>
      <c r="W450" s="82" t="s">
        <v>5045</v>
      </c>
      <c r="X450" s="80" t="str">
        <f>HYPERLINK("https://cutt.ly/SALA-DE-SINAIS-CRASH-ROLETA-GRATIS")</f>
        <v>https://cutt.ly/SALA-DE-SINAIS-CRASH-ROLETA-GRATIS</v>
      </c>
      <c r="Y450" s="77" t="s">
        <v>7059</v>
      </c>
      <c r="Z450" s="77"/>
      <c r="AA450" s="77" t="s">
        <v>7494</v>
      </c>
      <c r="AB450" s="77" t="s">
        <v>8225</v>
      </c>
      <c r="AC450" s="82" t="s">
        <v>8232</v>
      </c>
      <c r="AD450" s="77" t="s">
        <v>8278</v>
      </c>
      <c r="AE450" s="80" t="str">
        <f>HYPERLINK("https://twitter.com/roletasalafree/status/1666228590751391746")</f>
        <v>https://twitter.com/roletasalafree/status/1666228590751391746</v>
      </c>
      <c r="AF450" s="79">
        <v>45083.98642361111</v>
      </c>
      <c r="AG450" s="85">
        <v>45083</v>
      </c>
      <c r="AH450" s="82" t="s">
        <v>8712</v>
      </c>
      <c r="AI450" s="77" t="b">
        <v>0</v>
      </c>
      <c r="AJ450" s="77"/>
      <c r="AK450" s="77"/>
      <c r="AL450" s="77"/>
      <c r="AM450" s="77"/>
      <c r="AN450" s="77"/>
      <c r="AO450" s="77"/>
      <c r="AP450" s="77"/>
      <c r="AQ450" s="77" t="s">
        <v>12379</v>
      </c>
      <c r="AR450" s="77"/>
      <c r="AS450" s="77"/>
      <c r="AT450" s="77"/>
      <c r="AU450" s="77"/>
      <c r="AV450" s="80" t="str">
        <f>HYPERLINK("https://pbs.twimg.com/media/Fx-iCUSWcAAQtl7.jpg")</f>
        <v>https://pbs.twimg.com/media/Fx-iCUSWcAAQtl7.jpg</v>
      </c>
      <c r="AW450" s="82" t="s">
        <v>13552</v>
      </c>
      <c r="AX450" s="82" t="s">
        <v>13552</v>
      </c>
      <c r="AY450" s="77"/>
      <c r="AZ450" s="82" t="s">
        <v>17385</v>
      </c>
      <c r="BA450" s="82" t="s">
        <v>17385</v>
      </c>
      <c r="BB450" s="82" t="s">
        <v>17385</v>
      </c>
      <c r="BC450" s="82" t="s">
        <v>13552</v>
      </c>
      <c r="BD450" s="82" t="s">
        <v>17493</v>
      </c>
      <c r="BE450" s="77"/>
      <c r="BF450" s="77"/>
      <c r="BG450" s="77"/>
      <c r="BH450" s="77"/>
      <c r="BI450" s="77"/>
    </row>
    <row r="451" spans="1:61" x14ac:dyDescent="0.25">
      <c r="A451" s="62" t="s">
        <v>323</v>
      </c>
      <c r="B451" s="62" t="s">
        <v>323</v>
      </c>
      <c r="C451" s="63"/>
      <c r="D451" s="64"/>
      <c r="E451" s="65"/>
      <c r="F451" s="66"/>
      <c r="G451" s="63"/>
      <c r="H451" s="67"/>
      <c r="I451" s="68"/>
      <c r="J451" s="68"/>
      <c r="K451" s="32"/>
      <c r="L451" s="75">
        <v>451</v>
      </c>
      <c r="M451" s="75"/>
      <c r="N451" s="70"/>
      <c r="O451" s="77" t="s">
        <v>179</v>
      </c>
      <c r="P451" s="79">
        <v>45080.007349537038</v>
      </c>
      <c r="Q451" s="77" t="s">
        <v>1249</v>
      </c>
      <c r="R451" s="77">
        <v>0</v>
      </c>
      <c r="S451" s="77">
        <v>0</v>
      </c>
      <c r="T451" s="77">
        <v>0</v>
      </c>
      <c r="U451" s="77">
        <v>0</v>
      </c>
      <c r="V451" s="77">
        <v>21</v>
      </c>
      <c r="W451" s="82" t="s">
        <v>5045</v>
      </c>
      <c r="X451" s="80" t="str">
        <f>HYPERLINK("https://cutt.ly/SALA-DE-SINAIS-CRASH-ROLETA-GRATIS")</f>
        <v>https://cutt.ly/SALA-DE-SINAIS-CRASH-ROLETA-GRATIS</v>
      </c>
      <c r="Y451" s="77" t="s">
        <v>7059</v>
      </c>
      <c r="Z451" s="77"/>
      <c r="AA451" s="77" t="s">
        <v>7495</v>
      </c>
      <c r="AB451" s="77" t="s">
        <v>8225</v>
      </c>
      <c r="AC451" s="82" t="s">
        <v>8232</v>
      </c>
      <c r="AD451" s="77" t="s">
        <v>8278</v>
      </c>
      <c r="AE451" s="80" t="str">
        <f>HYPERLINK("https://twitter.com/roletasalafree/status/1664786621680480257")</f>
        <v>https://twitter.com/roletasalafree/status/1664786621680480257</v>
      </c>
      <c r="AF451" s="79">
        <v>45080.007349537038</v>
      </c>
      <c r="AG451" s="85">
        <v>45080</v>
      </c>
      <c r="AH451" s="82" t="s">
        <v>8713</v>
      </c>
      <c r="AI451" s="77" t="b">
        <v>0</v>
      </c>
      <c r="AJ451" s="77"/>
      <c r="AK451" s="77"/>
      <c r="AL451" s="77"/>
      <c r="AM451" s="77"/>
      <c r="AN451" s="77"/>
      <c r="AO451" s="77"/>
      <c r="AP451" s="77"/>
      <c r="AQ451" s="77" t="s">
        <v>12380</v>
      </c>
      <c r="AR451" s="77"/>
      <c r="AS451" s="77"/>
      <c r="AT451" s="77"/>
      <c r="AU451" s="77"/>
      <c r="AV451" s="80" t="str">
        <f>HYPERLINK("https://pbs.twimg.com/media/FxqCmZaXsAEt-pn.jpg")</f>
        <v>https://pbs.twimg.com/media/FxqCmZaXsAEt-pn.jpg</v>
      </c>
      <c r="AW451" s="82" t="s">
        <v>13553</v>
      </c>
      <c r="AX451" s="82" t="s">
        <v>13553</v>
      </c>
      <c r="AY451" s="77"/>
      <c r="AZ451" s="82" t="s">
        <v>17385</v>
      </c>
      <c r="BA451" s="82" t="s">
        <v>17385</v>
      </c>
      <c r="BB451" s="82" t="s">
        <v>17385</v>
      </c>
      <c r="BC451" s="82" t="s">
        <v>13553</v>
      </c>
      <c r="BD451" s="82" t="s">
        <v>17493</v>
      </c>
      <c r="BE451" s="77"/>
      <c r="BF451" s="77"/>
      <c r="BG451" s="77"/>
      <c r="BH451" s="77"/>
      <c r="BI451" s="77"/>
    </row>
    <row r="452" spans="1:61" x14ac:dyDescent="0.25">
      <c r="A452" s="62" t="s">
        <v>323</v>
      </c>
      <c r="B452" s="62" t="s">
        <v>323</v>
      </c>
      <c r="C452" s="63"/>
      <c r="D452" s="64"/>
      <c r="E452" s="65"/>
      <c r="F452" s="66"/>
      <c r="G452" s="63"/>
      <c r="H452" s="67"/>
      <c r="I452" s="68"/>
      <c r="J452" s="68"/>
      <c r="K452" s="32"/>
      <c r="L452" s="75">
        <v>452</v>
      </c>
      <c r="M452" s="75"/>
      <c r="N452" s="70"/>
      <c r="O452" s="77" t="s">
        <v>179</v>
      </c>
      <c r="P452" s="79">
        <v>45080.007118055553</v>
      </c>
      <c r="Q452" s="77" t="s">
        <v>1250</v>
      </c>
      <c r="R452" s="77">
        <v>0</v>
      </c>
      <c r="S452" s="77">
        <v>0</v>
      </c>
      <c r="T452" s="77">
        <v>0</v>
      </c>
      <c r="U452" s="77">
        <v>0</v>
      </c>
      <c r="V452" s="77">
        <v>23</v>
      </c>
      <c r="W452" s="82" t="s">
        <v>5045</v>
      </c>
      <c r="X452" s="80" t="str">
        <f>HYPERLINK("https://cutt.ly/SALA-DE-SINAIS-CRASH-ROLETA-GRATIS")</f>
        <v>https://cutt.ly/SALA-DE-SINAIS-CRASH-ROLETA-GRATIS</v>
      </c>
      <c r="Y452" s="77" t="s">
        <v>7059</v>
      </c>
      <c r="Z452" s="77"/>
      <c r="AA452" s="77" t="s">
        <v>7496</v>
      </c>
      <c r="AB452" s="77" t="s">
        <v>8225</v>
      </c>
      <c r="AC452" s="82" t="s">
        <v>8232</v>
      </c>
      <c r="AD452" s="77" t="s">
        <v>8278</v>
      </c>
      <c r="AE452" s="80" t="str">
        <f>HYPERLINK("https://twitter.com/roletasalafree/status/1664786539170152451")</f>
        <v>https://twitter.com/roletasalafree/status/1664786539170152451</v>
      </c>
      <c r="AF452" s="79">
        <v>45080.007118055553</v>
      </c>
      <c r="AG452" s="85">
        <v>45080</v>
      </c>
      <c r="AH452" s="82" t="s">
        <v>8714</v>
      </c>
      <c r="AI452" s="77" t="b">
        <v>0</v>
      </c>
      <c r="AJ452" s="77"/>
      <c r="AK452" s="77"/>
      <c r="AL452" s="77"/>
      <c r="AM452" s="77"/>
      <c r="AN452" s="77"/>
      <c r="AO452" s="77"/>
      <c r="AP452" s="77"/>
      <c r="AQ452" s="77" t="s">
        <v>12381</v>
      </c>
      <c r="AR452" s="77"/>
      <c r="AS452" s="77"/>
      <c r="AT452" s="77"/>
      <c r="AU452" s="77"/>
      <c r="AV452" s="80" t="str">
        <f>HYPERLINK("https://pbs.twimg.com/media/FxqCgm7XoAAfK_A.jpg")</f>
        <v>https://pbs.twimg.com/media/FxqCgm7XoAAfK_A.jpg</v>
      </c>
      <c r="AW452" s="82" t="s">
        <v>13554</v>
      </c>
      <c r="AX452" s="82" t="s">
        <v>13554</v>
      </c>
      <c r="AY452" s="77"/>
      <c r="AZ452" s="82" t="s">
        <v>17385</v>
      </c>
      <c r="BA452" s="82" t="s">
        <v>17385</v>
      </c>
      <c r="BB452" s="82" t="s">
        <v>17385</v>
      </c>
      <c r="BC452" s="82" t="s">
        <v>13554</v>
      </c>
      <c r="BD452" s="82" t="s">
        <v>17493</v>
      </c>
      <c r="BE452" s="77"/>
      <c r="BF452" s="77"/>
      <c r="BG452" s="77"/>
      <c r="BH452" s="77"/>
      <c r="BI452" s="77"/>
    </row>
    <row r="453" spans="1:61" x14ac:dyDescent="0.25">
      <c r="A453" s="62" t="s">
        <v>323</v>
      </c>
      <c r="B453" s="62" t="s">
        <v>323</v>
      </c>
      <c r="C453" s="63"/>
      <c r="D453" s="64"/>
      <c r="E453" s="65"/>
      <c r="F453" s="66"/>
      <c r="G453" s="63"/>
      <c r="H453" s="67"/>
      <c r="I453" s="68"/>
      <c r="J453" s="68"/>
      <c r="K453" s="32"/>
      <c r="L453" s="75">
        <v>453</v>
      </c>
      <c r="M453" s="75"/>
      <c r="N453" s="70"/>
      <c r="O453" s="77" t="s">
        <v>179</v>
      </c>
      <c r="P453" s="79">
        <v>45082.905763888892</v>
      </c>
      <c r="Q453" s="77" t="s">
        <v>1251</v>
      </c>
      <c r="R453" s="77">
        <v>0</v>
      </c>
      <c r="S453" s="77">
        <v>0</v>
      </c>
      <c r="T453" s="77">
        <v>0</v>
      </c>
      <c r="U453" s="77">
        <v>0</v>
      </c>
      <c r="V453" s="77">
        <v>57</v>
      </c>
      <c r="W453" s="82" t="s">
        <v>5045</v>
      </c>
      <c r="X453" s="80" t="str">
        <f>HYPERLINK("https://cutt.ly/SALA-DE-SINAIS-CRASH-ROLETA-GRATIS")</f>
        <v>https://cutt.ly/SALA-DE-SINAIS-CRASH-ROLETA-GRATIS</v>
      </c>
      <c r="Y453" s="77" t="s">
        <v>7059</v>
      </c>
      <c r="Z453" s="77"/>
      <c r="AA453" s="77" t="s">
        <v>7497</v>
      </c>
      <c r="AB453" s="77" t="s">
        <v>8227</v>
      </c>
      <c r="AC453" s="82" t="s">
        <v>8232</v>
      </c>
      <c r="AD453" s="77" t="s">
        <v>8278</v>
      </c>
      <c r="AE453" s="80" t="str">
        <f>HYPERLINK("https://twitter.com/roletasalafree/status/1665836970772254725")</f>
        <v>https://twitter.com/roletasalafree/status/1665836970772254725</v>
      </c>
      <c r="AF453" s="79">
        <v>45082.905763888892</v>
      </c>
      <c r="AG453" s="85">
        <v>45082</v>
      </c>
      <c r="AH453" s="82" t="s">
        <v>8715</v>
      </c>
      <c r="AI453" s="77" t="b">
        <v>0</v>
      </c>
      <c r="AJ453" s="77"/>
      <c r="AK453" s="77"/>
      <c r="AL453" s="77"/>
      <c r="AM453" s="77"/>
      <c r="AN453" s="77"/>
      <c r="AO453" s="77"/>
      <c r="AP453" s="77"/>
      <c r="AQ453" s="77" t="s">
        <v>12382</v>
      </c>
      <c r="AR453" s="77">
        <v>9543</v>
      </c>
      <c r="AS453" s="77"/>
      <c r="AT453" s="77"/>
      <c r="AU453" s="77"/>
      <c r="AV453" s="80" t="str">
        <f>HYPERLINK("https://pbs.twimg.com/ext_tw_video_thumb/1665836932356603912/pu/img/A5Hyns3f9i7q5HYz.jpg")</f>
        <v>https://pbs.twimg.com/ext_tw_video_thumb/1665836932356603912/pu/img/A5Hyns3f9i7q5HYz.jpg</v>
      </c>
      <c r="AW453" s="82" t="s">
        <v>13555</v>
      </c>
      <c r="AX453" s="82" t="s">
        <v>13555</v>
      </c>
      <c r="AY453" s="77"/>
      <c r="AZ453" s="82" t="s">
        <v>17385</v>
      </c>
      <c r="BA453" s="82" t="s">
        <v>17385</v>
      </c>
      <c r="BB453" s="82" t="s">
        <v>17385</v>
      </c>
      <c r="BC453" s="82" t="s">
        <v>13555</v>
      </c>
      <c r="BD453" s="82" t="s">
        <v>17493</v>
      </c>
      <c r="BE453" s="77"/>
      <c r="BF453" s="77"/>
      <c r="BG453" s="77"/>
      <c r="BH453" s="77"/>
      <c r="BI453" s="77"/>
    </row>
    <row r="454" spans="1:61" x14ac:dyDescent="0.25">
      <c r="A454" s="62" t="s">
        <v>324</v>
      </c>
      <c r="B454" s="62" t="s">
        <v>324</v>
      </c>
      <c r="C454" s="63"/>
      <c r="D454" s="64"/>
      <c r="E454" s="65"/>
      <c r="F454" s="66"/>
      <c r="G454" s="63"/>
      <c r="H454" s="67"/>
      <c r="I454" s="68"/>
      <c r="J454" s="68"/>
      <c r="K454" s="32"/>
      <c r="L454" s="75">
        <v>454</v>
      </c>
      <c r="M454" s="75"/>
      <c r="N454" s="70"/>
      <c r="O454" s="77" t="s">
        <v>179</v>
      </c>
      <c r="P454" s="79">
        <v>45195.881655092591</v>
      </c>
      <c r="Q454" s="77" t="s">
        <v>1252</v>
      </c>
      <c r="R454" s="77">
        <v>0</v>
      </c>
      <c r="S454" s="77">
        <v>0</v>
      </c>
      <c r="T454" s="77">
        <v>2</v>
      </c>
      <c r="U454" s="77">
        <v>0</v>
      </c>
      <c r="V454" s="77">
        <v>7</v>
      </c>
      <c r="W454" s="82" t="s">
        <v>5046</v>
      </c>
      <c r="X454" s="77"/>
      <c r="Y454" s="77"/>
      <c r="Z454" s="77"/>
      <c r="AA454" s="77" t="s">
        <v>7498</v>
      </c>
      <c r="AB454" s="77" t="s">
        <v>8225</v>
      </c>
      <c r="AC454" s="82" t="s">
        <v>8234</v>
      </c>
      <c r="AD454" s="77" t="s">
        <v>8278</v>
      </c>
      <c r="AE454" s="80" t="str">
        <f>HYPERLINK("https://twitter.com/debritoinvest/status/1706778061931155627")</f>
        <v>https://twitter.com/debritoinvest/status/1706778061931155627</v>
      </c>
      <c r="AF454" s="79">
        <v>45195.881655092591</v>
      </c>
      <c r="AG454" s="85">
        <v>45195</v>
      </c>
      <c r="AH454" s="82" t="s">
        <v>8716</v>
      </c>
      <c r="AI454" s="77" t="b">
        <v>0</v>
      </c>
      <c r="AJ454" s="77" t="s">
        <v>11997</v>
      </c>
      <c r="AK454" s="77" t="s">
        <v>12007</v>
      </c>
      <c r="AL454" s="77" t="s">
        <v>12010</v>
      </c>
      <c r="AM454" s="77" t="s">
        <v>12017</v>
      </c>
      <c r="AN454" s="77" t="s">
        <v>12029</v>
      </c>
      <c r="AO454" s="77" t="s">
        <v>12043</v>
      </c>
      <c r="AP454" s="77" t="s">
        <v>12051</v>
      </c>
      <c r="AQ454" s="77" t="s">
        <v>12383</v>
      </c>
      <c r="AR454" s="77"/>
      <c r="AS454" s="77"/>
      <c r="AT454" s="77"/>
      <c r="AU454" s="77"/>
      <c r="AV454" s="80" t="str">
        <f>HYPERLINK("https://pbs.twimg.com/media/F6-xmiUWcAIPSBh.jpg")</f>
        <v>https://pbs.twimg.com/media/F6-xmiUWcAIPSBh.jpg</v>
      </c>
      <c r="AW454" s="82" t="s">
        <v>13556</v>
      </c>
      <c r="AX454" s="82" t="s">
        <v>13556</v>
      </c>
      <c r="AY454" s="77"/>
      <c r="AZ454" s="82" t="s">
        <v>17385</v>
      </c>
      <c r="BA454" s="82" t="s">
        <v>17385</v>
      </c>
      <c r="BB454" s="82" t="s">
        <v>17385</v>
      </c>
      <c r="BC454" s="82" t="s">
        <v>13556</v>
      </c>
      <c r="BD454" s="82" t="s">
        <v>17494</v>
      </c>
      <c r="BE454" s="77"/>
      <c r="BF454" s="77"/>
      <c r="BG454" s="77"/>
      <c r="BH454" s="77"/>
      <c r="BI454" s="77"/>
    </row>
    <row r="455" spans="1:61" x14ac:dyDescent="0.25">
      <c r="A455" s="62" t="s">
        <v>325</v>
      </c>
      <c r="B455" s="62" t="s">
        <v>325</v>
      </c>
      <c r="C455" s="63"/>
      <c r="D455" s="64"/>
      <c r="E455" s="65"/>
      <c r="F455" s="66"/>
      <c r="G455" s="63"/>
      <c r="H455" s="67"/>
      <c r="I455" s="68"/>
      <c r="J455" s="68"/>
      <c r="K455" s="32"/>
      <c r="L455" s="75">
        <v>455</v>
      </c>
      <c r="M455" s="75"/>
      <c r="N455" s="70"/>
      <c r="O455" s="77" t="s">
        <v>800</v>
      </c>
      <c r="P455" s="79">
        <v>45051.988425925927</v>
      </c>
      <c r="Q455" s="77" t="s">
        <v>1253</v>
      </c>
      <c r="R455" s="77">
        <v>0</v>
      </c>
      <c r="S455" s="77">
        <v>0</v>
      </c>
      <c r="T455" s="77">
        <v>1</v>
      </c>
      <c r="U455" s="77">
        <v>0</v>
      </c>
      <c r="V455" s="77">
        <v>7</v>
      </c>
      <c r="W455" s="82" t="s">
        <v>5047</v>
      </c>
      <c r="X455" s="77"/>
      <c r="Y455" s="77"/>
      <c r="Z455" s="77"/>
      <c r="AA455" s="77"/>
      <c r="AB455" s="77"/>
      <c r="AC455" s="82" t="s">
        <v>8253</v>
      </c>
      <c r="AD455" s="77" t="s">
        <v>8278</v>
      </c>
      <c r="AE455" s="80" t="str">
        <f>HYPERLINK("https://twitter.com/brainpowerbr/status/1654632903450722305")</f>
        <v>https://twitter.com/brainpowerbr/status/1654632903450722305</v>
      </c>
      <c r="AF455" s="79">
        <v>45051.988425925927</v>
      </c>
      <c r="AG455" s="85">
        <v>45051</v>
      </c>
      <c r="AH455" s="82" t="s">
        <v>8717</v>
      </c>
      <c r="AI455" s="77"/>
      <c r="AJ455" s="77"/>
      <c r="AK455" s="77"/>
      <c r="AL455" s="77"/>
      <c r="AM455" s="77"/>
      <c r="AN455" s="77"/>
      <c r="AO455" s="77"/>
      <c r="AP455" s="77"/>
      <c r="AQ455" s="77"/>
      <c r="AR455" s="77"/>
      <c r="AS455" s="77"/>
      <c r="AT455" s="77"/>
      <c r="AU455" s="77"/>
      <c r="AV455" s="80" t="str">
        <f>HYPERLINK("https://pbs.twimg.com/profile_images/1697947175089496064/H36gKqqv_normal.jpg")</f>
        <v>https://pbs.twimg.com/profile_images/1697947175089496064/H36gKqqv_normal.jpg</v>
      </c>
      <c r="AW455" s="82" t="s">
        <v>13557</v>
      </c>
      <c r="AX455" s="82" t="s">
        <v>17154</v>
      </c>
      <c r="AY455" s="82" t="s">
        <v>17328</v>
      </c>
      <c r="AZ455" s="82" t="s">
        <v>17396</v>
      </c>
      <c r="BA455" s="82" t="s">
        <v>17385</v>
      </c>
      <c r="BB455" s="82" t="s">
        <v>17385</v>
      </c>
      <c r="BC455" s="82" t="s">
        <v>17396</v>
      </c>
      <c r="BD455" s="77">
        <v>1887978842</v>
      </c>
      <c r="BE455" s="77"/>
      <c r="BF455" s="77"/>
      <c r="BG455" s="77"/>
      <c r="BH455" s="77"/>
      <c r="BI455" s="77"/>
    </row>
    <row r="456" spans="1:61" x14ac:dyDescent="0.25">
      <c r="A456" s="62" t="s">
        <v>326</v>
      </c>
      <c r="B456" s="62" t="s">
        <v>326</v>
      </c>
      <c r="C456" s="63"/>
      <c r="D456" s="64"/>
      <c r="E456" s="65"/>
      <c r="F456" s="66"/>
      <c r="G456" s="63"/>
      <c r="H456" s="67"/>
      <c r="I456" s="68"/>
      <c r="J456" s="68"/>
      <c r="K456" s="32"/>
      <c r="L456" s="75">
        <v>456</v>
      </c>
      <c r="M456" s="75"/>
      <c r="N456" s="70"/>
      <c r="O456" s="77" t="s">
        <v>179</v>
      </c>
      <c r="P456" s="79">
        <v>45191.021354166667</v>
      </c>
      <c r="Q456" s="77" t="s">
        <v>1254</v>
      </c>
      <c r="R456" s="77">
        <v>0</v>
      </c>
      <c r="S456" s="77">
        <v>1</v>
      </c>
      <c r="T456" s="77">
        <v>0</v>
      </c>
      <c r="U456" s="77">
        <v>0</v>
      </c>
      <c r="V456" s="77">
        <v>36</v>
      </c>
      <c r="W456" s="82" t="s">
        <v>5048</v>
      </c>
      <c r="X456" s="80" t="str">
        <f>HYPERLINK("https://youtu.be/wbUcO7qFBsA")</f>
        <v>https://youtu.be/wbUcO7qFBsA</v>
      </c>
      <c r="Y456" s="77" t="s">
        <v>7064</v>
      </c>
      <c r="Z456" s="77"/>
      <c r="AA456" s="77"/>
      <c r="AB456" s="77"/>
      <c r="AC456" s="82" t="s">
        <v>8232</v>
      </c>
      <c r="AD456" s="77" t="s">
        <v>8278</v>
      </c>
      <c r="AE456" s="80" t="str">
        <f>HYPERLINK("https://twitter.com/petruspeters8/status/1705016750238994916")</f>
        <v>https://twitter.com/petruspeters8/status/1705016750238994916</v>
      </c>
      <c r="AF456" s="79">
        <v>45191.021354166667</v>
      </c>
      <c r="AG456" s="85">
        <v>45191</v>
      </c>
      <c r="AH456" s="82" t="s">
        <v>8718</v>
      </c>
      <c r="AI456" s="77" t="b">
        <v>0</v>
      </c>
      <c r="AJ456" s="77"/>
      <c r="AK456" s="77"/>
      <c r="AL456" s="77"/>
      <c r="AM456" s="77"/>
      <c r="AN456" s="77"/>
      <c r="AO456" s="77"/>
      <c r="AP456" s="77"/>
      <c r="AQ456" s="77"/>
      <c r="AR456" s="77"/>
      <c r="AS456" s="77"/>
      <c r="AT456" s="77"/>
      <c r="AU456" s="77"/>
      <c r="AV456" s="80" t="str">
        <f>HYPERLINK("https://pbs.twimg.com/profile_images/1681993320275247105/qRqqNd-U_normal.jpg")</f>
        <v>https://pbs.twimg.com/profile_images/1681993320275247105/qRqqNd-U_normal.jpg</v>
      </c>
      <c r="AW456" s="82" t="s">
        <v>13558</v>
      </c>
      <c r="AX456" s="82" t="s">
        <v>13558</v>
      </c>
      <c r="AY456" s="77"/>
      <c r="AZ456" s="82" t="s">
        <v>17385</v>
      </c>
      <c r="BA456" s="82" t="s">
        <v>17385</v>
      </c>
      <c r="BB456" s="82" t="s">
        <v>17385</v>
      </c>
      <c r="BC456" s="82" t="s">
        <v>13558</v>
      </c>
      <c r="BD456" s="82" t="s">
        <v>17495</v>
      </c>
      <c r="BE456" s="77"/>
      <c r="BF456" s="77"/>
      <c r="BG456" s="77"/>
      <c r="BH456" s="77"/>
      <c r="BI456" s="77"/>
    </row>
    <row r="457" spans="1:61" x14ac:dyDescent="0.25">
      <c r="A457" s="62" t="s">
        <v>327</v>
      </c>
      <c r="B457" s="62" t="s">
        <v>327</v>
      </c>
      <c r="C457" s="63"/>
      <c r="D457" s="64"/>
      <c r="E457" s="65"/>
      <c r="F457" s="66"/>
      <c r="G457" s="63"/>
      <c r="H457" s="67"/>
      <c r="I457" s="68"/>
      <c r="J457" s="68"/>
      <c r="K457" s="32"/>
      <c r="L457" s="75">
        <v>457</v>
      </c>
      <c r="M457" s="75"/>
      <c r="N457" s="70"/>
      <c r="O457" s="77" t="s">
        <v>179</v>
      </c>
      <c r="P457" s="79">
        <v>45139.55672453704</v>
      </c>
      <c r="Q457" s="77" t="s">
        <v>1255</v>
      </c>
      <c r="R457" s="77">
        <v>0</v>
      </c>
      <c r="S457" s="77">
        <v>0</v>
      </c>
      <c r="T457" s="77">
        <v>0</v>
      </c>
      <c r="U457" s="77">
        <v>0</v>
      </c>
      <c r="V457" s="77">
        <v>89</v>
      </c>
      <c r="W457" s="82" t="s">
        <v>5049</v>
      </c>
      <c r="X457" s="77"/>
      <c r="Y457" s="77"/>
      <c r="Z457" s="77"/>
      <c r="AA457" s="77" t="s">
        <v>7499</v>
      </c>
      <c r="AB457" s="77" t="s">
        <v>8227</v>
      </c>
      <c r="AC457" s="82" t="s">
        <v>8233</v>
      </c>
      <c r="AD457" s="77" t="s">
        <v>8278</v>
      </c>
      <c r="AE457" s="80" t="str">
        <f>HYPERLINK("https://twitter.com/leandro25687644/status/1686366592458690560")</f>
        <v>https://twitter.com/leandro25687644/status/1686366592458690560</v>
      </c>
      <c r="AF457" s="79">
        <v>45139.55672453704</v>
      </c>
      <c r="AG457" s="85">
        <v>45139</v>
      </c>
      <c r="AH457" s="82" t="s">
        <v>8719</v>
      </c>
      <c r="AI457" s="77" t="b">
        <v>0</v>
      </c>
      <c r="AJ457" s="77"/>
      <c r="AK457" s="77"/>
      <c r="AL457" s="77"/>
      <c r="AM457" s="77"/>
      <c r="AN457" s="77"/>
      <c r="AO457" s="77"/>
      <c r="AP457" s="77"/>
      <c r="AQ457" s="77" t="s">
        <v>12384</v>
      </c>
      <c r="AR457" s="77">
        <v>26800</v>
      </c>
      <c r="AS457" s="77"/>
      <c r="AT457" s="77"/>
      <c r="AU457" s="77"/>
      <c r="AV457" s="80" t="str">
        <f>HYPERLINK("https://pbs.twimg.com/amplify_video_thumb/1686366495436165120/img/PMGqrXj3-kn8RDE4.jpg")</f>
        <v>https://pbs.twimg.com/amplify_video_thumb/1686366495436165120/img/PMGqrXj3-kn8RDE4.jpg</v>
      </c>
      <c r="AW457" s="82" t="s">
        <v>13559</v>
      </c>
      <c r="AX457" s="82" t="s">
        <v>13559</v>
      </c>
      <c r="AY457" s="77"/>
      <c r="AZ457" s="82" t="s">
        <v>17385</v>
      </c>
      <c r="BA457" s="82" t="s">
        <v>17385</v>
      </c>
      <c r="BB457" s="82" t="s">
        <v>17385</v>
      </c>
      <c r="BC457" s="82" t="s">
        <v>13559</v>
      </c>
      <c r="BD457" s="82" t="s">
        <v>17496</v>
      </c>
      <c r="BE457" s="77"/>
      <c r="BF457" s="77"/>
      <c r="BG457" s="77"/>
      <c r="BH457" s="77"/>
      <c r="BI457" s="77"/>
    </row>
    <row r="458" spans="1:61" x14ac:dyDescent="0.25">
      <c r="A458" s="62" t="s">
        <v>328</v>
      </c>
      <c r="B458" s="62" t="s">
        <v>328</v>
      </c>
      <c r="C458" s="63"/>
      <c r="D458" s="64"/>
      <c r="E458" s="65"/>
      <c r="F458" s="66"/>
      <c r="G458" s="63"/>
      <c r="H458" s="67"/>
      <c r="I458" s="68"/>
      <c r="J458" s="68"/>
      <c r="K458" s="32"/>
      <c r="L458" s="75">
        <v>458</v>
      </c>
      <c r="M458" s="75"/>
      <c r="N458" s="70"/>
      <c r="O458" s="77" t="s">
        <v>179</v>
      </c>
      <c r="P458" s="79">
        <v>45184.481041666666</v>
      </c>
      <c r="Q458" s="77" t="s">
        <v>1256</v>
      </c>
      <c r="R458" s="77">
        <v>0</v>
      </c>
      <c r="S458" s="77">
        <v>2</v>
      </c>
      <c r="T458" s="77">
        <v>0</v>
      </c>
      <c r="U458" s="77">
        <v>0</v>
      </c>
      <c r="V458" s="77">
        <v>114</v>
      </c>
      <c r="W458" s="82" t="s">
        <v>5050</v>
      </c>
      <c r="X458" s="77"/>
      <c r="Y458" s="77"/>
      <c r="Z458" s="77"/>
      <c r="AA458" s="77" t="s">
        <v>7500</v>
      </c>
      <c r="AB458" s="77" t="s">
        <v>8229</v>
      </c>
      <c r="AC458" s="82" t="s">
        <v>8232</v>
      </c>
      <c r="AD458" s="77" t="s">
        <v>8278</v>
      </c>
      <c r="AE458" s="80" t="str">
        <f>HYPERLINK("https://twitter.com/cmcovilha/status/1702646619945009397")</f>
        <v>https://twitter.com/cmcovilha/status/1702646619945009397</v>
      </c>
      <c r="AF458" s="79">
        <v>45184.481041666666</v>
      </c>
      <c r="AG458" s="85">
        <v>45184</v>
      </c>
      <c r="AH458" s="82" t="s">
        <v>8720</v>
      </c>
      <c r="AI458" s="77" t="b">
        <v>0</v>
      </c>
      <c r="AJ458" s="77"/>
      <c r="AK458" s="77"/>
      <c r="AL458" s="77"/>
      <c r="AM458" s="77"/>
      <c r="AN458" s="77"/>
      <c r="AO458" s="77"/>
      <c r="AP458" s="77"/>
      <c r="AQ458" s="77" t="s">
        <v>12385</v>
      </c>
      <c r="AR458" s="77"/>
      <c r="AS458" s="77"/>
      <c r="AT458" s="77"/>
      <c r="AU458" s="77"/>
      <c r="AV458" s="80" t="str">
        <f>HYPERLINK("https://pbs.twimg.com/media/F6ED5yNW4AAwMW_.jpg")</f>
        <v>https://pbs.twimg.com/media/F6ED5yNW4AAwMW_.jpg</v>
      </c>
      <c r="AW458" s="82" t="s">
        <v>13560</v>
      </c>
      <c r="AX458" s="82" t="s">
        <v>13560</v>
      </c>
      <c r="AY458" s="77"/>
      <c r="AZ458" s="82" t="s">
        <v>17385</v>
      </c>
      <c r="BA458" s="82" t="s">
        <v>17385</v>
      </c>
      <c r="BB458" s="82" t="s">
        <v>17385</v>
      </c>
      <c r="BC458" s="82" t="s">
        <v>13560</v>
      </c>
      <c r="BD458" s="77">
        <v>4876155353</v>
      </c>
      <c r="BE458" s="77"/>
      <c r="BF458" s="77"/>
      <c r="BG458" s="77"/>
      <c r="BH458" s="77"/>
      <c r="BI458" s="77"/>
    </row>
    <row r="459" spans="1:61" x14ac:dyDescent="0.25">
      <c r="A459" s="62" t="s">
        <v>329</v>
      </c>
      <c r="B459" s="62" t="s">
        <v>731</v>
      </c>
      <c r="C459" s="63"/>
      <c r="D459" s="64"/>
      <c r="E459" s="65"/>
      <c r="F459" s="66"/>
      <c r="G459" s="63"/>
      <c r="H459" s="67"/>
      <c r="I459" s="68"/>
      <c r="J459" s="68"/>
      <c r="K459" s="32"/>
      <c r="L459" s="75">
        <v>459</v>
      </c>
      <c r="M459" s="75"/>
      <c r="N459" s="70"/>
      <c r="O459" s="77" t="s">
        <v>802</v>
      </c>
      <c r="P459" s="79">
        <v>45092.975636574076</v>
      </c>
      <c r="Q459" s="77" t="s">
        <v>1257</v>
      </c>
      <c r="R459" s="77">
        <v>0</v>
      </c>
      <c r="S459" s="77">
        <v>1</v>
      </c>
      <c r="T459" s="77">
        <v>0</v>
      </c>
      <c r="U459" s="77">
        <v>0</v>
      </c>
      <c r="V459" s="77">
        <v>5</v>
      </c>
      <c r="W459" s="82" t="s">
        <v>5051</v>
      </c>
      <c r="X459" s="80" t="str">
        <f>HYPERLINK("https://www.youtube.com/live/e-vKxcAXisE?feature=share")</f>
        <v>https://www.youtube.com/live/e-vKxcAXisE?feature=share</v>
      </c>
      <c r="Y459" s="77" t="s">
        <v>7065</v>
      </c>
      <c r="Z459" s="77" t="s">
        <v>731</v>
      </c>
      <c r="AA459" s="77"/>
      <c r="AB459" s="77"/>
      <c r="AC459" s="82" t="s">
        <v>8232</v>
      </c>
      <c r="AD459" s="77" t="s">
        <v>8278</v>
      </c>
      <c r="AE459" s="80" t="str">
        <f>HYPERLINK("https://twitter.com/nishioeduardo/status/1669486170168778753")</f>
        <v>https://twitter.com/nishioeduardo/status/1669486170168778753</v>
      </c>
      <c r="AF459" s="79">
        <v>45092.975636574076</v>
      </c>
      <c r="AG459" s="85">
        <v>45092</v>
      </c>
      <c r="AH459" s="82" t="s">
        <v>8721</v>
      </c>
      <c r="AI459" s="77" t="b">
        <v>0</v>
      </c>
      <c r="AJ459" s="77"/>
      <c r="AK459" s="77"/>
      <c r="AL459" s="77"/>
      <c r="AM459" s="77"/>
      <c r="AN459" s="77"/>
      <c r="AO459" s="77"/>
      <c r="AP459" s="77"/>
      <c r="AQ459" s="77"/>
      <c r="AR459" s="77"/>
      <c r="AS459" s="77"/>
      <c r="AT459" s="77"/>
      <c r="AU459" s="77"/>
      <c r="AV459" s="80" t="str">
        <f>HYPERLINK("https://pbs.twimg.com/profile_images/1582508725167968257/s8aGnmow_normal.png")</f>
        <v>https://pbs.twimg.com/profile_images/1582508725167968257/s8aGnmow_normal.png</v>
      </c>
      <c r="AW459" s="82" t="s">
        <v>13561</v>
      </c>
      <c r="AX459" s="82" t="s">
        <v>13561</v>
      </c>
      <c r="AY459" s="77"/>
      <c r="AZ459" s="82" t="s">
        <v>17385</v>
      </c>
      <c r="BA459" s="82" t="s">
        <v>17385</v>
      </c>
      <c r="BB459" s="82" t="s">
        <v>17385</v>
      </c>
      <c r="BC459" s="82" t="s">
        <v>13561</v>
      </c>
      <c r="BD459" s="82" t="s">
        <v>17497</v>
      </c>
      <c r="BE459" s="77"/>
      <c r="BF459" s="77"/>
      <c r="BG459" s="77"/>
      <c r="BH459" s="77"/>
      <c r="BI459" s="77"/>
    </row>
    <row r="460" spans="1:61" x14ac:dyDescent="0.25">
      <c r="A460" s="62" t="s">
        <v>330</v>
      </c>
      <c r="B460" s="62" t="s">
        <v>330</v>
      </c>
      <c r="C460" s="63"/>
      <c r="D460" s="64"/>
      <c r="E460" s="65"/>
      <c r="F460" s="66"/>
      <c r="G460" s="63"/>
      <c r="H460" s="67"/>
      <c r="I460" s="68"/>
      <c r="J460" s="68"/>
      <c r="K460" s="32"/>
      <c r="L460" s="75">
        <v>460</v>
      </c>
      <c r="M460" s="75"/>
      <c r="N460" s="70"/>
      <c r="O460" s="77" t="s">
        <v>800</v>
      </c>
      <c r="P460" s="79">
        <v>45175.845682870371</v>
      </c>
      <c r="Q460" s="77" t="s">
        <v>1258</v>
      </c>
      <c r="R460" s="77">
        <v>0</v>
      </c>
      <c r="S460" s="77">
        <v>0</v>
      </c>
      <c r="T460" s="77">
        <v>0</v>
      </c>
      <c r="U460" s="77">
        <v>0</v>
      </c>
      <c r="V460" s="77">
        <v>161</v>
      </c>
      <c r="W460" s="82" t="s">
        <v>5052</v>
      </c>
      <c r="X460" s="77"/>
      <c r="Y460" s="77"/>
      <c r="Z460" s="77"/>
      <c r="AA460" s="77"/>
      <c r="AB460" s="77"/>
      <c r="AC460" s="82" t="s">
        <v>8232</v>
      </c>
      <c r="AD460" s="77" t="s">
        <v>8282</v>
      </c>
      <c r="AE460" s="80" t="str">
        <f>HYPERLINK("https://twitter.com/joaobrbrbr/status/1699517270517600348")</f>
        <v>https://twitter.com/joaobrbrbr/status/1699517270517600348</v>
      </c>
      <c r="AF460" s="79">
        <v>45175.845682870371</v>
      </c>
      <c r="AG460" s="85">
        <v>45175</v>
      </c>
      <c r="AH460" s="82" t="s">
        <v>8722</v>
      </c>
      <c r="AI460" s="77"/>
      <c r="AJ460" s="77"/>
      <c r="AK460" s="77"/>
      <c r="AL460" s="77"/>
      <c r="AM460" s="77"/>
      <c r="AN460" s="77"/>
      <c r="AO460" s="77"/>
      <c r="AP460" s="77"/>
      <c r="AQ460" s="77"/>
      <c r="AR460" s="77"/>
      <c r="AS460" s="77"/>
      <c r="AT460" s="77"/>
      <c r="AU460" s="77"/>
      <c r="AV460" s="80" t="str">
        <f>HYPERLINK("https://pbs.twimg.com/profile_images/1573346644296441856/20VphOCm_normal.jpg")</f>
        <v>https://pbs.twimg.com/profile_images/1573346644296441856/20VphOCm_normal.jpg</v>
      </c>
      <c r="AW460" s="82" t="s">
        <v>13562</v>
      </c>
      <c r="AX460" s="82" t="s">
        <v>17155</v>
      </c>
      <c r="AY460" s="82" t="s">
        <v>17329</v>
      </c>
      <c r="AZ460" s="82" t="s">
        <v>17155</v>
      </c>
      <c r="BA460" s="82" t="s">
        <v>17385</v>
      </c>
      <c r="BB460" s="82" t="s">
        <v>17385</v>
      </c>
      <c r="BC460" s="82" t="s">
        <v>17155</v>
      </c>
      <c r="BD460" s="77">
        <v>4827611891</v>
      </c>
      <c r="BE460" s="77"/>
      <c r="BF460" s="77"/>
      <c r="BG460" s="77"/>
      <c r="BH460" s="77"/>
      <c r="BI460" s="77"/>
    </row>
    <row r="461" spans="1:61" x14ac:dyDescent="0.25">
      <c r="A461" s="62" t="s">
        <v>331</v>
      </c>
      <c r="B461" s="62" t="s">
        <v>331</v>
      </c>
      <c r="C461" s="63"/>
      <c r="D461" s="64"/>
      <c r="E461" s="65"/>
      <c r="F461" s="66"/>
      <c r="G461" s="63"/>
      <c r="H461" s="67"/>
      <c r="I461" s="68"/>
      <c r="J461" s="68"/>
      <c r="K461" s="32"/>
      <c r="L461" s="75">
        <v>461</v>
      </c>
      <c r="M461" s="75"/>
      <c r="N461" s="70"/>
      <c r="O461" s="77" t="s">
        <v>179</v>
      </c>
      <c r="P461" s="79">
        <v>45144.896840277775</v>
      </c>
      <c r="Q461" s="77" t="s">
        <v>1259</v>
      </c>
      <c r="R461" s="77">
        <v>0</v>
      </c>
      <c r="S461" s="77">
        <v>0</v>
      </c>
      <c r="T461" s="77">
        <v>0</v>
      </c>
      <c r="U461" s="77">
        <v>0</v>
      </c>
      <c r="V461" s="77">
        <v>144</v>
      </c>
      <c r="W461" s="82" t="s">
        <v>5053</v>
      </c>
      <c r="X461" s="77"/>
      <c r="Y461" s="77"/>
      <c r="Z461" s="77"/>
      <c r="AA461" s="77" t="s">
        <v>7501</v>
      </c>
      <c r="AB461" s="77" t="s">
        <v>8227</v>
      </c>
      <c r="AC461" s="82" t="s">
        <v>8233</v>
      </c>
      <c r="AD461" s="77" t="s">
        <v>8278</v>
      </c>
      <c r="AE461" s="80" t="str">
        <f>HYPERLINK("https://twitter.com/investe1tempo/status/1688301783959932929")</f>
        <v>https://twitter.com/investe1tempo/status/1688301783959932929</v>
      </c>
      <c r="AF461" s="79">
        <v>45144.896840277775</v>
      </c>
      <c r="AG461" s="85">
        <v>45144</v>
      </c>
      <c r="AH461" s="82" t="s">
        <v>8723</v>
      </c>
      <c r="AI461" s="77" t="b">
        <v>0</v>
      </c>
      <c r="AJ461" s="77"/>
      <c r="AK461" s="77"/>
      <c r="AL461" s="77"/>
      <c r="AM461" s="77"/>
      <c r="AN461" s="77"/>
      <c r="AO461" s="77"/>
      <c r="AP461" s="77"/>
      <c r="AQ461" s="77" t="s">
        <v>12386</v>
      </c>
      <c r="AR461" s="77">
        <v>51120</v>
      </c>
      <c r="AS461" s="77"/>
      <c r="AT461" s="77"/>
      <c r="AU461" s="77"/>
      <c r="AV461" s="80" t="str">
        <f>HYPERLINK("https://pbs.twimg.com/ext_tw_video_thumb/1688301695237857280/pu/img/_ucJpmKr-lPwsoOE.jpg")</f>
        <v>https://pbs.twimg.com/ext_tw_video_thumb/1688301695237857280/pu/img/_ucJpmKr-lPwsoOE.jpg</v>
      </c>
      <c r="AW461" s="82" t="s">
        <v>13563</v>
      </c>
      <c r="AX461" s="82" t="s">
        <v>13563</v>
      </c>
      <c r="AY461" s="77"/>
      <c r="AZ461" s="82" t="s">
        <v>17385</v>
      </c>
      <c r="BA461" s="82" t="s">
        <v>17385</v>
      </c>
      <c r="BB461" s="82" t="s">
        <v>17385</v>
      </c>
      <c r="BC461" s="82" t="s">
        <v>13563</v>
      </c>
      <c r="BD461" s="82" t="s">
        <v>17498</v>
      </c>
      <c r="BE461" s="77"/>
      <c r="BF461" s="77"/>
      <c r="BG461" s="77"/>
      <c r="BH461" s="77"/>
      <c r="BI461" s="77"/>
    </row>
    <row r="462" spans="1:61" x14ac:dyDescent="0.25">
      <c r="A462" s="62" t="s">
        <v>331</v>
      </c>
      <c r="B462" s="62" t="s">
        <v>331</v>
      </c>
      <c r="C462" s="63"/>
      <c r="D462" s="64"/>
      <c r="E462" s="65"/>
      <c r="F462" s="66"/>
      <c r="G462" s="63"/>
      <c r="H462" s="67"/>
      <c r="I462" s="68"/>
      <c r="J462" s="68"/>
      <c r="K462" s="32"/>
      <c r="L462" s="75">
        <v>462</v>
      </c>
      <c r="M462" s="75"/>
      <c r="N462" s="70"/>
      <c r="O462" s="77" t="s">
        <v>179</v>
      </c>
      <c r="P462" s="79">
        <v>45157.852222222224</v>
      </c>
      <c r="Q462" s="77" t="s">
        <v>1260</v>
      </c>
      <c r="R462" s="77">
        <v>0</v>
      </c>
      <c r="S462" s="77">
        <v>0</v>
      </c>
      <c r="T462" s="77">
        <v>0</v>
      </c>
      <c r="U462" s="77">
        <v>0</v>
      </c>
      <c r="V462" s="77">
        <v>72</v>
      </c>
      <c r="W462" s="82" t="s">
        <v>5054</v>
      </c>
      <c r="X462" s="77"/>
      <c r="Y462" s="77"/>
      <c r="Z462" s="77"/>
      <c r="AA462" s="77" t="s">
        <v>7502</v>
      </c>
      <c r="AB462" s="77" t="s">
        <v>8227</v>
      </c>
      <c r="AC462" s="82" t="s">
        <v>8233</v>
      </c>
      <c r="AD462" s="77" t="s">
        <v>8278</v>
      </c>
      <c r="AE462" s="80" t="str">
        <f>HYPERLINK("https://twitter.com/investe1tempo/status/1692996657900577246")</f>
        <v>https://twitter.com/investe1tempo/status/1692996657900577246</v>
      </c>
      <c r="AF462" s="79">
        <v>45157.852222222224</v>
      </c>
      <c r="AG462" s="85">
        <v>45157</v>
      </c>
      <c r="AH462" s="82" t="s">
        <v>8724</v>
      </c>
      <c r="AI462" s="77" t="b">
        <v>0</v>
      </c>
      <c r="AJ462" s="77"/>
      <c r="AK462" s="77"/>
      <c r="AL462" s="77"/>
      <c r="AM462" s="77"/>
      <c r="AN462" s="77"/>
      <c r="AO462" s="77"/>
      <c r="AP462" s="77"/>
      <c r="AQ462" s="77" t="s">
        <v>12387</v>
      </c>
      <c r="AR462" s="77">
        <v>52360</v>
      </c>
      <c r="AS462" s="77"/>
      <c r="AT462" s="77"/>
      <c r="AU462" s="77"/>
      <c r="AV462" s="80" t="str">
        <f>HYPERLINK("https://pbs.twimg.com/ext_tw_video_thumb/1692996562027184128/pu/img/qfgFnoP4AReqykIt.jpg")</f>
        <v>https://pbs.twimg.com/ext_tw_video_thumb/1692996562027184128/pu/img/qfgFnoP4AReqykIt.jpg</v>
      </c>
      <c r="AW462" s="82" t="s">
        <v>13564</v>
      </c>
      <c r="AX462" s="82" t="s">
        <v>13564</v>
      </c>
      <c r="AY462" s="77"/>
      <c r="AZ462" s="82" t="s">
        <v>17385</v>
      </c>
      <c r="BA462" s="82" t="s">
        <v>17385</v>
      </c>
      <c r="BB462" s="82" t="s">
        <v>17385</v>
      </c>
      <c r="BC462" s="82" t="s">
        <v>13564</v>
      </c>
      <c r="BD462" s="82" t="s">
        <v>17498</v>
      </c>
      <c r="BE462" s="77"/>
      <c r="BF462" s="77"/>
      <c r="BG462" s="77"/>
      <c r="BH462" s="77"/>
      <c r="BI462" s="77"/>
    </row>
    <row r="463" spans="1:61" x14ac:dyDescent="0.25">
      <c r="A463" s="62" t="s">
        <v>331</v>
      </c>
      <c r="B463" s="62" t="s">
        <v>331</v>
      </c>
      <c r="C463" s="63"/>
      <c r="D463" s="64"/>
      <c r="E463" s="65"/>
      <c r="F463" s="66"/>
      <c r="G463" s="63"/>
      <c r="H463" s="67"/>
      <c r="I463" s="68"/>
      <c r="J463" s="68"/>
      <c r="K463" s="32"/>
      <c r="L463" s="75">
        <v>463</v>
      </c>
      <c r="M463" s="75"/>
      <c r="N463" s="70"/>
      <c r="O463" s="77" t="s">
        <v>179</v>
      </c>
      <c r="P463" s="79">
        <v>45165.916192129633</v>
      </c>
      <c r="Q463" s="77" t="s">
        <v>1261</v>
      </c>
      <c r="R463" s="77">
        <v>0</v>
      </c>
      <c r="S463" s="77">
        <v>0</v>
      </c>
      <c r="T463" s="77">
        <v>0</v>
      </c>
      <c r="U463" s="77">
        <v>0</v>
      </c>
      <c r="V463" s="77">
        <v>170</v>
      </c>
      <c r="W463" s="82" t="s">
        <v>5055</v>
      </c>
      <c r="X463" s="77"/>
      <c r="Y463" s="77"/>
      <c r="Z463" s="77"/>
      <c r="AA463" s="77" t="s">
        <v>7503</v>
      </c>
      <c r="AB463" s="77" t="s">
        <v>8227</v>
      </c>
      <c r="AC463" s="82" t="s">
        <v>8233</v>
      </c>
      <c r="AD463" s="77" t="s">
        <v>8278</v>
      </c>
      <c r="AE463" s="80" t="str">
        <f>HYPERLINK("https://twitter.com/investe1tempo/status/1695918945251754397")</f>
        <v>https://twitter.com/investe1tempo/status/1695918945251754397</v>
      </c>
      <c r="AF463" s="79">
        <v>45165.916192129633</v>
      </c>
      <c r="AG463" s="85">
        <v>45165</v>
      </c>
      <c r="AH463" s="82" t="s">
        <v>8725</v>
      </c>
      <c r="AI463" s="77" t="b">
        <v>0</v>
      </c>
      <c r="AJ463" s="77"/>
      <c r="AK463" s="77"/>
      <c r="AL463" s="77"/>
      <c r="AM463" s="77"/>
      <c r="AN463" s="77"/>
      <c r="AO463" s="77"/>
      <c r="AP463" s="77"/>
      <c r="AQ463" s="77" t="s">
        <v>12388</v>
      </c>
      <c r="AR463" s="77">
        <v>41720</v>
      </c>
      <c r="AS463" s="77"/>
      <c r="AT463" s="77"/>
      <c r="AU463" s="77"/>
      <c r="AV463" s="80" t="str">
        <f>HYPERLINK("https://pbs.twimg.com/ext_tw_video_thumb/1695918873776668672/pu/img/QHYPMOAVznV-3a1g.jpg")</f>
        <v>https://pbs.twimg.com/ext_tw_video_thumb/1695918873776668672/pu/img/QHYPMOAVznV-3a1g.jpg</v>
      </c>
      <c r="AW463" s="82" t="s">
        <v>13565</v>
      </c>
      <c r="AX463" s="82" t="s">
        <v>13565</v>
      </c>
      <c r="AY463" s="77"/>
      <c r="AZ463" s="82" t="s">
        <v>17385</v>
      </c>
      <c r="BA463" s="82" t="s">
        <v>17385</v>
      </c>
      <c r="BB463" s="82" t="s">
        <v>17385</v>
      </c>
      <c r="BC463" s="82" t="s">
        <v>13565</v>
      </c>
      <c r="BD463" s="82" t="s">
        <v>17498</v>
      </c>
      <c r="BE463" s="77"/>
      <c r="BF463" s="77"/>
      <c r="BG463" s="77"/>
      <c r="BH463" s="77"/>
      <c r="BI463" s="77"/>
    </row>
    <row r="464" spans="1:61" x14ac:dyDescent="0.25">
      <c r="A464" s="62" t="s">
        <v>331</v>
      </c>
      <c r="B464" s="62" t="s">
        <v>331</v>
      </c>
      <c r="C464" s="63"/>
      <c r="D464" s="64"/>
      <c r="E464" s="65"/>
      <c r="F464" s="66"/>
      <c r="G464" s="63"/>
      <c r="H464" s="67"/>
      <c r="I464" s="68"/>
      <c r="J464" s="68"/>
      <c r="K464" s="32"/>
      <c r="L464" s="75">
        <v>464</v>
      </c>
      <c r="M464" s="75"/>
      <c r="N464" s="70"/>
      <c r="O464" s="77" t="s">
        <v>179</v>
      </c>
      <c r="P464" s="79">
        <v>45160.767858796295</v>
      </c>
      <c r="Q464" s="77" t="s">
        <v>1262</v>
      </c>
      <c r="R464" s="77">
        <v>0</v>
      </c>
      <c r="S464" s="77">
        <v>0</v>
      </c>
      <c r="T464" s="77">
        <v>0</v>
      </c>
      <c r="U464" s="77">
        <v>0</v>
      </c>
      <c r="V464" s="77">
        <v>183</v>
      </c>
      <c r="W464" s="82" t="s">
        <v>5056</v>
      </c>
      <c r="X464" s="77"/>
      <c r="Y464" s="77"/>
      <c r="Z464" s="77"/>
      <c r="AA464" s="77" t="s">
        <v>7504</v>
      </c>
      <c r="AB464" s="77" t="s">
        <v>8227</v>
      </c>
      <c r="AC464" s="82" t="s">
        <v>8233</v>
      </c>
      <c r="AD464" s="77" t="s">
        <v>8278</v>
      </c>
      <c r="AE464" s="80" t="str">
        <f>HYPERLINK("https://twitter.com/investe1tempo/status/1694053249144205457")</f>
        <v>https://twitter.com/investe1tempo/status/1694053249144205457</v>
      </c>
      <c r="AF464" s="79">
        <v>45160.767858796295</v>
      </c>
      <c r="AG464" s="85">
        <v>45160</v>
      </c>
      <c r="AH464" s="82" t="s">
        <v>8726</v>
      </c>
      <c r="AI464" s="77" t="b">
        <v>0</v>
      </c>
      <c r="AJ464" s="77"/>
      <c r="AK464" s="77"/>
      <c r="AL464" s="77"/>
      <c r="AM464" s="77"/>
      <c r="AN464" s="77"/>
      <c r="AO464" s="77"/>
      <c r="AP464" s="77"/>
      <c r="AQ464" s="77" t="s">
        <v>12389</v>
      </c>
      <c r="AR464" s="77">
        <v>49520</v>
      </c>
      <c r="AS464" s="77"/>
      <c r="AT464" s="77"/>
      <c r="AU464" s="77"/>
      <c r="AV464" s="80" t="str">
        <f>HYPERLINK("https://pbs.twimg.com/ext_tw_video_thumb/1694053166306770946/pu/img/p65h--Uyb6nqoAZW.jpg")</f>
        <v>https://pbs.twimg.com/ext_tw_video_thumb/1694053166306770946/pu/img/p65h--Uyb6nqoAZW.jpg</v>
      </c>
      <c r="AW464" s="82" t="s">
        <v>13566</v>
      </c>
      <c r="AX464" s="82" t="s">
        <v>13566</v>
      </c>
      <c r="AY464" s="77"/>
      <c r="AZ464" s="82" t="s">
        <v>17385</v>
      </c>
      <c r="BA464" s="82" t="s">
        <v>17385</v>
      </c>
      <c r="BB464" s="82" t="s">
        <v>17385</v>
      </c>
      <c r="BC464" s="82" t="s">
        <v>13566</v>
      </c>
      <c r="BD464" s="82" t="s">
        <v>17498</v>
      </c>
      <c r="BE464" s="77"/>
      <c r="BF464" s="77"/>
      <c r="BG464" s="77"/>
      <c r="BH464" s="77"/>
      <c r="BI464" s="77"/>
    </row>
    <row r="465" spans="1:61" x14ac:dyDescent="0.25">
      <c r="A465" s="62" t="s">
        <v>331</v>
      </c>
      <c r="B465" s="62" t="s">
        <v>331</v>
      </c>
      <c r="C465" s="63"/>
      <c r="D465" s="64"/>
      <c r="E465" s="65"/>
      <c r="F465" s="66"/>
      <c r="G465" s="63"/>
      <c r="H465" s="67"/>
      <c r="I465" s="68"/>
      <c r="J465" s="68"/>
      <c r="K465" s="32"/>
      <c r="L465" s="75">
        <v>465</v>
      </c>
      <c r="M465" s="75"/>
      <c r="N465" s="70"/>
      <c r="O465" s="77" t="s">
        <v>179</v>
      </c>
      <c r="P465" s="79">
        <v>45158.685428240744</v>
      </c>
      <c r="Q465" s="77" t="s">
        <v>1263</v>
      </c>
      <c r="R465" s="77">
        <v>0</v>
      </c>
      <c r="S465" s="77">
        <v>0</v>
      </c>
      <c r="T465" s="77">
        <v>0</v>
      </c>
      <c r="U465" s="77">
        <v>0</v>
      </c>
      <c r="V465" s="77">
        <v>109</v>
      </c>
      <c r="W465" s="82" t="s">
        <v>5057</v>
      </c>
      <c r="X465" s="77"/>
      <c r="Y465" s="77"/>
      <c r="Z465" s="77"/>
      <c r="AA465" s="77" t="s">
        <v>7505</v>
      </c>
      <c r="AB465" s="77" t="s">
        <v>8227</v>
      </c>
      <c r="AC465" s="82" t="s">
        <v>8233</v>
      </c>
      <c r="AD465" s="77" t="s">
        <v>8278</v>
      </c>
      <c r="AE465" s="80" t="str">
        <f>HYPERLINK("https://twitter.com/investe1tempo/status/1693298601261150307")</f>
        <v>https://twitter.com/investe1tempo/status/1693298601261150307</v>
      </c>
      <c r="AF465" s="79">
        <v>45158.685428240744</v>
      </c>
      <c r="AG465" s="85">
        <v>45158</v>
      </c>
      <c r="AH465" s="82" t="s">
        <v>8727</v>
      </c>
      <c r="AI465" s="77" t="b">
        <v>0</v>
      </c>
      <c r="AJ465" s="77"/>
      <c r="AK465" s="77"/>
      <c r="AL465" s="77"/>
      <c r="AM465" s="77"/>
      <c r="AN465" s="77"/>
      <c r="AO465" s="77"/>
      <c r="AP465" s="77"/>
      <c r="AQ465" s="77" t="s">
        <v>12390</v>
      </c>
      <c r="AR465" s="77">
        <v>37000</v>
      </c>
      <c r="AS465" s="77"/>
      <c r="AT465" s="77"/>
      <c r="AU465" s="77"/>
      <c r="AV465" s="80" t="str">
        <f>HYPERLINK("https://pbs.twimg.com/ext_tw_video_thumb/1693298479156645889/pu/img/cipcUp62e0RVl7Ld.jpg")</f>
        <v>https://pbs.twimg.com/ext_tw_video_thumb/1693298479156645889/pu/img/cipcUp62e0RVl7Ld.jpg</v>
      </c>
      <c r="AW465" s="82" t="s">
        <v>13567</v>
      </c>
      <c r="AX465" s="82" t="s">
        <v>13567</v>
      </c>
      <c r="AY465" s="77"/>
      <c r="AZ465" s="82" t="s">
        <v>17385</v>
      </c>
      <c r="BA465" s="82" t="s">
        <v>17385</v>
      </c>
      <c r="BB465" s="82" t="s">
        <v>17385</v>
      </c>
      <c r="BC465" s="82" t="s">
        <v>13567</v>
      </c>
      <c r="BD465" s="82" t="s">
        <v>17498</v>
      </c>
      <c r="BE465" s="77"/>
      <c r="BF465" s="77"/>
      <c r="BG465" s="77"/>
      <c r="BH465" s="77"/>
      <c r="BI465" s="77"/>
    </row>
    <row r="466" spans="1:61" x14ac:dyDescent="0.25">
      <c r="A466" s="62" t="s">
        <v>331</v>
      </c>
      <c r="B466" s="62" t="s">
        <v>331</v>
      </c>
      <c r="C466" s="63"/>
      <c r="D466" s="64"/>
      <c r="E466" s="65"/>
      <c r="F466" s="66"/>
      <c r="G466" s="63"/>
      <c r="H466" s="67"/>
      <c r="I466" s="68"/>
      <c r="J466" s="68"/>
      <c r="K466" s="32"/>
      <c r="L466" s="75">
        <v>466</v>
      </c>
      <c r="M466" s="75"/>
      <c r="N466" s="70"/>
      <c r="O466" s="77" t="s">
        <v>179</v>
      </c>
      <c r="P466" s="79">
        <v>45169.793263888889</v>
      </c>
      <c r="Q466" s="77" t="s">
        <v>1264</v>
      </c>
      <c r="R466" s="77">
        <v>0</v>
      </c>
      <c r="S466" s="77">
        <v>2</v>
      </c>
      <c r="T466" s="77">
        <v>1</v>
      </c>
      <c r="U466" s="77">
        <v>0</v>
      </c>
      <c r="V466" s="77">
        <v>391</v>
      </c>
      <c r="W466" s="82" t="s">
        <v>5058</v>
      </c>
      <c r="X466" s="77"/>
      <c r="Y466" s="77"/>
      <c r="Z466" s="77"/>
      <c r="AA466" s="77" t="s">
        <v>7506</v>
      </c>
      <c r="AB466" s="77" t="s">
        <v>8227</v>
      </c>
      <c r="AC466" s="82" t="s">
        <v>8233</v>
      </c>
      <c r="AD466" s="77" t="s">
        <v>8278</v>
      </c>
      <c r="AE466" s="80" t="str">
        <f>HYPERLINK("https://twitter.com/investe1tempo/status/1697323947451146272")</f>
        <v>https://twitter.com/investe1tempo/status/1697323947451146272</v>
      </c>
      <c r="AF466" s="79">
        <v>45169.793263888889</v>
      </c>
      <c r="AG466" s="85">
        <v>45169</v>
      </c>
      <c r="AH466" s="82" t="s">
        <v>8728</v>
      </c>
      <c r="AI466" s="77" t="b">
        <v>0</v>
      </c>
      <c r="AJ466" s="77"/>
      <c r="AK466" s="77"/>
      <c r="AL466" s="77"/>
      <c r="AM466" s="77"/>
      <c r="AN466" s="77"/>
      <c r="AO466" s="77"/>
      <c r="AP466" s="77"/>
      <c r="AQ466" s="77" t="s">
        <v>12391</v>
      </c>
      <c r="AR466" s="77">
        <v>49720</v>
      </c>
      <c r="AS466" s="77"/>
      <c r="AT466" s="77"/>
      <c r="AU466" s="77"/>
      <c r="AV466" s="80" t="str">
        <f>HYPERLINK("https://pbs.twimg.com/ext_tw_video_thumb/1697323866266202112/pu/img/5dXudVM1zvMRDwmi.jpg")</f>
        <v>https://pbs.twimg.com/ext_tw_video_thumb/1697323866266202112/pu/img/5dXudVM1zvMRDwmi.jpg</v>
      </c>
      <c r="AW466" s="82" t="s">
        <v>13568</v>
      </c>
      <c r="AX466" s="82" t="s">
        <v>13568</v>
      </c>
      <c r="AY466" s="77"/>
      <c r="AZ466" s="82" t="s">
        <v>17385</v>
      </c>
      <c r="BA466" s="82" t="s">
        <v>17385</v>
      </c>
      <c r="BB466" s="82" t="s">
        <v>17385</v>
      </c>
      <c r="BC466" s="82" t="s">
        <v>13568</v>
      </c>
      <c r="BD466" s="82" t="s">
        <v>17498</v>
      </c>
      <c r="BE466" s="77"/>
      <c r="BF466" s="77"/>
      <c r="BG466" s="77"/>
      <c r="BH466" s="77"/>
      <c r="BI466" s="77"/>
    </row>
    <row r="467" spans="1:61" x14ac:dyDescent="0.25">
      <c r="A467" s="62" t="s">
        <v>331</v>
      </c>
      <c r="B467" s="62" t="s">
        <v>331</v>
      </c>
      <c r="C467" s="63"/>
      <c r="D467" s="64"/>
      <c r="E467" s="65"/>
      <c r="F467" s="66"/>
      <c r="G467" s="63"/>
      <c r="H467" s="67"/>
      <c r="I467" s="68"/>
      <c r="J467" s="68"/>
      <c r="K467" s="32"/>
      <c r="L467" s="75">
        <v>467</v>
      </c>
      <c r="M467" s="75"/>
      <c r="N467" s="70"/>
      <c r="O467" s="77" t="s">
        <v>179</v>
      </c>
      <c r="P467" s="79">
        <v>45179.726423611108</v>
      </c>
      <c r="Q467" s="77" t="s">
        <v>1265</v>
      </c>
      <c r="R467" s="77">
        <v>0</v>
      </c>
      <c r="S467" s="77">
        <v>0</v>
      </c>
      <c r="T467" s="77">
        <v>0</v>
      </c>
      <c r="U467" s="77">
        <v>0</v>
      </c>
      <c r="V467" s="77">
        <v>165</v>
      </c>
      <c r="W467" s="82" t="s">
        <v>5059</v>
      </c>
      <c r="X467" s="77"/>
      <c r="Y467" s="77"/>
      <c r="Z467" s="77"/>
      <c r="AA467" s="77" t="s">
        <v>7507</v>
      </c>
      <c r="AB467" s="77" t="s">
        <v>8227</v>
      </c>
      <c r="AC467" s="82" t="s">
        <v>8233</v>
      </c>
      <c r="AD467" s="77" t="s">
        <v>8278</v>
      </c>
      <c r="AE467" s="80" t="str">
        <f>HYPERLINK("https://twitter.com/investe1tempo/status/1700923603515023723")</f>
        <v>https://twitter.com/investe1tempo/status/1700923603515023723</v>
      </c>
      <c r="AF467" s="79">
        <v>45179.726423611108</v>
      </c>
      <c r="AG467" s="85">
        <v>45179</v>
      </c>
      <c r="AH467" s="82" t="s">
        <v>8729</v>
      </c>
      <c r="AI467" s="77" t="b">
        <v>0</v>
      </c>
      <c r="AJ467" s="77"/>
      <c r="AK467" s="77"/>
      <c r="AL467" s="77"/>
      <c r="AM467" s="77"/>
      <c r="AN467" s="77"/>
      <c r="AO467" s="77"/>
      <c r="AP467" s="77"/>
      <c r="AQ467" s="77" t="s">
        <v>12392</v>
      </c>
      <c r="AR467" s="77">
        <v>49400</v>
      </c>
      <c r="AS467" s="77"/>
      <c r="AT467" s="77"/>
      <c r="AU467" s="77"/>
      <c r="AV467" s="80" t="str">
        <f>HYPERLINK("https://pbs.twimg.com/ext_tw_video_thumb/1700922998721548288/pu/img/d2JFL7K4OnXMdaKG.jpg")</f>
        <v>https://pbs.twimg.com/ext_tw_video_thumb/1700922998721548288/pu/img/d2JFL7K4OnXMdaKG.jpg</v>
      </c>
      <c r="AW467" s="82" t="s">
        <v>13569</v>
      </c>
      <c r="AX467" s="82" t="s">
        <v>13569</v>
      </c>
      <c r="AY467" s="77"/>
      <c r="AZ467" s="82" t="s">
        <v>17385</v>
      </c>
      <c r="BA467" s="82" t="s">
        <v>17385</v>
      </c>
      <c r="BB467" s="82" t="s">
        <v>17385</v>
      </c>
      <c r="BC467" s="82" t="s">
        <v>13569</v>
      </c>
      <c r="BD467" s="82" t="s">
        <v>17498</v>
      </c>
      <c r="BE467" s="77"/>
      <c r="BF467" s="77"/>
      <c r="BG467" s="77"/>
      <c r="BH467" s="77"/>
      <c r="BI467" s="77"/>
    </row>
    <row r="468" spans="1:61" x14ac:dyDescent="0.25">
      <c r="A468" s="62" t="s">
        <v>331</v>
      </c>
      <c r="B468" s="62" t="s">
        <v>331</v>
      </c>
      <c r="C468" s="63"/>
      <c r="D468" s="64"/>
      <c r="E468" s="65"/>
      <c r="F468" s="66"/>
      <c r="G468" s="63"/>
      <c r="H468" s="67"/>
      <c r="I468" s="68"/>
      <c r="J468" s="68"/>
      <c r="K468" s="32"/>
      <c r="L468" s="75">
        <v>468</v>
      </c>
      <c r="M468" s="75"/>
      <c r="N468" s="70"/>
      <c r="O468" s="77" t="s">
        <v>179</v>
      </c>
      <c r="P468" s="79">
        <v>45164.937210648146</v>
      </c>
      <c r="Q468" s="77" t="s">
        <v>1266</v>
      </c>
      <c r="R468" s="77">
        <v>0</v>
      </c>
      <c r="S468" s="77">
        <v>0</v>
      </c>
      <c r="T468" s="77">
        <v>0</v>
      </c>
      <c r="U468" s="77">
        <v>0</v>
      </c>
      <c r="V468" s="77">
        <v>101</v>
      </c>
      <c r="W468" s="82" t="s">
        <v>5058</v>
      </c>
      <c r="X468" s="77"/>
      <c r="Y468" s="77"/>
      <c r="Z468" s="77"/>
      <c r="AA468" s="77" t="s">
        <v>7508</v>
      </c>
      <c r="AB468" s="77" t="s">
        <v>8227</v>
      </c>
      <c r="AC468" s="82" t="s">
        <v>8233</v>
      </c>
      <c r="AD468" s="77" t="s">
        <v>8278</v>
      </c>
      <c r="AE468" s="80" t="str">
        <f>HYPERLINK("https://twitter.com/investe1tempo/status/1695564173101412801")</f>
        <v>https://twitter.com/investe1tempo/status/1695564173101412801</v>
      </c>
      <c r="AF468" s="79">
        <v>45164.937210648146</v>
      </c>
      <c r="AG468" s="85">
        <v>45164</v>
      </c>
      <c r="AH468" s="82" t="s">
        <v>8730</v>
      </c>
      <c r="AI468" s="77" t="b">
        <v>0</v>
      </c>
      <c r="AJ468" s="77"/>
      <c r="AK468" s="77"/>
      <c r="AL468" s="77"/>
      <c r="AM468" s="77"/>
      <c r="AN468" s="77"/>
      <c r="AO468" s="77"/>
      <c r="AP468" s="77"/>
      <c r="AQ468" s="77" t="s">
        <v>12393</v>
      </c>
      <c r="AR468" s="77">
        <v>46280</v>
      </c>
      <c r="AS468" s="77"/>
      <c r="AT468" s="77"/>
      <c r="AU468" s="77"/>
      <c r="AV468" s="80" t="str">
        <f>HYPERLINK("https://pbs.twimg.com/ext_tw_video_thumb/1695564088137367552/pu/img/VytBsQ0dkzO-386B.jpg")</f>
        <v>https://pbs.twimg.com/ext_tw_video_thumb/1695564088137367552/pu/img/VytBsQ0dkzO-386B.jpg</v>
      </c>
      <c r="AW468" s="82" t="s">
        <v>13570</v>
      </c>
      <c r="AX468" s="82" t="s">
        <v>13570</v>
      </c>
      <c r="AY468" s="77"/>
      <c r="AZ468" s="82" t="s">
        <v>17385</v>
      </c>
      <c r="BA468" s="82" t="s">
        <v>17385</v>
      </c>
      <c r="BB468" s="82" t="s">
        <v>17385</v>
      </c>
      <c r="BC468" s="82" t="s">
        <v>13570</v>
      </c>
      <c r="BD468" s="82" t="s">
        <v>17498</v>
      </c>
      <c r="BE468" s="77"/>
      <c r="BF468" s="77"/>
      <c r="BG468" s="77"/>
      <c r="BH468" s="77"/>
      <c r="BI468" s="77"/>
    </row>
    <row r="469" spans="1:61" x14ac:dyDescent="0.25">
      <c r="A469" s="62" t="s">
        <v>331</v>
      </c>
      <c r="B469" s="62" t="s">
        <v>331</v>
      </c>
      <c r="C469" s="63"/>
      <c r="D469" s="64"/>
      <c r="E469" s="65"/>
      <c r="F469" s="66"/>
      <c r="G469" s="63"/>
      <c r="H469" s="67"/>
      <c r="I469" s="68"/>
      <c r="J469" s="68"/>
      <c r="K469" s="32"/>
      <c r="L469" s="75">
        <v>469</v>
      </c>
      <c r="M469" s="75"/>
      <c r="N469" s="70"/>
      <c r="O469" s="77" t="s">
        <v>179</v>
      </c>
      <c r="P469" s="79">
        <v>45155.822766203702</v>
      </c>
      <c r="Q469" s="77" t="s">
        <v>1267</v>
      </c>
      <c r="R469" s="77">
        <v>0</v>
      </c>
      <c r="S469" s="77">
        <v>1</v>
      </c>
      <c r="T469" s="77">
        <v>0</v>
      </c>
      <c r="U469" s="77">
        <v>0</v>
      </c>
      <c r="V469" s="77">
        <v>229</v>
      </c>
      <c r="W469" s="82" t="s">
        <v>5060</v>
      </c>
      <c r="X469" s="77"/>
      <c r="Y469" s="77"/>
      <c r="Z469" s="77"/>
      <c r="AA469" s="77" t="s">
        <v>7509</v>
      </c>
      <c r="AB469" s="77" t="s">
        <v>8227</v>
      </c>
      <c r="AC469" s="82" t="s">
        <v>8233</v>
      </c>
      <c r="AD469" s="77" t="s">
        <v>8278</v>
      </c>
      <c r="AE469" s="80" t="str">
        <f>HYPERLINK("https://twitter.com/investe1tempo/status/1692261207409864975")</f>
        <v>https://twitter.com/investe1tempo/status/1692261207409864975</v>
      </c>
      <c r="AF469" s="79">
        <v>45155.822766203702</v>
      </c>
      <c r="AG469" s="85">
        <v>45155</v>
      </c>
      <c r="AH469" s="82" t="s">
        <v>8731</v>
      </c>
      <c r="AI469" s="77" t="b">
        <v>0</v>
      </c>
      <c r="AJ469" s="77"/>
      <c r="AK469" s="77"/>
      <c r="AL469" s="77"/>
      <c r="AM469" s="77"/>
      <c r="AN469" s="77"/>
      <c r="AO469" s="77"/>
      <c r="AP469" s="77"/>
      <c r="AQ469" s="77" t="s">
        <v>12394</v>
      </c>
      <c r="AR469" s="77">
        <v>49520</v>
      </c>
      <c r="AS469" s="77"/>
      <c r="AT469" s="77"/>
      <c r="AU469" s="77"/>
      <c r="AV469" s="80" t="str">
        <f>HYPERLINK("https://pbs.twimg.com/ext_tw_video_thumb/1692261123096023040/pu/img/Y8s5LNslPJadaRRS.jpg")</f>
        <v>https://pbs.twimg.com/ext_tw_video_thumb/1692261123096023040/pu/img/Y8s5LNslPJadaRRS.jpg</v>
      </c>
      <c r="AW469" s="82" t="s">
        <v>13571</v>
      </c>
      <c r="AX469" s="82" t="s">
        <v>13571</v>
      </c>
      <c r="AY469" s="77"/>
      <c r="AZ469" s="82" t="s">
        <v>17385</v>
      </c>
      <c r="BA469" s="82" t="s">
        <v>17385</v>
      </c>
      <c r="BB469" s="82" t="s">
        <v>17385</v>
      </c>
      <c r="BC469" s="82" t="s">
        <v>13571</v>
      </c>
      <c r="BD469" s="82" t="s">
        <v>17498</v>
      </c>
      <c r="BE469" s="77"/>
      <c r="BF469" s="77"/>
      <c r="BG469" s="77"/>
      <c r="BH469" s="77"/>
      <c r="BI469" s="77"/>
    </row>
    <row r="470" spans="1:61" x14ac:dyDescent="0.25">
      <c r="A470" s="62" t="s">
        <v>331</v>
      </c>
      <c r="B470" s="62" t="s">
        <v>331</v>
      </c>
      <c r="C470" s="63"/>
      <c r="D470" s="64"/>
      <c r="E470" s="65"/>
      <c r="F470" s="66"/>
      <c r="G470" s="63"/>
      <c r="H470" s="67"/>
      <c r="I470" s="68"/>
      <c r="J470" s="68"/>
      <c r="K470" s="32"/>
      <c r="L470" s="75">
        <v>470</v>
      </c>
      <c r="M470" s="75"/>
      <c r="N470" s="70"/>
      <c r="O470" s="77" t="s">
        <v>179</v>
      </c>
      <c r="P470" s="79">
        <v>45190.799398148149</v>
      </c>
      <c r="Q470" s="77" t="s">
        <v>1268</v>
      </c>
      <c r="R470" s="77">
        <v>0</v>
      </c>
      <c r="S470" s="77">
        <v>1</v>
      </c>
      <c r="T470" s="77">
        <v>0</v>
      </c>
      <c r="U470" s="77">
        <v>0</v>
      </c>
      <c r="V470" s="77">
        <v>41</v>
      </c>
      <c r="W470" s="82" t="s">
        <v>4835</v>
      </c>
      <c r="X470" s="77"/>
      <c r="Y470" s="77"/>
      <c r="Z470" s="77"/>
      <c r="AA470" s="77" t="s">
        <v>7510</v>
      </c>
      <c r="AB470" s="77" t="s">
        <v>8227</v>
      </c>
      <c r="AC470" s="82" t="s">
        <v>8233</v>
      </c>
      <c r="AD470" s="77" t="s">
        <v>8278</v>
      </c>
      <c r="AE470" s="80" t="str">
        <f>HYPERLINK("https://twitter.com/investe1tempo/status/1704936315999949194")</f>
        <v>https://twitter.com/investe1tempo/status/1704936315999949194</v>
      </c>
      <c r="AF470" s="79">
        <v>45190.799398148149</v>
      </c>
      <c r="AG470" s="85">
        <v>45190</v>
      </c>
      <c r="AH470" s="82" t="s">
        <v>8732</v>
      </c>
      <c r="AI470" s="77" t="b">
        <v>0</v>
      </c>
      <c r="AJ470" s="77"/>
      <c r="AK470" s="77"/>
      <c r="AL470" s="77"/>
      <c r="AM470" s="77"/>
      <c r="AN470" s="77"/>
      <c r="AO470" s="77"/>
      <c r="AP470" s="77"/>
      <c r="AQ470" s="77" t="s">
        <v>12395</v>
      </c>
      <c r="AR470" s="77">
        <v>45160</v>
      </c>
      <c r="AS470" s="77"/>
      <c r="AT470" s="77"/>
      <c r="AU470" s="77"/>
      <c r="AV470" s="80" t="str">
        <f>HYPERLINK("https://pbs.twimg.com/ext_tw_video_thumb/1704936185309581312/pu/img/MF2neNUOEWF_fHx-.jpg")</f>
        <v>https://pbs.twimg.com/ext_tw_video_thumb/1704936185309581312/pu/img/MF2neNUOEWF_fHx-.jpg</v>
      </c>
      <c r="AW470" s="82" t="s">
        <v>13572</v>
      </c>
      <c r="AX470" s="82" t="s">
        <v>13572</v>
      </c>
      <c r="AY470" s="77"/>
      <c r="AZ470" s="82" t="s">
        <v>17385</v>
      </c>
      <c r="BA470" s="82" t="s">
        <v>17385</v>
      </c>
      <c r="BB470" s="82" t="s">
        <v>17385</v>
      </c>
      <c r="BC470" s="82" t="s">
        <v>13572</v>
      </c>
      <c r="BD470" s="82" t="s">
        <v>17498</v>
      </c>
      <c r="BE470" s="77"/>
      <c r="BF470" s="77"/>
      <c r="BG470" s="77"/>
      <c r="BH470" s="77"/>
      <c r="BI470" s="77"/>
    </row>
    <row r="471" spans="1:61" x14ac:dyDescent="0.25">
      <c r="A471" s="62" t="s">
        <v>331</v>
      </c>
      <c r="B471" s="62" t="s">
        <v>331</v>
      </c>
      <c r="C471" s="63"/>
      <c r="D471" s="64"/>
      <c r="E471" s="65"/>
      <c r="F471" s="66"/>
      <c r="G471" s="63"/>
      <c r="H471" s="67"/>
      <c r="I471" s="68"/>
      <c r="J471" s="68"/>
      <c r="K471" s="32"/>
      <c r="L471" s="75">
        <v>471</v>
      </c>
      <c r="M471" s="75"/>
      <c r="N471" s="70"/>
      <c r="O471" s="77" t="s">
        <v>179</v>
      </c>
      <c r="P471" s="79">
        <v>45153.802662037036</v>
      </c>
      <c r="Q471" s="77" t="s">
        <v>1269</v>
      </c>
      <c r="R471" s="77">
        <v>0</v>
      </c>
      <c r="S471" s="77">
        <v>0</v>
      </c>
      <c r="T471" s="77">
        <v>0</v>
      </c>
      <c r="U471" s="77">
        <v>0</v>
      </c>
      <c r="V471" s="77">
        <v>140</v>
      </c>
      <c r="W471" s="82" t="s">
        <v>5058</v>
      </c>
      <c r="X471" s="77"/>
      <c r="Y471" s="77"/>
      <c r="Z471" s="77"/>
      <c r="AA471" s="77" t="s">
        <v>7511</v>
      </c>
      <c r="AB471" s="77" t="s">
        <v>8227</v>
      </c>
      <c r="AC471" s="82" t="s">
        <v>8233</v>
      </c>
      <c r="AD471" s="77" t="s">
        <v>8278</v>
      </c>
      <c r="AE471" s="80" t="str">
        <f>HYPERLINK("https://twitter.com/investe1tempo/status/1691529148689268736")</f>
        <v>https://twitter.com/investe1tempo/status/1691529148689268736</v>
      </c>
      <c r="AF471" s="79">
        <v>45153.802662037036</v>
      </c>
      <c r="AG471" s="85">
        <v>45153</v>
      </c>
      <c r="AH471" s="82" t="s">
        <v>8733</v>
      </c>
      <c r="AI471" s="77" t="b">
        <v>0</v>
      </c>
      <c r="AJ471" s="77"/>
      <c r="AK471" s="77"/>
      <c r="AL471" s="77"/>
      <c r="AM471" s="77"/>
      <c r="AN471" s="77"/>
      <c r="AO471" s="77"/>
      <c r="AP471" s="77"/>
      <c r="AQ471" s="77" t="s">
        <v>12396</v>
      </c>
      <c r="AR471" s="77">
        <v>48880</v>
      </c>
      <c r="AS471" s="77"/>
      <c r="AT471" s="77"/>
      <c r="AU471" s="77"/>
      <c r="AV471" s="80" t="str">
        <f>HYPERLINK("https://pbs.twimg.com/ext_tw_video_thumb/1691529061112172544/pu/img/tuUJepu5po3zn0ol.jpg")</f>
        <v>https://pbs.twimg.com/ext_tw_video_thumb/1691529061112172544/pu/img/tuUJepu5po3zn0ol.jpg</v>
      </c>
      <c r="AW471" s="82" t="s">
        <v>13573</v>
      </c>
      <c r="AX471" s="82" t="s">
        <v>13573</v>
      </c>
      <c r="AY471" s="77"/>
      <c r="AZ471" s="82" t="s">
        <v>17385</v>
      </c>
      <c r="BA471" s="82" t="s">
        <v>17385</v>
      </c>
      <c r="BB471" s="82" t="s">
        <v>17385</v>
      </c>
      <c r="BC471" s="82" t="s">
        <v>13573</v>
      </c>
      <c r="BD471" s="82" t="s">
        <v>17498</v>
      </c>
      <c r="BE471" s="77"/>
      <c r="BF471" s="77"/>
      <c r="BG471" s="77"/>
      <c r="BH471" s="77"/>
      <c r="BI471" s="77"/>
    </row>
    <row r="472" spans="1:61" x14ac:dyDescent="0.25">
      <c r="A472" s="62" t="s">
        <v>331</v>
      </c>
      <c r="B472" s="62" t="s">
        <v>331</v>
      </c>
      <c r="C472" s="63"/>
      <c r="D472" s="64"/>
      <c r="E472" s="65"/>
      <c r="F472" s="66"/>
      <c r="G472" s="63"/>
      <c r="H472" s="67"/>
      <c r="I472" s="68"/>
      <c r="J472" s="68"/>
      <c r="K472" s="32"/>
      <c r="L472" s="75">
        <v>472</v>
      </c>
      <c r="M472" s="75"/>
      <c r="N472" s="70"/>
      <c r="O472" s="77" t="s">
        <v>179</v>
      </c>
      <c r="P472" s="79">
        <v>45195.747662037036</v>
      </c>
      <c r="Q472" s="77" t="s">
        <v>1270</v>
      </c>
      <c r="R472" s="77">
        <v>0</v>
      </c>
      <c r="S472" s="77">
        <v>0</v>
      </c>
      <c r="T472" s="77">
        <v>0</v>
      </c>
      <c r="U472" s="77">
        <v>0</v>
      </c>
      <c r="V472" s="77">
        <v>45</v>
      </c>
      <c r="W472" s="82" t="s">
        <v>5061</v>
      </c>
      <c r="X472" s="77"/>
      <c r="Y472" s="77"/>
      <c r="Z472" s="77"/>
      <c r="AA472" s="77" t="s">
        <v>7512</v>
      </c>
      <c r="AB472" s="77" t="s">
        <v>8227</v>
      </c>
      <c r="AC472" s="82" t="s">
        <v>8233</v>
      </c>
      <c r="AD472" s="77" t="s">
        <v>8278</v>
      </c>
      <c r="AE472" s="80" t="str">
        <f>HYPERLINK("https://twitter.com/investe1tempo/status/1706729508378657167")</f>
        <v>https://twitter.com/investe1tempo/status/1706729508378657167</v>
      </c>
      <c r="AF472" s="79">
        <v>45195.747662037036</v>
      </c>
      <c r="AG472" s="85">
        <v>45195</v>
      </c>
      <c r="AH472" s="82" t="s">
        <v>8734</v>
      </c>
      <c r="AI472" s="77" t="b">
        <v>0</v>
      </c>
      <c r="AJ472" s="77"/>
      <c r="AK472" s="77"/>
      <c r="AL472" s="77"/>
      <c r="AM472" s="77"/>
      <c r="AN472" s="77"/>
      <c r="AO472" s="77"/>
      <c r="AP472" s="77"/>
      <c r="AQ472" s="77" t="s">
        <v>12397</v>
      </c>
      <c r="AR472" s="77">
        <v>49680</v>
      </c>
      <c r="AS472" s="77"/>
      <c r="AT472" s="77"/>
      <c r="AU472" s="77"/>
      <c r="AV472" s="80" t="str">
        <f>HYPERLINK("https://pbs.twimg.com/ext_tw_video_thumb/1706729423032983552/pu/img/yqQs84BosMYXUFXQ.jpg")</f>
        <v>https://pbs.twimg.com/ext_tw_video_thumb/1706729423032983552/pu/img/yqQs84BosMYXUFXQ.jpg</v>
      </c>
      <c r="AW472" s="82" t="s">
        <v>13574</v>
      </c>
      <c r="AX472" s="82" t="s">
        <v>13574</v>
      </c>
      <c r="AY472" s="77"/>
      <c r="AZ472" s="82" t="s">
        <v>17385</v>
      </c>
      <c r="BA472" s="82" t="s">
        <v>17385</v>
      </c>
      <c r="BB472" s="82" t="s">
        <v>17385</v>
      </c>
      <c r="BC472" s="82" t="s">
        <v>13574</v>
      </c>
      <c r="BD472" s="82" t="s">
        <v>17498</v>
      </c>
      <c r="BE472" s="77"/>
      <c r="BF472" s="77"/>
      <c r="BG472" s="77"/>
      <c r="BH472" s="77"/>
      <c r="BI472" s="77"/>
    </row>
    <row r="473" spans="1:61" x14ac:dyDescent="0.25">
      <c r="A473" s="62" t="s">
        <v>331</v>
      </c>
      <c r="B473" s="62" t="s">
        <v>331</v>
      </c>
      <c r="C473" s="63"/>
      <c r="D473" s="64"/>
      <c r="E473" s="65"/>
      <c r="F473" s="66"/>
      <c r="G473" s="63"/>
      <c r="H473" s="67"/>
      <c r="I473" s="68"/>
      <c r="J473" s="68"/>
      <c r="K473" s="32"/>
      <c r="L473" s="75">
        <v>473</v>
      </c>
      <c r="M473" s="75"/>
      <c r="N473" s="70"/>
      <c r="O473" s="77" t="s">
        <v>179</v>
      </c>
      <c r="P473" s="79">
        <v>45188.766250000001</v>
      </c>
      <c r="Q473" s="77" t="s">
        <v>1271</v>
      </c>
      <c r="R473" s="77">
        <v>0</v>
      </c>
      <c r="S473" s="77">
        <v>0</v>
      </c>
      <c r="T473" s="77">
        <v>0</v>
      </c>
      <c r="U473" s="77">
        <v>0</v>
      </c>
      <c r="V473" s="77">
        <v>74</v>
      </c>
      <c r="W473" s="82" t="s">
        <v>5056</v>
      </c>
      <c r="X473" s="77"/>
      <c r="Y473" s="77"/>
      <c r="Z473" s="77"/>
      <c r="AA473" s="77" t="s">
        <v>7513</v>
      </c>
      <c r="AB473" s="77" t="s">
        <v>8227</v>
      </c>
      <c r="AC473" s="82" t="s">
        <v>8233</v>
      </c>
      <c r="AD473" s="77" t="s">
        <v>8278</v>
      </c>
      <c r="AE473" s="80" t="str">
        <f>HYPERLINK("https://twitter.com/investe1tempo/status/1704199526519640239")</f>
        <v>https://twitter.com/investe1tempo/status/1704199526519640239</v>
      </c>
      <c r="AF473" s="79">
        <v>45188.766250000001</v>
      </c>
      <c r="AG473" s="85">
        <v>45188</v>
      </c>
      <c r="AH473" s="82" t="s">
        <v>8735</v>
      </c>
      <c r="AI473" s="77" t="b">
        <v>0</v>
      </c>
      <c r="AJ473" s="77"/>
      <c r="AK473" s="77"/>
      <c r="AL473" s="77"/>
      <c r="AM473" s="77"/>
      <c r="AN473" s="77"/>
      <c r="AO473" s="77"/>
      <c r="AP473" s="77"/>
      <c r="AQ473" s="77" t="s">
        <v>12398</v>
      </c>
      <c r="AR473" s="77">
        <v>45160</v>
      </c>
      <c r="AS473" s="77"/>
      <c r="AT473" s="77"/>
      <c r="AU473" s="77"/>
      <c r="AV473" s="80" t="str">
        <f>HYPERLINK("https://pbs.twimg.com/ext_tw_video_thumb/1704199407573385216/pu/img/1am-B_OoUOA4yJ1c.jpg")</f>
        <v>https://pbs.twimg.com/ext_tw_video_thumb/1704199407573385216/pu/img/1am-B_OoUOA4yJ1c.jpg</v>
      </c>
      <c r="AW473" s="82" t="s">
        <v>13575</v>
      </c>
      <c r="AX473" s="82" t="s">
        <v>13575</v>
      </c>
      <c r="AY473" s="77"/>
      <c r="AZ473" s="82" t="s">
        <v>17385</v>
      </c>
      <c r="BA473" s="82" t="s">
        <v>17385</v>
      </c>
      <c r="BB473" s="82" t="s">
        <v>17385</v>
      </c>
      <c r="BC473" s="82" t="s">
        <v>13575</v>
      </c>
      <c r="BD473" s="82" t="s">
        <v>17498</v>
      </c>
      <c r="BE473" s="77"/>
      <c r="BF473" s="77"/>
      <c r="BG473" s="77"/>
      <c r="BH473" s="77"/>
      <c r="BI473" s="77"/>
    </row>
    <row r="474" spans="1:61" x14ac:dyDescent="0.25">
      <c r="A474" s="62" t="s">
        <v>331</v>
      </c>
      <c r="B474" s="62" t="s">
        <v>331</v>
      </c>
      <c r="C474" s="63"/>
      <c r="D474" s="64"/>
      <c r="E474" s="65"/>
      <c r="F474" s="66"/>
      <c r="G474" s="63"/>
      <c r="H474" s="67"/>
      <c r="I474" s="68"/>
      <c r="J474" s="68"/>
      <c r="K474" s="32"/>
      <c r="L474" s="75">
        <v>474</v>
      </c>
      <c r="M474" s="75"/>
      <c r="N474" s="70"/>
      <c r="O474" s="77" t="s">
        <v>179</v>
      </c>
      <c r="P474" s="79">
        <v>45178.907731481479</v>
      </c>
      <c r="Q474" s="77" t="s">
        <v>1272</v>
      </c>
      <c r="R474" s="77">
        <v>1</v>
      </c>
      <c r="S474" s="77">
        <v>1</v>
      </c>
      <c r="T474" s="77">
        <v>0</v>
      </c>
      <c r="U474" s="77">
        <v>0</v>
      </c>
      <c r="V474" s="77">
        <v>339</v>
      </c>
      <c r="W474" s="82" t="s">
        <v>5062</v>
      </c>
      <c r="X474" s="77"/>
      <c r="Y474" s="77"/>
      <c r="Z474" s="77"/>
      <c r="AA474" s="77" t="s">
        <v>7514</v>
      </c>
      <c r="AB474" s="77" t="s">
        <v>8227</v>
      </c>
      <c r="AC474" s="82" t="s">
        <v>8233</v>
      </c>
      <c r="AD474" s="77" t="s">
        <v>8278</v>
      </c>
      <c r="AE474" s="80" t="str">
        <f>HYPERLINK("https://twitter.com/investe1tempo/status/1700626920092680382")</f>
        <v>https://twitter.com/investe1tempo/status/1700626920092680382</v>
      </c>
      <c r="AF474" s="79">
        <v>45178.907731481479</v>
      </c>
      <c r="AG474" s="85">
        <v>45178</v>
      </c>
      <c r="AH474" s="82" t="s">
        <v>8736</v>
      </c>
      <c r="AI474" s="77" t="b">
        <v>0</v>
      </c>
      <c r="AJ474" s="77"/>
      <c r="AK474" s="77"/>
      <c r="AL474" s="77"/>
      <c r="AM474" s="77"/>
      <c r="AN474" s="77"/>
      <c r="AO474" s="77"/>
      <c r="AP474" s="77"/>
      <c r="AQ474" s="77" t="s">
        <v>12399</v>
      </c>
      <c r="AR474" s="77">
        <v>47040</v>
      </c>
      <c r="AS474" s="77"/>
      <c r="AT474" s="77"/>
      <c r="AU474" s="77"/>
      <c r="AV474" s="80" t="str">
        <f>HYPERLINK("https://pbs.twimg.com/ext_tw_video_thumb/1700626833664798720/pu/img/fVr-aH3YQKrP7AG-.jpg")</f>
        <v>https://pbs.twimg.com/ext_tw_video_thumb/1700626833664798720/pu/img/fVr-aH3YQKrP7AG-.jpg</v>
      </c>
      <c r="AW474" s="82" t="s">
        <v>13576</v>
      </c>
      <c r="AX474" s="82" t="s">
        <v>13576</v>
      </c>
      <c r="AY474" s="77"/>
      <c r="AZ474" s="82" t="s">
        <v>17385</v>
      </c>
      <c r="BA474" s="82" t="s">
        <v>17385</v>
      </c>
      <c r="BB474" s="82" t="s">
        <v>17385</v>
      </c>
      <c r="BC474" s="82" t="s">
        <v>13576</v>
      </c>
      <c r="BD474" s="82" t="s">
        <v>17498</v>
      </c>
      <c r="BE474" s="77"/>
      <c r="BF474" s="77"/>
      <c r="BG474" s="77"/>
      <c r="BH474" s="77"/>
      <c r="BI474" s="77"/>
    </row>
    <row r="475" spans="1:61" x14ac:dyDescent="0.25">
      <c r="A475" s="62" t="s">
        <v>331</v>
      </c>
      <c r="B475" s="62" t="s">
        <v>331</v>
      </c>
      <c r="C475" s="63"/>
      <c r="D475" s="64"/>
      <c r="E475" s="65"/>
      <c r="F475" s="66"/>
      <c r="G475" s="63"/>
      <c r="H475" s="67"/>
      <c r="I475" s="68"/>
      <c r="J475" s="68"/>
      <c r="K475" s="32"/>
      <c r="L475" s="75">
        <v>475</v>
      </c>
      <c r="M475" s="75"/>
      <c r="N475" s="70"/>
      <c r="O475" s="77" t="s">
        <v>179</v>
      </c>
      <c r="P475" s="79">
        <v>45167.725914351853</v>
      </c>
      <c r="Q475" s="77" t="s">
        <v>1273</v>
      </c>
      <c r="R475" s="77">
        <v>0</v>
      </c>
      <c r="S475" s="77">
        <v>1</v>
      </c>
      <c r="T475" s="77">
        <v>0</v>
      </c>
      <c r="U475" s="77">
        <v>0</v>
      </c>
      <c r="V475" s="77">
        <v>74</v>
      </c>
      <c r="W475" s="82" t="s">
        <v>5058</v>
      </c>
      <c r="X475" s="77"/>
      <c r="Y475" s="77"/>
      <c r="Z475" s="77"/>
      <c r="AA475" s="77" t="s">
        <v>7515</v>
      </c>
      <c r="AB475" s="77" t="s">
        <v>8227</v>
      </c>
      <c r="AC475" s="82" t="s">
        <v>8233</v>
      </c>
      <c r="AD475" s="77" t="s">
        <v>8278</v>
      </c>
      <c r="AE475" s="80" t="str">
        <f>HYPERLINK("https://twitter.com/investe1tempo/status/1696574766637871517")</f>
        <v>https://twitter.com/investe1tempo/status/1696574766637871517</v>
      </c>
      <c r="AF475" s="79">
        <v>45167.725914351853</v>
      </c>
      <c r="AG475" s="85">
        <v>45167</v>
      </c>
      <c r="AH475" s="82" t="s">
        <v>8737</v>
      </c>
      <c r="AI475" s="77" t="b">
        <v>0</v>
      </c>
      <c r="AJ475" s="77"/>
      <c r="AK475" s="77"/>
      <c r="AL475" s="77"/>
      <c r="AM475" s="77"/>
      <c r="AN475" s="77"/>
      <c r="AO475" s="77"/>
      <c r="AP475" s="77"/>
      <c r="AQ475" s="77" t="s">
        <v>12400</v>
      </c>
      <c r="AR475" s="77">
        <v>41640</v>
      </c>
      <c r="AS475" s="77"/>
      <c r="AT475" s="77"/>
      <c r="AU475" s="77"/>
      <c r="AV475" s="80" t="str">
        <f>HYPERLINK("https://pbs.twimg.com/ext_tw_video_thumb/1696574690565779463/pu/img/3xuZnTugwOzN1dmg.jpg")</f>
        <v>https://pbs.twimg.com/ext_tw_video_thumb/1696574690565779463/pu/img/3xuZnTugwOzN1dmg.jpg</v>
      </c>
      <c r="AW475" s="82" t="s">
        <v>13577</v>
      </c>
      <c r="AX475" s="82" t="s">
        <v>13577</v>
      </c>
      <c r="AY475" s="77"/>
      <c r="AZ475" s="82" t="s">
        <v>17385</v>
      </c>
      <c r="BA475" s="82" t="s">
        <v>17385</v>
      </c>
      <c r="BB475" s="82" t="s">
        <v>17385</v>
      </c>
      <c r="BC475" s="82" t="s">
        <v>13577</v>
      </c>
      <c r="BD475" s="82" t="s">
        <v>17498</v>
      </c>
      <c r="BE475" s="77"/>
      <c r="BF475" s="77"/>
      <c r="BG475" s="77"/>
      <c r="BH475" s="77"/>
      <c r="BI475" s="77"/>
    </row>
    <row r="476" spans="1:61" x14ac:dyDescent="0.25">
      <c r="A476" s="62" t="s">
        <v>331</v>
      </c>
      <c r="B476" s="62" t="s">
        <v>331</v>
      </c>
      <c r="C476" s="63"/>
      <c r="D476" s="64"/>
      <c r="E476" s="65"/>
      <c r="F476" s="66"/>
      <c r="G476" s="63"/>
      <c r="H476" s="67"/>
      <c r="I476" s="68"/>
      <c r="J476" s="68"/>
      <c r="K476" s="32"/>
      <c r="L476" s="75">
        <v>476</v>
      </c>
      <c r="M476" s="75"/>
      <c r="N476" s="70"/>
      <c r="O476" s="77" t="s">
        <v>179</v>
      </c>
      <c r="P476" s="79">
        <v>45151.560381944444</v>
      </c>
      <c r="Q476" s="77" t="s">
        <v>1274</v>
      </c>
      <c r="R476" s="77">
        <v>0</v>
      </c>
      <c r="S476" s="77">
        <v>0</v>
      </c>
      <c r="T476" s="77">
        <v>0</v>
      </c>
      <c r="U476" s="77">
        <v>0</v>
      </c>
      <c r="V476" s="77">
        <v>223</v>
      </c>
      <c r="W476" s="82" t="s">
        <v>5058</v>
      </c>
      <c r="X476" s="77"/>
      <c r="Y476" s="77"/>
      <c r="Z476" s="77"/>
      <c r="AA476" s="77" t="s">
        <v>7516</v>
      </c>
      <c r="AB476" s="77" t="s">
        <v>8227</v>
      </c>
      <c r="AC476" s="82" t="s">
        <v>8233</v>
      </c>
      <c r="AD476" s="77" t="s">
        <v>8278</v>
      </c>
      <c r="AE476" s="80" t="str">
        <f>HYPERLINK("https://twitter.com/investe1tempo/status/1690716573311365120")</f>
        <v>https://twitter.com/investe1tempo/status/1690716573311365120</v>
      </c>
      <c r="AF476" s="79">
        <v>45151.560381944444</v>
      </c>
      <c r="AG476" s="85">
        <v>45151</v>
      </c>
      <c r="AH476" s="82" t="s">
        <v>8738</v>
      </c>
      <c r="AI476" s="77" t="b">
        <v>0</v>
      </c>
      <c r="AJ476" s="77"/>
      <c r="AK476" s="77"/>
      <c r="AL476" s="77"/>
      <c r="AM476" s="77"/>
      <c r="AN476" s="77"/>
      <c r="AO476" s="77"/>
      <c r="AP476" s="77"/>
      <c r="AQ476" s="77" t="s">
        <v>12401</v>
      </c>
      <c r="AR476" s="77">
        <v>53240</v>
      </c>
      <c r="AS476" s="77"/>
      <c r="AT476" s="77"/>
      <c r="AU476" s="77"/>
      <c r="AV476" s="80" t="str">
        <f>HYPERLINK("https://pbs.twimg.com/ext_tw_video_thumb/1690716484530515968/pu/img/_leC3TVQJ4XcekKl.jpg")</f>
        <v>https://pbs.twimg.com/ext_tw_video_thumb/1690716484530515968/pu/img/_leC3TVQJ4XcekKl.jpg</v>
      </c>
      <c r="AW476" s="82" t="s">
        <v>13578</v>
      </c>
      <c r="AX476" s="82" t="s">
        <v>13578</v>
      </c>
      <c r="AY476" s="77"/>
      <c r="AZ476" s="82" t="s">
        <v>17385</v>
      </c>
      <c r="BA476" s="82" t="s">
        <v>17385</v>
      </c>
      <c r="BB476" s="82" t="s">
        <v>17385</v>
      </c>
      <c r="BC476" s="82" t="s">
        <v>13578</v>
      </c>
      <c r="BD476" s="82" t="s">
        <v>17498</v>
      </c>
      <c r="BE476" s="77"/>
      <c r="BF476" s="77"/>
      <c r="BG476" s="77"/>
      <c r="BH476" s="77"/>
      <c r="BI476" s="77"/>
    </row>
    <row r="477" spans="1:61" x14ac:dyDescent="0.25">
      <c r="A477" s="62" t="s">
        <v>332</v>
      </c>
      <c r="B477" s="62" t="s">
        <v>332</v>
      </c>
      <c r="C477" s="63"/>
      <c r="D477" s="64"/>
      <c r="E477" s="65"/>
      <c r="F477" s="66"/>
      <c r="G477" s="63"/>
      <c r="H477" s="67"/>
      <c r="I477" s="68"/>
      <c r="J477" s="68"/>
      <c r="K477" s="32"/>
      <c r="L477" s="75">
        <v>477</v>
      </c>
      <c r="M477" s="75"/>
      <c r="N477" s="70"/>
      <c r="O477" s="77" t="s">
        <v>179</v>
      </c>
      <c r="P477" s="79">
        <v>45190.844131944446</v>
      </c>
      <c r="Q477" s="77" t="s">
        <v>1275</v>
      </c>
      <c r="R477" s="77">
        <v>0</v>
      </c>
      <c r="S477" s="77">
        <v>0</v>
      </c>
      <c r="T477" s="77">
        <v>0</v>
      </c>
      <c r="U477" s="77">
        <v>0</v>
      </c>
      <c r="V477" s="77">
        <v>11</v>
      </c>
      <c r="W477" s="82" t="s">
        <v>5063</v>
      </c>
      <c r="X477" s="77"/>
      <c r="Y477" s="77"/>
      <c r="Z477" s="77"/>
      <c r="AA477" s="77"/>
      <c r="AB477" s="77"/>
      <c r="AC477" s="82" t="s">
        <v>8234</v>
      </c>
      <c r="AD477" s="77" t="s">
        <v>8278</v>
      </c>
      <c r="AE477" s="80" t="str">
        <f>HYPERLINK("https://twitter.com/willinvestindo/status/1704952526754251083")</f>
        <v>https://twitter.com/willinvestindo/status/1704952526754251083</v>
      </c>
      <c r="AF477" s="79">
        <v>45190.844131944446</v>
      </c>
      <c r="AG477" s="85">
        <v>45190</v>
      </c>
      <c r="AH477" s="82" t="s">
        <v>8739</v>
      </c>
      <c r="AI477" s="77"/>
      <c r="AJ477" s="77"/>
      <c r="AK477" s="77"/>
      <c r="AL477" s="77"/>
      <c r="AM477" s="77"/>
      <c r="AN477" s="77"/>
      <c r="AO477" s="77"/>
      <c r="AP477" s="77"/>
      <c r="AQ477" s="77"/>
      <c r="AR477" s="77"/>
      <c r="AS477" s="77"/>
      <c r="AT477" s="77"/>
      <c r="AU477" s="77"/>
      <c r="AV477" s="80" t="str">
        <f>HYPERLINK("https://pbs.twimg.com/profile_images/1681667501124452352/9qTKJ6Sl_normal.jpg")</f>
        <v>https://pbs.twimg.com/profile_images/1681667501124452352/9qTKJ6Sl_normal.jpg</v>
      </c>
      <c r="AW477" s="82" t="s">
        <v>13579</v>
      </c>
      <c r="AX477" s="82" t="s">
        <v>13579</v>
      </c>
      <c r="AY477" s="77"/>
      <c r="AZ477" s="82" t="s">
        <v>17385</v>
      </c>
      <c r="BA477" s="82" t="s">
        <v>17385</v>
      </c>
      <c r="BB477" s="82" t="s">
        <v>17385</v>
      </c>
      <c r="BC477" s="82" t="s">
        <v>13579</v>
      </c>
      <c r="BD477" s="82" t="s">
        <v>17499</v>
      </c>
      <c r="BE477" s="77"/>
      <c r="BF477" s="77"/>
      <c r="BG477" s="77"/>
      <c r="BH477" s="77"/>
      <c r="BI477" s="77"/>
    </row>
    <row r="478" spans="1:61" x14ac:dyDescent="0.25">
      <c r="A478" s="62" t="s">
        <v>333</v>
      </c>
      <c r="B478" s="62" t="s">
        <v>333</v>
      </c>
      <c r="C478" s="63"/>
      <c r="D478" s="64"/>
      <c r="E478" s="65"/>
      <c r="F478" s="66"/>
      <c r="G478" s="63"/>
      <c r="H478" s="67"/>
      <c r="I478" s="68"/>
      <c r="J478" s="68"/>
      <c r="K478" s="32"/>
      <c r="L478" s="75">
        <v>478</v>
      </c>
      <c r="M478" s="75"/>
      <c r="N478" s="70"/>
      <c r="O478" s="77" t="s">
        <v>802</v>
      </c>
      <c r="P478" s="79">
        <v>45058.903263888889</v>
      </c>
      <c r="Q478" s="77" t="s">
        <v>1276</v>
      </c>
      <c r="R478" s="77">
        <v>0</v>
      </c>
      <c r="S478" s="77">
        <v>1</v>
      </c>
      <c r="T478" s="77">
        <v>0</v>
      </c>
      <c r="U478" s="77">
        <v>0</v>
      </c>
      <c r="V478" s="77">
        <v>24</v>
      </c>
      <c r="W478" s="82" t="s">
        <v>5064</v>
      </c>
      <c r="X478" s="77"/>
      <c r="Y478" s="77"/>
      <c r="Z478" s="77" t="s">
        <v>333</v>
      </c>
      <c r="AA478" s="77" t="s">
        <v>7517</v>
      </c>
      <c r="AB478" s="77" t="s">
        <v>8227</v>
      </c>
      <c r="AC478" s="82" t="s">
        <v>8234</v>
      </c>
      <c r="AD478" s="77" t="s">
        <v>8278</v>
      </c>
      <c r="AE478" s="80" t="str">
        <f>HYPERLINK("https://twitter.com/prmarcosbrasil1/status/1657138755189325826")</f>
        <v>https://twitter.com/prmarcosbrasil1/status/1657138755189325826</v>
      </c>
      <c r="AF478" s="79">
        <v>45058.903263888889</v>
      </c>
      <c r="AG478" s="85">
        <v>45058</v>
      </c>
      <c r="AH478" s="82" t="s">
        <v>8740</v>
      </c>
      <c r="AI478" s="77" t="b">
        <v>0</v>
      </c>
      <c r="AJ478" s="77"/>
      <c r="AK478" s="77"/>
      <c r="AL478" s="77"/>
      <c r="AM478" s="77"/>
      <c r="AN478" s="77"/>
      <c r="AO478" s="77"/>
      <c r="AP478" s="77"/>
      <c r="AQ478" s="77" t="s">
        <v>12402</v>
      </c>
      <c r="AR478" s="77">
        <v>39634</v>
      </c>
      <c r="AS478" s="77"/>
      <c r="AT478" s="77"/>
      <c r="AU478" s="77"/>
      <c r="AV478" s="80" t="str">
        <f>HYPERLINK("https://pbs.twimg.com/ext_tw_video_thumb/1657138724927332356/pu/img/JuPnRBVlDcSv3_fg.jpg")</f>
        <v>https://pbs.twimg.com/ext_tw_video_thumb/1657138724927332356/pu/img/JuPnRBVlDcSv3_fg.jpg</v>
      </c>
      <c r="AW478" s="82" t="s">
        <v>13580</v>
      </c>
      <c r="AX478" s="82" t="s">
        <v>13580</v>
      </c>
      <c r="AY478" s="77"/>
      <c r="AZ478" s="82" t="s">
        <v>17385</v>
      </c>
      <c r="BA478" s="82" t="s">
        <v>17385</v>
      </c>
      <c r="BB478" s="82" t="s">
        <v>17385</v>
      </c>
      <c r="BC478" s="82" t="s">
        <v>13580</v>
      </c>
      <c r="BD478" s="82" t="s">
        <v>17500</v>
      </c>
      <c r="BE478" s="77"/>
      <c r="BF478" s="77"/>
      <c r="BG478" s="77"/>
      <c r="BH478" s="77"/>
      <c r="BI478" s="77"/>
    </row>
    <row r="479" spans="1:61" x14ac:dyDescent="0.25">
      <c r="A479" s="62" t="s">
        <v>334</v>
      </c>
      <c r="B479" s="62" t="s">
        <v>334</v>
      </c>
      <c r="C479" s="63"/>
      <c r="D479" s="64"/>
      <c r="E479" s="65"/>
      <c r="F479" s="66"/>
      <c r="G479" s="63"/>
      <c r="H479" s="67"/>
      <c r="I479" s="68"/>
      <c r="J479" s="68"/>
      <c r="K479" s="32"/>
      <c r="L479" s="75">
        <v>479</v>
      </c>
      <c r="M479" s="75"/>
      <c r="N479" s="70"/>
      <c r="O479" s="77" t="s">
        <v>179</v>
      </c>
      <c r="P479" s="79">
        <v>45071.616643518515</v>
      </c>
      <c r="Q479" s="77" t="s">
        <v>1277</v>
      </c>
      <c r="R479" s="77">
        <v>1</v>
      </c>
      <c r="S479" s="77">
        <v>1</v>
      </c>
      <c r="T479" s="77">
        <v>1</v>
      </c>
      <c r="U479" s="77">
        <v>0</v>
      </c>
      <c r="V479" s="77">
        <v>53</v>
      </c>
      <c r="W479" s="82" t="s">
        <v>5065</v>
      </c>
      <c r="X479" s="77"/>
      <c r="Y479" s="77"/>
      <c r="Z479" s="77"/>
      <c r="AA479" s="77"/>
      <c r="AB479" s="77"/>
      <c r="AC479" s="82" t="s">
        <v>8239</v>
      </c>
      <c r="AD479" s="77" t="s">
        <v>8278</v>
      </c>
      <c r="AE479" s="80" t="str">
        <f>HYPERLINK("https://twitter.com/diego_dias_10/status/1661745930104877067")</f>
        <v>https://twitter.com/diego_dias_10/status/1661745930104877067</v>
      </c>
      <c r="AF479" s="79">
        <v>45071.616643518515</v>
      </c>
      <c r="AG479" s="85">
        <v>45071</v>
      </c>
      <c r="AH479" s="82" t="s">
        <v>8741</v>
      </c>
      <c r="AI479" s="77"/>
      <c r="AJ479" s="77"/>
      <c r="AK479" s="77"/>
      <c r="AL479" s="77"/>
      <c r="AM479" s="77"/>
      <c r="AN479" s="77"/>
      <c r="AO479" s="77"/>
      <c r="AP479" s="77"/>
      <c r="AQ479" s="77"/>
      <c r="AR479" s="77"/>
      <c r="AS479" s="77"/>
      <c r="AT479" s="77"/>
      <c r="AU479" s="77"/>
      <c r="AV479" s="80" t="str">
        <f>HYPERLINK("https://pbs.twimg.com/profile_images/1668702478169264128/OWWz2F9X_normal.jpg")</f>
        <v>https://pbs.twimg.com/profile_images/1668702478169264128/OWWz2F9X_normal.jpg</v>
      </c>
      <c r="AW479" s="82" t="s">
        <v>13581</v>
      </c>
      <c r="AX479" s="82" t="s">
        <v>13581</v>
      </c>
      <c r="AY479" s="77"/>
      <c r="AZ479" s="82" t="s">
        <v>17385</v>
      </c>
      <c r="BA479" s="82" t="s">
        <v>17385</v>
      </c>
      <c r="BB479" s="82" t="s">
        <v>17385</v>
      </c>
      <c r="BC479" s="82" t="s">
        <v>13581</v>
      </c>
      <c r="BD479" s="82" t="s">
        <v>17501</v>
      </c>
      <c r="BE479" s="77"/>
      <c r="BF479" s="77"/>
      <c r="BG479" s="77"/>
      <c r="BH479" s="77"/>
      <c r="BI479" s="77"/>
    </row>
    <row r="480" spans="1:61" x14ac:dyDescent="0.25">
      <c r="A480" s="62" t="s">
        <v>335</v>
      </c>
      <c r="B480" s="62" t="s">
        <v>605</v>
      </c>
      <c r="C480" s="63"/>
      <c r="D480" s="64"/>
      <c r="E480" s="65"/>
      <c r="F480" s="66"/>
      <c r="G480" s="63"/>
      <c r="H480" s="67"/>
      <c r="I480" s="68"/>
      <c r="J480" s="68"/>
      <c r="K480" s="32"/>
      <c r="L480" s="75">
        <v>480</v>
      </c>
      <c r="M480" s="75"/>
      <c r="N480" s="70"/>
      <c r="O480" s="77" t="s">
        <v>803</v>
      </c>
      <c r="P480" s="79">
        <v>45192.591550925928</v>
      </c>
      <c r="Q480" s="77" t="s">
        <v>1278</v>
      </c>
      <c r="R480" s="77">
        <v>1</v>
      </c>
      <c r="S480" s="77">
        <v>0</v>
      </c>
      <c r="T480" s="77">
        <v>0</v>
      </c>
      <c r="U480" s="77">
        <v>0</v>
      </c>
      <c r="V480" s="77"/>
      <c r="W480" s="82" t="s">
        <v>5066</v>
      </c>
      <c r="X480" s="80" t="str">
        <f>HYPERLINK("https://www.moneytimes.com.br/gestora-bilionaria-compra-acoes-da-cvc-cvcb3/?ttmt")</f>
        <v>https://www.moneytimes.com.br/gestora-bilionaria-compra-acoes-da-cvc-cvcb3/?ttmt</v>
      </c>
      <c r="Y480" s="77" t="s">
        <v>7053</v>
      </c>
      <c r="Z480" s="77" t="s">
        <v>605</v>
      </c>
      <c r="AA480" s="77"/>
      <c r="AB480" s="77"/>
      <c r="AC480" s="82" t="s">
        <v>8234</v>
      </c>
      <c r="AD480" s="77" t="s">
        <v>8278</v>
      </c>
      <c r="AE480" s="80" t="str">
        <f>HYPERLINK("https://twitter.com/marcio_mendonc/status/1705585769782423801")</f>
        <v>https://twitter.com/marcio_mendonc/status/1705585769782423801</v>
      </c>
      <c r="AF480" s="79">
        <v>45192.591550925928</v>
      </c>
      <c r="AG480" s="85">
        <v>45192</v>
      </c>
      <c r="AH480" s="82" t="s">
        <v>8742</v>
      </c>
      <c r="AI480" s="77" t="b">
        <v>0</v>
      </c>
      <c r="AJ480" s="77"/>
      <c r="AK480" s="77"/>
      <c r="AL480" s="77"/>
      <c r="AM480" s="77"/>
      <c r="AN480" s="77"/>
      <c r="AO480" s="77"/>
      <c r="AP480" s="77"/>
      <c r="AQ480" s="77"/>
      <c r="AR480" s="77"/>
      <c r="AS480" s="77"/>
      <c r="AT480" s="77"/>
      <c r="AU480" s="77"/>
      <c r="AV480" s="80" t="str">
        <f>HYPERLINK("https://pbs.twimg.com/profile_images/735279224697716736/tMa9GV39_normal.jpg")</f>
        <v>https://pbs.twimg.com/profile_images/735279224697716736/tMa9GV39_normal.jpg</v>
      </c>
      <c r="AW480" s="82" t="s">
        <v>13582</v>
      </c>
      <c r="AX480" s="82" t="s">
        <v>13582</v>
      </c>
      <c r="AY480" s="77"/>
      <c r="AZ480" s="82" t="s">
        <v>17385</v>
      </c>
      <c r="BA480" s="82" t="s">
        <v>17385</v>
      </c>
      <c r="BB480" s="82" t="s">
        <v>16768</v>
      </c>
      <c r="BC480" s="82" t="s">
        <v>16768</v>
      </c>
      <c r="BD480" s="77">
        <v>2780697111</v>
      </c>
      <c r="BE480" s="77"/>
      <c r="BF480" s="77"/>
      <c r="BG480" s="77"/>
      <c r="BH480" s="77"/>
      <c r="BI480" s="77"/>
    </row>
    <row r="481" spans="1:61" x14ac:dyDescent="0.25">
      <c r="A481" s="62" t="s">
        <v>336</v>
      </c>
      <c r="B481" s="62" t="s">
        <v>336</v>
      </c>
      <c r="C481" s="63"/>
      <c r="D481" s="64"/>
      <c r="E481" s="65"/>
      <c r="F481" s="66"/>
      <c r="G481" s="63"/>
      <c r="H481" s="67"/>
      <c r="I481" s="68"/>
      <c r="J481" s="68"/>
      <c r="K481" s="32"/>
      <c r="L481" s="75">
        <v>481</v>
      </c>
      <c r="M481" s="75"/>
      <c r="N481" s="70"/>
      <c r="O481" s="77" t="s">
        <v>179</v>
      </c>
      <c r="P481" s="79">
        <v>45149.875162037039</v>
      </c>
      <c r="Q481" s="77" t="s">
        <v>1279</v>
      </c>
      <c r="R481" s="77">
        <v>1</v>
      </c>
      <c r="S481" s="77">
        <v>1</v>
      </c>
      <c r="T481" s="77">
        <v>0</v>
      </c>
      <c r="U481" s="77">
        <v>0</v>
      </c>
      <c r="V481" s="77">
        <v>54</v>
      </c>
      <c r="W481" s="82" t="s">
        <v>5067</v>
      </c>
      <c r="X481" s="80" t="str">
        <f>HYPERLINK("https://www.pennystocks.pt/qual-e-a-melhor-corretora-para-short-selling-de-acoes/")</f>
        <v>https://www.pennystocks.pt/qual-e-a-melhor-corretora-para-short-selling-de-acoes/</v>
      </c>
      <c r="Y481" s="77" t="s">
        <v>7084</v>
      </c>
      <c r="Z481" s="77"/>
      <c r="AA481" s="77"/>
      <c r="AB481" s="77"/>
      <c r="AC481" s="82" t="s">
        <v>8232</v>
      </c>
      <c r="AD481" s="77" t="s">
        <v>8278</v>
      </c>
      <c r="AE481" s="80" t="str">
        <f>HYPERLINK("https://twitter.com/daytraderpt/status/1690105868786757632")</f>
        <v>https://twitter.com/daytraderpt/status/1690105868786757632</v>
      </c>
      <c r="AF481" s="79">
        <v>45149.875162037039</v>
      </c>
      <c r="AG481" s="85">
        <v>45149</v>
      </c>
      <c r="AH481" s="82" t="s">
        <v>8743</v>
      </c>
      <c r="AI481" s="77" t="b">
        <v>0</v>
      </c>
      <c r="AJ481" s="77"/>
      <c r="AK481" s="77"/>
      <c r="AL481" s="77"/>
      <c r="AM481" s="77"/>
      <c r="AN481" s="77"/>
      <c r="AO481" s="77"/>
      <c r="AP481" s="77"/>
      <c r="AQ481" s="77"/>
      <c r="AR481" s="77"/>
      <c r="AS481" s="77"/>
      <c r="AT481" s="77"/>
      <c r="AU481" s="77"/>
      <c r="AV481" s="80" t="str">
        <f>HYPERLINK("https://pbs.twimg.com/profile_images/1574715567088467969/7rS5wVeR_normal.jpg")</f>
        <v>https://pbs.twimg.com/profile_images/1574715567088467969/7rS5wVeR_normal.jpg</v>
      </c>
      <c r="AW481" s="82" t="s">
        <v>13583</v>
      </c>
      <c r="AX481" s="82" t="s">
        <v>13583</v>
      </c>
      <c r="AY481" s="77"/>
      <c r="AZ481" s="82" t="s">
        <v>17385</v>
      </c>
      <c r="BA481" s="82" t="s">
        <v>17385</v>
      </c>
      <c r="BB481" s="82" t="s">
        <v>17385</v>
      </c>
      <c r="BC481" s="82" t="s">
        <v>13583</v>
      </c>
      <c r="BD481" s="82" t="s">
        <v>17502</v>
      </c>
      <c r="BE481" s="77"/>
      <c r="BF481" s="77"/>
      <c r="BG481" s="77"/>
      <c r="BH481" s="77"/>
      <c r="BI481" s="77"/>
    </row>
    <row r="482" spans="1:61" x14ac:dyDescent="0.25">
      <c r="A482" s="62" t="s">
        <v>337</v>
      </c>
      <c r="B482" s="62" t="s">
        <v>337</v>
      </c>
      <c r="C482" s="63"/>
      <c r="D482" s="64"/>
      <c r="E482" s="65"/>
      <c r="F482" s="66"/>
      <c r="G482" s="63"/>
      <c r="H482" s="67"/>
      <c r="I482" s="68"/>
      <c r="J482" s="68"/>
      <c r="K482" s="32"/>
      <c r="L482" s="75">
        <v>482</v>
      </c>
      <c r="M482" s="75"/>
      <c r="N482" s="70"/>
      <c r="O482" s="77" t="s">
        <v>179</v>
      </c>
      <c r="P482" s="79">
        <v>45075.771435185183</v>
      </c>
      <c r="Q482" s="77" t="s">
        <v>1280</v>
      </c>
      <c r="R482" s="77">
        <v>0</v>
      </c>
      <c r="S482" s="77">
        <v>0</v>
      </c>
      <c r="T482" s="77">
        <v>0</v>
      </c>
      <c r="U482" s="77">
        <v>0</v>
      </c>
      <c r="V482" s="77">
        <v>10</v>
      </c>
      <c r="W482" s="82" t="s">
        <v>5068</v>
      </c>
      <c r="X482" s="77"/>
      <c r="Y482" s="77"/>
      <c r="Z482" s="77"/>
      <c r="AA482" s="77" t="s">
        <v>7518</v>
      </c>
      <c r="AB482" s="77" t="s">
        <v>8227</v>
      </c>
      <c r="AC482" s="82" t="s">
        <v>8234</v>
      </c>
      <c r="AD482" s="77" t="s">
        <v>8278</v>
      </c>
      <c r="AE482" s="80" t="str">
        <f>HYPERLINK("https://twitter.com/charao_andre/status/1663251577031753756")</f>
        <v>https://twitter.com/charao_andre/status/1663251577031753756</v>
      </c>
      <c r="AF482" s="79">
        <v>45075.771435185183</v>
      </c>
      <c r="AG482" s="85">
        <v>45075</v>
      </c>
      <c r="AH482" s="82" t="s">
        <v>8744</v>
      </c>
      <c r="AI482" s="77" t="b">
        <v>0</v>
      </c>
      <c r="AJ482" s="77"/>
      <c r="AK482" s="77"/>
      <c r="AL482" s="77"/>
      <c r="AM482" s="77"/>
      <c r="AN482" s="77"/>
      <c r="AO482" s="77"/>
      <c r="AP482" s="77"/>
      <c r="AQ482" s="77" t="s">
        <v>12403</v>
      </c>
      <c r="AR482" s="77">
        <v>25889</v>
      </c>
      <c r="AS482" s="77"/>
      <c r="AT482" s="77"/>
      <c r="AU482" s="77"/>
      <c r="AV482" s="80" t="str">
        <f>HYPERLINK("https://pbs.twimg.com/ext_tw_video_thumb/1663251523302719492/pu/img/vPzT11uesmpDpopx.jpg")</f>
        <v>https://pbs.twimg.com/ext_tw_video_thumb/1663251523302719492/pu/img/vPzT11uesmpDpopx.jpg</v>
      </c>
      <c r="AW482" s="82" t="s">
        <v>13584</v>
      </c>
      <c r="AX482" s="82" t="s">
        <v>13584</v>
      </c>
      <c r="AY482" s="77"/>
      <c r="AZ482" s="82" t="s">
        <v>17385</v>
      </c>
      <c r="BA482" s="82" t="s">
        <v>17385</v>
      </c>
      <c r="BB482" s="82" t="s">
        <v>17385</v>
      </c>
      <c r="BC482" s="82" t="s">
        <v>13584</v>
      </c>
      <c r="BD482" s="82" t="s">
        <v>17503</v>
      </c>
      <c r="BE482" s="77"/>
      <c r="BF482" s="77"/>
      <c r="BG482" s="77"/>
      <c r="BH482" s="77"/>
      <c r="BI482" s="77"/>
    </row>
    <row r="483" spans="1:61" x14ac:dyDescent="0.25">
      <c r="A483" s="62" t="s">
        <v>338</v>
      </c>
      <c r="B483" s="62" t="s">
        <v>338</v>
      </c>
      <c r="C483" s="63"/>
      <c r="D483" s="64"/>
      <c r="E483" s="65"/>
      <c r="F483" s="66"/>
      <c r="G483" s="63"/>
      <c r="H483" s="67"/>
      <c r="I483" s="68"/>
      <c r="J483" s="68"/>
      <c r="K483" s="32"/>
      <c r="L483" s="75">
        <v>483</v>
      </c>
      <c r="M483" s="75"/>
      <c r="N483" s="70"/>
      <c r="O483" s="77" t="s">
        <v>179</v>
      </c>
      <c r="P483" s="79">
        <v>45179.873078703706</v>
      </c>
      <c r="Q483" s="77" t="s">
        <v>1281</v>
      </c>
      <c r="R483" s="77">
        <v>0</v>
      </c>
      <c r="S483" s="77">
        <v>0</v>
      </c>
      <c r="T483" s="77">
        <v>0</v>
      </c>
      <c r="U483" s="77">
        <v>0</v>
      </c>
      <c r="V483" s="77">
        <v>104</v>
      </c>
      <c r="W483" s="82" t="s">
        <v>5069</v>
      </c>
      <c r="X483" s="80" t="str">
        <f>HYPERLINK("https://youtube.com/@danielalvamf")</f>
        <v>https://youtube.com/@danielalvamf</v>
      </c>
      <c r="Y483" s="77" t="s">
        <v>7065</v>
      </c>
      <c r="Z483" s="77"/>
      <c r="AA483" s="77" t="s">
        <v>7519</v>
      </c>
      <c r="AB483" s="77" t="s">
        <v>8227</v>
      </c>
      <c r="AC483" s="82" t="s">
        <v>8234</v>
      </c>
      <c r="AD483" s="77" t="s">
        <v>8278</v>
      </c>
      <c r="AE483" s="80" t="str">
        <f>HYPERLINK("https://twitter.com/danielperu/status/1700976750287781936")</f>
        <v>https://twitter.com/danielperu/status/1700976750287781936</v>
      </c>
      <c r="AF483" s="79">
        <v>45179.873078703706</v>
      </c>
      <c r="AG483" s="85">
        <v>45179</v>
      </c>
      <c r="AH483" s="82" t="s">
        <v>8382</v>
      </c>
      <c r="AI483" s="77" t="b">
        <v>0</v>
      </c>
      <c r="AJ483" s="77"/>
      <c r="AK483" s="77"/>
      <c r="AL483" s="77"/>
      <c r="AM483" s="77"/>
      <c r="AN483" s="77"/>
      <c r="AO483" s="77"/>
      <c r="AP483" s="77"/>
      <c r="AQ483" s="77" t="s">
        <v>12404</v>
      </c>
      <c r="AR483" s="77">
        <v>59780</v>
      </c>
      <c r="AS483" s="77"/>
      <c r="AT483" s="77"/>
      <c r="AU483" s="77"/>
      <c r="AV483" s="80" t="str">
        <f>HYPERLINK("https://pbs.twimg.com/ext_tw_video_thumb/1700976629420556288/pu/img/hSUpazMsu74KE75-.jpg")</f>
        <v>https://pbs.twimg.com/ext_tw_video_thumb/1700976629420556288/pu/img/hSUpazMsu74KE75-.jpg</v>
      </c>
      <c r="AW483" s="82" t="s">
        <v>13585</v>
      </c>
      <c r="AX483" s="82" t="s">
        <v>13585</v>
      </c>
      <c r="AY483" s="77"/>
      <c r="AZ483" s="82" t="s">
        <v>17385</v>
      </c>
      <c r="BA483" s="82" t="s">
        <v>17385</v>
      </c>
      <c r="BB483" s="82" t="s">
        <v>17385</v>
      </c>
      <c r="BC483" s="82" t="s">
        <v>13585</v>
      </c>
      <c r="BD483" s="77">
        <v>28598257</v>
      </c>
      <c r="BE483" s="77"/>
      <c r="BF483" s="77"/>
      <c r="BG483" s="77"/>
      <c r="BH483" s="77"/>
      <c r="BI483" s="77"/>
    </row>
    <row r="484" spans="1:61" x14ac:dyDescent="0.25">
      <c r="A484" s="62" t="s">
        <v>339</v>
      </c>
      <c r="B484" s="62" t="s">
        <v>339</v>
      </c>
      <c r="C484" s="63"/>
      <c r="D484" s="64"/>
      <c r="E484" s="65"/>
      <c r="F484" s="66"/>
      <c r="G484" s="63"/>
      <c r="H484" s="67"/>
      <c r="I484" s="68"/>
      <c r="J484" s="68"/>
      <c r="K484" s="32"/>
      <c r="L484" s="75">
        <v>484</v>
      </c>
      <c r="M484" s="75"/>
      <c r="N484" s="70"/>
      <c r="O484" s="77" t="s">
        <v>179</v>
      </c>
      <c r="P484" s="79">
        <v>45088.551122685189</v>
      </c>
      <c r="Q484" s="77" t="s">
        <v>1282</v>
      </c>
      <c r="R484" s="77">
        <v>0</v>
      </c>
      <c r="S484" s="77">
        <v>0</v>
      </c>
      <c r="T484" s="77">
        <v>0</v>
      </c>
      <c r="U484" s="77">
        <v>0</v>
      </c>
      <c r="V484" s="77">
        <v>19</v>
      </c>
      <c r="W484" s="82" t="s">
        <v>5070</v>
      </c>
      <c r="X484" s="77"/>
      <c r="Y484" s="77"/>
      <c r="Z484" s="77"/>
      <c r="AA484" s="77"/>
      <c r="AB484" s="77"/>
      <c r="AC484" s="82" t="s">
        <v>8234</v>
      </c>
      <c r="AD484" s="77" t="s">
        <v>8278</v>
      </c>
      <c r="AE484" s="80" t="str">
        <f>HYPERLINK("https://twitter.com/gustavober_59/status/1667882780678664192")</f>
        <v>https://twitter.com/gustavober_59/status/1667882780678664192</v>
      </c>
      <c r="AF484" s="79">
        <v>45088.551122685189</v>
      </c>
      <c r="AG484" s="85">
        <v>45088</v>
      </c>
      <c r="AH484" s="82" t="s">
        <v>8745</v>
      </c>
      <c r="AI484" s="77"/>
      <c r="AJ484" s="77"/>
      <c r="AK484" s="77"/>
      <c r="AL484" s="77"/>
      <c r="AM484" s="77"/>
      <c r="AN484" s="77"/>
      <c r="AO484" s="77"/>
      <c r="AP484" s="77"/>
      <c r="AQ484" s="77"/>
      <c r="AR484" s="77"/>
      <c r="AS484" s="77"/>
      <c r="AT484" s="77"/>
      <c r="AU484" s="77"/>
      <c r="AV484" s="80" t="str">
        <f>HYPERLINK("https://pbs.twimg.com/profile_images/1656111934599512064/Y5f-nAQC_normal.jpg")</f>
        <v>https://pbs.twimg.com/profile_images/1656111934599512064/Y5f-nAQC_normal.jpg</v>
      </c>
      <c r="AW484" s="82" t="s">
        <v>13586</v>
      </c>
      <c r="AX484" s="82" t="s">
        <v>13586</v>
      </c>
      <c r="AY484" s="77"/>
      <c r="AZ484" s="82" t="s">
        <v>17385</v>
      </c>
      <c r="BA484" s="82" t="s">
        <v>17385</v>
      </c>
      <c r="BB484" s="82" t="s">
        <v>17385</v>
      </c>
      <c r="BC484" s="82" t="s">
        <v>13586</v>
      </c>
      <c r="BD484" s="77">
        <v>2517788041</v>
      </c>
      <c r="BE484" s="77"/>
      <c r="BF484" s="77"/>
      <c r="BG484" s="77"/>
      <c r="BH484" s="77"/>
      <c r="BI484" s="77"/>
    </row>
    <row r="485" spans="1:61" x14ac:dyDescent="0.25">
      <c r="A485" s="62" t="s">
        <v>340</v>
      </c>
      <c r="B485" s="62" t="s">
        <v>340</v>
      </c>
      <c r="C485" s="63"/>
      <c r="D485" s="64"/>
      <c r="E485" s="65"/>
      <c r="F485" s="66"/>
      <c r="G485" s="63"/>
      <c r="H485" s="67"/>
      <c r="I485" s="68"/>
      <c r="J485" s="68"/>
      <c r="K485" s="32"/>
      <c r="L485" s="75">
        <v>485</v>
      </c>
      <c r="M485" s="75"/>
      <c r="N485" s="70"/>
      <c r="O485" s="77" t="s">
        <v>800</v>
      </c>
      <c r="P485" s="79">
        <v>45093.620856481481</v>
      </c>
      <c r="Q485" s="77" t="s">
        <v>1283</v>
      </c>
      <c r="R485" s="77">
        <v>0</v>
      </c>
      <c r="S485" s="77">
        <v>0</v>
      </c>
      <c r="T485" s="77">
        <v>0</v>
      </c>
      <c r="U485" s="77">
        <v>0</v>
      </c>
      <c r="V485" s="77">
        <v>17</v>
      </c>
      <c r="W485" s="82" t="s">
        <v>5071</v>
      </c>
      <c r="X485" s="77"/>
      <c r="Y485" s="77"/>
      <c r="Z485" s="77"/>
      <c r="AA485" s="77" t="s">
        <v>7520</v>
      </c>
      <c r="AB485" s="77" t="s">
        <v>8226</v>
      </c>
      <c r="AC485" s="82" t="s">
        <v>8234</v>
      </c>
      <c r="AD485" s="77" t="s">
        <v>8278</v>
      </c>
      <c r="AE485" s="80" t="str">
        <f>HYPERLINK("https://twitter.com/giramundoap/status/1669719991346667521")</f>
        <v>https://twitter.com/giramundoap/status/1669719991346667521</v>
      </c>
      <c r="AF485" s="79">
        <v>45093.620856481481</v>
      </c>
      <c r="AG485" s="85">
        <v>45093</v>
      </c>
      <c r="AH485" s="82" t="s">
        <v>8746</v>
      </c>
      <c r="AI485" s="77" t="b">
        <v>0</v>
      </c>
      <c r="AJ485" s="77"/>
      <c r="AK485" s="77"/>
      <c r="AL485" s="77"/>
      <c r="AM485" s="77"/>
      <c r="AN485" s="77"/>
      <c r="AO485" s="77"/>
      <c r="AP485" s="77"/>
      <c r="AQ485" s="77" t="s">
        <v>12405</v>
      </c>
      <c r="AR485" s="77"/>
      <c r="AS485" s="77"/>
      <c r="AT485" s="77"/>
      <c r="AU485" s="77"/>
      <c r="AV485" s="80" t="str">
        <f>HYPERLINK("https://pbs.twimg.com/media/FywJeV5XoAAFbDO.jpg")</f>
        <v>https://pbs.twimg.com/media/FywJeV5XoAAFbDO.jpg</v>
      </c>
      <c r="AW485" s="82" t="s">
        <v>13587</v>
      </c>
      <c r="AX485" s="82" t="s">
        <v>17156</v>
      </c>
      <c r="AY485" s="82" t="s">
        <v>17330</v>
      </c>
      <c r="AZ485" s="82" t="s">
        <v>17156</v>
      </c>
      <c r="BA485" s="82" t="s">
        <v>17385</v>
      </c>
      <c r="BB485" s="82" t="s">
        <v>17385</v>
      </c>
      <c r="BC485" s="82" t="s">
        <v>17156</v>
      </c>
      <c r="BD485" s="82" t="s">
        <v>17330</v>
      </c>
      <c r="BE485" s="77"/>
      <c r="BF485" s="77"/>
      <c r="BG485" s="77"/>
      <c r="BH485" s="77"/>
      <c r="BI485" s="77"/>
    </row>
    <row r="486" spans="1:61" x14ac:dyDescent="0.25">
      <c r="A486" s="62" t="s">
        <v>341</v>
      </c>
      <c r="B486" s="62" t="s">
        <v>743</v>
      </c>
      <c r="C486" s="63"/>
      <c r="D486" s="64"/>
      <c r="E486" s="65"/>
      <c r="F486" s="66"/>
      <c r="G486" s="63"/>
      <c r="H486" s="67"/>
      <c r="I486" s="68"/>
      <c r="J486" s="68"/>
      <c r="K486" s="32"/>
      <c r="L486" s="75">
        <v>486</v>
      </c>
      <c r="M486" s="75"/>
      <c r="N486" s="70"/>
      <c r="O486" s="77" t="s">
        <v>802</v>
      </c>
      <c r="P486" s="79">
        <v>45168.959189814814</v>
      </c>
      <c r="Q486" s="77" t="s">
        <v>1284</v>
      </c>
      <c r="R486" s="77">
        <v>0</v>
      </c>
      <c r="S486" s="77">
        <v>0</v>
      </c>
      <c r="T486" s="77">
        <v>0</v>
      </c>
      <c r="U486" s="77">
        <v>0</v>
      </c>
      <c r="V486" s="77">
        <v>36</v>
      </c>
      <c r="W486" s="82" t="s">
        <v>5072</v>
      </c>
      <c r="X486" s="80" t="str">
        <f>HYPERLINK("https://lp.nelogica.com.br/conversao-2mv-a-formula-do-trader-t2")</f>
        <v>https://lp.nelogica.com.br/conversao-2mv-a-formula-do-trader-t2</v>
      </c>
      <c r="Y486" s="77" t="s">
        <v>7053</v>
      </c>
      <c r="Z486" s="77" t="s">
        <v>743</v>
      </c>
      <c r="AA486" s="77" t="s">
        <v>7521</v>
      </c>
      <c r="AB486" s="77" t="s">
        <v>8227</v>
      </c>
      <c r="AC486" s="82" t="s">
        <v>8254</v>
      </c>
      <c r="AD486" s="77" t="s">
        <v>8278</v>
      </c>
      <c r="AE486" s="80" t="str">
        <f>HYPERLINK("https://twitter.com/force2mv/status/1697021687764513009")</f>
        <v>https://twitter.com/force2mv/status/1697021687764513009</v>
      </c>
      <c r="AF486" s="79">
        <v>45168.959189814814</v>
      </c>
      <c r="AG486" s="85">
        <v>45168</v>
      </c>
      <c r="AH486" s="82" t="s">
        <v>8747</v>
      </c>
      <c r="AI486" s="77" t="b">
        <v>0</v>
      </c>
      <c r="AJ486" s="77"/>
      <c r="AK486" s="77"/>
      <c r="AL486" s="77"/>
      <c r="AM486" s="77"/>
      <c r="AN486" s="77"/>
      <c r="AO486" s="77"/>
      <c r="AP486" s="77"/>
      <c r="AQ486" s="77" t="s">
        <v>12406</v>
      </c>
      <c r="AR486" s="77">
        <v>42266</v>
      </c>
      <c r="AS486" s="77"/>
      <c r="AT486" s="77"/>
      <c r="AU486" s="77"/>
      <c r="AV486" s="80" t="str">
        <f>HYPERLINK("https://pbs.twimg.com/ext_tw_video_thumb/1697021642143051776/pu/img/TVoaC4EdAH7uoSin.jpg")</f>
        <v>https://pbs.twimg.com/ext_tw_video_thumb/1697021642143051776/pu/img/TVoaC4EdAH7uoSin.jpg</v>
      </c>
      <c r="AW486" s="82" t="s">
        <v>13588</v>
      </c>
      <c r="AX486" s="82" t="s">
        <v>13588</v>
      </c>
      <c r="AY486" s="77"/>
      <c r="AZ486" s="82" t="s">
        <v>17385</v>
      </c>
      <c r="BA486" s="82" t="s">
        <v>17385</v>
      </c>
      <c r="BB486" s="82" t="s">
        <v>17385</v>
      </c>
      <c r="BC486" s="82" t="s">
        <v>13588</v>
      </c>
      <c r="BD486" s="77">
        <v>56852265</v>
      </c>
      <c r="BE486" s="77"/>
      <c r="BF486" s="77"/>
      <c r="BG486" s="77"/>
      <c r="BH486" s="77"/>
      <c r="BI486" s="77"/>
    </row>
    <row r="487" spans="1:61" x14ac:dyDescent="0.25">
      <c r="A487" s="62" t="s">
        <v>341</v>
      </c>
      <c r="B487" s="62" t="s">
        <v>341</v>
      </c>
      <c r="C487" s="63"/>
      <c r="D487" s="64"/>
      <c r="E487" s="65"/>
      <c r="F487" s="66"/>
      <c r="G487" s="63"/>
      <c r="H487" s="67"/>
      <c r="I487" s="68"/>
      <c r="J487" s="68"/>
      <c r="K487" s="32"/>
      <c r="L487" s="75">
        <v>487</v>
      </c>
      <c r="M487" s="75"/>
      <c r="N487" s="70"/>
      <c r="O487" s="77" t="s">
        <v>179</v>
      </c>
      <c r="P487" s="79">
        <v>45111.437754629631</v>
      </c>
      <c r="Q487" s="77" t="s">
        <v>1285</v>
      </c>
      <c r="R487" s="77">
        <v>0</v>
      </c>
      <c r="S487" s="77">
        <v>0</v>
      </c>
      <c r="T487" s="77">
        <v>0</v>
      </c>
      <c r="U487" s="77">
        <v>0</v>
      </c>
      <c r="V487" s="77">
        <v>51</v>
      </c>
      <c r="W487" s="82" t="s">
        <v>5073</v>
      </c>
      <c r="X487" s="77"/>
      <c r="Y487" s="77"/>
      <c r="Z487" s="77"/>
      <c r="AA487" s="77" t="s">
        <v>7522</v>
      </c>
      <c r="AB487" s="77" t="s">
        <v>8225</v>
      </c>
      <c r="AC487" s="82" t="s">
        <v>8254</v>
      </c>
      <c r="AD487" s="77" t="s">
        <v>8278</v>
      </c>
      <c r="AE487" s="80" t="str">
        <f>HYPERLINK("https://twitter.com/force2mv/status/1676176618442702851")</f>
        <v>https://twitter.com/force2mv/status/1676176618442702851</v>
      </c>
      <c r="AF487" s="79">
        <v>45111.437754629631</v>
      </c>
      <c r="AG487" s="85">
        <v>45111</v>
      </c>
      <c r="AH487" s="82" t="s">
        <v>8748</v>
      </c>
      <c r="AI487" s="77" t="b">
        <v>0</v>
      </c>
      <c r="AJ487" s="77"/>
      <c r="AK487" s="77"/>
      <c r="AL487" s="77"/>
      <c r="AM487" s="77"/>
      <c r="AN487" s="77"/>
      <c r="AO487" s="77"/>
      <c r="AP487" s="77"/>
      <c r="AQ487" s="77" t="s">
        <v>12407</v>
      </c>
      <c r="AR487" s="77"/>
      <c r="AS487" s="77"/>
      <c r="AT487" s="77"/>
      <c r="AU487" s="77"/>
      <c r="AV487" s="80" t="str">
        <f>HYPERLINK("https://pbs.twimg.com/media/F0L5wHaXwAEtUou.jpg")</f>
        <v>https://pbs.twimg.com/media/F0L5wHaXwAEtUou.jpg</v>
      </c>
      <c r="AW487" s="82" t="s">
        <v>13589</v>
      </c>
      <c r="AX487" s="82" t="s">
        <v>13589</v>
      </c>
      <c r="AY487" s="77"/>
      <c r="AZ487" s="82" t="s">
        <v>17385</v>
      </c>
      <c r="BA487" s="82" t="s">
        <v>17385</v>
      </c>
      <c r="BB487" s="82" t="s">
        <v>17385</v>
      </c>
      <c r="BC487" s="82" t="s">
        <v>13589</v>
      </c>
      <c r="BD487" s="77">
        <v>56852265</v>
      </c>
      <c r="BE487" s="77"/>
      <c r="BF487" s="77"/>
      <c r="BG487" s="77"/>
      <c r="BH487" s="77"/>
      <c r="BI487" s="77"/>
    </row>
    <row r="488" spans="1:61" x14ac:dyDescent="0.25">
      <c r="A488" s="62" t="s">
        <v>341</v>
      </c>
      <c r="B488" s="62" t="s">
        <v>341</v>
      </c>
      <c r="C488" s="63"/>
      <c r="D488" s="64"/>
      <c r="E488" s="65"/>
      <c r="F488" s="66"/>
      <c r="G488" s="63"/>
      <c r="H488" s="67"/>
      <c r="I488" s="68"/>
      <c r="J488" s="68"/>
      <c r="K488" s="32"/>
      <c r="L488" s="75">
        <v>488</v>
      </c>
      <c r="M488" s="75"/>
      <c r="N488" s="70"/>
      <c r="O488" s="77" t="s">
        <v>179</v>
      </c>
      <c r="P488" s="79">
        <v>45139.417025462964</v>
      </c>
      <c r="Q488" s="77" t="s">
        <v>1286</v>
      </c>
      <c r="R488" s="77">
        <v>0</v>
      </c>
      <c r="S488" s="77">
        <v>0</v>
      </c>
      <c r="T488" s="77">
        <v>0</v>
      </c>
      <c r="U488" s="77">
        <v>0</v>
      </c>
      <c r="V488" s="77">
        <v>45</v>
      </c>
      <c r="W488" s="82" t="s">
        <v>5072</v>
      </c>
      <c r="X488" s="77"/>
      <c r="Y488" s="77"/>
      <c r="Z488" s="77"/>
      <c r="AA488" s="77" t="s">
        <v>7523</v>
      </c>
      <c r="AB488" s="77" t="s">
        <v>8225</v>
      </c>
      <c r="AC488" s="82" t="s">
        <v>8254</v>
      </c>
      <c r="AD488" s="77" t="s">
        <v>8286</v>
      </c>
      <c r="AE488" s="80" t="str">
        <f>HYPERLINK("https://twitter.com/force2mv/status/1686315966576074752")</f>
        <v>https://twitter.com/force2mv/status/1686315966576074752</v>
      </c>
      <c r="AF488" s="79">
        <v>45139.417025462964</v>
      </c>
      <c r="AG488" s="85">
        <v>45139</v>
      </c>
      <c r="AH488" s="82" t="s">
        <v>8749</v>
      </c>
      <c r="AI488" s="77" t="b">
        <v>0</v>
      </c>
      <c r="AJ488" s="77"/>
      <c r="AK488" s="77"/>
      <c r="AL488" s="77"/>
      <c r="AM488" s="77"/>
      <c r="AN488" s="77"/>
      <c r="AO488" s="77"/>
      <c r="AP488" s="77"/>
      <c r="AQ488" s="77" t="s">
        <v>12408</v>
      </c>
      <c r="AR488" s="77"/>
      <c r="AS488" s="77"/>
      <c r="AT488" s="77"/>
      <c r="AU488" s="77"/>
      <c r="AV488" s="80" t="str">
        <f>HYPERLINK("https://pbs.twimg.com/media/F2b_b0gWIAALPwn.jpg")</f>
        <v>https://pbs.twimg.com/media/F2b_b0gWIAALPwn.jpg</v>
      </c>
      <c r="AW488" s="82" t="s">
        <v>13590</v>
      </c>
      <c r="AX488" s="82" t="s">
        <v>13590</v>
      </c>
      <c r="AY488" s="77"/>
      <c r="AZ488" s="82" t="s">
        <v>17385</v>
      </c>
      <c r="BA488" s="82" t="s">
        <v>17385</v>
      </c>
      <c r="BB488" s="82" t="s">
        <v>17385</v>
      </c>
      <c r="BC488" s="82" t="s">
        <v>13590</v>
      </c>
      <c r="BD488" s="77">
        <v>56852265</v>
      </c>
      <c r="BE488" s="77"/>
      <c r="BF488" s="77"/>
      <c r="BG488" s="77"/>
      <c r="BH488" s="77"/>
      <c r="BI488" s="77"/>
    </row>
    <row r="489" spans="1:61" x14ac:dyDescent="0.25">
      <c r="A489" s="62" t="s">
        <v>341</v>
      </c>
      <c r="B489" s="62" t="s">
        <v>341</v>
      </c>
      <c r="C489" s="63"/>
      <c r="D489" s="64"/>
      <c r="E489" s="65"/>
      <c r="F489" s="66"/>
      <c r="G489" s="63"/>
      <c r="H489" s="67"/>
      <c r="I489" s="68"/>
      <c r="J489" s="68"/>
      <c r="K489" s="32"/>
      <c r="L489" s="75">
        <v>489</v>
      </c>
      <c r="M489" s="75"/>
      <c r="N489" s="70"/>
      <c r="O489" s="77" t="s">
        <v>179</v>
      </c>
      <c r="P489" s="79">
        <v>45110.4377662037</v>
      </c>
      <c r="Q489" s="77" t="s">
        <v>1287</v>
      </c>
      <c r="R489" s="77">
        <v>0</v>
      </c>
      <c r="S489" s="77">
        <v>0</v>
      </c>
      <c r="T489" s="77">
        <v>0</v>
      </c>
      <c r="U489" s="77">
        <v>0</v>
      </c>
      <c r="V489" s="77">
        <v>25</v>
      </c>
      <c r="W489" s="82" t="s">
        <v>5073</v>
      </c>
      <c r="X489" s="77"/>
      <c r="Y489" s="77"/>
      <c r="Z489" s="77"/>
      <c r="AA489" s="77" t="s">
        <v>7524</v>
      </c>
      <c r="AB489" s="77" t="s">
        <v>8225</v>
      </c>
      <c r="AC489" s="82" t="s">
        <v>8254</v>
      </c>
      <c r="AD489" s="77" t="s">
        <v>8278</v>
      </c>
      <c r="AE489" s="80" t="str">
        <f>HYPERLINK("https://twitter.com/force2mv/status/1675814236172296193")</f>
        <v>https://twitter.com/force2mv/status/1675814236172296193</v>
      </c>
      <c r="AF489" s="79">
        <v>45110.4377662037</v>
      </c>
      <c r="AG489" s="85">
        <v>45110</v>
      </c>
      <c r="AH489" s="82" t="s">
        <v>8750</v>
      </c>
      <c r="AI489" s="77" t="b">
        <v>0</v>
      </c>
      <c r="AJ489" s="77"/>
      <c r="AK489" s="77"/>
      <c r="AL489" s="77"/>
      <c r="AM489" s="77"/>
      <c r="AN489" s="77"/>
      <c r="AO489" s="77"/>
      <c r="AP489" s="77"/>
      <c r="AQ489" s="77" t="s">
        <v>12409</v>
      </c>
      <c r="AR489" s="77"/>
      <c r="AS489" s="77"/>
      <c r="AT489" s="77"/>
      <c r="AU489" s="77"/>
      <c r="AV489" s="80" t="str">
        <f>HYPERLINK("https://pbs.twimg.com/media/F0GwKf_X0AQs6Px.jpg")</f>
        <v>https://pbs.twimg.com/media/F0GwKf_X0AQs6Px.jpg</v>
      </c>
      <c r="AW489" s="82" t="s">
        <v>13591</v>
      </c>
      <c r="AX489" s="82" t="s">
        <v>13591</v>
      </c>
      <c r="AY489" s="77"/>
      <c r="AZ489" s="82" t="s">
        <v>17385</v>
      </c>
      <c r="BA489" s="82" t="s">
        <v>17385</v>
      </c>
      <c r="BB489" s="82" t="s">
        <v>17385</v>
      </c>
      <c r="BC489" s="82" t="s">
        <v>13591</v>
      </c>
      <c r="BD489" s="77">
        <v>56852265</v>
      </c>
      <c r="BE489" s="77"/>
      <c r="BF489" s="77"/>
      <c r="BG489" s="77"/>
      <c r="BH489" s="77"/>
      <c r="BI489" s="77"/>
    </row>
    <row r="490" spans="1:61" x14ac:dyDescent="0.25">
      <c r="A490" s="62" t="s">
        <v>341</v>
      </c>
      <c r="B490" s="62" t="s">
        <v>341</v>
      </c>
      <c r="C490" s="63"/>
      <c r="D490" s="64"/>
      <c r="E490" s="65"/>
      <c r="F490" s="66"/>
      <c r="G490" s="63"/>
      <c r="H490" s="67"/>
      <c r="I490" s="68"/>
      <c r="J490" s="68"/>
      <c r="K490" s="32"/>
      <c r="L490" s="75">
        <v>490</v>
      </c>
      <c r="M490" s="75"/>
      <c r="N490" s="70"/>
      <c r="O490" s="77" t="s">
        <v>179</v>
      </c>
      <c r="P490" s="79">
        <v>45140.416944444441</v>
      </c>
      <c r="Q490" s="77" t="s">
        <v>1288</v>
      </c>
      <c r="R490" s="77">
        <v>0</v>
      </c>
      <c r="S490" s="77">
        <v>0</v>
      </c>
      <c r="T490" s="77">
        <v>0</v>
      </c>
      <c r="U490" s="77">
        <v>0</v>
      </c>
      <c r="V490" s="77">
        <v>30</v>
      </c>
      <c r="W490" s="82" t="s">
        <v>5072</v>
      </c>
      <c r="X490" s="77"/>
      <c r="Y490" s="77"/>
      <c r="Z490" s="77"/>
      <c r="AA490" s="77" t="s">
        <v>7525</v>
      </c>
      <c r="AB490" s="77" t="s">
        <v>8225</v>
      </c>
      <c r="AC490" s="82" t="s">
        <v>8254</v>
      </c>
      <c r="AD490" s="77" t="s">
        <v>8286</v>
      </c>
      <c r="AE490" s="80" t="str">
        <f>HYPERLINK("https://twitter.com/force2mv/status/1686678325182308353")</f>
        <v>https://twitter.com/force2mv/status/1686678325182308353</v>
      </c>
      <c r="AF490" s="79">
        <v>45140.416944444441</v>
      </c>
      <c r="AG490" s="85">
        <v>45140</v>
      </c>
      <c r="AH490" s="82" t="s">
        <v>8751</v>
      </c>
      <c r="AI490" s="77" t="b">
        <v>0</v>
      </c>
      <c r="AJ490" s="77"/>
      <c r="AK490" s="77"/>
      <c r="AL490" s="77"/>
      <c r="AM490" s="77"/>
      <c r="AN490" s="77"/>
      <c r="AO490" s="77"/>
      <c r="AP490" s="77"/>
      <c r="AQ490" s="77" t="s">
        <v>12410</v>
      </c>
      <c r="AR490" s="77"/>
      <c r="AS490" s="77"/>
      <c r="AT490" s="77"/>
      <c r="AU490" s="77"/>
      <c r="AV490" s="80" t="str">
        <f>HYPERLINK("https://pbs.twimg.com/media/F2hI_5SXsAIU8cY.jpg")</f>
        <v>https://pbs.twimg.com/media/F2hI_5SXsAIU8cY.jpg</v>
      </c>
      <c r="AW490" s="82" t="s">
        <v>13592</v>
      </c>
      <c r="AX490" s="82" t="s">
        <v>13592</v>
      </c>
      <c r="AY490" s="77"/>
      <c r="AZ490" s="82" t="s">
        <v>17385</v>
      </c>
      <c r="BA490" s="82" t="s">
        <v>17385</v>
      </c>
      <c r="BB490" s="82" t="s">
        <v>17385</v>
      </c>
      <c r="BC490" s="82" t="s">
        <v>13592</v>
      </c>
      <c r="BD490" s="77">
        <v>56852265</v>
      </c>
      <c r="BE490" s="77"/>
      <c r="BF490" s="77"/>
      <c r="BG490" s="77"/>
      <c r="BH490" s="77"/>
      <c r="BI490" s="77"/>
    </row>
    <row r="491" spans="1:61" x14ac:dyDescent="0.25">
      <c r="A491" s="62" t="s">
        <v>341</v>
      </c>
      <c r="B491" s="62" t="s">
        <v>341</v>
      </c>
      <c r="C491" s="63"/>
      <c r="D491" s="64"/>
      <c r="E491" s="65"/>
      <c r="F491" s="66"/>
      <c r="G491" s="63"/>
      <c r="H491" s="67"/>
      <c r="I491" s="68"/>
      <c r="J491" s="68"/>
      <c r="K491" s="32"/>
      <c r="L491" s="75">
        <v>491</v>
      </c>
      <c r="M491" s="75"/>
      <c r="N491" s="70"/>
      <c r="O491" s="77" t="s">
        <v>179</v>
      </c>
      <c r="P491" s="79">
        <v>45170.448125000003</v>
      </c>
      <c r="Q491" s="77" t="s">
        <v>1289</v>
      </c>
      <c r="R491" s="77">
        <v>0</v>
      </c>
      <c r="S491" s="77">
        <v>0</v>
      </c>
      <c r="T491" s="77">
        <v>0</v>
      </c>
      <c r="U491" s="77">
        <v>0</v>
      </c>
      <c r="V491" s="77">
        <v>64</v>
      </c>
      <c r="W491" s="82" t="s">
        <v>5072</v>
      </c>
      <c r="X491" s="77"/>
      <c r="Y491" s="77"/>
      <c r="Z491" s="77"/>
      <c r="AA491" s="77" t="s">
        <v>7526</v>
      </c>
      <c r="AB491" s="77" t="s">
        <v>8225</v>
      </c>
      <c r="AC491" s="82" t="s">
        <v>8254</v>
      </c>
      <c r="AD491" s="77" t="s">
        <v>8286</v>
      </c>
      <c r="AE491" s="80" t="str">
        <f>HYPERLINK("https://twitter.com/force2mv/status/1697561259699216649")</f>
        <v>https://twitter.com/force2mv/status/1697561259699216649</v>
      </c>
      <c r="AF491" s="79">
        <v>45170.448125000003</v>
      </c>
      <c r="AG491" s="85">
        <v>45170</v>
      </c>
      <c r="AH491" s="82" t="s">
        <v>8752</v>
      </c>
      <c r="AI491" s="77" t="b">
        <v>0</v>
      </c>
      <c r="AJ491" s="77"/>
      <c r="AK491" s="77"/>
      <c r="AL491" s="77"/>
      <c r="AM491" s="77"/>
      <c r="AN491" s="77"/>
      <c r="AO491" s="77"/>
      <c r="AP491" s="77"/>
      <c r="AQ491" s="77" t="s">
        <v>12411</v>
      </c>
      <c r="AR491" s="77"/>
      <c r="AS491" s="77"/>
      <c r="AT491" s="77"/>
      <c r="AU491" s="77"/>
      <c r="AV491" s="80" t="str">
        <f>HYPERLINK("https://pbs.twimg.com/media/F47y-C2XUAAg1dZ.jpg")</f>
        <v>https://pbs.twimg.com/media/F47y-C2XUAAg1dZ.jpg</v>
      </c>
      <c r="AW491" s="82" t="s">
        <v>13593</v>
      </c>
      <c r="AX491" s="82" t="s">
        <v>13593</v>
      </c>
      <c r="AY491" s="77"/>
      <c r="AZ491" s="82" t="s">
        <v>17385</v>
      </c>
      <c r="BA491" s="82" t="s">
        <v>17385</v>
      </c>
      <c r="BB491" s="82" t="s">
        <v>17385</v>
      </c>
      <c r="BC491" s="82" t="s">
        <v>13593</v>
      </c>
      <c r="BD491" s="77">
        <v>56852265</v>
      </c>
      <c r="BE491" s="77"/>
      <c r="BF491" s="77"/>
      <c r="BG491" s="77"/>
      <c r="BH491" s="77"/>
      <c r="BI491" s="77"/>
    </row>
    <row r="492" spans="1:61" x14ac:dyDescent="0.25">
      <c r="A492" s="62" t="s">
        <v>341</v>
      </c>
      <c r="B492" s="62" t="s">
        <v>341</v>
      </c>
      <c r="C492" s="63"/>
      <c r="D492" s="64"/>
      <c r="E492" s="65"/>
      <c r="F492" s="66"/>
      <c r="G492" s="63"/>
      <c r="H492" s="67"/>
      <c r="I492" s="68"/>
      <c r="J492" s="68"/>
      <c r="K492" s="32"/>
      <c r="L492" s="75">
        <v>492</v>
      </c>
      <c r="M492" s="75"/>
      <c r="N492" s="70"/>
      <c r="O492" s="77" t="s">
        <v>179</v>
      </c>
      <c r="P492" s="79">
        <v>45145.417511574073</v>
      </c>
      <c r="Q492" s="77" t="s">
        <v>1290</v>
      </c>
      <c r="R492" s="77">
        <v>0</v>
      </c>
      <c r="S492" s="77">
        <v>0</v>
      </c>
      <c r="T492" s="77">
        <v>0</v>
      </c>
      <c r="U492" s="77">
        <v>0</v>
      </c>
      <c r="V492" s="77">
        <v>30</v>
      </c>
      <c r="W492" s="82" t="s">
        <v>5072</v>
      </c>
      <c r="X492" s="77"/>
      <c r="Y492" s="77"/>
      <c r="Z492" s="77"/>
      <c r="AA492" s="77" t="s">
        <v>7527</v>
      </c>
      <c r="AB492" s="77" t="s">
        <v>8225</v>
      </c>
      <c r="AC492" s="82" t="s">
        <v>8254</v>
      </c>
      <c r="AD492" s="77" t="s">
        <v>8278</v>
      </c>
      <c r="AE492" s="80" t="str">
        <f>HYPERLINK("https://twitter.com/force2mv/status/1688490470236684288")</f>
        <v>https://twitter.com/force2mv/status/1688490470236684288</v>
      </c>
      <c r="AF492" s="79">
        <v>45145.417511574073</v>
      </c>
      <c r="AG492" s="85">
        <v>45145</v>
      </c>
      <c r="AH492" s="82" t="s">
        <v>8753</v>
      </c>
      <c r="AI492" s="77" t="b">
        <v>0</v>
      </c>
      <c r="AJ492" s="77"/>
      <c r="AK492" s="77"/>
      <c r="AL492" s="77"/>
      <c r="AM492" s="77"/>
      <c r="AN492" s="77"/>
      <c r="AO492" s="77"/>
      <c r="AP492" s="77"/>
      <c r="AQ492" s="77" t="s">
        <v>12412</v>
      </c>
      <c r="AR492" s="77"/>
      <c r="AS492" s="77"/>
      <c r="AT492" s="77"/>
      <c r="AU492" s="77"/>
      <c r="AV492" s="80" t="str">
        <f>HYPERLINK("https://pbs.twimg.com/media/F265InyW8AA98dT.jpg")</f>
        <v>https://pbs.twimg.com/media/F265InyW8AA98dT.jpg</v>
      </c>
      <c r="AW492" s="82" t="s">
        <v>13594</v>
      </c>
      <c r="AX492" s="82" t="s">
        <v>13594</v>
      </c>
      <c r="AY492" s="77"/>
      <c r="AZ492" s="82" t="s">
        <v>17385</v>
      </c>
      <c r="BA492" s="82" t="s">
        <v>17385</v>
      </c>
      <c r="BB492" s="82" t="s">
        <v>17385</v>
      </c>
      <c r="BC492" s="82" t="s">
        <v>13594</v>
      </c>
      <c r="BD492" s="77">
        <v>56852265</v>
      </c>
      <c r="BE492" s="77"/>
      <c r="BF492" s="77"/>
      <c r="BG492" s="77"/>
      <c r="BH492" s="77"/>
      <c r="BI492" s="77"/>
    </row>
    <row r="493" spans="1:61" x14ac:dyDescent="0.25">
      <c r="A493" s="62" t="s">
        <v>341</v>
      </c>
      <c r="B493" s="62" t="s">
        <v>341</v>
      </c>
      <c r="C493" s="63"/>
      <c r="D493" s="64"/>
      <c r="E493" s="65"/>
      <c r="F493" s="66"/>
      <c r="G493" s="63"/>
      <c r="H493" s="67"/>
      <c r="I493" s="68"/>
      <c r="J493" s="68"/>
      <c r="K493" s="32"/>
      <c r="L493" s="75">
        <v>493</v>
      </c>
      <c r="M493" s="75"/>
      <c r="N493" s="70"/>
      <c r="O493" s="77" t="s">
        <v>179</v>
      </c>
      <c r="P493" s="79">
        <v>45135.416967592595</v>
      </c>
      <c r="Q493" s="77" t="s">
        <v>1291</v>
      </c>
      <c r="R493" s="77">
        <v>0</v>
      </c>
      <c r="S493" s="77">
        <v>1</v>
      </c>
      <c r="T493" s="77">
        <v>0</v>
      </c>
      <c r="U493" s="77">
        <v>0</v>
      </c>
      <c r="V493" s="77">
        <v>74</v>
      </c>
      <c r="W493" s="82" t="s">
        <v>5072</v>
      </c>
      <c r="X493" s="77"/>
      <c r="Y493" s="77"/>
      <c r="Z493" s="77"/>
      <c r="AA493" s="77" t="s">
        <v>7528</v>
      </c>
      <c r="AB493" s="77" t="s">
        <v>8225</v>
      </c>
      <c r="AC493" s="82" t="s">
        <v>8254</v>
      </c>
      <c r="AD493" s="77" t="s">
        <v>8278</v>
      </c>
      <c r="AE493" s="80" t="str">
        <f>HYPERLINK("https://twitter.com/force2mv/status/1684866393827594240")</f>
        <v>https://twitter.com/force2mv/status/1684866393827594240</v>
      </c>
      <c r="AF493" s="79">
        <v>45135.416967592595</v>
      </c>
      <c r="AG493" s="85">
        <v>45135</v>
      </c>
      <c r="AH493" s="82" t="s">
        <v>8754</v>
      </c>
      <c r="AI493" s="77" t="b">
        <v>0</v>
      </c>
      <c r="AJ493" s="77"/>
      <c r="AK493" s="77"/>
      <c r="AL493" s="77"/>
      <c r="AM493" s="77"/>
      <c r="AN493" s="77"/>
      <c r="AO493" s="77"/>
      <c r="AP493" s="77"/>
      <c r="AQ493" s="77" t="s">
        <v>12413</v>
      </c>
      <c r="AR493" s="77"/>
      <c r="AS493" s="77"/>
      <c r="AT493" s="77"/>
      <c r="AU493" s="77"/>
      <c r="AV493" s="80" t="str">
        <f>HYPERLINK("https://pbs.twimg.com/media/F2HZDm3WkAAEV5e.jpg")</f>
        <v>https://pbs.twimg.com/media/F2HZDm3WkAAEV5e.jpg</v>
      </c>
      <c r="AW493" s="82" t="s">
        <v>13595</v>
      </c>
      <c r="AX493" s="82" t="s">
        <v>13595</v>
      </c>
      <c r="AY493" s="77"/>
      <c r="AZ493" s="82" t="s">
        <v>17385</v>
      </c>
      <c r="BA493" s="82" t="s">
        <v>17385</v>
      </c>
      <c r="BB493" s="82" t="s">
        <v>17385</v>
      </c>
      <c r="BC493" s="82" t="s">
        <v>13595</v>
      </c>
      <c r="BD493" s="77">
        <v>56852265</v>
      </c>
      <c r="BE493" s="77"/>
      <c r="BF493" s="77"/>
      <c r="BG493" s="77"/>
      <c r="BH493" s="77"/>
      <c r="BI493" s="77"/>
    </row>
    <row r="494" spans="1:61" x14ac:dyDescent="0.25">
      <c r="A494" s="62" t="s">
        <v>341</v>
      </c>
      <c r="B494" s="62" t="s">
        <v>341</v>
      </c>
      <c r="C494" s="63"/>
      <c r="D494" s="64"/>
      <c r="E494" s="65"/>
      <c r="F494" s="66"/>
      <c r="G494" s="63"/>
      <c r="H494" s="67"/>
      <c r="I494" s="68"/>
      <c r="J494" s="68"/>
      <c r="K494" s="32"/>
      <c r="L494" s="75">
        <v>494</v>
      </c>
      <c r="M494" s="75"/>
      <c r="N494" s="70"/>
      <c r="O494" s="77" t="s">
        <v>179</v>
      </c>
      <c r="P494" s="79">
        <v>45134.417013888888</v>
      </c>
      <c r="Q494" s="77" t="s">
        <v>1292</v>
      </c>
      <c r="R494" s="77">
        <v>0</v>
      </c>
      <c r="S494" s="77">
        <v>0</v>
      </c>
      <c r="T494" s="77">
        <v>0</v>
      </c>
      <c r="U494" s="77">
        <v>0</v>
      </c>
      <c r="V494" s="77">
        <v>121</v>
      </c>
      <c r="W494" s="82" t="s">
        <v>5072</v>
      </c>
      <c r="X494" s="77"/>
      <c r="Y494" s="77"/>
      <c r="Z494" s="77"/>
      <c r="AA494" s="77" t="s">
        <v>7529</v>
      </c>
      <c r="AB494" s="77" t="s">
        <v>8225</v>
      </c>
      <c r="AC494" s="82" t="s">
        <v>8254</v>
      </c>
      <c r="AD494" s="77" t="s">
        <v>8278</v>
      </c>
      <c r="AE494" s="80" t="str">
        <f>HYPERLINK("https://twitter.com/force2mv/status/1684504024739975169")</f>
        <v>https://twitter.com/force2mv/status/1684504024739975169</v>
      </c>
      <c r="AF494" s="79">
        <v>45134.417013888888</v>
      </c>
      <c r="AG494" s="85">
        <v>45134</v>
      </c>
      <c r="AH494" s="82" t="s">
        <v>8755</v>
      </c>
      <c r="AI494" s="77" t="b">
        <v>0</v>
      </c>
      <c r="AJ494" s="77"/>
      <c r="AK494" s="77"/>
      <c r="AL494" s="77"/>
      <c r="AM494" s="77"/>
      <c r="AN494" s="77"/>
      <c r="AO494" s="77"/>
      <c r="AP494" s="77"/>
      <c r="AQ494" s="77" t="s">
        <v>12414</v>
      </c>
      <c r="AR494" s="77"/>
      <c r="AS494" s="77"/>
      <c r="AT494" s="77"/>
      <c r="AU494" s="77"/>
      <c r="AV494" s="80" t="str">
        <f>HYPERLINK("https://pbs.twimg.com/media/F2CPe-DWYAE2hkU.jpg")</f>
        <v>https://pbs.twimg.com/media/F2CPe-DWYAE2hkU.jpg</v>
      </c>
      <c r="AW494" s="82" t="s">
        <v>13596</v>
      </c>
      <c r="AX494" s="82" t="s">
        <v>13596</v>
      </c>
      <c r="AY494" s="77"/>
      <c r="AZ494" s="82" t="s">
        <v>17385</v>
      </c>
      <c r="BA494" s="82" t="s">
        <v>17385</v>
      </c>
      <c r="BB494" s="82" t="s">
        <v>17385</v>
      </c>
      <c r="BC494" s="82" t="s">
        <v>13596</v>
      </c>
      <c r="BD494" s="77">
        <v>56852265</v>
      </c>
      <c r="BE494" s="77"/>
      <c r="BF494" s="77"/>
      <c r="BG494" s="77"/>
      <c r="BH494" s="77"/>
      <c r="BI494" s="77"/>
    </row>
    <row r="495" spans="1:61" x14ac:dyDescent="0.25">
      <c r="A495" s="62" t="s">
        <v>341</v>
      </c>
      <c r="B495" s="62" t="s">
        <v>341</v>
      </c>
      <c r="C495" s="63"/>
      <c r="D495" s="64"/>
      <c r="E495" s="65"/>
      <c r="F495" s="66"/>
      <c r="G495" s="63"/>
      <c r="H495" s="67"/>
      <c r="I495" s="68"/>
      <c r="J495" s="68"/>
      <c r="K495" s="32"/>
      <c r="L495" s="75">
        <v>495</v>
      </c>
      <c r="M495" s="75"/>
      <c r="N495" s="70"/>
      <c r="O495" s="77" t="s">
        <v>179</v>
      </c>
      <c r="P495" s="79">
        <v>45106.416990740741</v>
      </c>
      <c r="Q495" s="77" t="s">
        <v>1293</v>
      </c>
      <c r="R495" s="77">
        <v>0</v>
      </c>
      <c r="S495" s="77">
        <v>0</v>
      </c>
      <c r="T495" s="77">
        <v>0</v>
      </c>
      <c r="U495" s="77">
        <v>0</v>
      </c>
      <c r="V495" s="77">
        <v>19</v>
      </c>
      <c r="W495" s="82" t="s">
        <v>5073</v>
      </c>
      <c r="X495" s="77"/>
      <c r="Y495" s="77"/>
      <c r="Z495" s="77"/>
      <c r="AA495" s="77" t="s">
        <v>7530</v>
      </c>
      <c r="AB495" s="77" t="s">
        <v>8225</v>
      </c>
      <c r="AC495" s="82" t="s">
        <v>8254</v>
      </c>
      <c r="AD495" s="77" t="s">
        <v>8280</v>
      </c>
      <c r="AE495" s="80" t="str">
        <f>HYPERLINK("https://twitter.com/force2mv/status/1674357157096030208")</f>
        <v>https://twitter.com/force2mv/status/1674357157096030208</v>
      </c>
      <c r="AF495" s="79">
        <v>45106.416990740741</v>
      </c>
      <c r="AG495" s="85">
        <v>45106</v>
      </c>
      <c r="AH495" s="82" t="s">
        <v>8756</v>
      </c>
      <c r="AI495" s="77" t="b">
        <v>0</v>
      </c>
      <c r="AJ495" s="77"/>
      <c r="AK495" s="77"/>
      <c r="AL495" s="77"/>
      <c r="AM495" s="77"/>
      <c r="AN495" s="77"/>
      <c r="AO495" s="77"/>
      <c r="AP495" s="77"/>
      <c r="AQ495" s="77" t="s">
        <v>12415</v>
      </c>
      <c r="AR495" s="77"/>
      <c r="AS495" s="77"/>
      <c r="AT495" s="77"/>
      <c r="AU495" s="77"/>
      <c r="AV495" s="80" t="str">
        <f>HYPERLINK("https://pbs.twimg.com/media/FzyC9eaWcAEiTSr.jpg")</f>
        <v>https://pbs.twimg.com/media/FzyC9eaWcAEiTSr.jpg</v>
      </c>
      <c r="AW495" s="82" t="s">
        <v>13597</v>
      </c>
      <c r="AX495" s="82" t="s">
        <v>13597</v>
      </c>
      <c r="AY495" s="77"/>
      <c r="AZ495" s="82" t="s">
        <v>17385</v>
      </c>
      <c r="BA495" s="82" t="s">
        <v>17385</v>
      </c>
      <c r="BB495" s="82" t="s">
        <v>17385</v>
      </c>
      <c r="BC495" s="82" t="s">
        <v>13597</v>
      </c>
      <c r="BD495" s="77">
        <v>56852265</v>
      </c>
      <c r="BE495" s="77"/>
      <c r="BF495" s="77"/>
      <c r="BG495" s="77"/>
      <c r="BH495" s="77"/>
      <c r="BI495" s="77"/>
    </row>
    <row r="496" spans="1:61" x14ac:dyDescent="0.25">
      <c r="A496" s="62" t="s">
        <v>341</v>
      </c>
      <c r="B496" s="62" t="s">
        <v>341</v>
      </c>
      <c r="C496" s="63"/>
      <c r="D496" s="64"/>
      <c r="E496" s="65"/>
      <c r="F496" s="66"/>
      <c r="G496" s="63"/>
      <c r="H496" s="67"/>
      <c r="I496" s="68"/>
      <c r="J496" s="68"/>
      <c r="K496" s="32"/>
      <c r="L496" s="75">
        <v>496</v>
      </c>
      <c r="M496" s="75"/>
      <c r="N496" s="70"/>
      <c r="O496" s="77" t="s">
        <v>179</v>
      </c>
      <c r="P496" s="79">
        <v>45105.417002314818</v>
      </c>
      <c r="Q496" s="77" t="s">
        <v>1294</v>
      </c>
      <c r="R496" s="77">
        <v>0</v>
      </c>
      <c r="S496" s="77">
        <v>0</v>
      </c>
      <c r="T496" s="77">
        <v>0</v>
      </c>
      <c r="U496" s="77">
        <v>0</v>
      </c>
      <c r="V496" s="77">
        <v>39</v>
      </c>
      <c r="W496" s="82" t="s">
        <v>5073</v>
      </c>
      <c r="X496" s="77"/>
      <c r="Y496" s="77"/>
      <c r="Z496" s="77"/>
      <c r="AA496" s="77" t="s">
        <v>7531</v>
      </c>
      <c r="AB496" s="77" t="s">
        <v>8225</v>
      </c>
      <c r="AC496" s="82" t="s">
        <v>8254</v>
      </c>
      <c r="AD496" s="77" t="s">
        <v>8278</v>
      </c>
      <c r="AE496" s="80" t="str">
        <f>HYPERLINK("https://twitter.com/force2mv/status/1673994770752892928")</f>
        <v>https://twitter.com/force2mv/status/1673994770752892928</v>
      </c>
      <c r="AF496" s="79">
        <v>45105.417002314818</v>
      </c>
      <c r="AG496" s="85">
        <v>45105</v>
      </c>
      <c r="AH496" s="82" t="s">
        <v>8757</v>
      </c>
      <c r="AI496" s="77" t="b">
        <v>0</v>
      </c>
      <c r="AJ496" s="77"/>
      <c r="AK496" s="77"/>
      <c r="AL496" s="77"/>
      <c r="AM496" s="77"/>
      <c r="AN496" s="77"/>
      <c r="AO496" s="77"/>
      <c r="AP496" s="77"/>
      <c r="AQ496" s="77" t="s">
        <v>12416</v>
      </c>
      <c r="AR496" s="77"/>
      <c r="AS496" s="77"/>
      <c r="AT496" s="77"/>
      <c r="AU496" s="77"/>
      <c r="AV496" s="80" t="str">
        <f>HYPERLINK("https://pbs.twimg.com/media/Fzs5X3zWcAAPw2n.jpg")</f>
        <v>https://pbs.twimg.com/media/Fzs5X3zWcAAPw2n.jpg</v>
      </c>
      <c r="AW496" s="82" t="s">
        <v>13598</v>
      </c>
      <c r="AX496" s="82" t="s">
        <v>13598</v>
      </c>
      <c r="AY496" s="77"/>
      <c r="AZ496" s="82" t="s">
        <v>17385</v>
      </c>
      <c r="BA496" s="82" t="s">
        <v>17385</v>
      </c>
      <c r="BB496" s="82" t="s">
        <v>17385</v>
      </c>
      <c r="BC496" s="82" t="s">
        <v>13598</v>
      </c>
      <c r="BD496" s="77">
        <v>56852265</v>
      </c>
      <c r="BE496" s="77"/>
      <c r="BF496" s="77"/>
      <c r="BG496" s="77"/>
      <c r="BH496" s="77"/>
      <c r="BI496" s="77"/>
    </row>
    <row r="497" spans="1:61" x14ac:dyDescent="0.25">
      <c r="A497" s="62" t="s">
        <v>341</v>
      </c>
      <c r="B497" s="62" t="s">
        <v>341</v>
      </c>
      <c r="C497" s="63"/>
      <c r="D497" s="64"/>
      <c r="E497" s="65"/>
      <c r="F497" s="66"/>
      <c r="G497" s="63"/>
      <c r="H497" s="67"/>
      <c r="I497" s="68"/>
      <c r="J497" s="68"/>
      <c r="K497" s="32"/>
      <c r="L497" s="75">
        <v>497</v>
      </c>
      <c r="M497" s="75"/>
      <c r="N497" s="70"/>
      <c r="O497" s="77" t="s">
        <v>179</v>
      </c>
      <c r="P497" s="79">
        <v>45104.416979166665</v>
      </c>
      <c r="Q497" s="77" t="s">
        <v>1295</v>
      </c>
      <c r="R497" s="77">
        <v>0</v>
      </c>
      <c r="S497" s="77">
        <v>0</v>
      </c>
      <c r="T497" s="77">
        <v>0</v>
      </c>
      <c r="U497" s="77">
        <v>0</v>
      </c>
      <c r="V497" s="77">
        <v>57</v>
      </c>
      <c r="W497" s="82" t="s">
        <v>5073</v>
      </c>
      <c r="X497" s="77"/>
      <c r="Y497" s="77"/>
      <c r="Z497" s="77"/>
      <c r="AA497" s="77" t="s">
        <v>7532</v>
      </c>
      <c r="AB497" s="77" t="s">
        <v>8225</v>
      </c>
      <c r="AC497" s="82" t="s">
        <v>8254</v>
      </c>
      <c r="AD497" s="77" t="s">
        <v>8278</v>
      </c>
      <c r="AE497" s="80" t="str">
        <f>HYPERLINK("https://twitter.com/force2mv/status/1673632376063229954")</f>
        <v>https://twitter.com/force2mv/status/1673632376063229954</v>
      </c>
      <c r="AF497" s="79">
        <v>45104.416979166665</v>
      </c>
      <c r="AG497" s="85">
        <v>45104</v>
      </c>
      <c r="AH497" s="82" t="s">
        <v>8758</v>
      </c>
      <c r="AI497" s="77" t="b">
        <v>0</v>
      </c>
      <c r="AJ497" s="77"/>
      <c r="AK497" s="77"/>
      <c r="AL497" s="77"/>
      <c r="AM497" s="77"/>
      <c r="AN497" s="77"/>
      <c r="AO497" s="77"/>
      <c r="AP497" s="77"/>
      <c r="AQ497" s="77" t="s">
        <v>12417</v>
      </c>
      <c r="AR497" s="77"/>
      <c r="AS497" s="77"/>
      <c r="AT497" s="77"/>
      <c r="AU497" s="77"/>
      <c r="AV497" s="80" t="str">
        <f>HYPERLINK("https://pbs.twimg.com/media/FznvxszWcAE4hge.jpg")</f>
        <v>https://pbs.twimg.com/media/FznvxszWcAE4hge.jpg</v>
      </c>
      <c r="AW497" s="82" t="s">
        <v>13599</v>
      </c>
      <c r="AX497" s="82" t="s">
        <v>13599</v>
      </c>
      <c r="AY497" s="77"/>
      <c r="AZ497" s="82" t="s">
        <v>17385</v>
      </c>
      <c r="BA497" s="82" t="s">
        <v>17385</v>
      </c>
      <c r="BB497" s="82" t="s">
        <v>17385</v>
      </c>
      <c r="BC497" s="82" t="s">
        <v>13599</v>
      </c>
      <c r="BD497" s="77">
        <v>56852265</v>
      </c>
      <c r="BE497" s="77"/>
      <c r="BF497" s="77"/>
      <c r="BG497" s="77"/>
      <c r="BH497" s="77"/>
      <c r="BI497" s="77"/>
    </row>
    <row r="498" spans="1:61" x14ac:dyDescent="0.25">
      <c r="A498" s="62" t="s">
        <v>341</v>
      </c>
      <c r="B498" s="62" t="s">
        <v>341</v>
      </c>
      <c r="C498" s="63"/>
      <c r="D498" s="64"/>
      <c r="E498" s="65"/>
      <c r="F498" s="66"/>
      <c r="G498" s="63"/>
      <c r="H498" s="67"/>
      <c r="I498" s="68"/>
      <c r="J498" s="68"/>
      <c r="K498" s="32"/>
      <c r="L498" s="75">
        <v>498</v>
      </c>
      <c r="M498" s="75"/>
      <c r="N498" s="70"/>
      <c r="O498" s="77" t="s">
        <v>179</v>
      </c>
      <c r="P498" s="79">
        <v>45166.446701388886</v>
      </c>
      <c r="Q498" s="77" t="s">
        <v>1296</v>
      </c>
      <c r="R498" s="77">
        <v>0</v>
      </c>
      <c r="S498" s="77">
        <v>0</v>
      </c>
      <c r="T498" s="77">
        <v>0</v>
      </c>
      <c r="U498" s="77">
        <v>0</v>
      </c>
      <c r="V498" s="77">
        <v>96</v>
      </c>
      <c r="W498" s="82" t="s">
        <v>5072</v>
      </c>
      <c r="X498" s="77"/>
      <c r="Y498" s="77"/>
      <c r="Z498" s="77"/>
      <c r="AA498" s="77" t="s">
        <v>7533</v>
      </c>
      <c r="AB498" s="77" t="s">
        <v>8225</v>
      </c>
      <c r="AC498" s="82" t="s">
        <v>8254</v>
      </c>
      <c r="AD498" s="77" t="s">
        <v>8286</v>
      </c>
      <c r="AE498" s="80" t="str">
        <f>HYPERLINK("https://twitter.com/force2mv/status/1696111195873251372")</f>
        <v>https://twitter.com/force2mv/status/1696111195873251372</v>
      </c>
      <c r="AF498" s="79">
        <v>45166.446701388886</v>
      </c>
      <c r="AG498" s="85">
        <v>45166</v>
      </c>
      <c r="AH498" s="82" t="s">
        <v>8464</v>
      </c>
      <c r="AI498" s="77" t="b">
        <v>0</v>
      </c>
      <c r="AJ498" s="77"/>
      <c r="AK498" s="77"/>
      <c r="AL498" s="77"/>
      <c r="AM498" s="77"/>
      <c r="AN498" s="77"/>
      <c r="AO498" s="77"/>
      <c r="AP498" s="77"/>
      <c r="AQ498" s="77" t="s">
        <v>12418</v>
      </c>
      <c r="AR498" s="77"/>
      <c r="AS498" s="77"/>
      <c r="AT498" s="77"/>
      <c r="AU498" s="77"/>
      <c r="AV498" s="80" t="str">
        <f>HYPERLINK("https://pbs.twimg.com/media/F4nMJPsXUAAB1oq.jpg")</f>
        <v>https://pbs.twimg.com/media/F4nMJPsXUAAB1oq.jpg</v>
      </c>
      <c r="AW498" s="82" t="s">
        <v>13600</v>
      </c>
      <c r="AX498" s="82" t="s">
        <v>13600</v>
      </c>
      <c r="AY498" s="77"/>
      <c r="AZ498" s="82" t="s">
        <v>17385</v>
      </c>
      <c r="BA498" s="82" t="s">
        <v>17385</v>
      </c>
      <c r="BB498" s="82" t="s">
        <v>17385</v>
      </c>
      <c r="BC498" s="82" t="s">
        <v>13600</v>
      </c>
      <c r="BD498" s="77">
        <v>56852265</v>
      </c>
      <c r="BE498" s="77"/>
      <c r="BF498" s="77"/>
      <c r="BG498" s="77"/>
      <c r="BH498" s="77"/>
      <c r="BI498" s="77"/>
    </row>
    <row r="499" spans="1:61" x14ac:dyDescent="0.25">
      <c r="A499" s="62" t="s">
        <v>341</v>
      </c>
      <c r="B499" s="62" t="s">
        <v>341</v>
      </c>
      <c r="C499" s="63"/>
      <c r="D499" s="64"/>
      <c r="E499" s="65"/>
      <c r="F499" s="66"/>
      <c r="G499" s="63"/>
      <c r="H499" s="67"/>
      <c r="I499" s="68"/>
      <c r="J499" s="68"/>
      <c r="K499" s="32"/>
      <c r="L499" s="75">
        <v>499</v>
      </c>
      <c r="M499" s="75"/>
      <c r="N499" s="70"/>
      <c r="O499" s="77" t="s">
        <v>179</v>
      </c>
      <c r="P499" s="79">
        <v>45148.416956018518</v>
      </c>
      <c r="Q499" s="77" t="s">
        <v>1297</v>
      </c>
      <c r="R499" s="77">
        <v>0</v>
      </c>
      <c r="S499" s="77">
        <v>0</v>
      </c>
      <c r="T499" s="77">
        <v>0</v>
      </c>
      <c r="U499" s="77">
        <v>0</v>
      </c>
      <c r="V499" s="77">
        <v>18</v>
      </c>
      <c r="W499" s="82" t="s">
        <v>5072</v>
      </c>
      <c r="X499" s="77"/>
      <c r="Y499" s="77"/>
      <c r="Z499" s="77"/>
      <c r="AA499" s="77" t="s">
        <v>7534</v>
      </c>
      <c r="AB499" s="77" t="s">
        <v>8225</v>
      </c>
      <c r="AC499" s="82" t="s">
        <v>8254</v>
      </c>
      <c r="AD499" s="77" t="s">
        <v>8286</v>
      </c>
      <c r="AE499" s="80" t="str">
        <f>HYPERLINK("https://twitter.com/force2mv/status/1689577432959913984")</f>
        <v>https://twitter.com/force2mv/status/1689577432959913984</v>
      </c>
      <c r="AF499" s="79">
        <v>45148.416956018518</v>
      </c>
      <c r="AG499" s="85">
        <v>45148</v>
      </c>
      <c r="AH499" s="82" t="s">
        <v>8759</v>
      </c>
      <c r="AI499" s="77" t="b">
        <v>0</v>
      </c>
      <c r="AJ499" s="77"/>
      <c r="AK499" s="77"/>
      <c r="AL499" s="77"/>
      <c r="AM499" s="77"/>
      <c r="AN499" s="77"/>
      <c r="AO499" s="77"/>
      <c r="AP499" s="77"/>
      <c r="AQ499" s="77" t="s">
        <v>12419</v>
      </c>
      <c r="AR499" s="77"/>
      <c r="AS499" s="77"/>
      <c r="AT499" s="77"/>
      <c r="AU499" s="77"/>
      <c r="AV499" s="80" t="str">
        <f>HYPERLINK("https://pbs.twimg.com/media/F3KVuJzXMAEZj2N.jpg")</f>
        <v>https://pbs.twimg.com/media/F3KVuJzXMAEZj2N.jpg</v>
      </c>
      <c r="AW499" s="82" t="s">
        <v>13601</v>
      </c>
      <c r="AX499" s="82" t="s">
        <v>13601</v>
      </c>
      <c r="AY499" s="77"/>
      <c r="AZ499" s="82" t="s">
        <v>17385</v>
      </c>
      <c r="BA499" s="82" t="s">
        <v>17385</v>
      </c>
      <c r="BB499" s="82" t="s">
        <v>17385</v>
      </c>
      <c r="BC499" s="82" t="s">
        <v>13601</v>
      </c>
      <c r="BD499" s="77">
        <v>56852265</v>
      </c>
      <c r="BE499" s="77"/>
      <c r="BF499" s="77"/>
      <c r="BG499" s="77"/>
      <c r="BH499" s="77"/>
      <c r="BI499" s="77"/>
    </row>
    <row r="500" spans="1:61" x14ac:dyDescent="0.25">
      <c r="A500" s="62" t="s">
        <v>341</v>
      </c>
      <c r="B500" s="62" t="s">
        <v>341</v>
      </c>
      <c r="C500" s="63"/>
      <c r="D500" s="64"/>
      <c r="E500" s="65"/>
      <c r="F500" s="66"/>
      <c r="G500" s="63"/>
      <c r="H500" s="67"/>
      <c r="I500" s="68"/>
      <c r="J500" s="68"/>
      <c r="K500" s="32"/>
      <c r="L500" s="75">
        <v>500</v>
      </c>
      <c r="M500" s="75"/>
      <c r="N500" s="70"/>
      <c r="O500" s="77" t="s">
        <v>179</v>
      </c>
      <c r="P500" s="79">
        <v>45138.417013888888</v>
      </c>
      <c r="Q500" s="77" t="s">
        <v>1298</v>
      </c>
      <c r="R500" s="77">
        <v>0</v>
      </c>
      <c r="S500" s="77">
        <v>0</v>
      </c>
      <c r="T500" s="77">
        <v>0</v>
      </c>
      <c r="U500" s="77">
        <v>0</v>
      </c>
      <c r="V500" s="77">
        <v>44</v>
      </c>
      <c r="W500" s="82" t="s">
        <v>5072</v>
      </c>
      <c r="X500" s="77"/>
      <c r="Y500" s="77"/>
      <c r="Z500" s="77"/>
      <c r="AA500" s="77" t="s">
        <v>7535</v>
      </c>
      <c r="AB500" s="77" t="s">
        <v>8225</v>
      </c>
      <c r="AC500" s="82" t="s">
        <v>8254</v>
      </c>
      <c r="AD500" s="77" t="s">
        <v>8280</v>
      </c>
      <c r="AE500" s="80" t="str">
        <f>HYPERLINK("https://twitter.com/force2mv/status/1685953573949988864")</f>
        <v>https://twitter.com/force2mv/status/1685953573949988864</v>
      </c>
      <c r="AF500" s="79">
        <v>45138.417013888888</v>
      </c>
      <c r="AG500" s="85">
        <v>45138</v>
      </c>
      <c r="AH500" s="82" t="s">
        <v>8755</v>
      </c>
      <c r="AI500" s="77" t="b">
        <v>0</v>
      </c>
      <c r="AJ500" s="77"/>
      <c r="AK500" s="77"/>
      <c r="AL500" s="77"/>
      <c r="AM500" s="77"/>
      <c r="AN500" s="77"/>
      <c r="AO500" s="77"/>
      <c r="AP500" s="77"/>
      <c r="AQ500" s="77" t="s">
        <v>12420</v>
      </c>
      <c r="AR500" s="77"/>
      <c r="AS500" s="77"/>
      <c r="AT500" s="77"/>
      <c r="AU500" s="77"/>
      <c r="AV500" s="80" t="str">
        <f>HYPERLINK("https://pbs.twimg.com/media/F2W110bWYAAV-vl.jpg")</f>
        <v>https://pbs.twimg.com/media/F2W110bWYAAV-vl.jpg</v>
      </c>
      <c r="AW500" s="82" t="s">
        <v>13602</v>
      </c>
      <c r="AX500" s="82" t="s">
        <v>13602</v>
      </c>
      <c r="AY500" s="77"/>
      <c r="AZ500" s="82" t="s">
        <v>17385</v>
      </c>
      <c r="BA500" s="82" t="s">
        <v>17385</v>
      </c>
      <c r="BB500" s="82" t="s">
        <v>17385</v>
      </c>
      <c r="BC500" s="82" t="s">
        <v>13602</v>
      </c>
      <c r="BD500" s="77">
        <v>56852265</v>
      </c>
      <c r="BE500" s="77"/>
      <c r="BF500" s="77"/>
      <c r="BG500" s="77"/>
      <c r="BH500" s="77"/>
      <c r="BI500" s="77"/>
    </row>
    <row r="501" spans="1:61" x14ac:dyDescent="0.25">
      <c r="A501" s="62" t="s">
        <v>341</v>
      </c>
      <c r="B501" s="62" t="s">
        <v>341</v>
      </c>
      <c r="C501" s="63"/>
      <c r="D501" s="64"/>
      <c r="E501" s="65"/>
      <c r="F501" s="66"/>
      <c r="G501" s="63"/>
      <c r="H501" s="67"/>
      <c r="I501" s="68"/>
      <c r="J501" s="68"/>
      <c r="K501" s="32"/>
      <c r="L501" s="75">
        <v>501</v>
      </c>
      <c r="M501" s="75"/>
      <c r="N501" s="70"/>
      <c r="O501" s="77" t="s">
        <v>179</v>
      </c>
      <c r="P501" s="79">
        <v>45107.416979166665</v>
      </c>
      <c r="Q501" s="77" t="s">
        <v>1299</v>
      </c>
      <c r="R501" s="77">
        <v>0</v>
      </c>
      <c r="S501" s="77">
        <v>0</v>
      </c>
      <c r="T501" s="77">
        <v>1</v>
      </c>
      <c r="U501" s="77">
        <v>0</v>
      </c>
      <c r="V501" s="77">
        <v>49</v>
      </c>
      <c r="W501" s="82" t="s">
        <v>5073</v>
      </c>
      <c r="X501" s="77"/>
      <c r="Y501" s="77"/>
      <c r="Z501" s="77"/>
      <c r="AA501" s="77" t="s">
        <v>7536</v>
      </c>
      <c r="AB501" s="77" t="s">
        <v>8225</v>
      </c>
      <c r="AC501" s="82" t="s">
        <v>8254</v>
      </c>
      <c r="AD501" s="77" t="s">
        <v>8278</v>
      </c>
      <c r="AE501" s="80" t="str">
        <f>HYPERLINK("https://twitter.com/force2mv/status/1674719537722269698")</f>
        <v>https://twitter.com/force2mv/status/1674719537722269698</v>
      </c>
      <c r="AF501" s="79">
        <v>45107.416979166665</v>
      </c>
      <c r="AG501" s="85">
        <v>45107</v>
      </c>
      <c r="AH501" s="82" t="s">
        <v>8758</v>
      </c>
      <c r="AI501" s="77" t="b">
        <v>0</v>
      </c>
      <c r="AJ501" s="77"/>
      <c r="AK501" s="77"/>
      <c r="AL501" s="77"/>
      <c r="AM501" s="77"/>
      <c r="AN501" s="77"/>
      <c r="AO501" s="77"/>
      <c r="AP501" s="77"/>
      <c r="AQ501" s="77" t="s">
        <v>12421</v>
      </c>
      <c r="AR501" s="77"/>
      <c r="AS501" s="77"/>
      <c r="AT501" s="77"/>
      <c r="AU501" s="77"/>
      <c r="AV501" s="80" t="str">
        <f>HYPERLINK("https://pbs.twimg.com/media/Fz3Mi2fX0AI-TxN.jpg")</f>
        <v>https://pbs.twimg.com/media/Fz3Mi2fX0AI-TxN.jpg</v>
      </c>
      <c r="AW501" s="82" t="s">
        <v>13603</v>
      </c>
      <c r="AX501" s="82" t="s">
        <v>13603</v>
      </c>
      <c r="AY501" s="77"/>
      <c r="AZ501" s="82" t="s">
        <v>17385</v>
      </c>
      <c r="BA501" s="82" t="s">
        <v>17385</v>
      </c>
      <c r="BB501" s="82" t="s">
        <v>17385</v>
      </c>
      <c r="BC501" s="82" t="s">
        <v>13603</v>
      </c>
      <c r="BD501" s="77">
        <v>56852265</v>
      </c>
      <c r="BE501" s="77"/>
      <c r="BF501" s="77"/>
      <c r="BG501" s="77"/>
      <c r="BH501" s="77"/>
      <c r="BI501" s="77"/>
    </row>
    <row r="502" spans="1:61" x14ac:dyDescent="0.25">
      <c r="A502" s="62" t="s">
        <v>341</v>
      </c>
      <c r="B502" s="62" t="s">
        <v>341</v>
      </c>
      <c r="C502" s="63"/>
      <c r="D502" s="64"/>
      <c r="E502" s="65"/>
      <c r="F502" s="66"/>
      <c r="G502" s="63"/>
      <c r="H502" s="67"/>
      <c r="I502" s="68"/>
      <c r="J502" s="68"/>
      <c r="K502" s="32"/>
      <c r="L502" s="75">
        <v>502</v>
      </c>
      <c r="M502" s="75"/>
      <c r="N502" s="70"/>
      <c r="O502" s="77" t="s">
        <v>179</v>
      </c>
      <c r="P502" s="79">
        <v>45176.416979166665</v>
      </c>
      <c r="Q502" s="77" t="s">
        <v>1300</v>
      </c>
      <c r="R502" s="77">
        <v>0</v>
      </c>
      <c r="S502" s="77">
        <v>0</v>
      </c>
      <c r="T502" s="77">
        <v>0</v>
      </c>
      <c r="U502" s="77">
        <v>0</v>
      </c>
      <c r="V502" s="77">
        <v>49</v>
      </c>
      <c r="W502" s="82" t="s">
        <v>5072</v>
      </c>
      <c r="X502" s="77"/>
      <c r="Y502" s="77"/>
      <c r="Z502" s="77"/>
      <c r="AA502" s="77" t="s">
        <v>7537</v>
      </c>
      <c r="AB502" s="77" t="s">
        <v>8225</v>
      </c>
      <c r="AC502" s="82" t="s">
        <v>8254</v>
      </c>
      <c r="AD502" s="77" t="s">
        <v>8278</v>
      </c>
      <c r="AE502" s="80" t="str">
        <f>HYPERLINK("https://twitter.com/force2mv/status/1699724303179092145")</f>
        <v>https://twitter.com/force2mv/status/1699724303179092145</v>
      </c>
      <c r="AF502" s="79">
        <v>45176.416979166665</v>
      </c>
      <c r="AG502" s="85">
        <v>45176</v>
      </c>
      <c r="AH502" s="82" t="s">
        <v>8758</v>
      </c>
      <c r="AI502" s="77" t="b">
        <v>0</v>
      </c>
      <c r="AJ502" s="77"/>
      <c r="AK502" s="77"/>
      <c r="AL502" s="77"/>
      <c r="AM502" s="77"/>
      <c r="AN502" s="77"/>
      <c r="AO502" s="77"/>
      <c r="AP502" s="77"/>
      <c r="AQ502" s="77" t="s">
        <v>12422</v>
      </c>
      <c r="AR502" s="77"/>
      <c r="AS502" s="77"/>
      <c r="AT502" s="77"/>
      <c r="AU502" s="77"/>
      <c r="AV502" s="80" t="str">
        <f>HYPERLINK("https://pbs.twimg.com/media/F5aiPwuWIAAYYTe.jpg")</f>
        <v>https://pbs.twimg.com/media/F5aiPwuWIAAYYTe.jpg</v>
      </c>
      <c r="AW502" s="82" t="s">
        <v>13604</v>
      </c>
      <c r="AX502" s="82" t="s">
        <v>13604</v>
      </c>
      <c r="AY502" s="77"/>
      <c r="AZ502" s="82" t="s">
        <v>17385</v>
      </c>
      <c r="BA502" s="82" t="s">
        <v>17385</v>
      </c>
      <c r="BB502" s="82" t="s">
        <v>17385</v>
      </c>
      <c r="BC502" s="82" t="s">
        <v>13604</v>
      </c>
      <c r="BD502" s="77">
        <v>56852265</v>
      </c>
      <c r="BE502" s="77"/>
      <c r="BF502" s="77"/>
      <c r="BG502" s="77"/>
      <c r="BH502" s="77"/>
      <c r="BI502" s="77"/>
    </row>
    <row r="503" spans="1:61" x14ac:dyDescent="0.25">
      <c r="A503" s="62" t="s">
        <v>341</v>
      </c>
      <c r="B503" s="62" t="s">
        <v>341</v>
      </c>
      <c r="C503" s="63"/>
      <c r="D503" s="64"/>
      <c r="E503" s="65"/>
      <c r="F503" s="66"/>
      <c r="G503" s="63"/>
      <c r="H503" s="67"/>
      <c r="I503" s="68"/>
      <c r="J503" s="68"/>
      <c r="K503" s="32"/>
      <c r="L503" s="75">
        <v>503</v>
      </c>
      <c r="M503" s="75"/>
      <c r="N503" s="70"/>
      <c r="O503" s="77" t="s">
        <v>179</v>
      </c>
      <c r="P503" s="79">
        <v>45174.416967592595</v>
      </c>
      <c r="Q503" s="77" t="s">
        <v>1301</v>
      </c>
      <c r="R503" s="77">
        <v>0</v>
      </c>
      <c r="S503" s="77">
        <v>0</v>
      </c>
      <c r="T503" s="77">
        <v>0</v>
      </c>
      <c r="U503" s="77">
        <v>0</v>
      </c>
      <c r="V503" s="77">
        <v>110</v>
      </c>
      <c r="W503" s="82" t="s">
        <v>5072</v>
      </c>
      <c r="X503" s="77"/>
      <c r="Y503" s="77"/>
      <c r="Z503" s="77"/>
      <c r="AA503" s="77" t="s">
        <v>7538</v>
      </c>
      <c r="AB503" s="77" t="s">
        <v>8225</v>
      </c>
      <c r="AC503" s="82" t="s">
        <v>8254</v>
      </c>
      <c r="AD503" s="77" t="s">
        <v>8280</v>
      </c>
      <c r="AE503" s="80" t="str">
        <f>HYPERLINK("https://twitter.com/force2mv/status/1698999521445839027")</f>
        <v>https://twitter.com/force2mv/status/1698999521445839027</v>
      </c>
      <c r="AF503" s="79">
        <v>45174.416967592595</v>
      </c>
      <c r="AG503" s="85">
        <v>45174</v>
      </c>
      <c r="AH503" s="82" t="s">
        <v>8754</v>
      </c>
      <c r="AI503" s="77" t="b">
        <v>0</v>
      </c>
      <c r="AJ503" s="77"/>
      <c r="AK503" s="77"/>
      <c r="AL503" s="77"/>
      <c r="AM503" s="77"/>
      <c r="AN503" s="77"/>
      <c r="AO503" s="77"/>
      <c r="AP503" s="77"/>
      <c r="AQ503" s="77" t="s">
        <v>12423</v>
      </c>
      <c r="AR503" s="77"/>
      <c r="AS503" s="77"/>
      <c r="AT503" s="77"/>
      <c r="AU503" s="77"/>
      <c r="AV503" s="80" t="str">
        <f>HYPERLINK("https://pbs.twimg.com/media/F5QPD6cWkAAX3yR.jpg")</f>
        <v>https://pbs.twimg.com/media/F5QPD6cWkAAX3yR.jpg</v>
      </c>
      <c r="AW503" s="82" t="s">
        <v>13605</v>
      </c>
      <c r="AX503" s="82" t="s">
        <v>13605</v>
      </c>
      <c r="AY503" s="77"/>
      <c r="AZ503" s="82" t="s">
        <v>17385</v>
      </c>
      <c r="BA503" s="82" t="s">
        <v>17385</v>
      </c>
      <c r="BB503" s="82" t="s">
        <v>17385</v>
      </c>
      <c r="BC503" s="82" t="s">
        <v>13605</v>
      </c>
      <c r="BD503" s="77">
        <v>56852265</v>
      </c>
      <c r="BE503" s="77"/>
      <c r="BF503" s="77"/>
      <c r="BG503" s="77"/>
      <c r="BH503" s="77"/>
      <c r="BI503" s="77"/>
    </row>
    <row r="504" spans="1:61" x14ac:dyDescent="0.25">
      <c r="A504" s="62" t="s">
        <v>341</v>
      </c>
      <c r="B504" s="62" t="s">
        <v>341</v>
      </c>
      <c r="C504" s="63"/>
      <c r="D504" s="64"/>
      <c r="E504" s="65"/>
      <c r="F504" s="66"/>
      <c r="G504" s="63"/>
      <c r="H504" s="67"/>
      <c r="I504" s="68"/>
      <c r="J504" s="68"/>
      <c r="K504" s="32"/>
      <c r="L504" s="75">
        <v>504</v>
      </c>
      <c r="M504" s="75"/>
      <c r="N504" s="70"/>
      <c r="O504" s="77" t="s">
        <v>179</v>
      </c>
      <c r="P504" s="79">
        <v>45147.416944444441</v>
      </c>
      <c r="Q504" s="77" t="s">
        <v>1302</v>
      </c>
      <c r="R504" s="77">
        <v>0</v>
      </c>
      <c r="S504" s="77">
        <v>0</v>
      </c>
      <c r="T504" s="77">
        <v>0</v>
      </c>
      <c r="U504" s="77">
        <v>0</v>
      </c>
      <c r="V504" s="77">
        <v>12</v>
      </c>
      <c r="W504" s="82" t="s">
        <v>5072</v>
      </c>
      <c r="X504" s="77"/>
      <c r="Y504" s="77"/>
      <c r="Z504" s="77"/>
      <c r="AA504" s="77" t="s">
        <v>7539</v>
      </c>
      <c r="AB504" s="77" t="s">
        <v>8225</v>
      </c>
      <c r="AC504" s="82" t="s">
        <v>8254</v>
      </c>
      <c r="AD504" s="77" t="s">
        <v>8286</v>
      </c>
      <c r="AE504" s="80" t="str">
        <f>HYPERLINK("https://twitter.com/force2mv/status/1689215038790205440")</f>
        <v>https://twitter.com/force2mv/status/1689215038790205440</v>
      </c>
      <c r="AF504" s="79">
        <v>45147.416944444441</v>
      </c>
      <c r="AG504" s="85">
        <v>45147</v>
      </c>
      <c r="AH504" s="82" t="s">
        <v>8751</v>
      </c>
      <c r="AI504" s="77" t="b">
        <v>0</v>
      </c>
      <c r="AJ504" s="77"/>
      <c r="AK504" s="77"/>
      <c r="AL504" s="77"/>
      <c r="AM504" s="77"/>
      <c r="AN504" s="77"/>
      <c r="AO504" s="77"/>
      <c r="AP504" s="77"/>
      <c r="AQ504" s="77" t="s">
        <v>12424</v>
      </c>
      <c r="AR504" s="77"/>
      <c r="AS504" s="77"/>
      <c r="AT504" s="77"/>
      <c r="AU504" s="77"/>
      <c r="AV504" s="80" t="str">
        <f>HYPERLINK("https://pbs.twimg.com/media/F3FMIEiXgAASwHX.jpg")</f>
        <v>https://pbs.twimg.com/media/F3FMIEiXgAASwHX.jpg</v>
      </c>
      <c r="AW504" s="82" t="s">
        <v>13606</v>
      </c>
      <c r="AX504" s="82" t="s">
        <v>13606</v>
      </c>
      <c r="AY504" s="77"/>
      <c r="AZ504" s="82" t="s">
        <v>17385</v>
      </c>
      <c r="BA504" s="82" t="s">
        <v>17385</v>
      </c>
      <c r="BB504" s="82" t="s">
        <v>17385</v>
      </c>
      <c r="BC504" s="82" t="s">
        <v>13606</v>
      </c>
      <c r="BD504" s="77">
        <v>56852265</v>
      </c>
      <c r="BE504" s="77"/>
      <c r="BF504" s="77"/>
      <c r="BG504" s="77"/>
      <c r="BH504" s="77"/>
      <c r="BI504" s="77"/>
    </row>
    <row r="505" spans="1:61" x14ac:dyDescent="0.25">
      <c r="A505" s="62" t="s">
        <v>341</v>
      </c>
      <c r="B505" s="62" t="s">
        <v>341</v>
      </c>
      <c r="C505" s="63"/>
      <c r="D505" s="64"/>
      <c r="E505" s="65"/>
      <c r="F505" s="66"/>
      <c r="G505" s="63"/>
      <c r="H505" s="67"/>
      <c r="I505" s="68"/>
      <c r="J505" s="68"/>
      <c r="K505" s="32"/>
      <c r="L505" s="75">
        <v>505</v>
      </c>
      <c r="M505" s="75"/>
      <c r="N505" s="70"/>
      <c r="O505" s="77" t="s">
        <v>179</v>
      </c>
      <c r="P505" s="79">
        <v>45146.416979166665</v>
      </c>
      <c r="Q505" s="77" t="s">
        <v>1303</v>
      </c>
      <c r="R505" s="77">
        <v>0</v>
      </c>
      <c r="S505" s="77">
        <v>0</v>
      </c>
      <c r="T505" s="77">
        <v>0</v>
      </c>
      <c r="U505" s="77">
        <v>0</v>
      </c>
      <c r="V505" s="77">
        <v>14</v>
      </c>
      <c r="W505" s="82" t="s">
        <v>5072</v>
      </c>
      <c r="X505" s="77"/>
      <c r="Y505" s="77"/>
      <c r="Z505" s="77"/>
      <c r="AA505" s="77" t="s">
        <v>7540</v>
      </c>
      <c r="AB505" s="77" t="s">
        <v>8225</v>
      </c>
      <c r="AC505" s="82" t="s">
        <v>8254</v>
      </c>
      <c r="AD505" s="77" t="s">
        <v>8286</v>
      </c>
      <c r="AE505" s="80" t="str">
        <f>HYPERLINK("https://twitter.com/force2mv/status/1688852663662694400")</f>
        <v>https://twitter.com/force2mv/status/1688852663662694400</v>
      </c>
      <c r="AF505" s="79">
        <v>45146.416979166665</v>
      </c>
      <c r="AG505" s="85">
        <v>45146</v>
      </c>
      <c r="AH505" s="82" t="s">
        <v>8758</v>
      </c>
      <c r="AI505" s="77" t="b">
        <v>0</v>
      </c>
      <c r="AJ505" s="77"/>
      <c r="AK505" s="77"/>
      <c r="AL505" s="77"/>
      <c r="AM505" s="77"/>
      <c r="AN505" s="77"/>
      <c r="AO505" s="77"/>
      <c r="AP505" s="77"/>
      <c r="AQ505" s="77" t="s">
        <v>12425</v>
      </c>
      <c r="AR505" s="77"/>
      <c r="AS505" s="77"/>
      <c r="AT505" s="77"/>
      <c r="AU505" s="77"/>
      <c r="AV505" s="80" t="str">
        <f>HYPERLINK("https://pbs.twimg.com/media/F3ACjD0W8AAyiui.jpg")</f>
        <v>https://pbs.twimg.com/media/F3ACjD0W8AAyiui.jpg</v>
      </c>
      <c r="AW505" s="82" t="s">
        <v>13607</v>
      </c>
      <c r="AX505" s="82" t="s">
        <v>13607</v>
      </c>
      <c r="AY505" s="77"/>
      <c r="AZ505" s="82" t="s">
        <v>17385</v>
      </c>
      <c r="BA505" s="82" t="s">
        <v>17385</v>
      </c>
      <c r="BB505" s="82" t="s">
        <v>17385</v>
      </c>
      <c r="BC505" s="82" t="s">
        <v>13607</v>
      </c>
      <c r="BD505" s="77">
        <v>56852265</v>
      </c>
      <c r="BE505" s="77"/>
      <c r="BF505" s="77"/>
      <c r="BG505" s="77"/>
      <c r="BH505" s="77"/>
      <c r="BI505" s="77"/>
    </row>
    <row r="506" spans="1:61" x14ac:dyDescent="0.25">
      <c r="A506" s="62" t="s">
        <v>341</v>
      </c>
      <c r="B506" s="62" t="s">
        <v>341</v>
      </c>
      <c r="C506" s="63"/>
      <c r="D506" s="64"/>
      <c r="E506" s="65"/>
      <c r="F506" s="66"/>
      <c r="G506" s="63"/>
      <c r="H506" s="67"/>
      <c r="I506" s="68"/>
      <c r="J506" s="68"/>
      <c r="K506" s="32"/>
      <c r="L506" s="75">
        <v>506</v>
      </c>
      <c r="M506" s="75"/>
      <c r="N506" s="70"/>
      <c r="O506" s="77" t="s">
        <v>179</v>
      </c>
      <c r="P506" s="79">
        <v>45114.437789351854</v>
      </c>
      <c r="Q506" s="77" t="s">
        <v>1304</v>
      </c>
      <c r="R506" s="77">
        <v>0</v>
      </c>
      <c r="S506" s="77">
        <v>0</v>
      </c>
      <c r="T506" s="77">
        <v>0</v>
      </c>
      <c r="U506" s="77">
        <v>0</v>
      </c>
      <c r="V506" s="77">
        <v>35</v>
      </c>
      <c r="W506" s="82" t="s">
        <v>5073</v>
      </c>
      <c r="X506" s="77"/>
      <c r="Y506" s="77"/>
      <c r="Z506" s="77"/>
      <c r="AA506" s="77" t="s">
        <v>7541</v>
      </c>
      <c r="AB506" s="77" t="s">
        <v>8225</v>
      </c>
      <c r="AC506" s="82" t="s">
        <v>8254</v>
      </c>
      <c r="AD506" s="77" t="s">
        <v>8278</v>
      </c>
      <c r="AE506" s="80" t="str">
        <f>HYPERLINK("https://twitter.com/force2mv/status/1677263793875812352")</f>
        <v>https://twitter.com/force2mv/status/1677263793875812352</v>
      </c>
      <c r="AF506" s="79">
        <v>45114.437789351854</v>
      </c>
      <c r="AG506" s="85">
        <v>45114</v>
      </c>
      <c r="AH506" s="82" t="s">
        <v>8760</v>
      </c>
      <c r="AI506" s="77" t="b">
        <v>0</v>
      </c>
      <c r="AJ506" s="77"/>
      <c r="AK506" s="77"/>
      <c r="AL506" s="77"/>
      <c r="AM506" s="77"/>
      <c r="AN506" s="77"/>
      <c r="AO506" s="77"/>
      <c r="AP506" s="77"/>
      <c r="AQ506" s="77" t="s">
        <v>12426</v>
      </c>
      <c r="AR506" s="77"/>
      <c r="AS506" s="77"/>
      <c r="AT506" s="77"/>
      <c r="AU506" s="77"/>
      <c r="AV506" s="80" t="str">
        <f>HYPERLINK("https://pbs.twimg.com/media/F0bWh_UWcAErtfh.jpg")</f>
        <v>https://pbs.twimg.com/media/F0bWh_UWcAErtfh.jpg</v>
      </c>
      <c r="AW506" s="82" t="s">
        <v>13608</v>
      </c>
      <c r="AX506" s="82" t="s">
        <v>13608</v>
      </c>
      <c r="AY506" s="77"/>
      <c r="AZ506" s="82" t="s">
        <v>17385</v>
      </c>
      <c r="BA506" s="82" t="s">
        <v>17385</v>
      </c>
      <c r="BB506" s="82" t="s">
        <v>17385</v>
      </c>
      <c r="BC506" s="82" t="s">
        <v>13608</v>
      </c>
      <c r="BD506" s="77">
        <v>56852265</v>
      </c>
      <c r="BE506" s="77"/>
      <c r="BF506" s="77"/>
      <c r="BG506" s="77"/>
      <c r="BH506" s="77"/>
      <c r="BI506" s="77"/>
    </row>
    <row r="507" spans="1:61" x14ac:dyDescent="0.25">
      <c r="A507" s="62" t="s">
        <v>341</v>
      </c>
      <c r="B507" s="62" t="s">
        <v>341</v>
      </c>
      <c r="C507" s="63"/>
      <c r="D507" s="64"/>
      <c r="E507" s="65"/>
      <c r="F507" s="66"/>
      <c r="G507" s="63"/>
      <c r="H507" s="67"/>
      <c r="I507" s="68"/>
      <c r="J507" s="68"/>
      <c r="K507" s="32"/>
      <c r="L507" s="75">
        <v>507</v>
      </c>
      <c r="M507" s="75"/>
      <c r="N507" s="70"/>
      <c r="O507" s="77" t="s">
        <v>179</v>
      </c>
      <c r="P507" s="79">
        <v>45113.437708333331</v>
      </c>
      <c r="Q507" s="77" t="s">
        <v>1305</v>
      </c>
      <c r="R507" s="77">
        <v>0</v>
      </c>
      <c r="S507" s="77">
        <v>0</v>
      </c>
      <c r="T507" s="77">
        <v>0</v>
      </c>
      <c r="U507" s="77">
        <v>0</v>
      </c>
      <c r="V507" s="77">
        <v>79</v>
      </c>
      <c r="W507" s="82" t="s">
        <v>5073</v>
      </c>
      <c r="X507" s="77"/>
      <c r="Y507" s="77"/>
      <c r="Z507" s="77"/>
      <c r="AA507" s="77" t="s">
        <v>7542</v>
      </c>
      <c r="AB507" s="77" t="s">
        <v>8225</v>
      </c>
      <c r="AC507" s="82" t="s">
        <v>8254</v>
      </c>
      <c r="AD507" s="77" t="s">
        <v>8278</v>
      </c>
      <c r="AE507" s="80" t="str">
        <f>HYPERLINK("https://twitter.com/force2mv/status/1676901379758071808")</f>
        <v>https://twitter.com/force2mv/status/1676901379758071808</v>
      </c>
      <c r="AF507" s="79">
        <v>45113.437708333331</v>
      </c>
      <c r="AG507" s="85">
        <v>45113</v>
      </c>
      <c r="AH507" s="82" t="s">
        <v>8761</v>
      </c>
      <c r="AI507" s="77" t="b">
        <v>0</v>
      </c>
      <c r="AJ507" s="77"/>
      <c r="AK507" s="77"/>
      <c r="AL507" s="77"/>
      <c r="AM507" s="77"/>
      <c r="AN507" s="77"/>
      <c r="AO507" s="77"/>
      <c r="AP507" s="77"/>
      <c r="AQ507" s="77" t="s">
        <v>12427</v>
      </c>
      <c r="AR507" s="77"/>
      <c r="AS507" s="77"/>
      <c r="AT507" s="77"/>
      <c r="AU507" s="77"/>
      <c r="AV507" s="80" t="str">
        <f>HYPERLINK("https://pbs.twimg.com/media/F0WM6toWYAE434z.jpg")</f>
        <v>https://pbs.twimg.com/media/F0WM6toWYAE434z.jpg</v>
      </c>
      <c r="AW507" s="82" t="s">
        <v>13609</v>
      </c>
      <c r="AX507" s="82" t="s">
        <v>13609</v>
      </c>
      <c r="AY507" s="77"/>
      <c r="AZ507" s="82" t="s">
        <v>17385</v>
      </c>
      <c r="BA507" s="82" t="s">
        <v>17385</v>
      </c>
      <c r="BB507" s="82" t="s">
        <v>17385</v>
      </c>
      <c r="BC507" s="82" t="s">
        <v>13609</v>
      </c>
      <c r="BD507" s="77">
        <v>56852265</v>
      </c>
      <c r="BE507" s="77"/>
      <c r="BF507" s="77"/>
      <c r="BG507" s="77"/>
      <c r="BH507" s="77"/>
      <c r="BI507" s="77"/>
    </row>
    <row r="508" spans="1:61" x14ac:dyDescent="0.25">
      <c r="A508" s="62" t="s">
        <v>341</v>
      </c>
      <c r="B508" s="62" t="s">
        <v>341</v>
      </c>
      <c r="C508" s="63"/>
      <c r="D508" s="64"/>
      <c r="E508" s="65"/>
      <c r="F508" s="66"/>
      <c r="G508" s="63"/>
      <c r="H508" s="67"/>
      <c r="I508" s="68"/>
      <c r="J508" s="68"/>
      <c r="K508" s="32"/>
      <c r="L508" s="75">
        <v>508</v>
      </c>
      <c r="M508" s="75"/>
      <c r="N508" s="70"/>
      <c r="O508" s="77" t="s">
        <v>179</v>
      </c>
      <c r="P508" s="79">
        <v>45113.416122685187</v>
      </c>
      <c r="Q508" s="77" t="s">
        <v>1306</v>
      </c>
      <c r="R508" s="77">
        <v>0</v>
      </c>
      <c r="S508" s="77">
        <v>0</v>
      </c>
      <c r="T508" s="77">
        <v>0</v>
      </c>
      <c r="U508" s="77">
        <v>0</v>
      </c>
      <c r="V508" s="77">
        <v>58</v>
      </c>
      <c r="W508" s="82" t="s">
        <v>5073</v>
      </c>
      <c r="X508" s="80" t="str">
        <f>HYPERLINK("https://4et.us/rxdczb")</f>
        <v>https://4et.us/rxdczb</v>
      </c>
      <c r="Y508" s="77" t="s">
        <v>7085</v>
      </c>
      <c r="Z508" s="77"/>
      <c r="AA508" s="77" t="s">
        <v>7543</v>
      </c>
      <c r="AB508" s="77" t="s">
        <v>8225</v>
      </c>
      <c r="AC508" s="82" t="s">
        <v>8254</v>
      </c>
      <c r="AD508" s="77" t="s">
        <v>8278</v>
      </c>
      <c r="AE508" s="80" t="str">
        <f>HYPERLINK("https://twitter.com/force2mv/status/1676893556210892801")</f>
        <v>https://twitter.com/force2mv/status/1676893556210892801</v>
      </c>
      <c r="AF508" s="79">
        <v>45113.416122685187</v>
      </c>
      <c r="AG508" s="85">
        <v>45113</v>
      </c>
      <c r="AH508" s="82" t="s">
        <v>8762</v>
      </c>
      <c r="AI508" s="77" t="b">
        <v>0</v>
      </c>
      <c r="AJ508" s="77"/>
      <c r="AK508" s="77"/>
      <c r="AL508" s="77"/>
      <c r="AM508" s="77"/>
      <c r="AN508" s="77"/>
      <c r="AO508" s="77"/>
      <c r="AP508" s="77"/>
      <c r="AQ508" s="77" t="s">
        <v>12428</v>
      </c>
      <c r="AR508" s="77"/>
      <c r="AS508" s="77"/>
      <c r="AT508" s="77"/>
      <c r="AU508" s="77"/>
      <c r="AV508" s="80" t="str">
        <f>HYPERLINK("https://pbs.twimg.com/media/F0WFzayWYAASB2P.jpg")</f>
        <v>https://pbs.twimg.com/media/F0WFzayWYAASB2P.jpg</v>
      </c>
      <c r="AW508" s="82" t="s">
        <v>13610</v>
      </c>
      <c r="AX508" s="82" t="s">
        <v>13610</v>
      </c>
      <c r="AY508" s="77"/>
      <c r="AZ508" s="82" t="s">
        <v>17385</v>
      </c>
      <c r="BA508" s="82" t="s">
        <v>17385</v>
      </c>
      <c r="BB508" s="82" t="s">
        <v>17385</v>
      </c>
      <c r="BC508" s="82" t="s">
        <v>13610</v>
      </c>
      <c r="BD508" s="77">
        <v>56852265</v>
      </c>
      <c r="BE508" s="77"/>
      <c r="BF508" s="77"/>
      <c r="BG508" s="77"/>
      <c r="BH508" s="77"/>
      <c r="BI508" s="77"/>
    </row>
    <row r="509" spans="1:61" x14ac:dyDescent="0.25">
      <c r="A509" s="62" t="s">
        <v>341</v>
      </c>
      <c r="B509" s="62" t="s">
        <v>341</v>
      </c>
      <c r="C509" s="63"/>
      <c r="D509" s="64"/>
      <c r="E509" s="65"/>
      <c r="F509" s="66"/>
      <c r="G509" s="63"/>
      <c r="H509" s="67"/>
      <c r="I509" s="68"/>
      <c r="J509" s="68"/>
      <c r="K509" s="32"/>
      <c r="L509" s="75">
        <v>509</v>
      </c>
      <c r="M509" s="75"/>
      <c r="N509" s="70"/>
      <c r="O509" s="77" t="s">
        <v>179</v>
      </c>
      <c r="P509" s="79">
        <v>45112.437719907408</v>
      </c>
      <c r="Q509" s="77" t="s">
        <v>1307</v>
      </c>
      <c r="R509" s="77">
        <v>0</v>
      </c>
      <c r="S509" s="77">
        <v>0</v>
      </c>
      <c r="T509" s="77">
        <v>0</v>
      </c>
      <c r="U509" s="77">
        <v>0</v>
      </c>
      <c r="V509" s="77">
        <v>60</v>
      </c>
      <c r="W509" s="82" t="s">
        <v>5073</v>
      </c>
      <c r="X509" s="77"/>
      <c r="Y509" s="77"/>
      <c r="Z509" s="77"/>
      <c r="AA509" s="77" t="s">
        <v>7544</v>
      </c>
      <c r="AB509" s="77" t="s">
        <v>8225</v>
      </c>
      <c r="AC509" s="82" t="s">
        <v>8254</v>
      </c>
      <c r="AD509" s="77" t="s">
        <v>8278</v>
      </c>
      <c r="AE509" s="80" t="str">
        <f>HYPERLINK("https://twitter.com/force2mv/status/1676538992311795713")</f>
        <v>https://twitter.com/force2mv/status/1676538992311795713</v>
      </c>
      <c r="AF509" s="79">
        <v>45112.437719907408</v>
      </c>
      <c r="AG509" s="85">
        <v>45112</v>
      </c>
      <c r="AH509" s="82" t="s">
        <v>8763</v>
      </c>
      <c r="AI509" s="77" t="b">
        <v>0</v>
      </c>
      <c r="AJ509" s="77"/>
      <c r="AK509" s="77"/>
      <c r="AL509" s="77"/>
      <c r="AM509" s="77"/>
      <c r="AN509" s="77"/>
      <c r="AO509" s="77"/>
      <c r="AP509" s="77"/>
      <c r="AQ509" s="77" t="s">
        <v>12429</v>
      </c>
      <c r="AR509" s="77"/>
      <c r="AS509" s="77"/>
      <c r="AT509" s="77"/>
      <c r="AU509" s="77"/>
      <c r="AV509" s="80" t="str">
        <f>HYPERLINK("https://pbs.twimg.com/media/F0RDVAdXgAUXoOv.jpg")</f>
        <v>https://pbs.twimg.com/media/F0RDVAdXgAUXoOv.jpg</v>
      </c>
      <c r="AW509" s="82" t="s">
        <v>13611</v>
      </c>
      <c r="AX509" s="82" t="s">
        <v>13611</v>
      </c>
      <c r="AY509" s="77"/>
      <c r="AZ509" s="82" t="s">
        <v>17385</v>
      </c>
      <c r="BA509" s="82" t="s">
        <v>17385</v>
      </c>
      <c r="BB509" s="82" t="s">
        <v>17385</v>
      </c>
      <c r="BC509" s="82" t="s">
        <v>13611</v>
      </c>
      <c r="BD509" s="77">
        <v>56852265</v>
      </c>
      <c r="BE509" s="77"/>
      <c r="BF509" s="77"/>
      <c r="BG509" s="77"/>
      <c r="BH509" s="77"/>
      <c r="BI509" s="77"/>
    </row>
    <row r="510" spans="1:61" x14ac:dyDescent="0.25">
      <c r="A510" s="62" t="s">
        <v>341</v>
      </c>
      <c r="B510" s="62" t="s">
        <v>341</v>
      </c>
      <c r="C510" s="63"/>
      <c r="D510" s="64"/>
      <c r="E510" s="65"/>
      <c r="F510" s="66"/>
      <c r="G510" s="63"/>
      <c r="H510" s="67"/>
      <c r="I510" s="68"/>
      <c r="J510" s="68"/>
      <c r="K510" s="32"/>
      <c r="L510" s="75">
        <v>510</v>
      </c>
      <c r="M510" s="75"/>
      <c r="N510" s="70"/>
      <c r="O510" s="77" t="s">
        <v>179</v>
      </c>
      <c r="P510" s="79">
        <v>45194.437708333331</v>
      </c>
      <c r="Q510" s="77" t="s">
        <v>1308</v>
      </c>
      <c r="R510" s="77">
        <v>0</v>
      </c>
      <c r="S510" s="77">
        <v>0</v>
      </c>
      <c r="T510" s="77">
        <v>0</v>
      </c>
      <c r="U510" s="77">
        <v>0</v>
      </c>
      <c r="V510" s="77">
        <v>71</v>
      </c>
      <c r="W510" s="82" t="s">
        <v>5072</v>
      </c>
      <c r="X510" s="77"/>
      <c r="Y510" s="77"/>
      <c r="Z510" s="77"/>
      <c r="AA510" s="77" t="s">
        <v>7545</v>
      </c>
      <c r="AB510" s="77" t="s">
        <v>8225</v>
      </c>
      <c r="AC510" s="82" t="s">
        <v>8254</v>
      </c>
      <c r="AD510" s="77" t="s">
        <v>8278</v>
      </c>
      <c r="AE510" s="80" t="str">
        <f>HYPERLINK("https://twitter.com/force2mv/status/1706254795739144416")</f>
        <v>https://twitter.com/force2mv/status/1706254795739144416</v>
      </c>
      <c r="AF510" s="79">
        <v>45194.437708333331</v>
      </c>
      <c r="AG510" s="85">
        <v>45194</v>
      </c>
      <c r="AH510" s="82" t="s">
        <v>8761</v>
      </c>
      <c r="AI510" s="77" t="b">
        <v>0</v>
      </c>
      <c r="AJ510" s="77"/>
      <c r="AK510" s="77"/>
      <c r="AL510" s="77"/>
      <c r="AM510" s="77"/>
      <c r="AN510" s="77"/>
      <c r="AO510" s="77"/>
      <c r="AP510" s="77"/>
      <c r="AQ510" s="77" t="s">
        <v>12430</v>
      </c>
      <c r="AR510" s="77"/>
      <c r="AS510" s="77"/>
      <c r="AT510" s="77"/>
      <c r="AU510" s="77"/>
      <c r="AV510" s="80" t="str">
        <f>HYPERLINK("https://pbs.twimg.com/media/F63VsdRWQAAzvxi.jpg")</f>
        <v>https://pbs.twimg.com/media/F63VsdRWQAAzvxi.jpg</v>
      </c>
      <c r="AW510" s="82" t="s">
        <v>13612</v>
      </c>
      <c r="AX510" s="82" t="s">
        <v>13612</v>
      </c>
      <c r="AY510" s="77"/>
      <c r="AZ510" s="82" t="s">
        <v>17385</v>
      </c>
      <c r="BA510" s="82" t="s">
        <v>17385</v>
      </c>
      <c r="BB510" s="82" t="s">
        <v>17385</v>
      </c>
      <c r="BC510" s="82" t="s">
        <v>13612</v>
      </c>
      <c r="BD510" s="77">
        <v>56852265</v>
      </c>
      <c r="BE510" s="77"/>
      <c r="BF510" s="77"/>
      <c r="BG510" s="77"/>
      <c r="BH510" s="77"/>
      <c r="BI510" s="77"/>
    </row>
    <row r="511" spans="1:61" x14ac:dyDescent="0.25">
      <c r="A511" s="62" t="s">
        <v>341</v>
      </c>
      <c r="B511" s="62" t="s">
        <v>341</v>
      </c>
      <c r="C511" s="63"/>
      <c r="D511" s="64"/>
      <c r="E511" s="65"/>
      <c r="F511" s="66"/>
      <c r="G511" s="63"/>
      <c r="H511" s="67"/>
      <c r="I511" s="68"/>
      <c r="J511" s="68"/>
      <c r="K511" s="32"/>
      <c r="L511" s="75">
        <v>511</v>
      </c>
      <c r="M511" s="75"/>
      <c r="N511" s="70"/>
      <c r="O511" s="77" t="s">
        <v>179</v>
      </c>
      <c r="P511" s="79">
        <v>45177.416967592595</v>
      </c>
      <c r="Q511" s="77" t="s">
        <v>1309</v>
      </c>
      <c r="R511" s="77">
        <v>0</v>
      </c>
      <c r="S511" s="77">
        <v>0</v>
      </c>
      <c r="T511" s="77">
        <v>0</v>
      </c>
      <c r="U511" s="77">
        <v>0</v>
      </c>
      <c r="V511" s="77">
        <v>56</v>
      </c>
      <c r="W511" s="82" t="s">
        <v>5072</v>
      </c>
      <c r="X511" s="77"/>
      <c r="Y511" s="77"/>
      <c r="Z511" s="77"/>
      <c r="AA511" s="77" t="s">
        <v>7546</v>
      </c>
      <c r="AB511" s="77" t="s">
        <v>8225</v>
      </c>
      <c r="AC511" s="82" t="s">
        <v>8254</v>
      </c>
      <c r="AD511" s="77" t="s">
        <v>8278</v>
      </c>
      <c r="AE511" s="80" t="str">
        <f>HYPERLINK("https://twitter.com/force2mv/status/1700086683725627832")</f>
        <v>https://twitter.com/force2mv/status/1700086683725627832</v>
      </c>
      <c r="AF511" s="79">
        <v>45177.416967592595</v>
      </c>
      <c r="AG511" s="85">
        <v>45177</v>
      </c>
      <c r="AH511" s="82" t="s">
        <v>8754</v>
      </c>
      <c r="AI511" s="77" t="b">
        <v>0</v>
      </c>
      <c r="AJ511" s="77"/>
      <c r="AK511" s="77"/>
      <c r="AL511" s="77"/>
      <c r="AM511" s="77"/>
      <c r="AN511" s="77"/>
      <c r="AO511" s="77"/>
      <c r="AP511" s="77"/>
      <c r="AQ511" s="77" t="s">
        <v>12431</v>
      </c>
      <c r="AR511" s="77"/>
      <c r="AS511" s="77"/>
      <c r="AT511" s="77"/>
      <c r="AU511" s="77"/>
      <c r="AV511" s="80" t="str">
        <f>HYPERLINK("https://pbs.twimg.com/media/F5fr1FEWgAAHRrP.jpg")</f>
        <v>https://pbs.twimg.com/media/F5fr1FEWgAAHRrP.jpg</v>
      </c>
      <c r="AW511" s="82" t="s">
        <v>13613</v>
      </c>
      <c r="AX511" s="82" t="s">
        <v>13613</v>
      </c>
      <c r="AY511" s="77"/>
      <c r="AZ511" s="82" t="s">
        <v>17385</v>
      </c>
      <c r="BA511" s="82" t="s">
        <v>17385</v>
      </c>
      <c r="BB511" s="82" t="s">
        <v>17385</v>
      </c>
      <c r="BC511" s="82" t="s">
        <v>13613</v>
      </c>
      <c r="BD511" s="77">
        <v>56852265</v>
      </c>
      <c r="BE511" s="77"/>
      <c r="BF511" s="77"/>
      <c r="BG511" s="77"/>
      <c r="BH511" s="77"/>
      <c r="BI511" s="77"/>
    </row>
    <row r="512" spans="1:61" x14ac:dyDescent="0.25">
      <c r="A512" s="62" t="s">
        <v>341</v>
      </c>
      <c r="B512" s="62" t="s">
        <v>341</v>
      </c>
      <c r="C512" s="63"/>
      <c r="D512" s="64"/>
      <c r="E512" s="65"/>
      <c r="F512" s="66"/>
      <c r="G512" s="63"/>
      <c r="H512" s="67"/>
      <c r="I512" s="68"/>
      <c r="J512" s="68"/>
      <c r="K512" s="32"/>
      <c r="L512" s="75">
        <v>512</v>
      </c>
      <c r="M512" s="75"/>
      <c r="N512" s="70"/>
      <c r="O512" s="77" t="s">
        <v>179</v>
      </c>
      <c r="P512" s="79">
        <v>45175.416956018518</v>
      </c>
      <c r="Q512" s="77" t="s">
        <v>1310</v>
      </c>
      <c r="R512" s="77">
        <v>0</v>
      </c>
      <c r="S512" s="77">
        <v>0</v>
      </c>
      <c r="T512" s="77">
        <v>0</v>
      </c>
      <c r="U512" s="77">
        <v>0</v>
      </c>
      <c r="V512" s="77">
        <v>67</v>
      </c>
      <c r="W512" s="82" t="s">
        <v>5072</v>
      </c>
      <c r="X512" s="77"/>
      <c r="Y512" s="77"/>
      <c r="Z512" s="77"/>
      <c r="AA512" s="77" t="s">
        <v>7547</v>
      </c>
      <c r="AB512" s="77" t="s">
        <v>8225</v>
      </c>
      <c r="AC512" s="82" t="s">
        <v>8254</v>
      </c>
      <c r="AD512" s="77" t="s">
        <v>8286</v>
      </c>
      <c r="AE512" s="80" t="str">
        <f>HYPERLINK("https://twitter.com/force2mv/status/1699361904022413504")</f>
        <v>https://twitter.com/force2mv/status/1699361904022413504</v>
      </c>
      <c r="AF512" s="79">
        <v>45175.416956018518</v>
      </c>
      <c r="AG512" s="85">
        <v>45175</v>
      </c>
      <c r="AH512" s="82" t="s">
        <v>8759</v>
      </c>
      <c r="AI512" s="77" t="b">
        <v>0</v>
      </c>
      <c r="AJ512" s="77"/>
      <c r="AK512" s="77"/>
      <c r="AL512" s="77"/>
      <c r="AM512" s="77"/>
      <c r="AN512" s="77"/>
      <c r="AO512" s="77"/>
      <c r="AP512" s="77"/>
      <c r="AQ512" s="77" t="s">
        <v>12432</v>
      </c>
      <c r="AR512" s="77"/>
      <c r="AS512" s="77"/>
      <c r="AT512" s="77"/>
      <c r="AU512" s="77"/>
      <c r="AV512" s="80" t="str">
        <f>HYPERLINK("https://pbs.twimg.com/media/F5VYpUxXcAA_Wt1.jpg")</f>
        <v>https://pbs.twimg.com/media/F5VYpUxXcAA_Wt1.jpg</v>
      </c>
      <c r="AW512" s="82" t="s">
        <v>13614</v>
      </c>
      <c r="AX512" s="82" t="s">
        <v>13614</v>
      </c>
      <c r="AY512" s="77"/>
      <c r="AZ512" s="82" t="s">
        <v>17385</v>
      </c>
      <c r="BA512" s="82" t="s">
        <v>17385</v>
      </c>
      <c r="BB512" s="82" t="s">
        <v>17385</v>
      </c>
      <c r="BC512" s="82" t="s">
        <v>13614</v>
      </c>
      <c r="BD512" s="77">
        <v>56852265</v>
      </c>
      <c r="BE512" s="77"/>
      <c r="BF512" s="77"/>
      <c r="BG512" s="77"/>
      <c r="BH512" s="77"/>
      <c r="BI512" s="77"/>
    </row>
    <row r="513" spans="1:61" x14ac:dyDescent="0.25">
      <c r="A513" s="62" t="s">
        <v>341</v>
      </c>
      <c r="B513" s="62" t="s">
        <v>341</v>
      </c>
      <c r="C513" s="63"/>
      <c r="D513" s="64"/>
      <c r="E513" s="65"/>
      <c r="F513" s="66"/>
      <c r="G513" s="63"/>
      <c r="H513" s="67"/>
      <c r="I513" s="68"/>
      <c r="J513" s="68"/>
      <c r="K513" s="32"/>
      <c r="L513" s="75">
        <v>513</v>
      </c>
      <c r="M513" s="75"/>
      <c r="N513" s="70"/>
      <c r="O513" s="77" t="s">
        <v>179</v>
      </c>
      <c r="P513" s="79">
        <v>45149.416944444441</v>
      </c>
      <c r="Q513" s="77" t="s">
        <v>1311</v>
      </c>
      <c r="R513" s="77">
        <v>0</v>
      </c>
      <c r="S513" s="77">
        <v>0</v>
      </c>
      <c r="T513" s="77">
        <v>0</v>
      </c>
      <c r="U513" s="77">
        <v>0</v>
      </c>
      <c r="V513" s="77">
        <v>35</v>
      </c>
      <c r="W513" s="82" t="s">
        <v>5072</v>
      </c>
      <c r="X513" s="77"/>
      <c r="Y513" s="77"/>
      <c r="Z513" s="77"/>
      <c r="AA513" s="77" t="s">
        <v>7548</v>
      </c>
      <c r="AB513" s="77" t="s">
        <v>8225</v>
      </c>
      <c r="AC513" s="82" t="s">
        <v>8254</v>
      </c>
      <c r="AD513" s="77" t="s">
        <v>8278</v>
      </c>
      <c r="AE513" s="80" t="str">
        <f>HYPERLINK("https://twitter.com/force2mv/status/1689939816182333440")</f>
        <v>https://twitter.com/force2mv/status/1689939816182333440</v>
      </c>
      <c r="AF513" s="79">
        <v>45149.416944444441</v>
      </c>
      <c r="AG513" s="85">
        <v>45149</v>
      </c>
      <c r="AH513" s="82" t="s">
        <v>8751</v>
      </c>
      <c r="AI513" s="77" t="b">
        <v>0</v>
      </c>
      <c r="AJ513" s="77"/>
      <c r="AK513" s="77"/>
      <c r="AL513" s="77"/>
      <c r="AM513" s="77"/>
      <c r="AN513" s="77"/>
      <c r="AO513" s="77"/>
      <c r="AP513" s="77"/>
      <c r="AQ513" s="77" t="s">
        <v>12433</v>
      </c>
      <c r="AR513" s="77"/>
      <c r="AS513" s="77"/>
      <c r="AT513" s="77"/>
      <c r="AU513" s="77"/>
      <c r="AV513" s="80" t="str">
        <f>HYPERLINK("https://pbs.twimg.com/media/F3PfTqDWsAArbdf.jpg")</f>
        <v>https://pbs.twimg.com/media/F3PfTqDWsAArbdf.jpg</v>
      </c>
      <c r="AW513" s="82" t="s">
        <v>13615</v>
      </c>
      <c r="AX513" s="82" t="s">
        <v>13615</v>
      </c>
      <c r="AY513" s="77"/>
      <c r="AZ513" s="82" t="s">
        <v>17385</v>
      </c>
      <c r="BA513" s="82" t="s">
        <v>17385</v>
      </c>
      <c r="BB513" s="82" t="s">
        <v>17385</v>
      </c>
      <c r="BC513" s="82" t="s">
        <v>13615</v>
      </c>
      <c r="BD513" s="77">
        <v>56852265</v>
      </c>
      <c r="BE513" s="77"/>
      <c r="BF513" s="77"/>
      <c r="BG513" s="77"/>
      <c r="BH513" s="77"/>
      <c r="BI513" s="77"/>
    </row>
    <row r="514" spans="1:61" x14ac:dyDescent="0.25">
      <c r="A514" s="62" t="s">
        <v>341</v>
      </c>
      <c r="B514" s="62" t="s">
        <v>341</v>
      </c>
      <c r="C514" s="63"/>
      <c r="D514" s="64"/>
      <c r="E514" s="65"/>
      <c r="F514" s="66"/>
      <c r="G514" s="63"/>
      <c r="H514" s="67"/>
      <c r="I514" s="68"/>
      <c r="J514" s="68"/>
      <c r="K514" s="32"/>
      <c r="L514" s="75">
        <v>514</v>
      </c>
      <c r="M514" s="75"/>
      <c r="N514" s="70"/>
      <c r="O514" s="77" t="s">
        <v>179</v>
      </c>
      <c r="P514" s="79">
        <v>45119.416979166665</v>
      </c>
      <c r="Q514" s="77" t="s">
        <v>1312</v>
      </c>
      <c r="R514" s="77">
        <v>0</v>
      </c>
      <c r="S514" s="77">
        <v>0</v>
      </c>
      <c r="T514" s="77">
        <v>0</v>
      </c>
      <c r="U514" s="77">
        <v>0</v>
      </c>
      <c r="V514" s="77">
        <v>53</v>
      </c>
      <c r="W514" s="82" t="s">
        <v>5072</v>
      </c>
      <c r="X514" s="77"/>
      <c r="Y514" s="77"/>
      <c r="Z514" s="77"/>
      <c r="AA514" s="77" t="s">
        <v>7549</v>
      </c>
      <c r="AB514" s="77" t="s">
        <v>8225</v>
      </c>
      <c r="AC514" s="82" t="s">
        <v>8254</v>
      </c>
      <c r="AD514" s="77" t="s">
        <v>8278</v>
      </c>
      <c r="AE514" s="80" t="str">
        <f>HYPERLINK("https://twitter.com/force2mv/status/1679068194869313537")</f>
        <v>https://twitter.com/force2mv/status/1679068194869313537</v>
      </c>
      <c r="AF514" s="79">
        <v>45119.416979166665</v>
      </c>
      <c r="AG514" s="85">
        <v>45119</v>
      </c>
      <c r="AH514" s="82" t="s">
        <v>8758</v>
      </c>
      <c r="AI514" s="77" t="b">
        <v>0</v>
      </c>
      <c r="AJ514" s="77"/>
      <c r="AK514" s="77"/>
      <c r="AL514" s="77"/>
      <c r="AM514" s="77"/>
      <c r="AN514" s="77"/>
      <c r="AO514" s="77"/>
      <c r="AP514" s="77"/>
      <c r="AQ514" s="77" t="s">
        <v>12434</v>
      </c>
      <c r="AR514" s="77"/>
      <c r="AS514" s="77"/>
      <c r="AT514" s="77"/>
      <c r="AU514" s="77"/>
      <c r="AV514" s="80" t="str">
        <f>HYPERLINK("https://pbs.twimg.com/media/F00_oBuXoAEeEwZ.jpg")</f>
        <v>https://pbs.twimg.com/media/F00_oBuXoAEeEwZ.jpg</v>
      </c>
      <c r="AW514" s="82" t="s">
        <v>13616</v>
      </c>
      <c r="AX514" s="82" t="s">
        <v>13616</v>
      </c>
      <c r="AY514" s="77"/>
      <c r="AZ514" s="82" t="s">
        <v>17385</v>
      </c>
      <c r="BA514" s="82" t="s">
        <v>17385</v>
      </c>
      <c r="BB514" s="82" t="s">
        <v>17385</v>
      </c>
      <c r="BC514" s="82" t="s">
        <v>13616</v>
      </c>
      <c r="BD514" s="77">
        <v>56852265</v>
      </c>
      <c r="BE514" s="77"/>
      <c r="BF514" s="77"/>
      <c r="BG514" s="77"/>
      <c r="BH514" s="77"/>
      <c r="BI514" s="77"/>
    </row>
    <row r="515" spans="1:61" x14ac:dyDescent="0.25">
      <c r="A515" s="62" t="s">
        <v>341</v>
      </c>
      <c r="B515" s="62" t="s">
        <v>341</v>
      </c>
      <c r="C515" s="63"/>
      <c r="D515" s="64"/>
      <c r="E515" s="65"/>
      <c r="F515" s="66"/>
      <c r="G515" s="63"/>
      <c r="H515" s="67"/>
      <c r="I515" s="68"/>
      <c r="J515" s="68"/>
      <c r="K515" s="32"/>
      <c r="L515" s="75">
        <v>515</v>
      </c>
      <c r="M515" s="75"/>
      <c r="N515" s="70"/>
      <c r="O515" s="77" t="s">
        <v>179</v>
      </c>
      <c r="P515" s="79">
        <v>45118.416944444441</v>
      </c>
      <c r="Q515" s="77" t="s">
        <v>1313</v>
      </c>
      <c r="R515" s="77">
        <v>0</v>
      </c>
      <c r="S515" s="77">
        <v>0</v>
      </c>
      <c r="T515" s="77">
        <v>0</v>
      </c>
      <c r="U515" s="77">
        <v>0</v>
      </c>
      <c r="V515" s="77">
        <v>40</v>
      </c>
      <c r="W515" s="82" t="s">
        <v>5072</v>
      </c>
      <c r="X515" s="77"/>
      <c r="Y515" s="77"/>
      <c r="Z515" s="77"/>
      <c r="AA515" s="77" t="s">
        <v>7550</v>
      </c>
      <c r="AB515" s="77" t="s">
        <v>8225</v>
      </c>
      <c r="AC515" s="82" t="s">
        <v>8254</v>
      </c>
      <c r="AD515" s="77" t="s">
        <v>8278</v>
      </c>
      <c r="AE515" s="80" t="str">
        <f>HYPERLINK("https://twitter.com/force2mv/status/1678705794425008128")</f>
        <v>https://twitter.com/force2mv/status/1678705794425008128</v>
      </c>
      <c r="AF515" s="79">
        <v>45118.416944444441</v>
      </c>
      <c r="AG515" s="85">
        <v>45118</v>
      </c>
      <c r="AH515" s="82" t="s">
        <v>8751</v>
      </c>
      <c r="AI515" s="77" t="b">
        <v>0</v>
      </c>
      <c r="AJ515" s="77"/>
      <c r="AK515" s="77"/>
      <c r="AL515" s="77"/>
      <c r="AM515" s="77"/>
      <c r="AN515" s="77"/>
      <c r="AO515" s="77"/>
      <c r="AP515" s="77"/>
      <c r="AQ515" s="77" t="s">
        <v>12435</v>
      </c>
      <c r="AR515" s="77"/>
      <c r="AS515" s="77"/>
      <c r="AT515" s="77"/>
      <c r="AU515" s="77"/>
      <c r="AV515" s="80" t="str">
        <f>HYPERLINK("https://pbs.twimg.com/media/F0v2BhFXgAAnSCT.jpg")</f>
        <v>https://pbs.twimg.com/media/F0v2BhFXgAAnSCT.jpg</v>
      </c>
      <c r="AW515" s="82" t="s">
        <v>13617</v>
      </c>
      <c r="AX515" s="82" t="s">
        <v>13617</v>
      </c>
      <c r="AY515" s="77"/>
      <c r="AZ515" s="82" t="s">
        <v>17385</v>
      </c>
      <c r="BA515" s="82" t="s">
        <v>17385</v>
      </c>
      <c r="BB515" s="82" t="s">
        <v>17385</v>
      </c>
      <c r="BC515" s="82" t="s">
        <v>13617</v>
      </c>
      <c r="BD515" s="77">
        <v>56852265</v>
      </c>
      <c r="BE515" s="77"/>
      <c r="BF515" s="77"/>
      <c r="BG515" s="77"/>
      <c r="BH515" s="77"/>
      <c r="BI515" s="77"/>
    </row>
    <row r="516" spans="1:61" x14ac:dyDescent="0.25">
      <c r="A516" s="62" t="s">
        <v>341</v>
      </c>
      <c r="B516" s="62" t="s">
        <v>341</v>
      </c>
      <c r="C516" s="63"/>
      <c r="D516" s="64"/>
      <c r="E516" s="65"/>
      <c r="F516" s="66"/>
      <c r="G516" s="63"/>
      <c r="H516" s="67"/>
      <c r="I516" s="68"/>
      <c r="J516" s="68"/>
      <c r="K516" s="32"/>
      <c r="L516" s="75">
        <v>516</v>
      </c>
      <c r="M516" s="75"/>
      <c r="N516" s="70"/>
      <c r="O516" s="77" t="s">
        <v>179</v>
      </c>
      <c r="P516" s="79">
        <v>45117.417534722219</v>
      </c>
      <c r="Q516" s="77" t="s">
        <v>1314</v>
      </c>
      <c r="R516" s="77">
        <v>0</v>
      </c>
      <c r="S516" s="77">
        <v>0</v>
      </c>
      <c r="T516" s="77">
        <v>1</v>
      </c>
      <c r="U516" s="77">
        <v>0</v>
      </c>
      <c r="V516" s="77">
        <v>22</v>
      </c>
      <c r="W516" s="82" t="s">
        <v>5072</v>
      </c>
      <c r="X516" s="77"/>
      <c r="Y516" s="77"/>
      <c r="Z516" s="77"/>
      <c r="AA516" s="77" t="s">
        <v>7551</v>
      </c>
      <c r="AB516" s="77" t="s">
        <v>8225</v>
      </c>
      <c r="AC516" s="82" t="s">
        <v>8254</v>
      </c>
      <c r="AD516" s="77" t="s">
        <v>8278</v>
      </c>
      <c r="AE516" s="80" t="str">
        <f>HYPERLINK("https://twitter.com/force2mv/status/1678343618040348672")</f>
        <v>https://twitter.com/force2mv/status/1678343618040348672</v>
      </c>
      <c r="AF516" s="79">
        <v>45117.417534722219</v>
      </c>
      <c r="AG516" s="85">
        <v>45117</v>
      </c>
      <c r="AH516" s="82" t="s">
        <v>8764</v>
      </c>
      <c r="AI516" s="77" t="b">
        <v>0</v>
      </c>
      <c r="AJ516" s="77"/>
      <c r="AK516" s="77"/>
      <c r="AL516" s="77"/>
      <c r="AM516" s="77"/>
      <c r="AN516" s="77"/>
      <c r="AO516" s="77"/>
      <c r="AP516" s="77"/>
      <c r="AQ516" s="77" t="s">
        <v>12436</v>
      </c>
      <c r="AR516" s="77"/>
      <c r="AS516" s="77"/>
      <c r="AT516" s="77"/>
      <c r="AU516" s="77"/>
      <c r="AV516" s="80" t="str">
        <f>HYPERLINK("https://pbs.twimg.com/media/F0qsoF4XsAAKmp8.jpg")</f>
        <v>https://pbs.twimg.com/media/F0qsoF4XsAAKmp8.jpg</v>
      </c>
      <c r="AW516" s="82" t="s">
        <v>13618</v>
      </c>
      <c r="AX516" s="82" t="s">
        <v>13618</v>
      </c>
      <c r="AY516" s="77"/>
      <c r="AZ516" s="82" t="s">
        <v>17385</v>
      </c>
      <c r="BA516" s="82" t="s">
        <v>17385</v>
      </c>
      <c r="BB516" s="82" t="s">
        <v>17385</v>
      </c>
      <c r="BC516" s="82" t="s">
        <v>13618</v>
      </c>
      <c r="BD516" s="77">
        <v>56852265</v>
      </c>
      <c r="BE516" s="77"/>
      <c r="BF516" s="77"/>
      <c r="BG516" s="77"/>
      <c r="BH516" s="77"/>
      <c r="BI516" s="77"/>
    </row>
    <row r="517" spans="1:61" x14ac:dyDescent="0.25">
      <c r="A517" s="62" t="s">
        <v>341</v>
      </c>
      <c r="B517" s="62" t="s">
        <v>341</v>
      </c>
      <c r="C517" s="63"/>
      <c r="D517" s="64"/>
      <c r="E517" s="65"/>
      <c r="F517" s="66"/>
      <c r="G517" s="63"/>
      <c r="H517" s="67"/>
      <c r="I517" s="68"/>
      <c r="J517" s="68"/>
      <c r="K517" s="32"/>
      <c r="L517" s="75">
        <v>517</v>
      </c>
      <c r="M517" s="75"/>
      <c r="N517" s="70"/>
      <c r="O517" s="77" t="s">
        <v>179</v>
      </c>
      <c r="P517" s="79">
        <v>45197.437719907408</v>
      </c>
      <c r="Q517" s="77" t="s">
        <v>1315</v>
      </c>
      <c r="R517" s="77">
        <v>0</v>
      </c>
      <c r="S517" s="77">
        <v>0</v>
      </c>
      <c r="T517" s="77">
        <v>0</v>
      </c>
      <c r="U517" s="77">
        <v>0</v>
      </c>
      <c r="V517" s="77">
        <v>11</v>
      </c>
      <c r="W517" s="82" t="s">
        <v>5072</v>
      </c>
      <c r="X517" s="77"/>
      <c r="Y517" s="77"/>
      <c r="Z517" s="77"/>
      <c r="AA517" s="77" t="s">
        <v>7552</v>
      </c>
      <c r="AB517" s="77" t="s">
        <v>8225</v>
      </c>
      <c r="AC517" s="82" t="s">
        <v>8254</v>
      </c>
      <c r="AD517" s="77" t="s">
        <v>8278</v>
      </c>
      <c r="AE517" s="80" t="str">
        <f>HYPERLINK("https://twitter.com/force2mv/status/1707341964717195770")</f>
        <v>https://twitter.com/force2mv/status/1707341964717195770</v>
      </c>
      <c r="AF517" s="79">
        <v>45197.437719907408</v>
      </c>
      <c r="AG517" s="85">
        <v>45197</v>
      </c>
      <c r="AH517" s="82" t="s">
        <v>8763</v>
      </c>
      <c r="AI517" s="77" t="b">
        <v>0</v>
      </c>
      <c r="AJ517" s="77"/>
      <c r="AK517" s="77"/>
      <c r="AL517" s="77"/>
      <c r="AM517" s="77"/>
      <c r="AN517" s="77"/>
      <c r="AO517" s="77"/>
      <c r="AP517" s="77"/>
      <c r="AQ517" s="77" t="s">
        <v>12437</v>
      </c>
      <c r="AR517" s="77"/>
      <c r="AS517" s="77"/>
      <c r="AT517" s="77"/>
      <c r="AU517" s="77"/>
      <c r="AV517" s="80" t="str">
        <f>HYPERLINK("https://pbs.twimg.com/media/F7Gyd_PWEAAUNzD.jpg")</f>
        <v>https://pbs.twimg.com/media/F7Gyd_PWEAAUNzD.jpg</v>
      </c>
      <c r="AW517" s="82" t="s">
        <v>13619</v>
      </c>
      <c r="AX517" s="82" t="s">
        <v>13619</v>
      </c>
      <c r="AY517" s="77"/>
      <c r="AZ517" s="82" t="s">
        <v>17385</v>
      </c>
      <c r="BA517" s="82" t="s">
        <v>17385</v>
      </c>
      <c r="BB517" s="82" t="s">
        <v>17385</v>
      </c>
      <c r="BC517" s="82" t="s">
        <v>13619</v>
      </c>
      <c r="BD517" s="77">
        <v>56852265</v>
      </c>
      <c r="BE517" s="77"/>
      <c r="BF517" s="77"/>
      <c r="BG517" s="77"/>
      <c r="BH517" s="77"/>
      <c r="BI517" s="77"/>
    </row>
    <row r="518" spans="1:61" x14ac:dyDescent="0.25">
      <c r="A518" s="62" t="s">
        <v>341</v>
      </c>
      <c r="B518" s="62" t="s">
        <v>341</v>
      </c>
      <c r="C518" s="63"/>
      <c r="D518" s="64"/>
      <c r="E518" s="65"/>
      <c r="F518" s="66"/>
      <c r="G518" s="63"/>
      <c r="H518" s="67"/>
      <c r="I518" s="68"/>
      <c r="J518" s="68"/>
      <c r="K518" s="32"/>
      <c r="L518" s="75">
        <v>518</v>
      </c>
      <c r="M518" s="75"/>
      <c r="N518" s="70"/>
      <c r="O518" s="77" t="s">
        <v>179</v>
      </c>
      <c r="P518" s="79">
        <v>45173.41474537037</v>
      </c>
      <c r="Q518" s="77" t="s">
        <v>1316</v>
      </c>
      <c r="R518" s="77">
        <v>0</v>
      </c>
      <c r="S518" s="77">
        <v>0</v>
      </c>
      <c r="T518" s="77">
        <v>0</v>
      </c>
      <c r="U518" s="77">
        <v>0</v>
      </c>
      <c r="V518" s="77">
        <v>105</v>
      </c>
      <c r="W518" s="82" t="s">
        <v>5072</v>
      </c>
      <c r="X518" s="77"/>
      <c r="Y518" s="77"/>
      <c r="Z518" s="77"/>
      <c r="AA518" s="77" t="s">
        <v>7553</v>
      </c>
      <c r="AB518" s="77" t="s">
        <v>8225</v>
      </c>
      <c r="AC518" s="82" t="s">
        <v>8254</v>
      </c>
      <c r="AD518" s="77" t="s">
        <v>8278</v>
      </c>
      <c r="AE518" s="80" t="str">
        <f>HYPERLINK("https://twitter.com/force2mv/status/1698636329129529392")</f>
        <v>https://twitter.com/force2mv/status/1698636329129529392</v>
      </c>
      <c r="AF518" s="79">
        <v>45173.41474537037</v>
      </c>
      <c r="AG518" s="85">
        <v>45173</v>
      </c>
      <c r="AH518" s="82" t="s">
        <v>8765</v>
      </c>
      <c r="AI518" s="77" t="b">
        <v>0</v>
      </c>
      <c r="AJ518" s="77"/>
      <c r="AK518" s="77"/>
      <c r="AL518" s="77"/>
      <c r="AM518" s="77"/>
      <c r="AN518" s="77"/>
      <c r="AO518" s="77"/>
      <c r="AP518" s="77"/>
      <c r="AQ518" s="77" t="s">
        <v>12438</v>
      </c>
      <c r="AR518" s="77"/>
      <c r="AS518" s="77"/>
      <c r="AT518" s="77"/>
      <c r="AU518" s="77"/>
      <c r="AV518" s="80" t="str">
        <f>HYPERLINK("https://pbs.twimg.com/media/F5LEvUPWEAAb1oP.jpg")</f>
        <v>https://pbs.twimg.com/media/F5LEvUPWEAAb1oP.jpg</v>
      </c>
      <c r="AW518" s="82" t="s">
        <v>13620</v>
      </c>
      <c r="AX518" s="82" t="s">
        <v>13620</v>
      </c>
      <c r="AY518" s="77"/>
      <c r="AZ518" s="82" t="s">
        <v>17385</v>
      </c>
      <c r="BA518" s="82" t="s">
        <v>17385</v>
      </c>
      <c r="BB518" s="82" t="s">
        <v>17385</v>
      </c>
      <c r="BC518" s="82" t="s">
        <v>13620</v>
      </c>
      <c r="BD518" s="77">
        <v>56852265</v>
      </c>
      <c r="BE518" s="77"/>
      <c r="BF518" s="77"/>
      <c r="BG518" s="77"/>
      <c r="BH518" s="77"/>
      <c r="BI518" s="77"/>
    </row>
    <row r="519" spans="1:61" x14ac:dyDescent="0.25">
      <c r="A519" s="62" t="s">
        <v>341</v>
      </c>
      <c r="B519" s="62" t="s">
        <v>341</v>
      </c>
      <c r="C519" s="63"/>
      <c r="D519" s="64"/>
      <c r="E519" s="65"/>
      <c r="F519" s="66"/>
      <c r="G519" s="63"/>
      <c r="H519" s="67"/>
      <c r="I519" s="68"/>
      <c r="J519" s="68"/>
      <c r="K519" s="32"/>
      <c r="L519" s="75">
        <v>519</v>
      </c>
      <c r="M519" s="75"/>
      <c r="N519" s="70"/>
      <c r="O519" s="77" t="s">
        <v>179</v>
      </c>
      <c r="P519" s="79">
        <v>45132.388368055559</v>
      </c>
      <c r="Q519" s="77" t="s">
        <v>1317</v>
      </c>
      <c r="R519" s="77">
        <v>0</v>
      </c>
      <c r="S519" s="77">
        <v>0</v>
      </c>
      <c r="T519" s="77">
        <v>0</v>
      </c>
      <c r="U519" s="77">
        <v>0</v>
      </c>
      <c r="V519" s="77">
        <v>68</v>
      </c>
      <c r="W519" s="82" t="s">
        <v>5072</v>
      </c>
      <c r="X519" s="77"/>
      <c r="Y519" s="77"/>
      <c r="Z519" s="77"/>
      <c r="AA519" s="77" t="s">
        <v>7554</v>
      </c>
      <c r="AB519" s="77" t="s">
        <v>8225</v>
      </c>
      <c r="AC519" s="82" t="s">
        <v>8254</v>
      </c>
      <c r="AD519" s="77" t="s">
        <v>8285</v>
      </c>
      <c r="AE519" s="80" t="str">
        <f>HYPERLINK("https://twitter.com/force2mv/status/1683768865157787649")</f>
        <v>https://twitter.com/force2mv/status/1683768865157787649</v>
      </c>
      <c r="AF519" s="79">
        <v>45132.388368055559</v>
      </c>
      <c r="AG519" s="85">
        <v>45132</v>
      </c>
      <c r="AH519" s="82" t="s">
        <v>8766</v>
      </c>
      <c r="AI519" s="77" t="b">
        <v>0</v>
      </c>
      <c r="AJ519" s="77"/>
      <c r="AK519" s="77"/>
      <c r="AL519" s="77"/>
      <c r="AM519" s="77"/>
      <c r="AN519" s="77"/>
      <c r="AO519" s="77"/>
      <c r="AP519" s="77"/>
      <c r="AQ519" s="77" t="s">
        <v>12439</v>
      </c>
      <c r="AR519" s="77"/>
      <c r="AS519" s="77"/>
      <c r="AT519" s="77"/>
      <c r="AU519" s="77"/>
      <c r="AV519" s="80" t="str">
        <f>HYPERLINK("https://pbs.twimg.com/media/F13y3CBXwAEYCt2.jpg")</f>
        <v>https://pbs.twimg.com/media/F13y3CBXwAEYCt2.jpg</v>
      </c>
      <c r="AW519" s="82" t="s">
        <v>13621</v>
      </c>
      <c r="AX519" s="82" t="s">
        <v>13621</v>
      </c>
      <c r="AY519" s="77"/>
      <c r="AZ519" s="82" t="s">
        <v>17385</v>
      </c>
      <c r="BA519" s="82" t="s">
        <v>17385</v>
      </c>
      <c r="BB519" s="82" t="s">
        <v>17385</v>
      </c>
      <c r="BC519" s="82" t="s">
        <v>13621</v>
      </c>
      <c r="BD519" s="77">
        <v>56852265</v>
      </c>
      <c r="BE519" s="77"/>
      <c r="BF519" s="77"/>
      <c r="BG519" s="77"/>
      <c r="BH519" s="77"/>
      <c r="BI519" s="77"/>
    </row>
    <row r="520" spans="1:61" x14ac:dyDescent="0.25">
      <c r="A520" s="62" t="s">
        <v>341</v>
      </c>
      <c r="B520" s="62" t="s">
        <v>341</v>
      </c>
      <c r="C520" s="63"/>
      <c r="D520" s="64"/>
      <c r="E520" s="65"/>
      <c r="F520" s="66"/>
      <c r="G520" s="63"/>
      <c r="H520" s="67"/>
      <c r="I520" s="68"/>
      <c r="J520" s="68"/>
      <c r="K520" s="32"/>
      <c r="L520" s="75">
        <v>520</v>
      </c>
      <c r="M520" s="75"/>
      <c r="N520" s="70"/>
      <c r="O520" s="77" t="s">
        <v>179</v>
      </c>
      <c r="P520" s="79">
        <v>45131.416979166665</v>
      </c>
      <c r="Q520" s="77" t="s">
        <v>1318</v>
      </c>
      <c r="R520" s="77">
        <v>0</v>
      </c>
      <c r="S520" s="77">
        <v>0</v>
      </c>
      <c r="T520" s="77">
        <v>0</v>
      </c>
      <c r="U520" s="77">
        <v>0</v>
      </c>
      <c r="V520" s="77">
        <v>74</v>
      </c>
      <c r="W520" s="82" t="s">
        <v>5072</v>
      </c>
      <c r="X520" s="77"/>
      <c r="Y520" s="77"/>
      <c r="Z520" s="77"/>
      <c r="AA520" s="77" t="s">
        <v>7555</v>
      </c>
      <c r="AB520" s="77" t="s">
        <v>8225</v>
      </c>
      <c r="AC520" s="82" t="s">
        <v>8254</v>
      </c>
      <c r="AD520" s="77" t="s">
        <v>8278</v>
      </c>
      <c r="AE520" s="80" t="str">
        <f>HYPERLINK("https://twitter.com/force2mv/status/1683416847457067008")</f>
        <v>https://twitter.com/force2mv/status/1683416847457067008</v>
      </c>
      <c r="AF520" s="79">
        <v>45131.416979166665</v>
      </c>
      <c r="AG520" s="85">
        <v>45131</v>
      </c>
      <c r="AH520" s="82" t="s">
        <v>8758</v>
      </c>
      <c r="AI520" s="77" t="b">
        <v>0</v>
      </c>
      <c r="AJ520" s="77"/>
      <c r="AK520" s="77"/>
      <c r="AL520" s="77"/>
      <c r="AM520" s="77"/>
      <c r="AN520" s="77"/>
      <c r="AO520" s="77"/>
      <c r="AP520" s="77"/>
      <c r="AQ520" s="77" t="s">
        <v>12440</v>
      </c>
      <c r="AR520" s="77"/>
      <c r="AS520" s="77"/>
      <c r="AT520" s="77"/>
      <c r="AU520" s="77"/>
      <c r="AV520" s="80" t="str">
        <f>HYPERLINK("https://pbs.twimg.com/media/F1yys3ZWAAA0xZo.jpg")</f>
        <v>https://pbs.twimg.com/media/F1yys3ZWAAA0xZo.jpg</v>
      </c>
      <c r="AW520" s="82" t="s">
        <v>13622</v>
      </c>
      <c r="AX520" s="82" t="s">
        <v>13622</v>
      </c>
      <c r="AY520" s="77"/>
      <c r="AZ520" s="82" t="s">
        <v>17385</v>
      </c>
      <c r="BA520" s="82" t="s">
        <v>17385</v>
      </c>
      <c r="BB520" s="82" t="s">
        <v>17385</v>
      </c>
      <c r="BC520" s="82" t="s">
        <v>13622</v>
      </c>
      <c r="BD520" s="77">
        <v>56852265</v>
      </c>
      <c r="BE520" s="77"/>
      <c r="BF520" s="77"/>
      <c r="BG520" s="77"/>
      <c r="BH520" s="77"/>
      <c r="BI520" s="77"/>
    </row>
    <row r="521" spans="1:61" x14ac:dyDescent="0.25">
      <c r="A521" s="62" t="s">
        <v>341</v>
      </c>
      <c r="B521" s="62" t="s">
        <v>341</v>
      </c>
      <c r="C521" s="63"/>
      <c r="D521" s="64"/>
      <c r="E521" s="65"/>
      <c r="F521" s="66"/>
      <c r="G521" s="63"/>
      <c r="H521" s="67"/>
      <c r="I521" s="68"/>
      <c r="J521" s="68"/>
      <c r="K521" s="32"/>
      <c r="L521" s="75">
        <v>521</v>
      </c>
      <c r="M521" s="75"/>
      <c r="N521" s="70"/>
      <c r="O521" s="77" t="s">
        <v>179</v>
      </c>
      <c r="P521" s="79">
        <v>45103.938321759262</v>
      </c>
      <c r="Q521" s="77" t="s">
        <v>1319</v>
      </c>
      <c r="R521" s="77">
        <v>0</v>
      </c>
      <c r="S521" s="77">
        <v>0</v>
      </c>
      <c r="T521" s="77">
        <v>0</v>
      </c>
      <c r="U521" s="77">
        <v>0</v>
      </c>
      <c r="V521" s="77">
        <v>70</v>
      </c>
      <c r="W521" s="82" t="s">
        <v>5073</v>
      </c>
      <c r="X521" s="77"/>
      <c r="Y521" s="77"/>
      <c r="Z521" s="77"/>
      <c r="AA521" s="77" t="s">
        <v>7556</v>
      </c>
      <c r="AB521" s="77" t="s">
        <v>8227</v>
      </c>
      <c r="AC521" s="82" t="s">
        <v>8254</v>
      </c>
      <c r="AD521" s="77" t="s">
        <v>8278</v>
      </c>
      <c r="AE521" s="80" t="str">
        <f>HYPERLINK("https://twitter.com/force2mv/status/1673458917031002113")</f>
        <v>https://twitter.com/force2mv/status/1673458917031002113</v>
      </c>
      <c r="AF521" s="79">
        <v>45103.938321759262</v>
      </c>
      <c r="AG521" s="85">
        <v>45103</v>
      </c>
      <c r="AH521" s="82" t="s">
        <v>8767</v>
      </c>
      <c r="AI521" s="77" t="b">
        <v>0</v>
      </c>
      <c r="AJ521" s="77"/>
      <c r="AK521" s="77"/>
      <c r="AL521" s="77"/>
      <c r="AM521" s="77"/>
      <c r="AN521" s="77"/>
      <c r="AO521" s="77"/>
      <c r="AP521" s="77"/>
      <c r="AQ521" s="77" t="s">
        <v>12441</v>
      </c>
      <c r="AR521" s="77">
        <v>41700</v>
      </c>
      <c r="AS521" s="77"/>
      <c r="AT521" s="77"/>
      <c r="AU521" s="77"/>
      <c r="AV521" s="80" t="str">
        <f>HYPERLINK("https://pbs.twimg.com/ext_tw_video_thumb/1673458871254261760/pu/img/eFESalQZJ9-FgZgq.jpg")</f>
        <v>https://pbs.twimg.com/ext_tw_video_thumb/1673458871254261760/pu/img/eFESalQZJ9-FgZgq.jpg</v>
      </c>
      <c r="AW521" s="82" t="s">
        <v>13623</v>
      </c>
      <c r="AX521" s="82" t="s">
        <v>13623</v>
      </c>
      <c r="AY521" s="77"/>
      <c r="AZ521" s="82" t="s">
        <v>17385</v>
      </c>
      <c r="BA521" s="82" t="s">
        <v>17385</v>
      </c>
      <c r="BB521" s="82" t="s">
        <v>17385</v>
      </c>
      <c r="BC521" s="82" t="s">
        <v>13623</v>
      </c>
      <c r="BD521" s="77">
        <v>56852265</v>
      </c>
      <c r="BE521" s="77"/>
      <c r="BF521" s="77"/>
      <c r="BG521" s="77"/>
      <c r="BH521" s="77"/>
      <c r="BI521" s="77"/>
    </row>
    <row r="522" spans="1:61" x14ac:dyDescent="0.25">
      <c r="A522" s="62" t="s">
        <v>341</v>
      </c>
      <c r="B522" s="62" t="s">
        <v>341</v>
      </c>
      <c r="C522" s="63"/>
      <c r="D522" s="64"/>
      <c r="E522" s="65"/>
      <c r="F522" s="66"/>
      <c r="G522" s="63"/>
      <c r="H522" s="67"/>
      <c r="I522" s="68"/>
      <c r="J522" s="68"/>
      <c r="K522" s="32"/>
      <c r="L522" s="75">
        <v>522</v>
      </c>
      <c r="M522" s="75"/>
      <c r="N522" s="70"/>
      <c r="O522" s="77" t="s">
        <v>179</v>
      </c>
      <c r="P522" s="79">
        <v>45103.417546296296</v>
      </c>
      <c r="Q522" s="77" t="s">
        <v>1320</v>
      </c>
      <c r="R522" s="77">
        <v>0</v>
      </c>
      <c r="S522" s="77">
        <v>0</v>
      </c>
      <c r="T522" s="77">
        <v>0</v>
      </c>
      <c r="U522" s="77">
        <v>0</v>
      </c>
      <c r="V522" s="77">
        <v>36</v>
      </c>
      <c r="W522" s="82" t="s">
        <v>5073</v>
      </c>
      <c r="X522" s="77"/>
      <c r="Y522" s="77"/>
      <c r="Z522" s="77"/>
      <c r="AA522" s="77" t="s">
        <v>7557</v>
      </c>
      <c r="AB522" s="77" t="s">
        <v>8225</v>
      </c>
      <c r="AC522" s="82" t="s">
        <v>8254</v>
      </c>
      <c r="AD522" s="77" t="s">
        <v>8278</v>
      </c>
      <c r="AE522" s="80" t="str">
        <f>HYPERLINK("https://twitter.com/force2mv/status/1673270193752100865")</f>
        <v>https://twitter.com/force2mv/status/1673270193752100865</v>
      </c>
      <c r="AF522" s="79">
        <v>45103.417546296296</v>
      </c>
      <c r="AG522" s="85">
        <v>45103</v>
      </c>
      <c r="AH522" s="82" t="s">
        <v>8768</v>
      </c>
      <c r="AI522" s="77" t="b">
        <v>0</v>
      </c>
      <c r="AJ522" s="77"/>
      <c r="AK522" s="77"/>
      <c r="AL522" s="77"/>
      <c r="AM522" s="77"/>
      <c r="AN522" s="77"/>
      <c r="AO522" s="77"/>
      <c r="AP522" s="77"/>
      <c r="AQ522" s="77" t="s">
        <v>12442</v>
      </c>
      <c r="AR522" s="77"/>
      <c r="AS522" s="77"/>
      <c r="AT522" s="77"/>
      <c r="AU522" s="77"/>
      <c r="AV522" s="80" t="str">
        <f>HYPERLINK("https://pbs.twimg.com/media/FzimX7MWAAEaa08.jpg")</f>
        <v>https://pbs.twimg.com/media/FzimX7MWAAEaa08.jpg</v>
      </c>
      <c r="AW522" s="82" t="s">
        <v>13624</v>
      </c>
      <c r="AX522" s="82" t="s">
        <v>13624</v>
      </c>
      <c r="AY522" s="77"/>
      <c r="AZ522" s="82" t="s">
        <v>17385</v>
      </c>
      <c r="BA522" s="82" t="s">
        <v>17385</v>
      </c>
      <c r="BB522" s="82" t="s">
        <v>17385</v>
      </c>
      <c r="BC522" s="82" t="s">
        <v>13624</v>
      </c>
      <c r="BD522" s="77">
        <v>56852265</v>
      </c>
      <c r="BE522" s="77"/>
      <c r="BF522" s="77"/>
      <c r="BG522" s="77"/>
      <c r="BH522" s="77"/>
      <c r="BI522" s="77"/>
    </row>
    <row r="523" spans="1:61" x14ac:dyDescent="0.25">
      <c r="A523" s="62" t="s">
        <v>341</v>
      </c>
      <c r="B523" s="62" t="s">
        <v>341</v>
      </c>
      <c r="C523" s="63"/>
      <c r="D523" s="64"/>
      <c r="E523" s="65"/>
      <c r="F523" s="66"/>
      <c r="G523" s="63"/>
      <c r="H523" s="67"/>
      <c r="I523" s="68"/>
      <c r="J523" s="68"/>
      <c r="K523" s="32"/>
      <c r="L523" s="75">
        <v>523</v>
      </c>
      <c r="M523" s="75"/>
      <c r="N523" s="70"/>
      <c r="O523" s="77" t="s">
        <v>179</v>
      </c>
      <c r="P523" s="79">
        <v>45100.792592592596</v>
      </c>
      <c r="Q523" s="77" t="s">
        <v>1321</v>
      </c>
      <c r="R523" s="77">
        <v>0</v>
      </c>
      <c r="S523" s="77">
        <v>0</v>
      </c>
      <c r="T523" s="77">
        <v>0</v>
      </c>
      <c r="U523" s="77">
        <v>0</v>
      </c>
      <c r="V523" s="77">
        <v>34</v>
      </c>
      <c r="W523" s="82" t="s">
        <v>5074</v>
      </c>
      <c r="X523" s="77"/>
      <c r="Y523" s="77"/>
      <c r="Z523" s="77"/>
      <c r="AA523" s="77" t="s">
        <v>7558</v>
      </c>
      <c r="AB523" s="77" t="s">
        <v>8225</v>
      </c>
      <c r="AC523" s="82" t="s">
        <v>8254</v>
      </c>
      <c r="AD523" s="77" t="s">
        <v>8278</v>
      </c>
      <c r="AE523" s="80" t="str">
        <f>HYPERLINK("https://twitter.com/force2mv/status/1672318941262143488")</f>
        <v>https://twitter.com/force2mv/status/1672318941262143488</v>
      </c>
      <c r="AF523" s="79">
        <v>45100.792592592596</v>
      </c>
      <c r="AG523" s="85">
        <v>45100</v>
      </c>
      <c r="AH523" s="82" t="s">
        <v>8769</v>
      </c>
      <c r="AI523" s="77" t="b">
        <v>0</v>
      </c>
      <c r="AJ523" s="77"/>
      <c r="AK523" s="77"/>
      <c r="AL523" s="77"/>
      <c r="AM523" s="77"/>
      <c r="AN523" s="77"/>
      <c r="AO523" s="77"/>
      <c r="AP523" s="77"/>
      <c r="AQ523" s="77" t="s">
        <v>12443</v>
      </c>
      <c r="AR523" s="77"/>
      <c r="AS523" s="77"/>
      <c r="AT523" s="77"/>
      <c r="AU523" s="77"/>
      <c r="AV523" s="80" t="str">
        <f>HYPERLINK("https://pbs.twimg.com/media/FzVFNytWIBAxwci.png")</f>
        <v>https://pbs.twimg.com/media/FzVFNytWIBAxwci.png</v>
      </c>
      <c r="AW523" s="82" t="s">
        <v>13625</v>
      </c>
      <c r="AX523" s="82" t="s">
        <v>13625</v>
      </c>
      <c r="AY523" s="77"/>
      <c r="AZ523" s="82" t="s">
        <v>17385</v>
      </c>
      <c r="BA523" s="82" t="s">
        <v>17385</v>
      </c>
      <c r="BB523" s="82" t="s">
        <v>17385</v>
      </c>
      <c r="BC523" s="82" t="s">
        <v>13625</v>
      </c>
      <c r="BD523" s="77">
        <v>56852265</v>
      </c>
      <c r="BE523" s="77"/>
      <c r="BF523" s="77"/>
      <c r="BG523" s="77"/>
      <c r="BH523" s="77"/>
      <c r="BI523" s="77"/>
    </row>
    <row r="524" spans="1:61" x14ac:dyDescent="0.25">
      <c r="A524" s="62" t="s">
        <v>342</v>
      </c>
      <c r="B524" s="62" t="s">
        <v>744</v>
      </c>
      <c r="C524" s="63"/>
      <c r="D524" s="64"/>
      <c r="E524" s="65"/>
      <c r="F524" s="66"/>
      <c r="G524" s="63"/>
      <c r="H524" s="67"/>
      <c r="I524" s="68"/>
      <c r="J524" s="68"/>
      <c r="K524" s="32"/>
      <c r="L524" s="75">
        <v>524</v>
      </c>
      <c r="M524" s="75"/>
      <c r="N524" s="70"/>
      <c r="O524" s="77" t="s">
        <v>802</v>
      </c>
      <c r="P524" s="79">
        <v>45118.706817129627</v>
      </c>
      <c r="Q524" s="77" t="s">
        <v>1322</v>
      </c>
      <c r="R524" s="77">
        <v>0</v>
      </c>
      <c r="S524" s="77">
        <v>0</v>
      </c>
      <c r="T524" s="77">
        <v>0</v>
      </c>
      <c r="U524" s="77">
        <v>0</v>
      </c>
      <c r="V524" s="77">
        <v>49</v>
      </c>
      <c r="W524" s="82" t="s">
        <v>5075</v>
      </c>
      <c r="X524" s="80" t="str">
        <f>HYPERLINK("https://olhardigital.com.br/2022/01/19/pro/acoes-da-sony-caem-apos-microsoft-comprar-activision-blizzard/")</f>
        <v>https://olhardigital.com.br/2022/01/19/pro/acoes-da-sony-caem-apos-microsoft-comprar-activision-blizzard/</v>
      </c>
      <c r="Y524" s="77" t="s">
        <v>7053</v>
      </c>
      <c r="Z524" s="77" t="s">
        <v>744</v>
      </c>
      <c r="AA524" s="77"/>
      <c r="AB524" s="77"/>
      <c r="AC524" s="82" t="s">
        <v>8232</v>
      </c>
      <c r="AD524" s="77" t="s">
        <v>8278</v>
      </c>
      <c r="AE524" s="80" t="str">
        <f>HYPERLINK("https://twitter.com/wellington_tds/status/1678810837316665351")</f>
        <v>https://twitter.com/wellington_tds/status/1678810837316665351</v>
      </c>
      <c r="AF524" s="79">
        <v>45118.706817129627</v>
      </c>
      <c r="AG524" s="85">
        <v>45118</v>
      </c>
      <c r="AH524" s="82" t="s">
        <v>8770</v>
      </c>
      <c r="AI524" s="77" t="b">
        <v>0</v>
      </c>
      <c r="AJ524" s="77"/>
      <c r="AK524" s="77"/>
      <c r="AL524" s="77"/>
      <c r="AM524" s="77"/>
      <c r="AN524" s="77"/>
      <c r="AO524" s="77"/>
      <c r="AP524" s="77"/>
      <c r="AQ524" s="77"/>
      <c r="AR524" s="77"/>
      <c r="AS524" s="77"/>
      <c r="AT524" s="77"/>
      <c r="AU524" s="77"/>
      <c r="AV524" s="80" t="str">
        <f>HYPERLINK("https://pbs.twimg.com/profile_images/727239031914913796/ilsZ37UM_normal.jpg")</f>
        <v>https://pbs.twimg.com/profile_images/727239031914913796/ilsZ37UM_normal.jpg</v>
      </c>
      <c r="AW524" s="82" t="s">
        <v>13626</v>
      </c>
      <c r="AX524" s="82" t="s">
        <v>13626</v>
      </c>
      <c r="AY524" s="77"/>
      <c r="AZ524" s="82" t="s">
        <v>17385</v>
      </c>
      <c r="BA524" s="82" t="s">
        <v>17385</v>
      </c>
      <c r="BB524" s="82" t="s">
        <v>17385</v>
      </c>
      <c r="BC524" s="82" t="s">
        <v>13626</v>
      </c>
      <c r="BD524" s="77">
        <v>37937416</v>
      </c>
      <c r="BE524" s="77"/>
      <c r="BF524" s="77"/>
      <c r="BG524" s="77"/>
      <c r="BH524" s="77"/>
      <c r="BI524" s="77"/>
    </row>
    <row r="525" spans="1:61" x14ac:dyDescent="0.25">
      <c r="A525" s="62" t="s">
        <v>343</v>
      </c>
      <c r="B525" s="62" t="s">
        <v>343</v>
      </c>
      <c r="C525" s="63"/>
      <c r="D525" s="64"/>
      <c r="E525" s="65"/>
      <c r="F525" s="66"/>
      <c r="G525" s="63"/>
      <c r="H525" s="67"/>
      <c r="I525" s="68"/>
      <c r="J525" s="68"/>
      <c r="K525" s="32"/>
      <c r="L525" s="75">
        <v>525</v>
      </c>
      <c r="M525" s="75"/>
      <c r="N525" s="70"/>
      <c r="O525" s="77" t="s">
        <v>179</v>
      </c>
      <c r="P525" s="79">
        <v>45083.8203125</v>
      </c>
      <c r="Q525" s="77" t="s">
        <v>1323</v>
      </c>
      <c r="R525" s="77">
        <v>0</v>
      </c>
      <c r="S525" s="77">
        <v>0</v>
      </c>
      <c r="T525" s="77">
        <v>1</v>
      </c>
      <c r="U525" s="77">
        <v>0</v>
      </c>
      <c r="V525" s="77">
        <v>118</v>
      </c>
      <c r="W525" s="82" t="s">
        <v>5076</v>
      </c>
      <c r="X525" s="80" t="str">
        <f>HYPERLINK("https://www.moneytimes.com.br/coinbase-sobre-processo-da-sec-vamos-continuar-operando-como-sempre/")</f>
        <v>https://www.moneytimes.com.br/coinbase-sobre-processo-da-sec-vamos-continuar-operando-como-sempre/</v>
      </c>
      <c r="Y525" s="77" t="s">
        <v>7053</v>
      </c>
      <c r="Z525" s="77"/>
      <c r="AA525" s="77"/>
      <c r="AB525" s="77"/>
      <c r="AC525" s="82" t="s">
        <v>8255</v>
      </c>
      <c r="AD525" s="77" t="s">
        <v>8278</v>
      </c>
      <c r="AE525" s="80" t="str">
        <f>HYPERLINK("https://twitter.com/leiacryptotimes/status/1666168391772651520")</f>
        <v>https://twitter.com/leiacryptotimes/status/1666168391772651520</v>
      </c>
      <c r="AF525" s="79">
        <v>45083.8203125</v>
      </c>
      <c r="AG525" s="85">
        <v>45083</v>
      </c>
      <c r="AH525" s="82" t="s">
        <v>8771</v>
      </c>
      <c r="AI525" s="77" t="b">
        <v>0</v>
      </c>
      <c r="AJ525" s="77"/>
      <c r="AK525" s="77"/>
      <c r="AL525" s="77"/>
      <c r="AM525" s="77"/>
      <c r="AN525" s="77"/>
      <c r="AO525" s="77"/>
      <c r="AP525" s="77"/>
      <c r="AQ525" s="77"/>
      <c r="AR525" s="77"/>
      <c r="AS525" s="77"/>
      <c r="AT525" s="77"/>
      <c r="AU525" s="77"/>
      <c r="AV525" s="80" t="str">
        <f>HYPERLINK("https://pbs.twimg.com/profile_images/1273964615530053632/qHcU0VHf_normal.jpg")</f>
        <v>https://pbs.twimg.com/profile_images/1273964615530053632/qHcU0VHf_normal.jpg</v>
      </c>
      <c r="AW525" s="82" t="s">
        <v>13627</v>
      </c>
      <c r="AX525" s="82" t="s">
        <v>13627</v>
      </c>
      <c r="AY525" s="77"/>
      <c r="AZ525" s="82" t="s">
        <v>17385</v>
      </c>
      <c r="BA525" s="82" t="s">
        <v>17385</v>
      </c>
      <c r="BB525" s="82" t="s">
        <v>17385</v>
      </c>
      <c r="BC525" s="82" t="s">
        <v>13627</v>
      </c>
      <c r="BD525" s="82" t="s">
        <v>17504</v>
      </c>
      <c r="BE525" s="77"/>
      <c r="BF525" s="77"/>
      <c r="BG525" s="77"/>
      <c r="BH525" s="77"/>
      <c r="BI525" s="77"/>
    </row>
    <row r="526" spans="1:61" x14ac:dyDescent="0.25">
      <c r="A526" s="62" t="s">
        <v>343</v>
      </c>
      <c r="B526" s="62" t="s">
        <v>343</v>
      </c>
      <c r="C526" s="63"/>
      <c r="D526" s="64"/>
      <c r="E526" s="65"/>
      <c r="F526" s="66"/>
      <c r="G526" s="63"/>
      <c r="H526" s="67"/>
      <c r="I526" s="68"/>
      <c r="J526" s="68"/>
      <c r="K526" s="32"/>
      <c r="L526" s="75">
        <v>526</v>
      </c>
      <c r="M526" s="75"/>
      <c r="N526" s="70"/>
      <c r="O526" s="77" t="s">
        <v>179</v>
      </c>
      <c r="P526" s="79">
        <v>45117.772499999999</v>
      </c>
      <c r="Q526" s="77" t="s">
        <v>1324</v>
      </c>
      <c r="R526" s="77">
        <v>0</v>
      </c>
      <c r="S526" s="77">
        <v>0</v>
      </c>
      <c r="T526" s="77">
        <v>1</v>
      </c>
      <c r="U526" s="77">
        <v>0</v>
      </c>
      <c r="V526" s="77">
        <v>125</v>
      </c>
      <c r="W526" s="82" t="s">
        <v>5076</v>
      </c>
      <c r="X526" s="80" t="str">
        <f>HYPERLINK("https://www.moneytimes.com.br/quebra-da-ftx-gisele-bundchen-perdeu-r-232-milhoes-entenda/")</f>
        <v>https://www.moneytimes.com.br/quebra-da-ftx-gisele-bundchen-perdeu-r-232-milhoes-entenda/</v>
      </c>
      <c r="Y526" s="77" t="s">
        <v>7053</v>
      </c>
      <c r="Z526" s="77"/>
      <c r="AA526" s="77"/>
      <c r="AB526" s="77"/>
      <c r="AC526" s="82" t="s">
        <v>8255</v>
      </c>
      <c r="AD526" s="77" t="s">
        <v>8278</v>
      </c>
      <c r="AE526" s="80" t="str">
        <f>HYPERLINK("https://twitter.com/leiacryptotimes/status/1678472252885549056")</f>
        <v>https://twitter.com/leiacryptotimes/status/1678472252885549056</v>
      </c>
      <c r="AF526" s="79">
        <v>45117.772499999999</v>
      </c>
      <c r="AG526" s="85">
        <v>45117</v>
      </c>
      <c r="AH526" s="82" t="s">
        <v>8772</v>
      </c>
      <c r="AI526" s="77" t="b">
        <v>0</v>
      </c>
      <c r="AJ526" s="77"/>
      <c r="AK526" s="77"/>
      <c r="AL526" s="77"/>
      <c r="AM526" s="77"/>
      <c r="AN526" s="77"/>
      <c r="AO526" s="77"/>
      <c r="AP526" s="77"/>
      <c r="AQ526" s="77"/>
      <c r="AR526" s="77"/>
      <c r="AS526" s="77"/>
      <c r="AT526" s="77"/>
      <c r="AU526" s="77"/>
      <c r="AV526" s="80" t="str">
        <f>HYPERLINK("https://pbs.twimg.com/profile_images/1273964615530053632/qHcU0VHf_normal.jpg")</f>
        <v>https://pbs.twimg.com/profile_images/1273964615530053632/qHcU0VHf_normal.jpg</v>
      </c>
      <c r="AW526" s="82" t="s">
        <v>13628</v>
      </c>
      <c r="AX526" s="82" t="s">
        <v>13628</v>
      </c>
      <c r="AY526" s="77"/>
      <c r="AZ526" s="82" t="s">
        <v>17385</v>
      </c>
      <c r="BA526" s="82" t="s">
        <v>17385</v>
      </c>
      <c r="BB526" s="82" t="s">
        <v>17385</v>
      </c>
      <c r="BC526" s="82" t="s">
        <v>13628</v>
      </c>
      <c r="BD526" s="82" t="s">
        <v>17504</v>
      </c>
      <c r="BE526" s="77"/>
      <c r="BF526" s="77"/>
      <c r="BG526" s="77"/>
      <c r="BH526" s="77"/>
      <c r="BI526" s="77"/>
    </row>
    <row r="527" spans="1:61" x14ac:dyDescent="0.25">
      <c r="A527" s="62" t="s">
        <v>344</v>
      </c>
      <c r="B527" s="62" t="s">
        <v>604</v>
      </c>
      <c r="C527" s="63"/>
      <c r="D527" s="64"/>
      <c r="E527" s="65"/>
      <c r="F527" s="66"/>
      <c r="G527" s="63"/>
      <c r="H527" s="67"/>
      <c r="I527" s="68"/>
      <c r="J527" s="68"/>
      <c r="K527" s="32"/>
      <c r="L527" s="75">
        <v>527</v>
      </c>
      <c r="M527" s="75"/>
      <c r="N527" s="70"/>
      <c r="O527" s="77" t="s">
        <v>803</v>
      </c>
      <c r="P527" s="79">
        <v>45196.649548611109</v>
      </c>
      <c r="Q527" s="77" t="s">
        <v>1325</v>
      </c>
      <c r="R527" s="77">
        <v>2</v>
      </c>
      <c r="S527" s="77">
        <v>0</v>
      </c>
      <c r="T527" s="77">
        <v>0</v>
      </c>
      <c r="U527" s="77">
        <v>0</v>
      </c>
      <c r="V527" s="77"/>
      <c r="W527" s="82" t="s">
        <v>5077</v>
      </c>
      <c r="X527" s="77"/>
      <c r="Y527" s="77"/>
      <c r="Z527" s="77" t="s">
        <v>604</v>
      </c>
      <c r="AA527" s="77"/>
      <c r="AB527" s="77"/>
      <c r="AC527" s="82" t="s">
        <v>8233</v>
      </c>
      <c r="AD527" s="77" t="s">
        <v>8278</v>
      </c>
      <c r="AE527" s="80" t="str">
        <f>HYPERLINK("https://twitter.com/rodrigues590804/status/1707056337148919879")</f>
        <v>https://twitter.com/rodrigues590804/status/1707056337148919879</v>
      </c>
      <c r="AF527" s="79">
        <v>45196.649548611109</v>
      </c>
      <c r="AG527" s="85">
        <v>45196</v>
      </c>
      <c r="AH527" s="82" t="s">
        <v>8773</v>
      </c>
      <c r="AI527" s="77" t="b">
        <v>1</v>
      </c>
      <c r="AJ527" s="77"/>
      <c r="AK527" s="77"/>
      <c r="AL527" s="77"/>
      <c r="AM527" s="77"/>
      <c r="AN527" s="77"/>
      <c r="AO527" s="77"/>
      <c r="AP527" s="77"/>
      <c r="AQ527" s="77"/>
      <c r="AR527" s="77"/>
      <c r="AS527" s="77"/>
      <c r="AT527" s="77"/>
      <c r="AU527" s="77"/>
      <c r="AV527" s="80" t="str">
        <f>HYPERLINK("https://pbs.twimg.com/profile_images/1520198843496808448/I6dxdUcT_normal.png")</f>
        <v>https://pbs.twimg.com/profile_images/1520198843496808448/I6dxdUcT_normal.png</v>
      </c>
      <c r="AW527" s="82" t="s">
        <v>13629</v>
      </c>
      <c r="AX527" s="82" t="s">
        <v>13629</v>
      </c>
      <c r="AY527" s="77"/>
      <c r="AZ527" s="82" t="s">
        <v>17385</v>
      </c>
      <c r="BA527" s="82" t="s">
        <v>17385</v>
      </c>
      <c r="BB527" s="82" t="s">
        <v>15386</v>
      </c>
      <c r="BC527" s="82" t="s">
        <v>15386</v>
      </c>
      <c r="BD527" s="82" t="s">
        <v>17505</v>
      </c>
      <c r="BE527" s="77"/>
      <c r="BF527" s="77"/>
      <c r="BG527" s="77"/>
      <c r="BH527" s="77"/>
      <c r="BI527" s="77"/>
    </row>
    <row r="528" spans="1:61" x14ac:dyDescent="0.25">
      <c r="A528" s="62" t="s">
        <v>345</v>
      </c>
      <c r="B528" s="62" t="s">
        <v>345</v>
      </c>
      <c r="C528" s="63"/>
      <c r="D528" s="64"/>
      <c r="E528" s="65"/>
      <c r="F528" s="66"/>
      <c r="G528" s="63"/>
      <c r="H528" s="67"/>
      <c r="I528" s="68"/>
      <c r="J528" s="68"/>
      <c r="K528" s="32"/>
      <c r="L528" s="75">
        <v>528</v>
      </c>
      <c r="M528" s="75"/>
      <c r="N528" s="70"/>
      <c r="O528" s="77" t="s">
        <v>179</v>
      </c>
      <c r="P528" s="79">
        <v>45074.376284722224</v>
      </c>
      <c r="Q528" s="77" t="s">
        <v>1326</v>
      </c>
      <c r="R528" s="77">
        <v>0</v>
      </c>
      <c r="S528" s="77">
        <v>0</v>
      </c>
      <c r="T528" s="77">
        <v>0</v>
      </c>
      <c r="U528" s="77">
        <v>0</v>
      </c>
      <c r="V528" s="77">
        <v>14</v>
      </c>
      <c r="W528" s="82" t="s">
        <v>5078</v>
      </c>
      <c r="X528" s="80" t="str">
        <f>HYPERLINK("https://odysee.com/@contab_invest:c/barsi:4")</f>
        <v>https://odysee.com/@contab_invest:c/barsi:4</v>
      </c>
      <c r="Y528" s="77" t="s">
        <v>7086</v>
      </c>
      <c r="Z528" s="77"/>
      <c r="AA528" s="77"/>
      <c r="AB528" s="77"/>
      <c r="AC528" s="82" t="s">
        <v>8232</v>
      </c>
      <c r="AD528" s="77" t="s">
        <v>8278</v>
      </c>
      <c r="AE528" s="80" t="str">
        <f>HYPERLINK("https://twitter.com/axcrestfall/status/1662745992926576641")</f>
        <v>https://twitter.com/axcrestfall/status/1662745992926576641</v>
      </c>
      <c r="AF528" s="79">
        <v>45074.376284722224</v>
      </c>
      <c r="AG528" s="85">
        <v>45074</v>
      </c>
      <c r="AH528" s="82" t="s">
        <v>8774</v>
      </c>
      <c r="AI528" s="77" t="b">
        <v>0</v>
      </c>
      <c r="AJ528" s="77"/>
      <c r="AK528" s="77"/>
      <c r="AL528" s="77"/>
      <c r="AM528" s="77"/>
      <c r="AN528" s="77"/>
      <c r="AO528" s="77"/>
      <c r="AP528" s="77"/>
      <c r="AQ528" s="77"/>
      <c r="AR528" s="77"/>
      <c r="AS528" s="77"/>
      <c r="AT528" s="77"/>
      <c r="AU528" s="77"/>
      <c r="AV528" s="80" t="str">
        <f>HYPERLINK("https://pbs.twimg.com/profile_images/1632325316768145408/nt6F2o4Z_normal.jpg")</f>
        <v>https://pbs.twimg.com/profile_images/1632325316768145408/nt6F2o4Z_normal.jpg</v>
      </c>
      <c r="AW528" s="82" t="s">
        <v>13630</v>
      </c>
      <c r="AX528" s="82" t="s">
        <v>13630</v>
      </c>
      <c r="AY528" s="77"/>
      <c r="AZ528" s="82" t="s">
        <v>17385</v>
      </c>
      <c r="BA528" s="82" t="s">
        <v>17385</v>
      </c>
      <c r="BB528" s="82" t="s">
        <v>17385</v>
      </c>
      <c r="BC528" s="82" t="s">
        <v>13630</v>
      </c>
      <c r="BD528" s="82" t="s">
        <v>17506</v>
      </c>
      <c r="BE528" s="77"/>
      <c r="BF528" s="77"/>
      <c r="BG528" s="77"/>
      <c r="BH528" s="77"/>
      <c r="BI528" s="77"/>
    </row>
    <row r="529" spans="1:61" x14ac:dyDescent="0.25">
      <c r="A529" s="62" t="s">
        <v>346</v>
      </c>
      <c r="B529" s="62" t="s">
        <v>346</v>
      </c>
      <c r="C529" s="63"/>
      <c r="D529" s="64"/>
      <c r="E529" s="65"/>
      <c r="F529" s="66"/>
      <c r="G529" s="63"/>
      <c r="H529" s="67"/>
      <c r="I529" s="68"/>
      <c r="J529" s="68"/>
      <c r="K529" s="32"/>
      <c r="L529" s="75">
        <v>529</v>
      </c>
      <c r="M529" s="75"/>
      <c r="N529" s="70"/>
      <c r="O529" s="77" t="s">
        <v>179</v>
      </c>
      <c r="P529" s="79">
        <v>45125.998611111114</v>
      </c>
      <c r="Q529" s="77" t="s">
        <v>1327</v>
      </c>
      <c r="R529" s="77">
        <v>0</v>
      </c>
      <c r="S529" s="77">
        <v>0</v>
      </c>
      <c r="T529" s="77">
        <v>0</v>
      </c>
      <c r="U529" s="77">
        <v>0</v>
      </c>
      <c r="V529" s="77">
        <v>6</v>
      </c>
      <c r="W529" s="82" t="s">
        <v>4838</v>
      </c>
      <c r="X529" s="80" t="str">
        <f>HYPERLINK("https://bit.ly/bolsaespecula")</f>
        <v>https://bit.ly/bolsaespecula</v>
      </c>
      <c r="Y529" s="77" t="s">
        <v>7063</v>
      </c>
      <c r="Z529" s="77"/>
      <c r="AA529" s="77"/>
      <c r="AB529" s="77"/>
      <c r="AC529" s="82" t="s">
        <v>8232</v>
      </c>
      <c r="AD529" s="77" t="s">
        <v>8278</v>
      </c>
      <c r="AE529" s="80" t="str">
        <f>HYPERLINK("https://twitter.com/investedigitall/status/1681453295544434688")</f>
        <v>https://twitter.com/investedigitall/status/1681453295544434688</v>
      </c>
      <c r="AF529" s="79">
        <v>45125.998611111114</v>
      </c>
      <c r="AG529" s="85">
        <v>45125</v>
      </c>
      <c r="AH529" s="82" t="s">
        <v>8775</v>
      </c>
      <c r="AI529" s="77" t="b">
        <v>0</v>
      </c>
      <c r="AJ529" s="77"/>
      <c r="AK529" s="77"/>
      <c r="AL529" s="77"/>
      <c r="AM529" s="77"/>
      <c r="AN529" s="77"/>
      <c r="AO529" s="77"/>
      <c r="AP529" s="77"/>
      <c r="AQ529" s="77"/>
      <c r="AR529" s="77"/>
      <c r="AS529" s="77"/>
      <c r="AT529" s="77"/>
      <c r="AU529" s="77"/>
      <c r="AV529" s="80" t="str">
        <f>HYPERLINK("https://pbs.twimg.com/profile_images/1593658813252608000/iYhVTEOd_normal.jpg")</f>
        <v>https://pbs.twimg.com/profile_images/1593658813252608000/iYhVTEOd_normal.jpg</v>
      </c>
      <c r="AW529" s="82" t="s">
        <v>13631</v>
      </c>
      <c r="AX529" s="82" t="s">
        <v>13631</v>
      </c>
      <c r="AY529" s="77"/>
      <c r="AZ529" s="82" t="s">
        <v>17385</v>
      </c>
      <c r="BA529" s="82" t="s">
        <v>17385</v>
      </c>
      <c r="BB529" s="82" t="s">
        <v>17385</v>
      </c>
      <c r="BC529" s="82" t="s">
        <v>13631</v>
      </c>
      <c r="BD529" s="82" t="s">
        <v>17507</v>
      </c>
      <c r="BE529" s="77"/>
      <c r="BF529" s="77"/>
      <c r="BG529" s="77"/>
      <c r="BH529" s="77"/>
      <c r="BI529" s="77"/>
    </row>
    <row r="530" spans="1:61" x14ac:dyDescent="0.25">
      <c r="A530" s="62" t="s">
        <v>347</v>
      </c>
      <c r="B530" s="62" t="s">
        <v>347</v>
      </c>
      <c r="C530" s="63"/>
      <c r="D530" s="64"/>
      <c r="E530" s="65"/>
      <c r="F530" s="66"/>
      <c r="G530" s="63"/>
      <c r="H530" s="67"/>
      <c r="I530" s="68"/>
      <c r="J530" s="68"/>
      <c r="K530" s="32"/>
      <c r="L530" s="75">
        <v>530</v>
      </c>
      <c r="M530" s="75"/>
      <c r="N530" s="70"/>
      <c r="O530" s="77" t="s">
        <v>179</v>
      </c>
      <c r="P530" s="79">
        <v>45093.03670138889</v>
      </c>
      <c r="Q530" s="77" t="s">
        <v>1328</v>
      </c>
      <c r="R530" s="77">
        <v>0</v>
      </c>
      <c r="S530" s="77">
        <v>1</v>
      </c>
      <c r="T530" s="77">
        <v>0</v>
      </c>
      <c r="U530" s="77">
        <v>0</v>
      </c>
      <c r="V530" s="77">
        <v>271</v>
      </c>
      <c r="W530" s="82" t="s">
        <v>5079</v>
      </c>
      <c r="X530" s="77"/>
      <c r="Y530" s="77"/>
      <c r="Z530" s="77"/>
      <c r="AA530" s="77" t="s">
        <v>7559</v>
      </c>
      <c r="AB530" s="77" t="s">
        <v>8225</v>
      </c>
      <c r="AC530" s="82" t="s">
        <v>8232</v>
      </c>
      <c r="AD530" s="77" t="s">
        <v>8278</v>
      </c>
      <c r="AE530" s="80" t="str">
        <f>HYPERLINK("https://twitter.com/investidorcltt/status/1669508299002200064")</f>
        <v>https://twitter.com/investidorcltt/status/1669508299002200064</v>
      </c>
      <c r="AF530" s="79">
        <v>45093.03670138889</v>
      </c>
      <c r="AG530" s="85">
        <v>45093</v>
      </c>
      <c r="AH530" s="82" t="s">
        <v>8776</v>
      </c>
      <c r="AI530" s="77" t="b">
        <v>0</v>
      </c>
      <c r="AJ530" s="77"/>
      <c r="AK530" s="77"/>
      <c r="AL530" s="77"/>
      <c r="AM530" s="77"/>
      <c r="AN530" s="77"/>
      <c r="AO530" s="77"/>
      <c r="AP530" s="77"/>
      <c r="AQ530" s="77" t="s">
        <v>12444</v>
      </c>
      <c r="AR530" s="77"/>
      <c r="AS530" s="77"/>
      <c r="AT530" s="77"/>
      <c r="AU530" s="77"/>
      <c r="AV530" s="80" t="str">
        <f>HYPERLINK("https://pbs.twimg.com/media/FytI26OXwAANs-9.jpg")</f>
        <v>https://pbs.twimg.com/media/FytI26OXwAANs-9.jpg</v>
      </c>
      <c r="AW530" s="82" t="s">
        <v>13632</v>
      </c>
      <c r="AX530" s="82" t="s">
        <v>13632</v>
      </c>
      <c r="AY530" s="77"/>
      <c r="AZ530" s="82" t="s">
        <v>17385</v>
      </c>
      <c r="BA530" s="82" t="s">
        <v>17385</v>
      </c>
      <c r="BB530" s="82" t="s">
        <v>17385</v>
      </c>
      <c r="BC530" s="82" t="s">
        <v>13632</v>
      </c>
      <c r="BD530" s="77">
        <v>2880483634</v>
      </c>
      <c r="BE530" s="77"/>
      <c r="BF530" s="77"/>
      <c r="BG530" s="77"/>
      <c r="BH530" s="77"/>
      <c r="BI530" s="77"/>
    </row>
    <row r="531" spans="1:61" x14ac:dyDescent="0.25">
      <c r="A531" s="62" t="s">
        <v>348</v>
      </c>
      <c r="B531" s="62" t="s">
        <v>348</v>
      </c>
      <c r="C531" s="63"/>
      <c r="D531" s="64"/>
      <c r="E531" s="65"/>
      <c r="F531" s="66"/>
      <c r="G531" s="63"/>
      <c r="H531" s="67"/>
      <c r="I531" s="68"/>
      <c r="J531" s="68"/>
      <c r="K531" s="32"/>
      <c r="L531" s="75">
        <v>531</v>
      </c>
      <c r="M531" s="75"/>
      <c r="N531" s="70"/>
      <c r="O531" s="77" t="s">
        <v>179</v>
      </c>
      <c r="P531" s="79">
        <v>45167.099618055552</v>
      </c>
      <c r="Q531" s="77" t="s">
        <v>1329</v>
      </c>
      <c r="R531" s="77">
        <v>0</v>
      </c>
      <c r="S531" s="77">
        <v>0</v>
      </c>
      <c r="T531" s="77">
        <v>0</v>
      </c>
      <c r="U531" s="77">
        <v>0</v>
      </c>
      <c r="V531" s="77">
        <v>25</v>
      </c>
      <c r="W531" s="82" t="s">
        <v>5080</v>
      </c>
      <c r="X531" s="80" t="str">
        <f>HYPERLINK("http://bit.ly/EbookCaduBr")</f>
        <v>http://bit.ly/EbookCaduBr</v>
      </c>
      <c r="Y531" s="77" t="s">
        <v>7063</v>
      </c>
      <c r="Z531" s="77"/>
      <c r="AA531" s="77"/>
      <c r="AB531" s="77"/>
      <c r="AC531" s="82" t="s">
        <v>8233</v>
      </c>
      <c r="AD531" s="77" t="s">
        <v>8278</v>
      </c>
      <c r="AE531" s="80" t="str">
        <f>HYPERLINK("https://twitter.com/xcadubr/status/1696347803746726077")</f>
        <v>https://twitter.com/xcadubr/status/1696347803746726077</v>
      </c>
      <c r="AF531" s="79">
        <v>45167.099618055552</v>
      </c>
      <c r="AG531" s="85">
        <v>45167</v>
      </c>
      <c r="AH531" s="82" t="s">
        <v>8777</v>
      </c>
      <c r="AI531" s="77" t="b">
        <v>0</v>
      </c>
      <c r="AJ531" s="77"/>
      <c r="AK531" s="77"/>
      <c r="AL531" s="77"/>
      <c r="AM531" s="77"/>
      <c r="AN531" s="77"/>
      <c r="AO531" s="77"/>
      <c r="AP531" s="77"/>
      <c r="AQ531" s="77"/>
      <c r="AR531" s="77"/>
      <c r="AS531" s="77"/>
      <c r="AT531" s="77"/>
      <c r="AU531" s="77"/>
      <c r="AV531" s="80" t="str">
        <f>HYPERLINK("https://pbs.twimg.com/profile_images/1697132125126836225/ZVlONtAE_normal.jpg")</f>
        <v>https://pbs.twimg.com/profile_images/1697132125126836225/ZVlONtAE_normal.jpg</v>
      </c>
      <c r="AW531" s="82" t="s">
        <v>13633</v>
      </c>
      <c r="AX531" s="82" t="s">
        <v>13633</v>
      </c>
      <c r="AY531" s="77"/>
      <c r="AZ531" s="82" t="s">
        <v>17385</v>
      </c>
      <c r="BA531" s="82" t="s">
        <v>17385</v>
      </c>
      <c r="BB531" s="82" t="s">
        <v>17385</v>
      </c>
      <c r="BC531" s="82" t="s">
        <v>13633</v>
      </c>
      <c r="BD531" s="82" t="s">
        <v>17508</v>
      </c>
      <c r="BE531" s="77"/>
      <c r="BF531" s="77"/>
      <c r="BG531" s="77"/>
      <c r="BH531" s="77"/>
      <c r="BI531" s="77"/>
    </row>
    <row r="532" spans="1:61" x14ac:dyDescent="0.25">
      <c r="A532" s="62" t="s">
        <v>349</v>
      </c>
      <c r="B532" s="62" t="s">
        <v>349</v>
      </c>
      <c r="C532" s="63"/>
      <c r="D532" s="64"/>
      <c r="E532" s="65"/>
      <c r="F532" s="66"/>
      <c r="G532" s="63"/>
      <c r="H532" s="67"/>
      <c r="I532" s="68"/>
      <c r="J532" s="68"/>
      <c r="K532" s="32"/>
      <c r="L532" s="75">
        <v>532</v>
      </c>
      <c r="M532" s="75"/>
      <c r="N532" s="70"/>
      <c r="O532" s="77" t="s">
        <v>179</v>
      </c>
      <c r="P532" s="79">
        <v>45059.604930555557</v>
      </c>
      <c r="Q532" s="77" t="s">
        <v>1330</v>
      </c>
      <c r="R532" s="77">
        <v>0</v>
      </c>
      <c r="S532" s="77">
        <v>1</v>
      </c>
      <c r="T532" s="77">
        <v>0</v>
      </c>
      <c r="U532" s="77">
        <v>0</v>
      </c>
      <c r="V532" s="77">
        <v>47</v>
      </c>
      <c r="W532" s="82" t="s">
        <v>5081</v>
      </c>
      <c r="X532" s="77"/>
      <c r="Y532" s="77"/>
      <c r="Z532" s="77"/>
      <c r="AA532" s="77"/>
      <c r="AB532" s="77"/>
      <c r="AC532" s="82" t="s">
        <v>8233</v>
      </c>
      <c r="AD532" s="77" t="s">
        <v>8278</v>
      </c>
      <c r="AE532" s="80" t="str">
        <f>HYPERLINK("https://twitter.com/lucas_nv_cnpi/status/1657393032197468160")</f>
        <v>https://twitter.com/lucas_nv_cnpi/status/1657393032197468160</v>
      </c>
      <c r="AF532" s="79">
        <v>45059.604930555557</v>
      </c>
      <c r="AG532" s="85">
        <v>45059</v>
      </c>
      <c r="AH532" s="82" t="s">
        <v>8778</v>
      </c>
      <c r="AI532" s="77"/>
      <c r="AJ532" s="77"/>
      <c r="AK532" s="77"/>
      <c r="AL532" s="77"/>
      <c r="AM532" s="77"/>
      <c r="AN532" s="77"/>
      <c r="AO532" s="77"/>
      <c r="AP532" s="77"/>
      <c r="AQ532" s="77"/>
      <c r="AR532" s="77"/>
      <c r="AS532" s="77"/>
      <c r="AT532" s="77"/>
      <c r="AU532" s="77"/>
      <c r="AV532" s="80" t="str">
        <f>HYPERLINK("https://pbs.twimg.com/profile_images/1651935630866149376/Z7D10zcV_normal.jpg")</f>
        <v>https://pbs.twimg.com/profile_images/1651935630866149376/Z7D10zcV_normal.jpg</v>
      </c>
      <c r="AW532" s="82" t="s">
        <v>13634</v>
      </c>
      <c r="AX532" s="82" t="s">
        <v>13634</v>
      </c>
      <c r="AY532" s="77"/>
      <c r="AZ532" s="82" t="s">
        <v>17385</v>
      </c>
      <c r="BA532" s="82" t="s">
        <v>17385</v>
      </c>
      <c r="BB532" s="82" t="s">
        <v>17385</v>
      </c>
      <c r="BC532" s="82" t="s">
        <v>13634</v>
      </c>
      <c r="BD532" s="82" t="s">
        <v>17509</v>
      </c>
      <c r="BE532" s="77"/>
      <c r="BF532" s="77"/>
      <c r="BG532" s="77"/>
      <c r="BH532" s="77"/>
      <c r="BI532" s="77"/>
    </row>
    <row r="533" spans="1:61" x14ac:dyDescent="0.25">
      <c r="A533" s="62" t="s">
        <v>350</v>
      </c>
      <c r="B533" s="62" t="s">
        <v>350</v>
      </c>
      <c r="C533" s="63"/>
      <c r="D533" s="64"/>
      <c r="E533" s="65"/>
      <c r="F533" s="66"/>
      <c r="G533" s="63"/>
      <c r="H533" s="67"/>
      <c r="I533" s="68"/>
      <c r="J533" s="68"/>
      <c r="K533" s="32"/>
      <c r="L533" s="75">
        <v>533</v>
      </c>
      <c r="M533" s="75"/>
      <c r="N533" s="70"/>
      <c r="O533" s="77" t="s">
        <v>179</v>
      </c>
      <c r="P533" s="79">
        <v>45159.796284722222</v>
      </c>
      <c r="Q533" s="77" t="s">
        <v>1331</v>
      </c>
      <c r="R533" s="77">
        <v>0</v>
      </c>
      <c r="S533" s="77">
        <v>0</v>
      </c>
      <c r="T533" s="77">
        <v>0</v>
      </c>
      <c r="U533" s="77">
        <v>0</v>
      </c>
      <c r="V533" s="77">
        <v>33</v>
      </c>
      <c r="W533" s="82" t="s">
        <v>5082</v>
      </c>
      <c r="X533" s="77"/>
      <c r="Y533" s="77"/>
      <c r="Z533" s="77"/>
      <c r="AA533" s="77"/>
      <c r="AB533" s="77"/>
      <c r="AC533" s="82" t="s">
        <v>8234</v>
      </c>
      <c r="AD533" s="77" t="s">
        <v>8278</v>
      </c>
      <c r="AE533" s="80" t="str">
        <f>HYPERLINK("https://twitter.com/ericacamposmar1/status/1693701165123260709")</f>
        <v>https://twitter.com/ericacamposmar1/status/1693701165123260709</v>
      </c>
      <c r="AF533" s="79">
        <v>45159.796284722222</v>
      </c>
      <c r="AG533" s="85">
        <v>45159</v>
      </c>
      <c r="AH533" s="82" t="s">
        <v>8779</v>
      </c>
      <c r="AI533" s="77"/>
      <c r="AJ533" s="77"/>
      <c r="AK533" s="77"/>
      <c r="AL533" s="77"/>
      <c r="AM533" s="77"/>
      <c r="AN533" s="77"/>
      <c r="AO533" s="77"/>
      <c r="AP533" s="77"/>
      <c r="AQ533" s="77"/>
      <c r="AR533" s="77"/>
      <c r="AS533" s="77"/>
      <c r="AT533" s="77"/>
      <c r="AU533" s="77"/>
      <c r="AV533" s="80" t="str">
        <f>HYPERLINK("https://pbs.twimg.com/profile_images/1700503403216932864/0aOr7uVL_normal.jpg")</f>
        <v>https://pbs.twimg.com/profile_images/1700503403216932864/0aOr7uVL_normal.jpg</v>
      </c>
      <c r="AW533" s="82" t="s">
        <v>13635</v>
      </c>
      <c r="AX533" s="82" t="s">
        <v>13635</v>
      </c>
      <c r="AY533" s="77"/>
      <c r="AZ533" s="82" t="s">
        <v>17385</v>
      </c>
      <c r="BA533" s="82" t="s">
        <v>17385</v>
      </c>
      <c r="BB533" s="82" t="s">
        <v>17385</v>
      </c>
      <c r="BC533" s="82" t="s">
        <v>13635</v>
      </c>
      <c r="BD533" s="77">
        <v>958437799</v>
      </c>
      <c r="BE533" s="77"/>
      <c r="BF533" s="77"/>
      <c r="BG533" s="77"/>
      <c r="BH533" s="77"/>
      <c r="BI533" s="77"/>
    </row>
    <row r="534" spans="1:61" x14ac:dyDescent="0.25">
      <c r="A534" s="62" t="s">
        <v>351</v>
      </c>
      <c r="B534" s="62" t="s">
        <v>351</v>
      </c>
      <c r="C534" s="63"/>
      <c r="D534" s="64"/>
      <c r="E534" s="65"/>
      <c r="F534" s="66"/>
      <c r="G534" s="63"/>
      <c r="H534" s="67"/>
      <c r="I534" s="68"/>
      <c r="J534" s="68"/>
      <c r="K534" s="32"/>
      <c r="L534" s="75">
        <v>534</v>
      </c>
      <c r="M534" s="75"/>
      <c r="N534" s="70"/>
      <c r="O534" s="77" t="s">
        <v>179</v>
      </c>
      <c r="P534" s="79">
        <v>45057.70884259259</v>
      </c>
      <c r="Q534" s="77" t="s">
        <v>1332</v>
      </c>
      <c r="R534" s="77">
        <v>0</v>
      </c>
      <c r="S534" s="77">
        <v>0</v>
      </c>
      <c r="T534" s="77">
        <v>0</v>
      </c>
      <c r="U534" s="77">
        <v>0</v>
      </c>
      <c r="V534" s="77">
        <v>19</v>
      </c>
      <c r="W534" s="82" t="s">
        <v>5083</v>
      </c>
      <c r="X534" s="77"/>
      <c r="Y534" s="77"/>
      <c r="Z534" s="77"/>
      <c r="AA534" s="77" t="s">
        <v>7560</v>
      </c>
      <c r="AB534" s="77" t="s">
        <v>8229</v>
      </c>
      <c r="AC534" s="82" t="s">
        <v>8235</v>
      </c>
      <c r="AD534" s="77" t="s">
        <v>8278</v>
      </c>
      <c r="AE534" s="80" t="str">
        <f>HYPERLINK("https://twitter.com/exito_oficial/status/1656705911858118670")</f>
        <v>https://twitter.com/exito_oficial/status/1656705911858118670</v>
      </c>
      <c r="AF534" s="79">
        <v>45057.70884259259</v>
      </c>
      <c r="AG534" s="85">
        <v>45057</v>
      </c>
      <c r="AH534" s="82" t="s">
        <v>8780</v>
      </c>
      <c r="AI534" s="77" t="b">
        <v>0</v>
      </c>
      <c r="AJ534" s="77"/>
      <c r="AK534" s="77"/>
      <c r="AL534" s="77"/>
      <c r="AM534" s="77"/>
      <c r="AN534" s="77"/>
      <c r="AO534" s="77"/>
      <c r="AP534" s="77"/>
      <c r="AQ534" s="77" t="s">
        <v>12445</v>
      </c>
      <c r="AR534" s="77"/>
      <c r="AS534" s="77"/>
      <c r="AT534" s="77"/>
      <c r="AU534" s="77"/>
      <c r="AV534" s="80" t="str">
        <f>HYPERLINK("https://pbs.twimg.com/media/Fv3NPzaXwBAD78Y.jpg")</f>
        <v>https://pbs.twimg.com/media/Fv3NPzaXwBAD78Y.jpg</v>
      </c>
      <c r="AW534" s="82" t="s">
        <v>13636</v>
      </c>
      <c r="AX534" s="82" t="s">
        <v>13636</v>
      </c>
      <c r="AY534" s="77"/>
      <c r="AZ534" s="82" t="s">
        <v>17385</v>
      </c>
      <c r="BA534" s="82" t="s">
        <v>17385</v>
      </c>
      <c r="BB534" s="82" t="s">
        <v>17385</v>
      </c>
      <c r="BC534" s="82" t="s">
        <v>13636</v>
      </c>
      <c r="BD534" s="82" t="s">
        <v>17510</v>
      </c>
      <c r="BE534" s="77"/>
      <c r="BF534" s="77"/>
      <c r="BG534" s="77"/>
      <c r="BH534" s="77"/>
      <c r="BI534" s="77"/>
    </row>
    <row r="535" spans="1:61" x14ac:dyDescent="0.25">
      <c r="A535" s="62" t="s">
        <v>352</v>
      </c>
      <c r="B535" s="62" t="s">
        <v>352</v>
      </c>
      <c r="C535" s="63"/>
      <c r="D535" s="64"/>
      <c r="E535" s="65"/>
      <c r="F535" s="66"/>
      <c r="G535" s="63"/>
      <c r="H535" s="67"/>
      <c r="I535" s="68"/>
      <c r="J535" s="68"/>
      <c r="K535" s="32"/>
      <c r="L535" s="75">
        <v>535</v>
      </c>
      <c r="M535" s="75"/>
      <c r="N535" s="70"/>
      <c r="O535" s="77" t="s">
        <v>800</v>
      </c>
      <c r="P535" s="79">
        <v>45126.971261574072</v>
      </c>
      <c r="Q535" s="77" t="s">
        <v>1333</v>
      </c>
      <c r="R535" s="77">
        <v>0</v>
      </c>
      <c r="S535" s="77">
        <v>2</v>
      </c>
      <c r="T535" s="77">
        <v>1</v>
      </c>
      <c r="U535" s="77">
        <v>0</v>
      </c>
      <c r="V535" s="77">
        <v>34</v>
      </c>
      <c r="W535" s="82" t="s">
        <v>5084</v>
      </c>
      <c r="X535" s="77"/>
      <c r="Y535" s="77"/>
      <c r="Z535" s="77"/>
      <c r="AA535" s="77"/>
      <c r="AB535" s="77"/>
      <c r="AC535" s="82" t="s">
        <v>8232</v>
      </c>
      <c r="AD535" s="77" t="s">
        <v>8278</v>
      </c>
      <c r="AE535" s="80" t="str">
        <f>HYPERLINK("https://twitter.com/sindifisconac/status/1681805774429749249")</f>
        <v>https://twitter.com/sindifisconac/status/1681805774429749249</v>
      </c>
      <c r="AF535" s="79">
        <v>45126.971261574072</v>
      </c>
      <c r="AG535" s="85">
        <v>45126</v>
      </c>
      <c r="AH535" s="82" t="s">
        <v>8781</v>
      </c>
      <c r="AI535" s="77"/>
      <c r="AJ535" s="77"/>
      <c r="AK535" s="77"/>
      <c r="AL535" s="77"/>
      <c r="AM535" s="77"/>
      <c r="AN535" s="77"/>
      <c r="AO535" s="77"/>
      <c r="AP535" s="77"/>
      <c r="AQ535" s="77"/>
      <c r="AR535" s="77"/>
      <c r="AS535" s="77"/>
      <c r="AT535" s="77"/>
      <c r="AU535" s="77"/>
      <c r="AV535" s="80" t="str">
        <f>HYPERLINK("https://pbs.twimg.com/profile_images/1603003805867671553/D4TZ-xO2_normal.jpg")</f>
        <v>https://pbs.twimg.com/profile_images/1603003805867671553/D4TZ-xO2_normal.jpg</v>
      </c>
      <c r="AW535" s="82" t="s">
        <v>13637</v>
      </c>
      <c r="AX535" s="82" t="s">
        <v>17157</v>
      </c>
      <c r="AY535" s="82" t="s">
        <v>17331</v>
      </c>
      <c r="AZ535" s="82" t="s">
        <v>17397</v>
      </c>
      <c r="BA535" s="82" t="s">
        <v>17385</v>
      </c>
      <c r="BB535" s="82" t="s">
        <v>17385</v>
      </c>
      <c r="BC535" s="82" t="s">
        <v>17397</v>
      </c>
      <c r="BD535" s="77">
        <v>340534433</v>
      </c>
      <c r="BE535" s="77"/>
      <c r="BF535" s="77"/>
      <c r="BG535" s="77"/>
      <c r="BH535" s="77"/>
      <c r="BI535" s="77"/>
    </row>
    <row r="536" spans="1:61" x14ac:dyDescent="0.25">
      <c r="A536" s="62" t="s">
        <v>353</v>
      </c>
      <c r="B536" s="62" t="s">
        <v>745</v>
      </c>
      <c r="C536" s="63"/>
      <c r="D536" s="64"/>
      <c r="E536" s="65"/>
      <c r="F536" s="66"/>
      <c r="G536" s="63"/>
      <c r="H536" s="67"/>
      <c r="I536" s="68"/>
      <c r="J536" s="68"/>
      <c r="K536" s="32"/>
      <c r="L536" s="75">
        <v>536</v>
      </c>
      <c r="M536" s="75"/>
      <c r="N536" s="70"/>
      <c r="O536" s="77" t="s">
        <v>805</v>
      </c>
      <c r="P536" s="79">
        <v>45132.984386574077</v>
      </c>
      <c r="Q536" s="77" t="s">
        <v>1334</v>
      </c>
      <c r="R536" s="77">
        <v>1</v>
      </c>
      <c r="S536" s="77">
        <v>1</v>
      </c>
      <c r="T536" s="77">
        <v>1</v>
      </c>
      <c r="U536" s="77">
        <v>0</v>
      </c>
      <c r="V536" s="77">
        <v>15</v>
      </c>
      <c r="W536" s="82" t="s">
        <v>5085</v>
      </c>
      <c r="X536" s="77"/>
      <c r="Y536" s="77"/>
      <c r="Z536" s="77" t="s">
        <v>7155</v>
      </c>
      <c r="AA536" s="77"/>
      <c r="AB536" s="77"/>
      <c r="AC536" s="82" t="s">
        <v>8234</v>
      </c>
      <c r="AD536" s="77" t="s">
        <v>8278</v>
      </c>
      <c r="AE536" s="80" t="str">
        <f>HYPERLINK("https://twitter.com/flordeserto/status/1683984858366853120")</f>
        <v>https://twitter.com/flordeserto/status/1683984858366853120</v>
      </c>
      <c r="AF536" s="79">
        <v>45132.984386574077</v>
      </c>
      <c r="AG536" s="85">
        <v>45132</v>
      </c>
      <c r="AH536" s="82" t="s">
        <v>8782</v>
      </c>
      <c r="AI536" s="77"/>
      <c r="AJ536" s="77"/>
      <c r="AK536" s="77"/>
      <c r="AL536" s="77"/>
      <c r="AM536" s="77"/>
      <c r="AN536" s="77"/>
      <c r="AO536" s="77"/>
      <c r="AP536" s="77"/>
      <c r="AQ536" s="77"/>
      <c r="AR536" s="77"/>
      <c r="AS536" s="77"/>
      <c r="AT536" s="77"/>
      <c r="AU536" s="77"/>
      <c r="AV536" s="80" t="str">
        <f>HYPERLINK("https://pbs.twimg.com/profile_images/1161019170923909126/UP4t8uo-_normal.jpg")</f>
        <v>https://pbs.twimg.com/profile_images/1161019170923909126/UP4t8uo-_normal.jpg</v>
      </c>
      <c r="AW536" s="82" t="s">
        <v>13638</v>
      </c>
      <c r="AX536" s="82" t="s">
        <v>17158</v>
      </c>
      <c r="AY536" s="82" t="s">
        <v>17332</v>
      </c>
      <c r="AZ536" s="82" t="s">
        <v>17398</v>
      </c>
      <c r="BA536" s="82" t="s">
        <v>17385</v>
      </c>
      <c r="BB536" s="82" t="s">
        <v>17385</v>
      </c>
      <c r="BC536" s="82" t="s">
        <v>17398</v>
      </c>
      <c r="BD536" s="77">
        <v>137911945</v>
      </c>
      <c r="BE536" s="77"/>
      <c r="BF536" s="77"/>
      <c r="BG536" s="77"/>
      <c r="BH536" s="77"/>
      <c r="BI536" s="77"/>
    </row>
    <row r="537" spans="1:61" x14ac:dyDescent="0.25">
      <c r="A537" s="62" t="s">
        <v>353</v>
      </c>
      <c r="B537" s="62" t="s">
        <v>353</v>
      </c>
      <c r="C537" s="63"/>
      <c r="D537" s="64"/>
      <c r="E537" s="65"/>
      <c r="F537" s="66"/>
      <c r="G537" s="63"/>
      <c r="H537" s="67"/>
      <c r="I537" s="68"/>
      <c r="J537" s="68"/>
      <c r="K537" s="32"/>
      <c r="L537" s="75">
        <v>537</v>
      </c>
      <c r="M537" s="75"/>
      <c r="N537" s="70"/>
      <c r="O537" s="77" t="s">
        <v>800</v>
      </c>
      <c r="P537" s="79">
        <v>45080.228425925925</v>
      </c>
      <c r="Q537" s="77" t="s">
        <v>1335</v>
      </c>
      <c r="R537" s="77">
        <v>1</v>
      </c>
      <c r="S537" s="77">
        <v>1</v>
      </c>
      <c r="T537" s="77">
        <v>1</v>
      </c>
      <c r="U537" s="77">
        <v>0</v>
      </c>
      <c r="V537" s="77">
        <v>27</v>
      </c>
      <c r="W537" s="82" t="s">
        <v>5086</v>
      </c>
      <c r="X537" s="77"/>
      <c r="Y537" s="77"/>
      <c r="Z537" s="77"/>
      <c r="AA537" s="77"/>
      <c r="AB537" s="77"/>
      <c r="AC537" s="82" t="s">
        <v>8234</v>
      </c>
      <c r="AD537" s="77" t="s">
        <v>8278</v>
      </c>
      <c r="AE537" s="80" t="str">
        <f>HYPERLINK("https://twitter.com/flordeserto/status/1664866738360418305")</f>
        <v>https://twitter.com/flordeserto/status/1664866738360418305</v>
      </c>
      <c r="AF537" s="79">
        <v>45080.228425925925</v>
      </c>
      <c r="AG537" s="85">
        <v>45080</v>
      </c>
      <c r="AH537" s="82" t="s">
        <v>8783</v>
      </c>
      <c r="AI537" s="77"/>
      <c r="AJ537" s="77"/>
      <c r="AK537" s="77"/>
      <c r="AL537" s="77"/>
      <c r="AM537" s="77"/>
      <c r="AN537" s="77"/>
      <c r="AO537" s="77"/>
      <c r="AP537" s="77"/>
      <c r="AQ537" s="77"/>
      <c r="AR537" s="77"/>
      <c r="AS537" s="77"/>
      <c r="AT537" s="77"/>
      <c r="AU537" s="77"/>
      <c r="AV537" s="80" t="str">
        <f>HYPERLINK("https://pbs.twimg.com/profile_images/1161019170923909126/UP4t8uo-_normal.jpg")</f>
        <v>https://pbs.twimg.com/profile_images/1161019170923909126/UP4t8uo-_normal.jpg</v>
      </c>
      <c r="AW537" s="82" t="s">
        <v>13639</v>
      </c>
      <c r="AX537" s="82" t="s">
        <v>17159</v>
      </c>
      <c r="AY537" s="82" t="s">
        <v>17332</v>
      </c>
      <c r="AZ537" s="82" t="s">
        <v>17399</v>
      </c>
      <c r="BA537" s="82" t="s">
        <v>17385</v>
      </c>
      <c r="BB537" s="82" t="s">
        <v>17385</v>
      </c>
      <c r="BC537" s="82" t="s">
        <v>17399</v>
      </c>
      <c r="BD537" s="77">
        <v>137911945</v>
      </c>
      <c r="BE537" s="77"/>
      <c r="BF537" s="77"/>
      <c r="BG537" s="77"/>
      <c r="BH537" s="77"/>
      <c r="BI537" s="77"/>
    </row>
    <row r="538" spans="1:61" x14ac:dyDescent="0.25">
      <c r="A538" s="62" t="s">
        <v>353</v>
      </c>
      <c r="B538" s="62" t="s">
        <v>353</v>
      </c>
      <c r="C538" s="63"/>
      <c r="D538" s="64"/>
      <c r="E538" s="65"/>
      <c r="F538" s="66"/>
      <c r="G538" s="63"/>
      <c r="H538" s="67"/>
      <c r="I538" s="68"/>
      <c r="J538" s="68"/>
      <c r="K538" s="32"/>
      <c r="L538" s="75">
        <v>538</v>
      </c>
      <c r="M538" s="75"/>
      <c r="N538" s="70"/>
      <c r="O538" s="77" t="s">
        <v>800</v>
      </c>
      <c r="P538" s="79">
        <v>45077.860405092593</v>
      </c>
      <c r="Q538" s="77" t="s">
        <v>1336</v>
      </c>
      <c r="R538" s="77">
        <v>1</v>
      </c>
      <c r="S538" s="77">
        <v>1</v>
      </c>
      <c r="T538" s="77">
        <v>0</v>
      </c>
      <c r="U538" s="77">
        <v>0</v>
      </c>
      <c r="V538" s="77">
        <v>18</v>
      </c>
      <c r="W538" s="82" t="s">
        <v>5087</v>
      </c>
      <c r="X538" s="80" t="str">
        <f>HYPERLINK("https://bncamazonas.com.br/eleicoes-2022/deputados-bolsonaristas-eleitos-justica-eleitoral/")</f>
        <v>https://bncamazonas.com.br/eleicoes-2022/deputados-bolsonaristas-eleitos-justica-eleitoral/</v>
      </c>
      <c r="Y538" s="77" t="s">
        <v>7053</v>
      </c>
      <c r="Z538" s="77"/>
      <c r="AA538" s="77"/>
      <c r="AB538" s="77"/>
      <c r="AC538" s="82" t="s">
        <v>8234</v>
      </c>
      <c r="AD538" s="77" t="s">
        <v>8278</v>
      </c>
      <c r="AE538" s="80" t="str">
        <f>HYPERLINK("https://twitter.com/flordeserto/status/1664008594084315136")</f>
        <v>https://twitter.com/flordeserto/status/1664008594084315136</v>
      </c>
      <c r="AF538" s="79">
        <v>45077.860405092593</v>
      </c>
      <c r="AG538" s="85">
        <v>45077</v>
      </c>
      <c r="AH538" s="82" t="s">
        <v>8784</v>
      </c>
      <c r="AI538" s="77" t="b">
        <v>0</v>
      </c>
      <c r="AJ538" s="77"/>
      <c r="AK538" s="77"/>
      <c r="AL538" s="77"/>
      <c r="AM538" s="77"/>
      <c r="AN538" s="77"/>
      <c r="AO538" s="77"/>
      <c r="AP538" s="77"/>
      <c r="AQ538" s="77"/>
      <c r="AR538" s="77"/>
      <c r="AS538" s="77"/>
      <c r="AT538" s="77"/>
      <c r="AU538" s="77"/>
      <c r="AV538" s="80" t="str">
        <f>HYPERLINK("https://pbs.twimg.com/profile_images/1161019170923909126/UP4t8uo-_normal.jpg")</f>
        <v>https://pbs.twimg.com/profile_images/1161019170923909126/UP4t8uo-_normal.jpg</v>
      </c>
      <c r="AW538" s="82" t="s">
        <v>13640</v>
      </c>
      <c r="AX538" s="82" t="s">
        <v>17160</v>
      </c>
      <c r="AY538" s="82" t="s">
        <v>17332</v>
      </c>
      <c r="AZ538" s="82" t="s">
        <v>17160</v>
      </c>
      <c r="BA538" s="82" t="s">
        <v>17385</v>
      </c>
      <c r="BB538" s="82" t="s">
        <v>17385</v>
      </c>
      <c r="BC538" s="82" t="s">
        <v>17160</v>
      </c>
      <c r="BD538" s="77">
        <v>137911945</v>
      </c>
      <c r="BE538" s="77"/>
      <c r="BF538" s="77"/>
      <c r="BG538" s="77"/>
      <c r="BH538" s="77"/>
      <c r="BI538" s="77"/>
    </row>
    <row r="539" spans="1:61" x14ac:dyDescent="0.25">
      <c r="A539" s="62" t="s">
        <v>353</v>
      </c>
      <c r="B539" s="62" t="s">
        <v>353</v>
      </c>
      <c r="C539" s="63"/>
      <c r="D539" s="64"/>
      <c r="E539" s="65"/>
      <c r="F539" s="66"/>
      <c r="G539" s="63"/>
      <c r="H539" s="67"/>
      <c r="I539" s="68"/>
      <c r="J539" s="68"/>
      <c r="K539" s="32"/>
      <c r="L539" s="75">
        <v>539</v>
      </c>
      <c r="M539" s="75"/>
      <c r="N539" s="70"/>
      <c r="O539" s="77" t="s">
        <v>800</v>
      </c>
      <c r="P539" s="79">
        <v>45132.984386574077</v>
      </c>
      <c r="Q539" s="77" t="s">
        <v>1334</v>
      </c>
      <c r="R539" s="77">
        <v>1</v>
      </c>
      <c r="S539" s="77">
        <v>1</v>
      </c>
      <c r="T539" s="77">
        <v>1</v>
      </c>
      <c r="U539" s="77">
        <v>0</v>
      </c>
      <c r="V539" s="77">
        <v>15</v>
      </c>
      <c r="W539" s="82" t="s">
        <v>5085</v>
      </c>
      <c r="X539" s="77"/>
      <c r="Y539" s="77"/>
      <c r="Z539" s="77" t="s">
        <v>7155</v>
      </c>
      <c r="AA539" s="77"/>
      <c r="AB539" s="77"/>
      <c r="AC539" s="82" t="s">
        <v>8234</v>
      </c>
      <c r="AD539" s="77" t="s">
        <v>8278</v>
      </c>
      <c r="AE539" s="80" t="str">
        <f>HYPERLINK("https://twitter.com/flordeserto/status/1683984858366853120")</f>
        <v>https://twitter.com/flordeserto/status/1683984858366853120</v>
      </c>
      <c r="AF539" s="79">
        <v>45132.984386574077</v>
      </c>
      <c r="AG539" s="85">
        <v>45132</v>
      </c>
      <c r="AH539" s="82" t="s">
        <v>8782</v>
      </c>
      <c r="AI539" s="77"/>
      <c r="AJ539" s="77"/>
      <c r="AK539" s="77"/>
      <c r="AL539" s="77"/>
      <c r="AM539" s="77"/>
      <c r="AN539" s="77"/>
      <c r="AO539" s="77"/>
      <c r="AP539" s="77"/>
      <c r="AQ539" s="77"/>
      <c r="AR539" s="77"/>
      <c r="AS539" s="77"/>
      <c r="AT539" s="77"/>
      <c r="AU539" s="77"/>
      <c r="AV539" s="80" t="str">
        <f>HYPERLINK("https://pbs.twimg.com/profile_images/1161019170923909126/UP4t8uo-_normal.jpg")</f>
        <v>https://pbs.twimg.com/profile_images/1161019170923909126/UP4t8uo-_normal.jpg</v>
      </c>
      <c r="AW539" s="82" t="s">
        <v>13638</v>
      </c>
      <c r="AX539" s="82" t="s">
        <v>17158</v>
      </c>
      <c r="AY539" s="82" t="s">
        <v>17332</v>
      </c>
      <c r="AZ539" s="82" t="s">
        <v>17398</v>
      </c>
      <c r="BA539" s="82" t="s">
        <v>17385</v>
      </c>
      <c r="BB539" s="82" t="s">
        <v>17385</v>
      </c>
      <c r="BC539" s="82" t="s">
        <v>17398</v>
      </c>
      <c r="BD539" s="77">
        <v>137911945</v>
      </c>
      <c r="BE539" s="77"/>
      <c r="BF539" s="77"/>
      <c r="BG539" s="77"/>
      <c r="BH539" s="77"/>
      <c r="BI539" s="77"/>
    </row>
    <row r="540" spans="1:61" x14ac:dyDescent="0.25">
      <c r="A540" s="62" t="s">
        <v>354</v>
      </c>
      <c r="B540" s="62" t="s">
        <v>354</v>
      </c>
      <c r="C540" s="63"/>
      <c r="D540" s="64"/>
      <c r="E540" s="65"/>
      <c r="F540" s="66"/>
      <c r="G540" s="63"/>
      <c r="H540" s="67"/>
      <c r="I540" s="68"/>
      <c r="J540" s="68"/>
      <c r="K540" s="32"/>
      <c r="L540" s="75">
        <v>540</v>
      </c>
      <c r="M540" s="75"/>
      <c r="N540" s="70"/>
      <c r="O540" s="77" t="s">
        <v>179</v>
      </c>
      <c r="P540" s="79">
        <v>45055.940208333333</v>
      </c>
      <c r="Q540" s="77" t="s">
        <v>1337</v>
      </c>
      <c r="R540" s="77">
        <v>0</v>
      </c>
      <c r="S540" s="77">
        <v>1</v>
      </c>
      <c r="T540" s="77">
        <v>0</v>
      </c>
      <c r="U540" s="77">
        <v>0</v>
      </c>
      <c r="V540" s="77">
        <v>559</v>
      </c>
      <c r="W540" s="82" t="s">
        <v>5088</v>
      </c>
      <c r="X540" s="80" t="str">
        <f>HYPERLINK("https://www.istoedinheiro.com.br/ibovespa-engata-4a-alta/")</f>
        <v>https://www.istoedinheiro.com.br/ibovespa-engata-4a-alta/</v>
      </c>
      <c r="Y540" s="77" t="s">
        <v>7053</v>
      </c>
      <c r="Z540" s="77"/>
      <c r="AA540" s="77"/>
      <c r="AB540" s="77"/>
      <c r="AC540" s="82" t="s">
        <v>8232</v>
      </c>
      <c r="AD540" s="77" t="s">
        <v>8278</v>
      </c>
      <c r="AE540" s="80" t="str">
        <f>HYPERLINK("https://twitter.com/istoe_dinheiro/status/1656064980268072961")</f>
        <v>https://twitter.com/istoe_dinheiro/status/1656064980268072961</v>
      </c>
      <c r="AF540" s="79">
        <v>45055.940208333333</v>
      </c>
      <c r="AG540" s="85">
        <v>45055</v>
      </c>
      <c r="AH540" s="82" t="s">
        <v>8785</v>
      </c>
      <c r="AI540" s="77" t="b">
        <v>0</v>
      </c>
      <c r="AJ540" s="77"/>
      <c r="AK540" s="77"/>
      <c r="AL540" s="77"/>
      <c r="AM540" s="77"/>
      <c r="AN540" s="77"/>
      <c r="AO540" s="77"/>
      <c r="AP540" s="77"/>
      <c r="AQ540" s="77"/>
      <c r="AR540" s="77"/>
      <c r="AS540" s="77"/>
      <c r="AT540" s="77"/>
      <c r="AU540" s="77"/>
      <c r="AV540" s="80" t="str">
        <f>HYPERLINK("https://pbs.twimg.com/profile_images/1452670514074427395/DnGxS0l7_normal.jpg")</f>
        <v>https://pbs.twimg.com/profile_images/1452670514074427395/DnGxS0l7_normal.jpg</v>
      </c>
      <c r="AW540" s="82" t="s">
        <v>13641</v>
      </c>
      <c r="AX540" s="82" t="s">
        <v>13641</v>
      </c>
      <c r="AY540" s="77"/>
      <c r="AZ540" s="82" t="s">
        <v>17385</v>
      </c>
      <c r="BA540" s="82" t="s">
        <v>17385</v>
      </c>
      <c r="BB540" s="82" t="s">
        <v>17385</v>
      </c>
      <c r="BC540" s="82" t="s">
        <v>13641</v>
      </c>
      <c r="BD540" s="77">
        <v>42962996</v>
      </c>
      <c r="BE540" s="77"/>
      <c r="BF540" s="77"/>
      <c r="BG540" s="77"/>
      <c r="BH540" s="77"/>
      <c r="BI540" s="77"/>
    </row>
    <row r="541" spans="1:61" x14ac:dyDescent="0.25">
      <c r="A541" s="62" t="s">
        <v>354</v>
      </c>
      <c r="B541" s="62" t="s">
        <v>354</v>
      </c>
      <c r="C541" s="63"/>
      <c r="D541" s="64"/>
      <c r="E541" s="65"/>
      <c r="F541" s="66"/>
      <c r="G541" s="63"/>
      <c r="H541" s="67"/>
      <c r="I541" s="68"/>
      <c r="J541" s="68"/>
      <c r="K541" s="32"/>
      <c r="L541" s="75">
        <v>541</v>
      </c>
      <c r="M541" s="75"/>
      <c r="N541" s="70"/>
      <c r="O541" s="77" t="s">
        <v>179</v>
      </c>
      <c r="P541" s="79">
        <v>45050.878159722219</v>
      </c>
      <c r="Q541" s="77" t="s">
        <v>1338</v>
      </c>
      <c r="R541" s="77">
        <v>0</v>
      </c>
      <c r="S541" s="77">
        <v>1</v>
      </c>
      <c r="T541" s="77">
        <v>1</v>
      </c>
      <c r="U541" s="77">
        <v>0</v>
      </c>
      <c r="V541" s="77">
        <v>355</v>
      </c>
      <c r="W541" s="82" t="s">
        <v>5089</v>
      </c>
      <c r="X541" s="80" t="str">
        <f>HYPERLINK("https://www.istoedinheiro.com.br/ibovespa-fecha-em-alta-123/")</f>
        <v>https://www.istoedinheiro.com.br/ibovespa-fecha-em-alta-123/</v>
      </c>
      <c r="Y541" s="77" t="s">
        <v>7053</v>
      </c>
      <c r="Z541" s="77"/>
      <c r="AA541" s="77"/>
      <c r="AB541" s="77"/>
      <c r="AC541" s="82" t="s">
        <v>8232</v>
      </c>
      <c r="AD541" s="77" t="s">
        <v>8278</v>
      </c>
      <c r="AE541" s="80" t="str">
        <f>HYPERLINK("https://twitter.com/istoe_dinheiro/status/1654230556027019272")</f>
        <v>https://twitter.com/istoe_dinheiro/status/1654230556027019272</v>
      </c>
      <c r="AF541" s="79">
        <v>45050.878159722219</v>
      </c>
      <c r="AG541" s="85">
        <v>45050</v>
      </c>
      <c r="AH541" s="82" t="s">
        <v>8786</v>
      </c>
      <c r="AI541" s="77" t="b">
        <v>0</v>
      </c>
      <c r="AJ541" s="77"/>
      <c r="AK541" s="77"/>
      <c r="AL541" s="77"/>
      <c r="AM541" s="77"/>
      <c r="AN541" s="77"/>
      <c r="AO541" s="77"/>
      <c r="AP541" s="77"/>
      <c r="AQ541" s="77"/>
      <c r="AR541" s="77"/>
      <c r="AS541" s="77"/>
      <c r="AT541" s="77"/>
      <c r="AU541" s="77"/>
      <c r="AV541" s="80" t="str">
        <f>HYPERLINK("https://pbs.twimg.com/profile_images/1452670514074427395/DnGxS0l7_normal.jpg")</f>
        <v>https://pbs.twimg.com/profile_images/1452670514074427395/DnGxS0l7_normal.jpg</v>
      </c>
      <c r="AW541" s="82" t="s">
        <v>13642</v>
      </c>
      <c r="AX541" s="82" t="s">
        <v>13642</v>
      </c>
      <c r="AY541" s="77"/>
      <c r="AZ541" s="82" t="s">
        <v>17385</v>
      </c>
      <c r="BA541" s="82" t="s">
        <v>17385</v>
      </c>
      <c r="BB541" s="82" t="s">
        <v>17385</v>
      </c>
      <c r="BC541" s="82" t="s">
        <v>13642</v>
      </c>
      <c r="BD541" s="77">
        <v>42962996</v>
      </c>
      <c r="BE541" s="77"/>
      <c r="BF541" s="77"/>
      <c r="BG541" s="77"/>
      <c r="BH541" s="77"/>
      <c r="BI541" s="77"/>
    </row>
    <row r="542" spans="1:61" x14ac:dyDescent="0.25">
      <c r="A542" s="62" t="s">
        <v>354</v>
      </c>
      <c r="B542" s="62" t="s">
        <v>354</v>
      </c>
      <c r="C542" s="63"/>
      <c r="D542" s="64"/>
      <c r="E542" s="65"/>
      <c r="F542" s="66"/>
      <c r="G542" s="63"/>
      <c r="H542" s="67"/>
      <c r="I542" s="68"/>
      <c r="J542" s="68"/>
      <c r="K542" s="32"/>
      <c r="L542" s="75">
        <v>542</v>
      </c>
      <c r="M542" s="75"/>
      <c r="N542" s="70"/>
      <c r="O542" s="77" t="s">
        <v>179</v>
      </c>
      <c r="P542" s="79">
        <v>45061.9062962963</v>
      </c>
      <c r="Q542" s="77" t="s">
        <v>1339</v>
      </c>
      <c r="R542" s="77">
        <v>0</v>
      </c>
      <c r="S542" s="77">
        <v>1</v>
      </c>
      <c r="T542" s="77">
        <v>1</v>
      </c>
      <c r="U542" s="77">
        <v>0</v>
      </c>
      <c r="V542" s="77">
        <v>545</v>
      </c>
      <c r="W542" s="82" t="s">
        <v>5090</v>
      </c>
      <c r="X542" s="80" t="str">
        <f>HYPERLINK("https://www.istoedinheiro.com.br/ibovespa-sobe-052-aos-109-mil-pontos-e-emenda-8o-ganho-diario/")</f>
        <v>https://www.istoedinheiro.com.br/ibovespa-sobe-052-aos-109-mil-pontos-e-emenda-8o-ganho-diario/</v>
      </c>
      <c r="Y542" s="77" t="s">
        <v>7053</v>
      </c>
      <c r="Z542" s="77"/>
      <c r="AA542" s="77"/>
      <c r="AB542" s="77"/>
      <c r="AC542" s="82" t="s">
        <v>8232</v>
      </c>
      <c r="AD542" s="77" t="s">
        <v>8278</v>
      </c>
      <c r="AE542" s="80" t="str">
        <f>HYPERLINK("https://twitter.com/istoe_dinheiro/status/1658227021250428929")</f>
        <v>https://twitter.com/istoe_dinheiro/status/1658227021250428929</v>
      </c>
      <c r="AF542" s="79">
        <v>45061.9062962963</v>
      </c>
      <c r="AG542" s="85">
        <v>45061</v>
      </c>
      <c r="AH542" s="82" t="s">
        <v>8787</v>
      </c>
      <c r="AI542" s="77" t="b">
        <v>0</v>
      </c>
      <c r="AJ542" s="77"/>
      <c r="AK542" s="77"/>
      <c r="AL542" s="77"/>
      <c r="AM542" s="77"/>
      <c r="AN542" s="77"/>
      <c r="AO542" s="77"/>
      <c r="AP542" s="77"/>
      <c r="AQ542" s="77"/>
      <c r="AR542" s="77"/>
      <c r="AS542" s="77"/>
      <c r="AT542" s="77"/>
      <c r="AU542" s="77"/>
      <c r="AV542" s="80" t="str">
        <f>HYPERLINK("https://pbs.twimg.com/profile_images/1452670514074427395/DnGxS0l7_normal.jpg")</f>
        <v>https://pbs.twimg.com/profile_images/1452670514074427395/DnGxS0l7_normal.jpg</v>
      </c>
      <c r="AW542" s="82" t="s">
        <v>13643</v>
      </c>
      <c r="AX542" s="82" t="s">
        <v>13643</v>
      </c>
      <c r="AY542" s="77"/>
      <c r="AZ542" s="82" t="s">
        <v>17385</v>
      </c>
      <c r="BA542" s="82" t="s">
        <v>17385</v>
      </c>
      <c r="BB542" s="82" t="s">
        <v>17385</v>
      </c>
      <c r="BC542" s="82" t="s">
        <v>13643</v>
      </c>
      <c r="BD542" s="77">
        <v>42962996</v>
      </c>
      <c r="BE542" s="77"/>
      <c r="BF542" s="77"/>
      <c r="BG542" s="77"/>
      <c r="BH542" s="77"/>
      <c r="BI542" s="77"/>
    </row>
    <row r="543" spans="1:61" x14ac:dyDescent="0.25">
      <c r="A543" s="62" t="s">
        <v>354</v>
      </c>
      <c r="B543" s="62" t="s">
        <v>354</v>
      </c>
      <c r="C543" s="63"/>
      <c r="D543" s="64"/>
      <c r="E543" s="65"/>
      <c r="F543" s="66"/>
      <c r="G543" s="63"/>
      <c r="H543" s="67"/>
      <c r="I543" s="68"/>
      <c r="J543" s="68"/>
      <c r="K543" s="32"/>
      <c r="L543" s="75">
        <v>543</v>
      </c>
      <c r="M543" s="75"/>
      <c r="N543" s="70"/>
      <c r="O543" s="77" t="s">
        <v>179</v>
      </c>
      <c r="P543" s="79">
        <v>45048.921932870369</v>
      </c>
      <c r="Q543" s="77" t="s">
        <v>1340</v>
      </c>
      <c r="R543" s="77">
        <v>1</v>
      </c>
      <c r="S543" s="77">
        <v>1</v>
      </c>
      <c r="T543" s="77">
        <v>0</v>
      </c>
      <c r="U543" s="77">
        <v>0</v>
      </c>
      <c r="V543" s="77">
        <v>560</v>
      </c>
      <c r="W543" s="82" t="s">
        <v>5090</v>
      </c>
      <c r="X543" s="80" t="str">
        <f>HYPERLINK("https://www.istoedinheiro.com.br/ibovespa-tem-queda-de-240-pressionada-por-commodities/")</f>
        <v>https://www.istoedinheiro.com.br/ibovespa-tem-queda-de-240-pressionada-por-commodities/</v>
      </c>
      <c r="Y543" s="77" t="s">
        <v>7053</v>
      </c>
      <c r="Z543" s="77"/>
      <c r="AA543" s="77"/>
      <c r="AB543" s="77"/>
      <c r="AC543" s="82" t="s">
        <v>8232</v>
      </c>
      <c r="AD543" s="77" t="s">
        <v>8284</v>
      </c>
      <c r="AE543" s="80" t="str">
        <f>HYPERLINK("https://twitter.com/istoe_dinheiro/status/1653521643673665536")</f>
        <v>https://twitter.com/istoe_dinheiro/status/1653521643673665536</v>
      </c>
      <c r="AF543" s="79">
        <v>45048.921932870369</v>
      </c>
      <c r="AG543" s="85">
        <v>45048</v>
      </c>
      <c r="AH543" s="82" t="s">
        <v>8788</v>
      </c>
      <c r="AI543" s="77" t="b">
        <v>0</v>
      </c>
      <c r="AJ543" s="77"/>
      <c r="AK543" s="77"/>
      <c r="AL543" s="77"/>
      <c r="AM543" s="77"/>
      <c r="AN543" s="77"/>
      <c r="AO543" s="77"/>
      <c r="AP543" s="77"/>
      <c r="AQ543" s="77"/>
      <c r="AR543" s="77"/>
      <c r="AS543" s="77"/>
      <c r="AT543" s="77"/>
      <c r="AU543" s="77"/>
      <c r="AV543" s="80" t="str">
        <f>HYPERLINK("https://pbs.twimg.com/profile_images/1452670514074427395/DnGxS0l7_normal.jpg")</f>
        <v>https://pbs.twimg.com/profile_images/1452670514074427395/DnGxS0l7_normal.jpg</v>
      </c>
      <c r="AW543" s="82" t="s">
        <v>13644</v>
      </c>
      <c r="AX543" s="82" t="s">
        <v>13644</v>
      </c>
      <c r="AY543" s="77"/>
      <c r="AZ543" s="82" t="s">
        <v>17385</v>
      </c>
      <c r="BA543" s="82" t="s">
        <v>17385</v>
      </c>
      <c r="BB543" s="82" t="s">
        <v>17385</v>
      </c>
      <c r="BC543" s="82" t="s">
        <v>13644</v>
      </c>
      <c r="BD543" s="77">
        <v>42962996</v>
      </c>
      <c r="BE543" s="77"/>
      <c r="BF543" s="77"/>
      <c r="BG543" s="77"/>
      <c r="BH543" s="77"/>
      <c r="BI543" s="77"/>
    </row>
    <row r="544" spans="1:61" x14ac:dyDescent="0.25">
      <c r="A544" s="62" t="s">
        <v>355</v>
      </c>
      <c r="B544" s="62" t="s">
        <v>355</v>
      </c>
      <c r="C544" s="63"/>
      <c r="D544" s="64"/>
      <c r="E544" s="65"/>
      <c r="F544" s="66"/>
      <c r="G544" s="63"/>
      <c r="H544" s="67"/>
      <c r="I544" s="68"/>
      <c r="J544" s="68"/>
      <c r="K544" s="32"/>
      <c r="L544" s="75">
        <v>544</v>
      </c>
      <c r="M544" s="75"/>
      <c r="N544" s="70"/>
      <c r="O544" s="77" t="s">
        <v>179</v>
      </c>
      <c r="P544" s="79">
        <v>45057.500497685185</v>
      </c>
      <c r="Q544" s="77" t="s">
        <v>1341</v>
      </c>
      <c r="R544" s="77">
        <v>0</v>
      </c>
      <c r="S544" s="77">
        <v>0</v>
      </c>
      <c r="T544" s="77">
        <v>0</v>
      </c>
      <c r="U544" s="77">
        <v>0</v>
      </c>
      <c r="V544" s="77">
        <v>8</v>
      </c>
      <c r="W544" s="82" t="s">
        <v>5091</v>
      </c>
      <c r="X544" s="80" t="str">
        <f>HYPERLINK("https://rnainvest.com.br/como-investir-em-acoes-guia-para-iniciantes/")</f>
        <v>https://rnainvest.com.br/como-investir-em-acoes-guia-para-iniciantes/</v>
      </c>
      <c r="Y544" s="77" t="s">
        <v>7053</v>
      </c>
      <c r="Z544" s="77"/>
      <c r="AA544" s="77" t="s">
        <v>7561</v>
      </c>
      <c r="AB544" s="77" t="s">
        <v>8225</v>
      </c>
      <c r="AC544" s="82" t="s">
        <v>8235</v>
      </c>
      <c r="AD544" s="77" t="s">
        <v>8278</v>
      </c>
      <c r="AE544" s="80" t="str">
        <f>HYPERLINK("https://twitter.com/rnainvest/status/1656630412204974084")</f>
        <v>https://twitter.com/rnainvest/status/1656630412204974084</v>
      </c>
      <c r="AF544" s="79">
        <v>45057.500497685185</v>
      </c>
      <c r="AG544" s="85">
        <v>45057</v>
      </c>
      <c r="AH544" s="82" t="s">
        <v>8789</v>
      </c>
      <c r="AI544" s="77" t="b">
        <v>0</v>
      </c>
      <c r="AJ544" s="77"/>
      <c r="AK544" s="77"/>
      <c r="AL544" s="77"/>
      <c r="AM544" s="77"/>
      <c r="AN544" s="77"/>
      <c r="AO544" s="77"/>
      <c r="AP544" s="77"/>
      <c r="AQ544" s="77" t="s">
        <v>12446</v>
      </c>
      <c r="AR544" s="77"/>
      <c r="AS544" s="77"/>
      <c r="AT544" s="77"/>
      <c r="AU544" s="77"/>
      <c r="AV544" s="80" t="str">
        <f>HYPERLINK("https://pbs.twimg.com/media/Fv2IlJjXgAAwqQ7.jpg")</f>
        <v>https://pbs.twimg.com/media/Fv2IlJjXgAAwqQ7.jpg</v>
      </c>
      <c r="AW544" s="82" t="s">
        <v>13645</v>
      </c>
      <c r="AX544" s="82" t="s">
        <v>13645</v>
      </c>
      <c r="AY544" s="77"/>
      <c r="AZ544" s="82" t="s">
        <v>17385</v>
      </c>
      <c r="BA544" s="82" t="s">
        <v>17385</v>
      </c>
      <c r="BB544" s="82" t="s">
        <v>17385</v>
      </c>
      <c r="BC544" s="82" t="s">
        <v>13645</v>
      </c>
      <c r="BD544" s="82" t="s">
        <v>17511</v>
      </c>
      <c r="BE544" s="77"/>
      <c r="BF544" s="77"/>
      <c r="BG544" s="77"/>
      <c r="BH544" s="77"/>
      <c r="BI544" s="77"/>
    </row>
    <row r="545" spans="1:61" x14ac:dyDescent="0.25">
      <c r="A545" s="62" t="s">
        <v>355</v>
      </c>
      <c r="B545" s="62" t="s">
        <v>355</v>
      </c>
      <c r="C545" s="63"/>
      <c r="D545" s="64"/>
      <c r="E545" s="65"/>
      <c r="F545" s="66"/>
      <c r="G545" s="63"/>
      <c r="H545" s="67"/>
      <c r="I545" s="68"/>
      <c r="J545" s="68"/>
      <c r="K545" s="32"/>
      <c r="L545" s="75">
        <v>545</v>
      </c>
      <c r="M545" s="75"/>
      <c r="N545" s="70"/>
      <c r="O545" s="77" t="s">
        <v>179</v>
      </c>
      <c r="P545" s="79">
        <v>45099.66715277778</v>
      </c>
      <c r="Q545" s="77" t="s">
        <v>1342</v>
      </c>
      <c r="R545" s="77">
        <v>2</v>
      </c>
      <c r="S545" s="77">
        <v>0</v>
      </c>
      <c r="T545" s="77">
        <v>0</v>
      </c>
      <c r="U545" s="77">
        <v>0</v>
      </c>
      <c r="V545" s="77">
        <v>23</v>
      </c>
      <c r="W545" s="82" t="s">
        <v>5092</v>
      </c>
      <c r="X545" s="77"/>
      <c r="Y545" s="77"/>
      <c r="Z545" s="77"/>
      <c r="AA545" s="77" t="s">
        <v>7562</v>
      </c>
      <c r="AB545" s="77" t="s">
        <v>8225</v>
      </c>
      <c r="AC545" s="82" t="s">
        <v>8235</v>
      </c>
      <c r="AD545" s="77" t="s">
        <v>8278</v>
      </c>
      <c r="AE545" s="80" t="str">
        <f>HYPERLINK("https://twitter.com/rnainvest/status/1671911094456053760")</f>
        <v>https://twitter.com/rnainvest/status/1671911094456053760</v>
      </c>
      <c r="AF545" s="79">
        <v>45099.66715277778</v>
      </c>
      <c r="AG545" s="85">
        <v>45099</v>
      </c>
      <c r="AH545" s="82" t="s">
        <v>8790</v>
      </c>
      <c r="AI545" s="77" t="b">
        <v>0</v>
      </c>
      <c r="AJ545" s="77"/>
      <c r="AK545" s="77"/>
      <c r="AL545" s="77"/>
      <c r="AM545" s="77"/>
      <c r="AN545" s="77"/>
      <c r="AO545" s="77"/>
      <c r="AP545" s="77"/>
      <c r="AQ545" s="77" t="s">
        <v>12447</v>
      </c>
      <c r="AR545" s="77"/>
      <c r="AS545" s="77"/>
      <c r="AT545" s="77"/>
      <c r="AU545" s="77"/>
      <c r="AV545" s="80" t="str">
        <f>HYPERLINK("https://pbs.twimg.com/media/FzPSR4sWAAAEieW.jpg")</f>
        <v>https://pbs.twimg.com/media/FzPSR4sWAAAEieW.jpg</v>
      </c>
      <c r="AW545" s="82" t="s">
        <v>13646</v>
      </c>
      <c r="AX545" s="82" t="s">
        <v>13646</v>
      </c>
      <c r="AY545" s="77"/>
      <c r="AZ545" s="82" t="s">
        <v>17385</v>
      </c>
      <c r="BA545" s="82" t="s">
        <v>17385</v>
      </c>
      <c r="BB545" s="82" t="s">
        <v>17385</v>
      </c>
      <c r="BC545" s="82" t="s">
        <v>13646</v>
      </c>
      <c r="BD545" s="82" t="s">
        <v>17511</v>
      </c>
      <c r="BE545" s="77"/>
      <c r="BF545" s="77"/>
      <c r="BG545" s="77"/>
      <c r="BH545" s="77"/>
      <c r="BI545" s="77"/>
    </row>
    <row r="546" spans="1:61" x14ac:dyDescent="0.25">
      <c r="A546" s="62" t="s">
        <v>355</v>
      </c>
      <c r="B546" s="62" t="s">
        <v>355</v>
      </c>
      <c r="C546" s="63"/>
      <c r="D546" s="64"/>
      <c r="E546" s="65"/>
      <c r="F546" s="66"/>
      <c r="G546" s="63"/>
      <c r="H546" s="67"/>
      <c r="I546" s="68"/>
      <c r="J546" s="68"/>
      <c r="K546" s="32"/>
      <c r="L546" s="75">
        <v>546</v>
      </c>
      <c r="M546" s="75"/>
      <c r="N546" s="70"/>
      <c r="O546" s="77" t="s">
        <v>179</v>
      </c>
      <c r="P546" s="79">
        <v>45119.667164351849</v>
      </c>
      <c r="Q546" s="77" t="s">
        <v>1343</v>
      </c>
      <c r="R546" s="77">
        <v>0</v>
      </c>
      <c r="S546" s="77">
        <v>1</v>
      </c>
      <c r="T546" s="77">
        <v>0</v>
      </c>
      <c r="U546" s="77">
        <v>1</v>
      </c>
      <c r="V546" s="77">
        <v>27</v>
      </c>
      <c r="W546" s="82" t="s">
        <v>5093</v>
      </c>
      <c r="X546" s="77"/>
      <c r="Y546" s="77"/>
      <c r="Z546" s="77"/>
      <c r="AA546" s="77" t="s">
        <v>7563</v>
      </c>
      <c r="AB546" s="77" t="s">
        <v>8225</v>
      </c>
      <c r="AC546" s="82" t="s">
        <v>8235</v>
      </c>
      <c r="AD546" s="77" t="s">
        <v>8278</v>
      </c>
      <c r="AE546" s="80" t="str">
        <f>HYPERLINK("https://twitter.com/rnainvest/status/1679158856029544457")</f>
        <v>https://twitter.com/rnainvest/status/1679158856029544457</v>
      </c>
      <c r="AF546" s="79">
        <v>45119.667164351849</v>
      </c>
      <c r="AG546" s="85">
        <v>45119</v>
      </c>
      <c r="AH546" s="82" t="s">
        <v>8791</v>
      </c>
      <c r="AI546" s="77" t="b">
        <v>0</v>
      </c>
      <c r="AJ546" s="77"/>
      <c r="AK546" s="77"/>
      <c r="AL546" s="77"/>
      <c r="AM546" s="77"/>
      <c r="AN546" s="77"/>
      <c r="AO546" s="77"/>
      <c r="AP546" s="77"/>
      <c r="AQ546" s="77" t="s">
        <v>12448</v>
      </c>
      <c r="AR546" s="77"/>
      <c r="AS546" s="77"/>
      <c r="AT546" s="77"/>
      <c r="AU546" s="77"/>
      <c r="AV546" s="80" t="str">
        <f>HYPERLINK("https://pbs.twimg.com/media/F02SFH3XwAExojI.jpg")</f>
        <v>https://pbs.twimg.com/media/F02SFH3XwAExojI.jpg</v>
      </c>
      <c r="AW546" s="82" t="s">
        <v>13647</v>
      </c>
      <c r="AX546" s="82" t="s">
        <v>13647</v>
      </c>
      <c r="AY546" s="77"/>
      <c r="AZ546" s="82" t="s">
        <v>17385</v>
      </c>
      <c r="BA546" s="82" t="s">
        <v>17385</v>
      </c>
      <c r="BB546" s="82" t="s">
        <v>17385</v>
      </c>
      <c r="BC546" s="82" t="s">
        <v>13647</v>
      </c>
      <c r="BD546" s="82" t="s">
        <v>17511</v>
      </c>
      <c r="BE546" s="77"/>
      <c r="BF546" s="77"/>
      <c r="BG546" s="77"/>
      <c r="BH546" s="77"/>
      <c r="BI546" s="77"/>
    </row>
    <row r="547" spans="1:61" x14ac:dyDescent="0.25">
      <c r="A547" s="62" t="s">
        <v>355</v>
      </c>
      <c r="B547" s="62" t="s">
        <v>355</v>
      </c>
      <c r="C547" s="63"/>
      <c r="D547" s="64"/>
      <c r="E547" s="65"/>
      <c r="F547" s="66"/>
      <c r="G547" s="63"/>
      <c r="H547" s="67"/>
      <c r="I547" s="68"/>
      <c r="J547" s="68"/>
      <c r="K547" s="32"/>
      <c r="L547" s="75">
        <v>547</v>
      </c>
      <c r="M547" s="75"/>
      <c r="N547" s="70"/>
      <c r="O547" s="77" t="s">
        <v>179</v>
      </c>
      <c r="P547" s="79">
        <v>45110.667141203703</v>
      </c>
      <c r="Q547" s="77" t="s">
        <v>1344</v>
      </c>
      <c r="R547" s="77">
        <v>2</v>
      </c>
      <c r="S547" s="77">
        <v>3</v>
      </c>
      <c r="T547" s="77">
        <v>0</v>
      </c>
      <c r="U547" s="77">
        <v>0</v>
      </c>
      <c r="V547" s="77">
        <v>11</v>
      </c>
      <c r="W547" s="82" t="s">
        <v>5094</v>
      </c>
      <c r="X547" s="80" t="str">
        <f>HYPERLINK("https://rnainvest.com.br/mitos-comuns-sobre-investir-em-acoes-desmascarados")</f>
        <v>https://rnainvest.com.br/mitos-comuns-sobre-investir-em-acoes-desmascarados</v>
      </c>
      <c r="Y547" s="77" t="s">
        <v>7053</v>
      </c>
      <c r="Z547" s="77"/>
      <c r="AA547" s="77" t="s">
        <v>7564</v>
      </c>
      <c r="AB547" s="77" t="s">
        <v>8225</v>
      </c>
      <c r="AC547" s="82" t="s">
        <v>8235</v>
      </c>
      <c r="AD547" s="77" t="s">
        <v>8278</v>
      </c>
      <c r="AE547" s="80" t="str">
        <f>HYPERLINK("https://twitter.com/rnainvest/status/1675897356321972227")</f>
        <v>https://twitter.com/rnainvest/status/1675897356321972227</v>
      </c>
      <c r="AF547" s="79">
        <v>45110.667141203703</v>
      </c>
      <c r="AG547" s="85">
        <v>45110</v>
      </c>
      <c r="AH547" s="82" t="s">
        <v>8792</v>
      </c>
      <c r="AI547" s="77" t="b">
        <v>0</v>
      </c>
      <c r="AJ547" s="77"/>
      <c r="AK547" s="77"/>
      <c r="AL547" s="77"/>
      <c r="AM547" s="77"/>
      <c r="AN547" s="77"/>
      <c r="AO547" s="77"/>
      <c r="AP547" s="77"/>
      <c r="AQ547" s="77" t="s">
        <v>12449</v>
      </c>
      <c r="AR547" s="77"/>
      <c r="AS547" s="77"/>
      <c r="AT547" s="77"/>
      <c r="AU547" s="77"/>
      <c r="AV547" s="80" t="str">
        <f>HYPERLINK("https://pbs.twimg.com/media/F0H7w5YXsAI2CyE.jpg")</f>
        <v>https://pbs.twimg.com/media/F0H7w5YXsAI2CyE.jpg</v>
      </c>
      <c r="AW547" s="82" t="s">
        <v>13648</v>
      </c>
      <c r="AX547" s="82" t="s">
        <v>13648</v>
      </c>
      <c r="AY547" s="77"/>
      <c r="AZ547" s="82" t="s">
        <v>17385</v>
      </c>
      <c r="BA547" s="82" t="s">
        <v>17385</v>
      </c>
      <c r="BB547" s="82" t="s">
        <v>17385</v>
      </c>
      <c r="BC547" s="82" t="s">
        <v>13648</v>
      </c>
      <c r="BD547" s="82" t="s">
        <v>17511</v>
      </c>
      <c r="BE547" s="77"/>
      <c r="BF547" s="77"/>
      <c r="BG547" s="77"/>
      <c r="BH547" s="77"/>
      <c r="BI547" s="77"/>
    </row>
    <row r="548" spans="1:61" x14ac:dyDescent="0.25">
      <c r="A548" s="62" t="s">
        <v>355</v>
      </c>
      <c r="B548" s="62" t="s">
        <v>355</v>
      </c>
      <c r="C548" s="63"/>
      <c r="D548" s="64"/>
      <c r="E548" s="65"/>
      <c r="F548" s="66"/>
      <c r="G548" s="63"/>
      <c r="H548" s="67"/>
      <c r="I548" s="68"/>
      <c r="J548" s="68"/>
      <c r="K548" s="32"/>
      <c r="L548" s="75">
        <v>548</v>
      </c>
      <c r="M548" s="75"/>
      <c r="N548" s="70"/>
      <c r="O548" s="77" t="s">
        <v>179</v>
      </c>
      <c r="P548" s="79">
        <v>45131.583854166667</v>
      </c>
      <c r="Q548" s="77" t="s">
        <v>1345</v>
      </c>
      <c r="R548" s="77">
        <v>0</v>
      </c>
      <c r="S548" s="77">
        <v>2</v>
      </c>
      <c r="T548" s="77">
        <v>0</v>
      </c>
      <c r="U548" s="77">
        <v>1</v>
      </c>
      <c r="V548" s="77">
        <v>30</v>
      </c>
      <c r="W548" s="82" t="s">
        <v>5095</v>
      </c>
      <c r="X548" s="80" t="str">
        <f>HYPERLINK("https://rnainvest.com.br/os-beneficios-do-investimento-em-acoes-a-longo-prazo/")</f>
        <v>https://rnainvest.com.br/os-beneficios-do-investimento-em-acoes-a-longo-prazo/</v>
      </c>
      <c r="Y548" s="77" t="s">
        <v>7053</v>
      </c>
      <c r="Z548" s="77"/>
      <c r="AA548" s="77" t="s">
        <v>7565</v>
      </c>
      <c r="AB548" s="77" t="s">
        <v>8225</v>
      </c>
      <c r="AC548" s="82" t="s">
        <v>8235</v>
      </c>
      <c r="AD548" s="77" t="s">
        <v>8278</v>
      </c>
      <c r="AE548" s="80" t="str">
        <f>HYPERLINK("https://twitter.com/rnainvest/status/1683477321540403210")</f>
        <v>https://twitter.com/rnainvest/status/1683477321540403210</v>
      </c>
      <c r="AF548" s="79">
        <v>45131.583854166667</v>
      </c>
      <c r="AG548" s="85">
        <v>45131</v>
      </c>
      <c r="AH548" s="82" t="s">
        <v>8793</v>
      </c>
      <c r="AI548" s="77" t="b">
        <v>0</v>
      </c>
      <c r="AJ548" s="77"/>
      <c r="AK548" s="77"/>
      <c r="AL548" s="77"/>
      <c r="AM548" s="77"/>
      <c r="AN548" s="77"/>
      <c r="AO548" s="77"/>
      <c r="AP548" s="77"/>
      <c r="AQ548" s="77" t="s">
        <v>12450</v>
      </c>
      <c r="AR548" s="77"/>
      <c r="AS548" s="77"/>
      <c r="AT548" s="77"/>
      <c r="AU548" s="77"/>
      <c r="AV548" s="80" t="str">
        <f>HYPERLINK("https://pbs.twimg.com/media/F1zps6cX0AEh8oG.jpg")</f>
        <v>https://pbs.twimg.com/media/F1zps6cX0AEh8oG.jpg</v>
      </c>
      <c r="AW548" s="82" t="s">
        <v>13649</v>
      </c>
      <c r="AX548" s="82" t="s">
        <v>13649</v>
      </c>
      <c r="AY548" s="77"/>
      <c r="AZ548" s="82" t="s">
        <v>17385</v>
      </c>
      <c r="BA548" s="82" t="s">
        <v>17385</v>
      </c>
      <c r="BB548" s="82" t="s">
        <v>17385</v>
      </c>
      <c r="BC548" s="82" t="s">
        <v>13649</v>
      </c>
      <c r="BD548" s="82" t="s">
        <v>17511</v>
      </c>
      <c r="BE548" s="77"/>
      <c r="BF548" s="77"/>
      <c r="BG548" s="77"/>
      <c r="BH548" s="77"/>
      <c r="BI548" s="77"/>
    </row>
    <row r="549" spans="1:61" x14ac:dyDescent="0.25">
      <c r="A549" s="62" t="s">
        <v>355</v>
      </c>
      <c r="B549" s="62" t="s">
        <v>355</v>
      </c>
      <c r="C549" s="63"/>
      <c r="D549" s="64"/>
      <c r="E549" s="65"/>
      <c r="F549" s="66"/>
      <c r="G549" s="63"/>
      <c r="H549" s="67"/>
      <c r="I549" s="68"/>
      <c r="J549" s="68"/>
      <c r="K549" s="32"/>
      <c r="L549" s="75">
        <v>549</v>
      </c>
      <c r="M549" s="75"/>
      <c r="N549" s="70"/>
      <c r="O549" s="77" t="s">
        <v>179</v>
      </c>
      <c r="P549" s="79">
        <v>45121.500532407408</v>
      </c>
      <c r="Q549" s="77" t="s">
        <v>1346</v>
      </c>
      <c r="R549" s="77">
        <v>1</v>
      </c>
      <c r="S549" s="77">
        <v>1</v>
      </c>
      <c r="T549" s="77">
        <v>0</v>
      </c>
      <c r="U549" s="77">
        <v>0</v>
      </c>
      <c r="V549" s="77">
        <v>14</v>
      </c>
      <c r="W549" s="82" t="s">
        <v>5096</v>
      </c>
      <c r="X549" s="80" t="str">
        <f>HYPERLINK("https://rnainvest.com.br/o-guia-definitivo-para-investir-em-acoes/")</f>
        <v>https://rnainvest.com.br/o-guia-definitivo-para-investir-em-acoes/</v>
      </c>
      <c r="Y549" s="77" t="s">
        <v>7053</v>
      </c>
      <c r="Z549" s="77"/>
      <c r="AA549" s="77" t="s">
        <v>7566</v>
      </c>
      <c r="AB549" s="77" t="s">
        <v>8225</v>
      </c>
      <c r="AC549" s="82" t="s">
        <v>8235</v>
      </c>
      <c r="AD549" s="77" t="s">
        <v>8278</v>
      </c>
      <c r="AE549" s="80" t="str">
        <f>HYPERLINK("https://twitter.com/rnainvest/status/1679823246810660866")</f>
        <v>https://twitter.com/rnainvest/status/1679823246810660866</v>
      </c>
      <c r="AF549" s="79">
        <v>45121.500532407408</v>
      </c>
      <c r="AG549" s="85">
        <v>45121</v>
      </c>
      <c r="AH549" s="82" t="s">
        <v>8794</v>
      </c>
      <c r="AI549" s="77" t="b">
        <v>0</v>
      </c>
      <c r="AJ549" s="77"/>
      <c r="AK549" s="77"/>
      <c r="AL549" s="77"/>
      <c r="AM549" s="77"/>
      <c r="AN549" s="77"/>
      <c r="AO549" s="77"/>
      <c r="AP549" s="77"/>
      <c r="AQ549" s="77" t="s">
        <v>12451</v>
      </c>
      <c r="AR549" s="77"/>
      <c r="AS549" s="77"/>
      <c r="AT549" s="77"/>
      <c r="AU549" s="77"/>
      <c r="AV549" s="80" t="str">
        <f>HYPERLINK("https://pbs.twimg.com/media/F0_uVxHXwAIGviP.jpg")</f>
        <v>https://pbs.twimg.com/media/F0_uVxHXwAIGviP.jpg</v>
      </c>
      <c r="AW549" s="82" t="s">
        <v>13650</v>
      </c>
      <c r="AX549" s="82" t="s">
        <v>13650</v>
      </c>
      <c r="AY549" s="77"/>
      <c r="AZ549" s="82" t="s">
        <v>17385</v>
      </c>
      <c r="BA549" s="82" t="s">
        <v>17385</v>
      </c>
      <c r="BB549" s="82" t="s">
        <v>17385</v>
      </c>
      <c r="BC549" s="82" t="s">
        <v>13650</v>
      </c>
      <c r="BD549" s="82" t="s">
        <v>17511</v>
      </c>
      <c r="BE549" s="77"/>
      <c r="BF549" s="77"/>
      <c r="BG549" s="77"/>
      <c r="BH549" s="77"/>
      <c r="BI549" s="77"/>
    </row>
    <row r="550" spans="1:61" x14ac:dyDescent="0.25">
      <c r="A550" s="62" t="s">
        <v>356</v>
      </c>
      <c r="B550" s="62" t="s">
        <v>746</v>
      </c>
      <c r="C550" s="63"/>
      <c r="D550" s="64"/>
      <c r="E550" s="65"/>
      <c r="F550" s="66"/>
      <c r="G550" s="63"/>
      <c r="H550" s="67"/>
      <c r="I550" s="68"/>
      <c r="J550" s="68"/>
      <c r="K550" s="32"/>
      <c r="L550" s="75">
        <v>550</v>
      </c>
      <c r="M550" s="75"/>
      <c r="N550" s="70"/>
      <c r="O550" s="77" t="s">
        <v>802</v>
      </c>
      <c r="P550" s="79">
        <v>45112.856874999998</v>
      </c>
      <c r="Q550" s="77" t="s">
        <v>1347</v>
      </c>
      <c r="R550" s="77">
        <v>1</v>
      </c>
      <c r="S550" s="77">
        <v>9</v>
      </c>
      <c r="T550" s="77">
        <v>0</v>
      </c>
      <c r="U550" s="77">
        <v>0</v>
      </c>
      <c r="V550" s="77">
        <v>860</v>
      </c>
      <c r="W550" s="82" t="s">
        <v>5097</v>
      </c>
      <c r="X550" s="80" t="str">
        <f>HYPERLINK("http://ufpe.br/nucleoerer")</f>
        <v>http://ufpe.br/nucleoerer</v>
      </c>
      <c r="Y550" s="77" t="s">
        <v>7087</v>
      </c>
      <c r="Z550" s="77" t="s">
        <v>746</v>
      </c>
      <c r="AA550" s="77" t="s">
        <v>7567</v>
      </c>
      <c r="AB550" s="77" t="s">
        <v>8225</v>
      </c>
      <c r="AC550" s="82" t="s">
        <v>8232</v>
      </c>
      <c r="AD550" s="77" t="s">
        <v>8278</v>
      </c>
      <c r="AE550" s="80" t="str">
        <f>HYPERLINK("https://twitter.com/ufpeoficial/status/1676690892747427842")</f>
        <v>https://twitter.com/ufpeoficial/status/1676690892747427842</v>
      </c>
      <c r="AF550" s="79">
        <v>45112.856874999998</v>
      </c>
      <c r="AG550" s="85">
        <v>45112</v>
      </c>
      <c r="AH550" s="82" t="s">
        <v>8795</v>
      </c>
      <c r="AI550" s="77" t="b">
        <v>0</v>
      </c>
      <c r="AJ550" s="77"/>
      <c r="AK550" s="77"/>
      <c r="AL550" s="77"/>
      <c r="AM550" s="77"/>
      <c r="AN550" s="77"/>
      <c r="AO550" s="77"/>
      <c r="AP550" s="77"/>
      <c r="AQ550" s="77" t="s">
        <v>12452</v>
      </c>
      <c r="AR550" s="77"/>
      <c r="AS550" s="77"/>
      <c r="AT550" s="77"/>
      <c r="AU550" s="77"/>
      <c r="AV550" s="80" t="str">
        <f>HYPERLINK("https://pbs.twimg.com/media/F0TNLy4WwAAQBR4.jpg")</f>
        <v>https://pbs.twimg.com/media/F0TNLy4WwAAQBR4.jpg</v>
      </c>
      <c r="AW550" s="82" t="s">
        <v>13651</v>
      </c>
      <c r="AX550" s="82" t="s">
        <v>13651</v>
      </c>
      <c r="AY550" s="77"/>
      <c r="AZ550" s="82" t="s">
        <v>17385</v>
      </c>
      <c r="BA550" s="82" t="s">
        <v>17385</v>
      </c>
      <c r="BB550" s="82" t="s">
        <v>17385</v>
      </c>
      <c r="BC550" s="82" t="s">
        <v>13651</v>
      </c>
      <c r="BD550" s="77">
        <v>56862818</v>
      </c>
      <c r="BE550" s="77"/>
      <c r="BF550" s="77"/>
      <c r="BG550" s="77"/>
      <c r="BH550" s="77"/>
      <c r="BI550" s="77"/>
    </row>
    <row r="551" spans="1:61" x14ac:dyDescent="0.25">
      <c r="A551" s="62" t="s">
        <v>356</v>
      </c>
      <c r="B551" s="62" t="s">
        <v>356</v>
      </c>
      <c r="C551" s="63"/>
      <c r="D551" s="64"/>
      <c r="E551" s="65"/>
      <c r="F551" s="66"/>
      <c r="G551" s="63"/>
      <c r="H551" s="67"/>
      <c r="I551" s="68"/>
      <c r="J551" s="68"/>
      <c r="K551" s="32"/>
      <c r="L551" s="75">
        <v>551</v>
      </c>
      <c r="M551" s="75"/>
      <c r="N551" s="70"/>
      <c r="O551" s="77" t="s">
        <v>179</v>
      </c>
      <c r="P551" s="79">
        <v>45125.742013888892</v>
      </c>
      <c r="Q551" s="77" t="s">
        <v>1348</v>
      </c>
      <c r="R551" s="77">
        <v>0</v>
      </c>
      <c r="S551" s="77">
        <v>9</v>
      </c>
      <c r="T551" s="77">
        <v>0</v>
      </c>
      <c r="U551" s="77">
        <v>0</v>
      </c>
      <c r="V551" s="77">
        <v>731</v>
      </c>
      <c r="W551" s="82" t="s">
        <v>5098</v>
      </c>
      <c r="X551" s="80" t="str">
        <f>HYPERLINK("http://ufpe.br/nucleolgbt")</f>
        <v>http://ufpe.br/nucleolgbt</v>
      </c>
      <c r="Y551" s="77" t="s">
        <v>7087</v>
      </c>
      <c r="Z551" s="77"/>
      <c r="AA551" s="77" t="s">
        <v>7568</v>
      </c>
      <c r="AB551" s="77" t="s">
        <v>8225</v>
      </c>
      <c r="AC551" s="82" t="s">
        <v>8232</v>
      </c>
      <c r="AD551" s="77" t="s">
        <v>8278</v>
      </c>
      <c r="AE551" s="80" t="str">
        <f>HYPERLINK("https://twitter.com/ufpeoficial/status/1681360310345531398")</f>
        <v>https://twitter.com/ufpeoficial/status/1681360310345531398</v>
      </c>
      <c r="AF551" s="79">
        <v>45125.742013888892</v>
      </c>
      <c r="AG551" s="85">
        <v>45125</v>
      </c>
      <c r="AH551" s="82" t="s">
        <v>8796</v>
      </c>
      <c r="AI551" s="77" t="b">
        <v>0</v>
      </c>
      <c r="AJ551" s="77"/>
      <c r="AK551" s="77"/>
      <c r="AL551" s="77"/>
      <c r="AM551" s="77"/>
      <c r="AN551" s="77"/>
      <c r="AO551" s="77"/>
      <c r="AP551" s="77"/>
      <c r="AQ551" s="77" t="s">
        <v>12453</v>
      </c>
      <c r="AR551" s="77"/>
      <c r="AS551" s="77"/>
      <c r="AT551" s="77"/>
      <c r="AU551" s="77"/>
      <c r="AV551" s="80" t="str">
        <f>HYPERLINK("https://pbs.twimg.com/media/F1Vj1IVWAAsKnyk.jpg")</f>
        <v>https://pbs.twimg.com/media/F1Vj1IVWAAsKnyk.jpg</v>
      </c>
      <c r="AW551" s="82" t="s">
        <v>13652</v>
      </c>
      <c r="AX551" s="82" t="s">
        <v>13652</v>
      </c>
      <c r="AY551" s="77"/>
      <c r="AZ551" s="82" t="s">
        <v>17385</v>
      </c>
      <c r="BA551" s="82" t="s">
        <v>17385</v>
      </c>
      <c r="BB551" s="82" t="s">
        <v>17385</v>
      </c>
      <c r="BC551" s="82" t="s">
        <v>13652</v>
      </c>
      <c r="BD551" s="77">
        <v>56862818</v>
      </c>
      <c r="BE551" s="77"/>
      <c r="BF551" s="77"/>
      <c r="BG551" s="77"/>
      <c r="BH551" s="77"/>
      <c r="BI551" s="77"/>
    </row>
    <row r="552" spans="1:61" x14ac:dyDescent="0.25">
      <c r="A552" s="62" t="s">
        <v>357</v>
      </c>
      <c r="B552" s="62" t="s">
        <v>357</v>
      </c>
      <c r="C552" s="63"/>
      <c r="D552" s="64"/>
      <c r="E552" s="65"/>
      <c r="F552" s="66"/>
      <c r="G552" s="63"/>
      <c r="H552" s="67"/>
      <c r="I552" s="68"/>
      <c r="J552" s="68"/>
      <c r="K552" s="32"/>
      <c r="L552" s="75">
        <v>552</v>
      </c>
      <c r="M552" s="75"/>
      <c r="N552" s="70"/>
      <c r="O552" s="77" t="s">
        <v>179</v>
      </c>
      <c r="P552" s="79">
        <v>45172.123564814814</v>
      </c>
      <c r="Q552" s="77" t="s">
        <v>1349</v>
      </c>
      <c r="R552" s="77">
        <v>0</v>
      </c>
      <c r="S552" s="77">
        <v>0</v>
      </c>
      <c r="T552" s="77">
        <v>1</v>
      </c>
      <c r="U552" s="77">
        <v>0</v>
      </c>
      <c r="V552" s="77">
        <v>27</v>
      </c>
      <c r="W552" s="82" t="s">
        <v>5099</v>
      </c>
      <c r="X552" s="77"/>
      <c r="Y552" s="77"/>
      <c r="Z552" s="77"/>
      <c r="AA552" s="77"/>
      <c r="AB552" s="77"/>
      <c r="AC552" s="82" t="s">
        <v>8234</v>
      </c>
      <c r="AD552" s="77" t="s">
        <v>8278</v>
      </c>
      <c r="AE552" s="80" t="str">
        <f>HYPERLINK("https://twitter.com/rafaelalgodao/status/1698168420078931990")</f>
        <v>https://twitter.com/rafaelalgodao/status/1698168420078931990</v>
      </c>
      <c r="AF552" s="79">
        <v>45172.123564814814</v>
      </c>
      <c r="AG552" s="85">
        <v>45172</v>
      </c>
      <c r="AH552" s="82" t="s">
        <v>8797</v>
      </c>
      <c r="AI552" s="77"/>
      <c r="AJ552" s="77"/>
      <c r="AK552" s="77"/>
      <c r="AL552" s="77"/>
      <c r="AM552" s="77"/>
      <c r="AN552" s="77"/>
      <c r="AO552" s="77"/>
      <c r="AP552" s="77"/>
      <c r="AQ552" s="77"/>
      <c r="AR552" s="77"/>
      <c r="AS552" s="77"/>
      <c r="AT552" s="77"/>
      <c r="AU552" s="77"/>
      <c r="AV552" s="80" t="str">
        <f>HYPERLINK("https://pbs.twimg.com/profile_images/1543970582823329795/L1SCwUt2_normal.jpg")</f>
        <v>https://pbs.twimg.com/profile_images/1543970582823329795/L1SCwUt2_normal.jpg</v>
      </c>
      <c r="AW552" s="82" t="s">
        <v>13653</v>
      </c>
      <c r="AX552" s="82" t="s">
        <v>13653</v>
      </c>
      <c r="AY552" s="77"/>
      <c r="AZ552" s="82" t="s">
        <v>17385</v>
      </c>
      <c r="BA552" s="82" t="s">
        <v>17385</v>
      </c>
      <c r="BB552" s="82" t="s">
        <v>17385</v>
      </c>
      <c r="BC552" s="82" t="s">
        <v>13653</v>
      </c>
      <c r="BD552" s="77">
        <v>71041666</v>
      </c>
      <c r="BE552" s="77"/>
      <c r="BF552" s="77"/>
      <c r="BG552" s="77"/>
      <c r="BH552" s="77"/>
      <c r="BI552" s="77"/>
    </row>
    <row r="553" spans="1:61" x14ac:dyDescent="0.25">
      <c r="A553" s="62" t="s">
        <v>357</v>
      </c>
      <c r="B553" s="62" t="s">
        <v>357</v>
      </c>
      <c r="C553" s="63"/>
      <c r="D553" s="64"/>
      <c r="E553" s="65"/>
      <c r="F553" s="66"/>
      <c r="G553" s="63"/>
      <c r="H553" s="67"/>
      <c r="I553" s="68"/>
      <c r="J553" s="68"/>
      <c r="K553" s="32"/>
      <c r="L553" s="75">
        <v>553</v>
      </c>
      <c r="M553" s="75"/>
      <c r="N553" s="70"/>
      <c r="O553" s="77" t="s">
        <v>179</v>
      </c>
      <c r="P553" s="79">
        <v>45190.777453703704</v>
      </c>
      <c r="Q553" s="77" t="s">
        <v>1350</v>
      </c>
      <c r="R553" s="77">
        <v>0</v>
      </c>
      <c r="S553" s="77">
        <v>0</v>
      </c>
      <c r="T553" s="77">
        <v>1</v>
      </c>
      <c r="U553" s="77">
        <v>0</v>
      </c>
      <c r="V553" s="77">
        <v>22</v>
      </c>
      <c r="W553" s="82" t="s">
        <v>5100</v>
      </c>
      <c r="X553" s="80" t="str">
        <f>HYPERLINK("https://whatsapp.com/channel/0029Va3yB4oElags1E6QKZ1K")</f>
        <v>https://whatsapp.com/channel/0029Va3yB4oElags1E6QKZ1K</v>
      </c>
      <c r="Y553" s="77" t="s">
        <v>7072</v>
      </c>
      <c r="Z553" s="77"/>
      <c r="AA553" s="77"/>
      <c r="AB553" s="77"/>
      <c r="AC553" s="82" t="s">
        <v>8234</v>
      </c>
      <c r="AD553" s="77" t="s">
        <v>8286</v>
      </c>
      <c r="AE553" s="80" t="str">
        <f>HYPERLINK("https://twitter.com/rafaelalgodao/status/1704928362215460954")</f>
        <v>https://twitter.com/rafaelalgodao/status/1704928362215460954</v>
      </c>
      <c r="AF553" s="79">
        <v>45190.777453703704</v>
      </c>
      <c r="AG553" s="85">
        <v>45190</v>
      </c>
      <c r="AH553" s="82" t="s">
        <v>8798</v>
      </c>
      <c r="AI553" s="77" t="b">
        <v>0</v>
      </c>
      <c r="AJ553" s="77"/>
      <c r="AK553" s="77"/>
      <c r="AL553" s="77"/>
      <c r="AM553" s="77"/>
      <c r="AN553" s="77"/>
      <c r="AO553" s="77"/>
      <c r="AP553" s="77"/>
      <c r="AQ553" s="77"/>
      <c r="AR553" s="77"/>
      <c r="AS553" s="77"/>
      <c r="AT553" s="77"/>
      <c r="AU553" s="77"/>
      <c r="AV553" s="80" t="str">
        <f>HYPERLINK("https://pbs.twimg.com/profile_images/1543970582823329795/L1SCwUt2_normal.jpg")</f>
        <v>https://pbs.twimg.com/profile_images/1543970582823329795/L1SCwUt2_normal.jpg</v>
      </c>
      <c r="AW553" s="82" t="s">
        <v>13654</v>
      </c>
      <c r="AX553" s="82" t="s">
        <v>13654</v>
      </c>
      <c r="AY553" s="77"/>
      <c r="AZ553" s="82" t="s">
        <v>17385</v>
      </c>
      <c r="BA553" s="82" t="s">
        <v>17385</v>
      </c>
      <c r="BB553" s="82" t="s">
        <v>17385</v>
      </c>
      <c r="BC553" s="82" t="s">
        <v>13654</v>
      </c>
      <c r="BD553" s="77">
        <v>71041666</v>
      </c>
      <c r="BE553" s="77"/>
      <c r="BF553" s="77"/>
      <c r="BG553" s="77"/>
      <c r="BH553" s="77"/>
      <c r="BI553" s="77"/>
    </row>
    <row r="554" spans="1:61" x14ac:dyDescent="0.25">
      <c r="A554" s="62" t="s">
        <v>358</v>
      </c>
      <c r="B554" s="62" t="s">
        <v>747</v>
      </c>
      <c r="C554" s="63"/>
      <c r="D554" s="64"/>
      <c r="E554" s="65"/>
      <c r="F554" s="66"/>
      <c r="G554" s="63"/>
      <c r="H554" s="67"/>
      <c r="I554" s="68"/>
      <c r="J554" s="68"/>
      <c r="K554" s="32"/>
      <c r="L554" s="75">
        <v>554</v>
      </c>
      <c r="M554" s="75"/>
      <c r="N554" s="70"/>
      <c r="O554" s="77" t="s">
        <v>802</v>
      </c>
      <c r="P554" s="79">
        <v>45092.623298611114</v>
      </c>
      <c r="Q554" s="77" t="s">
        <v>1351</v>
      </c>
      <c r="R554" s="77">
        <v>0</v>
      </c>
      <c r="S554" s="77">
        <v>1</v>
      </c>
      <c r="T554" s="77">
        <v>1</v>
      </c>
      <c r="U554" s="77">
        <v>0</v>
      </c>
      <c r="V554" s="77">
        <v>117</v>
      </c>
      <c r="W554" s="82" t="s">
        <v>5101</v>
      </c>
      <c r="X554" s="77"/>
      <c r="Y554" s="77"/>
      <c r="Z554" s="77" t="s">
        <v>747</v>
      </c>
      <c r="AA554" s="77" t="s">
        <v>7569</v>
      </c>
      <c r="AB554" s="77" t="s">
        <v>8225</v>
      </c>
      <c r="AC554" s="82" t="s">
        <v>8234</v>
      </c>
      <c r="AD554" s="77" t="s">
        <v>8278</v>
      </c>
      <c r="AE554" s="80" t="str">
        <f>HYPERLINK("https://twitter.com/careca4p/status/1669358488907296768")</f>
        <v>https://twitter.com/careca4p/status/1669358488907296768</v>
      </c>
      <c r="AF554" s="79">
        <v>45092.623298611114</v>
      </c>
      <c r="AG554" s="85">
        <v>45092</v>
      </c>
      <c r="AH554" s="82" t="s">
        <v>8799</v>
      </c>
      <c r="AI554" s="77" t="b">
        <v>0</v>
      </c>
      <c r="AJ554" s="77"/>
      <c r="AK554" s="77"/>
      <c r="AL554" s="77"/>
      <c r="AM554" s="77"/>
      <c r="AN554" s="77"/>
      <c r="AO554" s="77"/>
      <c r="AP554" s="77"/>
      <c r="AQ554" s="77" t="s">
        <v>12454</v>
      </c>
      <c r="AR554" s="77"/>
      <c r="AS554" s="77"/>
      <c r="AT554" s="77"/>
      <c r="AU554" s="77"/>
      <c r="AV554" s="80" t="str">
        <f>HYPERLINK("https://pbs.twimg.com/media/FyrAssMagAIjwWg.jpg")</f>
        <v>https://pbs.twimg.com/media/FyrAssMagAIjwWg.jpg</v>
      </c>
      <c r="AW554" s="82" t="s">
        <v>13655</v>
      </c>
      <c r="AX554" s="82" t="s">
        <v>13655</v>
      </c>
      <c r="AY554" s="77"/>
      <c r="AZ554" s="82" t="s">
        <v>17385</v>
      </c>
      <c r="BA554" s="82" t="s">
        <v>17385</v>
      </c>
      <c r="BB554" s="82" t="s">
        <v>17385</v>
      </c>
      <c r="BC554" s="82" t="s">
        <v>13655</v>
      </c>
      <c r="BD554" s="77">
        <v>276983166</v>
      </c>
      <c r="BE554" s="77"/>
      <c r="BF554" s="77"/>
      <c r="BG554" s="77"/>
      <c r="BH554" s="77"/>
      <c r="BI554" s="77"/>
    </row>
    <row r="555" spans="1:61" x14ac:dyDescent="0.25">
      <c r="A555" s="62" t="s">
        <v>358</v>
      </c>
      <c r="B555" s="62" t="s">
        <v>748</v>
      </c>
      <c r="C555" s="63"/>
      <c r="D555" s="64"/>
      <c r="E555" s="65"/>
      <c r="F555" s="66"/>
      <c r="G555" s="63"/>
      <c r="H555" s="67"/>
      <c r="I555" s="68"/>
      <c r="J555" s="68"/>
      <c r="K555" s="32"/>
      <c r="L555" s="75">
        <v>555</v>
      </c>
      <c r="M555" s="75"/>
      <c r="N555" s="70"/>
      <c r="O555" s="77" t="s">
        <v>805</v>
      </c>
      <c r="P555" s="79">
        <v>45139.044791666667</v>
      </c>
      <c r="Q555" s="77" t="s">
        <v>1352</v>
      </c>
      <c r="R555" s="77">
        <v>0</v>
      </c>
      <c r="S555" s="77">
        <v>1</v>
      </c>
      <c r="T555" s="77">
        <v>0</v>
      </c>
      <c r="U555" s="77">
        <v>0</v>
      </c>
      <c r="V555" s="77">
        <v>331</v>
      </c>
      <c r="W555" s="82" t="s">
        <v>5102</v>
      </c>
      <c r="X555" s="77"/>
      <c r="Y555" s="77"/>
      <c r="Z555" s="77" t="s">
        <v>7156</v>
      </c>
      <c r="AA555" s="77"/>
      <c r="AB555" s="77"/>
      <c r="AC555" s="82" t="s">
        <v>8234</v>
      </c>
      <c r="AD555" s="77" t="s">
        <v>8278</v>
      </c>
      <c r="AE555" s="80" t="str">
        <f>HYPERLINK("https://twitter.com/careca4p/status/1686181075100303360")</f>
        <v>https://twitter.com/careca4p/status/1686181075100303360</v>
      </c>
      <c r="AF555" s="79">
        <v>45139.044791666667</v>
      </c>
      <c r="AG555" s="85">
        <v>45139</v>
      </c>
      <c r="AH555" s="82" t="s">
        <v>8800</v>
      </c>
      <c r="AI555" s="77"/>
      <c r="AJ555" s="77"/>
      <c r="AK555" s="77"/>
      <c r="AL555" s="77"/>
      <c r="AM555" s="77"/>
      <c r="AN555" s="77"/>
      <c r="AO555" s="77"/>
      <c r="AP555" s="77"/>
      <c r="AQ555" s="77"/>
      <c r="AR555" s="77"/>
      <c r="AS555" s="77"/>
      <c r="AT555" s="77"/>
      <c r="AU555" s="77"/>
      <c r="AV555" s="80" t="str">
        <f>HYPERLINK("https://pbs.twimg.com/profile_images/1683664075098669057/erdBkVoh_normal.jpg")</f>
        <v>https://pbs.twimg.com/profile_images/1683664075098669057/erdBkVoh_normal.jpg</v>
      </c>
      <c r="AW555" s="82" t="s">
        <v>13656</v>
      </c>
      <c r="AX555" s="82" t="s">
        <v>17161</v>
      </c>
      <c r="AY555" s="82" t="s">
        <v>17333</v>
      </c>
      <c r="AZ555" s="82" t="s">
        <v>17400</v>
      </c>
      <c r="BA555" s="82" t="s">
        <v>17385</v>
      </c>
      <c r="BB555" s="82" t="s">
        <v>17385</v>
      </c>
      <c r="BC555" s="82" t="s">
        <v>17400</v>
      </c>
      <c r="BD555" s="77">
        <v>276983166</v>
      </c>
      <c r="BE555" s="77"/>
      <c r="BF555" s="77"/>
      <c r="BG555" s="77"/>
      <c r="BH555" s="77"/>
      <c r="BI555" s="77"/>
    </row>
    <row r="556" spans="1:61" x14ac:dyDescent="0.25">
      <c r="A556" s="62" t="s">
        <v>358</v>
      </c>
      <c r="B556" s="62" t="s">
        <v>749</v>
      </c>
      <c r="C556" s="63"/>
      <c r="D556" s="64"/>
      <c r="E556" s="65"/>
      <c r="F556" s="66"/>
      <c r="G556" s="63"/>
      <c r="H556" s="67"/>
      <c r="I556" s="68"/>
      <c r="J556" s="68"/>
      <c r="K556" s="32"/>
      <c r="L556" s="75">
        <v>556</v>
      </c>
      <c r="M556" s="75"/>
      <c r="N556" s="70"/>
      <c r="O556" s="77" t="s">
        <v>800</v>
      </c>
      <c r="P556" s="79">
        <v>45152.883252314816</v>
      </c>
      <c r="Q556" s="77" t="s">
        <v>1353</v>
      </c>
      <c r="R556" s="77">
        <v>0</v>
      </c>
      <c r="S556" s="77">
        <v>0</v>
      </c>
      <c r="T556" s="77">
        <v>0</v>
      </c>
      <c r="U556" s="77">
        <v>0</v>
      </c>
      <c r="V556" s="77">
        <v>49</v>
      </c>
      <c r="W556" s="82" t="s">
        <v>5103</v>
      </c>
      <c r="X556" s="77"/>
      <c r="Y556" s="77"/>
      <c r="Z556" s="77" t="s">
        <v>749</v>
      </c>
      <c r="AA556" s="77" t="s">
        <v>7570</v>
      </c>
      <c r="AB556" s="77" t="s">
        <v>8225</v>
      </c>
      <c r="AC556" s="82" t="s">
        <v>8234</v>
      </c>
      <c r="AD556" s="77" t="s">
        <v>8278</v>
      </c>
      <c r="AE556" s="80" t="str">
        <f>HYPERLINK("https://twitter.com/careca4p/status/1691195962713116672")</f>
        <v>https://twitter.com/careca4p/status/1691195962713116672</v>
      </c>
      <c r="AF556" s="79">
        <v>45152.883252314816</v>
      </c>
      <c r="AG556" s="85">
        <v>45152</v>
      </c>
      <c r="AH556" s="82" t="s">
        <v>8801</v>
      </c>
      <c r="AI556" s="77" t="b">
        <v>0</v>
      </c>
      <c r="AJ556" s="77"/>
      <c r="AK556" s="77"/>
      <c r="AL556" s="77"/>
      <c r="AM556" s="77"/>
      <c r="AN556" s="77"/>
      <c r="AO556" s="77"/>
      <c r="AP556" s="77"/>
      <c r="AQ556" s="77" t="s">
        <v>12455</v>
      </c>
      <c r="AR556" s="77"/>
      <c r="AS556" s="77"/>
      <c r="AT556" s="77"/>
      <c r="AU556" s="77"/>
      <c r="AV556" s="80" t="str">
        <f>HYPERLINK("https://pbs.twimg.com/media/F3hVw-uWUAAxMXn.jpg")</f>
        <v>https://pbs.twimg.com/media/F3hVw-uWUAAxMXn.jpg</v>
      </c>
      <c r="AW556" s="82" t="s">
        <v>13657</v>
      </c>
      <c r="AX556" s="82" t="s">
        <v>17162</v>
      </c>
      <c r="AY556" s="82" t="s">
        <v>17334</v>
      </c>
      <c r="AZ556" s="82" t="s">
        <v>17162</v>
      </c>
      <c r="BA556" s="82" t="s">
        <v>17385</v>
      </c>
      <c r="BB556" s="82" t="s">
        <v>17385</v>
      </c>
      <c r="BC556" s="82" t="s">
        <v>17162</v>
      </c>
      <c r="BD556" s="77">
        <v>276983166</v>
      </c>
      <c r="BE556" s="77"/>
      <c r="BF556" s="77"/>
      <c r="BG556" s="77"/>
      <c r="BH556" s="77"/>
      <c r="BI556" s="77"/>
    </row>
    <row r="557" spans="1:61" x14ac:dyDescent="0.25">
      <c r="A557" s="62" t="s">
        <v>358</v>
      </c>
      <c r="B557" s="62" t="s">
        <v>750</v>
      </c>
      <c r="C557" s="63"/>
      <c r="D557" s="64"/>
      <c r="E557" s="65"/>
      <c r="F557" s="66"/>
      <c r="G557" s="63"/>
      <c r="H557" s="67"/>
      <c r="I557" s="68"/>
      <c r="J557" s="68"/>
      <c r="K557" s="32"/>
      <c r="L557" s="75">
        <v>557</v>
      </c>
      <c r="M557" s="75"/>
      <c r="N557" s="70"/>
      <c r="O557" s="77" t="s">
        <v>800</v>
      </c>
      <c r="P557" s="79">
        <v>45119.691724537035</v>
      </c>
      <c r="Q557" s="77" t="s">
        <v>1354</v>
      </c>
      <c r="R557" s="77">
        <v>0</v>
      </c>
      <c r="S557" s="77">
        <v>13</v>
      </c>
      <c r="T557" s="77">
        <v>2</v>
      </c>
      <c r="U557" s="77">
        <v>0</v>
      </c>
      <c r="V557" s="77">
        <v>394</v>
      </c>
      <c r="W557" s="82" t="s">
        <v>5104</v>
      </c>
      <c r="X557" s="77"/>
      <c r="Y557" s="77"/>
      <c r="Z557" s="77" t="s">
        <v>750</v>
      </c>
      <c r="AA557" s="77" t="s">
        <v>7571</v>
      </c>
      <c r="AB557" s="77" t="s">
        <v>8226</v>
      </c>
      <c r="AC557" s="82" t="s">
        <v>8234</v>
      </c>
      <c r="AD557" s="77" t="s">
        <v>8278</v>
      </c>
      <c r="AE557" s="80" t="str">
        <f>HYPERLINK("https://twitter.com/careca4p/status/1679167757286359050")</f>
        <v>https://twitter.com/careca4p/status/1679167757286359050</v>
      </c>
      <c r="AF557" s="79">
        <v>45119.691724537035</v>
      </c>
      <c r="AG557" s="85">
        <v>45119</v>
      </c>
      <c r="AH557" s="82" t="s">
        <v>8802</v>
      </c>
      <c r="AI557" s="77" t="b">
        <v>0</v>
      </c>
      <c r="AJ557" s="77"/>
      <c r="AK557" s="77"/>
      <c r="AL557" s="77"/>
      <c r="AM557" s="77"/>
      <c r="AN557" s="77"/>
      <c r="AO557" s="77"/>
      <c r="AP557" s="77"/>
      <c r="AQ557" s="77" t="s">
        <v>12456</v>
      </c>
      <c r="AR557" s="77"/>
      <c r="AS557" s="77"/>
      <c r="AT557" s="77"/>
      <c r="AU557" s="77"/>
      <c r="AV557" s="80" t="str">
        <f>HYPERLINK("https://pbs.twimg.com/media/F02aLHJXwAAchB8.jpg")</f>
        <v>https://pbs.twimg.com/media/F02aLHJXwAAchB8.jpg</v>
      </c>
      <c r="AW557" s="82" t="s">
        <v>13658</v>
      </c>
      <c r="AX557" s="82" t="s">
        <v>17163</v>
      </c>
      <c r="AY557" s="82" t="s">
        <v>17335</v>
      </c>
      <c r="AZ557" s="82" t="s">
        <v>17163</v>
      </c>
      <c r="BA557" s="82" t="s">
        <v>17385</v>
      </c>
      <c r="BB557" s="82" t="s">
        <v>17385</v>
      </c>
      <c r="BC557" s="82" t="s">
        <v>17163</v>
      </c>
      <c r="BD557" s="77">
        <v>276983166</v>
      </c>
      <c r="BE557" s="77"/>
      <c r="BF557" s="77"/>
      <c r="BG557" s="77"/>
      <c r="BH557" s="77"/>
      <c r="BI557" s="77"/>
    </row>
    <row r="558" spans="1:61" x14ac:dyDescent="0.25">
      <c r="A558" s="62" t="s">
        <v>358</v>
      </c>
      <c r="B558" s="62" t="s">
        <v>751</v>
      </c>
      <c r="C558" s="63"/>
      <c r="D558" s="64"/>
      <c r="E558" s="65"/>
      <c r="F558" s="66"/>
      <c r="G558" s="63"/>
      <c r="H558" s="67"/>
      <c r="I558" s="68"/>
      <c r="J558" s="68"/>
      <c r="K558" s="32"/>
      <c r="L558" s="75">
        <v>558</v>
      </c>
      <c r="M558" s="75"/>
      <c r="N558" s="70"/>
      <c r="O558" s="77" t="s">
        <v>800</v>
      </c>
      <c r="P558" s="79">
        <v>45139.044791666667</v>
      </c>
      <c r="Q558" s="77" t="s">
        <v>1352</v>
      </c>
      <c r="R558" s="77">
        <v>0</v>
      </c>
      <c r="S558" s="77">
        <v>1</v>
      </c>
      <c r="T558" s="77">
        <v>0</v>
      </c>
      <c r="U558" s="77">
        <v>0</v>
      </c>
      <c r="V558" s="77">
        <v>331</v>
      </c>
      <c r="W558" s="82" t="s">
        <v>5102</v>
      </c>
      <c r="X558" s="77"/>
      <c r="Y558" s="77"/>
      <c r="Z558" s="77" t="s">
        <v>7156</v>
      </c>
      <c r="AA558" s="77"/>
      <c r="AB558" s="77"/>
      <c r="AC558" s="82" t="s">
        <v>8234</v>
      </c>
      <c r="AD558" s="77" t="s">
        <v>8278</v>
      </c>
      <c r="AE558" s="80" t="str">
        <f>HYPERLINK("https://twitter.com/careca4p/status/1686181075100303360")</f>
        <v>https://twitter.com/careca4p/status/1686181075100303360</v>
      </c>
      <c r="AF558" s="79">
        <v>45139.044791666667</v>
      </c>
      <c r="AG558" s="85">
        <v>45139</v>
      </c>
      <c r="AH558" s="82" t="s">
        <v>8800</v>
      </c>
      <c r="AI558" s="77"/>
      <c r="AJ558" s="77"/>
      <c r="AK558" s="77"/>
      <c r="AL558" s="77"/>
      <c r="AM558" s="77"/>
      <c r="AN558" s="77"/>
      <c r="AO558" s="77"/>
      <c r="AP558" s="77"/>
      <c r="AQ558" s="77"/>
      <c r="AR558" s="77"/>
      <c r="AS558" s="77"/>
      <c r="AT558" s="77"/>
      <c r="AU558" s="77"/>
      <c r="AV558" s="80" t="str">
        <f>HYPERLINK("https://pbs.twimg.com/profile_images/1683664075098669057/erdBkVoh_normal.jpg")</f>
        <v>https://pbs.twimg.com/profile_images/1683664075098669057/erdBkVoh_normal.jpg</v>
      </c>
      <c r="AW558" s="82" t="s">
        <v>13656</v>
      </c>
      <c r="AX558" s="82" t="s">
        <v>17161</v>
      </c>
      <c r="AY558" s="82" t="s">
        <v>17333</v>
      </c>
      <c r="AZ558" s="82" t="s">
        <v>17400</v>
      </c>
      <c r="BA558" s="82" t="s">
        <v>17385</v>
      </c>
      <c r="BB558" s="82" t="s">
        <v>17385</v>
      </c>
      <c r="BC558" s="82" t="s">
        <v>17400</v>
      </c>
      <c r="BD558" s="77">
        <v>276983166</v>
      </c>
      <c r="BE558" s="77"/>
      <c r="BF558" s="77"/>
      <c r="BG558" s="77"/>
      <c r="BH558" s="77"/>
      <c r="BI558" s="77"/>
    </row>
    <row r="559" spans="1:61" x14ac:dyDescent="0.25">
      <c r="A559" s="62" t="s">
        <v>358</v>
      </c>
      <c r="B559" s="62" t="s">
        <v>751</v>
      </c>
      <c r="C559" s="63"/>
      <c r="D559" s="64"/>
      <c r="E559" s="65"/>
      <c r="F559" s="66"/>
      <c r="G559" s="63"/>
      <c r="H559" s="67"/>
      <c r="I559" s="68"/>
      <c r="J559" s="68"/>
      <c r="K559" s="32"/>
      <c r="L559" s="75">
        <v>559</v>
      </c>
      <c r="M559" s="75"/>
      <c r="N559" s="70"/>
      <c r="O559" s="77" t="s">
        <v>800</v>
      </c>
      <c r="P559" s="79">
        <v>45156.610173611109</v>
      </c>
      <c r="Q559" s="77" t="s">
        <v>1355</v>
      </c>
      <c r="R559" s="77">
        <v>0</v>
      </c>
      <c r="S559" s="77">
        <v>0</v>
      </c>
      <c r="T559" s="77">
        <v>0</v>
      </c>
      <c r="U559" s="77">
        <v>0</v>
      </c>
      <c r="V559" s="77">
        <v>113</v>
      </c>
      <c r="W559" s="82" t="s">
        <v>4835</v>
      </c>
      <c r="X559" s="77"/>
      <c r="Y559" s="77"/>
      <c r="Z559" s="77" t="s">
        <v>751</v>
      </c>
      <c r="AA559" s="77"/>
      <c r="AB559" s="77"/>
      <c r="AC559" s="82" t="s">
        <v>8234</v>
      </c>
      <c r="AD559" s="77" t="s">
        <v>8278</v>
      </c>
      <c r="AE559" s="80" t="str">
        <f>HYPERLINK("https://twitter.com/careca4p/status/1692546554924499218")</f>
        <v>https://twitter.com/careca4p/status/1692546554924499218</v>
      </c>
      <c r="AF559" s="79">
        <v>45156.610173611109</v>
      </c>
      <c r="AG559" s="85">
        <v>45156</v>
      </c>
      <c r="AH559" s="82" t="s">
        <v>8803</v>
      </c>
      <c r="AI559" s="77"/>
      <c r="AJ559" s="77"/>
      <c r="AK559" s="77"/>
      <c r="AL559" s="77"/>
      <c r="AM559" s="77"/>
      <c r="AN559" s="77"/>
      <c r="AO559" s="77"/>
      <c r="AP559" s="77"/>
      <c r="AQ559" s="77"/>
      <c r="AR559" s="77"/>
      <c r="AS559" s="77"/>
      <c r="AT559" s="77"/>
      <c r="AU559" s="77"/>
      <c r="AV559" s="80" t="str">
        <f>HYPERLINK("https://pbs.twimg.com/profile_images/1683664075098669057/erdBkVoh_normal.jpg")</f>
        <v>https://pbs.twimg.com/profile_images/1683664075098669057/erdBkVoh_normal.jpg</v>
      </c>
      <c r="AW559" s="82" t="s">
        <v>13659</v>
      </c>
      <c r="AX559" s="82" t="s">
        <v>17164</v>
      </c>
      <c r="AY559" s="82" t="s">
        <v>17333</v>
      </c>
      <c r="AZ559" s="82" t="s">
        <v>17164</v>
      </c>
      <c r="BA559" s="82" t="s">
        <v>17385</v>
      </c>
      <c r="BB559" s="82" t="s">
        <v>17385</v>
      </c>
      <c r="BC559" s="82" t="s">
        <v>17164</v>
      </c>
      <c r="BD559" s="77">
        <v>276983166</v>
      </c>
      <c r="BE559" s="77"/>
      <c r="BF559" s="77"/>
      <c r="BG559" s="77"/>
      <c r="BH559" s="77"/>
      <c r="BI559" s="77"/>
    </row>
    <row r="560" spans="1:61" x14ac:dyDescent="0.25">
      <c r="A560" s="62" t="s">
        <v>359</v>
      </c>
      <c r="B560" s="62" t="s">
        <v>359</v>
      </c>
      <c r="C560" s="63"/>
      <c r="D560" s="64"/>
      <c r="E560" s="65"/>
      <c r="F560" s="66"/>
      <c r="G560" s="63"/>
      <c r="H560" s="67"/>
      <c r="I560" s="68"/>
      <c r="J560" s="68"/>
      <c r="K560" s="32"/>
      <c r="L560" s="75">
        <v>560</v>
      </c>
      <c r="M560" s="75"/>
      <c r="N560" s="70"/>
      <c r="O560" s="77" t="s">
        <v>179</v>
      </c>
      <c r="P560" s="79">
        <v>45125.833344907405</v>
      </c>
      <c r="Q560" s="77" t="s">
        <v>1356</v>
      </c>
      <c r="R560" s="77">
        <v>1</v>
      </c>
      <c r="S560" s="77">
        <v>1</v>
      </c>
      <c r="T560" s="77">
        <v>0</v>
      </c>
      <c r="U560" s="77">
        <v>0</v>
      </c>
      <c r="V560" s="77">
        <v>504</v>
      </c>
      <c r="W560" s="82" t="s">
        <v>5105</v>
      </c>
      <c r="X560" s="77"/>
      <c r="Y560" s="77"/>
      <c r="Z560" s="77"/>
      <c r="AA560" s="77" t="s">
        <v>7572</v>
      </c>
      <c r="AB560" s="77" t="s">
        <v>8227</v>
      </c>
      <c r="AC560" s="82" t="s">
        <v>8232</v>
      </c>
      <c r="AD560" s="77" t="s">
        <v>8278</v>
      </c>
      <c r="AE560" s="80" t="str">
        <f>HYPERLINK("https://twitter.com/anbima_br/status/1681393407028248576")</f>
        <v>https://twitter.com/anbima_br/status/1681393407028248576</v>
      </c>
      <c r="AF560" s="79">
        <v>45125.833344907405</v>
      </c>
      <c r="AG560" s="85">
        <v>45125</v>
      </c>
      <c r="AH560" s="82" t="s">
        <v>8804</v>
      </c>
      <c r="AI560" s="77" t="b">
        <v>0</v>
      </c>
      <c r="AJ560" s="77"/>
      <c r="AK560" s="77"/>
      <c r="AL560" s="77"/>
      <c r="AM560" s="77"/>
      <c r="AN560" s="77"/>
      <c r="AO560" s="77"/>
      <c r="AP560" s="77"/>
      <c r="AQ560" s="77" t="s">
        <v>12457</v>
      </c>
      <c r="AR560" s="77">
        <v>43833</v>
      </c>
      <c r="AS560" s="77"/>
      <c r="AT560" s="77"/>
      <c r="AU560" s="77"/>
      <c r="AV560" s="80" t="str">
        <f>HYPERLINK("https://pbs.twimg.com/ext_tw_video_thumb/1681390508289949711/pu/img/gQY1luw_sBLYd3RF.jpg")</f>
        <v>https://pbs.twimg.com/ext_tw_video_thumb/1681390508289949711/pu/img/gQY1luw_sBLYd3RF.jpg</v>
      </c>
      <c r="AW560" s="82" t="s">
        <v>13660</v>
      </c>
      <c r="AX560" s="82" t="s">
        <v>13660</v>
      </c>
      <c r="AY560" s="77"/>
      <c r="AZ560" s="82" t="s">
        <v>17385</v>
      </c>
      <c r="BA560" s="82" t="s">
        <v>17385</v>
      </c>
      <c r="BB560" s="82" t="s">
        <v>17385</v>
      </c>
      <c r="BC560" s="82" t="s">
        <v>13660</v>
      </c>
      <c r="BD560" s="77">
        <v>399598534</v>
      </c>
      <c r="BE560" s="77"/>
      <c r="BF560" s="77"/>
      <c r="BG560" s="77"/>
      <c r="BH560" s="77"/>
      <c r="BI560" s="77"/>
    </row>
    <row r="561" spans="1:61" x14ac:dyDescent="0.25">
      <c r="A561" s="62" t="s">
        <v>358</v>
      </c>
      <c r="B561" s="62" t="s">
        <v>359</v>
      </c>
      <c r="C561" s="63"/>
      <c r="D561" s="64"/>
      <c r="E561" s="65"/>
      <c r="F561" s="66"/>
      <c r="G561" s="63"/>
      <c r="H561" s="67"/>
      <c r="I561" s="68"/>
      <c r="J561" s="68"/>
      <c r="K561" s="32"/>
      <c r="L561" s="75">
        <v>561</v>
      </c>
      <c r="M561" s="75"/>
      <c r="N561" s="70"/>
      <c r="O561" s="77" t="s">
        <v>805</v>
      </c>
      <c r="P561" s="79">
        <v>45171.121550925927</v>
      </c>
      <c r="Q561" s="77" t="s">
        <v>1357</v>
      </c>
      <c r="R561" s="77">
        <v>0</v>
      </c>
      <c r="S561" s="77">
        <v>0</v>
      </c>
      <c r="T561" s="77">
        <v>0</v>
      </c>
      <c r="U561" s="77">
        <v>0</v>
      </c>
      <c r="V561" s="77">
        <v>455</v>
      </c>
      <c r="W561" s="82" t="s">
        <v>5103</v>
      </c>
      <c r="X561" s="77"/>
      <c r="Y561" s="77"/>
      <c r="Z561" s="77" t="s">
        <v>7157</v>
      </c>
      <c r="AA561" s="77" t="s">
        <v>7573</v>
      </c>
      <c r="AB561" s="77" t="s">
        <v>8225</v>
      </c>
      <c r="AC561" s="82" t="s">
        <v>8234</v>
      </c>
      <c r="AD561" s="77" t="s">
        <v>8278</v>
      </c>
      <c r="AE561" s="80" t="str">
        <f>HYPERLINK("https://twitter.com/careca4p/status/1697805303025221707")</f>
        <v>https://twitter.com/careca4p/status/1697805303025221707</v>
      </c>
      <c r="AF561" s="79">
        <v>45171.121550925927</v>
      </c>
      <c r="AG561" s="85">
        <v>45171</v>
      </c>
      <c r="AH561" s="82" t="s">
        <v>8805</v>
      </c>
      <c r="AI561" s="77" t="b">
        <v>0</v>
      </c>
      <c r="AJ561" s="77"/>
      <c r="AK561" s="77"/>
      <c r="AL561" s="77"/>
      <c r="AM561" s="77"/>
      <c r="AN561" s="77"/>
      <c r="AO561" s="77"/>
      <c r="AP561" s="77"/>
      <c r="AQ561" s="77" t="s">
        <v>12458</v>
      </c>
      <c r="AR561" s="77"/>
      <c r="AS561" s="77"/>
      <c r="AT561" s="77"/>
      <c r="AU561" s="77"/>
      <c r="AV561" s="80" t="str">
        <f>HYPERLINK("https://pbs.twimg.com/media/F4_Q7QPXoAAc03x.jpg")</f>
        <v>https://pbs.twimg.com/media/F4_Q7QPXoAAc03x.jpg</v>
      </c>
      <c r="AW561" s="82" t="s">
        <v>13661</v>
      </c>
      <c r="AX561" s="82" t="s">
        <v>17165</v>
      </c>
      <c r="AY561" s="82" t="s">
        <v>17336</v>
      </c>
      <c r="AZ561" s="82" t="s">
        <v>17165</v>
      </c>
      <c r="BA561" s="82" t="s">
        <v>17385</v>
      </c>
      <c r="BB561" s="82" t="s">
        <v>17385</v>
      </c>
      <c r="BC561" s="82" t="s">
        <v>17165</v>
      </c>
      <c r="BD561" s="77">
        <v>276983166</v>
      </c>
      <c r="BE561" s="77"/>
      <c r="BF561" s="77"/>
      <c r="BG561" s="77"/>
      <c r="BH561" s="77"/>
      <c r="BI561" s="77"/>
    </row>
    <row r="562" spans="1:61" x14ac:dyDescent="0.25">
      <c r="A562" s="62" t="s">
        <v>358</v>
      </c>
      <c r="B562" s="62" t="s">
        <v>752</v>
      </c>
      <c r="C562" s="63"/>
      <c r="D562" s="64"/>
      <c r="E562" s="65"/>
      <c r="F562" s="66"/>
      <c r="G562" s="63"/>
      <c r="H562" s="67"/>
      <c r="I562" s="68"/>
      <c r="J562" s="68"/>
      <c r="K562" s="32"/>
      <c r="L562" s="75">
        <v>562</v>
      </c>
      <c r="M562" s="75"/>
      <c r="N562" s="70"/>
      <c r="O562" s="77" t="s">
        <v>800</v>
      </c>
      <c r="P562" s="79">
        <v>45171.121550925927</v>
      </c>
      <c r="Q562" s="77" t="s">
        <v>1357</v>
      </c>
      <c r="R562" s="77">
        <v>0</v>
      </c>
      <c r="S562" s="77">
        <v>0</v>
      </c>
      <c r="T562" s="77">
        <v>0</v>
      </c>
      <c r="U562" s="77">
        <v>0</v>
      </c>
      <c r="V562" s="77">
        <v>455</v>
      </c>
      <c r="W562" s="82" t="s">
        <v>5103</v>
      </c>
      <c r="X562" s="77"/>
      <c r="Y562" s="77"/>
      <c r="Z562" s="77" t="s">
        <v>7157</v>
      </c>
      <c r="AA562" s="77" t="s">
        <v>7573</v>
      </c>
      <c r="AB562" s="77" t="s">
        <v>8225</v>
      </c>
      <c r="AC562" s="82" t="s">
        <v>8234</v>
      </c>
      <c r="AD562" s="77" t="s">
        <v>8278</v>
      </c>
      <c r="AE562" s="80" t="str">
        <f>HYPERLINK("https://twitter.com/careca4p/status/1697805303025221707")</f>
        <v>https://twitter.com/careca4p/status/1697805303025221707</v>
      </c>
      <c r="AF562" s="79">
        <v>45171.121550925927</v>
      </c>
      <c r="AG562" s="85">
        <v>45171</v>
      </c>
      <c r="AH562" s="82" t="s">
        <v>8805</v>
      </c>
      <c r="AI562" s="77" t="b">
        <v>0</v>
      </c>
      <c r="AJ562" s="77"/>
      <c r="AK562" s="77"/>
      <c r="AL562" s="77"/>
      <c r="AM562" s="77"/>
      <c r="AN562" s="77"/>
      <c r="AO562" s="77"/>
      <c r="AP562" s="77"/>
      <c r="AQ562" s="77" t="s">
        <v>12458</v>
      </c>
      <c r="AR562" s="77"/>
      <c r="AS562" s="77"/>
      <c r="AT562" s="77"/>
      <c r="AU562" s="77"/>
      <c r="AV562" s="80" t="str">
        <f>HYPERLINK("https://pbs.twimg.com/media/F4_Q7QPXoAAc03x.jpg")</f>
        <v>https://pbs.twimg.com/media/F4_Q7QPXoAAc03x.jpg</v>
      </c>
      <c r="AW562" s="82" t="s">
        <v>13661</v>
      </c>
      <c r="AX562" s="82" t="s">
        <v>17165</v>
      </c>
      <c r="AY562" s="82" t="s">
        <v>17336</v>
      </c>
      <c r="AZ562" s="82" t="s">
        <v>17165</v>
      </c>
      <c r="BA562" s="82" t="s">
        <v>17385</v>
      </c>
      <c r="BB562" s="82" t="s">
        <v>17385</v>
      </c>
      <c r="BC562" s="82" t="s">
        <v>17165</v>
      </c>
      <c r="BD562" s="77">
        <v>276983166</v>
      </c>
      <c r="BE562" s="77"/>
      <c r="BF562" s="77"/>
      <c r="BG562" s="77"/>
      <c r="BH562" s="77"/>
      <c r="BI562" s="77"/>
    </row>
    <row r="563" spans="1:61" x14ac:dyDescent="0.25">
      <c r="A563" s="62" t="s">
        <v>358</v>
      </c>
      <c r="B563" s="62" t="s">
        <v>753</v>
      </c>
      <c r="C563" s="63"/>
      <c r="D563" s="64"/>
      <c r="E563" s="65"/>
      <c r="F563" s="66"/>
      <c r="G563" s="63"/>
      <c r="H563" s="67"/>
      <c r="I563" s="68"/>
      <c r="J563" s="68"/>
      <c r="K563" s="32"/>
      <c r="L563" s="75">
        <v>563</v>
      </c>
      <c r="M563" s="75"/>
      <c r="N563" s="70"/>
      <c r="O563" s="77" t="s">
        <v>802</v>
      </c>
      <c r="P563" s="79">
        <v>45143.861967592595</v>
      </c>
      <c r="Q563" s="77" t="s">
        <v>1358</v>
      </c>
      <c r="R563" s="77">
        <v>0</v>
      </c>
      <c r="S563" s="77">
        <v>0</v>
      </c>
      <c r="T563" s="77">
        <v>1</v>
      </c>
      <c r="U563" s="77">
        <v>0</v>
      </c>
      <c r="V563" s="77">
        <v>30</v>
      </c>
      <c r="W563" s="82" t="s">
        <v>5106</v>
      </c>
      <c r="X563" s="77"/>
      <c r="Y563" s="77"/>
      <c r="Z563" s="77" t="s">
        <v>7158</v>
      </c>
      <c r="AA563" s="77" t="s">
        <v>7574</v>
      </c>
      <c r="AB563" s="77" t="s">
        <v>8225</v>
      </c>
      <c r="AC563" s="82" t="s">
        <v>8234</v>
      </c>
      <c r="AD563" s="77" t="s">
        <v>8280</v>
      </c>
      <c r="AE563" s="80" t="str">
        <f>HYPERLINK("https://twitter.com/careca4p/status/1687926761156227072")</f>
        <v>https://twitter.com/careca4p/status/1687926761156227072</v>
      </c>
      <c r="AF563" s="79">
        <v>45143.861967592595</v>
      </c>
      <c r="AG563" s="85">
        <v>45143</v>
      </c>
      <c r="AH563" s="82" t="s">
        <v>8806</v>
      </c>
      <c r="AI563" s="77" t="b">
        <v>0</v>
      </c>
      <c r="AJ563" s="77"/>
      <c r="AK563" s="77"/>
      <c r="AL563" s="77"/>
      <c r="AM563" s="77"/>
      <c r="AN563" s="77"/>
      <c r="AO563" s="77"/>
      <c r="AP563" s="77"/>
      <c r="AQ563" s="77" t="s">
        <v>12459</v>
      </c>
      <c r="AR563" s="77"/>
      <c r="AS563" s="77"/>
      <c r="AT563" s="77"/>
      <c r="AU563" s="77"/>
      <c r="AV563" s="80" t="str">
        <f>HYPERLINK("https://pbs.twimg.com/media/F2y4cZOWMAAT1OU.jpg")</f>
        <v>https://pbs.twimg.com/media/F2y4cZOWMAAT1OU.jpg</v>
      </c>
      <c r="AW563" s="82" t="s">
        <v>13662</v>
      </c>
      <c r="AX563" s="82" t="s">
        <v>13662</v>
      </c>
      <c r="AY563" s="82" t="s">
        <v>17337</v>
      </c>
      <c r="AZ563" s="82" t="s">
        <v>17385</v>
      </c>
      <c r="BA563" s="82" t="s">
        <v>17385</v>
      </c>
      <c r="BB563" s="82" t="s">
        <v>17385</v>
      </c>
      <c r="BC563" s="82" t="s">
        <v>13662</v>
      </c>
      <c r="BD563" s="77">
        <v>276983166</v>
      </c>
      <c r="BE563" s="77"/>
      <c r="BF563" s="77"/>
      <c r="BG563" s="77"/>
      <c r="BH563" s="77"/>
      <c r="BI563" s="77"/>
    </row>
    <row r="564" spans="1:61" x14ac:dyDescent="0.25">
      <c r="A564" s="62" t="s">
        <v>358</v>
      </c>
      <c r="B564" s="62" t="s">
        <v>358</v>
      </c>
      <c r="C564" s="63"/>
      <c r="D564" s="64"/>
      <c r="E564" s="65"/>
      <c r="F564" s="66"/>
      <c r="G564" s="63"/>
      <c r="H564" s="67"/>
      <c r="I564" s="68"/>
      <c r="J564" s="68"/>
      <c r="K564" s="32"/>
      <c r="L564" s="75">
        <v>564</v>
      </c>
      <c r="M564" s="75"/>
      <c r="N564" s="70"/>
      <c r="O564" s="77" t="s">
        <v>179</v>
      </c>
      <c r="P564" s="79">
        <v>45061.948888888888</v>
      </c>
      <c r="Q564" s="77" t="s">
        <v>1359</v>
      </c>
      <c r="R564" s="77">
        <v>0</v>
      </c>
      <c r="S564" s="77">
        <v>0</v>
      </c>
      <c r="T564" s="77">
        <v>0</v>
      </c>
      <c r="U564" s="77">
        <v>0</v>
      </c>
      <c r="V564" s="77">
        <v>12</v>
      </c>
      <c r="W564" s="82" t="s">
        <v>5107</v>
      </c>
      <c r="X564" s="77"/>
      <c r="Y564" s="77"/>
      <c r="Z564" s="77"/>
      <c r="AA564" s="77" t="s">
        <v>7575</v>
      </c>
      <c r="AB564" s="77" t="s">
        <v>8225</v>
      </c>
      <c r="AC564" s="82" t="s">
        <v>8234</v>
      </c>
      <c r="AD564" s="77" t="s">
        <v>8280</v>
      </c>
      <c r="AE564" s="80" t="str">
        <f>HYPERLINK("https://twitter.com/careca4p/status/1658242454858997761")</f>
        <v>https://twitter.com/careca4p/status/1658242454858997761</v>
      </c>
      <c r="AF564" s="79">
        <v>45061.948888888888</v>
      </c>
      <c r="AG564" s="85">
        <v>45061</v>
      </c>
      <c r="AH564" s="82" t="s">
        <v>8807</v>
      </c>
      <c r="AI564" s="77" t="b">
        <v>0</v>
      </c>
      <c r="AJ564" s="77"/>
      <c r="AK564" s="77"/>
      <c r="AL564" s="77"/>
      <c r="AM564" s="77"/>
      <c r="AN564" s="77"/>
      <c r="AO564" s="77"/>
      <c r="AP564" s="77"/>
      <c r="AQ564" s="77" t="s">
        <v>12460</v>
      </c>
      <c r="AR564" s="77"/>
      <c r="AS564" s="77"/>
      <c r="AT564" s="77"/>
      <c r="AU564" s="77"/>
      <c r="AV564" s="80" t="str">
        <f>HYPERLINK("https://pbs.twimg.com/media/FwNCuYNWIAQjnul.jpg")</f>
        <v>https://pbs.twimg.com/media/FwNCuYNWIAQjnul.jpg</v>
      </c>
      <c r="AW564" s="82" t="s">
        <v>13663</v>
      </c>
      <c r="AX564" s="82" t="s">
        <v>13663</v>
      </c>
      <c r="AY564" s="77"/>
      <c r="AZ564" s="82" t="s">
        <v>17385</v>
      </c>
      <c r="BA564" s="82" t="s">
        <v>17385</v>
      </c>
      <c r="BB564" s="82" t="s">
        <v>17385</v>
      </c>
      <c r="BC564" s="82" t="s">
        <v>13663</v>
      </c>
      <c r="BD564" s="77">
        <v>276983166</v>
      </c>
      <c r="BE564" s="77"/>
      <c r="BF564" s="77"/>
      <c r="BG564" s="77"/>
      <c r="BH564" s="77"/>
      <c r="BI564" s="77"/>
    </row>
    <row r="565" spans="1:61" x14ac:dyDescent="0.25">
      <c r="A565" s="62" t="s">
        <v>358</v>
      </c>
      <c r="B565" s="62" t="s">
        <v>358</v>
      </c>
      <c r="C565" s="63"/>
      <c r="D565" s="64"/>
      <c r="E565" s="65"/>
      <c r="F565" s="66"/>
      <c r="G565" s="63"/>
      <c r="H565" s="67"/>
      <c r="I565" s="68"/>
      <c r="J565" s="68"/>
      <c r="K565" s="32"/>
      <c r="L565" s="75">
        <v>565</v>
      </c>
      <c r="M565" s="75"/>
      <c r="N565" s="70"/>
      <c r="O565" s="77" t="s">
        <v>179</v>
      </c>
      <c r="P565" s="79">
        <v>45163.984143518515</v>
      </c>
      <c r="Q565" s="77" t="s">
        <v>1360</v>
      </c>
      <c r="R565" s="77">
        <v>0</v>
      </c>
      <c r="S565" s="77">
        <v>0</v>
      </c>
      <c r="T565" s="77">
        <v>1</v>
      </c>
      <c r="U565" s="77">
        <v>0</v>
      </c>
      <c r="V565" s="77">
        <v>621</v>
      </c>
      <c r="W565" s="82" t="s">
        <v>5108</v>
      </c>
      <c r="X565" s="77"/>
      <c r="Y565" s="77"/>
      <c r="Z565" s="77"/>
      <c r="AA565" s="77" t="s">
        <v>7576</v>
      </c>
      <c r="AB565" s="77" t="s">
        <v>8225</v>
      </c>
      <c r="AC565" s="82" t="s">
        <v>8234</v>
      </c>
      <c r="AD565" s="77" t="s">
        <v>8280</v>
      </c>
      <c r="AE565" s="80" t="str">
        <f>HYPERLINK("https://twitter.com/careca4p/status/1695218794761748746")</f>
        <v>https://twitter.com/careca4p/status/1695218794761748746</v>
      </c>
      <c r="AF565" s="79">
        <v>45163.984143518515</v>
      </c>
      <c r="AG565" s="85">
        <v>45163</v>
      </c>
      <c r="AH565" s="82" t="s">
        <v>8808</v>
      </c>
      <c r="AI565" s="77" t="b">
        <v>0</v>
      </c>
      <c r="AJ565" s="77"/>
      <c r="AK565" s="77"/>
      <c r="AL565" s="77"/>
      <c r="AM565" s="77"/>
      <c r="AN565" s="77"/>
      <c r="AO565" s="77"/>
      <c r="AP565" s="77"/>
      <c r="AQ565" s="77" t="s">
        <v>12461</v>
      </c>
      <c r="AR565" s="77"/>
      <c r="AS565" s="77"/>
      <c r="AT565" s="77"/>
      <c r="AU565" s="77"/>
      <c r="AV565" s="80" t="str">
        <f>HYPERLINK("https://pbs.twimg.com/media/F4aggrOWQAAn8Le.jpg")</f>
        <v>https://pbs.twimg.com/media/F4aggrOWQAAn8Le.jpg</v>
      </c>
      <c r="AW565" s="82" t="s">
        <v>13664</v>
      </c>
      <c r="AX565" s="82" t="s">
        <v>13664</v>
      </c>
      <c r="AY565" s="77"/>
      <c r="AZ565" s="82" t="s">
        <v>17385</v>
      </c>
      <c r="BA565" s="82" t="s">
        <v>17385</v>
      </c>
      <c r="BB565" s="82" t="s">
        <v>17385</v>
      </c>
      <c r="BC565" s="82" t="s">
        <v>13664</v>
      </c>
      <c r="BD565" s="77">
        <v>276983166</v>
      </c>
      <c r="BE565" s="77"/>
      <c r="BF565" s="77"/>
      <c r="BG565" s="77"/>
      <c r="BH565" s="77"/>
      <c r="BI565" s="77"/>
    </row>
    <row r="566" spans="1:61" x14ac:dyDescent="0.25">
      <c r="A566" s="62" t="s">
        <v>358</v>
      </c>
      <c r="B566" s="62" t="s">
        <v>519</v>
      </c>
      <c r="C566" s="63"/>
      <c r="D566" s="64"/>
      <c r="E566" s="65"/>
      <c r="F566" s="66"/>
      <c r="G566" s="63"/>
      <c r="H566" s="67"/>
      <c r="I566" s="68"/>
      <c r="J566" s="68"/>
      <c r="K566" s="32"/>
      <c r="L566" s="75">
        <v>566</v>
      </c>
      <c r="M566" s="75"/>
      <c r="N566" s="70"/>
      <c r="O566" s="77" t="s">
        <v>805</v>
      </c>
      <c r="P566" s="79">
        <v>45171.121550925927</v>
      </c>
      <c r="Q566" s="77" t="s">
        <v>1357</v>
      </c>
      <c r="R566" s="77">
        <v>0</v>
      </c>
      <c r="S566" s="77">
        <v>0</v>
      </c>
      <c r="T566" s="77">
        <v>0</v>
      </c>
      <c r="U566" s="77">
        <v>0</v>
      </c>
      <c r="V566" s="77">
        <v>455</v>
      </c>
      <c r="W566" s="82" t="s">
        <v>5103</v>
      </c>
      <c r="X566" s="77"/>
      <c r="Y566" s="77"/>
      <c r="Z566" s="77" t="s">
        <v>7157</v>
      </c>
      <c r="AA566" s="77" t="s">
        <v>7573</v>
      </c>
      <c r="AB566" s="77" t="s">
        <v>8225</v>
      </c>
      <c r="AC566" s="82" t="s">
        <v>8234</v>
      </c>
      <c r="AD566" s="77" t="s">
        <v>8278</v>
      </c>
      <c r="AE566" s="80" t="str">
        <f>HYPERLINK("https://twitter.com/careca4p/status/1697805303025221707")</f>
        <v>https://twitter.com/careca4p/status/1697805303025221707</v>
      </c>
      <c r="AF566" s="79">
        <v>45171.121550925927</v>
      </c>
      <c r="AG566" s="85">
        <v>45171</v>
      </c>
      <c r="AH566" s="82" t="s">
        <v>8805</v>
      </c>
      <c r="AI566" s="77" t="b">
        <v>0</v>
      </c>
      <c r="AJ566" s="77"/>
      <c r="AK566" s="77"/>
      <c r="AL566" s="77"/>
      <c r="AM566" s="77"/>
      <c r="AN566" s="77"/>
      <c r="AO566" s="77"/>
      <c r="AP566" s="77"/>
      <c r="AQ566" s="77" t="s">
        <v>12458</v>
      </c>
      <c r="AR566" s="77"/>
      <c r="AS566" s="77"/>
      <c r="AT566" s="77"/>
      <c r="AU566" s="77"/>
      <c r="AV566" s="80" t="str">
        <f>HYPERLINK("https://pbs.twimg.com/media/F4_Q7QPXoAAc03x.jpg")</f>
        <v>https://pbs.twimg.com/media/F4_Q7QPXoAAc03x.jpg</v>
      </c>
      <c r="AW566" s="82" t="s">
        <v>13661</v>
      </c>
      <c r="AX566" s="82" t="s">
        <v>17165</v>
      </c>
      <c r="AY566" s="82" t="s">
        <v>17336</v>
      </c>
      <c r="AZ566" s="82" t="s">
        <v>17165</v>
      </c>
      <c r="BA566" s="82" t="s">
        <v>17385</v>
      </c>
      <c r="BB566" s="82" t="s">
        <v>17385</v>
      </c>
      <c r="BC566" s="82" t="s">
        <v>17165</v>
      </c>
      <c r="BD566" s="77">
        <v>276983166</v>
      </c>
      <c r="BE566" s="77"/>
      <c r="BF566" s="77"/>
      <c r="BG566" s="77"/>
      <c r="BH566" s="77"/>
      <c r="BI566" s="77"/>
    </row>
    <row r="567" spans="1:61" x14ac:dyDescent="0.25">
      <c r="A567" s="62" t="s">
        <v>358</v>
      </c>
      <c r="B567" s="62" t="s">
        <v>358</v>
      </c>
      <c r="C567" s="63"/>
      <c r="D567" s="64"/>
      <c r="E567" s="65"/>
      <c r="F567" s="66"/>
      <c r="G567" s="63"/>
      <c r="H567" s="67"/>
      <c r="I567" s="68"/>
      <c r="J567" s="68"/>
      <c r="K567" s="32"/>
      <c r="L567" s="75">
        <v>567</v>
      </c>
      <c r="M567" s="75"/>
      <c r="N567" s="70"/>
      <c r="O567" s="77" t="s">
        <v>800</v>
      </c>
      <c r="P567" s="79">
        <v>45189.749768518515</v>
      </c>
      <c r="Q567" s="77" t="s">
        <v>1361</v>
      </c>
      <c r="R567" s="77">
        <v>0</v>
      </c>
      <c r="S567" s="77">
        <v>0</v>
      </c>
      <c r="T567" s="77">
        <v>0</v>
      </c>
      <c r="U567" s="77">
        <v>0</v>
      </c>
      <c r="V567" s="77">
        <v>512</v>
      </c>
      <c r="W567" s="82" t="s">
        <v>5109</v>
      </c>
      <c r="X567" s="77"/>
      <c r="Y567" s="77"/>
      <c r="Z567" s="77"/>
      <c r="AA567" s="77" t="s">
        <v>7577</v>
      </c>
      <c r="AB567" s="77" t="s">
        <v>8225</v>
      </c>
      <c r="AC567" s="82" t="s">
        <v>8234</v>
      </c>
      <c r="AD567" s="77" t="s">
        <v>8280</v>
      </c>
      <c r="AE567" s="80" t="str">
        <f>HYPERLINK("https://twitter.com/careca4p/status/1704555944233865693")</f>
        <v>https://twitter.com/careca4p/status/1704555944233865693</v>
      </c>
      <c r="AF567" s="79">
        <v>45189.749768518515</v>
      </c>
      <c r="AG567" s="85">
        <v>45189</v>
      </c>
      <c r="AH567" s="82" t="s">
        <v>8809</v>
      </c>
      <c r="AI567" s="77" t="b">
        <v>0</v>
      </c>
      <c r="AJ567" s="77"/>
      <c r="AK567" s="77"/>
      <c r="AL567" s="77"/>
      <c r="AM567" s="77"/>
      <c r="AN567" s="77"/>
      <c r="AO567" s="77"/>
      <c r="AP567" s="77"/>
      <c r="AQ567" s="77" t="s">
        <v>12462</v>
      </c>
      <c r="AR567" s="77"/>
      <c r="AS567" s="77"/>
      <c r="AT567" s="77"/>
      <c r="AU567" s="77"/>
      <c r="AV567" s="80" t="str">
        <f>HYPERLINK("https://pbs.twimg.com/media/F6fMmTiXMAEQY1V.jpg")</f>
        <v>https://pbs.twimg.com/media/F6fMmTiXMAEQY1V.jpg</v>
      </c>
      <c r="AW567" s="82" t="s">
        <v>13665</v>
      </c>
      <c r="AX567" s="82" t="s">
        <v>13664</v>
      </c>
      <c r="AY567" s="82" t="s">
        <v>17338</v>
      </c>
      <c r="AZ567" s="82" t="s">
        <v>13664</v>
      </c>
      <c r="BA567" s="82" t="s">
        <v>17385</v>
      </c>
      <c r="BB567" s="82" t="s">
        <v>17385</v>
      </c>
      <c r="BC567" s="82" t="s">
        <v>13664</v>
      </c>
      <c r="BD567" s="77">
        <v>276983166</v>
      </c>
      <c r="BE567" s="77"/>
      <c r="BF567" s="77"/>
      <c r="BG567" s="77"/>
      <c r="BH567" s="77"/>
      <c r="BI567" s="77"/>
    </row>
    <row r="568" spans="1:61" x14ac:dyDescent="0.25">
      <c r="A568" s="62" t="s">
        <v>358</v>
      </c>
      <c r="B568" s="62" t="s">
        <v>358</v>
      </c>
      <c r="C568" s="63"/>
      <c r="D568" s="64"/>
      <c r="E568" s="65"/>
      <c r="F568" s="66"/>
      <c r="G568" s="63"/>
      <c r="H568" s="67"/>
      <c r="I568" s="68"/>
      <c r="J568" s="68"/>
      <c r="K568" s="32"/>
      <c r="L568" s="75">
        <v>568</v>
      </c>
      <c r="M568" s="75"/>
      <c r="N568" s="70"/>
      <c r="O568" s="77" t="s">
        <v>800</v>
      </c>
      <c r="P568" s="79">
        <v>45143.863877314812</v>
      </c>
      <c r="Q568" s="77" t="s">
        <v>1362</v>
      </c>
      <c r="R568" s="77">
        <v>0</v>
      </c>
      <c r="S568" s="77">
        <v>0</v>
      </c>
      <c r="T568" s="77">
        <v>1</v>
      </c>
      <c r="U568" s="77">
        <v>0</v>
      </c>
      <c r="V568" s="77">
        <v>17</v>
      </c>
      <c r="W568" s="82" t="s">
        <v>5110</v>
      </c>
      <c r="X568" s="77"/>
      <c r="Y568" s="77"/>
      <c r="Z568" s="77"/>
      <c r="AA568" s="77" t="s">
        <v>7578</v>
      </c>
      <c r="AB568" s="77" t="s">
        <v>8225</v>
      </c>
      <c r="AC568" s="82" t="s">
        <v>8234</v>
      </c>
      <c r="AD568" s="77" t="s">
        <v>8280</v>
      </c>
      <c r="AE568" s="80" t="str">
        <f>HYPERLINK("https://twitter.com/careca4p/status/1687927453593833472")</f>
        <v>https://twitter.com/careca4p/status/1687927453593833472</v>
      </c>
      <c r="AF568" s="79">
        <v>45143.863877314812</v>
      </c>
      <c r="AG568" s="85">
        <v>45143</v>
      </c>
      <c r="AH568" s="82" t="s">
        <v>8810</v>
      </c>
      <c r="AI568" s="77" t="b">
        <v>0</v>
      </c>
      <c r="AJ568" s="77"/>
      <c r="AK568" s="77"/>
      <c r="AL568" s="77"/>
      <c r="AM568" s="77"/>
      <c r="AN568" s="77"/>
      <c r="AO568" s="77"/>
      <c r="AP568" s="77"/>
      <c r="AQ568" s="77" t="s">
        <v>12463</v>
      </c>
      <c r="AR568" s="77"/>
      <c r="AS568" s="77"/>
      <c r="AT568" s="77"/>
      <c r="AU568" s="77"/>
      <c r="AV568" s="80" t="str">
        <f>HYPERLINK("https://pbs.twimg.com/media/F2y5Ev8WkAEe9Us.jpg")</f>
        <v>https://pbs.twimg.com/media/F2y5Ev8WkAEe9Us.jpg</v>
      </c>
      <c r="AW568" s="82" t="s">
        <v>13666</v>
      </c>
      <c r="AX568" s="82" t="s">
        <v>13662</v>
      </c>
      <c r="AY568" s="82" t="s">
        <v>17338</v>
      </c>
      <c r="AZ568" s="82" t="s">
        <v>13662</v>
      </c>
      <c r="BA568" s="82" t="s">
        <v>17385</v>
      </c>
      <c r="BB568" s="82" t="s">
        <v>17385</v>
      </c>
      <c r="BC568" s="82" t="s">
        <v>13662</v>
      </c>
      <c r="BD568" s="77">
        <v>276983166</v>
      </c>
      <c r="BE568" s="77"/>
      <c r="BF568" s="77"/>
      <c r="BG568" s="77"/>
      <c r="BH568" s="77"/>
      <c r="BI568" s="77"/>
    </row>
    <row r="569" spans="1:61" x14ac:dyDescent="0.25">
      <c r="A569" s="62" t="s">
        <v>358</v>
      </c>
      <c r="B569" s="62" t="s">
        <v>668</v>
      </c>
      <c r="C569" s="63"/>
      <c r="D569" s="64"/>
      <c r="E569" s="65"/>
      <c r="F569" s="66"/>
      <c r="G569" s="63"/>
      <c r="H569" s="67"/>
      <c r="I569" s="68"/>
      <c r="J569" s="68"/>
      <c r="K569" s="32"/>
      <c r="L569" s="75">
        <v>569</v>
      </c>
      <c r="M569" s="75"/>
      <c r="N569" s="70"/>
      <c r="O569" s="77" t="s">
        <v>802</v>
      </c>
      <c r="P569" s="79">
        <v>45143.861967592595</v>
      </c>
      <c r="Q569" s="77" t="s">
        <v>1358</v>
      </c>
      <c r="R569" s="77">
        <v>0</v>
      </c>
      <c r="S569" s="77">
        <v>0</v>
      </c>
      <c r="T569" s="77">
        <v>1</v>
      </c>
      <c r="U569" s="77">
        <v>0</v>
      </c>
      <c r="V569" s="77">
        <v>30</v>
      </c>
      <c r="W569" s="82" t="s">
        <v>5106</v>
      </c>
      <c r="X569" s="77"/>
      <c r="Y569" s="77"/>
      <c r="Z569" s="77" t="s">
        <v>7158</v>
      </c>
      <c r="AA569" s="77" t="s">
        <v>7574</v>
      </c>
      <c r="AB569" s="77" t="s">
        <v>8225</v>
      </c>
      <c r="AC569" s="82" t="s">
        <v>8234</v>
      </c>
      <c r="AD569" s="77" t="s">
        <v>8280</v>
      </c>
      <c r="AE569" s="80" t="str">
        <f>HYPERLINK("https://twitter.com/careca4p/status/1687926761156227072")</f>
        <v>https://twitter.com/careca4p/status/1687926761156227072</v>
      </c>
      <c r="AF569" s="79">
        <v>45143.861967592595</v>
      </c>
      <c r="AG569" s="85">
        <v>45143</v>
      </c>
      <c r="AH569" s="82" t="s">
        <v>8806</v>
      </c>
      <c r="AI569" s="77" t="b">
        <v>0</v>
      </c>
      <c r="AJ569" s="77"/>
      <c r="AK569" s="77"/>
      <c r="AL569" s="77"/>
      <c r="AM569" s="77"/>
      <c r="AN569" s="77"/>
      <c r="AO569" s="77"/>
      <c r="AP569" s="77"/>
      <c r="AQ569" s="77" t="s">
        <v>12459</v>
      </c>
      <c r="AR569" s="77"/>
      <c r="AS569" s="77"/>
      <c r="AT569" s="77"/>
      <c r="AU569" s="77"/>
      <c r="AV569" s="80" t="str">
        <f>HYPERLINK("https://pbs.twimg.com/media/F2y4cZOWMAAT1OU.jpg")</f>
        <v>https://pbs.twimg.com/media/F2y4cZOWMAAT1OU.jpg</v>
      </c>
      <c r="AW569" s="82" t="s">
        <v>13662</v>
      </c>
      <c r="AX569" s="82" t="s">
        <v>13662</v>
      </c>
      <c r="AY569" s="82" t="s">
        <v>17337</v>
      </c>
      <c r="AZ569" s="82" t="s">
        <v>17385</v>
      </c>
      <c r="BA569" s="82" t="s">
        <v>17385</v>
      </c>
      <c r="BB569" s="82" t="s">
        <v>17385</v>
      </c>
      <c r="BC569" s="82" t="s">
        <v>13662</v>
      </c>
      <c r="BD569" s="77">
        <v>276983166</v>
      </c>
      <c r="BE569" s="77"/>
      <c r="BF569" s="77"/>
      <c r="BG569" s="77"/>
      <c r="BH569" s="77"/>
      <c r="BI569" s="77"/>
    </row>
    <row r="570" spans="1:61" x14ac:dyDescent="0.25">
      <c r="A570" s="62" t="s">
        <v>360</v>
      </c>
      <c r="B570" s="62" t="s">
        <v>360</v>
      </c>
      <c r="C570" s="63"/>
      <c r="D570" s="64"/>
      <c r="E570" s="65"/>
      <c r="F570" s="66"/>
      <c r="G570" s="63"/>
      <c r="H570" s="67"/>
      <c r="I570" s="68"/>
      <c r="J570" s="68"/>
      <c r="K570" s="32"/>
      <c r="L570" s="75">
        <v>570</v>
      </c>
      <c r="M570" s="75"/>
      <c r="N570" s="70"/>
      <c r="O570" s="77" t="s">
        <v>179</v>
      </c>
      <c r="P570" s="79">
        <v>45135.801874999997</v>
      </c>
      <c r="Q570" s="77" t="s">
        <v>1363</v>
      </c>
      <c r="R570" s="77">
        <v>0</v>
      </c>
      <c r="S570" s="77">
        <v>0</v>
      </c>
      <c r="T570" s="77">
        <v>1</v>
      </c>
      <c r="U570" s="77">
        <v>0</v>
      </c>
      <c r="V570" s="77">
        <v>23</v>
      </c>
      <c r="W570" s="82" t="s">
        <v>5111</v>
      </c>
      <c r="X570" s="77"/>
      <c r="Y570" s="77"/>
      <c r="Z570" s="77"/>
      <c r="AA570" s="77"/>
      <c r="AB570" s="77"/>
      <c r="AC570" s="82" t="s">
        <v>8232</v>
      </c>
      <c r="AD570" s="77" t="s">
        <v>8278</v>
      </c>
      <c r="AE570" s="80" t="str">
        <f>HYPERLINK("https://twitter.com/andrecerque/status/1685005879664431110")</f>
        <v>https://twitter.com/andrecerque/status/1685005879664431110</v>
      </c>
      <c r="AF570" s="79">
        <v>45135.801874999997</v>
      </c>
      <c r="AG570" s="85">
        <v>45135</v>
      </c>
      <c r="AH570" s="82" t="s">
        <v>8811</v>
      </c>
      <c r="AI570" s="77"/>
      <c r="AJ570" s="77"/>
      <c r="AK570" s="77"/>
      <c r="AL570" s="77"/>
      <c r="AM570" s="77"/>
      <c r="AN570" s="77"/>
      <c r="AO570" s="77"/>
      <c r="AP570" s="77"/>
      <c r="AQ570" s="77"/>
      <c r="AR570" s="77"/>
      <c r="AS570" s="77"/>
      <c r="AT570" s="77"/>
      <c r="AU570" s="77"/>
      <c r="AV570" s="80" t="str">
        <f>HYPERLINK("https://pbs.twimg.com/profile_images/1555536899057631234/UFFMYTPh_normal.jpg")</f>
        <v>https://pbs.twimg.com/profile_images/1555536899057631234/UFFMYTPh_normal.jpg</v>
      </c>
      <c r="AW570" s="82" t="s">
        <v>13667</v>
      </c>
      <c r="AX570" s="82" t="s">
        <v>13667</v>
      </c>
      <c r="AY570" s="77"/>
      <c r="AZ570" s="82" t="s">
        <v>17385</v>
      </c>
      <c r="BA570" s="82" t="s">
        <v>17385</v>
      </c>
      <c r="BB570" s="82" t="s">
        <v>17385</v>
      </c>
      <c r="BC570" s="82" t="s">
        <v>13667</v>
      </c>
      <c r="BD570" s="77">
        <v>89583768</v>
      </c>
      <c r="BE570" s="77"/>
      <c r="BF570" s="77"/>
      <c r="BG570" s="77"/>
      <c r="BH570" s="77"/>
      <c r="BI570" s="77"/>
    </row>
    <row r="571" spans="1:61" x14ac:dyDescent="0.25">
      <c r="A571" s="62" t="s">
        <v>361</v>
      </c>
      <c r="B571" s="62" t="s">
        <v>361</v>
      </c>
      <c r="C571" s="63"/>
      <c r="D571" s="64"/>
      <c r="E571" s="65"/>
      <c r="F571" s="66"/>
      <c r="G571" s="63"/>
      <c r="H571" s="67"/>
      <c r="I571" s="68"/>
      <c r="J571" s="68"/>
      <c r="K571" s="32"/>
      <c r="L571" s="75">
        <v>571</v>
      </c>
      <c r="M571" s="75"/>
      <c r="N571" s="70"/>
      <c r="O571" s="77" t="s">
        <v>800</v>
      </c>
      <c r="P571" s="79">
        <v>45113.733749999999</v>
      </c>
      <c r="Q571" s="77" t="s">
        <v>1364</v>
      </c>
      <c r="R571" s="77">
        <v>0</v>
      </c>
      <c r="S571" s="77">
        <v>0</v>
      </c>
      <c r="T571" s="77">
        <v>0</v>
      </c>
      <c r="U571" s="77">
        <v>0</v>
      </c>
      <c r="V571" s="77">
        <v>140</v>
      </c>
      <c r="W571" s="82" t="s">
        <v>5112</v>
      </c>
      <c r="X571" s="80" t="str">
        <f>HYPERLINK("https://bit.ly/3JJwTxu")</f>
        <v>https://bit.ly/3JJwTxu</v>
      </c>
      <c r="Y571" s="77" t="s">
        <v>7063</v>
      </c>
      <c r="Z571" s="77"/>
      <c r="AA571" s="77"/>
      <c r="AB571" s="77"/>
      <c r="AC571" s="82" t="s">
        <v>8232</v>
      </c>
      <c r="AD571" s="77" t="s">
        <v>8278</v>
      </c>
      <c r="AE571" s="80" t="str">
        <f>HYPERLINK("https://twitter.com/oramainvest/status/1677008659254050817")</f>
        <v>https://twitter.com/oramainvest/status/1677008659254050817</v>
      </c>
      <c r="AF571" s="79">
        <v>45113.733749999999</v>
      </c>
      <c r="AG571" s="85">
        <v>45113</v>
      </c>
      <c r="AH571" s="82" t="s">
        <v>8812</v>
      </c>
      <c r="AI571" s="77" t="b">
        <v>0</v>
      </c>
      <c r="AJ571" s="77"/>
      <c r="AK571" s="77"/>
      <c r="AL571" s="77"/>
      <c r="AM571" s="77"/>
      <c r="AN571" s="77"/>
      <c r="AO571" s="77"/>
      <c r="AP571" s="77"/>
      <c r="AQ571" s="77"/>
      <c r="AR571" s="77"/>
      <c r="AS571" s="77"/>
      <c r="AT571" s="77"/>
      <c r="AU571" s="77"/>
      <c r="AV571" s="80" t="str">
        <f>HYPERLINK("https://pbs.twimg.com/profile_images/1260286614749790213/1mHXnOkW_normal.jpg")</f>
        <v>https://pbs.twimg.com/profile_images/1260286614749790213/1mHXnOkW_normal.jpg</v>
      </c>
      <c r="AW571" s="82" t="s">
        <v>13668</v>
      </c>
      <c r="AX571" s="82" t="s">
        <v>17166</v>
      </c>
      <c r="AY571" s="82" t="s">
        <v>17339</v>
      </c>
      <c r="AZ571" s="82" t="s">
        <v>17401</v>
      </c>
      <c r="BA571" s="82" t="s">
        <v>17385</v>
      </c>
      <c r="BB571" s="82" t="s">
        <v>17385</v>
      </c>
      <c r="BC571" s="82" t="s">
        <v>17401</v>
      </c>
      <c r="BD571" s="77">
        <v>198291992</v>
      </c>
      <c r="BE571" s="77"/>
      <c r="BF571" s="77"/>
      <c r="BG571" s="77"/>
      <c r="BH571" s="77"/>
      <c r="BI571" s="77"/>
    </row>
    <row r="572" spans="1:61" x14ac:dyDescent="0.25">
      <c r="A572" s="62" t="s">
        <v>362</v>
      </c>
      <c r="B572" s="62" t="s">
        <v>754</v>
      </c>
      <c r="C572" s="63"/>
      <c r="D572" s="64"/>
      <c r="E572" s="65"/>
      <c r="F572" s="66"/>
      <c r="G572" s="63"/>
      <c r="H572" s="67"/>
      <c r="I572" s="68"/>
      <c r="J572" s="68"/>
      <c r="K572" s="32"/>
      <c r="L572" s="75">
        <v>572</v>
      </c>
      <c r="M572" s="75"/>
      <c r="N572" s="70"/>
      <c r="O572" s="77" t="s">
        <v>802</v>
      </c>
      <c r="P572" s="79">
        <v>45080.11954861111</v>
      </c>
      <c r="Q572" s="77" t="s">
        <v>1365</v>
      </c>
      <c r="R572" s="77">
        <v>0</v>
      </c>
      <c r="S572" s="77">
        <v>0</v>
      </c>
      <c r="T572" s="77">
        <v>0</v>
      </c>
      <c r="U572" s="77">
        <v>0</v>
      </c>
      <c r="V572" s="77">
        <v>197</v>
      </c>
      <c r="W572" s="82" t="s">
        <v>5113</v>
      </c>
      <c r="X572" s="77"/>
      <c r="Y572" s="77"/>
      <c r="Z572" s="77" t="s">
        <v>754</v>
      </c>
      <c r="AA572" s="77"/>
      <c r="AB572" s="77"/>
      <c r="AC572" s="82" t="s">
        <v>8234</v>
      </c>
      <c r="AD572" s="77" t="s">
        <v>8278</v>
      </c>
      <c r="AE572" s="80" t="str">
        <f>HYPERLINK("https://twitter.com/nicolaslicce/status/1664827282391719937")</f>
        <v>https://twitter.com/nicolaslicce/status/1664827282391719937</v>
      </c>
      <c r="AF572" s="79">
        <v>45080.11954861111</v>
      </c>
      <c r="AG572" s="85">
        <v>45080</v>
      </c>
      <c r="AH572" s="82" t="s">
        <v>8813</v>
      </c>
      <c r="AI572" s="77"/>
      <c r="AJ572" s="77"/>
      <c r="AK572" s="77"/>
      <c r="AL572" s="77"/>
      <c r="AM572" s="77"/>
      <c r="AN572" s="77"/>
      <c r="AO572" s="77"/>
      <c r="AP572" s="77"/>
      <c r="AQ572" s="77"/>
      <c r="AR572" s="77"/>
      <c r="AS572" s="77"/>
      <c r="AT572" s="77"/>
      <c r="AU572" s="77"/>
      <c r="AV572" s="80" t="str">
        <f>HYPERLINK("https://pbs.twimg.com/profile_images/1438285343963353090/FFrS1QU5_normal.jpg")</f>
        <v>https://pbs.twimg.com/profile_images/1438285343963353090/FFrS1QU5_normal.jpg</v>
      </c>
      <c r="AW572" s="82" t="s">
        <v>13669</v>
      </c>
      <c r="AX572" s="82" t="s">
        <v>13669</v>
      </c>
      <c r="AY572" s="77"/>
      <c r="AZ572" s="82" t="s">
        <v>17385</v>
      </c>
      <c r="BA572" s="82" t="s">
        <v>17385</v>
      </c>
      <c r="BB572" s="82" t="s">
        <v>17385</v>
      </c>
      <c r="BC572" s="82" t="s">
        <v>13669</v>
      </c>
      <c r="BD572" s="82" t="s">
        <v>17512</v>
      </c>
      <c r="BE572" s="77"/>
      <c r="BF572" s="77"/>
      <c r="BG572" s="77"/>
      <c r="BH572" s="77"/>
      <c r="BI572" s="77"/>
    </row>
    <row r="573" spans="1:61" x14ac:dyDescent="0.25">
      <c r="A573" s="62" t="s">
        <v>363</v>
      </c>
      <c r="B573" s="62" t="s">
        <v>363</v>
      </c>
      <c r="C573" s="63"/>
      <c r="D573" s="64"/>
      <c r="E573" s="65"/>
      <c r="F573" s="66"/>
      <c r="G573" s="63"/>
      <c r="H573" s="67"/>
      <c r="I573" s="68"/>
      <c r="J573" s="68"/>
      <c r="K573" s="32"/>
      <c r="L573" s="75">
        <v>573</v>
      </c>
      <c r="M573" s="75"/>
      <c r="N573" s="70"/>
      <c r="O573" s="77" t="s">
        <v>179</v>
      </c>
      <c r="P573" s="79">
        <v>45117.472430555557</v>
      </c>
      <c r="Q573" s="77" t="s">
        <v>1366</v>
      </c>
      <c r="R573" s="77">
        <v>0</v>
      </c>
      <c r="S573" s="77">
        <v>0</v>
      </c>
      <c r="T573" s="77">
        <v>0</v>
      </c>
      <c r="U573" s="77">
        <v>0</v>
      </c>
      <c r="V573" s="77">
        <v>58</v>
      </c>
      <c r="W573" s="82" t="s">
        <v>5114</v>
      </c>
      <c r="X573" s="77"/>
      <c r="Y573" s="77"/>
      <c r="Z573" s="77"/>
      <c r="AA573" s="77" t="s">
        <v>7579</v>
      </c>
      <c r="AB573" s="77" t="s">
        <v>8227</v>
      </c>
      <c r="AC573" s="82" t="s">
        <v>8232</v>
      </c>
      <c r="AD573" s="77" t="s">
        <v>8278</v>
      </c>
      <c r="AE573" s="80" t="str">
        <f>HYPERLINK("https://twitter.com/prefesaraquari/status/1678363512106541056")</f>
        <v>https://twitter.com/prefesaraquari/status/1678363512106541056</v>
      </c>
      <c r="AF573" s="79">
        <v>45117.472430555557</v>
      </c>
      <c r="AG573" s="85">
        <v>45117</v>
      </c>
      <c r="AH573" s="82" t="s">
        <v>8814</v>
      </c>
      <c r="AI573" s="77" t="b">
        <v>0</v>
      </c>
      <c r="AJ573" s="77"/>
      <c r="AK573" s="77"/>
      <c r="AL573" s="77"/>
      <c r="AM573" s="77"/>
      <c r="AN573" s="77"/>
      <c r="AO573" s="77"/>
      <c r="AP573" s="77"/>
      <c r="AQ573" s="77" t="s">
        <v>12464</v>
      </c>
      <c r="AR573" s="77">
        <v>23520</v>
      </c>
      <c r="AS573" s="77"/>
      <c r="AT573" s="77"/>
      <c r="AU573" s="77"/>
      <c r="AV573" s="80" t="str">
        <f>HYPERLINK("https://pbs.twimg.com/ext_tw_video_thumb/1678363354912399362/pu/img/Gl0Z2CVQ-4Uy2pvD.jpg")</f>
        <v>https://pbs.twimg.com/ext_tw_video_thumb/1678363354912399362/pu/img/Gl0Z2CVQ-4Uy2pvD.jpg</v>
      </c>
      <c r="AW573" s="82" t="s">
        <v>13670</v>
      </c>
      <c r="AX573" s="82" t="s">
        <v>13670</v>
      </c>
      <c r="AY573" s="77"/>
      <c r="AZ573" s="82" t="s">
        <v>17385</v>
      </c>
      <c r="BA573" s="82" t="s">
        <v>17385</v>
      </c>
      <c r="BB573" s="82" t="s">
        <v>17385</v>
      </c>
      <c r="BC573" s="82" t="s">
        <v>13670</v>
      </c>
      <c r="BD573" s="82" t="s">
        <v>17513</v>
      </c>
      <c r="BE573" s="77"/>
      <c r="BF573" s="77"/>
      <c r="BG573" s="77"/>
      <c r="BH573" s="77"/>
      <c r="BI573" s="77"/>
    </row>
    <row r="574" spans="1:61" x14ac:dyDescent="0.25">
      <c r="A574" s="62" t="s">
        <v>364</v>
      </c>
      <c r="B574" s="62" t="s">
        <v>364</v>
      </c>
      <c r="C574" s="63"/>
      <c r="D574" s="64"/>
      <c r="E574" s="65"/>
      <c r="F574" s="66"/>
      <c r="G574" s="63"/>
      <c r="H574" s="67"/>
      <c r="I574" s="68"/>
      <c r="J574" s="68"/>
      <c r="K574" s="32"/>
      <c r="L574" s="75">
        <v>574</v>
      </c>
      <c r="M574" s="75"/>
      <c r="N574" s="70"/>
      <c r="O574" s="77" t="s">
        <v>179</v>
      </c>
      <c r="P574" s="79">
        <v>45058.503472222219</v>
      </c>
      <c r="Q574" s="77" t="s">
        <v>1367</v>
      </c>
      <c r="R574" s="77">
        <v>0</v>
      </c>
      <c r="S574" s="77">
        <v>0</v>
      </c>
      <c r="T574" s="77">
        <v>0</v>
      </c>
      <c r="U574" s="77">
        <v>0</v>
      </c>
      <c r="V574" s="77">
        <v>25</v>
      </c>
      <c r="W574" s="82" t="s">
        <v>5115</v>
      </c>
      <c r="X574" s="80" t="str">
        <f>HYPERLINK("https://www.jornaldooeste.com.br/toledo/campanha-maio-furta-cor-acoes-movimentam-toledo/")</f>
        <v>https://www.jornaldooeste.com.br/toledo/campanha-maio-furta-cor-acoes-movimentam-toledo/</v>
      </c>
      <c r="Y574" s="77" t="s">
        <v>7053</v>
      </c>
      <c r="Z574" s="77"/>
      <c r="AA574" s="77" t="s">
        <v>7580</v>
      </c>
      <c r="AB574" s="77" t="s">
        <v>8225</v>
      </c>
      <c r="AC574" s="82" t="s">
        <v>8232</v>
      </c>
      <c r="AD574" s="77" t="s">
        <v>8278</v>
      </c>
      <c r="AE574" s="80" t="str">
        <f>HYPERLINK("https://twitter.com/jornaldooeste/status/1656993876782256129")</f>
        <v>https://twitter.com/jornaldooeste/status/1656993876782256129</v>
      </c>
      <c r="AF574" s="79">
        <v>45058.503472222219</v>
      </c>
      <c r="AG574" s="85">
        <v>45058</v>
      </c>
      <c r="AH574" s="82" t="s">
        <v>8815</v>
      </c>
      <c r="AI574" s="77" t="b">
        <v>0</v>
      </c>
      <c r="AJ574" s="77"/>
      <c r="AK574" s="77"/>
      <c r="AL574" s="77"/>
      <c r="AM574" s="77"/>
      <c r="AN574" s="77"/>
      <c r="AO574" s="77"/>
      <c r="AP574" s="77"/>
      <c r="AQ574" s="77" t="s">
        <v>12465</v>
      </c>
      <c r="AR574" s="77"/>
      <c r="AS574" s="77"/>
      <c r="AT574" s="77"/>
      <c r="AU574" s="77"/>
      <c r="AV574" s="80" t="str">
        <f>HYPERLINK("https://pbs.twimg.com/media/Fv7LoCaXgAApD9T.jpg")</f>
        <v>https://pbs.twimg.com/media/Fv7LoCaXgAApD9T.jpg</v>
      </c>
      <c r="AW574" s="82" t="s">
        <v>13671</v>
      </c>
      <c r="AX574" s="82" t="s">
        <v>13671</v>
      </c>
      <c r="AY574" s="77"/>
      <c r="AZ574" s="82" t="s">
        <v>17385</v>
      </c>
      <c r="BA574" s="82" t="s">
        <v>17385</v>
      </c>
      <c r="BB574" s="82" t="s">
        <v>17385</v>
      </c>
      <c r="BC574" s="82" t="s">
        <v>13671</v>
      </c>
      <c r="BD574" s="77">
        <v>46624815</v>
      </c>
      <c r="BE574" s="77"/>
      <c r="BF574" s="77"/>
      <c r="BG574" s="77"/>
      <c r="BH574" s="77"/>
      <c r="BI574" s="77"/>
    </row>
    <row r="575" spans="1:61" x14ac:dyDescent="0.25">
      <c r="A575" s="62" t="s">
        <v>364</v>
      </c>
      <c r="B575" s="62" t="s">
        <v>364</v>
      </c>
      <c r="C575" s="63"/>
      <c r="D575" s="64"/>
      <c r="E575" s="65"/>
      <c r="F575" s="66"/>
      <c r="G575" s="63"/>
      <c r="H575" s="67"/>
      <c r="I575" s="68"/>
      <c r="J575" s="68"/>
      <c r="K575" s="32"/>
      <c r="L575" s="75">
        <v>575</v>
      </c>
      <c r="M575" s="75"/>
      <c r="N575" s="70"/>
      <c r="O575" s="77" t="s">
        <v>179</v>
      </c>
      <c r="P575" s="79">
        <v>45072.003472222219</v>
      </c>
      <c r="Q575" s="77" t="s">
        <v>1368</v>
      </c>
      <c r="R575" s="77">
        <v>1</v>
      </c>
      <c r="S575" s="77">
        <v>0</v>
      </c>
      <c r="T575" s="77">
        <v>0</v>
      </c>
      <c r="U575" s="77">
        <v>0</v>
      </c>
      <c r="V575" s="77">
        <v>12</v>
      </c>
      <c r="W575" s="82" t="s">
        <v>5116</v>
      </c>
      <c r="X575" s="80" t="str">
        <f>HYPERLINK("https://www.jornaldooeste.com.br/estado/cresol-integracao-realiza-acoes-de-educacao-financeira/")</f>
        <v>https://www.jornaldooeste.com.br/estado/cresol-integracao-realiza-acoes-de-educacao-financeira/</v>
      </c>
      <c r="Y575" s="77" t="s">
        <v>7053</v>
      </c>
      <c r="Z575" s="77"/>
      <c r="AA575" s="77" t="s">
        <v>7581</v>
      </c>
      <c r="AB575" s="77" t="s">
        <v>8225</v>
      </c>
      <c r="AC575" s="82" t="s">
        <v>8232</v>
      </c>
      <c r="AD575" s="77" t="s">
        <v>8278</v>
      </c>
      <c r="AE575" s="80" t="str">
        <f>HYPERLINK("https://twitter.com/jornaldooeste/status/1661886112602677250")</f>
        <v>https://twitter.com/jornaldooeste/status/1661886112602677250</v>
      </c>
      <c r="AF575" s="79">
        <v>45072.003472222219</v>
      </c>
      <c r="AG575" s="85">
        <v>45072</v>
      </c>
      <c r="AH575" s="82" t="s">
        <v>8816</v>
      </c>
      <c r="AI575" s="77" t="b">
        <v>0</v>
      </c>
      <c r="AJ575" s="77"/>
      <c r="AK575" s="77"/>
      <c r="AL575" s="77"/>
      <c r="AM575" s="77"/>
      <c r="AN575" s="77"/>
      <c r="AO575" s="77"/>
      <c r="AP575" s="77"/>
      <c r="AQ575" s="77" t="s">
        <v>12466</v>
      </c>
      <c r="AR575" s="77"/>
      <c r="AS575" s="77"/>
      <c r="AT575" s="77"/>
      <c r="AU575" s="77"/>
      <c r="AV575" s="80" t="str">
        <f>HYPERLINK("https://pbs.twimg.com/media/Fw_dhqQXgAUyyEo.jpg")</f>
        <v>https://pbs.twimg.com/media/Fw_dhqQXgAUyyEo.jpg</v>
      </c>
      <c r="AW575" s="82" t="s">
        <v>13672</v>
      </c>
      <c r="AX575" s="82" t="s">
        <v>13672</v>
      </c>
      <c r="AY575" s="77"/>
      <c r="AZ575" s="82" t="s">
        <v>17385</v>
      </c>
      <c r="BA575" s="82" t="s">
        <v>17385</v>
      </c>
      <c r="BB575" s="82" t="s">
        <v>17385</v>
      </c>
      <c r="BC575" s="82" t="s">
        <v>13672</v>
      </c>
      <c r="BD575" s="77">
        <v>46624815</v>
      </c>
      <c r="BE575" s="77"/>
      <c r="BF575" s="77"/>
      <c r="BG575" s="77"/>
      <c r="BH575" s="77"/>
      <c r="BI575" s="77"/>
    </row>
    <row r="576" spans="1:61" x14ac:dyDescent="0.25">
      <c r="A576" s="62" t="s">
        <v>364</v>
      </c>
      <c r="B576" s="62" t="s">
        <v>364</v>
      </c>
      <c r="C576" s="63"/>
      <c r="D576" s="64"/>
      <c r="E576" s="65"/>
      <c r="F576" s="66"/>
      <c r="G576" s="63"/>
      <c r="H576" s="67"/>
      <c r="I576" s="68"/>
      <c r="J576" s="68"/>
      <c r="K576" s="32"/>
      <c r="L576" s="75">
        <v>576</v>
      </c>
      <c r="M576" s="75"/>
      <c r="N576" s="70"/>
      <c r="O576" s="77" t="s">
        <v>179</v>
      </c>
      <c r="P576" s="79">
        <v>45084.003472222219</v>
      </c>
      <c r="Q576" s="77" t="s">
        <v>1369</v>
      </c>
      <c r="R576" s="77">
        <v>1</v>
      </c>
      <c r="S576" s="77">
        <v>0</v>
      </c>
      <c r="T576" s="77">
        <v>0</v>
      </c>
      <c r="U576" s="77">
        <v>0</v>
      </c>
      <c r="V576" s="77">
        <v>18</v>
      </c>
      <c r="W576" s="82" t="s">
        <v>5117</v>
      </c>
      <c r="X576" s="80" t="str">
        <f>HYPERLINK("https://www.jornaldooeste.com.br/regiao/dia-do-meio-ambiente-e-marcado-por-acoes-de-preservacao-em-maripa/")</f>
        <v>https://www.jornaldooeste.com.br/regiao/dia-do-meio-ambiente-e-marcado-por-acoes-de-preservacao-em-maripa/</v>
      </c>
      <c r="Y576" s="77" t="s">
        <v>7053</v>
      </c>
      <c r="Z576" s="77"/>
      <c r="AA576" s="77" t="s">
        <v>7582</v>
      </c>
      <c r="AB576" s="77" t="s">
        <v>8225</v>
      </c>
      <c r="AC576" s="82" t="s">
        <v>8232</v>
      </c>
      <c r="AD576" s="77" t="s">
        <v>8278</v>
      </c>
      <c r="AE576" s="80" t="str">
        <f>HYPERLINK("https://twitter.com/jornaldooeste/status/1666234767107407873")</f>
        <v>https://twitter.com/jornaldooeste/status/1666234767107407873</v>
      </c>
      <c r="AF576" s="79">
        <v>45084.003472222219</v>
      </c>
      <c r="AG576" s="85">
        <v>45084</v>
      </c>
      <c r="AH576" s="82" t="s">
        <v>8816</v>
      </c>
      <c r="AI576" s="77" t="b">
        <v>0</v>
      </c>
      <c r="AJ576" s="77"/>
      <c r="AK576" s="77"/>
      <c r="AL576" s="77"/>
      <c r="AM576" s="77"/>
      <c r="AN576" s="77"/>
      <c r="AO576" s="77"/>
      <c r="AP576" s="77"/>
      <c r="AQ576" s="77" t="s">
        <v>12467</v>
      </c>
      <c r="AR576" s="77"/>
      <c r="AS576" s="77"/>
      <c r="AT576" s="77"/>
      <c r="AU576" s="77"/>
      <c r="AV576" s="80" t="str">
        <f>HYPERLINK("https://pbs.twimg.com/media/Fx-E4O9XwAAmwD2.jpg")</f>
        <v>https://pbs.twimg.com/media/Fx-E4O9XwAAmwD2.jpg</v>
      </c>
      <c r="AW576" s="82" t="s">
        <v>13673</v>
      </c>
      <c r="AX576" s="82" t="s">
        <v>13673</v>
      </c>
      <c r="AY576" s="77"/>
      <c r="AZ576" s="82" t="s">
        <v>17385</v>
      </c>
      <c r="BA576" s="82" t="s">
        <v>17385</v>
      </c>
      <c r="BB576" s="82" t="s">
        <v>17385</v>
      </c>
      <c r="BC576" s="82" t="s">
        <v>13673</v>
      </c>
      <c r="BD576" s="77">
        <v>46624815</v>
      </c>
      <c r="BE576" s="77"/>
      <c r="BF576" s="77"/>
      <c r="BG576" s="77"/>
      <c r="BH576" s="77"/>
      <c r="BI576" s="77"/>
    </row>
    <row r="577" spans="1:61" x14ac:dyDescent="0.25">
      <c r="A577" s="62" t="s">
        <v>364</v>
      </c>
      <c r="B577" s="62" t="s">
        <v>364</v>
      </c>
      <c r="C577" s="63"/>
      <c r="D577" s="64"/>
      <c r="E577" s="65"/>
      <c r="F577" s="66"/>
      <c r="G577" s="63"/>
      <c r="H577" s="67"/>
      <c r="I577" s="68"/>
      <c r="J577" s="68"/>
      <c r="K577" s="32"/>
      <c r="L577" s="75">
        <v>577</v>
      </c>
      <c r="M577" s="75"/>
      <c r="N577" s="70"/>
      <c r="O577" s="77" t="s">
        <v>179</v>
      </c>
      <c r="P577" s="79">
        <v>45070.628472222219</v>
      </c>
      <c r="Q577" s="77" t="s">
        <v>1370</v>
      </c>
      <c r="R577" s="77">
        <v>1</v>
      </c>
      <c r="S577" s="77">
        <v>0</v>
      </c>
      <c r="T577" s="77">
        <v>0</v>
      </c>
      <c r="U577" s="77">
        <v>0</v>
      </c>
      <c r="V577" s="77">
        <v>10</v>
      </c>
      <c r="W577" s="82" t="s">
        <v>5118</v>
      </c>
      <c r="X577" s="80" t="str">
        <f>HYPERLINK("https://www.jornaldooeste.com.br/estado/governo-do-parana-apresenta-pacote-de-acoes-para-estimular-o-desenvolvimento-do-turismo/")</f>
        <v>https://www.jornaldooeste.com.br/estado/governo-do-parana-apresenta-pacote-de-acoes-para-estimular-o-desenvolvimento-do-turismo/</v>
      </c>
      <c r="Y577" s="77" t="s">
        <v>7053</v>
      </c>
      <c r="Z577" s="77"/>
      <c r="AA577" s="77" t="s">
        <v>7583</v>
      </c>
      <c r="AB577" s="77" t="s">
        <v>8225</v>
      </c>
      <c r="AC577" s="82" t="s">
        <v>8232</v>
      </c>
      <c r="AD577" s="77" t="s">
        <v>8278</v>
      </c>
      <c r="AE577" s="80" t="str">
        <f>HYPERLINK("https://twitter.com/jornaldooeste/status/1661387829958840320")</f>
        <v>https://twitter.com/jornaldooeste/status/1661387829958840320</v>
      </c>
      <c r="AF577" s="79">
        <v>45070.628472222219</v>
      </c>
      <c r="AG577" s="85">
        <v>45070</v>
      </c>
      <c r="AH577" s="82" t="s">
        <v>8507</v>
      </c>
      <c r="AI577" s="77" t="b">
        <v>0</v>
      </c>
      <c r="AJ577" s="77"/>
      <c r="AK577" s="77"/>
      <c r="AL577" s="77"/>
      <c r="AM577" s="77"/>
      <c r="AN577" s="77"/>
      <c r="AO577" s="77"/>
      <c r="AP577" s="77"/>
      <c r="AQ577" s="77" t="s">
        <v>12468</v>
      </c>
      <c r="AR577" s="77"/>
      <c r="AS577" s="77"/>
      <c r="AT577" s="77"/>
      <c r="AU577" s="77"/>
      <c r="AV577" s="80" t="str">
        <f>HYPERLINK("https://pbs.twimg.com/media/Fw5KuZhXgAMip5c.jpg")</f>
        <v>https://pbs.twimg.com/media/Fw5KuZhXgAMip5c.jpg</v>
      </c>
      <c r="AW577" s="82" t="s">
        <v>13674</v>
      </c>
      <c r="AX577" s="82" t="s">
        <v>13674</v>
      </c>
      <c r="AY577" s="77"/>
      <c r="AZ577" s="82" t="s">
        <v>17385</v>
      </c>
      <c r="BA577" s="82" t="s">
        <v>17385</v>
      </c>
      <c r="BB577" s="82" t="s">
        <v>17385</v>
      </c>
      <c r="BC577" s="82" t="s">
        <v>13674</v>
      </c>
      <c r="BD577" s="77">
        <v>46624815</v>
      </c>
      <c r="BE577" s="77"/>
      <c r="BF577" s="77"/>
      <c r="BG577" s="77"/>
      <c r="BH577" s="77"/>
      <c r="BI577" s="77"/>
    </row>
    <row r="578" spans="1:61" x14ac:dyDescent="0.25">
      <c r="A578" s="62" t="s">
        <v>364</v>
      </c>
      <c r="B578" s="62" t="s">
        <v>364</v>
      </c>
      <c r="C578" s="63"/>
      <c r="D578" s="64"/>
      <c r="E578" s="65"/>
      <c r="F578" s="66"/>
      <c r="G578" s="63"/>
      <c r="H578" s="67"/>
      <c r="I578" s="68"/>
      <c r="J578" s="68"/>
      <c r="K578" s="32"/>
      <c r="L578" s="75">
        <v>578</v>
      </c>
      <c r="M578" s="75"/>
      <c r="N578" s="70"/>
      <c r="O578" s="77" t="s">
        <v>179</v>
      </c>
      <c r="P578" s="79">
        <v>45069.670138888891</v>
      </c>
      <c r="Q578" s="77" t="s">
        <v>1371</v>
      </c>
      <c r="R578" s="77">
        <v>1</v>
      </c>
      <c r="S578" s="77">
        <v>0</v>
      </c>
      <c r="T578" s="77">
        <v>0</v>
      </c>
      <c r="U578" s="77">
        <v>0</v>
      </c>
      <c r="V578" s="77">
        <v>18</v>
      </c>
      <c r="W578" s="82" t="s">
        <v>5119</v>
      </c>
      <c r="X578" s="80" t="str">
        <f>HYPERLINK("https://www.jornaldooeste.com.br/regiao/maio-laranja-acao-mobilizou-mais-de-mil-criancas-e-adolescentes-em-nova-santa-rosa/")</f>
        <v>https://www.jornaldooeste.com.br/regiao/maio-laranja-acao-mobilizou-mais-de-mil-criancas-e-adolescentes-em-nova-santa-rosa/</v>
      </c>
      <c r="Y578" s="77" t="s">
        <v>7053</v>
      </c>
      <c r="Z578" s="77"/>
      <c r="AA578" s="77" t="s">
        <v>7584</v>
      </c>
      <c r="AB578" s="77" t="s">
        <v>8225</v>
      </c>
      <c r="AC578" s="82" t="s">
        <v>8232</v>
      </c>
      <c r="AD578" s="77" t="s">
        <v>8278</v>
      </c>
      <c r="AE578" s="80" t="str">
        <f>HYPERLINK("https://twitter.com/jornaldooeste/status/1661040541545496576")</f>
        <v>https://twitter.com/jornaldooeste/status/1661040541545496576</v>
      </c>
      <c r="AF578" s="79">
        <v>45069.670138888891</v>
      </c>
      <c r="AG578" s="85">
        <v>45069</v>
      </c>
      <c r="AH578" s="82" t="s">
        <v>8817</v>
      </c>
      <c r="AI578" s="77" t="b">
        <v>0</v>
      </c>
      <c r="AJ578" s="77"/>
      <c r="AK578" s="77"/>
      <c r="AL578" s="77"/>
      <c r="AM578" s="77"/>
      <c r="AN578" s="77"/>
      <c r="AO578" s="77"/>
      <c r="AP578" s="77"/>
      <c r="AQ578" s="77" t="s">
        <v>12469</v>
      </c>
      <c r="AR578" s="77"/>
      <c r="AS578" s="77"/>
      <c r="AT578" s="77"/>
      <c r="AU578" s="77"/>
      <c r="AV578" s="80" t="str">
        <f>HYPERLINK("https://pbs.twimg.com/media/Fwz_lQtWAAEuS5i.jpg")</f>
        <v>https://pbs.twimg.com/media/Fwz_lQtWAAEuS5i.jpg</v>
      </c>
      <c r="AW578" s="82" t="s">
        <v>13675</v>
      </c>
      <c r="AX578" s="82" t="s">
        <v>13675</v>
      </c>
      <c r="AY578" s="77"/>
      <c r="AZ578" s="82" t="s">
        <v>17385</v>
      </c>
      <c r="BA578" s="82" t="s">
        <v>17385</v>
      </c>
      <c r="BB578" s="82" t="s">
        <v>17385</v>
      </c>
      <c r="BC578" s="82" t="s">
        <v>13675</v>
      </c>
      <c r="BD578" s="77">
        <v>46624815</v>
      </c>
      <c r="BE578" s="77"/>
      <c r="BF578" s="77"/>
      <c r="BG578" s="77"/>
      <c r="BH578" s="77"/>
      <c r="BI578" s="77"/>
    </row>
    <row r="579" spans="1:61" x14ac:dyDescent="0.25">
      <c r="A579" s="62" t="s">
        <v>364</v>
      </c>
      <c r="B579" s="62" t="s">
        <v>364</v>
      </c>
      <c r="C579" s="63"/>
      <c r="D579" s="64"/>
      <c r="E579" s="65"/>
      <c r="F579" s="66"/>
      <c r="G579" s="63"/>
      <c r="H579" s="67"/>
      <c r="I579" s="68"/>
      <c r="J579" s="68"/>
      <c r="K579" s="32"/>
      <c r="L579" s="75">
        <v>579</v>
      </c>
      <c r="M579" s="75"/>
      <c r="N579" s="70"/>
      <c r="O579" s="77" t="s">
        <v>179</v>
      </c>
      <c r="P579" s="79">
        <v>45080.045138888891</v>
      </c>
      <c r="Q579" s="77" t="s">
        <v>1372</v>
      </c>
      <c r="R579" s="77">
        <v>1</v>
      </c>
      <c r="S579" s="77">
        <v>0</v>
      </c>
      <c r="T579" s="77">
        <v>0</v>
      </c>
      <c r="U579" s="77">
        <v>0</v>
      </c>
      <c r="V579" s="77">
        <v>101</v>
      </c>
      <c r="W579" s="82" t="s">
        <v>5120</v>
      </c>
      <c r="X579" s="80" t="str">
        <f>HYPERLINK("https://www.jornaldooeste.com.br/regiao/ouro-verde-verifica-as-acoes-que-tramitam-a-pedido-de-micheletto/")</f>
        <v>https://www.jornaldooeste.com.br/regiao/ouro-verde-verifica-as-acoes-que-tramitam-a-pedido-de-micheletto/</v>
      </c>
      <c r="Y579" s="77" t="s">
        <v>7053</v>
      </c>
      <c r="Z579" s="77"/>
      <c r="AA579" s="77" t="s">
        <v>7585</v>
      </c>
      <c r="AB579" s="77" t="s">
        <v>8225</v>
      </c>
      <c r="AC579" s="82" t="s">
        <v>8232</v>
      </c>
      <c r="AD579" s="77" t="s">
        <v>8278</v>
      </c>
      <c r="AE579" s="80" t="str">
        <f>HYPERLINK("https://twitter.com/jornaldooeste/status/1664800315114418176")</f>
        <v>https://twitter.com/jornaldooeste/status/1664800315114418176</v>
      </c>
      <c r="AF579" s="79">
        <v>45080.045138888891</v>
      </c>
      <c r="AG579" s="85">
        <v>45080</v>
      </c>
      <c r="AH579" s="82" t="s">
        <v>8818</v>
      </c>
      <c r="AI579" s="77" t="b">
        <v>0</v>
      </c>
      <c r="AJ579" s="77"/>
      <c r="AK579" s="77"/>
      <c r="AL579" s="77"/>
      <c r="AM579" s="77"/>
      <c r="AN579" s="77"/>
      <c r="AO579" s="77"/>
      <c r="AP579" s="77"/>
      <c r="AQ579" s="77" t="s">
        <v>12470</v>
      </c>
      <c r="AR579" s="77"/>
      <c r="AS579" s="77"/>
      <c r="AT579" s="77"/>
      <c r="AU579" s="77"/>
      <c r="AV579" s="80" t="str">
        <f>HYPERLINK("https://pbs.twimg.com/media/FxpA2viXsAAibUg.jpg")</f>
        <v>https://pbs.twimg.com/media/FxpA2viXsAAibUg.jpg</v>
      </c>
      <c r="AW579" s="82" t="s">
        <v>13676</v>
      </c>
      <c r="AX579" s="82" t="s">
        <v>13676</v>
      </c>
      <c r="AY579" s="77"/>
      <c r="AZ579" s="82" t="s">
        <v>17385</v>
      </c>
      <c r="BA579" s="82" t="s">
        <v>17385</v>
      </c>
      <c r="BB579" s="82" t="s">
        <v>17385</v>
      </c>
      <c r="BC579" s="82" t="s">
        <v>13676</v>
      </c>
      <c r="BD579" s="77">
        <v>46624815</v>
      </c>
      <c r="BE579" s="77"/>
      <c r="BF579" s="77"/>
      <c r="BG579" s="77"/>
      <c r="BH579" s="77"/>
      <c r="BI579" s="77"/>
    </row>
    <row r="580" spans="1:61" x14ac:dyDescent="0.25">
      <c r="A580" s="62" t="s">
        <v>364</v>
      </c>
      <c r="B580" s="62" t="s">
        <v>364</v>
      </c>
      <c r="C580" s="63"/>
      <c r="D580" s="64"/>
      <c r="E580" s="65"/>
      <c r="F580" s="66"/>
      <c r="G580" s="63"/>
      <c r="H580" s="67"/>
      <c r="I580" s="68"/>
      <c r="J580" s="68"/>
      <c r="K580" s="32"/>
      <c r="L580" s="75">
        <v>580</v>
      </c>
      <c r="M580" s="75"/>
      <c r="N580" s="70"/>
      <c r="O580" s="77" t="s">
        <v>179</v>
      </c>
      <c r="P580" s="79">
        <v>45063.586805555555</v>
      </c>
      <c r="Q580" s="77" t="s">
        <v>1373</v>
      </c>
      <c r="R580" s="77">
        <v>1</v>
      </c>
      <c r="S580" s="77">
        <v>0</v>
      </c>
      <c r="T580" s="77">
        <v>0</v>
      </c>
      <c r="U580" s="77">
        <v>0</v>
      </c>
      <c r="V580" s="77">
        <v>15</v>
      </c>
      <c r="W580" s="82" t="s">
        <v>5121</v>
      </c>
      <c r="X580" s="80" t="str">
        <f>HYPERLINK("https://www.jornaldooeste.com.br/toledo/campanha-maio-furta-cor-encontro-na-praca-marca-acoes-do-movimento/")</f>
        <v>https://www.jornaldooeste.com.br/toledo/campanha-maio-furta-cor-encontro-na-praca-marca-acoes-do-movimento/</v>
      </c>
      <c r="Y580" s="77" t="s">
        <v>7053</v>
      </c>
      <c r="Z580" s="77"/>
      <c r="AA580" s="77" t="s">
        <v>7586</v>
      </c>
      <c r="AB580" s="77" t="s">
        <v>8225</v>
      </c>
      <c r="AC580" s="82" t="s">
        <v>8232</v>
      </c>
      <c r="AD580" s="77" t="s">
        <v>8278</v>
      </c>
      <c r="AE580" s="80" t="str">
        <f>HYPERLINK("https://twitter.com/jornaldooeste/status/1658836015019339776")</f>
        <v>https://twitter.com/jornaldooeste/status/1658836015019339776</v>
      </c>
      <c r="AF580" s="79">
        <v>45063.586805555555</v>
      </c>
      <c r="AG580" s="85">
        <v>45063</v>
      </c>
      <c r="AH580" s="82" t="s">
        <v>8819</v>
      </c>
      <c r="AI580" s="77" t="b">
        <v>0</v>
      </c>
      <c r="AJ580" s="77"/>
      <c r="AK580" s="77"/>
      <c r="AL580" s="77"/>
      <c r="AM580" s="77"/>
      <c r="AN580" s="77"/>
      <c r="AO580" s="77"/>
      <c r="AP580" s="77"/>
      <c r="AQ580" s="77" t="s">
        <v>12471</v>
      </c>
      <c r="AR580" s="77"/>
      <c r="AS580" s="77"/>
      <c r="AT580" s="77"/>
      <c r="AU580" s="77"/>
      <c r="AV580" s="80" t="str">
        <f>HYPERLINK("https://pbs.twimg.com/media/FwVC5bmWIAAZOLy.jpg")</f>
        <v>https://pbs.twimg.com/media/FwVC5bmWIAAZOLy.jpg</v>
      </c>
      <c r="AW580" s="82" t="s">
        <v>13677</v>
      </c>
      <c r="AX580" s="82" t="s">
        <v>13677</v>
      </c>
      <c r="AY580" s="77"/>
      <c r="AZ580" s="82" t="s">
        <v>17385</v>
      </c>
      <c r="BA580" s="82" t="s">
        <v>17385</v>
      </c>
      <c r="BB580" s="82" t="s">
        <v>17385</v>
      </c>
      <c r="BC580" s="82" t="s">
        <v>13677</v>
      </c>
      <c r="BD580" s="77">
        <v>46624815</v>
      </c>
      <c r="BE580" s="77"/>
      <c r="BF580" s="77"/>
      <c r="BG580" s="77"/>
      <c r="BH580" s="77"/>
      <c r="BI580" s="77"/>
    </row>
    <row r="581" spans="1:61" x14ac:dyDescent="0.25">
      <c r="A581" s="62" t="s">
        <v>364</v>
      </c>
      <c r="B581" s="62" t="s">
        <v>364</v>
      </c>
      <c r="C581" s="63"/>
      <c r="D581" s="64"/>
      <c r="E581" s="65"/>
      <c r="F581" s="66"/>
      <c r="G581" s="63"/>
      <c r="H581" s="67"/>
      <c r="I581" s="68"/>
      <c r="J581" s="68"/>
      <c r="K581" s="32"/>
      <c r="L581" s="75">
        <v>581</v>
      </c>
      <c r="M581" s="75"/>
      <c r="N581" s="70"/>
      <c r="O581" s="77" t="s">
        <v>179</v>
      </c>
      <c r="P581" s="79">
        <v>45138.878472222219</v>
      </c>
      <c r="Q581" s="77" t="s">
        <v>1374</v>
      </c>
      <c r="R581" s="77">
        <v>2</v>
      </c>
      <c r="S581" s="77">
        <v>3</v>
      </c>
      <c r="T581" s="77">
        <v>1</v>
      </c>
      <c r="U581" s="77">
        <v>0</v>
      </c>
      <c r="V581" s="77">
        <v>72</v>
      </c>
      <c r="W581" s="82" t="s">
        <v>5122</v>
      </c>
      <c r="X581" s="80" t="str">
        <f>HYPERLINK("https://www.jornaldooeste.com.br/regiao/cardapio-com-mais-vegetais-e-legumes-parque-das-aves-investe-em-acoes-para-diminuir-pegada-ecologica/")</f>
        <v>https://www.jornaldooeste.com.br/regiao/cardapio-com-mais-vegetais-e-legumes-parque-das-aves-investe-em-acoes-para-diminuir-pegada-ecologica/</v>
      </c>
      <c r="Y581" s="77" t="s">
        <v>7053</v>
      </c>
      <c r="Z581" s="77"/>
      <c r="AA581" s="77" t="s">
        <v>7587</v>
      </c>
      <c r="AB581" s="77" t="s">
        <v>8225</v>
      </c>
      <c r="AC581" s="82" t="s">
        <v>8232</v>
      </c>
      <c r="AD581" s="77" t="s">
        <v>8278</v>
      </c>
      <c r="AE581" s="80" t="str">
        <f>HYPERLINK("https://twitter.com/jornaldooeste/status/1686120801165271043")</f>
        <v>https://twitter.com/jornaldooeste/status/1686120801165271043</v>
      </c>
      <c r="AF581" s="79">
        <v>45138.878472222219</v>
      </c>
      <c r="AG581" s="85">
        <v>45138</v>
      </c>
      <c r="AH581" s="82" t="s">
        <v>8820</v>
      </c>
      <c r="AI581" s="77" t="b">
        <v>0</v>
      </c>
      <c r="AJ581" s="77"/>
      <c r="AK581" s="77"/>
      <c r="AL581" s="77"/>
      <c r="AM581" s="77"/>
      <c r="AN581" s="77"/>
      <c r="AO581" s="77"/>
      <c r="AP581" s="77"/>
      <c r="AQ581" s="77" t="s">
        <v>12472</v>
      </c>
      <c r="AR581" s="77"/>
      <c r="AS581" s="77"/>
      <c r="AT581" s="77"/>
      <c r="AU581" s="77"/>
      <c r="AV581" s="80" t="str">
        <f>HYPERLINK("https://pbs.twimg.com/media/F2YqxdXXIAAdtA-.jpg")</f>
        <v>https://pbs.twimg.com/media/F2YqxdXXIAAdtA-.jpg</v>
      </c>
      <c r="AW581" s="82" t="s">
        <v>13678</v>
      </c>
      <c r="AX581" s="82" t="s">
        <v>13678</v>
      </c>
      <c r="AY581" s="77"/>
      <c r="AZ581" s="82" t="s">
        <v>17385</v>
      </c>
      <c r="BA581" s="82" t="s">
        <v>17385</v>
      </c>
      <c r="BB581" s="82" t="s">
        <v>17385</v>
      </c>
      <c r="BC581" s="82" t="s">
        <v>13678</v>
      </c>
      <c r="BD581" s="77">
        <v>46624815</v>
      </c>
      <c r="BE581" s="77"/>
      <c r="BF581" s="77"/>
      <c r="BG581" s="77"/>
      <c r="BH581" s="77"/>
      <c r="BI581" s="77"/>
    </row>
    <row r="582" spans="1:61" x14ac:dyDescent="0.25">
      <c r="A582" s="62" t="s">
        <v>364</v>
      </c>
      <c r="B582" s="62" t="s">
        <v>364</v>
      </c>
      <c r="C582" s="63"/>
      <c r="D582" s="64"/>
      <c r="E582" s="65"/>
      <c r="F582" s="66"/>
      <c r="G582" s="63"/>
      <c r="H582" s="67"/>
      <c r="I582" s="68"/>
      <c r="J582" s="68"/>
      <c r="K582" s="32"/>
      <c r="L582" s="75">
        <v>582</v>
      </c>
      <c r="M582" s="75"/>
      <c r="N582" s="70"/>
      <c r="O582" s="77" t="s">
        <v>179</v>
      </c>
      <c r="P582" s="79">
        <v>45078.045138888891</v>
      </c>
      <c r="Q582" s="77" t="s">
        <v>1375</v>
      </c>
      <c r="R582" s="77">
        <v>1</v>
      </c>
      <c r="S582" s="77">
        <v>0</v>
      </c>
      <c r="T582" s="77">
        <v>0</v>
      </c>
      <c r="U582" s="77">
        <v>0</v>
      </c>
      <c r="V582" s="77">
        <v>21</v>
      </c>
      <c r="W582" s="82" t="s">
        <v>5123</v>
      </c>
      <c r="X582" s="80" t="str">
        <f>HYPERLINK("https://www.jornaldooeste.com.br/regiao/pato-bragado-define-acoes-iniciais-para-implantacao-do-centro-de-convivencia-do-idoso/")</f>
        <v>https://www.jornaldooeste.com.br/regiao/pato-bragado-define-acoes-iniciais-para-implantacao-do-centro-de-convivencia-do-idoso/</v>
      </c>
      <c r="Y582" s="77" t="s">
        <v>7053</v>
      </c>
      <c r="Z582" s="77"/>
      <c r="AA582" s="77" t="s">
        <v>7588</v>
      </c>
      <c r="AB582" s="77" t="s">
        <v>8225</v>
      </c>
      <c r="AC582" s="82" t="s">
        <v>8232</v>
      </c>
      <c r="AD582" s="77" t="s">
        <v>8278</v>
      </c>
      <c r="AE582" s="80" t="str">
        <f>HYPERLINK("https://twitter.com/jornaldooeste/status/1664075539441946624")</f>
        <v>https://twitter.com/jornaldooeste/status/1664075539441946624</v>
      </c>
      <c r="AF582" s="79">
        <v>45078.045138888891</v>
      </c>
      <c r="AG582" s="85">
        <v>45078</v>
      </c>
      <c r="AH582" s="82" t="s">
        <v>8818</v>
      </c>
      <c r="AI582" s="77" t="b">
        <v>0</v>
      </c>
      <c r="AJ582" s="77"/>
      <c r="AK582" s="77"/>
      <c r="AL582" s="77"/>
      <c r="AM582" s="77"/>
      <c r="AN582" s="77"/>
      <c r="AO582" s="77"/>
      <c r="AP582" s="77"/>
      <c r="AQ582" s="77" t="s">
        <v>12473</v>
      </c>
      <c r="AR582" s="77"/>
      <c r="AS582" s="77"/>
      <c r="AT582" s="77"/>
      <c r="AU582" s="77"/>
      <c r="AV582" s="80" t="str">
        <f>HYPERLINK("https://pbs.twimg.com/media/FxehfXjWIAAtU_d.jpg")</f>
        <v>https://pbs.twimg.com/media/FxehfXjWIAAtU_d.jpg</v>
      </c>
      <c r="AW582" s="82" t="s">
        <v>13679</v>
      </c>
      <c r="AX582" s="82" t="s">
        <v>13679</v>
      </c>
      <c r="AY582" s="77"/>
      <c r="AZ582" s="82" t="s">
        <v>17385</v>
      </c>
      <c r="BA582" s="82" t="s">
        <v>17385</v>
      </c>
      <c r="BB582" s="82" t="s">
        <v>17385</v>
      </c>
      <c r="BC582" s="82" t="s">
        <v>13679</v>
      </c>
      <c r="BD582" s="77">
        <v>46624815</v>
      </c>
      <c r="BE582" s="77"/>
      <c r="BF582" s="77"/>
      <c r="BG582" s="77"/>
      <c r="BH582" s="77"/>
      <c r="BI582" s="77"/>
    </row>
    <row r="583" spans="1:61" x14ac:dyDescent="0.25">
      <c r="A583" s="62" t="s">
        <v>364</v>
      </c>
      <c r="B583" s="62" t="s">
        <v>364</v>
      </c>
      <c r="C583" s="63"/>
      <c r="D583" s="64"/>
      <c r="E583" s="65"/>
      <c r="F583" s="66"/>
      <c r="G583" s="63"/>
      <c r="H583" s="67"/>
      <c r="I583" s="68"/>
      <c r="J583" s="68"/>
      <c r="K583" s="32"/>
      <c r="L583" s="75">
        <v>583</v>
      </c>
      <c r="M583" s="75"/>
      <c r="N583" s="70"/>
      <c r="O583" s="77" t="s">
        <v>179</v>
      </c>
      <c r="P583" s="79">
        <v>45162.628472222219</v>
      </c>
      <c r="Q583" s="77" t="s">
        <v>1376</v>
      </c>
      <c r="R583" s="77">
        <v>1</v>
      </c>
      <c r="S583" s="77">
        <v>0</v>
      </c>
      <c r="T583" s="77">
        <v>0</v>
      </c>
      <c r="U583" s="77">
        <v>0</v>
      </c>
      <c r="V583" s="77">
        <v>44</v>
      </c>
      <c r="W583" s="82" t="s">
        <v>5124</v>
      </c>
      <c r="X583" s="80" t="str">
        <f>HYPERLINK("https://www.jornaldooeste.com.br/regiao/enio-verri-fala-sobre-acoes-socioambientais-da-itaipu-em-aula-magna-da-unifoz/")</f>
        <v>https://www.jornaldooeste.com.br/regiao/enio-verri-fala-sobre-acoes-socioambientais-da-itaipu-em-aula-magna-da-unifoz/</v>
      </c>
      <c r="Y583" s="77" t="s">
        <v>7053</v>
      </c>
      <c r="Z583" s="77"/>
      <c r="AA583" s="77" t="s">
        <v>7589</v>
      </c>
      <c r="AB583" s="77" t="s">
        <v>8225</v>
      </c>
      <c r="AC583" s="82" t="s">
        <v>8232</v>
      </c>
      <c r="AD583" s="77" t="s">
        <v>8278</v>
      </c>
      <c r="AE583" s="80" t="str">
        <f>HYPERLINK("https://twitter.com/jornaldooeste/status/1694727513425989758")</f>
        <v>https://twitter.com/jornaldooeste/status/1694727513425989758</v>
      </c>
      <c r="AF583" s="79">
        <v>45162.628472222219</v>
      </c>
      <c r="AG583" s="85">
        <v>45162</v>
      </c>
      <c r="AH583" s="82" t="s">
        <v>8507</v>
      </c>
      <c r="AI583" s="77" t="b">
        <v>0</v>
      </c>
      <c r="AJ583" s="77"/>
      <c r="AK583" s="77"/>
      <c r="AL583" s="77"/>
      <c r="AM583" s="77"/>
      <c r="AN583" s="77"/>
      <c r="AO583" s="77"/>
      <c r="AP583" s="77"/>
      <c r="AQ583" s="77" t="s">
        <v>12474</v>
      </c>
      <c r="AR583" s="77"/>
      <c r="AS583" s="77"/>
      <c r="AT583" s="77"/>
      <c r="AU583" s="77"/>
      <c r="AV583" s="80" t="str">
        <f>HYPERLINK("https://pbs.twimg.com/media/F4S83X6WsAEet4u.jpg")</f>
        <v>https://pbs.twimg.com/media/F4S83X6WsAEet4u.jpg</v>
      </c>
      <c r="AW583" s="82" t="s">
        <v>13680</v>
      </c>
      <c r="AX583" s="82" t="s">
        <v>13680</v>
      </c>
      <c r="AY583" s="77"/>
      <c r="AZ583" s="82" t="s">
        <v>17385</v>
      </c>
      <c r="BA583" s="82" t="s">
        <v>17385</v>
      </c>
      <c r="BB583" s="82" t="s">
        <v>17385</v>
      </c>
      <c r="BC583" s="82" t="s">
        <v>13680</v>
      </c>
      <c r="BD583" s="77">
        <v>46624815</v>
      </c>
      <c r="BE583" s="77"/>
      <c r="BF583" s="77"/>
      <c r="BG583" s="77"/>
      <c r="BH583" s="77"/>
      <c r="BI583" s="77"/>
    </row>
    <row r="584" spans="1:61" x14ac:dyDescent="0.25">
      <c r="A584" s="62" t="s">
        <v>364</v>
      </c>
      <c r="B584" s="62" t="s">
        <v>364</v>
      </c>
      <c r="C584" s="63"/>
      <c r="D584" s="64"/>
      <c r="E584" s="65"/>
      <c r="F584" s="66"/>
      <c r="G584" s="63"/>
      <c r="H584" s="67"/>
      <c r="I584" s="68"/>
      <c r="J584" s="68"/>
      <c r="K584" s="32"/>
      <c r="L584" s="75">
        <v>584</v>
      </c>
      <c r="M584" s="75"/>
      <c r="N584" s="70"/>
      <c r="O584" s="77" t="s">
        <v>179</v>
      </c>
      <c r="P584" s="79">
        <v>45134.545138888891</v>
      </c>
      <c r="Q584" s="77" t="s">
        <v>1377</v>
      </c>
      <c r="R584" s="77">
        <v>1</v>
      </c>
      <c r="S584" s="77">
        <v>0</v>
      </c>
      <c r="T584" s="77">
        <v>0</v>
      </c>
      <c r="U584" s="77">
        <v>0</v>
      </c>
      <c r="V584" s="77">
        <v>34</v>
      </c>
      <c r="W584" s="82" t="s">
        <v>5125</v>
      </c>
      <c r="X584" s="80" t="str">
        <f>HYPERLINK("https://www.jornaldooeste.com.br/toledo/projeto-rondon-academicos-do-oeste-do-parana-realizam-acoes-em-rondonia/")</f>
        <v>https://www.jornaldooeste.com.br/toledo/projeto-rondon-academicos-do-oeste-do-parana-realizam-acoes-em-rondonia/</v>
      </c>
      <c r="Y584" s="77" t="s">
        <v>7053</v>
      </c>
      <c r="Z584" s="77"/>
      <c r="AA584" s="77" t="s">
        <v>7590</v>
      </c>
      <c r="AB584" s="77" t="s">
        <v>8225</v>
      </c>
      <c r="AC584" s="82" t="s">
        <v>8232</v>
      </c>
      <c r="AD584" s="77" t="s">
        <v>8278</v>
      </c>
      <c r="AE584" s="80" t="str">
        <f>HYPERLINK("https://twitter.com/jornaldooeste/status/1684550454062223361")</f>
        <v>https://twitter.com/jornaldooeste/status/1684550454062223361</v>
      </c>
      <c r="AF584" s="79">
        <v>45134.545138888891</v>
      </c>
      <c r="AG584" s="85">
        <v>45134</v>
      </c>
      <c r="AH584" s="82" t="s">
        <v>8821</v>
      </c>
      <c r="AI584" s="77" t="b">
        <v>0</v>
      </c>
      <c r="AJ584" s="77"/>
      <c r="AK584" s="77"/>
      <c r="AL584" s="77"/>
      <c r="AM584" s="77"/>
      <c r="AN584" s="77"/>
      <c r="AO584" s="77"/>
      <c r="AP584" s="77"/>
      <c r="AQ584" s="77" t="s">
        <v>12475</v>
      </c>
      <c r="AR584" s="77"/>
      <c r="AS584" s="77"/>
      <c r="AT584" s="77"/>
      <c r="AU584" s="77"/>
      <c r="AV584" s="80" t="str">
        <f>HYPERLINK("https://pbs.twimg.com/media/F2CtfQKWYAA1dL2.jpg")</f>
        <v>https://pbs.twimg.com/media/F2CtfQKWYAA1dL2.jpg</v>
      </c>
      <c r="AW584" s="82" t="s">
        <v>13681</v>
      </c>
      <c r="AX584" s="82" t="s">
        <v>13681</v>
      </c>
      <c r="AY584" s="77"/>
      <c r="AZ584" s="82" t="s">
        <v>17385</v>
      </c>
      <c r="BA584" s="82" t="s">
        <v>17385</v>
      </c>
      <c r="BB584" s="82" t="s">
        <v>17385</v>
      </c>
      <c r="BC584" s="82" t="s">
        <v>13681</v>
      </c>
      <c r="BD584" s="77">
        <v>46624815</v>
      </c>
      <c r="BE584" s="77"/>
      <c r="BF584" s="77"/>
      <c r="BG584" s="77"/>
      <c r="BH584" s="77"/>
      <c r="BI584" s="77"/>
    </row>
    <row r="585" spans="1:61" x14ac:dyDescent="0.25">
      <c r="A585" s="62" t="s">
        <v>364</v>
      </c>
      <c r="B585" s="62" t="s">
        <v>364</v>
      </c>
      <c r="C585" s="63"/>
      <c r="D585" s="64"/>
      <c r="E585" s="65"/>
      <c r="F585" s="66"/>
      <c r="G585" s="63"/>
      <c r="H585" s="67"/>
      <c r="I585" s="68"/>
      <c r="J585" s="68"/>
      <c r="K585" s="32"/>
      <c r="L585" s="75">
        <v>585</v>
      </c>
      <c r="M585" s="75"/>
      <c r="N585" s="70"/>
      <c r="O585" s="77" t="s">
        <v>179</v>
      </c>
      <c r="P585" s="79">
        <v>45082.961805555555</v>
      </c>
      <c r="Q585" s="77" t="s">
        <v>1378</v>
      </c>
      <c r="R585" s="77">
        <v>1</v>
      </c>
      <c r="S585" s="77">
        <v>0</v>
      </c>
      <c r="T585" s="77">
        <v>0</v>
      </c>
      <c r="U585" s="77">
        <v>0</v>
      </c>
      <c r="V585" s="77">
        <v>30</v>
      </c>
      <c r="W585" s="82" t="s">
        <v>5126</v>
      </c>
      <c r="X585" s="80" t="str">
        <f>HYPERLINK("https://www.jornaldooeste.com.br/toledo/dia-mundial-do-meio-ambiente-municipio-inicia-acoes-do-junho-verde/")</f>
        <v>https://www.jornaldooeste.com.br/toledo/dia-mundial-do-meio-ambiente-municipio-inicia-acoes-do-junho-verde/</v>
      </c>
      <c r="Y585" s="77" t="s">
        <v>7053</v>
      </c>
      <c r="Z585" s="77"/>
      <c r="AA585" s="77" t="s">
        <v>7591</v>
      </c>
      <c r="AB585" s="77" t="s">
        <v>8225</v>
      </c>
      <c r="AC585" s="82" t="s">
        <v>8232</v>
      </c>
      <c r="AD585" s="77" t="s">
        <v>8278</v>
      </c>
      <c r="AE585" s="80" t="str">
        <f>HYPERLINK("https://twitter.com/jornaldooeste/status/1665857279617388549")</f>
        <v>https://twitter.com/jornaldooeste/status/1665857279617388549</v>
      </c>
      <c r="AF585" s="79">
        <v>45082.961805555555</v>
      </c>
      <c r="AG585" s="85">
        <v>45082</v>
      </c>
      <c r="AH585" s="82" t="s">
        <v>8822</v>
      </c>
      <c r="AI585" s="77" t="b">
        <v>0</v>
      </c>
      <c r="AJ585" s="77"/>
      <c r="AK585" s="77"/>
      <c r="AL585" s="77"/>
      <c r="AM585" s="77"/>
      <c r="AN585" s="77"/>
      <c r="AO585" s="77"/>
      <c r="AP585" s="77"/>
      <c r="AQ585" s="77" t="s">
        <v>12476</v>
      </c>
      <c r="AR585" s="77"/>
      <c r="AS585" s="77"/>
      <c r="AT585" s="77"/>
      <c r="AU585" s="77"/>
      <c r="AV585" s="80" t="str">
        <f>HYPERLINK("https://pbs.twimg.com/media/Fx4C21wXoAE2rNB.jpg")</f>
        <v>https://pbs.twimg.com/media/Fx4C21wXoAE2rNB.jpg</v>
      </c>
      <c r="AW585" s="82" t="s">
        <v>13682</v>
      </c>
      <c r="AX585" s="82" t="s">
        <v>13682</v>
      </c>
      <c r="AY585" s="77"/>
      <c r="AZ585" s="82" t="s">
        <v>17385</v>
      </c>
      <c r="BA585" s="82" t="s">
        <v>17385</v>
      </c>
      <c r="BB585" s="82" t="s">
        <v>17385</v>
      </c>
      <c r="BC585" s="82" t="s">
        <v>13682</v>
      </c>
      <c r="BD585" s="77">
        <v>46624815</v>
      </c>
      <c r="BE585" s="77"/>
      <c r="BF585" s="77"/>
      <c r="BG585" s="77"/>
      <c r="BH585" s="77"/>
      <c r="BI585" s="77"/>
    </row>
    <row r="586" spans="1:61" x14ac:dyDescent="0.25">
      <c r="A586" s="62" t="s">
        <v>364</v>
      </c>
      <c r="B586" s="62" t="s">
        <v>364</v>
      </c>
      <c r="C586" s="63"/>
      <c r="D586" s="64"/>
      <c r="E586" s="65"/>
      <c r="F586" s="66"/>
      <c r="G586" s="63"/>
      <c r="H586" s="67"/>
      <c r="I586" s="68"/>
      <c r="J586" s="68"/>
      <c r="K586" s="32"/>
      <c r="L586" s="75">
        <v>586</v>
      </c>
      <c r="M586" s="75"/>
      <c r="N586" s="70"/>
      <c r="O586" s="77" t="s">
        <v>179</v>
      </c>
      <c r="P586" s="79">
        <v>45065.503472222219</v>
      </c>
      <c r="Q586" s="77" t="s">
        <v>1379</v>
      </c>
      <c r="R586" s="77">
        <v>1</v>
      </c>
      <c r="S586" s="77">
        <v>1</v>
      </c>
      <c r="T586" s="77">
        <v>0</v>
      </c>
      <c r="U586" s="77">
        <v>0</v>
      </c>
      <c r="V586" s="77">
        <v>22</v>
      </c>
      <c r="W586" s="82" t="s">
        <v>5127</v>
      </c>
      <c r="X586" s="80" t="str">
        <f>HYPERLINK("https://www.jornaldooeste.com.br/toledo/cojem-realiza-feirao-do-imposto-com-acoes-de-21-a-27-de-maio-em-toledo/")</f>
        <v>https://www.jornaldooeste.com.br/toledo/cojem-realiza-feirao-do-imposto-com-acoes-de-21-a-27-de-maio-em-toledo/</v>
      </c>
      <c r="Y586" s="77" t="s">
        <v>7053</v>
      </c>
      <c r="Z586" s="77"/>
      <c r="AA586" s="77" t="s">
        <v>7592</v>
      </c>
      <c r="AB586" s="77" t="s">
        <v>8225</v>
      </c>
      <c r="AC586" s="82" t="s">
        <v>8232</v>
      </c>
      <c r="AD586" s="77" t="s">
        <v>8278</v>
      </c>
      <c r="AE586" s="80" t="str">
        <f>HYPERLINK("https://twitter.com/jornaldooeste/status/1659530591942086658")</f>
        <v>https://twitter.com/jornaldooeste/status/1659530591942086658</v>
      </c>
      <c r="AF586" s="79">
        <v>45065.503472222219</v>
      </c>
      <c r="AG586" s="85">
        <v>45065</v>
      </c>
      <c r="AH586" s="82" t="s">
        <v>8815</v>
      </c>
      <c r="AI586" s="77" t="b">
        <v>0</v>
      </c>
      <c r="AJ586" s="77"/>
      <c r="AK586" s="77"/>
      <c r="AL586" s="77"/>
      <c r="AM586" s="77"/>
      <c r="AN586" s="77"/>
      <c r="AO586" s="77"/>
      <c r="AP586" s="77"/>
      <c r="AQ586" s="77" t="s">
        <v>12477</v>
      </c>
      <c r="AR586" s="77"/>
      <c r="AS586" s="77"/>
      <c r="AT586" s="77"/>
      <c r="AU586" s="77"/>
      <c r="AV586" s="80" t="str">
        <f>HYPERLINK("https://pbs.twimg.com/media/FwfU3WuWYAMyp44.jpg")</f>
        <v>https://pbs.twimg.com/media/FwfU3WuWYAMyp44.jpg</v>
      </c>
      <c r="AW586" s="82" t="s">
        <v>13683</v>
      </c>
      <c r="AX586" s="82" t="s">
        <v>13683</v>
      </c>
      <c r="AY586" s="77"/>
      <c r="AZ586" s="82" t="s">
        <v>17385</v>
      </c>
      <c r="BA586" s="82" t="s">
        <v>17385</v>
      </c>
      <c r="BB586" s="82" t="s">
        <v>17385</v>
      </c>
      <c r="BC586" s="82" t="s">
        <v>13683</v>
      </c>
      <c r="BD586" s="77">
        <v>46624815</v>
      </c>
      <c r="BE586" s="77"/>
      <c r="BF586" s="77"/>
      <c r="BG586" s="77"/>
      <c r="BH586" s="77"/>
      <c r="BI586" s="77"/>
    </row>
    <row r="587" spans="1:61" x14ac:dyDescent="0.25">
      <c r="A587" s="62" t="s">
        <v>364</v>
      </c>
      <c r="B587" s="62" t="s">
        <v>364</v>
      </c>
      <c r="C587" s="63"/>
      <c r="D587" s="64"/>
      <c r="E587" s="65"/>
      <c r="F587" s="66"/>
      <c r="G587" s="63"/>
      <c r="H587" s="67"/>
      <c r="I587" s="68"/>
      <c r="J587" s="68"/>
      <c r="K587" s="32"/>
      <c r="L587" s="75">
        <v>587</v>
      </c>
      <c r="M587" s="75"/>
      <c r="N587" s="70"/>
      <c r="O587" s="77" t="s">
        <v>179</v>
      </c>
      <c r="P587" s="79">
        <v>45174.711805555555</v>
      </c>
      <c r="Q587" s="77" t="s">
        <v>1380</v>
      </c>
      <c r="R587" s="77">
        <v>0</v>
      </c>
      <c r="S587" s="77">
        <v>0</v>
      </c>
      <c r="T587" s="77">
        <v>0</v>
      </c>
      <c r="U587" s="77">
        <v>0</v>
      </c>
      <c r="V587" s="77">
        <v>22</v>
      </c>
      <c r="W587" s="82" t="s">
        <v>5128</v>
      </c>
      <c r="X587" s="80" t="str">
        <f>HYPERLINK("https://www.jornaldooeste.com.br/regiao/acoes-do-agosto-azul-sao-finalizadas-em-assis-chateaubriand/")</f>
        <v>https://www.jornaldooeste.com.br/regiao/acoes-do-agosto-azul-sao-finalizadas-em-assis-chateaubriand/</v>
      </c>
      <c r="Y587" s="77" t="s">
        <v>7053</v>
      </c>
      <c r="Z587" s="77"/>
      <c r="AA587" s="77" t="s">
        <v>7593</v>
      </c>
      <c r="AB587" s="77" t="s">
        <v>8225</v>
      </c>
      <c r="AC587" s="82" t="s">
        <v>8232</v>
      </c>
      <c r="AD587" s="77" t="s">
        <v>8278</v>
      </c>
      <c r="AE587" s="80" t="str">
        <f>HYPERLINK("https://twitter.com/jornaldooeste/status/1699106366382542951")</f>
        <v>https://twitter.com/jornaldooeste/status/1699106366382542951</v>
      </c>
      <c r="AF587" s="79">
        <v>45174.711805555555</v>
      </c>
      <c r="AG587" s="85">
        <v>45174</v>
      </c>
      <c r="AH587" s="82" t="s">
        <v>8823</v>
      </c>
      <c r="AI587" s="77" t="b">
        <v>0</v>
      </c>
      <c r="AJ587" s="77"/>
      <c r="AK587" s="77"/>
      <c r="AL587" s="77"/>
      <c r="AM587" s="77"/>
      <c r="AN587" s="77"/>
      <c r="AO587" s="77"/>
      <c r="AP587" s="77"/>
      <c r="AQ587" s="77" t="s">
        <v>12478</v>
      </c>
      <c r="AR587" s="77"/>
      <c r="AS587" s="77"/>
      <c r="AT587" s="77"/>
      <c r="AU587" s="77"/>
      <c r="AV587" s="80" t="str">
        <f>HYPERLINK("https://pbs.twimg.com/media/F5Qu8qAXwAAcTXs.jpg")</f>
        <v>https://pbs.twimg.com/media/F5Qu8qAXwAAcTXs.jpg</v>
      </c>
      <c r="AW587" s="82" t="s">
        <v>13684</v>
      </c>
      <c r="AX587" s="82" t="s">
        <v>13684</v>
      </c>
      <c r="AY587" s="77"/>
      <c r="AZ587" s="82" t="s">
        <v>17385</v>
      </c>
      <c r="BA587" s="82" t="s">
        <v>17385</v>
      </c>
      <c r="BB587" s="82" t="s">
        <v>17385</v>
      </c>
      <c r="BC587" s="82" t="s">
        <v>13684</v>
      </c>
      <c r="BD587" s="77">
        <v>46624815</v>
      </c>
      <c r="BE587" s="77"/>
      <c r="BF587" s="77"/>
      <c r="BG587" s="77"/>
      <c r="BH587" s="77"/>
      <c r="BI587" s="77"/>
    </row>
    <row r="588" spans="1:61" x14ac:dyDescent="0.25">
      <c r="A588" s="62" t="s">
        <v>364</v>
      </c>
      <c r="B588" s="62" t="s">
        <v>364</v>
      </c>
      <c r="C588" s="63"/>
      <c r="D588" s="64"/>
      <c r="E588" s="65"/>
      <c r="F588" s="66"/>
      <c r="G588" s="63"/>
      <c r="H588" s="67"/>
      <c r="I588" s="68"/>
      <c r="J588" s="68"/>
      <c r="K588" s="32"/>
      <c r="L588" s="75">
        <v>588</v>
      </c>
      <c r="M588" s="75"/>
      <c r="N588" s="70"/>
      <c r="O588" s="77" t="s">
        <v>179</v>
      </c>
      <c r="P588" s="79">
        <v>45094.878472222219</v>
      </c>
      <c r="Q588" s="77" t="s">
        <v>1381</v>
      </c>
      <c r="R588" s="77">
        <v>0</v>
      </c>
      <c r="S588" s="77">
        <v>0</v>
      </c>
      <c r="T588" s="77">
        <v>0</v>
      </c>
      <c r="U588" s="77">
        <v>0</v>
      </c>
      <c r="V588" s="77">
        <v>29</v>
      </c>
      <c r="W588" s="82" t="s">
        <v>5129</v>
      </c>
      <c r="X588" s="77"/>
      <c r="Y588" s="77"/>
      <c r="Z588" s="77"/>
      <c r="AA588" s="77" t="s">
        <v>7594</v>
      </c>
      <c r="AB588" s="77" t="s">
        <v>8225</v>
      </c>
      <c r="AC588" s="82" t="s">
        <v>8232</v>
      </c>
      <c r="AD588" s="77" t="s">
        <v>8278</v>
      </c>
      <c r="AE588" s="80" t="str">
        <f>HYPERLINK("https://twitter.com/jornaldooeste/status/1670175735284203521")</f>
        <v>https://twitter.com/jornaldooeste/status/1670175735284203521</v>
      </c>
      <c r="AF588" s="79">
        <v>45094.878472222219</v>
      </c>
      <c r="AG588" s="85">
        <v>45094</v>
      </c>
      <c r="AH588" s="82" t="s">
        <v>8820</v>
      </c>
      <c r="AI588" s="77" t="b">
        <v>0</v>
      </c>
      <c r="AJ588" s="77"/>
      <c r="AK588" s="77"/>
      <c r="AL588" s="77"/>
      <c r="AM588" s="77"/>
      <c r="AN588" s="77"/>
      <c r="AO588" s="77"/>
      <c r="AP588" s="77"/>
      <c r="AQ588" s="77" t="s">
        <v>12479</v>
      </c>
      <c r="AR588" s="77"/>
      <c r="AS588" s="77"/>
      <c r="AT588" s="77"/>
      <c r="AU588" s="77"/>
      <c r="AV588" s="80" t="str">
        <f>HYPERLINK("https://pbs.twimg.com/media/Fy0E_srXgAIbOe1.jpg")</f>
        <v>https://pbs.twimg.com/media/Fy0E_srXgAIbOe1.jpg</v>
      </c>
      <c r="AW588" s="82" t="s">
        <v>13685</v>
      </c>
      <c r="AX588" s="82" t="s">
        <v>13685</v>
      </c>
      <c r="AY588" s="77"/>
      <c r="AZ588" s="82" t="s">
        <v>17385</v>
      </c>
      <c r="BA588" s="82" t="s">
        <v>17385</v>
      </c>
      <c r="BB588" s="82" t="s">
        <v>17385</v>
      </c>
      <c r="BC588" s="82" t="s">
        <v>13685</v>
      </c>
      <c r="BD588" s="77">
        <v>46624815</v>
      </c>
      <c r="BE588" s="77"/>
      <c r="BF588" s="77"/>
      <c r="BG588" s="77"/>
      <c r="BH588" s="77"/>
      <c r="BI588" s="77"/>
    </row>
    <row r="589" spans="1:61" x14ac:dyDescent="0.25">
      <c r="A589" s="62" t="s">
        <v>365</v>
      </c>
      <c r="B589" s="62" t="s">
        <v>365</v>
      </c>
      <c r="C589" s="63"/>
      <c r="D589" s="64"/>
      <c r="E589" s="65"/>
      <c r="F589" s="66"/>
      <c r="G589" s="63"/>
      <c r="H589" s="67"/>
      <c r="I589" s="68"/>
      <c r="J589" s="68"/>
      <c r="K589" s="32"/>
      <c r="L589" s="75">
        <v>589</v>
      </c>
      <c r="M589" s="75"/>
      <c r="N589" s="70"/>
      <c r="O589" s="77" t="s">
        <v>179</v>
      </c>
      <c r="P589" s="79">
        <v>45137.808321759258</v>
      </c>
      <c r="Q589" s="77" t="s">
        <v>1382</v>
      </c>
      <c r="R589" s="77">
        <v>0</v>
      </c>
      <c r="S589" s="77">
        <v>0</v>
      </c>
      <c r="T589" s="77">
        <v>0</v>
      </c>
      <c r="U589" s="77">
        <v>0</v>
      </c>
      <c r="V589" s="77">
        <v>17</v>
      </c>
      <c r="W589" s="82" t="s">
        <v>5130</v>
      </c>
      <c r="X589" s="77"/>
      <c r="Y589" s="77"/>
      <c r="Z589" s="77"/>
      <c r="AA589" s="77"/>
      <c r="AB589" s="77"/>
      <c r="AC589" s="82" t="s">
        <v>8233</v>
      </c>
      <c r="AD589" s="77" t="s">
        <v>8278</v>
      </c>
      <c r="AE589" s="80" t="str">
        <f>HYPERLINK("https://twitter.com/penselacerda/status/1685732992772182016")</f>
        <v>https://twitter.com/penselacerda/status/1685732992772182016</v>
      </c>
      <c r="AF589" s="79">
        <v>45137.808321759258</v>
      </c>
      <c r="AG589" s="85">
        <v>45137</v>
      </c>
      <c r="AH589" s="82" t="s">
        <v>8824</v>
      </c>
      <c r="AI589" s="77"/>
      <c r="AJ589" s="77"/>
      <c r="AK589" s="77"/>
      <c r="AL589" s="77"/>
      <c r="AM589" s="77"/>
      <c r="AN589" s="77"/>
      <c r="AO589" s="77"/>
      <c r="AP589" s="77"/>
      <c r="AQ589" s="77"/>
      <c r="AR589" s="77"/>
      <c r="AS589" s="77"/>
      <c r="AT589" s="77"/>
      <c r="AU589" s="77"/>
      <c r="AV589" s="80" t="str">
        <f>HYPERLINK("https://pbs.twimg.com/profile_images/1661384379338301447/RBH1M4w8_normal.jpg")</f>
        <v>https://pbs.twimg.com/profile_images/1661384379338301447/RBH1M4w8_normal.jpg</v>
      </c>
      <c r="AW589" s="82" t="s">
        <v>13686</v>
      </c>
      <c r="AX589" s="82" t="s">
        <v>13686</v>
      </c>
      <c r="AY589" s="77"/>
      <c r="AZ589" s="82" t="s">
        <v>17385</v>
      </c>
      <c r="BA589" s="82" t="s">
        <v>17385</v>
      </c>
      <c r="BB589" s="82" t="s">
        <v>17385</v>
      </c>
      <c r="BC589" s="82" t="s">
        <v>13686</v>
      </c>
      <c r="BD589" s="77">
        <v>2182231625</v>
      </c>
      <c r="BE589" s="77"/>
      <c r="BF589" s="77"/>
      <c r="BG589" s="77"/>
      <c r="BH589" s="77"/>
      <c r="BI589" s="77"/>
    </row>
    <row r="590" spans="1:61" x14ac:dyDescent="0.25">
      <c r="A590" s="62" t="s">
        <v>366</v>
      </c>
      <c r="B590" s="62" t="s">
        <v>366</v>
      </c>
      <c r="C590" s="63"/>
      <c r="D590" s="64"/>
      <c r="E590" s="65"/>
      <c r="F590" s="66"/>
      <c r="G590" s="63"/>
      <c r="H590" s="67"/>
      <c r="I590" s="68"/>
      <c r="J590" s="68"/>
      <c r="K590" s="32"/>
      <c r="L590" s="75">
        <v>590</v>
      </c>
      <c r="M590" s="75"/>
      <c r="N590" s="70"/>
      <c r="O590" s="77" t="s">
        <v>179</v>
      </c>
      <c r="P590" s="79">
        <v>45139.412210648145</v>
      </c>
      <c r="Q590" s="77" t="s">
        <v>1383</v>
      </c>
      <c r="R590" s="77">
        <v>0</v>
      </c>
      <c r="S590" s="77">
        <v>1</v>
      </c>
      <c r="T590" s="77">
        <v>0</v>
      </c>
      <c r="U590" s="77">
        <v>0</v>
      </c>
      <c r="V590" s="77">
        <v>7</v>
      </c>
      <c r="W590" s="82" t="s">
        <v>5131</v>
      </c>
      <c r="X590" s="77"/>
      <c r="Y590" s="77"/>
      <c r="Z590" s="77"/>
      <c r="AA590" s="77" t="s">
        <v>7595</v>
      </c>
      <c r="AB590" s="77" t="s">
        <v>8225</v>
      </c>
      <c r="AC590" s="82" t="s">
        <v>8234</v>
      </c>
      <c r="AD590" s="77" t="s">
        <v>8280</v>
      </c>
      <c r="AE590" s="80" t="str">
        <f>HYPERLINK("https://twitter.com/marciojuri/status/1686314222173523968")</f>
        <v>https://twitter.com/marciojuri/status/1686314222173523968</v>
      </c>
      <c r="AF590" s="79">
        <v>45139.412210648145</v>
      </c>
      <c r="AG590" s="85">
        <v>45139</v>
      </c>
      <c r="AH590" s="82" t="s">
        <v>8825</v>
      </c>
      <c r="AI590" s="77" t="b">
        <v>0</v>
      </c>
      <c r="AJ590" s="77"/>
      <c r="AK590" s="77"/>
      <c r="AL590" s="77"/>
      <c r="AM590" s="77"/>
      <c r="AN590" s="77"/>
      <c r="AO590" s="77"/>
      <c r="AP590" s="77"/>
      <c r="AQ590" s="77" t="s">
        <v>12480</v>
      </c>
      <c r="AR590" s="77"/>
      <c r="AS590" s="77"/>
      <c r="AT590" s="77"/>
      <c r="AU590" s="77"/>
      <c r="AV590" s="80" t="str">
        <f>HYPERLINK("https://pbs.twimg.com/media/F2b92FMXgAI3cl6.jpg")</f>
        <v>https://pbs.twimg.com/media/F2b92FMXgAI3cl6.jpg</v>
      </c>
      <c r="AW590" s="82" t="s">
        <v>13687</v>
      </c>
      <c r="AX590" s="82" t="s">
        <v>13687</v>
      </c>
      <c r="AY590" s="77"/>
      <c r="AZ590" s="82" t="s">
        <v>17385</v>
      </c>
      <c r="BA590" s="82" t="s">
        <v>17385</v>
      </c>
      <c r="BB590" s="82" t="s">
        <v>17385</v>
      </c>
      <c r="BC590" s="82" t="s">
        <v>13687</v>
      </c>
      <c r="BD590" s="82" t="s">
        <v>17514</v>
      </c>
      <c r="BE590" s="77"/>
      <c r="BF590" s="77"/>
      <c r="BG590" s="77"/>
      <c r="BH590" s="77"/>
      <c r="BI590" s="77"/>
    </row>
    <row r="591" spans="1:61" x14ac:dyDescent="0.25">
      <c r="A591" s="62" t="s">
        <v>367</v>
      </c>
      <c r="B591" s="62" t="s">
        <v>367</v>
      </c>
      <c r="C591" s="63"/>
      <c r="D591" s="64"/>
      <c r="E591" s="65"/>
      <c r="F591" s="66"/>
      <c r="G591" s="63"/>
      <c r="H591" s="67"/>
      <c r="I591" s="68"/>
      <c r="J591" s="68"/>
      <c r="K591" s="32"/>
      <c r="L591" s="75">
        <v>591</v>
      </c>
      <c r="M591" s="75"/>
      <c r="N591" s="70"/>
      <c r="O591" s="77" t="s">
        <v>179</v>
      </c>
      <c r="P591" s="79">
        <v>45084.500509259262</v>
      </c>
      <c r="Q591" s="77" t="s">
        <v>1384</v>
      </c>
      <c r="R591" s="77">
        <v>0</v>
      </c>
      <c r="S591" s="77">
        <v>0</v>
      </c>
      <c r="T591" s="77">
        <v>0</v>
      </c>
      <c r="U591" s="77">
        <v>0</v>
      </c>
      <c r="V591" s="77">
        <v>6</v>
      </c>
      <c r="W591" s="82" t="s">
        <v>5132</v>
      </c>
      <c r="X591" s="77"/>
      <c r="Y591" s="77"/>
      <c r="Z591" s="77"/>
      <c r="AA591" s="77" t="s">
        <v>7596</v>
      </c>
      <c r="AB591" s="77" t="s">
        <v>8225</v>
      </c>
      <c r="AC591" s="82" t="s">
        <v>8235</v>
      </c>
      <c r="AD591" s="77" t="s">
        <v>8278</v>
      </c>
      <c r="AE591" s="80" t="str">
        <f>HYPERLINK("https://twitter.com/lp4planejamento/status/1666414887839453186")</f>
        <v>https://twitter.com/lp4planejamento/status/1666414887839453186</v>
      </c>
      <c r="AF591" s="79">
        <v>45084.500509259262</v>
      </c>
      <c r="AG591" s="85">
        <v>45084</v>
      </c>
      <c r="AH591" s="82" t="s">
        <v>8826</v>
      </c>
      <c r="AI591" s="77" t="b">
        <v>0</v>
      </c>
      <c r="AJ591" s="77"/>
      <c r="AK591" s="77"/>
      <c r="AL591" s="77"/>
      <c r="AM591" s="77"/>
      <c r="AN591" s="77"/>
      <c r="AO591" s="77"/>
      <c r="AP591" s="77"/>
      <c r="AQ591" s="77" t="s">
        <v>12481</v>
      </c>
      <c r="AR591" s="77"/>
      <c r="AS591" s="77"/>
      <c r="AT591" s="77"/>
      <c r="AU591" s="77"/>
      <c r="AV591" s="80" t="str">
        <f>HYPERLINK("https://pbs.twimg.com/media/FyBLgg6WAAAiUY5.jpg")</f>
        <v>https://pbs.twimg.com/media/FyBLgg6WAAAiUY5.jpg</v>
      </c>
      <c r="AW591" s="82" t="s">
        <v>13688</v>
      </c>
      <c r="AX591" s="82" t="s">
        <v>13688</v>
      </c>
      <c r="AY591" s="77"/>
      <c r="AZ591" s="82" t="s">
        <v>17385</v>
      </c>
      <c r="BA591" s="82" t="s">
        <v>17385</v>
      </c>
      <c r="BB591" s="82" t="s">
        <v>17385</v>
      </c>
      <c r="BC591" s="82" t="s">
        <v>13688</v>
      </c>
      <c r="BD591" s="82" t="s">
        <v>17515</v>
      </c>
      <c r="BE591" s="77"/>
      <c r="BF591" s="77"/>
      <c r="BG591" s="77"/>
      <c r="BH591" s="77"/>
      <c r="BI591" s="77"/>
    </row>
    <row r="592" spans="1:61" x14ac:dyDescent="0.25">
      <c r="A592" s="62" t="s">
        <v>368</v>
      </c>
      <c r="B592" s="62" t="s">
        <v>368</v>
      </c>
      <c r="C592" s="63"/>
      <c r="D592" s="64"/>
      <c r="E592" s="65"/>
      <c r="F592" s="66"/>
      <c r="G592" s="63"/>
      <c r="H592" s="67"/>
      <c r="I592" s="68"/>
      <c r="J592" s="68"/>
      <c r="K592" s="32"/>
      <c r="L592" s="75">
        <v>592</v>
      </c>
      <c r="M592" s="75"/>
      <c r="N592" s="70"/>
      <c r="O592" s="77" t="s">
        <v>800</v>
      </c>
      <c r="P592" s="79">
        <v>45058.605810185189</v>
      </c>
      <c r="Q592" s="77" t="s">
        <v>1385</v>
      </c>
      <c r="R592" s="77">
        <v>0</v>
      </c>
      <c r="S592" s="77">
        <v>0</v>
      </c>
      <c r="T592" s="77">
        <v>1</v>
      </c>
      <c r="U592" s="77">
        <v>0</v>
      </c>
      <c r="V592" s="77">
        <v>26</v>
      </c>
      <c r="W592" s="82" t="s">
        <v>5133</v>
      </c>
      <c r="X592" s="77"/>
      <c r="Y592" s="77"/>
      <c r="Z592" s="77"/>
      <c r="AA592" s="77"/>
      <c r="AB592" s="77"/>
      <c r="AC592" s="82" t="s">
        <v>8233</v>
      </c>
      <c r="AD592" s="77" t="s">
        <v>8278</v>
      </c>
      <c r="AE592" s="80" t="str">
        <f>HYPERLINK("https://twitter.com/napoleaoadv/status/1657030962964832257")</f>
        <v>https://twitter.com/napoleaoadv/status/1657030962964832257</v>
      </c>
      <c r="AF592" s="79">
        <v>45058.605810185189</v>
      </c>
      <c r="AG592" s="85">
        <v>45058</v>
      </c>
      <c r="AH592" s="82" t="s">
        <v>8827</v>
      </c>
      <c r="AI592" s="77"/>
      <c r="AJ592" s="77" t="s">
        <v>11998</v>
      </c>
      <c r="AK592" s="77" t="s">
        <v>12007</v>
      </c>
      <c r="AL592" s="77" t="s">
        <v>12010</v>
      </c>
      <c r="AM592" s="77" t="s">
        <v>12007</v>
      </c>
      <c r="AN592" s="77" t="s">
        <v>12030</v>
      </c>
      <c r="AO592" s="77" t="s">
        <v>12007</v>
      </c>
      <c r="AP592" s="77" t="s">
        <v>12052</v>
      </c>
      <c r="AQ592" s="77"/>
      <c r="AR592" s="77"/>
      <c r="AS592" s="77"/>
      <c r="AT592" s="77"/>
      <c r="AU592" s="77"/>
      <c r="AV592" s="80" t="str">
        <f>HYPERLINK("https://pbs.twimg.com/profile_images/1503890146986541066/0aL4a0xD_normal.jpg")</f>
        <v>https://pbs.twimg.com/profile_images/1503890146986541066/0aL4a0xD_normal.jpg</v>
      </c>
      <c r="AW592" s="82" t="s">
        <v>13689</v>
      </c>
      <c r="AX592" s="82" t="s">
        <v>13690</v>
      </c>
      <c r="AY592" s="82" t="s">
        <v>17340</v>
      </c>
      <c r="AZ592" s="82" t="s">
        <v>17402</v>
      </c>
      <c r="BA592" s="82" t="s">
        <v>17385</v>
      </c>
      <c r="BB592" s="82" t="s">
        <v>17385</v>
      </c>
      <c r="BC592" s="82" t="s">
        <v>17402</v>
      </c>
      <c r="BD592" s="77">
        <v>370629670</v>
      </c>
      <c r="BE592" s="77"/>
      <c r="BF592" s="77"/>
      <c r="BG592" s="77"/>
      <c r="BH592" s="77"/>
      <c r="BI592" s="77"/>
    </row>
    <row r="593" spans="1:61" x14ac:dyDescent="0.25">
      <c r="A593" s="62" t="s">
        <v>368</v>
      </c>
      <c r="B593" s="62" t="s">
        <v>368</v>
      </c>
      <c r="C593" s="63"/>
      <c r="D593" s="64"/>
      <c r="E593" s="65"/>
      <c r="F593" s="66"/>
      <c r="G593" s="63"/>
      <c r="H593" s="67"/>
      <c r="I593" s="68"/>
      <c r="J593" s="68"/>
      <c r="K593" s="32"/>
      <c r="L593" s="75">
        <v>593</v>
      </c>
      <c r="M593" s="75"/>
      <c r="N593" s="70"/>
      <c r="O593" s="77" t="s">
        <v>179</v>
      </c>
      <c r="P593" s="79">
        <v>45058.605787037035</v>
      </c>
      <c r="Q593" s="77" t="s">
        <v>1386</v>
      </c>
      <c r="R593" s="77">
        <v>0</v>
      </c>
      <c r="S593" s="77">
        <v>1</v>
      </c>
      <c r="T593" s="77">
        <v>1</v>
      </c>
      <c r="U593" s="77">
        <v>0</v>
      </c>
      <c r="V593" s="77">
        <v>112</v>
      </c>
      <c r="W593" s="82" t="s">
        <v>5134</v>
      </c>
      <c r="X593" s="77"/>
      <c r="Y593" s="77"/>
      <c r="Z593" s="77"/>
      <c r="AA593" s="77"/>
      <c r="AB593" s="77"/>
      <c r="AC593" s="82" t="s">
        <v>8233</v>
      </c>
      <c r="AD593" s="77" t="s">
        <v>8278</v>
      </c>
      <c r="AE593" s="80" t="str">
        <f>HYPERLINK("https://twitter.com/napoleaoadv/status/1657030954739703814")</f>
        <v>https://twitter.com/napoleaoadv/status/1657030954739703814</v>
      </c>
      <c r="AF593" s="79">
        <v>45058.605787037035</v>
      </c>
      <c r="AG593" s="85">
        <v>45058</v>
      </c>
      <c r="AH593" s="82" t="s">
        <v>8828</v>
      </c>
      <c r="AI593" s="77"/>
      <c r="AJ593" s="77" t="s">
        <v>11998</v>
      </c>
      <c r="AK593" s="77" t="s">
        <v>12007</v>
      </c>
      <c r="AL593" s="77" t="s">
        <v>12010</v>
      </c>
      <c r="AM593" s="77" t="s">
        <v>12007</v>
      </c>
      <c r="AN593" s="77" t="s">
        <v>12030</v>
      </c>
      <c r="AO593" s="77" t="s">
        <v>12007</v>
      </c>
      <c r="AP593" s="77" t="s">
        <v>12052</v>
      </c>
      <c r="AQ593" s="77"/>
      <c r="AR593" s="77"/>
      <c r="AS593" s="77"/>
      <c r="AT593" s="77"/>
      <c r="AU593" s="77"/>
      <c r="AV593" s="80" t="str">
        <f>HYPERLINK("https://pbs.twimg.com/profile_images/1503890146986541066/0aL4a0xD_normal.jpg")</f>
        <v>https://pbs.twimg.com/profile_images/1503890146986541066/0aL4a0xD_normal.jpg</v>
      </c>
      <c r="AW593" s="82" t="s">
        <v>13690</v>
      </c>
      <c r="AX593" s="82" t="s">
        <v>13690</v>
      </c>
      <c r="AY593" s="77"/>
      <c r="AZ593" s="82" t="s">
        <v>17385</v>
      </c>
      <c r="BA593" s="82" t="s">
        <v>17385</v>
      </c>
      <c r="BB593" s="82" t="s">
        <v>17385</v>
      </c>
      <c r="BC593" s="82" t="s">
        <v>13690</v>
      </c>
      <c r="BD593" s="77">
        <v>370629670</v>
      </c>
      <c r="BE593" s="77"/>
      <c r="BF593" s="77"/>
      <c r="BG593" s="77"/>
      <c r="BH593" s="77"/>
      <c r="BI593" s="77"/>
    </row>
    <row r="594" spans="1:61" x14ac:dyDescent="0.25">
      <c r="A594" s="62" t="s">
        <v>369</v>
      </c>
      <c r="B594" s="62" t="s">
        <v>369</v>
      </c>
      <c r="C594" s="63"/>
      <c r="D594" s="64"/>
      <c r="E594" s="65"/>
      <c r="F594" s="66"/>
      <c r="G594" s="63"/>
      <c r="H594" s="67"/>
      <c r="I594" s="68"/>
      <c r="J594" s="68"/>
      <c r="K594" s="32"/>
      <c r="L594" s="75">
        <v>594</v>
      </c>
      <c r="M594" s="75"/>
      <c r="N594" s="70"/>
      <c r="O594" s="77" t="s">
        <v>179</v>
      </c>
      <c r="P594" s="79">
        <v>45090.900717592594</v>
      </c>
      <c r="Q594" s="77" t="s">
        <v>1387</v>
      </c>
      <c r="R594" s="77">
        <v>0</v>
      </c>
      <c r="S594" s="77">
        <v>3</v>
      </c>
      <c r="T594" s="77">
        <v>0</v>
      </c>
      <c r="U594" s="77">
        <v>0</v>
      </c>
      <c r="V594" s="77">
        <v>108</v>
      </c>
      <c r="W594" s="82" t="s">
        <v>5135</v>
      </c>
      <c r="X594" s="80" t="str">
        <f>HYPERLINK("https://youtu.be/BY5j6wQJXBE")</f>
        <v>https://youtu.be/BY5j6wQJXBE</v>
      </c>
      <c r="Y594" s="77" t="s">
        <v>7064</v>
      </c>
      <c r="Z594" s="77"/>
      <c r="AA594" s="77"/>
      <c r="AB594" s="77"/>
      <c r="AC594" s="82" t="s">
        <v>8233</v>
      </c>
      <c r="AD594" s="77" t="s">
        <v>8278</v>
      </c>
      <c r="AE594" s="80" t="str">
        <f>HYPERLINK("https://twitter.com/brumazzoni/status/1668734245253128194")</f>
        <v>https://twitter.com/brumazzoni/status/1668734245253128194</v>
      </c>
      <c r="AF594" s="79">
        <v>45090.900717592594</v>
      </c>
      <c r="AG594" s="85">
        <v>45090</v>
      </c>
      <c r="AH594" s="82" t="s">
        <v>8829</v>
      </c>
      <c r="AI594" s="77" t="b">
        <v>0</v>
      </c>
      <c r="AJ594" s="77"/>
      <c r="AK594" s="77"/>
      <c r="AL594" s="77"/>
      <c r="AM594" s="77"/>
      <c r="AN594" s="77"/>
      <c r="AO594" s="77"/>
      <c r="AP594" s="77"/>
      <c r="AQ594" s="77"/>
      <c r="AR594" s="77"/>
      <c r="AS594" s="77"/>
      <c r="AT594" s="77"/>
      <c r="AU594" s="77"/>
      <c r="AV594" s="80" t="str">
        <f>HYPERLINK("https://pbs.twimg.com/profile_images/1469842365372317696/fur03M1m_normal.jpg")</f>
        <v>https://pbs.twimg.com/profile_images/1469842365372317696/fur03M1m_normal.jpg</v>
      </c>
      <c r="AW594" s="82" t="s">
        <v>13691</v>
      </c>
      <c r="AX594" s="82" t="s">
        <v>13691</v>
      </c>
      <c r="AY594" s="77"/>
      <c r="AZ594" s="82" t="s">
        <v>17385</v>
      </c>
      <c r="BA594" s="82" t="s">
        <v>17385</v>
      </c>
      <c r="BB594" s="82" t="s">
        <v>17385</v>
      </c>
      <c r="BC594" s="82" t="s">
        <v>13691</v>
      </c>
      <c r="BD594" s="82" t="s">
        <v>17516</v>
      </c>
      <c r="BE594" s="77"/>
      <c r="BF594" s="77"/>
      <c r="BG594" s="77"/>
      <c r="BH594" s="77"/>
      <c r="BI594" s="77"/>
    </row>
    <row r="595" spans="1:61" x14ac:dyDescent="0.25">
      <c r="A595" s="62" t="s">
        <v>370</v>
      </c>
      <c r="B595" s="62" t="s">
        <v>370</v>
      </c>
      <c r="C595" s="63"/>
      <c r="D595" s="64"/>
      <c r="E595" s="65"/>
      <c r="F595" s="66"/>
      <c r="G595" s="63"/>
      <c r="H595" s="67"/>
      <c r="I595" s="68"/>
      <c r="J595" s="68"/>
      <c r="K595" s="32"/>
      <c r="L595" s="75">
        <v>595</v>
      </c>
      <c r="M595" s="75"/>
      <c r="N595" s="70"/>
      <c r="O595" s="77" t="s">
        <v>179</v>
      </c>
      <c r="P595" s="79">
        <v>45181.484571759262</v>
      </c>
      <c r="Q595" s="77" t="s">
        <v>1388</v>
      </c>
      <c r="R595" s="77">
        <v>0</v>
      </c>
      <c r="S595" s="77">
        <v>0</v>
      </c>
      <c r="T595" s="77">
        <v>0</v>
      </c>
      <c r="U595" s="77">
        <v>0</v>
      </c>
      <c r="V595" s="77">
        <v>17</v>
      </c>
      <c r="W595" s="82" t="s">
        <v>5136</v>
      </c>
      <c r="X595" s="77"/>
      <c r="Y595" s="77"/>
      <c r="Z595" s="77"/>
      <c r="AA595" s="77" t="s">
        <v>7597</v>
      </c>
      <c r="AB595" s="77" t="s">
        <v>8225</v>
      </c>
      <c r="AC595" s="82" t="s">
        <v>8234</v>
      </c>
      <c r="AD595" s="77" t="s">
        <v>8278</v>
      </c>
      <c r="AE595" s="80" t="str">
        <f>HYPERLINK("https://twitter.com/forkthebanks_io/status/1701560734788763996")</f>
        <v>https://twitter.com/forkthebanks_io/status/1701560734788763996</v>
      </c>
      <c r="AF595" s="79">
        <v>45181.484571759262</v>
      </c>
      <c r="AG595" s="85">
        <v>45181</v>
      </c>
      <c r="AH595" s="82" t="s">
        <v>8830</v>
      </c>
      <c r="AI595" s="77" t="b">
        <v>0</v>
      </c>
      <c r="AJ595" s="77"/>
      <c r="AK595" s="77"/>
      <c r="AL595" s="77"/>
      <c r="AM595" s="77"/>
      <c r="AN595" s="77"/>
      <c r="AO595" s="77"/>
      <c r="AP595" s="77"/>
      <c r="AQ595" s="77" t="s">
        <v>12482</v>
      </c>
      <c r="AR595" s="77"/>
      <c r="AS595" s="77"/>
      <c r="AT595" s="77"/>
      <c r="AU595" s="77"/>
      <c r="AV595" s="80" t="str">
        <f>HYPERLINK("https://pbs.twimg.com/media/F50oeILX0AABR9U.jpg")</f>
        <v>https://pbs.twimg.com/media/F50oeILX0AABR9U.jpg</v>
      </c>
      <c r="AW595" s="82" t="s">
        <v>13692</v>
      </c>
      <c r="AX595" s="82" t="s">
        <v>13692</v>
      </c>
      <c r="AY595" s="77"/>
      <c r="AZ595" s="82" t="s">
        <v>17385</v>
      </c>
      <c r="BA595" s="82" t="s">
        <v>17385</v>
      </c>
      <c r="BB595" s="82" t="s">
        <v>17385</v>
      </c>
      <c r="BC595" s="82" t="s">
        <v>13692</v>
      </c>
      <c r="BD595" s="82" t="s">
        <v>17517</v>
      </c>
      <c r="BE595" s="77"/>
      <c r="BF595" s="77"/>
      <c r="BG595" s="77"/>
      <c r="BH595" s="77"/>
      <c r="BI595" s="77"/>
    </row>
    <row r="596" spans="1:61" x14ac:dyDescent="0.25">
      <c r="A596" s="62" t="s">
        <v>371</v>
      </c>
      <c r="B596" s="62" t="s">
        <v>371</v>
      </c>
      <c r="C596" s="63"/>
      <c r="D596" s="64"/>
      <c r="E596" s="65"/>
      <c r="F596" s="66"/>
      <c r="G596" s="63"/>
      <c r="H596" s="67"/>
      <c r="I596" s="68"/>
      <c r="J596" s="68"/>
      <c r="K596" s="32"/>
      <c r="L596" s="75">
        <v>596</v>
      </c>
      <c r="M596" s="75"/>
      <c r="N596" s="70"/>
      <c r="O596" s="77" t="s">
        <v>800</v>
      </c>
      <c r="P596" s="79">
        <v>45043.672222222223</v>
      </c>
      <c r="Q596" s="77" t="s">
        <v>1389</v>
      </c>
      <c r="R596" s="77">
        <v>0</v>
      </c>
      <c r="S596" s="77">
        <v>0</v>
      </c>
      <c r="T596" s="77">
        <v>0</v>
      </c>
      <c r="U596" s="77">
        <v>0</v>
      </c>
      <c r="V596" s="77">
        <v>50</v>
      </c>
      <c r="W596" s="82" t="s">
        <v>5137</v>
      </c>
      <c r="X596" s="77"/>
      <c r="Y596" s="77"/>
      <c r="Z596" s="77"/>
      <c r="AA596" s="77" t="s">
        <v>7598</v>
      </c>
      <c r="AB596" s="77" t="s">
        <v>8226</v>
      </c>
      <c r="AC596" s="82" t="s">
        <v>8233</v>
      </c>
      <c r="AD596" s="77" t="s">
        <v>8278</v>
      </c>
      <c r="AE596" s="80" t="str">
        <f>HYPERLINK("https://twitter.com/pge_ma/status/1651619213780418560")</f>
        <v>https://twitter.com/pge_ma/status/1651619213780418560</v>
      </c>
      <c r="AF596" s="79">
        <v>45043.672222222223</v>
      </c>
      <c r="AG596" s="85">
        <v>45043</v>
      </c>
      <c r="AH596" s="82" t="s">
        <v>8831</v>
      </c>
      <c r="AI596" s="77" t="b">
        <v>0</v>
      </c>
      <c r="AJ596" s="77"/>
      <c r="AK596" s="77"/>
      <c r="AL596" s="77"/>
      <c r="AM596" s="77"/>
      <c r="AN596" s="77"/>
      <c r="AO596" s="77"/>
      <c r="AP596" s="77"/>
      <c r="AQ596" s="77" t="s">
        <v>12483</v>
      </c>
      <c r="AR596" s="77"/>
      <c r="AS596" s="77"/>
      <c r="AT596" s="77"/>
      <c r="AU596" s="77"/>
      <c r="AV596" s="80" t="str">
        <f>HYPERLINK("https://pbs.twimg.com/media/Fuu661lWcAMWehv.jpg")</f>
        <v>https://pbs.twimg.com/media/Fuu661lWcAMWehv.jpg</v>
      </c>
      <c r="AW596" s="82" t="s">
        <v>13693</v>
      </c>
      <c r="AX596" s="82" t="s">
        <v>17167</v>
      </c>
      <c r="AY596" s="82" t="s">
        <v>17341</v>
      </c>
      <c r="AZ596" s="82" t="s">
        <v>17403</v>
      </c>
      <c r="BA596" s="82" t="s">
        <v>17385</v>
      </c>
      <c r="BB596" s="82" t="s">
        <v>17385</v>
      </c>
      <c r="BC596" s="82" t="s">
        <v>17403</v>
      </c>
      <c r="BD596" s="82" t="s">
        <v>17341</v>
      </c>
      <c r="BE596" s="77"/>
      <c r="BF596" s="77"/>
      <c r="BG596" s="77"/>
      <c r="BH596" s="77"/>
      <c r="BI596" s="77"/>
    </row>
    <row r="597" spans="1:61" x14ac:dyDescent="0.25">
      <c r="A597" s="62" t="s">
        <v>372</v>
      </c>
      <c r="B597" s="62" t="s">
        <v>372</v>
      </c>
      <c r="C597" s="63"/>
      <c r="D597" s="64"/>
      <c r="E597" s="65"/>
      <c r="F597" s="66"/>
      <c r="G597" s="63"/>
      <c r="H597" s="67"/>
      <c r="I597" s="68"/>
      <c r="J597" s="68"/>
      <c r="K597" s="32"/>
      <c r="L597" s="75">
        <v>597</v>
      </c>
      <c r="M597" s="75"/>
      <c r="N597" s="70"/>
      <c r="O597" s="77" t="s">
        <v>179</v>
      </c>
      <c r="P597" s="79">
        <v>45066.625231481485</v>
      </c>
      <c r="Q597" s="77" t="s">
        <v>1390</v>
      </c>
      <c r="R597" s="77">
        <v>0</v>
      </c>
      <c r="S597" s="77">
        <v>0</v>
      </c>
      <c r="T597" s="77">
        <v>0</v>
      </c>
      <c r="U597" s="77">
        <v>0</v>
      </c>
      <c r="V597" s="77">
        <v>39</v>
      </c>
      <c r="W597" s="82" t="s">
        <v>5138</v>
      </c>
      <c r="X597" s="77"/>
      <c r="Y597" s="77"/>
      <c r="Z597" s="77"/>
      <c r="AA597" s="77" t="s">
        <v>7599</v>
      </c>
      <c r="AB597" s="77" t="s">
        <v>8227</v>
      </c>
      <c r="AC597" s="82" t="s">
        <v>8234</v>
      </c>
      <c r="AD597" s="77" t="s">
        <v>8278</v>
      </c>
      <c r="AE597" s="80" t="str">
        <f>HYPERLINK("https://twitter.com/papodemilhao022/status/1659937102664986626")</f>
        <v>https://twitter.com/papodemilhao022/status/1659937102664986626</v>
      </c>
      <c r="AF597" s="79">
        <v>45066.625231481485</v>
      </c>
      <c r="AG597" s="85">
        <v>45066</v>
      </c>
      <c r="AH597" s="82" t="s">
        <v>8832</v>
      </c>
      <c r="AI597" s="77" t="b">
        <v>0</v>
      </c>
      <c r="AJ597" s="77"/>
      <c r="AK597" s="77"/>
      <c r="AL597" s="77"/>
      <c r="AM597" s="77"/>
      <c r="AN597" s="77"/>
      <c r="AO597" s="77"/>
      <c r="AP597" s="77"/>
      <c r="AQ597" s="77" t="s">
        <v>12484</v>
      </c>
      <c r="AR597" s="77">
        <v>44933</v>
      </c>
      <c r="AS597" s="77"/>
      <c r="AT597" s="77"/>
      <c r="AU597" s="77"/>
      <c r="AV597" s="80" t="str">
        <f>HYPERLINK("https://pbs.twimg.com/ext_tw_video_thumb/1659937029071699976/pu/img/caGB-sQKxx0HbasY.jpg")</f>
        <v>https://pbs.twimg.com/ext_tw_video_thumb/1659937029071699976/pu/img/caGB-sQKxx0HbasY.jpg</v>
      </c>
      <c r="AW597" s="82" t="s">
        <v>13694</v>
      </c>
      <c r="AX597" s="82" t="s">
        <v>13694</v>
      </c>
      <c r="AY597" s="77"/>
      <c r="AZ597" s="82" t="s">
        <v>17385</v>
      </c>
      <c r="BA597" s="82" t="s">
        <v>17385</v>
      </c>
      <c r="BB597" s="82" t="s">
        <v>17385</v>
      </c>
      <c r="BC597" s="82" t="s">
        <v>13694</v>
      </c>
      <c r="BD597" s="82" t="s">
        <v>17518</v>
      </c>
      <c r="BE597" s="77"/>
      <c r="BF597" s="77"/>
      <c r="BG597" s="77"/>
      <c r="BH597" s="77"/>
      <c r="BI597" s="77"/>
    </row>
    <row r="598" spans="1:61" x14ac:dyDescent="0.25">
      <c r="A598" s="62" t="s">
        <v>373</v>
      </c>
      <c r="B598" s="62" t="s">
        <v>373</v>
      </c>
      <c r="C598" s="63"/>
      <c r="D598" s="64"/>
      <c r="E598" s="65"/>
      <c r="F598" s="66"/>
      <c r="G598" s="63"/>
      <c r="H598" s="67"/>
      <c r="I598" s="68"/>
      <c r="J598" s="68"/>
      <c r="K598" s="32"/>
      <c r="L598" s="75">
        <v>598</v>
      </c>
      <c r="M598" s="75"/>
      <c r="N598" s="70"/>
      <c r="O598" s="77" t="s">
        <v>179</v>
      </c>
      <c r="P598" s="79">
        <v>45068.924097222225</v>
      </c>
      <c r="Q598" s="77" t="s">
        <v>1391</v>
      </c>
      <c r="R598" s="77">
        <v>0</v>
      </c>
      <c r="S598" s="77">
        <v>0</v>
      </c>
      <c r="T598" s="77">
        <v>0</v>
      </c>
      <c r="U598" s="77">
        <v>0</v>
      </c>
      <c r="V598" s="77">
        <v>1</v>
      </c>
      <c r="W598" s="82" t="s">
        <v>5139</v>
      </c>
      <c r="X598" s="80" t="str">
        <f>HYPERLINK("https://youtube.com/shorts/-HI3n3RdLv0?feature=share")</f>
        <v>https://youtube.com/shorts/-HI3n3RdLv0?feature=share</v>
      </c>
      <c r="Y598" s="77" t="s">
        <v>7065</v>
      </c>
      <c r="Z598" s="77"/>
      <c r="AA598" s="77"/>
      <c r="AB598" s="77"/>
      <c r="AC598" s="82" t="s">
        <v>8232</v>
      </c>
      <c r="AD598" s="77" t="s">
        <v>8278</v>
      </c>
      <c r="AE598" s="80" t="str">
        <f>HYPERLINK("https://twitter.com/investucan0/status/1660770185261850625")</f>
        <v>https://twitter.com/investucan0/status/1660770185261850625</v>
      </c>
      <c r="AF598" s="79">
        <v>45068.924097222225</v>
      </c>
      <c r="AG598" s="85">
        <v>45068</v>
      </c>
      <c r="AH598" s="82" t="s">
        <v>8833</v>
      </c>
      <c r="AI598" s="77" t="b">
        <v>0</v>
      </c>
      <c r="AJ598" s="77"/>
      <c r="AK598" s="77"/>
      <c r="AL598" s="77"/>
      <c r="AM598" s="77"/>
      <c r="AN598" s="77"/>
      <c r="AO598" s="77"/>
      <c r="AP598" s="77"/>
      <c r="AQ598" s="77"/>
      <c r="AR598" s="77"/>
      <c r="AS598" s="77"/>
      <c r="AT598" s="77"/>
      <c r="AU598" s="77"/>
      <c r="AV598" s="80" t="str">
        <f>HYPERLINK("https://pbs.twimg.com/profile_images/1660680971144790016/UAgJwEkQ_normal.jpg")</f>
        <v>https://pbs.twimg.com/profile_images/1660680971144790016/UAgJwEkQ_normal.jpg</v>
      </c>
      <c r="AW598" s="82" t="s">
        <v>13695</v>
      </c>
      <c r="AX598" s="82" t="s">
        <v>13695</v>
      </c>
      <c r="AY598" s="77"/>
      <c r="AZ598" s="82" t="s">
        <v>17385</v>
      </c>
      <c r="BA598" s="82" t="s">
        <v>17385</v>
      </c>
      <c r="BB598" s="82" t="s">
        <v>17385</v>
      </c>
      <c r="BC598" s="82" t="s">
        <v>13695</v>
      </c>
      <c r="BD598" s="82" t="s">
        <v>17519</v>
      </c>
      <c r="BE598" s="77"/>
      <c r="BF598" s="77"/>
      <c r="BG598" s="77"/>
      <c r="BH598" s="77"/>
      <c r="BI598" s="77"/>
    </row>
    <row r="599" spans="1:61" x14ac:dyDescent="0.25">
      <c r="A599" s="62" t="s">
        <v>374</v>
      </c>
      <c r="B599" s="62" t="s">
        <v>742</v>
      </c>
      <c r="C599" s="63"/>
      <c r="D599" s="64"/>
      <c r="E599" s="65"/>
      <c r="F599" s="66"/>
      <c r="G599" s="63"/>
      <c r="H599" s="67"/>
      <c r="I599" s="68"/>
      <c r="J599" s="68"/>
      <c r="K599" s="32"/>
      <c r="L599" s="75">
        <v>599</v>
      </c>
      <c r="M599" s="75"/>
      <c r="N599" s="70"/>
      <c r="O599" s="77" t="s">
        <v>802</v>
      </c>
      <c r="P599" s="79">
        <v>45152.796388888892</v>
      </c>
      <c r="Q599" s="77" t="s">
        <v>1392</v>
      </c>
      <c r="R599" s="77">
        <v>0</v>
      </c>
      <c r="S599" s="77">
        <v>0</v>
      </c>
      <c r="T599" s="77">
        <v>2</v>
      </c>
      <c r="U599" s="77">
        <v>0</v>
      </c>
      <c r="V599" s="77">
        <v>2942</v>
      </c>
      <c r="W599" s="82" t="s">
        <v>5140</v>
      </c>
      <c r="X599" s="77"/>
      <c r="Y599" s="77"/>
      <c r="Z599" s="77" t="s">
        <v>742</v>
      </c>
      <c r="AA599" s="77" t="s">
        <v>7600</v>
      </c>
      <c r="AB599" s="77" t="s">
        <v>8225</v>
      </c>
      <c r="AC599" s="82" t="s">
        <v>8234</v>
      </c>
      <c r="AD599" s="77" t="s">
        <v>8278</v>
      </c>
      <c r="AE599" s="80" t="str">
        <f>HYPERLINK("https://twitter.com/panksgo/status/1691164484264484864")</f>
        <v>https://twitter.com/panksgo/status/1691164484264484864</v>
      </c>
      <c r="AF599" s="79">
        <v>45152.796388888892</v>
      </c>
      <c r="AG599" s="85">
        <v>45152</v>
      </c>
      <c r="AH599" s="82" t="s">
        <v>8834</v>
      </c>
      <c r="AI599" s="77" t="b">
        <v>0</v>
      </c>
      <c r="AJ599" s="77"/>
      <c r="AK599" s="77"/>
      <c r="AL599" s="77"/>
      <c r="AM599" s="77"/>
      <c r="AN599" s="77"/>
      <c r="AO599" s="77"/>
      <c r="AP599" s="77"/>
      <c r="AQ599" s="77" t="s">
        <v>12485</v>
      </c>
      <c r="AR599" s="77"/>
      <c r="AS599" s="77"/>
      <c r="AT599" s="77"/>
      <c r="AU599" s="77"/>
      <c r="AV599" s="80" t="str">
        <f>HYPERLINK("https://pbs.twimg.com/media/F3g5It0XAAAcbay.jpg")</f>
        <v>https://pbs.twimg.com/media/F3g5It0XAAAcbay.jpg</v>
      </c>
      <c r="AW599" s="82" t="s">
        <v>13696</v>
      </c>
      <c r="AX599" s="82" t="s">
        <v>13696</v>
      </c>
      <c r="AY599" s="77"/>
      <c r="AZ599" s="82" t="s">
        <v>17385</v>
      </c>
      <c r="BA599" s="82" t="s">
        <v>17385</v>
      </c>
      <c r="BB599" s="82" t="s">
        <v>17385</v>
      </c>
      <c r="BC599" s="82" t="s">
        <v>13696</v>
      </c>
      <c r="BD599" s="82" t="s">
        <v>17520</v>
      </c>
      <c r="BE599" s="77"/>
      <c r="BF599" s="77"/>
      <c r="BG599" s="77"/>
      <c r="BH599" s="77"/>
      <c r="BI599" s="77"/>
    </row>
    <row r="600" spans="1:61" x14ac:dyDescent="0.25">
      <c r="A600" s="62" t="s">
        <v>375</v>
      </c>
      <c r="B600" s="62" t="s">
        <v>375</v>
      </c>
      <c r="C600" s="63"/>
      <c r="D600" s="64"/>
      <c r="E600" s="65"/>
      <c r="F600" s="66"/>
      <c r="G600" s="63"/>
      <c r="H600" s="67"/>
      <c r="I600" s="68"/>
      <c r="J600" s="68"/>
      <c r="K600" s="32"/>
      <c r="L600" s="75">
        <v>600</v>
      </c>
      <c r="M600" s="75"/>
      <c r="N600" s="70"/>
      <c r="O600" s="77" t="s">
        <v>179</v>
      </c>
      <c r="P600" s="79">
        <v>45078.20957175926</v>
      </c>
      <c r="Q600" s="77" t="s">
        <v>1393</v>
      </c>
      <c r="R600" s="77">
        <v>0</v>
      </c>
      <c r="S600" s="77">
        <v>0</v>
      </c>
      <c r="T600" s="77">
        <v>0</v>
      </c>
      <c r="U600" s="77">
        <v>0</v>
      </c>
      <c r="V600" s="77">
        <v>139</v>
      </c>
      <c r="W600" s="82" t="s">
        <v>5141</v>
      </c>
      <c r="X600" s="77" t="s">
        <v>7004</v>
      </c>
      <c r="Y600" s="77" t="s">
        <v>7088</v>
      </c>
      <c r="Z600" s="77"/>
      <c r="AA600" s="77" t="s">
        <v>7601</v>
      </c>
      <c r="AB600" s="77" t="s">
        <v>8225</v>
      </c>
      <c r="AC600" s="82" t="s">
        <v>8232</v>
      </c>
      <c r="AD600" s="77" t="s">
        <v>8278</v>
      </c>
      <c r="AE600" s="80" t="str">
        <f>HYPERLINK("https://twitter.com/facilinvestidor/status/1664135129919356928")</f>
        <v>https://twitter.com/facilinvestidor/status/1664135129919356928</v>
      </c>
      <c r="AF600" s="79">
        <v>45078.20957175926</v>
      </c>
      <c r="AG600" s="85">
        <v>45078</v>
      </c>
      <c r="AH600" s="82" t="s">
        <v>8835</v>
      </c>
      <c r="AI600" s="77" t="b">
        <v>0</v>
      </c>
      <c r="AJ600" s="77"/>
      <c r="AK600" s="77"/>
      <c r="AL600" s="77"/>
      <c r="AM600" s="77"/>
      <c r="AN600" s="77"/>
      <c r="AO600" s="77"/>
      <c r="AP600" s="77"/>
      <c r="AQ600" s="77" t="s">
        <v>12486</v>
      </c>
      <c r="AR600" s="77"/>
      <c r="AS600" s="77"/>
      <c r="AT600" s="77"/>
      <c r="AU600" s="77"/>
      <c r="AV600" s="80" t="str">
        <f>HYPERLINK("https://pbs.twimg.com/media/Fxgx9TSXsAAACHQ.jpg")</f>
        <v>https://pbs.twimg.com/media/Fxgx9TSXsAAACHQ.jpg</v>
      </c>
      <c r="AW600" s="82" t="s">
        <v>13697</v>
      </c>
      <c r="AX600" s="82" t="s">
        <v>13697</v>
      </c>
      <c r="AY600" s="77"/>
      <c r="AZ600" s="82" t="s">
        <v>17385</v>
      </c>
      <c r="BA600" s="82" t="s">
        <v>17385</v>
      </c>
      <c r="BB600" s="82" t="s">
        <v>17385</v>
      </c>
      <c r="BC600" s="82" t="s">
        <v>13697</v>
      </c>
      <c r="BD600" s="82" t="s">
        <v>17521</v>
      </c>
      <c r="BE600" s="77"/>
      <c r="BF600" s="77"/>
      <c r="BG600" s="77"/>
      <c r="BH600" s="77"/>
      <c r="BI600" s="77"/>
    </row>
    <row r="601" spans="1:61" x14ac:dyDescent="0.25">
      <c r="A601" s="62" t="s">
        <v>375</v>
      </c>
      <c r="B601" s="62" t="s">
        <v>375</v>
      </c>
      <c r="C601" s="63"/>
      <c r="D601" s="64"/>
      <c r="E601" s="65"/>
      <c r="F601" s="66"/>
      <c r="G601" s="63"/>
      <c r="H601" s="67"/>
      <c r="I601" s="68"/>
      <c r="J601" s="68"/>
      <c r="K601" s="32"/>
      <c r="L601" s="75">
        <v>601</v>
      </c>
      <c r="M601" s="75"/>
      <c r="N601" s="70"/>
      <c r="O601" s="77" t="s">
        <v>179</v>
      </c>
      <c r="P601" s="79">
        <v>45074.211087962962</v>
      </c>
      <c r="Q601" s="77" t="s">
        <v>1394</v>
      </c>
      <c r="R601" s="77">
        <v>0</v>
      </c>
      <c r="S601" s="77">
        <v>1</v>
      </c>
      <c r="T601" s="77">
        <v>0</v>
      </c>
      <c r="U601" s="77">
        <v>0</v>
      </c>
      <c r="V601" s="77">
        <v>79</v>
      </c>
      <c r="W601" s="82" t="s">
        <v>5142</v>
      </c>
      <c r="X601" s="77" t="s">
        <v>7005</v>
      </c>
      <c r="Y601" s="77" t="s">
        <v>7088</v>
      </c>
      <c r="Z601" s="77"/>
      <c r="AA601" s="77" t="s">
        <v>7602</v>
      </c>
      <c r="AB601" s="77" t="s">
        <v>8225</v>
      </c>
      <c r="AC601" s="82" t="s">
        <v>8232</v>
      </c>
      <c r="AD601" s="77" t="s">
        <v>8278</v>
      </c>
      <c r="AE601" s="80" t="str">
        <f>HYPERLINK("https://twitter.com/facilinvestidor/status/1662686125499068417")</f>
        <v>https://twitter.com/facilinvestidor/status/1662686125499068417</v>
      </c>
      <c r="AF601" s="79">
        <v>45074.211087962962</v>
      </c>
      <c r="AG601" s="85">
        <v>45074</v>
      </c>
      <c r="AH601" s="82" t="s">
        <v>8836</v>
      </c>
      <c r="AI601" s="77" t="b">
        <v>0</v>
      </c>
      <c r="AJ601" s="77"/>
      <c r="AK601" s="77"/>
      <c r="AL601" s="77"/>
      <c r="AM601" s="77"/>
      <c r="AN601" s="77"/>
      <c r="AO601" s="77"/>
      <c r="AP601" s="77"/>
      <c r="AQ601" s="77" t="s">
        <v>12487</v>
      </c>
      <c r="AR601" s="77"/>
      <c r="AS601" s="77"/>
      <c r="AT601" s="77"/>
      <c r="AU601" s="77"/>
      <c r="AV601" s="80" t="str">
        <f>HYPERLINK("https://pbs.twimg.com/media/FxMMMinXsAIE9gy.jpg")</f>
        <v>https://pbs.twimg.com/media/FxMMMinXsAIE9gy.jpg</v>
      </c>
      <c r="AW601" s="82" t="s">
        <v>13698</v>
      </c>
      <c r="AX601" s="82" t="s">
        <v>13698</v>
      </c>
      <c r="AY601" s="77"/>
      <c r="AZ601" s="82" t="s">
        <v>17385</v>
      </c>
      <c r="BA601" s="82" t="s">
        <v>17385</v>
      </c>
      <c r="BB601" s="82" t="s">
        <v>17385</v>
      </c>
      <c r="BC601" s="82" t="s">
        <v>13698</v>
      </c>
      <c r="BD601" s="82" t="s">
        <v>17521</v>
      </c>
      <c r="BE601" s="77"/>
      <c r="BF601" s="77"/>
      <c r="BG601" s="77"/>
      <c r="BH601" s="77"/>
      <c r="BI601" s="77"/>
    </row>
    <row r="602" spans="1:61" x14ac:dyDescent="0.25">
      <c r="A602" s="62" t="s">
        <v>375</v>
      </c>
      <c r="B602" s="62" t="s">
        <v>375</v>
      </c>
      <c r="C602" s="63"/>
      <c r="D602" s="64"/>
      <c r="E602" s="65"/>
      <c r="F602" s="66"/>
      <c r="G602" s="63"/>
      <c r="H602" s="67"/>
      <c r="I602" s="68"/>
      <c r="J602" s="68"/>
      <c r="K602" s="32"/>
      <c r="L602" s="75">
        <v>602</v>
      </c>
      <c r="M602" s="75"/>
      <c r="N602" s="70"/>
      <c r="O602" s="77" t="s">
        <v>179</v>
      </c>
      <c r="P602" s="79">
        <v>45143.133831018517</v>
      </c>
      <c r="Q602" s="77" t="s">
        <v>1395</v>
      </c>
      <c r="R602" s="77">
        <v>0</v>
      </c>
      <c r="S602" s="77">
        <v>0</v>
      </c>
      <c r="T602" s="77">
        <v>0</v>
      </c>
      <c r="U602" s="77">
        <v>0</v>
      </c>
      <c r="V602" s="77">
        <v>36</v>
      </c>
      <c r="W602" s="82" t="s">
        <v>5143</v>
      </c>
      <c r="X602" s="80" t="str">
        <f>HYPERLINK("https://youtu.be/gfRNP-KwYH0")</f>
        <v>https://youtu.be/gfRNP-KwYH0</v>
      </c>
      <c r="Y602" s="77" t="s">
        <v>7064</v>
      </c>
      <c r="Z602" s="77"/>
      <c r="AA602" s="77"/>
      <c r="AB602" s="77"/>
      <c r="AC602" s="82" t="s">
        <v>8232</v>
      </c>
      <c r="AD602" s="77" t="s">
        <v>8278</v>
      </c>
      <c r="AE602" s="80" t="str">
        <f>HYPERLINK("https://twitter.com/facilinvestidor/status/1687662894303854592")</f>
        <v>https://twitter.com/facilinvestidor/status/1687662894303854592</v>
      </c>
      <c r="AF602" s="79">
        <v>45143.133831018517</v>
      </c>
      <c r="AG602" s="85">
        <v>45143</v>
      </c>
      <c r="AH602" s="82" t="s">
        <v>8837</v>
      </c>
      <c r="AI602" s="77" t="b">
        <v>0</v>
      </c>
      <c r="AJ602" s="77"/>
      <c r="AK602" s="77"/>
      <c r="AL602" s="77"/>
      <c r="AM602" s="77"/>
      <c r="AN602" s="77"/>
      <c r="AO602" s="77"/>
      <c r="AP602" s="77"/>
      <c r="AQ602" s="77"/>
      <c r="AR602" s="77"/>
      <c r="AS602" s="77"/>
      <c r="AT602" s="77"/>
      <c r="AU602" s="77"/>
      <c r="AV602" s="80" t="str">
        <f>HYPERLINK("https://pbs.twimg.com/profile_images/1659180229296902144/sFSlf2jT_normal.jpg")</f>
        <v>https://pbs.twimg.com/profile_images/1659180229296902144/sFSlf2jT_normal.jpg</v>
      </c>
      <c r="AW602" s="82" t="s">
        <v>13699</v>
      </c>
      <c r="AX602" s="82" t="s">
        <v>13699</v>
      </c>
      <c r="AY602" s="77"/>
      <c r="AZ602" s="82" t="s">
        <v>17385</v>
      </c>
      <c r="BA602" s="82" t="s">
        <v>17385</v>
      </c>
      <c r="BB602" s="82" t="s">
        <v>17385</v>
      </c>
      <c r="BC602" s="82" t="s">
        <v>13699</v>
      </c>
      <c r="BD602" s="82" t="s">
        <v>17521</v>
      </c>
      <c r="BE602" s="77"/>
      <c r="BF602" s="77"/>
      <c r="BG602" s="77"/>
      <c r="BH602" s="77"/>
      <c r="BI602" s="77"/>
    </row>
    <row r="603" spans="1:61" x14ac:dyDescent="0.25">
      <c r="A603" s="62" t="s">
        <v>375</v>
      </c>
      <c r="B603" s="62" t="s">
        <v>375</v>
      </c>
      <c r="C603" s="63"/>
      <c r="D603" s="64"/>
      <c r="E603" s="65"/>
      <c r="F603" s="66"/>
      <c r="G603" s="63"/>
      <c r="H603" s="67"/>
      <c r="I603" s="68"/>
      <c r="J603" s="68"/>
      <c r="K603" s="32"/>
      <c r="L603" s="75">
        <v>603</v>
      </c>
      <c r="M603" s="75"/>
      <c r="N603" s="70"/>
      <c r="O603" s="77" t="s">
        <v>179</v>
      </c>
      <c r="P603" s="79">
        <v>45127.013078703705</v>
      </c>
      <c r="Q603" s="77" t="s">
        <v>1396</v>
      </c>
      <c r="R603" s="77">
        <v>0</v>
      </c>
      <c r="S603" s="77">
        <v>0</v>
      </c>
      <c r="T603" s="77">
        <v>0</v>
      </c>
      <c r="U603" s="77">
        <v>0</v>
      </c>
      <c r="V603" s="77">
        <v>34</v>
      </c>
      <c r="W603" s="82" t="s">
        <v>5144</v>
      </c>
      <c r="X603" s="77" t="s">
        <v>7006</v>
      </c>
      <c r="Y603" s="77" t="s">
        <v>7089</v>
      </c>
      <c r="Z603" s="77"/>
      <c r="AA603" s="77" t="s">
        <v>7603</v>
      </c>
      <c r="AB603" s="77" t="s">
        <v>8225</v>
      </c>
      <c r="AC603" s="82" t="s">
        <v>8232</v>
      </c>
      <c r="AD603" s="77" t="s">
        <v>8278</v>
      </c>
      <c r="AE603" s="80" t="str">
        <f>HYPERLINK("https://twitter.com/facilinvestidor/status/1681820927418421250")</f>
        <v>https://twitter.com/facilinvestidor/status/1681820927418421250</v>
      </c>
      <c r="AF603" s="79">
        <v>45127.013078703705</v>
      </c>
      <c r="AG603" s="85">
        <v>45127</v>
      </c>
      <c r="AH603" s="82" t="s">
        <v>8838</v>
      </c>
      <c r="AI603" s="77" t="b">
        <v>0</v>
      </c>
      <c r="AJ603" s="77"/>
      <c r="AK603" s="77"/>
      <c r="AL603" s="77"/>
      <c r="AM603" s="77"/>
      <c r="AN603" s="77"/>
      <c r="AO603" s="77"/>
      <c r="AP603" s="77"/>
      <c r="AQ603" s="77" t="s">
        <v>12488</v>
      </c>
      <c r="AR603" s="77"/>
      <c r="AS603" s="77"/>
      <c r="AT603" s="77"/>
      <c r="AU603" s="77"/>
      <c r="AV603" s="80" t="str">
        <f>HYPERLINK("https://pbs.twimg.com/media/F1cHNArWIAIpAPv.jpg")</f>
        <v>https://pbs.twimg.com/media/F1cHNArWIAIpAPv.jpg</v>
      </c>
      <c r="AW603" s="82" t="s">
        <v>13700</v>
      </c>
      <c r="AX603" s="82" t="s">
        <v>13700</v>
      </c>
      <c r="AY603" s="77"/>
      <c r="AZ603" s="82" t="s">
        <v>17385</v>
      </c>
      <c r="BA603" s="82" t="s">
        <v>17385</v>
      </c>
      <c r="BB603" s="82" t="s">
        <v>17385</v>
      </c>
      <c r="BC603" s="82" t="s">
        <v>13700</v>
      </c>
      <c r="BD603" s="82" t="s">
        <v>17521</v>
      </c>
      <c r="BE603" s="77"/>
      <c r="BF603" s="77"/>
      <c r="BG603" s="77"/>
      <c r="BH603" s="77"/>
      <c r="BI603" s="77"/>
    </row>
    <row r="604" spans="1:61" x14ac:dyDescent="0.25">
      <c r="A604" s="62" t="s">
        <v>375</v>
      </c>
      <c r="B604" s="62" t="s">
        <v>375</v>
      </c>
      <c r="C604" s="63"/>
      <c r="D604" s="64"/>
      <c r="E604" s="65"/>
      <c r="F604" s="66"/>
      <c r="G604" s="63"/>
      <c r="H604" s="67"/>
      <c r="I604" s="68"/>
      <c r="J604" s="68"/>
      <c r="K604" s="32"/>
      <c r="L604" s="75">
        <v>604</v>
      </c>
      <c r="M604" s="75"/>
      <c r="N604" s="70"/>
      <c r="O604" s="77" t="s">
        <v>179</v>
      </c>
      <c r="P604" s="79">
        <v>45127.012523148151</v>
      </c>
      <c r="Q604" s="77" t="s">
        <v>1397</v>
      </c>
      <c r="R604" s="77">
        <v>0</v>
      </c>
      <c r="S604" s="77">
        <v>0</v>
      </c>
      <c r="T604" s="77">
        <v>0</v>
      </c>
      <c r="U604" s="77">
        <v>0</v>
      </c>
      <c r="V604" s="77">
        <v>37</v>
      </c>
      <c r="W604" s="82" t="s">
        <v>5145</v>
      </c>
      <c r="X604" s="77" t="s">
        <v>7007</v>
      </c>
      <c r="Y604" s="77" t="s">
        <v>7089</v>
      </c>
      <c r="Z604" s="77"/>
      <c r="AA604" s="77" t="s">
        <v>7604</v>
      </c>
      <c r="AB604" s="77" t="s">
        <v>8225</v>
      </c>
      <c r="AC604" s="82" t="s">
        <v>8232</v>
      </c>
      <c r="AD604" s="77" t="s">
        <v>8278</v>
      </c>
      <c r="AE604" s="80" t="str">
        <f>HYPERLINK("https://twitter.com/facilinvestidor/status/1681820725542305796")</f>
        <v>https://twitter.com/facilinvestidor/status/1681820725542305796</v>
      </c>
      <c r="AF604" s="79">
        <v>45127.012523148151</v>
      </c>
      <c r="AG604" s="85">
        <v>45127</v>
      </c>
      <c r="AH604" s="82" t="s">
        <v>8839</v>
      </c>
      <c r="AI604" s="77" t="b">
        <v>0</v>
      </c>
      <c r="AJ604" s="77"/>
      <c r="AK604" s="77"/>
      <c r="AL604" s="77"/>
      <c r="AM604" s="77"/>
      <c r="AN604" s="77"/>
      <c r="AO604" s="77"/>
      <c r="AP604" s="77"/>
      <c r="AQ604" s="77" t="s">
        <v>12489</v>
      </c>
      <c r="AR604" s="77"/>
      <c r="AS604" s="77"/>
      <c r="AT604" s="77"/>
      <c r="AU604" s="77"/>
      <c r="AV604" s="80" t="str">
        <f>HYPERLINK("https://pbs.twimg.com/media/F1cHBYbXwAAcI1u.jpg")</f>
        <v>https://pbs.twimg.com/media/F1cHBYbXwAAcI1u.jpg</v>
      </c>
      <c r="AW604" s="82" t="s">
        <v>13701</v>
      </c>
      <c r="AX604" s="82" t="s">
        <v>13701</v>
      </c>
      <c r="AY604" s="77"/>
      <c r="AZ604" s="82" t="s">
        <v>17385</v>
      </c>
      <c r="BA604" s="82" t="s">
        <v>17385</v>
      </c>
      <c r="BB604" s="82" t="s">
        <v>17385</v>
      </c>
      <c r="BC604" s="82" t="s">
        <v>13701</v>
      </c>
      <c r="BD604" s="82" t="s">
        <v>17521</v>
      </c>
      <c r="BE604" s="77"/>
      <c r="BF604" s="77"/>
      <c r="BG604" s="77"/>
      <c r="BH604" s="77"/>
      <c r="BI604" s="77"/>
    </row>
    <row r="605" spans="1:61" x14ac:dyDescent="0.25">
      <c r="A605" s="62" t="s">
        <v>375</v>
      </c>
      <c r="B605" s="62" t="s">
        <v>375</v>
      </c>
      <c r="C605" s="63"/>
      <c r="D605" s="64"/>
      <c r="E605" s="65"/>
      <c r="F605" s="66"/>
      <c r="G605" s="63"/>
      <c r="H605" s="67"/>
      <c r="I605" s="68"/>
      <c r="J605" s="68"/>
      <c r="K605" s="32"/>
      <c r="L605" s="75">
        <v>605</v>
      </c>
      <c r="M605" s="75"/>
      <c r="N605" s="70"/>
      <c r="O605" s="77" t="s">
        <v>179</v>
      </c>
      <c r="P605" s="79">
        <v>45110.578645833331</v>
      </c>
      <c r="Q605" s="77" t="s">
        <v>1398</v>
      </c>
      <c r="R605" s="77">
        <v>0</v>
      </c>
      <c r="S605" s="77">
        <v>0</v>
      </c>
      <c r="T605" s="77">
        <v>0</v>
      </c>
      <c r="U605" s="77">
        <v>0</v>
      </c>
      <c r="V605" s="77">
        <v>20</v>
      </c>
      <c r="W605" s="82" t="s">
        <v>5146</v>
      </c>
      <c r="X605" s="77" t="s">
        <v>7008</v>
      </c>
      <c r="Y605" s="77" t="s">
        <v>7089</v>
      </c>
      <c r="Z605" s="77"/>
      <c r="AA605" s="77" t="s">
        <v>7605</v>
      </c>
      <c r="AB605" s="77" t="s">
        <v>8225</v>
      </c>
      <c r="AC605" s="82" t="s">
        <v>8232</v>
      </c>
      <c r="AD605" s="77" t="s">
        <v>8278</v>
      </c>
      <c r="AE605" s="80" t="str">
        <f>HYPERLINK("https://twitter.com/facilinvestidor/status/1675865287160111105")</f>
        <v>https://twitter.com/facilinvestidor/status/1675865287160111105</v>
      </c>
      <c r="AF605" s="79">
        <v>45110.578645833331</v>
      </c>
      <c r="AG605" s="85">
        <v>45110</v>
      </c>
      <c r="AH605" s="82" t="s">
        <v>8840</v>
      </c>
      <c r="AI605" s="77" t="b">
        <v>0</v>
      </c>
      <c r="AJ605" s="77"/>
      <c r="AK605" s="77"/>
      <c r="AL605" s="77"/>
      <c r="AM605" s="77"/>
      <c r="AN605" s="77"/>
      <c r="AO605" s="77"/>
      <c r="AP605" s="77"/>
      <c r="AQ605" s="77" t="s">
        <v>12490</v>
      </c>
      <c r="AR605" s="77"/>
      <c r="AS605" s="77"/>
      <c r="AT605" s="77"/>
      <c r="AU605" s="77"/>
      <c r="AV605" s="80" t="str">
        <f>HYPERLINK("https://pbs.twimg.com/media/F0HemFvXwAY6Nbk.jpg")</f>
        <v>https://pbs.twimg.com/media/F0HemFvXwAY6Nbk.jpg</v>
      </c>
      <c r="AW605" s="82" t="s">
        <v>13702</v>
      </c>
      <c r="AX605" s="82" t="s">
        <v>13702</v>
      </c>
      <c r="AY605" s="77"/>
      <c r="AZ605" s="82" t="s">
        <v>17385</v>
      </c>
      <c r="BA605" s="82" t="s">
        <v>17385</v>
      </c>
      <c r="BB605" s="82" t="s">
        <v>17385</v>
      </c>
      <c r="BC605" s="82" t="s">
        <v>13702</v>
      </c>
      <c r="BD605" s="82" t="s">
        <v>17521</v>
      </c>
      <c r="BE605" s="77"/>
      <c r="BF605" s="77"/>
      <c r="BG605" s="77"/>
      <c r="BH605" s="77"/>
      <c r="BI605" s="77"/>
    </row>
    <row r="606" spans="1:61" x14ac:dyDescent="0.25">
      <c r="A606" s="62" t="s">
        <v>375</v>
      </c>
      <c r="B606" s="62" t="s">
        <v>375</v>
      </c>
      <c r="C606" s="63"/>
      <c r="D606" s="64"/>
      <c r="E606" s="65"/>
      <c r="F606" s="66"/>
      <c r="G606" s="63"/>
      <c r="H606" s="67"/>
      <c r="I606" s="68"/>
      <c r="J606" s="68"/>
      <c r="K606" s="32"/>
      <c r="L606" s="75">
        <v>606</v>
      </c>
      <c r="M606" s="75"/>
      <c r="N606" s="70"/>
      <c r="O606" s="77" t="s">
        <v>179</v>
      </c>
      <c r="P606" s="79">
        <v>45096.879780092589</v>
      </c>
      <c r="Q606" s="77" t="s">
        <v>1399</v>
      </c>
      <c r="R606" s="77">
        <v>0</v>
      </c>
      <c r="S606" s="77">
        <v>0</v>
      </c>
      <c r="T606" s="77">
        <v>0</v>
      </c>
      <c r="U606" s="77">
        <v>0</v>
      </c>
      <c r="V606" s="77">
        <v>19</v>
      </c>
      <c r="W606" s="82" t="s">
        <v>5147</v>
      </c>
      <c r="X606" s="77" t="s">
        <v>7009</v>
      </c>
      <c r="Y606" s="77" t="s">
        <v>7088</v>
      </c>
      <c r="Z606" s="77"/>
      <c r="AA606" s="77" t="s">
        <v>7606</v>
      </c>
      <c r="AB606" s="77" t="s">
        <v>8225</v>
      </c>
      <c r="AC606" s="82" t="s">
        <v>8232</v>
      </c>
      <c r="AD606" s="77" t="s">
        <v>8278</v>
      </c>
      <c r="AE606" s="80" t="str">
        <f>HYPERLINK("https://twitter.com/facilinvestidor/status/1670900984527085572")</f>
        <v>https://twitter.com/facilinvestidor/status/1670900984527085572</v>
      </c>
      <c r="AF606" s="79">
        <v>45096.879780092589</v>
      </c>
      <c r="AG606" s="85">
        <v>45096</v>
      </c>
      <c r="AH606" s="82" t="s">
        <v>8841</v>
      </c>
      <c r="AI606" s="77" t="b">
        <v>0</v>
      </c>
      <c r="AJ606" s="77"/>
      <c r="AK606" s="77"/>
      <c r="AL606" s="77"/>
      <c r="AM606" s="77"/>
      <c r="AN606" s="77"/>
      <c r="AO606" s="77"/>
      <c r="AP606" s="77"/>
      <c r="AQ606" s="77" t="s">
        <v>12491</v>
      </c>
      <c r="AR606" s="77"/>
      <c r="AS606" s="77"/>
      <c r="AT606" s="77"/>
      <c r="AU606" s="77"/>
      <c r="AV606" s="80" t="str">
        <f>HYPERLINK("https://pbs.twimg.com/media/FzA7ljZX0AAQdOE.jpg")</f>
        <v>https://pbs.twimg.com/media/FzA7ljZX0AAQdOE.jpg</v>
      </c>
      <c r="AW606" s="82" t="s">
        <v>13703</v>
      </c>
      <c r="AX606" s="82" t="s">
        <v>13703</v>
      </c>
      <c r="AY606" s="77"/>
      <c r="AZ606" s="82" t="s">
        <v>17385</v>
      </c>
      <c r="BA606" s="82" t="s">
        <v>17385</v>
      </c>
      <c r="BB606" s="82" t="s">
        <v>17385</v>
      </c>
      <c r="BC606" s="82" t="s">
        <v>13703</v>
      </c>
      <c r="BD606" s="82" t="s">
        <v>17521</v>
      </c>
      <c r="BE606" s="77"/>
      <c r="BF606" s="77"/>
      <c r="BG606" s="77"/>
      <c r="BH606" s="77"/>
      <c r="BI606" s="77"/>
    </row>
    <row r="607" spans="1:61" x14ac:dyDescent="0.25">
      <c r="A607" s="62" t="s">
        <v>375</v>
      </c>
      <c r="B607" s="62" t="s">
        <v>375</v>
      </c>
      <c r="C607" s="63"/>
      <c r="D607" s="64"/>
      <c r="E607" s="65"/>
      <c r="F607" s="66"/>
      <c r="G607" s="63"/>
      <c r="H607" s="67"/>
      <c r="I607" s="68"/>
      <c r="J607" s="68"/>
      <c r="K607" s="32"/>
      <c r="L607" s="75">
        <v>607</v>
      </c>
      <c r="M607" s="75"/>
      <c r="N607" s="70"/>
      <c r="O607" s="77" t="s">
        <v>179</v>
      </c>
      <c r="P607" s="79">
        <v>45087.756342592591</v>
      </c>
      <c r="Q607" s="77" t="s">
        <v>1400</v>
      </c>
      <c r="R607" s="77">
        <v>0</v>
      </c>
      <c r="S607" s="77">
        <v>0</v>
      </c>
      <c r="T607" s="77">
        <v>0</v>
      </c>
      <c r="U607" s="77">
        <v>0</v>
      </c>
      <c r="V607" s="77">
        <v>56</v>
      </c>
      <c r="W607" s="82" t="s">
        <v>5148</v>
      </c>
      <c r="X607" s="77" t="s">
        <v>7010</v>
      </c>
      <c r="Y607" s="77" t="s">
        <v>7088</v>
      </c>
      <c r="Z607" s="77"/>
      <c r="AA607" s="77" t="s">
        <v>7607</v>
      </c>
      <c r="AB607" s="77" t="s">
        <v>8225</v>
      </c>
      <c r="AC607" s="82" t="s">
        <v>8232</v>
      </c>
      <c r="AD607" s="77" t="s">
        <v>8278</v>
      </c>
      <c r="AE607" s="80" t="str">
        <f>HYPERLINK("https://twitter.com/facilinvestidor/status/1667594763875360770")</f>
        <v>https://twitter.com/facilinvestidor/status/1667594763875360770</v>
      </c>
      <c r="AF607" s="79">
        <v>45087.756342592591</v>
      </c>
      <c r="AG607" s="85">
        <v>45087</v>
      </c>
      <c r="AH607" s="82" t="s">
        <v>8842</v>
      </c>
      <c r="AI607" s="77" t="b">
        <v>0</v>
      </c>
      <c r="AJ607" s="77"/>
      <c r="AK607" s="77"/>
      <c r="AL607" s="77"/>
      <c r="AM607" s="77"/>
      <c r="AN607" s="77"/>
      <c r="AO607" s="77"/>
      <c r="AP607" s="77"/>
      <c r="AQ607" s="77" t="s">
        <v>12492</v>
      </c>
      <c r="AR607" s="77"/>
      <c r="AS607" s="77"/>
      <c r="AT607" s="77"/>
      <c r="AU607" s="77"/>
      <c r="AV607" s="80" t="str">
        <f>HYPERLINK("https://pbs.twimg.com/media/FyR8kykXoAMnsAR.jpg")</f>
        <v>https://pbs.twimg.com/media/FyR8kykXoAMnsAR.jpg</v>
      </c>
      <c r="AW607" s="82" t="s">
        <v>13704</v>
      </c>
      <c r="AX607" s="82" t="s">
        <v>13704</v>
      </c>
      <c r="AY607" s="77"/>
      <c r="AZ607" s="82" t="s">
        <v>17385</v>
      </c>
      <c r="BA607" s="82" t="s">
        <v>17385</v>
      </c>
      <c r="BB607" s="82" t="s">
        <v>17385</v>
      </c>
      <c r="BC607" s="82" t="s">
        <v>13704</v>
      </c>
      <c r="BD607" s="82" t="s">
        <v>17521</v>
      </c>
      <c r="BE607" s="77"/>
      <c r="BF607" s="77"/>
      <c r="BG607" s="77"/>
      <c r="BH607" s="77"/>
      <c r="BI607" s="77"/>
    </row>
    <row r="608" spans="1:61" x14ac:dyDescent="0.25">
      <c r="A608" s="62" t="s">
        <v>375</v>
      </c>
      <c r="B608" s="62" t="s">
        <v>375</v>
      </c>
      <c r="C608" s="63"/>
      <c r="D608" s="64"/>
      <c r="E608" s="65"/>
      <c r="F608" s="66"/>
      <c r="G608" s="63"/>
      <c r="H608" s="67"/>
      <c r="I608" s="68"/>
      <c r="J608" s="68"/>
      <c r="K608" s="32"/>
      <c r="L608" s="75">
        <v>608</v>
      </c>
      <c r="M608" s="75"/>
      <c r="N608" s="70"/>
      <c r="O608" s="77" t="s">
        <v>179</v>
      </c>
      <c r="P608" s="79">
        <v>45086.976030092592</v>
      </c>
      <c r="Q608" s="77" t="s">
        <v>1401</v>
      </c>
      <c r="R608" s="77">
        <v>0</v>
      </c>
      <c r="S608" s="77">
        <v>0</v>
      </c>
      <c r="T608" s="77">
        <v>0</v>
      </c>
      <c r="U608" s="77">
        <v>0</v>
      </c>
      <c r="V608" s="77">
        <v>74</v>
      </c>
      <c r="W608" s="82" t="s">
        <v>5144</v>
      </c>
      <c r="X608" s="77" t="s">
        <v>7011</v>
      </c>
      <c r="Y608" s="77" t="s">
        <v>7088</v>
      </c>
      <c r="Z608" s="77"/>
      <c r="AA608" s="77" t="s">
        <v>7608</v>
      </c>
      <c r="AB608" s="77" t="s">
        <v>8225</v>
      </c>
      <c r="AC608" s="82" t="s">
        <v>8232</v>
      </c>
      <c r="AD608" s="77" t="s">
        <v>8278</v>
      </c>
      <c r="AE608" s="80" t="str">
        <f>HYPERLINK("https://twitter.com/facilinvestidor/status/1667311984902062082")</f>
        <v>https://twitter.com/facilinvestidor/status/1667311984902062082</v>
      </c>
      <c r="AF608" s="79">
        <v>45086.976030092592</v>
      </c>
      <c r="AG608" s="85">
        <v>45086</v>
      </c>
      <c r="AH608" s="82" t="s">
        <v>8843</v>
      </c>
      <c r="AI608" s="77" t="b">
        <v>0</v>
      </c>
      <c r="AJ608" s="77"/>
      <c r="AK608" s="77"/>
      <c r="AL608" s="77"/>
      <c r="AM608" s="77"/>
      <c r="AN608" s="77"/>
      <c r="AO608" s="77"/>
      <c r="AP608" s="77"/>
      <c r="AQ608" s="77" t="s">
        <v>12493</v>
      </c>
      <c r="AR608" s="77"/>
      <c r="AS608" s="77"/>
      <c r="AT608" s="77"/>
      <c r="AU608" s="77"/>
      <c r="AV608" s="80" t="str">
        <f>HYPERLINK("https://pbs.twimg.com/media/FyN7YIMWYAEW0uO.jpg")</f>
        <v>https://pbs.twimg.com/media/FyN7YIMWYAEW0uO.jpg</v>
      </c>
      <c r="AW608" s="82" t="s">
        <v>13705</v>
      </c>
      <c r="AX608" s="82" t="s">
        <v>13705</v>
      </c>
      <c r="AY608" s="77"/>
      <c r="AZ608" s="82" t="s">
        <v>17385</v>
      </c>
      <c r="BA608" s="82" t="s">
        <v>17385</v>
      </c>
      <c r="BB608" s="82" t="s">
        <v>17385</v>
      </c>
      <c r="BC608" s="82" t="s">
        <v>13705</v>
      </c>
      <c r="BD608" s="82" t="s">
        <v>17521</v>
      </c>
      <c r="BE608" s="77"/>
      <c r="BF608" s="77"/>
      <c r="BG608" s="77"/>
      <c r="BH608" s="77"/>
      <c r="BI608" s="77"/>
    </row>
    <row r="609" spans="1:61" x14ac:dyDescent="0.25">
      <c r="A609" s="62" t="s">
        <v>375</v>
      </c>
      <c r="B609" s="62" t="s">
        <v>375</v>
      </c>
      <c r="C609" s="63"/>
      <c r="D609" s="64"/>
      <c r="E609" s="65"/>
      <c r="F609" s="66"/>
      <c r="G609" s="63"/>
      <c r="H609" s="67"/>
      <c r="I609" s="68"/>
      <c r="J609" s="68"/>
      <c r="K609" s="32"/>
      <c r="L609" s="75">
        <v>609</v>
      </c>
      <c r="M609" s="75"/>
      <c r="N609" s="70"/>
      <c r="O609" s="77" t="s">
        <v>179</v>
      </c>
      <c r="P609" s="79">
        <v>45086.667881944442</v>
      </c>
      <c r="Q609" s="77" t="s">
        <v>1402</v>
      </c>
      <c r="R609" s="77">
        <v>0</v>
      </c>
      <c r="S609" s="77">
        <v>0</v>
      </c>
      <c r="T609" s="77">
        <v>0</v>
      </c>
      <c r="U609" s="77">
        <v>0</v>
      </c>
      <c r="V609" s="77">
        <v>84</v>
      </c>
      <c r="W609" s="82" t="s">
        <v>5149</v>
      </c>
      <c r="X609" s="77" t="s">
        <v>7012</v>
      </c>
      <c r="Y609" s="77" t="s">
        <v>7088</v>
      </c>
      <c r="Z609" s="77"/>
      <c r="AA609" s="77" t="s">
        <v>7609</v>
      </c>
      <c r="AB609" s="77" t="s">
        <v>8225</v>
      </c>
      <c r="AC609" s="82" t="s">
        <v>8232</v>
      </c>
      <c r="AD609" s="77" t="s">
        <v>8278</v>
      </c>
      <c r="AE609" s="80" t="str">
        <f>HYPERLINK("https://twitter.com/facilinvestidor/status/1667200317081939969")</f>
        <v>https://twitter.com/facilinvestidor/status/1667200317081939969</v>
      </c>
      <c r="AF609" s="79">
        <v>45086.667881944442</v>
      </c>
      <c r="AG609" s="85">
        <v>45086</v>
      </c>
      <c r="AH609" s="82" t="s">
        <v>8844</v>
      </c>
      <c r="AI609" s="77" t="b">
        <v>0</v>
      </c>
      <c r="AJ609" s="77"/>
      <c r="AK609" s="77"/>
      <c r="AL609" s="77"/>
      <c r="AM609" s="77"/>
      <c r="AN609" s="77"/>
      <c r="AO609" s="77"/>
      <c r="AP609" s="77"/>
      <c r="AQ609" s="77" t="s">
        <v>12494</v>
      </c>
      <c r="AR609" s="77"/>
      <c r="AS609" s="77"/>
      <c r="AT609" s="77"/>
      <c r="AU609" s="77"/>
      <c r="AV609" s="80" t="str">
        <f>HYPERLINK("https://pbs.twimg.com/media/FyMV1uqWIAIV9Rn.jpg")</f>
        <v>https://pbs.twimg.com/media/FyMV1uqWIAIV9Rn.jpg</v>
      </c>
      <c r="AW609" s="82" t="s">
        <v>13706</v>
      </c>
      <c r="AX609" s="82" t="s">
        <v>13706</v>
      </c>
      <c r="AY609" s="77"/>
      <c r="AZ609" s="82" t="s">
        <v>17385</v>
      </c>
      <c r="BA609" s="82" t="s">
        <v>17385</v>
      </c>
      <c r="BB609" s="82" t="s">
        <v>17385</v>
      </c>
      <c r="BC609" s="82" t="s">
        <v>13706</v>
      </c>
      <c r="BD609" s="82" t="s">
        <v>17521</v>
      </c>
      <c r="BE609" s="77"/>
      <c r="BF609" s="77"/>
      <c r="BG609" s="77"/>
      <c r="BH609" s="77"/>
      <c r="BI609" s="77"/>
    </row>
    <row r="610" spans="1:61" x14ac:dyDescent="0.25">
      <c r="A610" s="62" t="s">
        <v>375</v>
      </c>
      <c r="B610" s="62" t="s">
        <v>375</v>
      </c>
      <c r="C610" s="63"/>
      <c r="D610" s="64"/>
      <c r="E610" s="65"/>
      <c r="F610" s="66"/>
      <c r="G610" s="63"/>
      <c r="H610" s="67"/>
      <c r="I610" s="68"/>
      <c r="J610" s="68"/>
      <c r="K610" s="32"/>
      <c r="L610" s="75">
        <v>610</v>
      </c>
      <c r="M610" s="75"/>
      <c r="N610" s="70"/>
      <c r="O610" s="77" t="s">
        <v>179</v>
      </c>
      <c r="P610" s="79">
        <v>45072.235219907408</v>
      </c>
      <c r="Q610" s="77" t="s">
        <v>1403</v>
      </c>
      <c r="R610" s="77">
        <v>0</v>
      </c>
      <c r="S610" s="77">
        <v>0</v>
      </c>
      <c r="T610" s="77">
        <v>0</v>
      </c>
      <c r="U610" s="77">
        <v>0</v>
      </c>
      <c r="V610" s="77">
        <v>33</v>
      </c>
      <c r="W610" s="82" t="s">
        <v>5150</v>
      </c>
      <c r="X610" s="77" t="s">
        <v>7013</v>
      </c>
      <c r="Y610" s="77" t="s">
        <v>7088</v>
      </c>
      <c r="Z610" s="77"/>
      <c r="AA610" s="77" t="s">
        <v>7610</v>
      </c>
      <c r="AB610" s="77" t="s">
        <v>8225</v>
      </c>
      <c r="AC610" s="82" t="s">
        <v>8232</v>
      </c>
      <c r="AD610" s="77" t="s">
        <v>8278</v>
      </c>
      <c r="AE610" s="80" t="str">
        <f>HYPERLINK("https://twitter.com/facilinvestidor/status/1661970097865457665")</f>
        <v>https://twitter.com/facilinvestidor/status/1661970097865457665</v>
      </c>
      <c r="AF610" s="79">
        <v>45072.235219907408</v>
      </c>
      <c r="AG610" s="85">
        <v>45072</v>
      </c>
      <c r="AH610" s="82" t="s">
        <v>8845</v>
      </c>
      <c r="AI610" s="77" t="b">
        <v>0</v>
      </c>
      <c r="AJ610" s="77"/>
      <c r="AK610" s="77"/>
      <c r="AL610" s="77"/>
      <c r="AM610" s="77"/>
      <c r="AN610" s="77"/>
      <c r="AO610" s="77"/>
      <c r="AP610" s="77"/>
      <c r="AQ610" s="77" t="s">
        <v>12495</v>
      </c>
      <c r="AR610" s="77"/>
      <c r="AS610" s="77"/>
      <c r="AT610" s="77"/>
      <c r="AU610" s="77"/>
      <c r="AV610" s="80" t="str">
        <f>HYPERLINK("https://pbs.twimg.com/media/FxCA9ZSWIAAhUpm.jpg")</f>
        <v>https://pbs.twimg.com/media/FxCA9ZSWIAAhUpm.jpg</v>
      </c>
      <c r="AW610" s="82" t="s">
        <v>13707</v>
      </c>
      <c r="AX610" s="82" t="s">
        <v>13707</v>
      </c>
      <c r="AY610" s="77"/>
      <c r="AZ610" s="82" t="s">
        <v>17385</v>
      </c>
      <c r="BA610" s="82" t="s">
        <v>17385</v>
      </c>
      <c r="BB610" s="82" t="s">
        <v>17385</v>
      </c>
      <c r="BC610" s="82" t="s">
        <v>13707</v>
      </c>
      <c r="BD610" s="82" t="s">
        <v>17521</v>
      </c>
      <c r="BE610" s="77"/>
      <c r="BF610" s="77"/>
      <c r="BG610" s="77"/>
      <c r="BH610" s="77"/>
      <c r="BI610" s="77"/>
    </row>
    <row r="611" spans="1:61" x14ac:dyDescent="0.25">
      <c r="A611" s="62" t="s">
        <v>375</v>
      </c>
      <c r="B611" s="62" t="s">
        <v>375</v>
      </c>
      <c r="C611" s="63"/>
      <c r="D611" s="64"/>
      <c r="E611" s="65"/>
      <c r="F611" s="66"/>
      <c r="G611" s="63"/>
      <c r="H611" s="67"/>
      <c r="I611" s="68"/>
      <c r="J611" s="68"/>
      <c r="K611" s="32"/>
      <c r="L611" s="75">
        <v>611</v>
      </c>
      <c r="M611" s="75"/>
      <c r="N611" s="70"/>
      <c r="O611" s="77" t="s">
        <v>179</v>
      </c>
      <c r="P611" s="79">
        <v>45156.991909722223</v>
      </c>
      <c r="Q611" s="77" t="s">
        <v>1404</v>
      </c>
      <c r="R611" s="77">
        <v>0</v>
      </c>
      <c r="S611" s="77">
        <v>0</v>
      </c>
      <c r="T611" s="77">
        <v>0</v>
      </c>
      <c r="U611" s="77">
        <v>0</v>
      </c>
      <c r="V611" s="77">
        <v>31</v>
      </c>
      <c r="W611" s="82" t="s">
        <v>5151</v>
      </c>
      <c r="X611" s="80" t="str">
        <f>HYPERLINK("https://youtu.be/UQmsHxyRnOI")</f>
        <v>https://youtu.be/UQmsHxyRnOI</v>
      </c>
      <c r="Y611" s="77" t="s">
        <v>7064</v>
      </c>
      <c r="Z611" s="77"/>
      <c r="AA611" s="77"/>
      <c r="AB611" s="77"/>
      <c r="AC611" s="82" t="s">
        <v>8232</v>
      </c>
      <c r="AD611" s="77" t="s">
        <v>8278</v>
      </c>
      <c r="AE611" s="80" t="str">
        <f>HYPERLINK("https://twitter.com/facilinvestidor/status/1692684894046998800")</f>
        <v>https://twitter.com/facilinvestidor/status/1692684894046998800</v>
      </c>
      <c r="AF611" s="79">
        <v>45156.991909722223</v>
      </c>
      <c r="AG611" s="85">
        <v>45156</v>
      </c>
      <c r="AH611" s="82" t="s">
        <v>8846</v>
      </c>
      <c r="AI611" s="77" t="b">
        <v>0</v>
      </c>
      <c r="AJ611" s="77"/>
      <c r="AK611" s="77"/>
      <c r="AL611" s="77"/>
      <c r="AM611" s="77"/>
      <c r="AN611" s="77"/>
      <c r="AO611" s="77"/>
      <c r="AP611" s="77"/>
      <c r="AQ611" s="77"/>
      <c r="AR611" s="77"/>
      <c r="AS611" s="77"/>
      <c r="AT611" s="77"/>
      <c r="AU611" s="77"/>
      <c r="AV611" s="80" t="str">
        <f>HYPERLINK("https://pbs.twimg.com/profile_images/1659180229296902144/sFSlf2jT_normal.jpg")</f>
        <v>https://pbs.twimg.com/profile_images/1659180229296902144/sFSlf2jT_normal.jpg</v>
      </c>
      <c r="AW611" s="82" t="s">
        <v>13708</v>
      </c>
      <c r="AX611" s="82" t="s">
        <v>13708</v>
      </c>
      <c r="AY611" s="77"/>
      <c r="AZ611" s="82" t="s">
        <v>17385</v>
      </c>
      <c r="BA611" s="82" t="s">
        <v>17385</v>
      </c>
      <c r="BB611" s="82" t="s">
        <v>17385</v>
      </c>
      <c r="BC611" s="82" t="s">
        <v>13708</v>
      </c>
      <c r="BD611" s="82" t="s">
        <v>17521</v>
      </c>
      <c r="BE611" s="77"/>
      <c r="BF611" s="77"/>
      <c r="BG611" s="77"/>
      <c r="BH611" s="77"/>
      <c r="BI611" s="77"/>
    </row>
    <row r="612" spans="1:61" x14ac:dyDescent="0.25">
      <c r="A612" s="62" t="s">
        <v>375</v>
      </c>
      <c r="B612" s="62" t="s">
        <v>375</v>
      </c>
      <c r="C612" s="63"/>
      <c r="D612" s="64"/>
      <c r="E612" s="65"/>
      <c r="F612" s="66"/>
      <c r="G612" s="63"/>
      <c r="H612" s="67"/>
      <c r="I612" s="68"/>
      <c r="J612" s="68"/>
      <c r="K612" s="32"/>
      <c r="L612" s="75">
        <v>612</v>
      </c>
      <c r="M612" s="75"/>
      <c r="N612" s="70"/>
      <c r="O612" s="77" t="s">
        <v>179</v>
      </c>
      <c r="P612" s="79">
        <v>45138.106840277775</v>
      </c>
      <c r="Q612" s="77" t="s">
        <v>1405</v>
      </c>
      <c r="R612" s="77">
        <v>0</v>
      </c>
      <c r="S612" s="77">
        <v>1</v>
      </c>
      <c r="T612" s="77">
        <v>0</v>
      </c>
      <c r="U612" s="77">
        <v>0</v>
      </c>
      <c r="V612" s="77">
        <v>129</v>
      </c>
      <c r="W612" s="82" t="s">
        <v>5152</v>
      </c>
      <c r="X612" s="80" t="str">
        <f>HYPERLINK("https://youtu.be/KoJw9qa5aIc")</f>
        <v>https://youtu.be/KoJw9qa5aIc</v>
      </c>
      <c r="Y612" s="77" t="s">
        <v>7064</v>
      </c>
      <c r="Z612" s="77"/>
      <c r="AA612" s="77"/>
      <c r="AB612" s="77"/>
      <c r="AC612" s="82" t="s">
        <v>8232</v>
      </c>
      <c r="AD612" s="77" t="s">
        <v>8278</v>
      </c>
      <c r="AE612" s="80" t="str">
        <f>HYPERLINK("https://twitter.com/facilinvestidor/status/1685841173926014976")</f>
        <v>https://twitter.com/facilinvestidor/status/1685841173926014976</v>
      </c>
      <c r="AF612" s="79">
        <v>45138.106840277775</v>
      </c>
      <c r="AG612" s="85">
        <v>45138</v>
      </c>
      <c r="AH612" s="82" t="s">
        <v>8847</v>
      </c>
      <c r="AI612" s="77" t="b">
        <v>0</v>
      </c>
      <c r="AJ612" s="77"/>
      <c r="AK612" s="77"/>
      <c r="AL612" s="77"/>
      <c r="AM612" s="77"/>
      <c r="AN612" s="77"/>
      <c r="AO612" s="77"/>
      <c r="AP612" s="77"/>
      <c r="AQ612" s="77"/>
      <c r="AR612" s="77"/>
      <c r="AS612" s="77"/>
      <c r="AT612" s="77"/>
      <c r="AU612" s="77"/>
      <c r="AV612" s="80" t="str">
        <f>HYPERLINK("https://pbs.twimg.com/profile_images/1659180229296902144/sFSlf2jT_normal.jpg")</f>
        <v>https://pbs.twimg.com/profile_images/1659180229296902144/sFSlf2jT_normal.jpg</v>
      </c>
      <c r="AW612" s="82" t="s">
        <v>13709</v>
      </c>
      <c r="AX612" s="82" t="s">
        <v>13709</v>
      </c>
      <c r="AY612" s="77"/>
      <c r="AZ612" s="82" t="s">
        <v>17385</v>
      </c>
      <c r="BA612" s="82" t="s">
        <v>17385</v>
      </c>
      <c r="BB612" s="82" t="s">
        <v>17385</v>
      </c>
      <c r="BC612" s="82" t="s">
        <v>13709</v>
      </c>
      <c r="BD612" s="82" t="s">
        <v>17521</v>
      </c>
      <c r="BE612" s="77"/>
      <c r="BF612" s="77"/>
      <c r="BG612" s="77"/>
      <c r="BH612" s="77"/>
      <c r="BI612" s="77"/>
    </row>
    <row r="613" spans="1:61" x14ac:dyDescent="0.25">
      <c r="A613" s="62" t="s">
        <v>375</v>
      </c>
      <c r="B613" s="62" t="s">
        <v>375</v>
      </c>
      <c r="C613" s="63"/>
      <c r="D613" s="64"/>
      <c r="E613" s="65"/>
      <c r="F613" s="66"/>
      <c r="G613" s="63"/>
      <c r="H613" s="67"/>
      <c r="I613" s="68"/>
      <c r="J613" s="68"/>
      <c r="K613" s="32"/>
      <c r="L613" s="75">
        <v>613</v>
      </c>
      <c r="M613" s="75"/>
      <c r="N613" s="70"/>
      <c r="O613" s="77" t="s">
        <v>179</v>
      </c>
      <c r="P613" s="79">
        <v>45115.788206018522</v>
      </c>
      <c r="Q613" s="77" t="s">
        <v>1406</v>
      </c>
      <c r="R613" s="77">
        <v>0</v>
      </c>
      <c r="S613" s="77">
        <v>0</v>
      </c>
      <c r="T613" s="77">
        <v>0</v>
      </c>
      <c r="U613" s="77">
        <v>0</v>
      </c>
      <c r="V613" s="77">
        <v>19</v>
      </c>
      <c r="W613" s="82" t="s">
        <v>5153</v>
      </c>
      <c r="X613" s="77" t="s">
        <v>7014</v>
      </c>
      <c r="Y613" s="77" t="s">
        <v>7089</v>
      </c>
      <c r="Z613" s="77"/>
      <c r="AA613" s="77" t="s">
        <v>7611</v>
      </c>
      <c r="AB613" s="77" t="s">
        <v>8225</v>
      </c>
      <c r="AC613" s="82" t="s">
        <v>8234</v>
      </c>
      <c r="AD613" s="77" t="s">
        <v>8278</v>
      </c>
      <c r="AE613" s="80" t="str">
        <f>HYPERLINK("https://twitter.com/facilinvestidor/status/1677753168820666370")</f>
        <v>https://twitter.com/facilinvestidor/status/1677753168820666370</v>
      </c>
      <c r="AF613" s="79">
        <v>45115.788206018522</v>
      </c>
      <c r="AG613" s="85">
        <v>45115</v>
      </c>
      <c r="AH613" s="82" t="s">
        <v>8848</v>
      </c>
      <c r="AI613" s="77" t="b">
        <v>0</v>
      </c>
      <c r="AJ613" s="77"/>
      <c r="AK613" s="77"/>
      <c r="AL613" s="77"/>
      <c r="AM613" s="77"/>
      <c r="AN613" s="77"/>
      <c r="AO613" s="77"/>
      <c r="AP613" s="77"/>
      <c r="AQ613" s="77" t="s">
        <v>12496</v>
      </c>
      <c r="AR613" s="77"/>
      <c r="AS613" s="77"/>
      <c r="AT613" s="77"/>
      <c r="AU613" s="77"/>
      <c r="AV613" s="80" t="str">
        <f>HYPERLINK("https://pbs.twimg.com/media/F0iTnKpXgAA2MWj.jpg")</f>
        <v>https://pbs.twimg.com/media/F0iTnKpXgAA2MWj.jpg</v>
      </c>
      <c r="AW613" s="82" t="s">
        <v>13710</v>
      </c>
      <c r="AX613" s="82" t="s">
        <v>13710</v>
      </c>
      <c r="AY613" s="77"/>
      <c r="AZ613" s="82" t="s">
        <v>17385</v>
      </c>
      <c r="BA613" s="82" t="s">
        <v>17385</v>
      </c>
      <c r="BB613" s="82" t="s">
        <v>17385</v>
      </c>
      <c r="BC613" s="82" t="s">
        <v>13710</v>
      </c>
      <c r="BD613" s="82" t="s">
        <v>17521</v>
      </c>
      <c r="BE613" s="77"/>
      <c r="BF613" s="77"/>
      <c r="BG613" s="77"/>
      <c r="BH613" s="77"/>
      <c r="BI613" s="77"/>
    </row>
    <row r="614" spans="1:61" x14ac:dyDescent="0.25">
      <c r="A614" s="62" t="s">
        <v>375</v>
      </c>
      <c r="B614" s="62" t="s">
        <v>375</v>
      </c>
      <c r="C614" s="63"/>
      <c r="D614" s="64"/>
      <c r="E614" s="65"/>
      <c r="F614" s="66"/>
      <c r="G614" s="63"/>
      <c r="H614" s="67"/>
      <c r="I614" s="68"/>
      <c r="J614" s="68"/>
      <c r="K614" s="32"/>
      <c r="L614" s="75">
        <v>614</v>
      </c>
      <c r="M614" s="75"/>
      <c r="N614" s="70"/>
      <c r="O614" s="77" t="s">
        <v>179</v>
      </c>
      <c r="P614" s="79">
        <v>45107.849768518521</v>
      </c>
      <c r="Q614" s="77" t="s">
        <v>1407</v>
      </c>
      <c r="R614" s="77">
        <v>0</v>
      </c>
      <c r="S614" s="77">
        <v>0</v>
      </c>
      <c r="T614" s="77">
        <v>0</v>
      </c>
      <c r="U614" s="77">
        <v>0</v>
      </c>
      <c r="V614" s="77">
        <v>69</v>
      </c>
      <c r="W614" s="82" t="s">
        <v>5154</v>
      </c>
      <c r="X614" s="77" t="s">
        <v>7015</v>
      </c>
      <c r="Y614" s="77" t="s">
        <v>7089</v>
      </c>
      <c r="Z614" s="77"/>
      <c r="AA614" s="77" t="s">
        <v>7612</v>
      </c>
      <c r="AB614" s="77" t="s">
        <v>8225</v>
      </c>
      <c r="AC614" s="82" t="s">
        <v>8232</v>
      </c>
      <c r="AD614" s="77" t="s">
        <v>8278</v>
      </c>
      <c r="AE614" s="80" t="str">
        <f>HYPERLINK("https://twitter.com/facilinvestidor/status/1674876374836813826")</f>
        <v>https://twitter.com/facilinvestidor/status/1674876374836813826</v>
      </c>
      <c r="AF614" s="79">
        <v>45107.849768518521</v>
      </c>
      <c r="AG614" s="85">
        <v>45107</v>
      </c>
      <c r="AH614" s="82" t="s">
        <v>8849</v>
      </c>
      <c r="AI614" s="77" t="b">
        <v>0</v>
      </c>
      <c r="AJ614" s="77"/>
      <c r="AK614" s="77"/>
      <c r="AL614" s="77"/>
      <c r="AM614" s="77"/>
      <c r="AN614" s="77"/>
      <c r="AO614" s="77"/>
      <c r="AP614" s="77"/>
      <c r="AQ614" s="77" t="s">
        <v>12497</v>
      </c>
      <c r="AR614" s="77"/>
      <c r="AS614" s="77"/>
      <c r="AT614" s="77"/>
      <c r="AU614" s="77"/>
      <c r="AV614" s="80" t="str">
        <f>HYPERLINK("https://pbs.twimg.com/media/Fz5bL3WWcAES3ii.jpg")</f>
        <v>https://pbs.twimg.com/media/Fz5bL3WWcAES3ii.jpg</v>
      </c>
      <c r="AW614" s="82" t="s">
        <v>13711</v>
      </c>
      <c r="AX614" s="82" t="s">
        <v>13711</v>
      </c>
      <c r="AY614" s="77"/>
      <c r="AZ614" s="82" t="s">
        <v>17385</v>
      </c>
      <c r="BA614" s="82" t="s">
        <v>17385</v>
      </c>
      <c r="BB614" s="82" t="s">
        <v>17385</v>
      </c>
      <c r="BC614" s="82" t="s">
        <v>13711</v>
      </c>
      <c r="BD614" s="82" t="s">
        <v>17521</v>
      </c>
      <c r="BE614" s="77"/>
      <c r="BF614" s="77"/>
      <c r="BG614" s="77"/>
      <c r="BH614" s="77"/>
      <c r="BI614" s="77"/>
    </row>
    <row r="615" spans="1:61" x14ac:dyDescent="0.25">
      <c r="A615" s="62" t="s">
        <v>375</v>
      </c>
      <c r="B615" s="62" t="s">
        <v>375</v>
      </c>
      <c r="C615" s="63"/>
      <c r="D615" s="64"/>
      <c r="E615" s="65"/>
      <c r="F615" s="66"/>
      <c r="G615" s="63"/>
      <c r="H615" s="67"/>
      <c r="I615" s="68"/>
      <c r="J615" s="68"/>
      <c r="K615" s="32"/>
      <c r="L615" s="75">
        <v>615</v>
      </c>
      <c r="M615" s="75"/>
      <c r="N615" s="70"/>
      <c r="O615" s="77" t="s">
        <v>179</v>
      </c>
      <c r="P615" s="79">
        <v>45084.13826388889</v>
      </c>
      <c r="Q615" s="77" t="s">
        <v>1408</v>
      </c>
      <c r="R615" s="77">
        <v>0</v>
      </c>
      <c r="S615" s="77">
        <v>0</v>
      </c>
      <c r="T615" s="77">
        <v>1</v>
      </c>
      <c r="U615" s="77">
        <v>0</v>
      </c>
      <c r="V615" s="77">
        <v>72</v>
      </c>
      <c r="W615" s="82" t="s">
        <v>5155</v>
      </c>
      <c r="X615" s="77" t="s">
        <v>7016</v>
      </c>
      <c r="Y615" s="77" t="s">
        <v>7088</v>
      </c>
      <c r="Z615" s="77"/>
      <c r="AA615" s="77" t="s">
        <v>7613</v>
      </c>
      <c r="AB615" s="77" t="s">
        <v>8225</v>
      </c>
      <c r="AC615" s="82" t="s">
        <v>8232</v>
      </c>
      <c r="AD615" s="77" t="s">
        <v>8278</v>
      </c>
      <c r="AE615" s="80" t="str">
        <f>HYPERLINK("https://twitter.com/facilinvestidor/status/1666283612876972032")</f>
        <v>https://twitter.com/facilinvestidor/status/1666283612876972032</v>
      </c>
      <c r="AF615" s="79">
        <v>45084.13826388889</v>
      </c>
      <c r="AG615" s="85">
        <v>45084</v>
      </c>
      <c r="AH615" s="82" t="s">
        <v>8850</v>
      </c>
      <c r="AI615" s="77" t="b">
        <v>0</v>
      </c>
      <c r="AJ615" s="77"/>
      <c r="AK615" s="77"/>
      <c r="AL615" s="77"/>
      <c r="AM615" s="77"/>
      <c r="AN615" s="77"/>
      <c r="AO615" s="77"/>
      <c r="AP615" s="77"/>
      <c r="AQ615" s="77" t="s">
        <v>12498</v>
      </c>
      <c r="AR615" s="77"/>
      <c r="AS615" s="77"/>
      <c r="AT615" s="77"/>
      <c r="AU615" s="77"/>
      <c r="AV615" s="80" t="str">
        <f>HYPERLINK("https://pbs.twimg.com/media/Fx_UFQiXsAApZ1e.jpg")</f>
        <v>https://pbs.twimg.com/media/Fx_UFQiXsAApZ1e.jpg</v>
      </c>
      <c r="AW615" s="82" t="s">
        <v>13712</v>
      </c>
      <c r="AX615" s="82" t="s">
        <v>13712</v>
      </c>
      <c r="AY615" s="77"/>
      <c r="AZ615" s="82" t="s">
        <v>17385</v>
      </c>
      <c r="BA615" s="82" t="s">
        <v>17385</v>
      </c>
      <c r="BB615" s="82" t="s">
        <v>17385</v>
      </c>
      <c r="BC615" s="82" t="s">
        <v>13712</v>
      </c>
      <c r="BD615" s="82" t="s">
        <v>17521</v>
      </c>
      <c r="BE615" s="77"/>
      <c r="BF615" s="77"/>
      <c r="BG615" s="77"/>
      <c r="BH615" s="77"/>
      <c r="BI615" s="77"/>
    </row>
    <row r="616" spans="1:61" x14ac:dyDescent="0.25">
      <c r="A616" s="62" t="s">
        <v>375</v>
      </c>
      <c r="B616" s="62" t="s">
        <v>375</v>
      </c>
      <c r="C616" s="63"/>
      <c r="D616" s="64"/>
      <c r="E616" s="65"/>
      <c r="F616" s="66"/>
      <c r="G616" s="63"/>
      <c r="H616" s="67"/>
      <c r="I616" s="68"/>
      <c r="J616" s="68"/>
      <c r="K616" s="32"/>
      <c r="L616" s="75">
        <v>616</v>
      </c>
      <c r="M616" s="75"/>
      <c r="N616" s="70"/>
      <c r="O616" s="77" t="s">
        <v>179</v>
      </c>
      <c r="P616" s="79">
        <v>45069.654166666667</v>
      </c>
      <c r="Q616" s="77" t="s">
        <v>1409</v>
      </c>
      <c r="R616" s="77">
        <v>0</v>
      </c>
      <c r="S616" s="77">
        <v>0</v>
      </c>
      <c r="T616" s="77">
        <v>0</v>
      </c>
      <c r="U616" s="77">
        <v>0</v>
      </c>
      <c r="V616" s="77">
        <v>22</v>
      </c>
      <c r="W616" s="82" t="s">
        <v>5156</v>
      </c>
      <c r="X616" s="77" t="s">
        <v>7017</v>
      </c>
      <c r="Y616" s="77" t="s">
        <v>7088</v>
      </c>
      <c r="Z616" s="77"/>
      <c r="AA616" s="77" t="s">
        <v>7614</v>
      </c>
      <c r="AB616" s="77" t="s">
        <v>8225</v>
      </c>
      <c r="AC616" s="82" t="s">
        <v>8232</v>
      </c>
      <c r="AD616" s="77" t="s">
        <v>8278</v>
      </c>
      <c r="AE616" s="80" t="str">
        <f>HYPERLINK("https://twitter.com/facilinvestidor/status/1661034754710355968")</f>
        <v>https://twitter.com/facilinvestidor/status/1661034754710355968</v>
      </c>
      <c r="AF616" s="79">
        <v>45069.654166666667</v>
      </c>
      <c r="AG616" s="85">
        <v>45069</v>
      </c>
      <c r="AH616" s="82" t="s">
        <v>8851</v>
      </c>
      <c r="AI616" s="77" t="b">
        <v>0</v>
      </c>
      <c r="AJ616" s="77"/>
      <c r="AK616" s="77"/>
      <c r="AL616" s="77"/>
      <c r="AM616" s="77"/>
      <c r="AN616" s="77"/>
      <c r="AO616" s="77"/>
      <c r="AP616" s="77"/>
      <c r="AQ616" s="77" t="s">
        <v>12499</v>
      </c>
      <c r="AR616" s="77"/>
      <c r="AS616" s="77"/>
      <c r="AT616" s="77"/>
      <c r="AU616" s="77"/>
      <c r="AV616" s="80" t="str">
        <f>HYPERLINK("https://pbs.twimg.com/media/Fw0uLIxX0AIbVvy.jpg")</f>
        <v>https://pbs.twimg.com/media/Fw0uLIxX0AIbVvy.jpg</v>
      </c>
      <c r="AW616" s="82" t="s">
        <v>13713</v>
      </c>
      <c r="AX616" s="82" t="s">
        <v>13713</v>
      </c>
      <c r="AY616" s="77"/>
      <c r="AZ616" s="82" t="s">
        <v>17385</v>
      </c>
      <c r="BA616" s="82" t="s">
        <v>17385</v>
      </c>
      <c r="BB616" s="82" t="s">
        <v>17385</v>
      </c>
      <c r="BC616" s="82" t="s">
        <v>13713</v>
      </c>
      <c r="BD616" s="82" t="s">
        <v>17521</v>
      </c>
      <c r="BE616" s="77"/>
      <c r="BF616" s="77"/>
      <c r="BG616" s="77"/>
      <c r="BH616" s="77"/>
      <c r="BI616" s="77"/>
    </row>
    <row r="617" spans="1:61" x14ac:dyDescent="0.25">
      <c r="A617" s="62" t="s">
        <v>375</v>
      </c>
      <c r="B617" s="62" t="s">
        <v>375</v>
      </c>
      <c r="C617" s="63"/>
      <c r="D617" s="64"/>
      <c r="E617" s="65"/>
      <c r="F617" s="66"/>
      <c r="G617" s="63"/>
      <c r="H617" s="67"/>
      <c r="I617" s="68"/>
      <c r="J617" s="68"/>
      <c r="K617" s="32"/>
      <c r="L617" s="75">
        <v>617</v>
      </c>
      <c r="M617" s="75"/>
      <c r="N617" s="70"/>
      <c r="O617" s="77" t="s">
        <v>179</v>
      </c>
      <c r="P617" s="79">
        <v>45068.965729166666</v>
      </c>
      <c r="Q617" s="77" t="s">
        <v>1410</v>
      </c>
      <c r="R617" s="77">
        <v>0</v>
      </c>
      <c r="S617" s="77">
        <v>0</v>
      </c>
      <c r="T617" s="77">
        <v>0</v>
      </c>
      <c r="U617" s="77">
        <v>0</v>
      </c>
      <c r="V617" s="77">
        <v>69</v>
      </c>
      <c r="W617" s="82" t="s">
        <v>5157</v>
      </c>
      <c r="X617" s="77" t="s">
        <v>7018</v>
      </c>
      <c r="Y617" s="77" t="s">
        <v>7088</v>
      </c>
      <c r="Z617" s="77"/>
      <c r="AA617" s="77" t="s">
        <v>7615</v>
      </c>
      <c r="AB617" s="77" t="s">
        <v>8225</v>
      </c>
      <c r="AC617" s="82" t="s">
        <v>8232</v>
      </c>
      <c r="AD617" s="77" t="s">
        <v>8278</v>
      </c>
      <c r="AE617" s="80" t="str">
        <f>HYPERLINK("https://twitter.com/facilinvestidor/status/1660785271661645824")</f>
        <v>https://twitter.com/facilinvestidor/status/1660785271661645824</v>
      </c>
      <c r="AF617" s="79">
        <v>45068.965729166666</v>
      </c>
      <c r="AG617" s="85">
        <v>45068</v>
      </c>
      <c r="AH617" s="82" t="s">
        <v>8852</v>
      </c>
      <c r="AI617" s="77" t="b">
        <v>0</v>
      </c>
      <c r="AJ617" s="77"/>
      <c r="AK617" s="77"/>
      <c r="AL617" s="77"/>
      <c r="AM617" s="77"/>
      <c r="AN617" s="77"/>
      <c r="AO617" s="77"/>
      <c r="AP617" s="77"/>
      <c r="AQ617" s="77" t="s">
        <v>12500</v>
      </c>
      <c r="AR617" s="77"/>
      <c r="AS617" s="77"/>
      <c r="AT617" s="77"/>
      <c r="AU617" s="77"/>
      <c r="AV617" s="80" t="str">
        <f>HYPERLINK("https://pbs.twimg.com/media/FwxLNy7X0AEPuAM.jpg")</f>
        <v>https://pbs.twimg.com/media/FwxLNy7X0AEPuAM.jpg</v>
      </c>
      <c r="AW617" s="82" t="s">
        <v>13714</v>
      </c>
      <c r="AX617" s="82" t="s">
        <v>13714</v>
      </c>
      <c r="AY617" s="77"/>
      <c r="AZ617" s="82" t="s">
        <v>17385</v>
      </c>
      <c r="BA617" s="82" t="s">
        <v>17385</v>
      </c>
      <c r="BB617" s="82" t="s">
        <v>17385</v>
      </c>
      <c r="BC617" s="82" t="s">
        <v>13714</v>
      </c>
      <c r="BD617" s="82" t="s">
        <v>17521</v>
      </c>
      <c r="BE617" s="77"/>
      <c r="BF617" s="77"/>
      <c r="BG617" s="77"/>
      <c r="BH617" s="77"/>
      <c r="BI617" s="77"/>
    </row>
    <row r="618" spans="1:61" x14ac:dyDescent="0.25">
      <c r="A618" s="62" t="s">
        <v>375</v>
      </c>
      <c r="B618" s="62" t="s">
        <v>375</v>
      </c>
      <c r="C618" s="63"/>
      <c r="D618" s="64"/>
      <c r="E618" s="65"/>
      <c r="F618" s="66"/>
      <c r="G618" s="63"/>
      <c r="H618" s="67"/>
      <c r="I618" s="68"/>
      <c r="J618" s="68"/>
      <c r="K618" s="32"/>
      <c r="L618" s="75">
        <v>618</v>
      </c>
      <c r="M618" s="75"/>
      <c r="N618" s="70"/>
      <c r="O618" s="77" t="s">
        <v>179</v>
      </c>
      <c r="P618" s="79">
        <v>45183.742719907408</v>
      </c>
      <c r="Q618" s="77" t="s">
        <v>1411</v>
      </c>
      <c r="R618" s="77">
        <v>0</v>
      </c>
      <c r="S618" s="77">
        <v>0</v>
      </c>
      <c r="T618" s="77">
        <v>0</v>
      </c>
      <c r="U618" s="77">
        <v>0</v>
      </c>
      <c r="V618" s="77">
        <v>98</v>
      </c>
      <c r="W618" s="82" t="s">
        <v>5144</v>
      </c>
      <c r="X618" s="80" t="str">
        <f>HYPERLINK("https://youtu.be/8MQg0tWtq84")</f>
        <v>https://youtu.be/8MQg0tWtq84</v>
      </c>
      <c r="Y618" s="77" t="s">
        <v>7064</v>
      </c>
      <c r="Z618" s="77"/>
      <c r="AA618" s="77"/>
      <c r="AB618" s="77"/>
      <c r="AC618" s="82" t="s">
        <v>8232</v>
      </c>
      <c r="AD618" s="77" t="s">
        <v>8278</v>
      </c>
      <c r="AE618" s="80" t="str">
        <f>HYPERLINK("https://twitter.com/facilinvestidor/status/1702379060658057593")</f>
        <v>https://twitter.com/facilinvestidor/status/1702379060658057593</v>
      </c>
      <c r="AF618" s="79">
        <v>45183.742719907408</v>
      </c>
      <c r="AG618" s="85">
        <v>45183</v>
      </c>
      <c r="AH618" s="82" t="s">
        <v>8853</v>
      </c>
      <c r="AI618" s="77" t="b">
        <v>0</v>
      </c>
      <c r="AJ618" s="77"/>
      <c r="AK618" s="77"/>
      <c r="AL618" s="77"/>
      <c r="AM618" s="77"/>
      <c r="AN618" s="77"/>
      <c r="AO618" s="77"/>
      <c r="AP618" s="77"/>
      <c r="AQ618" s="77"/>
      <c r="AR618" s="77"/>
      <c r="AS618" s="77"/>
      <c r="AT618" s="77"/>
      <c r="AU618" s="77"/>
      <c r="AV618" s="80" t="str">
        <f>HYPERLINK("https://pbs.twimg.com/profile_images/1659180229296902144/sFSlf2jT_normal.jpg")</f>
        <v>https://pbs.twimg.com/profile_images/1659180229296902144/sFSlf2jT_normal.jpg</v>
      </c>
      <c r="AW618" s="82" t="s">
        <v>13715</v>
      </c>
      <c r="AX618" s="82" t="s">
        <v>13715</v>
      </c>
      <c r="AY618" s="77"/>
      <c r="AZ618" s="82" t="s">
        <v>17385</v>
      </c>
      <c r="BA618" s="82" t="s">
        <v>17385</v>
      </c>
      <c r="BB618" s="82" t="s">
        <v>17385</v>
      </c>
      <c r="BC618" s="82" t="s">
        <v>13715</v>
      </c>
      <c r="BD618" s="82" t="s">
        <v>17521</v>
      </c>
      <c r="BE618" s="77"/>
      <c r="BF618" s="77"/>
      <c r="BG618" s="77"/>
      <c r="BH618" s="77"/>
      <c r="BI618" s="77"/>
    </row>
    <row r="619" spans="1:61" x14ac:dyDescent="0.25">
      <c r="A619" s="62" t="s">
        <v>375</v>
      </c>
      <c r="B619" s="62" t="s">
        <v>375</v>
      </c>
      <c r="C619" s="63"/>
      <c r="D619" s="64"/>
      <c r="E619" s="65"/>
      <c r="F619" s="66"/>
      <c r="G619" s="63"/>
      <c r="H619" s="67"/>
      <c r="I619" s="68"/>
      <c r="J619" s="68"/>
      <c r="K619" s="32"/>
      <c r="L619" s="75">
        <v>619</v>
      </c>
      <c r="M619" s="75"/>
      <c r="N619" s="70"/>
      <c r="O619" s="77" t="s">
        <v>179</v>
      </c>
      <c r="P619" s="79">
        <v>45182.169733796298</v>
      </c>
      <c r="Q619" s="77" t="s">
        <v>1412</v>
      </c>
      <c r="R619" s="77">
        <v>0</v>
      </c>
      <c r="S619" s="77">
        <v>0</v>
      </c>
      <c r="T619" s="77">
        <v>0</v>
      </c>
      <c r="U619" s="77">
        <v>0</v>
      </c>
      <c r="V619" s="77">
        <v>86</v>
      </c>
      <c r="W619" s="82" t="s">
        <v>5144</v>
      </c>
      <c r="X619" s="80" t="str">
        <f>HYPERLINK("https://youtu.be/637shGTHLUg?si=WG07rpftuUkYrT8E")</f>
        <v>https://youtu.be/637shGTHLUg?si=WG07rpftuUkYrT8E</v>
      </c>
      <c r="Y619" s="77" t="s">
        <v>7064</v>
      </c>
      <c r="Z619" s="77"/>
      <c r="AA619" s="77"/>
      <c r="AB619" s="77"/>
      <c r="AC619" s="82" t="s">
        <v>8232</v>
      </c>
      <c r="AD619" s="77" t="s">
        <v>8278</v>
      </c>
      <c r="AE619" s="80" t="str">
        <f>HYPERLINK("https://twitter.com/facilinvestidor/status/1701809027972284528")</f>
        <v>https://twitter.com/facilinvestidor/status/1701809027972284528</v>
      </c>
      <c r="AF619" s="79">
        <v>45182.169733796298</v>
      </c>
      <c r="AG619" s="85">
        <v>45182</v>
      </c>
      <c r="AH619" s="82" t="s">
        <v>8854</v>
      </c>
      <c r="AI619" s="77" t="b">
        <v>0</v>
      </c>
      <c r="AJ619" s="77"/>
      <c r="AK619" s="77"/>
      <c r="AL619" s="77"/>
      <c r="AM619" s="77"/>
      <c r="AN619" s="77"/>
      <c r="AO619" s="77"/>
      <c r="AP619" s="77"/>
      <c r="AQ619" s="77"/>
      <c r="AR619" s="77"/>
      <c r="AS619" s="77"/>
      <c r="AT619" s="77"/>
      <c r="AU619" s="77"/>
      <c r="AV619" s="80" t="str">
        <f>HYPERLINK("https://pbs.twimg.com/profile_images/1659180229296902144/sFSlf2jT_normal.jpg")</f>
        <v>https://pbs.twimg.com/profile_images/1659180229296902144/sFSlf2jT_normal.jpg</v>
      </c>
      <c r="AW619" s="82" t="s">
        <v>13716</v>
      </c>
      <c r="AX619" s="82" t="s">
        <v>13716</v>
      </c>
      <c r="AY619" s="77"/>
      <c r="AZ619" s="82" t="s">
        <v>17385</v>
      </c>
      <c r="BA619" s="82" t="s">
        <v>17385</v>
      </c>
      <c r="BB619" s="82" t="s">
        <v>17385</v>
      </c>
      <c r="BC619" s="82" t="s">
        <v>13716</v>
      </c>
      <c r="BD619" s="82" t="s">
        <v>17521</v>
      </c>
      <c r="BE619" s="77"/>
      <c r="BF619" s="77"/>
      <c r="BG619" s="77"/>
      <c r="BH619" s="77"/>
      <c r="BI619" s="77"/>
    </row>
    <row r="620" spans="1:61" x14ac:dyDescent="0.25">
      <c r="A620" s="62" t="s">
        <v>375</v>
      </c>
      <c r="B620" s="62" t="s">
        <v>375</v>
      </c>
      <c r="C620" s="63"/>
      <c r="D620" s="64"/>
      <c r="E620" s="65"/>
      <c r="F620" s="66"/>
      <c r="G620" s="63"/>
      <c r="H620" s="67"/>
      <c r="I620" s="68"/>
      <c r="J620" s="68"/>
      <c r="K620" s="32"/>
      <c r="L620" s="75">
        <v>620</v>
      </c>
      <c r="M620" s="75"/>
      <c r="N620" s="70"/>
      <c r="O620" s="77" t="s">
        <v>179</v>
      </c>
      <c r="P620" s="79">
        <v>45179.711435185185</v>
      </c>
      <c r="Q620" s="77" t="s">
        <v>1413</v>
      </c>
      <c r="R620" s="77">
        <v>0</v>
      </c>
      <c r="S620" s="77">
        <v>0</v>
      </c>
      <c r="T620" s="77">
        <v>0</v>
      </c>
      <c r="U620" s="77">
        <v>0</v>
      </c>
      <c r="V620" s="77">
        <v>59</v>
      </c>
      <c r="W620" s="82" t="s">
        <v>5144</v>
      </c>
      <c r="X620" s="80" t="str">
        <f>HYPERLINK("https://youtu.be/uxPj0DAUc3c")</f>
        <v>https://youtu.be/uxPj0DAUc3c</v>
      </c>
      <c r="Y620" s="77" t="s">
        <v>7064</v>
      </c>
      <c r="Z620" s="77"/>
      <c r="AA620" s="77"/>
      <c r="AB620" s="77"/>
      <c r="AC620" s="82" t="s">
        <v>8232</v>
      </c>
      <c r="AD620" s="77" t="s">
        <v>8278</v>
      </c>
      <c r="AE620" s="80" t="str">
        <f>HYPERLINK("https://twitter.com/facilinvestidor/status/1700918171388063806")</f>
        <v>https://twitter.com/facilinvestidor/status/1700918171388063806</v>
      </c>
      <c r="AF620" s="79">
        <v>45179.711435185185</v>
      </c>
      <c r="AG620" s="85">
        <v>45179</v>
      </c>
      <c r="AH620" s="82" t="s">
        <v>8855</v>
      </c>
      <c r="AI620" s="77" t="b">
        <v>0</v>
      </c>
      <c r="AJ620" s="77"/>
      <c r="AK620" s="77"/>
      <c r="AL620" s="77"/>
      <c r="AM620" s="77"/>
      <c r="AN620" s="77"/>
      <c r="AO620" s="77"/>
      <c r="AP620" s="77"/>
      <c r="AQ620" s="77"/>
      <c r="AR620" s="77"/>
      <c r="AS620" s="77"/>
      <c r="AT620" s="77"/>
      <c r="AU620" s="77"/>
      <c r="AV620" s="80" t="str">
        <f>HYPERLINK("https://pbs.twimg.com/profile_images/1659180229296902144/sFSlf2jT_normal.jpg")</f>
        <v>https://pbs.twimg.com/profile_images/1659180229296902144/sFSlf2jT_normal.jpg</v>
      </c>
      <c r="AW620" s="82" t="s">
        <v>13717</v>
      </c>
      <c r="AX620" s="82" t="s">
        <v>13717</v>
      </c>
      <c r="AY620" s="77"/>
      <c r="AZ620" s="82" t="s">
        <v>17385</v>
      </c>
      <c r="BA620" s="82" t="s">
        <v>17385</v>
      </c>
      <c r="BB620" s="82" t="s">
        <v>17385</v>
      </c>
      <c r="BC620" s="82" t="s">
        <v>13717</v>
      </c>
      <c r="BD620" s="82" t="s">
        <v>17521</v>
      </c>
      <c r="BE620" s="77"/>
      <c r="BF620" s="77"/>
      <c r="BG620" s="77"/>
      <c r="BH620" s="77"/>
      <c r="BI620" s="77"/>
    </row>
    <row r="621" spans="1:61" x14ac:dyDescent="0.25">
      <c r="A621" s="62" t="s">
        <v>375</v>
      </c>
      <c r="B621" s="62" t="s">
        <v>375</v>
      </c>
      <c r="C621" s="63"/>
      <c r="D621" s="64"/>
      <c r="E621" s="65"/>
      <c r="F621" s="66"/>
      <c r="G621" s="63"/>
      <c r="H621" s="67"/>
      <c r="I621" s="68"/>
      <c r="J621" s="68"/>
      <c r="K621" s="32"/>
      <c r="L621" s="75">
        <v>621</v>
      </c>
      <c r="M621" s="75"/>
      <c r="N621" s="70"/>
      <c r="O621" s="77" t="s">
        <v>179</v>
      </c>
      <c r="P621" s="79">
        <v>45179.151458333334</v>
      </c>
      <c r="Q621" s="77" t="s">
        <v>1414</v>
      </c>
      <c r="R621" s="77">
        <v>0</v>
      </c>
      <c r="S621" s="77">
        <v>0</v>
      </c>
      <c r="T621" s="77">
        <v>0</v>
      </c>
      <c r="U621" s="77">
        <v>0</v>
      </c>
      <c r="V621" s="77">
        <v>55</v>
      </c>
      <c r="W621" s="82" t="s">
        <v>5153</v>
      </c>
      <c r="X621" s="80" t="str">
        <f>HYPERLINK("https://youtu.be/4-tjMX1KVX8")</f>
        <v>https://youtu.be/4-tjMX1KVX8</v>
      </c>
      <c r="Y621" s="77" t="s">
        <v>7064</v>
      </c>
      <c r="Z621" s="77"/>
      <c r="AA621" s="77"/>
      <c r="AB621" s="77"/>
      <c r="AC621" s="82" t="s">
        <v>8232</v>
      </c>
      <c r="AD621" s="77" t="s">
        <v>8278</v>
      </c>
      <c r="AE621" s="80" t="str">
        <f>HYPERLINK("https://twitter.com/facilinvestidor/status/1700715242978791521")</f>
        <v>https://twitter.com/facilinvestidor/status/1700715242978791521</v>
      </c>
      <c r="AF621" s="79">
        <v>45179.151458333334</v>
      </c>
      <c r="AG621" s="85">
        <v>45179</v>
      </c>
      <c r="AH621" s="82" t="s">
        <v>8856</v>
      </c>
      <c r="AI621" s="77" t="b">
        <v>0</v>
      </c>
      <c r="AJ621" s="77"/>
      <c r="AK621" s="77"/>
      <c r="AL621" s="77"/>
      <c r="AM621" s="77"/>
      <c r="AN621" s="77"/>
      <c r="AO621" s="77"/>
      <c r="AP621" s="77"/>
      <c r="AQ621" s="77"/>
      <c r="AR621" s="77"/>
      <c r="AS621" s="77"/>
      <c r="AT621" s="77"/>
      <c r="AU621" s="77"/>
      <c r="AV621" s="80" t="str">
        <f>HYPERLINK("https://pbs.twimg.com/profile_images/1659180229296902144/sFSlf2jT_normal.jpg")</f>
        <v>https://pbs.twimg.com/profile_images/1659180229296902144/sFSlf2jT_normal.jpg</v>
      </c>
      <c r="AW621" s="82" t="s">
        <v>13718</v>
      </c>
      <c r="AX621" s="82" t="s">
        <v>13718</v>
      </c>
      <c r="AY621" s="77"/>
      <c r="AZ621" s="82" t="s">
        <v>17385</v>
      </c>
      <c r="BA621" s="82" t="s">
        <v>17385</v>
      </c>
      <c r="BB621" s="82" t="s">
        <v>17385</v>
      </c>
      <c r="BC621" s="82" t="s">
        <v>13718</v>
      </c>
      <c r="BD621" s="82" t="s">
        <v>17521</v>
      </c>
      <c r="BE621" s="77"/>
      <c r="BF621" s="77"/>
      <c r="BG621" s="77"/>
      <c r="BH621" s="77"/>
      <c r="BI621" s="77"/>
    </row>
    <row r="622" spans="1:61" x14ac:dyDescent="0.25">
      <c r="A622" s="62" t="s">
        <v>375</v>
      </c>
      <c r="B622" s="62" t="s">
        <v>375</v>
      </c>
      <c r="C622" s="63"/>
      <c r="D622" s="64"/>
      <c r="E622" s="65"/>
      <c r="F622" s="66"/>
      <c r="G622" s="63"/>
      <c r="H622" s="67"/>
      <c r="I622" s="68"/>
      <c r="J622" s="68"/>
      <c r="K622" s="32"/>
      <c r="L622" s="75">
        <v>622</v>
      </c>
      <c r="M622" s="75"/>
      <c r="N622" s="70"/>
      <c r="O622" s="77" t="s">
        <v>179</v>
      </c>
      <c r="P622" s="79">
        <v>45165.019780092596</v>
      </c>
      <c r="Q622" s="77" t="s">
        <v>1415</v>
      </c>
      <c r="R622" s="77">
        <v>0</v>
      </c>
      <c r="S622" s="77">
        <v>1</v>
      </c>
      <c r="T622" s="77">
        <v>0</v>
      </c>
      <c r="U622" s="77">
        <v>0</v>
      </c>
      <c r="V622" s="77">
        <v>91</v>
      </c>
      <c r="W622" s="82" t="s">
        <v>5158</v>
      </c>
      <c r="X622" s="80" t="str">
        <f>HYPERLINK("https://youtu.be/YHX43ZOWdP0")</f>
        <v>https://youtu.be/YHX43ZOWdP0</v>
      </c>
      <c r="Y622" s="77" t="s">
        <v>7064</v>
      </c>
      <c r="Z622" s="77"/>
      <c r="AA622" s="77"/>
      <c r="AB622" s="77"/>
      <c r="AC622" s="82" t="s">
        <v>8232</v>
      </c>
      <c r="AD622" s="77" t="s">
        <v>8278</v>
      </c>
      <c r="AE622" s="80" t="str">
        <f>HYPERLINK("https://twitter.com/facilinvestidor/status/1695594096994267216")</f>
        <v>https://twitter.com/facilinvestidor/status/1695594096994267216</v>
      </c>
      <c r="AF622" s="79">
        <v>45165.019780092596</v>
      </c>
      <c r="AG622" s="85">
        <v>45165</v>
      </c>
      <c r="AH622" s="82" t="s">
        <v>8857</v>
      </c>
      <c r="AI622" s="77" t="b">
        <v>0</v>
      </c>
      <c r="AJ622" s="77"/>
      <c r="AK622" s="77"/>
      <c r="AL622" s="77"/>
      <c r="AM622" s="77"/>
      <c r="AN622" s="77"/>
      <c r="AO622" s="77"/>
      <c r="AP622" s="77"/>
      <c r="AQ622" s="77"/>
      <c r="AR622" s="77"/>
      <c r="AS622" s="77"/>
      <c r="AT622" s="77"/>
      <c r="AU622" s="77"/>
      <c r="AV622" s="80" t="str">
        <f>HYPERLINK("https://pbs.twimg.com/profile_images/1659180229296902144/sFSlf2jT_normal.jpg")</f>
        <v>https://pbs.twimg.com/profile_images/1659180229296902144/sFSlf2jT_normal.jpg</v>
      </c>
      <c r="AW622" s="82" t="s">
        <v>13719</v>
      </c>
      <c r="AX622" s="82" t="s">
        <v>13719</v>
      </c>
      <c r="AY622" s="77"/>
      <c r="AZ622" s="82" t="s">
        <v>17385</v>
      </c>
      <c r="BA622" s="82" t="s">
        <v>17385</v>
      </c>
      <c r="BB622" s="82" t="s">
        <v>17385</v>
      </c>
      <c r="BC622" s="82" t="s">
        <v>13719</v>
      </c>
      <c r="BD622" s="82" t="s">
        <v>17521</v>
      </c>
      <c r="BE622" s="77"/>
      <c r="BF622" s="77"/>
      <c r="BG622" s="77"/>
      <c r="BH622" s="77"/>
      <c r="BI622" s="77"/>
    </row>
    <row r="623" spans="1:61" x14ac:dyDescent="0.25">
      <c r="A623" s="62" t="s">
        <v>375</v>
      </c>
      <c r="B623" s="62" t="s">
        <v>375</v>
      </c>
      <c r="C623" s="63"/>
      <c r="D623" s="64"/>
      <c r="E623" s="65"/>
      <c r="F623" s="66"/>
      <c r="G623" s="63"/>
      <c r="H623" s="67"/>
      <c r="I623" s="68"/>
      <c r="J623" s="68"/>
      <c r="K623" s="32"/>
      <c r="L623" s="75">
        <v>623</v>
      </c>
      <c r="M623" s="75"/>
      <c r="N623" s="70"/>
      <c r="O623" s="77" t="s">
        <v>179</v>
      </c>
      <c r="P623" s="79">
        <v>45156.207453703704</v>
      </c>
      <c r="Q623" s="77" t="s">
        <v>1416</v>
      </c>
      <c r="R623" s="77">
        <v>0</v>
      </c>
      <c r="S623" s="77">
        <v>0</v>
      </c>
      <c r="T623" s="77">
        <v>0</v>
      </c>
      <c r="U623" s="77">
        <v>0</v>
      </c>
      <c r="V623" s="77">
        <v>52</v>
      </c>
      <c r="W623" s="82" t="s">
        <v>5159</v>
      </c>
      <c r="X623" s="80" t="str">
        <f>HYPERLINK("https://youtu.be/X7ZJ-KKNrHY")</f>
        <v>https://youtu.be/X7ZJ-KKNrHY</v>
      </c>
      <c r="Y623" s="77" t="s">
        <v>7064</v>
      </c>
      <c r="Z623" s="77"/>
      <c r="AA623" s="77"/>
      <c r="AB623" s="77"/>
      <c r="AC623" s="82" t="s">
        <v>8232</v>
      </c>
      <c r="AD623" s="77" t="s">
        <v>8278</v>
      </c>
      <c r="AE623" s="80" t="str">
        <f>HYPERLINK("https://twitter.com/facilinvestidor/status/1692400615077421250")</f>
        <v>https://twitter.com/facilinvestidor/status/1692400615077421250</v>
      </c>
      <c r="AF623" s="79">
        <v>45156.207453703704</v>
      </c>
      <c r="AG623" s="85">
        <v>45156</v>
      </c>
      <c r="AH623" s="82" t="s">
        <v>8858</v>
      </c>
      <c r="AI623" s="77" t="b">
        <v>0</v>
      </c>
      <c r="AJ623" s="77"/>
      <c r="AK623" s="77"/>
      <c r="AL623" s="77"/>
      <c r="AM623" s="77"/>
      <c r="AN623" s="77"/>
      <c r="AO623" s="77"/>
      <c r="AP623" s="77"/>
      <c r="AQ623" s="77"/>
      <c r="AR623" s="77"/>
      <c r="AS623" s="77"/>
      <c r="AT623" s="77"/>
      <c r="AU623" s="77"/>
      <c r="AV623" s="80" t="str">
        <f>HYPERLINK("https://pbs.twimg.com/profile_images/1659180229296902144/sFSlf2jT_normal.jpg")</f>
        <v>https://pbs.twimg.com/profile_images/1659180229296902144/sFSlf2jT_normal.jpg</v>
      </c>
      <c r="AW623" s="82" t="s">
        <v>13720</v>
      </c>
      <c r="AX623" s="82" t="s">
        <v>13720</v>
      </c>
      <c r="AY623" s="77"/>
      <c r="AZ623" s="82" t="s">
        <v>17385</v>
      </c>
      <c r="BA623" s="82" t="s">
        <v>17385</v>
      </c>
      <c r="BB623" s="82" t="s">
        <v>17385</v>
      </c>
      <c r="BC623" s="82" t="s">
        <v>13720</v>
      </c>
      <c r="BD623" s="82" t="s">
        <v>17521</v>
      </c>
      <c r="BE623" s="77"/>
      <c r="BF623" s="77"/>
      <c r="BG623" s="77"/>
      <c r="BH623" s="77"/>
      <c r="BI623" s="77"/>
    </row>
    <row r="624" spans="1:61" x14ac:dyDescent="0.25">
      <c r="A624" s="62" t="s">
        <v>375</v>
      </c>
      <c r="B624" s="62" t="s">
        <v>375</v>
      </c>
      <c r="C624" s="63"/>
      <c r="D624" s="64"/>
      <c r="E624" s="65"/>
      <c r="F624" s="66"/>
      <c r="G624" s="63"/>
      <c r="H624" s="67"/>
      <c r="I624" s="68"/>
      <c r="J624" s="68"/>
      <c r="K624" s="32"/>
      <c r="L624" s="75">
        <v>624</v>
      </c>
      <c r="M624" s="75"/>
      <c r="N624" s="70"/>
      <c r="O624" s="77" t="s">
        <v>179</v>
      </c>
      <c r="P624" s="79">
        <v>45111.88548611111</v>
      </c>
      <c r="Q624" s="77" t="s">
        <v>1417</v>
      </c>
      <c r="R624" s="77">
        <v>0</v>
      </c>
      <c r="S624" s="77">
        <v>0</v>
      </c>
      <c r="T624" s="77">
        <v>0</v>
      </c>
      <c r="U624" s="77">
        <v>0</v>
      </c>
      <c r="V624" s="77">
        <v>139</v>
      </c>
      <c r="W624" s="82" t="s">
        <v>5160</v>
      </c>
      <c r="X624" s="77" t="s">
        <v>7019</v>
      </c>
      <c r="Y624" s="77" t="s">
        <v>7088</v>
      </c>
      <c r="Z624" s="77"/>
      <c r="AA624" s="77"/>
      <c r="AB624" s="77"/>
      <c r="AC624" s="82" t="s">
        <v>8232</v>
      </c>
      <c r="AD624" s="77" t="s">
        <v>8278</v>
      </c>
      <c r="AE624" s="80" t="str">
        <f>HYPERLINK("https://twitter.com/facilinvestidor/status/1676338873557827585")</f>
        <v>https://twitter.com/facilinvestidor/status/1676338873557827585</v>
      </c>
      <c r="AF624" s="79">
        <v>45111.88548611111</v>
      </c>
      <c r="AG624" s="85">
        <v>45111</v>
      </c>
      <c r="AH624" s="82" t="s">
        <v>8859</v>
      </c>
      <c r="AI624" s="77" t="b">
        <v>0</v>
      </c>
      <c r="AJ624" s="77"/>
      <c r="AK624" s="77"/>
      <c r="AL624" s="77"/>
      <c r="AM624" s="77"/>
      <c r="AN624" s="77"/>
      <c r="AO624" s="77"/>
      <c r="AP624" s="77"/>
      <c r="AQ624" s="77"/>
      <c r="AR624" s="77"/>
      <c r="AS624" s="77"/>
      <c r="AT624" s="77"/>
      <c r="AU624" s="77"/>
      <c r="AV624" s="80" t="str">
        <f>HYPERLINK("https://pbs.twimg.com/profile_images/1659180229296902144/sFSlf2jT_normal.jpg")</f>
        <v>https://pbs.twimg.com/profile_images/1659180229296902144/sFSlf2jT_normal.jpg</v>
      </c>
      <c r="AW624" s="82" t="s">
        <v>13721</v>
      </c>
      <c r="AX624" s="82" t="s">
        <v>13721</v>
      </c>
      <c r="AY624" s="77"/>
      <c r="AZ624" s="82" t="s">
        <v>17385</v>
      </c>
      <c r="BA624" s="82" t="s">
        <v>17385</v>
      </c>
      <c r="BB624" s="82" t="s">
        <v>17385</v>
      </c>
      <c r="BC624" s="82" t="s">
        <v>13721</v>
      </c>
      <c r="BD624" s="82" t="s">
        <v>17521</v>
      </c>
      <c r="BE624" s="77"/>
      <c r="BF624" s="77"/>
      <c r="BG624" s="77"/>
      <c r="BH624" s="77"/>
      <c r="BI624" s="77"/>
    </row>
    <row r="625" spans="1:61" x14ac:dyDescent="0.25">
      <c r="A625" s="62" t="s">
        <v>375</v>
      </c>
      <c r="B625" s="62" t="s">
        <v>375</v>
      </c>
      <c r="C625" s="63"/>
      <c r="D625" s="64"/>
      <c r="E625" s="65"/>
      <c r="F625" s="66"/>
      <c r="G625" s="63"/>
      <c r="H625" s="67"/>
      <c r="I625" s="68"/>
      <c r="J625" s="68"/>
      <c r="K625" s="32"/>
      <c r="L625" s="75">
        <v>625</v>
      </c>
      <c r="M625" s="75"/>
      <c r="N625" s="70"/>
      <c r="O625" s="77" t="s">
        <v>179</v>
      </c>
      <c r="P625" s="79">
        <v>45090.569247685184</v>
      </c>
      <c r="Q625" s="77" t="s">
        <v>1418</v>
      </c>
      <c r="R625" s="77">
        <v>0</v>
      </c>
      <c r="S625" s="77">
        <v>0</v>
      </c>
      <c r="T625" s="77">
        <v>0</v>
      </c>
      <c r="U625" s="77">
        <v>0</v>
      </c>
      <c r="V625" s="77">
        <v>90</v>
      </c>
      <c r="W625" s="82" t="s">
        <v>5161</v>
      </c>
      <c r="X625" s="77" t="s">
        <v>7020</v>
      </c>
      <c r="Y625" s="77" t="s">
        <v>7088</v>
      </c>
      <c r="Z625" s="77"/>
      <c r="AA625" s="77" t="s">
        <v>7616</v>
      </c>
      <c r="AB625" s="77" t="s">
        <v>8225</v>
      </c>
      <c r="AC625" s="82" t="s">
        <v>8232</v>
      </c>
      <c r="AD625" s="77" t="s">
        <v>8278</v>
      </c>
      <c r="AE625" s="80" t="str">
        <f>HYPERLINK("https://twitter.com/facilinvestidor/status/1668614126892093440")</f>
        <v>https://twitter.com/facilinvestidor/status/1668614126892093440</v>
      </c>
      <c r="AF625" s="79">
        <v>45090.569247685184</v>
      </c>
      <c r="AG625" s="85">
        <v>45090</v>
      </c>
      <c r="AH625" s="82" t="s">
        <v>8860</v>
      </c>
      <c r="AI625" s="77" t="b">
        <v>0</v>
      </c>
      <c r="AJ625" s="77"/>
      <c r="AK625" s="77"/>
      <c r="AL625" s="77"/>
      <c r="AM625" s="77"/>
      <c r="AN625" s="77"/>
      <c r="AO625" s="77"/>
      <c r="AP625" s="77"/>
      <c r="AQ625" s="77" t="s">
        <v>12501</v>
      </c>
      <c r="AR625" s="77"/>
      <c r="AS625" s="77"/>
      <c r="AT625" s="77"/>
      <c r="AU625" s="77"/>
      <c r="AV625" s="80" t="str">
        <f>HYPERLINK("https://pbs.twimg.com/media/Fygbq04aMAApK2W.jpg")</f>
        <v>https://pbs.twimg.com/media/Fygbq04aMAApK2W.jpg</v>
      </c>
      <c r="AW625" s="82" t="s">
        <v>13722</v>
      </c>
      <c r="AX625" s="82" t="s">
        <v>13722</v>
      </c>
      <c r="AY625" s="77"/>
      <c r="AZ625" s="82" t="s">
        <v>17385</v>
      </c>
      <c r="BA625" s="82" t="s">
        <v>17385</v>
      </c>
      <c r="BB625" s="82" t="s">
        <v>17385</v>
      </c>
      <c r="BC625" s="82" t="s">
        <v>13722</v>
      </c>
      <c r="BD625" s="82" t="s">
        <v>17521</v>
      </c>
      <c r="BE625" s="77"/>
      <c r="BF625" s="77"/>
      <c r="BG625" s="77"/>
      <c r="BH625" s="77"/>
      <c r="BI625" s="77"/>
    </row>
    <row r="626" spans="1:61" x14ac:dyDescent="0.25">
      <c r="A626" s="62" t="s">
        <v>375</v>
      </c>
      <c r="B626" s="62" t="s">
        <v>375</v>
      </c>
      <c r="C626" s="63"/>
      <c r="D626" s="64"/>
      <c r="E626" s="65"/>
      <c r="F626" s="66"/>
      <c r="G626" s="63"/>
      <c r="H626" s="67"/>
      <c r="I626" s="68"/>
      <c r="J626" s="68"/>
      <c r="K626" s="32"/>
      <c r="L626" s="75">
        <v>626</v>
      </c>
      <c r="M626" s="75"/>
      <c r="N626" s="70"/>
      <c r="O626" s="77" t="s">
        <v>179</v>
      </c>
      <c r="P626" s="79">
        <v>45076.60119212963</v>
      </c>
      <c r="Q626" s="77" t="s">
        <v>1419</v>
      </c>
      <c r="R626" s="77">
        <v>0</v>
      </c>
      <c r="S626" s="77">
        <v>0</v>
      </c>
      <c r="T626" s="77">
        <v>0</v>
      </c>
      <c r="U626" s="77">
        <v>0</v>
      </c>
      <c r="V626" s="77">
        <v>54</v>
      </c>
      <c r="W626" s="82" t="s">
        <v>5162</v>
      </c>
      <c r="X626" s="77" t="s">
        <v>7021</v>
      </c>
      <c r="Y626" s="77" t="s">
        <v>7088</v>
      </c>
      <c r="Z626" s="77"/>
      <c r="AA626" s="77" t="s">
        <v>7617</v>
      </c>
      <c r="AB626" s="77" t="s">
        <v>8225</v>
      </c>
      <c r="AC626" s="82" t="s">
        <v>8234</v>
      </c>
      <c r="AD626" s="77" t="s">
        <v>8278</v>
      </c>
      <c r="AE626" s="80" t="str">
        <f>HYPERLINK("https://twitter.com/facilinvestidor/status/1663552273602211840")</f>
        <v>https://twitter.com/facilinvestidor/status/1663552273602211840</v>
      </c>
      <c r="AF626" s="79">
        <v>45076.60119212963</v>
      </c>
      <c r="AG626" s="85">
        <v>45076</v>
      </c>
      <c r="AH626" s="82" t="s">
        <v>8861</v>
      </c>
      <c r="AI626" s="77" t="b">
        <v>0</v>
      </c>
      <c r="AJ626" s="77"/>
      <c r="AK626" s="77"/>
      <c r="AL626" s="77"/>
      <c r="AM626" s="77"/>
      <c r="AN626" s="77"/>
      <c r="AO626" s="77"/>
      <c r="AP626" s="77"/>
      <c r="AQ626" s="77" t="s">
        <v>12502</v>
      </c>
      <c r="AR626" s="77"/>
      <c r="AS626" s="77"/>
      <c r="AT626" s="77"/>
      <c r="AU626" s="77"/>
      <c r="AV626" s="80" t="str">
        <f>HYPERLINK("https://pbs.twimg.com/media/FxYf-eVaYAc6PPY.jpg")</f>
        <v>https://pbs.twimg.com/media/FxYf-eVaYAc6PPY.jpg</v>
      </c>
      <c r="AW626" s="82" t="s">
        <v>13723</v>
      </c>
      <c r="AX626" s="82" t="s">
        <v>13723</v>
      </c>
      <c r="AY626" s="77"/>
      <c r="AZ626" s="82" t="s">
        <v>17385</v>
      </c>
      <c r="BA626" s="82" t="s">
        <v>17385</v>
      </c>
      <c r="BB626" s="82" t="s">
        <v>17385</v>
      </c>
      <c r="BC626" s="82" t="s">
        <v>13723</v>
      </c>
      <c r="BD626" s="82" t="s">
        <v>17521</v>
      </c>
      <c r="BE626" s="77"/>
      <c r="BF626" s="77"/>
      <c r="BG626" s="77"/>
      <c r="BH626" s="77"/>
      <c r="BI626" s="77"/>
    </row>
    <row r="627" spans="1:61" x14ac:dyDescent="0.25">
      <c r="A627" s="62" t="s">
        <v>375</v>
      </c>
      <c r="B627" s="62" t="s">
        <v>375</v>
      </c>
      <c r="C627" s="63"/>
      <c r="D627" s="64"/>
      <c r="E627" s="65"/>
      <c r="F627" s="66"/>
      <c r="G627" s="63"/>
      <c r="H627" s="67"/>
      <c r="I627" s="68"/>
      <c r="J627" s="68"/>
      <c r="K627" s="32"/>
      <c r="L627" s="75">
        <v>627</v>
      </c>
      <c r="M627" s="75"/>
      <c r="N627" s="70"/>
      <c r="O627" s="77" t="s">
        <v>179</v>
      </c>
      <c r="P627" s="79">
        <v>45075.006226851852</v>
      </c>
      <c r="Q627" s="77" t="s">
        <v>1420</v>
      </c>
      <c r="R627" s="77">
        <v>0</v>
      </c>
      <c r="S627" s="77">
        <v>0</v>
      </c>
      <c r="T627" s="77">
        <v>0</v>
      </c>
      <c r="U627" s="77">
        <v>0</v>
      </c>
      <c r="V627" s="77">
        <v>119</v>
      </c>
      <c r="W627" s="82" t="s">
        <v>5163</v>
      </c>
      <c r="X627" s="77" t="s">
        <v>7022</v>
      </c>
      <c r="Y627" s="77" t="s">
        <v>7088</v>
      </c>
      <c r="Z627" s="77"/>
      <c r="AA627" s="77" t="s">
        <v>7618</v>
      </c>
      <c r="AB627" s="77" t="s">
        <v>8225</v>
      </c>
      <c r="AC627" s="82" t="s">
        <v>8232</v>
      </c>
      <c r="AD627" s="77" t="s">
        <v>8278</v>
      </c>
      <c r="AE627" s="80" t="str">
        <f>HYPERLINK("https://twitter.com/facilinvestidor/status/1662974274058039296")</f>
        <v>https://twitter.com/facilinvestidor/status/1662974274058039296</v>
      </c>
      <c r="AF627" s="79">
        <v>45075.006226851852</v>
      </c>
      <c r="AG627" s="85">
        <v>45075</v>
      </c>
      <c r="AH627" s="82" t="s">
        <v>8862</v>
      </c>
      <c r="AI627" s="77" t="b">
        <v>0</v>
      </c>
      <c r="AJ627" s="77"/>
      <c r="AK627" s="77"/>
      <c r="AL627" s="77"/>
      <c r="AM627" s="77"/>
      <c r="AN627" s="77"/>
      <c r="AO627" s="77"/>
      <c r="AP627" s="77"/>
      <c r="AQ627" s="77" t="s">
        <v>12503</v>
      </c>
      <c r="AR627" s="77"/>
      <c r="AS627" s="77"/>
      <c r="AT627" s="77"/>
      <c r="AU627" s="77"/>
      <c r="AV627" s="80" t="str">
        <f>HYPERLINK("https://pbs.twimg.com/media/FxQSP3IWIAckTxD.jpg")</f>
        <v>https://pbs.twimg.com/media/FxQSP3IWIAckTxD.jpg</v>
      </c>
      <c r="AW627" s="82" t="s">
        <v>13724</v>
      </c>
      <c r="AX627" s="82" t="s">
        <v>13724</v>
      </c>
      <c r="AY627" s="77"/>
      <c r="AZ627" s="82" t="s">
        <v>17385</v>
      </c>
      <c r="BA627" s="82" t="s">
        <v>17385</v>
      </c>
      <c r="BB627" s="82" t="s">
        <v>17385</v>
      </c>
      <c r="BC627" s="82" t="s">
        <v>13724</v>
      </c>
      <c r="BD627" s="82" t="s">
        <v>17521</v>
      </c>
      <c r="BE627" s="77"/>
      <c r="BF627" s="77"/>
      <c r="BG627" s="77"/>
      <c r="BH627" s="77"/>
      <c r="BI627" s="77"/>
    </row>
    <row r="628" spans="1:61" x14ac:dyDescent="0.25">
      <c r="A628" s="62" t="s">
        <v>375</v>
      </c>
      <c r="B628" s="62" t="s">
        <v>375</v>
      </c>
      <c r="C628" s="63"/>
      <c r="D628" s="64"/>
      <c r="E628" s="65"/>
      <c r="F628" s="66"/>
      <c r="G628" s="63"/>
      <c r="H628" s="67"/>
      <c r="I628" s="68"/>
      <c r="J628" s="68"/>
      <c r="K628" s="32"/>
      <c r="L628" s="75">
        <v>628</v>
      </c>
      <c r="M628" s="75"/>
      <c r="N628" s="70"/>
      <c r="O628" s="77" t="s">
        <v>179</v>
      </c>
      <c r="P628" s="79">
        <v>45184.68141203704</v>
      </c>
      <c r="Q628" s="77" t="s">
        <v>1421</v>
      </c>
      <c r="R628" s="77">
        <v>0</v>
      </c>
      <c r="S628" s="77">
        <v>0</v>
      </c>
      <c r="T628" s="77">
        <v>0</v>
      </c>
      <c r="U628" s="77">
        <v>0</v>
      </c>
      <c r="V628" s="77">
        <v>65</v>
      </c>
      <c r="W628" s="82" t="s">
        <v>5164</v>
      </c>
      <c r="X628" s="80" t="str">
        <f>HYPERLINK("https://youtu.be/mY7i91dhdOk")</f>
        <v>https://youtu.be/mY7i91dhdOk</v>
      </c>
      <c r="Y628" s="77" t="s">
        <v>7064</v>
      </c>
      <c r="Z628" s="77"/>
      <c r="AA628" s="77"/>
      <c r="AB628" s="77"/>
      <c r="AC628" s="82" t="s">
        <v>8232</v>
      </c>
      <c r="AD628" s="77" t="s">
        <v>8278</v>
      </c>
      <c r="AE628" s="80" t="str">
        <f>HYPERLINK("https://twitter.com/facilinvestidor/status/1702719231832326633")</f>
        <v>https://twitter.com/facilinvestidor/status/1702719231832326633</v>
      </c>
      <c r="AF628" s="79">
        <v>45184.68141203704</v>
      </c>
      <c r="AG628" s="85">
        <v>45184</v>
      </c>
      <c r="AH628" s="82" t="s">
        <v>8863</v>
      </c>
      <c r="AI628" s="77" t="b">
        <v>0</v>
      </c>
      <c r="AJ628" s="77"/>
      <c r="AK628" s="77"/>
      <c r="AL628" s="77"/>
      <c r="AM628" s="77"/>
      <c r="AN628" s="77"/>
      <c r="AO628" s="77"/>
      <c r="AP628" s="77"/>
      <c r="AQ628" s="77"/>
      <c r="AR628" s="77"/>
      <c r="AS628" s="77"/>
      <c r="AT628" s="77"/>
      <c r="AU628" s="77"/>
      <c r="AV628" s="80" t="str">
        <f>HYPERLINK("https://pbs.twimg.com/profile_images/1659180229296902144/sFSlf2jT_normal.jpg")</f>
        <v>https://pbs.twimg.com/profile_images/1659180229296902144/sFSlf2jT_normal.jpg</v>
      </c>
      <c r="AW628" s="82" t="s">
        <v>13725</v>
      </c>
      <c r="AX628" s="82" t="s">
        <v>13725</v>
      </c>
      <c r="AY628" s="77"/>
      <c r="AZ628" s="82" t="s">
        <v>17385</v>
      </c>
      <c r="BA628" s="82" t="s">
        <v>17385</v>
      </c>
      <c r="BB628" s="82" t="s">
        <v>17385</v>
      </c>
      <c r="BC628" s="82" t="s">
        <v>13725</v>
      </c>
      <c r="BD628" s="82" t="s">
        <v>17521</v>
      </c>
      <c r="BE628" s="77"/>
      <c r="BF628" s="77"/>
      <c r="BG628" s="77"/>
      <c r="BH628" s="77"/>
      <c r="BI628" s="77"/>
    </row>
    <row r="629" spans="1:61" x14ac:dyDescent="0.25">
      <c r="A629" s="62" t="s">
        <v>375</v>
      </c>
      <c r="B629" s="62" t="s">
        <v>375</v>
      </c>
      <c r="C629" s="63"/>
      <c r="D629" s="64"/>
      <c r="E629" s="65"/>
      <c r="F629" s="66"/>
      <c r="G629" s="63"/>
      <c r="H629" s="67"/>
      <c r="I629" s="68"/>
      <c r="J629" s="68"/>
      <c r="K629" s="32"/>
      <c r="L629" s="75">
        <v>629</v>
      </c>
      <c r="M629" s="75"/>
      <c r="N629" s="70"/>
      <c r="O629" s="77" t="s">
        <v>179</v>
      </c>
      <c r="P629" s="79">
        <v>45181.109212962961</v>
      </c>
      <c r="Q629" s="77" t="s">
        <v>1422</v>
      </c>
      <c r="R629" s="77">
        <v>0</v>
      </c>
      <c r="S629" s="77">
        <v>0</v>
      </c>
      <c r="T629" s="77">
        <v>0</v>
      </c>
      <c r="U629" s="77">
        <v>0</v>
      </c>
      <c r="V629" s="77">
        <v>126</v>
      </c>
      <c r="W629" s="82" t="s">
        <v>5165</v>
      </c>
      <c r="X629" s="80" t="str">
        <f>HYPERLINK("https://youtu.be/Wc6FCGsOItY")</f>
        <v>https://youtu.be/Wc6FCGsOItY</v>
      </c>
      <c r="Y629" s="77" t="s">
        <v>7064</v>
      </c>
      <c r="Z629" s="77"/>
      <c r="AA629" s="77"/>
      <c r="AB629" s="77"/>
      <c r="AC629" s="82" t="s">
        <v>8232</v>
      </c>
      <c r="AD629" s="77" t="s">
        <v>8278</v>
      </c>
      <c r="AE629" s="80" t="str">
        <f>HYPERLINK("https://twitter.com/facilinvestidor/status/1701424711710720389")</f>
        <v>https://twitter.com/facilinvestidor/status/1701424711710720389</v>
      </c>
      <c r="AF629" s="79">
        <v>45181.109212962961</v>
      </c>
      <c r="AG629" s="85">
        <v>45181</v>
      </c>
      <c r="AH629" s="82" t="s">
        <v>8864</v>
      </c>
      <c r="AI629" s="77" t="b">
        <v>0</v>
      </c>
      <c r="AJ629" s="77"/>
      <c r="AK629" s="77"/>
      <c r="AL629" s="77"/>
      <c r="AM629" s="77"/>
      <c r="AN629" s="77"/>
      <c r="AO629" s="77"/>
      <c r="AP629" s="77"/>
      <c r="AQ629" s="77"/>
      <c r="AR629" s="77"/>
      <c r="AS629" s="77"/>
      <c r="AT629" s="77"/>
      <c r="AU629" s="77"/>
      <c r="AV629" s="80" t="str">
        <f>HYPERLINK("https://pbs.twimg.com/profile_images/1659180229296902144/sFSlf2jT_normal.jpg")</f>
        <v>https://pbs.twimg.com/profile_images/1659180229296902144/sFSlf2jT_normal.jpg</v>
      </c>
      <c r="AW629" s="82" t="s">
        <v>13726</v>
      </c>
      <c r="AX629" s="82" t="s">
        <v>13726</v>
      </c>
      <c r="AY629" s="77"/>
      <c r="AZ629" s="82" t="s">
        <v>17385</v>
      </c>
      <c r="BA629" s="82" t="s">
        <v>17385</v>
      </c>
      <c r="BB629" s="82" t="s">
        <v>17385</v>
      </c>
      <c r="BC629" s="82" t="s">
        <v>13726</v>
      </c>
      <c r="BD629" s="82" t="s">
        <v>17521</v>
      </c>
      <c r="BE629" s="77"/>
      <c r="BF629" s="77"/>
      <c r="BG629" s="77"/>
      <c r="BH629" s="77"/>
      <c r="BI629" s="77"/>
    </row>
    <row r="630" spans="1:61" x14ac:dyDescent="0.25">
      <c r="A630" s="62" t="s">
        <v>375</v>
      </c>
      <c r="B630" s="62" t="s">
        <v>375</v>
      </c>
      <c r="C630" s="63"/>
      <c r="D630" s="64"/>
      <c r="E630" s="65"/>
      <c r="F630" s="66"/>
      <c r="G630" s="63"/>
      <c r="H630" s="67"/>
      <c r="I630" s="68"/>
      <c r="J630" s="68"/>
      <c r="K630" s="32"/>
      <c r="L630" s="75">
        <v>630</v>
      </c>
      <c r="M630" s="75"/>
      <c r="N630" s="70"/>
      <c r="O630" s="77" t="s">
        <v>179</v>
      </c>
      <c r="P630" s="79">
        <v>45177.601446759261</v>
      </c>
      <c r="Q630" s="77" t="s">
        <v>1423</v>
      </c>
      <c r="R630" s="77">
        <v>0</v>
      </c>
      <c r="S630" s="77">
        <v>0</v>
      </c>
      <c r="T630" s="77">
        <v>1</v>
      </c>
      <c r="U630" s="77">
        <v>0</v>
      </c>
      <c r="V630" s="77">
        <v>56</v>
      </c>
      <c r="W630" s="82" t="s">
        <v>5166</v>
      </c>
      <c r="X630" s="80" t="str">
        <f>HYPERLINK("https://youtu.be/Zmck5L6Pf-w")</f>
        <v>https://youtu.be/Zmck5L6Pf-w</v>
      </c>
      <c r="Y630" s="77" t="s">
        <v>7064</v>
      </c>
      <c r="Z630" s="77"/>
      <c r="AA630" s="77"/>
      <c r="AB630" s="77"/>
      <c r="AC630" s="82" t="s">
        <v>8232</v>
      </c>
      <c r="AD630" s="77" t="s">
        <v>8278</v>
      </c>
      <c r="AE630" s="80" t="str">
        <f>HYPERLINK("https://twitter.com/facilinvestidor/status/1700153537303384520")</f>
        <v>https://twitter.com/facilinvestidor/status/1700153537303384520</v>
      </c>
      <c r="AF630" s="79">
        <v>45177.601446759261</v>
      </c>
      <c r="AG630" s="85">
        <v>45177</v>
      </c>
      <c r="AH630" s="82" t="s">
        <v>8865</v>
      </c>
      <c r="AI630" s="77" t="b">
        <v>0</v>
      </c>
      <c r="AJ630" s="77"/>
      <c r="AK630" s="77"/>
      <c r="AL630" s="77"/>
      <c r="AM630" s="77"/>
      <c r="AN630" s="77"/>
      <c r="AO630" s="77"/>
      <c r="AP630" s="77"/>
      <c r="AQ630" s="77"/>
      <c r="AR630" s="77"/>
      <c r="AS630" s="77"/>
      <c r="AT630" s="77"/>
      <c r="AU630" s="77"/>
      <c r="AV630" s="80" t="str">
        <f>HYPERLINK("https://pbs.twimg.com/profile_images/1659180229296902144/sFSlf2jT_normal.jpg")</f>
        <v>https://pbs.twimg.com/profile_images/1659180229296902144/sFSlf2jT_normal.jpg</v>
      </c>
      <c r="AW630" s="82" t="s">
        <v>13727</v>
      </c>
      <c r="AX630" s="82" t="s">
        <v>13727</v>
      </c>
      <c r="AY630" s="77"/>
      <c r="AZ630" s="82" t="s">
        <v>17385</v>
      </c>
      <c r="BA630" s="82" t="s">
        <v>17385</v>
      </c>
      <c r="BB630" s="82" t="s">
        <v>17385</v>
      </c>
      <c r="BC630" s="82" t="s">
        <v>13727</v>
      </c>
      <c r="BD630" s="82" t="s">
        <v>17521</v>
      </c>
      <c r="BE630" s="77"/>
      <c r="BF630" s="77"/>
      <c r="BG630" s="77"/>
      <c r="BH630" s="77"/>
      <c r="BI630" s="77"/>
    </row>
    <row r="631" spans="1:61" x14ac:dyDescent="0.25">
      <c r="A631" s="62" t="s">
        <v>375</v>
      </c>
      <c r="B631" s="62" t="s">
        <v>375</v>
      </c>
      <c r="C631" s="63"/>
      <c r="D631" s="64"/>
      <c r="E631" s="65"/>
      <c r="F631" s="66"/>
      <c r="G631" s="63"/>
      <c r="H631" s="67"/>
      <c r="I631" s="68"/>
      <c r="J631" s="68"/>
      <c r="K631" s="32"/>
      <c r="L631" s="75">
        <v>631</v>
      </c>
      <c r="M631" s="75"/>
      <c r="N631" s="70"/>
      <c r="O631" s="77" t="s">
        <v>179</v>
      </c>
      <c r="P631" s="79">
        <v>45177.081423611111</v>
      </c>
      <c r="Q631" s="77" t="s">
        <v>1424</v>
      </c>
      <c r="R631" s="77">
        <v>0</v>
      </c>
      <c r="S631" s="77">
        <v>0</v>
      </c>
      <c r="T631" s="77">
        <v>1</v>
      </c>
      <c r="U631" s="77">
        <v>0</v>
      </c>
      <c r="V631" s="77">
        <v>28</v>
      </c>
      <c r="W631" s="82" t="s">
        <v>5167</v>
      </c>
      <c r="X631" s="80" t="str">
        <f>HYPERLINK("https://youtu.be/OA9gu563vzg")</f>
        <v>https://youtu.be/OA9gu563vzg</v>
      </c>
      <c r="Y631" s="77" t="s">
        <v>7064</v>
      </c>
      <c r="Z631" s="77"/>
      <c r="AA631" s="77"/>
      <c r="AB631" s="77"/>
      <c r="AC631" s="82" t="s">
        <v>8232</v>
      </c>
      <c r="AD631" s="77" t="s">
        <v>8278</v>
      </c>
      <c r="AE631" s="80" t="str">
        <f>HYPERLINK("https://twitter.com/facilinvestidor/status/1699965087417557172")</f>
        <v>https://twitter.com/facilinvestidor/status/1699965087417557172</v>
      </c>
      <c r="AF631" s="79">
        <v>45177.081423611111</v>
      </c>
      <c r="AG631" s="85">
        <v>45177</v>
      </c>
      <c r="AH631" s="82" t="s">
        <v>8866</v>
      </c>
      <c r="AI631" s="77" t="b">
        <v>0</v>
      </c>
      <c r="AJ631" s="77"/>
      <c r="AK631" s="77"/>
      <c r="AL631" s="77"/>
      <c r="AM631" s="77"/>
      <c r="AN631" s="77"/>
      <c r="AO631" s="77"/>
      <c r="AP631" s="77"/>
      <c r="AQ631" s="77"/>
      <c r="AR631" s="77"/>
      <c r="AS631" s="77"/>
      <c r="AT631" s="77"/>
      <c r="AU631" s="77"/>
      <c r="AV631" s="80" t="str">
        <f>HYPERLINK("https://pbs.twimg.com/profile_images/1659180229296902144/sFSlf2jT_normal.jpg")</f>
        <v>https://pbs.twimg.com/profile_images/1659180229296902144/sFSlf2jT_normal.jpg</v>
      </c>
      <c r="AW631" s="82" t="s">
        <v>13728</v>
      </c>
      <c r="AX631" s="82" t="s">
        <v>13728</v>
      </c>
      <c r="AY631" s="77"/>
      <c r="AZ631" s="82" t="s">
        <v>17385</v>
      </c>
      <c r="BA631" s="82" t="s">
        <v>17385</v>
      </c>
      <c r="BB631" s="82" t="s">
        <v>17385</v>
      </c>
      <c r="BC631" s="82" t="s">
        <v>13728</v>
      </c>
      <c r="BD631" s="82" t="s">
        <v>17521</v>
      </c>
      <c r="BE631" s="77"/>
      <c r="BF631" s="77"/>
      <c r="BG631" s="77"/>
      <c r="BH631" s="77"/>
      <c r="BI631" s="77"/>
    </row>
    <row r="632" spans="1:61" x14ac:dyDescent="0.25">
      <c r="A632" s="62" t="s">
        <v>375</v>
      </c>
      <c r="B632" s="62" t="s">
        <v>375</v>
      </c>
      <c r="C632" s="63"/>
      <c r="D632" s="64"/>
      <c r="E632" s="65"/>
      <c r="F632" s="66"/>
      <c r="G632" s="63"/>
      <c r="H632" s="67"/>
      <c r="I632" s="68"/>
      <c r="J632" s="68"/>
      <c r="K632" s="32"/>
      <c r="L632" s="75">
        <v>632</v>
      </c>
      <c r="M632" s="75"/>
      <c r="N632" s="70"/>
      <c r="O632" s="77" t="s">
        <v>179</v>
      </c>
      <c r="P632" s="79">
        <v>45174.640821759262</v>
      </c>
      <c r="Q632" s="77" t="s">
        <v>1425</v>
      </c>
      <c r="R632" s="77">
        <v>0</v>
      </c>
      <c r="S632" s="77">
        <v>0</v>
      </c>
      <c r="T632" s="77">
        <v>0</v>
      </c>
      <c r="U632" s="77">
        <v>0</v>
      </c>
      <c r="V632" s="77">
        <v>20</v>
      </c>
      <c r="W632" s="82" t="s">
        <v>5167</v>
      </c>
      <c r="X632" s="80" t="str">
        <f>HYPERLINK("https://youtu.be/ZSv_rkMRYnM")</f>
        <v>https://youtu.be/ZSv_rkMRYnM</v>
      </c>
      <c r="Y632" s="77" t="s">
        <v>7064</v>
      </c>
      <c r="Z632" s="77"/>
      <c r="AA632" s="77"/>
      <c r="AB632" s="77"/>
      <c r="AC632" s="82" t="s">
        <v>8232</v>
      </c>
      <c r="AD632" s="77" t="s">
        <v>8278</v>
      </c>
      <c r="AE632" s="80" t="str">
        <f>HYPERLINK("https://twitter.com/facilinvestidor/status/1699080644863680984")</f>
        <v>https://twitter.com/facilinvestidor/status/1699080644863680984</v>
      </c>
      <c r="AF632" s="79">
        <v>45174.640821759262</v>
      </c>
      <c r="AG632" s="85">
        <v>45174</v>
      </c>
      <c r="AH632" s="82" t="s">
        <v>8867</v>
      </c>
      <c r="AI632" s="77" t="b">
        <v>0</v>
      </c>
      <c r="AJ632" s="77"/>
      <c r="AK632" s="77"/>
      <c r="AL632" s="77"/>
      <c r="AM632" s="77"/>
      <c r="AN632" s="77"/>
      <c r="AO632" s="77"/>
      <c r="AP632" s="77"/>
      <c r="AQ632" s="77"/>
      <c r="AR632" s="77"/>
      <c r="AS632" s="77"/>
      <c r="AT632" s="77"/>
      <c r="AU632" s="77"/>
      <c r="AV632" s="80" t="str">
        <f>HYPERLINK("https://pbs.twimg.com/profile_images/1659180229296902144/sFSlf2jT_normal.jpg")</f>
        <v>https://pbs.twimg.com/profile_images/1659180229296902144/sFSlf2jT_normal.jpg</v>
      </c>
      <c r="AW632" s="82" t="s">
        <v>13729</v>
      </c>
      <c r="AX632" s="82" t="s">
        <v>13729</v>
      </c>
      <c r="AY632" s="77"/>
      <c r="AZ632" s="82" t="s">
        <v>17385</v>
      </c>
      <c r="BA632" s="82" t="s">
        <v>17385</v>
      </c>
      <c r="BB632" s="82" t="s">
        <v>17385</v>
      </c>
      <c r="BC632" s="82" t="s">
        <v>13729</v>
      </c>
      <c r="BD632" s="82" t="s">
        <v>17521</v>
      </c>
      <c r="BE632" s="77"/>
      <c r="BF632" s="77"/>
      <c r="BG632" s="77"/>
      <c r="BH632" s="77"/>
      <c r="BI632" s="77"/>
    </row>
    <row r="633" spans="1:61" x14ac:dyDescent="0.25">
      <c r="A633" s="62" t="s">
        <v>375</v>
      </c>
      <c r="B633" s="62" t="s">
        <v>375</v>
      </c>
      <c r="C633" s="63"/>
      <c r="D633" s="64"/>
      <c r="E633" s="65"/>
      <c r="F633" s="66"/>
      <c r="G633" s="63"/>
      <c r="H633" s="67"/>
      <c r="I633" s="68"/>
      <c r="J633" s="68"/>
      <c r="K633" s="32"/>
      <c r="L633" s="75">
        <v>633</v>
      </c>
      <c r="M633" s="75"/>
      <c r="N633" s="70"/>
      <c r="O633" s="77" t="s">
        <v>179</v>
      </c>
      <c r="P633" s="79">
        <v>45167.02579861111</v>
      </c>
      <c r="Q633" s="77" t="s">
        <v>1426</v>
      </c>
      <c r="R633" s="77">
        <v>0</v>
      </c>
      <c r="S633" s="77">
        <v>0</v>
      </c>
      <c r="T633" s="77">
        <v>1</v>
      </c>
      <c r="U633" s="77">
        <v>0</v>
      </c>
      <c r="V633" s="77">
        <v>113</v>
      </c>
      <c r="W633" s="82" t="s">
        <v>5168</v>
      </c>
      <c r="X633" s="80" t="str">
        <f>HYPERLINK("https://youtu.be/T4GVnMeZpDg")</f>
        <v>https://youtu.be/T4GVnMeZpDg</v>
      </c>
      <c r="Y633" s="77" t="s">
        <v>7064</v>
      </c>
      <c r="Z633" s="77"/>
      <c r="AA633" s="77"/>
      <c r="AB633" s="77"/>
      <c r="AC633" s="82" t="s">
        <v>8232</v>
      </c>
      <c r="AD633" s="77" t="s">
        <v>8278</v>
      </c>
      <c r="AE633" s="80" t="str">
        <f>HYPERLINK("https://twitter.com/facilinvestidor/status/1696321051230183933")</f>
        <v>https://twitter.com/facilinvestidor/status/1696321051230183933</v>
      </c>
      <c r="AF633" s="79">
        <v>45167.02579861111</v>
      </c>
      <c r="AG633" s="85">
        <v>45167</v>
      </c>
      <c r="AH633" s="82" t="s">
        <v>8868</v>
      </c>
      <c r="AI633" s="77" t="b">
        <v>0</v>
      </c>
      <c r="AJ633" s="77"/>
      <c r="AK633" s="77"/>
      <c r="AL633" s="77"/>
      <c r="AM633" s="77"/>
      <c r="AN633" s="77"/>
      <c r="AO633" s="77"/>
      <c r="AP633" s="77"/>
      <c r="AQ633" s="77"/>
      <c r="AR633" s="77"/>
      <c r="AS633" s="77"/>
      <c r="AT633" s="77"/>
      <c r="AU633" s="77"/>
      <c r="AV633" s="80" t="str">
        <f>HYPERLINK("https://pbs.twimg.com/profile_images/1659180229296902144/sFSlf2jT_normal.jpg")</f>
        <v>https://pbs.twimg.com/profile_images/1659180229296902144/sFSlf2jT_normal.jpg</v>
      </c>
      <c r="AW633" s="82" t="s">
        <v>13730</v>
      </c>
      <c r="AX633" s="82" t="s">
        <v>13730</v>
      </c>
      <c r="AY633" s="77"/>
      <c r="AZ633" s="82" t="s">
        <v>17385</v>
      </c>
      <c r="BA633" s="82" t="s">
        <v>17385</v>
      </c>
      <c r="BB633" s="82" t="s">
        <v>17385</v>
      </c>
      <c r="BC633" s="82" t="s">
        <v>13730</v>
      </c>
      <c r="BD633" s="82" t="s">
        <v>17521</v>
      </c>
      <c r="BE633" s="77"/>
      <c r="BF633" s="77"/>
      <c r="BG633" s="77"/>
      <c r="BH633" s="77"/>
      <c r="BI633" s="77"/>
    </row>
    <row r="634" spans="1:61" x14ac:dyDescent="0.25">
      <c r="A634" s="62" t="s">
        <v>375</v>
      </c>
      <c r="B634" s="62" t="s">
        <v>375</v>
      </c>
      <c r="C634" s="63"/>
      <c r="D634" s="64"/>
      <c r="E634" s="65"/>
      <c r="F634" s="66"/>
      <c r="G634" s="63"/>
      <c r="H634" s="67"/>
      <c r="I634" s="68"/>
      <c r="J634" s="68"/>
      <c r="K634" s="32"/>
      <c r="L634" s="75">
        <v>634</v>
      </c>
      <c r="M634" s="75"/>
      <c r="N634" s="70"/>
      <c r="O634" s="77" t="s">
        <v>179</v>
      </c>
      <c r="P634" s="79">
        <v>45150.946087962962</v>
      </c>
      <c r="Q634" s="77" t="s">
        <v>1427</v>
      </c>
      <c r="R634" s="77">
        <v>0</v>
      </c>
      <c r="S634" s="77">
        <v>0</v>
      </c>
      <c r="T634" s="77">
        <v>0</v>
      </c>
      <c r="U634" s="77">
        <v>0</v>
      </c>
      <c r="V634" s="77">
        <v>18</v>
      </c>
      <c r="W634" s="82" t="s">
        <v>5169</v>
      </c>
      <c r="X634" s="80" t="str">
        <f>HYPERLINK("https://youtu.be/ZHP8j0e3ZWs")</f>
        <v>https://youtu.be/ZHP8j0e3ZWs</v>
      </c>
      <c r="Y634" s="77" t="s">
        <v>7064</v>
      </c>
      <c r="Z634" s="77"/>
      <c r="AA634" s="77"/>
      <c r="AB634" s="77"/>
      <c r="AC634" s="82" t="s">
        <v>8232</v>
      </c>
      <c r="AD634" s="77" t="s">
        <v>8278</v>
      </c>
      <c r="AE634" s="80" t="str">
        <f>HYPERLINK("https://twitter.com/facilinvestidor/status/1690493960127426560")</f>
        <v>https://twitter.com/facilinvestidor/status/1690493960127426560</v>
      </c>
      <c r="AF634" s="79">
        <v>45150.946087962962</v>
      </c>
      <c r="AG634" s="85">
        <v>45150</v>
      </c>
      <c r="AH634" s="82" t="s">
        <v>8869</v>
      </c>
      <c r="AI634" s="77" t="b">
        <v>0</v>
      </c>
      <c r="AJ634" s="77"/>
      <c r="AK634" s="77"/>
      <c r="AL634" s="77"/>
      <c r="AM634" s="77"/>
      <c r="AN634" s="77"/>
      <c r="AO634" s="77"/>
      <c r="AP634" s="77"/>
      <c r="AQ634" s="77"/>
      <c r="AR634" s="77"/>
      <c r="AS634" s="77"/>
      <c r="AT634" s="77"/>
      <c r="AU634" s="77"/>
      <c r="AV634" s="80" t="str">
        <f>HYPERLINK("https://pbs.twimg.com/profile_images/1659180229296902144/sFSlf2jT_normal.jpg")</f>
        <v>https://pbs.twimg.com/profile_images/1659180229296902144/sFSlf2jT_normal.jpg</v>
      </c>
      <c r="AW634" s="82" t="s">
        <v>13731</v>
      </c>
      <c r="AX634" s="82" t="s">
        <v>13731</v>
      </c>
      <c r="AY634" s="77"/>
      <c r="AZ634" s="82" t="s">
        <v>17385</v>
      </c>
      <c r="BA634" s="82" t="s">
        <v>17385</v>
      </c>
      <c r="BB634" s="82" t="s">
        <v>17385</v>
      </c>
      <c r="BC634" s="82" t="s">
        <v>13731</v>
      </c>
      <c r="BD634" s="82" t="s">
        <v>17521</v>
      </c>
      <c r="BE634" s="77"/>
      <c r="BF634" s="77"/>
      <c r="BG634" s="77"/>
      <c r="BH634" s="77"/>
      <c r="BI634" s="77"/>
    </row>
    <row r="635" spans="1:61" x14ac:dyDescent="0.25">
      <c r="A635" s="62" t="s">
        <v>375</v>
      </c>
      <c r="B635" s="62" t="s">
        <v>375</v>
      </c>
      <c r="C635" s="63"/>
      <c r="D635" s="64"/>
      <c r="E635" s="65"/>
      <c r="F635" s="66"/>
      <c r="G635" s="63"/>
      <c r="H635" s="67"/>
      <c r="I635" s="68"/>
      <c r="J635" s="68"/>
      <c r="K635" s="32"/>
      <c r="L635" s="75">
        <v>635</v>
      </c>
      <c r="M635" s="75"/>
      <c r="N635" s="70"/>
      <c r="O635" s="77" t="s">
        <v>179</v>
      </c>
      <c r="P635" s="79">
        <v>45094.919699074075</v>
      </c>
      <c r="Q635" s="77" t="s">
        <v>1428</v>
      </c>
      <c r="R635" s="77">
        <v>0</v>
      </c>
      <c r="S635" s="77">
        <v>0</v>
      </c>
      <c r="T635" s="77">
        <v>0</v>
      </c>
      <c r="U635" s="77">
        <v>0</v>
      </c>
      <c r="V635" s="77">
        <v>56</v>
      </c>
      <c r="W635" s="82" t="s">
        <v>5144</v>
      </c>
      <c r="X635" s="77" t="s">
        <v>7023</v>
      </c>
      <c r="Y635" s="77" t="s">
        <v>7088</v>
      </c>
      <c r="Z635" s="77"/>
      <c r="AA635" s="77" t="s">
        <v>7619</v>
      </c>
      <c r="AB635" s="77" t="s">
        <v>8225</v>
      </c>
      <c r="AC635" s="82" t="s">
        <v>8232</v>
      </c>
      <c r="AD635" s="77" t="s">
        <v>8278</v>
      </c>
      <c r="AE635" s="80" t="str">
        <f>HYPERLINK("https://twitter.com/facilinvestidor/status/1670190675629953024")</f>
        <v>https://twitter.com/facilinvestidor/status/1670190675629953024</v>
      </c>
      <c r="AF635" s="79">
        <v>45094.919699074075</v>
      </c>
      <c r="AG635" s="85">
        <v>45094</v>
      </c>
      <c r="AH635" s="82" t="s">
        <v>8870</v>
      </c>
      <c r="AI635" s="77" t="b">
        <v>0</v>
      </c>
      <c r="AJ635" s="77"/>
      <c r="AK635" s="77"/>
      <c r="AL635" s="77"/>
      <c r="AM635" s="77"/>
      <c r="AN635" s="77"/>
      <c r="AO635" s="77"/>
      <c r="AP635" s="77"/>
      <c r="AQ635" s="77" t="s">
        <v>12504</v>
      </c>
      <c r="AR635" s="77"/>
      <c r="AS635" s="77"/>
      <c r="AT635" s="77"/>
      <c r="AU635" s="77"/>
      <c r="AV635" s="80" t="str">
        <f>HYPERLINK("https://pbs.twimg.com/media/Fy21j4iXwAEHPOo.jpg")</f>
        <v>https://pbs.twimg.com/media/Fy21j4iXwAEHPOo.jpg</v>
      </c>
      <c r="AW635" s="82" t="s">
        <v>13732</v>
      </c>
      <c r="AX635" s="82" t="s">
        <v>13732</v>
      </c>
      <c r="AY635" s="77"/>
      <c r="AZ635" s="82" t="s">
        <v>17385</v>
      </c>
      <c r="BA635" s="82" t="s">
        <v>17385</v>
      </c>
      <c r="BB635" s="82" t="s">
        <v>17385</v>
      </c>
      <c r="BC635" s="82" t="s">
        <v>13732</v>
      </c>
      <c r="BD635" s="82" t="s">
        <v>17521</v>
      </c>
      <c r="BE635" s="77"/>
      <c r="BF635" s="77"/>
      <c r="BG635" s="77"/>
      <c r="BH635" s="77"/>
      <c r="BI635" s="77"/>
    </row>
    <row r="636" spans="1:61" x14ac:dyDescent="0.25">
      <c r="A636" s="62" t="s">
        <v>375</v>
      </c>
      <c r="B636" s="62" t="s">
        <v>375</v>
      </c>
      <c r="C636" s="63"/>
      <c r="D636" s="64"/>
      <c r="E636" s="65"/>
      <c r="F636" s="66"/>
      <c r="G636" s="63"/>
      <c r="H636" s="67"/>
      <c r="I636" s="68"/>
      <c r="J636" s="68"/>
      <c r="K636" s="32"/>
      <c r="L636" s="75">
        <v>636</v>
      </c>
      <c r="M636" s="75"/>
      <c r="N636" s="70"/>
      <c r="O636" s="77" t="s">
        <v>179</v>
      </c>
      <c r="P636" s="79">
        <v>45093.481608796297</v>
      </c>
      <c r="Q636" s="77" t="s">
        <v>1429</v>
      </c>
      <c r="R636" s="77">
        <v>0</v>
      </c>
      <c r="S636" s="77">
        <v>0</v>
      </c>
      <c r="T636" s="77">
        <v>0</v>
      </c>
      <c r="U636" s="77">
        <v>0</v>
      </c>
      <c r="V636" s="77">
        <v>31</v>
      </c>
      <c r="W636" s="82" t="s">
        <v>5170</v>
      </c>
      <c r="X636" s="77" t="s">
        <v>7024</v>
      </c>
      <c r="Y636" s="77" t="s">
        <v>7088</v>
      </c>
      <c r="Z636" s="77"/>
      <c r="AA636" s="77" t="s">
        <v>7620</v>
      </c>
      <c r="AB636" s="77" t="s">
        <v>8225</v>
      </c>
      <c r="AC636" s="82" t="s">
        <v>8232</v>
      </c>
      <c r="AD636" s="77" t="s">
        <v>8278</v>
      </c>
      <c r="AE636" s="80" t="str">
        <f>HYPERLINK("https://twitter.com/facilinvestidor/status/1669669530237280257")</f>
        <v>https://twitter.com/facilinvestidor/status/1669669530237280257</v>
      </c>
      <c r="AF636" s="79">
        <v>45093.481608796297</v>
      </c>
      <c r="AG636" s="85">
        <v>45093</v>
      </c>
      <c r="AH636" s="82" t="s">
        <v>8871</v>
      </c>
      <c r="AI636" s="77" t="b">
        <v>0</v>
      </c>
      <c r="AJ636" s="77"/>
      <c r="AK636" s="77"/>
      <c r="AL636" s="77"/>
      <c r="AM636" s="77"/>
      <c r="AN636" s="77"/>
      <c r="AO636" s="77"/>
      <c r="AP636" s="77"/>
      <c r="AQ636" s="77" t="s">
        <v>12505</v>
      </c>
      <c r="AR636" s="77"/>
      <c r="AS636" s="77"/>
      <c r="AT636" s="77"/>
      <c r="AU636" s="77"/>
      <c r="AV636" s="80" t="str">
        <f>HYPERLINK("https://pbs.twimg.com/media/FyvbkYZWYAAlhNG.jpg")</f>
        <v>https://pbs.twimg.com/media/FyvbkYZWYAAlhNG.jpg</v>
      </c>
      <c r="AW636" s="82" t="s">
        <v>13733</v>
      </c>
      <c r="AX636" s="82" t="s">
        <v>13733</v>
      </c>
      <c r="AY636" s="77"/>
      <c r="AZ636" s="82" t="s">
        <v>17385</v>
      </c>
      <c r="BA636" s="82" t="s">
        <v>17385</v>
      </c>
      <c r="BB636" s="82" t="s">
        <v>17385</v>
      </c>
      <c r="BC636" s="82" t="s">
        <v>13733</v>
      </c>
      <c r="BD636" s="82" t="s">
        <v>17521</v>
      </c>
      <c r="BE636" s="77"/>
      <c r="BF636" s="77"/>
      <c r="BG636" s="77"/>
      <c r="BH636" s="77"/>
      <c r="BI636" s="77"/>
    </row>
    <row r="637" spans="1:61" x14ac:dyDescent="0.25">
      <c r="A637" s="62" t="s">
        <v>375</v>
      </c>
      <c r="B637" s="62" t="s">
        <v>375</v>
      </c>
      <c r="C637" s="63"/>
      <c r="D637" s="64"/>
      <c r="E637" s="65"/>
      <c r="F637" s="66"/>
      <c r="G637" s="63"/>
      <c r="H637" s="67"/>
      <c r="I637" s="68"/>
      <c r="J637" s="68"/>
      <c r="K637" s="32"/>
      <c r="L637" s="75">
        <v>637</v>
      </c>
      <c r="M637" s="75"/>
      <c r="N637" s="70"/>
      <c r="O637" s="77" t="s">
        <v>179</v>
      </c>
      <c r="P637" s="79">
        <v>45091.73542824074</v>
      </c>
      <c r="Q637" s="77" t="s">
        <v>1430</v>
      </c>
      <c r="R637" s="77">
        <v>0</v>
      </c>
      <c r="S637" s="77">
        <v>0</v>
      </c>
      <c r="T637" s="77">
        <v>0</v>
      </c>
      <c r="U637" s="77">
        <v>0</v>
      </c>
      <c r="V637" s="77">
        <v>55</v>
      </c>
      <c r="W637" s="82" t="s">
        <v>5171</v>
      </c>
      <c r="X637" s="77" t="s">
        <v>7025</v>
      </c>
      <c r="Y637" s="77" t="s">
        <v>7088</v>
      </c>
      <c r="Z637" s="77"/>
      <c r="AA637" s="77" t="s">
        <v>7621</v>
      </c>
      <c r="AB637" s="77" t="s">
        <v>8225</v>
      </c>
      <c r="AC637" s="82" t="s">
        <v>8232</v>
      </c>
      <c r="AD637" s="77" t="s">
        <v>8278</v>
      </c>
      <c r="AE637" s="80" t="str">
        <f>HYPERLINK("https://twitter.com/facilinvestidor/status/1669036736830218242")</f>
        <v>https://twitter.com/facilinvestidor/status/1669036736830218242</v>
      </c>
      <c r="AF637" s="79">
        <v>45091.73542824074</v>
      </c>
      <c r="AG637" s="85">
        <v>45091</v>
      </c>
      <c r="AH637" s="82" t="s">
        <v>8872</v>
      </c>
      <c r="AI637" s="77" t="b">
        <v>0</v>
      </c>
      <c r="AJ637" s="77"/>
      <c r="AK637" s="77"/>
      <c r="AL637" s="77"/>
      <c r="AM637" s="77"/>
      <c r="AN637" s="77"/>
      <c r="AO637" s="77"/>
      <c r="AP637" s="77"/>
      <c r="AQ637" s="77" t="s">
        <v>12506</v>
      </c>
      <c r="AR637" s="77"/>
      <c r="AS637" s="77"/>
      <c r="AT637" s="77"/>
      <c r="AU637" s="77"/>
      <c r="AV637" s="80" t="str">
        <f>HYPERLINK("https://pbs.twimg.com/media/FymcBr6WYBQO6yx.jpg")</f>
        <v>https://pbs.twimg.com/media/FymcBr6WYBQO6yx.jpg</v>
      </c>
      <c r="AW637" s="82" t="s">
        <v>13734</v>
      </c>
      <c r="AX637" s="82" t="s">
        <v>13734</v>
      </c>
      <c r="AY637" s="77"/>
      <c r="AZ637" s="82" t="s">
        <v>17385</v>
      </c>
      <c r="BA637" s="82" t="s">
        <v>17385</v>
      </c>
      <c r="BB637" s="82" t="s">
        <v>17385</v>
      </c>
      <c r="BC637" s="82" t="s">
        <v>13734</v>
      </c>
      <c r="BD637" s="82" t="s">
        <v>17521</v>
      </c>
      <c r="BE637" s="77"/>
      <c r="BF637" s="77"/>
      <c r="BG637" s="77"/>
      <c r="BH637" s="77"/>
      <c r="BI637" s="77"/>
    </row>
    <row r="638" spans="1:61" x14ac:dyDescent="0.25">
      <c r="A638" s="62" t="s">
        <v>375</v>
      </c>
      <c r="B638" s="62" t="s">
        <v>375</v>
      </c>
      <c r="C638" s="63"/>
      <c r="D638" s="64"/>
      <c r="E638" s="65"/>
      <c r="F638" s="66"/>
      <c r="G638" s="63"/>
      <c r="H638" s="67"/>
      <c r="I638" s="68"/>
      <c r="J638" s="68"/>
      <c r="K638" s="32"/>
      <c r="L638" s="75">
        <v>638</v>
      </c>
      <c r="M638" s="75"/>
      <c r="N638" s="70"/>
      <c r="O638" s="77" t="s">
        <v>179</v>
      </c>
      <c r="P638" s="79">
        <v>45187.894502314812</v>
      </c>
      <c r="Q638" s="77" t="s">
        <v>1431</v>
      </c>
      <c r="R638" s="77">
        <v>0</v>
      </c>
      <c r="S638" s="77">
        <v>0</v>
      </c>
      <c r="T638" s="77">
        <v>0</v>
      </c>
      <c r="U638" s="77">
        <v>0</v>
      </c>
      <c r="V638" s="77">
        <v>43</v>
      </c>
      <c r="W638" s="82" t="s">
        <v>5172</v>
      </c>
      <c r="X638" s="80" t="str">
        <f>HYPERLINK("https://youtu.be/0jjmuF__JJA")</f>
        <v>https://youtu.be/0jjmuF__JJA</v>
      </c>
      <c r="Y638" s="77" t="s">
        <v>7064</v>
      </c>
      <c r="Z638" s="77"/>
      <c r="AA638" s="77"/>
      <c r="AB638" s="77"/>
      <c r="AC638" s="82" t="s">
        <v>8232</v>
      </c>
      <c r="AD638" s="77" t="s">
        <v>8278</v>
      </c>
      <c r="AE638" s="80" t="str">
        <f>HYPERLINK("https://twitter.com/facilinvestidor/status/1703883616999076316")</f>
        <v>https://twitter.com/facilinvestidor/status/1703883616999076316</v>
      </c>
      <c r="AF638" s="79">
        <v>45187.894502314812</v>
      </c>
      <c r="AG638" s="85">
        <v>45187</v>
      </c>
      <c r="AH638" s="82" t="s">
        <v>8873</v>
      </c>
      <c r="AI638" s="77" t="b">
        <v>0</v>
      </c>
      <c r="AJ638" s="77"/>
      <c r="AK638" s="77"/>
      <c r="AL638" s="77"/>
      <c r="AM638" s="77"/>
      <c r="AN638" s="77"/>
      <c r="AO638" s="77"/>
      <c r="AP638" s="77"/>
      <c r="AQ638" s="77"/>
      <c r="AR638" s="77"/>
      <c r="AS638" s="77"/>
      <c r="AT638" s="77"/>
      <c r="AU638" s="77"/>
      <c r="AV638" s="80" t="str">
        <f>HYPERLINK("https://pbs.twimg.com/profile_images/1659180229296902144/sFSlf2jT_normal.jpg")</f>
        <v>https://pbs.twimg.com/profile_images/1659180229296902144/sFSlf2jT_normal.jpg</v>
      </c>
      <c r="AW638" s="82" t="s">
        <v>13735</v>
      </c>
      <c r="AX638" s="82" t="s">
        <v>13735</v>
      </c>
      <c r="AY638" s="77"/>
      <c r="AZ638" s="82" t="s">
        <v>17385</v>
      </c>
      <c r="BA638" s="82" t="s">
        <v>17385</v>
      </c>
      <c r="BB638" s="82" t="s">
        <v>17385</v>
      </c>
      <c r="BC638" s="82" t="s">
        <v>13735</v>
      </c>
      <c r="BD638" s="82" t="s">
        <v>17521</v>
      </c>
      <c r="BE638" s="77"/>
      <c r="BF638" s="77"/>
      <c r="BG638" s="77"/>
      <c r="BH638" s="77"/>
      <c r="BI638" s="77"/>
    </row>
    <row r="639" spans="1:61" x14ac:dyDescent="0.25">
      <c r="A639" s="62" t="s">
        <v>375</v>
      </c>
      <c r="B639" s="62" t="s">
        <v>375</v>
      </c>
      <c r="C639" s="63"/>
      <c r="D639" s="64"/>
      <c r="E639" s="65"/>
      <c r="F639" s="66"/>
      <c r="G639" s="63"/>
      <c r="H639" s="67"/>
      <c r="I639" s="68"/>
      <c r="J639" s="68"/>
      <c r="K639" s="32"/>
      <c r="L639" s="75">
        <v>639</v>
      </c>
      <c r="M639" s="75"/>
      <c r="N639" s="70"/>
      <c r="O639" s="77" t="s">
        <v>179</v>
      </c>
      <c r="P639" s="79">
        <v>45140.806493055556</v>
      </c>
      <c r="Q639" s="77" t="s">
        <v>1432</v>
      </c>
      <c r="R639" s="77">
        <v>0</v>
      </c>
      <c r="S639" s="77">
        <v>0</v>
      </c>
      <c r="T639" s="77">
        <v>0</v>
      </c>
      <c r="U639" s="77">
        <v>0</v>
      </c>
      <c r="V639" s="77">
        <v>124</v>
      </c>
      <c r="W639" s="82" t="s">
        <v>5173</v>
      </c>
      <c r="X639" s="80" t="str">
        <f>HYPERLINK("https://youtu.be/JBxTVlqCg_4")</f>
        <v>https://youtu.be/JBxTVlqCg_4</v>
      </c>
      <c r="Y639" s="77" t="s">
        <v>7064</v>
      </c>
      <c r="Z639" s="77"/>
      <c r="AA639" s="77"/>
      <c r="AB639" s="77"/>
      <c r="AC639" s="82" t="s">
        <v>8232</v>
      </c>
      <c r="AD639" s="77" t="s">
        <v>8278</v>
      </c>
      <c r="AE639" s="80" t="str">
        <f>HYPERLINK("https://twitter.com/facilinvestidor/status/1686819493962465284")</f>
        <v>https://twitter.com/facilinvestidor/status/1686819493962465284</v>
      </c>
      <c r="AF639" s="79">
        <v>45140.806493055556</v>
      </c>
      <c r="AG639" s="85">
        <v>45140</v>
      </c>
      <c r="AH639" s="82" t="s">
        <v>8874</v>
      </c>
      <c r="AI639" s="77" t="b">
        <v>0</v>
      </c>
      <c r="AJ639" s="77"/>
      <c r="AK639" s="77"/>
      <c r="AL639" s="77"/>
      <c r="AM639" s="77"/>
      <c r="AN639" s="77"/>
      <c r="AO639" s="77"/>
      <c r="AP639" s="77"/>
      <c r="AQ639" s="77"/>
      <c r="AR639" s="77"/>
      <c r="AS639" s="77"/>
      <c r="AT639" s="77"/>
      <c r="AU639" s="77"/>
      <c r="AV639" s="80" t="str">
        <f>HYPERLINK("https://pbs.twimg.com/profile_images/1659180229296902144/sFSlf2jT_normal.jpg")</f>
        <v>https://pbs.twimg.com/profile_images/1659180229296902144/sFSlf2jT_normal.jpg</v>
      </c>
      <c r="AW639" s="82" t="s">
        <v>13736</v>
      </c>
      <c r="AX639" s="82" t="s">
        <v>13736</v>
      </c>
      <c r="AY639" s="77"/>
      <c r="AZ639" s="82" t="s">
        <v>17385</v>
      </c>
      <c r="BA639" s="82" t="s">
        <v>17385</v>
      </c>
      <c r="BB639" s="82" t="s">
        <v>17385</v>
      </c>
      <c r="BC639" s="82" t="s">
        <v>13736</v>
      </c>
      <c r="BD639" s="82" t="s">
        <v>17521</v>
      </c>
      <c r="BE639" s="77"/>
      <c r="BF639" s="77"/>
      <c r="BG639" s="77"/>
      <c r="BH639" s="77"/>
      <c r="BI639" s="77"/>
    </row>
    <row r="640" spans="1:61" x14ac:dyDescent="0.25">
      <c r="A640" s="62" t="s">
        <v>375</v>
      </c>
      <c r="B640" s="62" t="s">
        <v>375</v>
      </c>
      <c r="C640" s="63"/>
      <c r="D640" s="64"/>
      <c r="E640" s="65"/>
      <c r="F640" s="66"/>
      <c r="G640" s="63"/>
      <c r="H640" s="67"/>
      <c r="I640" s="68"/>
      <c r="J640" s="68"/>
      <c r="K640" s="32"/>
      <c r="L640" s="75">
        <v>640</v>
      </c>
      <c r="M640" s="75"/>
      <c r="N640" s="70"/>
      <c r="O640" s="77" t="s">
        <v>179</v>
      </c>
      <c r="P640" s="79">
        <v>45140.572106481479</v>
      </c>
      <c r="Q640" s="77" t="s">
        <v>1433</v>
      </c>
      <c r="R640" s="77">
        <v>0</v>
      </c>
      <c r="S640" s="77">
        <v>0</v>
      </c>
      <c r="T640" s="77">
        <v>0</v>
      </c>
      <c r="U640" s="77">
        <v>0</v>
      </c>
      <c r="V640" s="77">
        <v>30</v>
      </c>
      <c r="W640" s="82" t="s">
        <v>5174</v>
      </c>
      <c r="X640" s="80" t="str">
        <f>HYPERLINK("https://youtube.com/shorts/3lJBdj5OOyc?feature=share")</f>
        <v>https://youtube.com/shorts/3lJBdj5OOyc?feature=share</v>
      </c>
      <c r="Y640" s="77" t="s">
        <v>7065</v>
      </c>
      <c r="Z640" s="77"/>
      <c r="AA640" s="77"/>
      <c r="AB640" s="77"/>
      <c r="AC640" s="82" t="s">
        <v>8232</v>
      </c>
      <c r="AD640" s="77" t="s">
        <v>8278</v>
      </c>
      <c r="AE640" s="80" t="str">
        <f>HYPERLINK("https://twitter.com/facilinvestidor/status/1686734553807790080")</f>
        <v>https://twitter.com/facilinvestidor/status/1686734553807790080</v>
      </c>
      <c r="AF640" s="79">
        <v>45140.572106481479</v>
      </c>
      <c r="AG640" s="85">
        <v>45140</v>
      </c>
      <c r="AH640" s="82" t="s">
        <v>8875</v>
      </c>
      <c r="AI640" s="77" t="b">
        <v>0</v>
      </c>
      <c r="AJ640" s="77"/>
      <c r="AK640" s="77"/>
      <c r="AL640" s="77"/>
      <c r="AM640" s="77"/>
      <c r="AN640" s="77"/>
      <c r="AO640" s="77"/>
      <c r="AP640" s="77"/>
      <c r="AQ640" s="77"/>
      <c r="AR640" s="77"/>
      <c r="AS640" s="77"/>
      <c r="AT640" s="77"/>
      <c r="AU640" s="77"/>
      <c r="AV640" s="80" t="str">
        <f>HYPERLINK("https://pbs.twimg.com/profile_images/1659180229296902144/sFSlf2jT_normal.jpg")</f>
        <v>https://pbs.twimg.com/profile_images/1659180229296902144/sFSlf2jT_normal.jpg</v>
      </c>
      <c r="AW640" s="82" t="s">
        <v>13737</v>
      </c>
      <c r="AX640" s="82" t="s">
        <v>13737</v>
      </c>
      <c r="AY640" s="77"/>
      <c r="AZ640" s="82" t="s">
        <v>17385</v>
      </c>
      <c r="BA640" s="82" t="s">
        <v>17385</v>
      </c>
      <c r="BB640" s="82" t="s">
        <v>17385</v>
      </c>
      <c r="BC640" s="82" t="s">
        <v>13737</v>
      </c>
      <c r="BD640" s="82" t="s">
        <v>17521</v>
      </c>
      <c r="BE640" s="77"/>
      <c r="BF640" s="77"/>
      <c r="BG640" s="77"/>
      <c r="BH640" s="77"/>
      <c r="BI640" s="77"/>
    </row>
    <row r="641" spans="1:61" x14ac:dyDescent="0.25">
      <c r="A641" s="62" t="s">
        <v>375</v>
      </c>
      <c r="B641" s="62" t="s">
        <v>375</v>
      </c>
      <c r="C641" s="63"/>
      <c r="D641" s="64"/>
      <c r="E641" s="65"/>
      <c r="F641" s="66"/>
      <c r="G641" s="63"/>
      <c r="H641" s="67"/>
      <c r="I641" s="68"/>
      <c r="J641" s="68"/>
      <c r="K641" s="32"/>
      <c r="L641" s="75">
        <v>641</v>
      </c>
      <c r="M641" s="75"/>
      <c r="N641" s="70"/>
      <c r="O641" s="77" t="s">
        <v>179</v>
      </c>
      <c r="P641" s="79">
        <v>45125.104363425926</v>
      </c>
      <c r="Q641" s="77" t="s">
        <v>1434</v>
      </c>
      <c r="R641" s="77">
        <v>0</v>
      </c>
      <c r="S641" s="77">
        <v>0</v>
      </c>
      <c r="T641" s="77">
        <v>0</v>
      </c>
      <c r="U641" s="77">
        <v>0</v>
      </c>
      <c r="V641" s="77">
        <v>36</v>
      </c>
      <c r="W641" s="82" t="s">
        <v>5148</v>
      </c>
      <c r="X641" s="77" t="s">
        <v>7026</v>
      </c>
      <c r="Y641" s="77" t="s">
        <v>7089</v>
      </c>
      <c r="Z641" s="77"/>
      <c r="AA641" s="77" t="s">
        <v>7622</v>
      </c>
      <c r="AB641" s="77" t="s">
        <v>8225</v>
      </c>
      <c r="AC641" s="82" t="s">
        <v>8232</v>
      </c>
      <c r="AD641" s="77" t="s">
        <v>8278</v>
      </c>
      <c r="AE641" s="80" t="str">
        <f>HYPERLINK("https://twitter.com/facilinvestidor/status/1681129231118397443")</f>
        <v>https://twitter.com/facilinvestidor/status/1681129231118397443</v>
      </c>
      <c r="AF641" s="79">
        <v>45125.104363425926</v>
      </c>
      <c r="AG641" s="85">
        <v>45125</v>
      </c>
      <c r="AH641" s="82" t="s">
        <v>8876</v>
      </c>
      <c r="AI641" s="77" t="b">
        <v>0</v>
      </c>
      <c r="AJ641" s="77"/>
      <c r="AK641" s="77"/>
      <c r="AL641" s="77"/>
      <c r="AM641" s="77"/>
      <c r="AN641" s="77"/>
      <c r="AO641" s="77"/>
      <c r="AP641" s="77"/>
      <c r="AQ641" s="77" t="s">
        <v>12507</v>
      </c>
      <c r="AR641" s="77"/>
      <c r="AS641" s="77"/>
      <c r="AT641" s="77"/>
      <c r="AU641" s="77"/>
      <c r="AV641" s="80" t="str">
        <f>HYPERLINK("https://pbs.twimg.com/media/F1SSG_HX0AA6cNE.jpg")</f>
        <v>https://pbs.twimg.com/media/F1SSG_HX0AA6cNE.jpg</v>
      </c>
      <c r="AW641" s="82" t="s">
        <v>13738</v>
      </c>
      <c r="AX641" s="82" t="s">
        <v>13738</v>
      </c>
      <c r="AY641" s="77"/>
      <c r="AZ641" s="82" t="s">
        <v>17385</v>
      </c>
      <c r="BA641" s="82" t="s">
        <v>17385</v>
      </c>
      <c r="BB641" s="82" t="s">
        <v>17385</v>
      </c>
      <c r="BC641" s="82" t="s">
        <v>13738</v>
      </c>
      <c r="BD641" s="82" t="s">
        <v>17521</v>
      </c>
      <c r="BE641" s="77"/>
      <c r="BF641" s="77"/>
      <c r="BG641" s="77"/>
      <c r="BH641" s="77"/>
      <c r="BI641" s="77"/>
    </row>
    <row r="642" spans="1:61" x14ac:dyDescent="0.25">
      <c r="A642" s="62" t="s">
        <v>375</v>
      </c>
      <c r="B642" s="62" t="s">
        <v>375</v>
      </c>
      <c r="C642" s="63"/>
      <c r="D642" s="64"/>
      <c r="E642" s="65"/>
      <c r="F642" s="66"/>
      <c r="G642" s="63"/>
      <c r="H642" s="67"/>
      <c r="I642" s="68"/>
      <c r="J642" s="68"/>
      <c r="K642" s="32"/>
      <c r="L642" s="75">
        <v>642</v>
      </c>
      <c r="M642" s="75"/>
      <c r="N642" s="70"/>
      <c r="O642" s="77" t="s">
        <v>179</v>
      </c>
      <c r="P642" s="79">
        <v>45124.134166666663</v>
      </c>
      <c r="Q642" s="77" t="s">
        <v>1435</v>
      </c>
      <c r="R642" s="77">
        <v>0</v>
      </c>
      <c r="S642" s="77">
        <v>0</v>
      </c>
      <c r="T642" s="77">
        <v>0</v>
      </c>
      <c r="U642" s="77">
        <v>0</v>
      </c>
      <c r="V642" s="77">
        <v>49</v>
      </c>
      <c r="W642" s="82" t="s">
        <v>5146</v>
      </c>
      <c r="X642" s="77" t="s">
        <v>7027</v>
      </c>
      <c r="Y642" s="77" t="s">
        <v>7089</v>
      </c>
      <c r="Z642" s="77"/>
      <c r="AA642" s="77" t="s">
        <v>7623</v>
      </c>
      <c r="AB642" s="77" t="s">
        <v>8225</v>
      </c>
      <c r="AC642" s="82" t="s">
        <v>8232</v>
      </c>
      <c r="AD642" s="77" t="s">
        <v>8278</v>
      </c>
      <c r="AE642" s="80" t="str">
        <f>HYPERLINK("https://twitter.com/facilinvestidor/status/1680777646202863622")</f>
        <v>https://twitter.com/facilinvestidor/status/1680777646202863622</v>
      </c>
      <c r="AF642" s="79">
        <v>45124.134166666663</v>
      </c>
      <c r="AG642" s="85">
        <v>45124</v>
      </c>
      <c r="AH642" s="82" t="s">
        <v>8877</v>
      </c>
      <c r="AI642" s="77" t="b">
        <v>0</v>
      </c>
      <c r="AJ642" s="77"/>
      <c r="AK642" s="77"/>
      <c r="AL642" s="77"/>
      <c r="AM642" s="77"/>
      <c r="AN642" s="77"/>
      <c r="AO642" s="77"/>
      <c r="AP642" s="77"/>
      <c r="AQ642" s="77" t="s">
        <v>12508</v>
      </c>
      <c r="AR642" s="77"/>
      <c r="AS642" s="77"/>
      <c r="AT642" s="77"/>
      <c r="AU642" s="77"/>
      <c r="AV642" s="80" t="str">
        <f>HYPERLINK("https://pbs.twimg.com/media/F1NSWIBXwAMpypt.jpg")</f>
        <v>https://pbs.twimg.com/media/F1NSWIBXwAMpypt.jpg</v>
      </c>
      <c r="AW642" s="82" t="s">
        <v>13739</v>
      </c>
      <c r="AX642" s="82" t="s">
        <v>13739</v>
      </c>
      <c r="AY642" s="77"/>
      <c r="AZ642" s="82" t="s">
        <v>17385</v>
      </c>
      <c r="BA642" s="82" t="s">
        <v>17385</v>
      </c>
      <c r="BB642" s="82" t="s">
        <v>17385</v>
      </c>
      <c r="BC642" s="82" t="s">
        <v>13739</v>
      </c>
      <c r="BD642" s="82" t="s">
        <v>17521</v>
      </c>
      <c r="BE642" s="77"/>
      <c r="BF642" s="77"/>
      <c r="BG642" s="77"/>
      <c r="BH642" s="77"/>
      <c r="BI642" s="77"/>
    </row>
    <row r="643" spans="1:61" x14ac:dyDescent="0.25">
      <c r="A643" s="62" t="s">
        <v>375</v>
      </c>
      <c r="B643" s="62" t="s">
        <v>375</v>
      </c>
      <c r="C643" s="63"/>
      <c r="D643" s="64"/>
      <c r="E643" s="65"/>
      <c r="F643" s="66"/>
      <c r="G643" s="63"/>
      <c r="H643" s="67"/>
      <c r="I643" s="68"/>
      <c r="J643" s="68"/>
      <c r="K643" s="32"/>
      <c r="L643" s="75">
        <v>643</v>
      </c>
      <c r="M643" s="75"/>
      <c r="N643" s="70"/>
      <c r="O643" s="77" t="s">
        <v>179</v>
      </c>
      <c r="P643" s="79">
        <v>45122.146539351852</v>
      </c>
      <c r="Q643" s="77" t="s">
        <v>1436</v>
      </c>
      <c r="R643" s="77">
        <v>0</v>
      </c>
      <c r="S643" s="77">
        <v>0</v>
      </c>
      <c r="T643" s="77">
        <v>0</v>
      </c>
      <c r="U643" s="77">
        <v>0</v>
      </c>
      <c r="V643" s="77">
        <v>19</v>
      </c>
      <c r="W643" s="82" t="s">
        <v>5164</v>
      </c>
      <c r="X643" s="77" t="s">
        <v>7028</v>
      </c>
      <c r="Y643" s="77" t="s">
        <v>7089</v>
      </c>
      <c r="Z643" s="77"/>
      <c r="AA643" s="77" t="s">
        <v>7624</v>
      </c>
      <c r="AB643" s="77" t="s">
        <v>8225</v>
      </c>
      <c r="AC643" s="82" t="s">
        <v>8234</v>
      </c>
      <c r="AD643" s="77" t="s">
        <v>8278</v>
      </c>
      <c r="AE643" s="80" t="str">
        <f>HYPERLINK("https://twitter.com/facilinvestidor/status/1680057353402458112")</f>
        <v>https://twitter.com/facilinvestidor/status/1680057353402458112</v>
      </c>
      <c r="AF643" s="79">
        <v>45122.146539351852</v>
      </c>
      <c r="AG643" s="85">
        <v>45122</v>
      </c>
      <c r="AH643" s="82" t="s">
        <v>8878</v>
      </c>
      <c r="AI643" s="77" t="b">
        <v>0</v>
      </c>
      <c r="AJ643" s="77"/>
      <c r="AK643" s="77"/>
      <c r="AL643" s="77"/>
      <c r="AM643" s="77"/>
      <c r="AN643" s="77"/>
      <c r="AO643" s="77"/>
      <c r="AP643" s="77"/>
      <c r="AQ643" s="77" t="s">
        <v>12509</v>
      </c>
      <c r="AR643" s="77"/>
      <c r="AS643" s="77"/>
      <c r="AT643" s="77"/>
      <c r="AU643" s="77"/>
      <c r="AV643" s="80" t="str">
        <f>HYPERLINK("https://pbs.twimg.com/media/F1DDQlIXwAAhclb.jpg")</f>
        <v>https://pbs.twimg.com/media/F1DDQlIXwAAhclb.jpg</v>
      </c>
      <c r="AW643" s="82" t="s">
        <v>13740</v>
      </c>
      <c r="AX643" s="82" t="s">
        <v>13740</v>
      </c>
      <c r="AY643" s="77"/>
      <c r="AZ643" s="82" t="s">
        <v>17385</v>
      </c>
      <c r="BA643" s="82" t="s">
        <v>17385</v>
      </c>
      <c r="BB643" s="82" t="s">
        <v>17385</v>
      </c>
      <c r="BC643" s="82" t="s">
        <v>13740</v>
      </c>
      <c r="BD643" s="82" t="s">
        <v>17521</v>
      </c>
      <c r="BE643" s="77"/>
      <c r="BF643" s="77"/>
      <c r="BG643" s="77"/>
      <c r="BH643" s="77"/>
      <c r="BI643" s="77"/>
    </row>
    <row r="644" spans="1:61" x14ac:dyDescent="0.25">
      <c r="A644" s="62" t="s">
        <v>375</v>
      </c>
      <c r="B644" s="62" t="s">
        <v>375</v>
      </c>
      <c r="C644" s="63"/>
      <c r="D644" s="64"/>
      <c r="E644" s="65"/>
      <c r="F644" s="66"/>
      <c r="G644" s="63"/>
      <c r="H644" s="67"/>
      <c r="I644" s="68"/>
      <c r="J644" s="68"/>
      <c r="K644" s="32"/>
      <c r="L644" s="75">
        <v>644</v>
      </c>
      <c r="M644" s="75"/>
      <c r="N644" s="70"/>
      <c r="O644" s="77" t="s">
        <v>179</v>
      </c>
      <c r="P644" s="79">
        <v>45079.145254629628</v>
      </c>
      <c r="Q644" s="77" t="s">
        <v>1437</v>
      </c>
      <c r="R644" s="77">
        <v>0</v>
      </c>
      <c r="S644" s="77">
        <v>0</v>
      </c>
      <c r="T644" s="77">
        <v>0</v>
      </c>
      <c r="U644" s="77">
        <v>0</v>
      </c>
      <c r="V644" s="77">
        <v>78</v>
      </c>
      <c r="W644" s="82" t="s">
        <v>5175</v>
      </c>
      <c r="X644" s="77" t="s">
        <v>7029</v>
      </c>
      <c r="Y644" s="77" t="s">
        <v>7088</v>
      </c>
      <c r="Z644" s="77"/>
      <c r="AA644" s="77" t="s">
        <v>7625</v>
      </c>
      <c r="AB644" s="77" t="s">
        <v>8225</v>
      </c>
      <c r="AC644" s="82" t="s">
        <v>8232</v>
      </c>
      <c r="AD644" s="77" t="s">
        <v>8278</v>
      </c>
      <c r="AE644" s="80" t="str">
        <f>HYPERLINK("https://twitter.com/facilinvestidor/status/1664474209446248448")</f>
        <v>https://twitter.com/facilinvestidor/status/1664474209446248448</v>
      </c>
      <c r="AF644" s="79">
        <v>45079.145254629628</v>
      </c>
      <c r="AG644" s="85">
        <v>45079</v>
      </c>
      <c r="AH644" s="82" t="s">
        <v>8879</v>
      </c>
      <c r="AI644" s="77" t="b">
        <v>0</v>
      </c>
      <c r="AJ644" s="77"/>
      <c r="AK644" s="77"/>
      <c r="AL644" s="77"/>
      <c r="AM644" s="77"/>
      <c r="AN644" s="77"/>
      <c r="AO644" s="77"/>
      <c r="AP644" s="77"/>
      <c r="AQ644" s="77" t="s">
        <v>12510</v>
      </c>
      <c r="AR644" s="77"/>
      <c r="AS644" s="77"/>
      <c r="AT644" s="77"/>
      <c r="AU644" s="77"/>
      <c r="AV644" s="80" t="str">
        <f>HYPERLINK("https://pbs.twimg.com/media/FxlmZw7XgAAbbow.jpg")</f>
        <v>https://pbs.twimg.com/media/FxlmZw7XgAAbbow.jpg</v>
      </c>
      <c r="AW644" s="82" t="s">
        <v>13741</v>
      </c>
      <c r="AX644" s="82" t="s">
        <v>13741</v>
      </c>
      <c r="AY644" s="77"/>
      <c r="AZ644" s="82" t="s">
        <v>17385</v>
      </c>
      <c r="BA644" s="82" t="s">
        <v>17385</v>
      </c>
      <c r="BB644" s="82" t="s">
        <v>17385</v>
      </c>
      <c r="BC644" s="82" t="s">
        <v>13741</v>
      </c>
      <c r="BD644" s="82" t="s">
        <v>17521</v>
      </c>
      <c r="BE644" s="77"/>
      <c r="BF644" s="77"/>
      <c r="BG644" s="77"/>
      <c r="BH644" s="77"/>
      <c r="BI644" s="77"/>
    </row>
    <row r="645" spans="1:61" x14ac:dyDescent="0.25">
      <c r="A645" s="62" t="s">
        <v>375</v>
      </c>
      <c r="B645" s="62" t="s">
        <v>375</v>
      </c>
      <c r="C645" s="63"/>
      <c r="D645" s="64"/>
      <c r="E645" s="65"/>
      <c r="F645" s="66"/>
      <c r="G645" s="63"/>
      <c r="H645" s="67"/>
      <c r="I645" s="68"/>
      <c r="J645" s="68"/>
      <c r="K645" s="32"/>
      <c r="L645" s="75">
        <v>645</v>
      </c>
      <c r="M645" s="75"/>
      <c r="N645" s="70"/>
      <c r="O645" s="77" t="s">
        <v>179</v>
      </c>
      <c r="P645" s="79">
        <v>45192.996701388889</v>
      </c>
      <c r="Q645" s="77" t="s">
        <v>1438</v>
      </c>
      <c r="R645" s="77">
        <v>0</v>
      </c>
      <c r="S645" s="77">
        <v>0</v>
      </c>
      <c r="T645" s="77">
        <v>0</v>
      </c>
      <c r="U645" s="77">
        <v>0</v>
      </c>
      <c r="V645" s="77">
        <v>85</v>
      </c>
      <c r="W645" s="82" t="s">
        <v>5143</v>
      </c>
      <c r="X645" s="80" t="str">
        <f>HYPERLINK("https://youtu.be/JcwNOXUv5hs")</f>
        <v>https://youtu.be/JcwNOXUv5hs</v>
      </c>
      <c r="Y645" s="77" t="s">
        <v>7064</v>
      </c>
      <c r="Z645" s="77"/>
      <c r="AA645" s="77"/>
      <c r="AB645" s="77"/>
      <c r="AC645" s="82" t="s">
        <v>8232</v>
      </c>
      <c r="AD645" s="77" t="s">
        <v>8278</v>
      </c>
      <c r="AE645" s="80" t="str">
        <f>HYPERLINK("https://twitter.com/facilinvestidor/status/1705732591934902474")</f>
        <v>https://twitter.com/facilinvestidor/status/1705732591934902474</v>
      </c>
      <c r="AF645" s="79">
        <v>45192.996701388889</v>
      </c>
      <c r="AG645" s="85">
        <v>45192</v>
      </c>
      <c r="AH645" s="82" t="s">
        <v>8880</v>
      </c>
      <c r="AI645" s="77" t="b">
        <v>0</v>
      </c>
      <c r="AJ645" s="77"/>
      <c r="AK645" s="77"/>
      <c r="AL645" s="77"/>
      <c r="AM645" s="77"/>
      <c r="AN645" s="77"/>
      <c r="AO645" s="77"/>
      <c r="AP645" s="77"/>
      <c r="AQ645" s="77"/>
      <c r="AR645" s="77"/>
      <c r="AS645" s="77"/>
      <c r="AT645" s="77"/>
      <c r="AU645" s="77"/>
      <c r="AV645" s="80" t="str">
        <f>HYPERLINK("https://pbs.twimg.com/profile_images/1659180229296902144/sFSlf2jT_normal.jpg")</f>
        <v>https://pbs.twimg.com/profile_images/1659180229296902144/sFSlf2jT_normal.jpg</v>
      </c>
      <c r="AW645" s="82" t="s">
        <v>13742</v>
      </c>
      <c r="AX645" s="82" t="s">
        <v>13742</v>
      </c>
      <c r="AY645" s="77"/>
      <c r="AZ645" s="82" t="s">
        <v>17385</v>
      </c>
      <c r="BA645" s="82" t="s">
        <v>17385</v>
      </c>
      <c r="BB645" s="82" t="s">
        <v>17385</v>
      </c>
      <c r="BC645" s="82" t="s">
        <v>13742</v>
      </c>
      <c r="BD645" s="82" t="s">
        <v>17521</v>
      </c>
      <c r="BE645" s="77"/>
      <c r="BF645" s="77"/>
      <c r="BG645" s="77"/>
      <c r="BH645" s="77"/>
      <c r="BI645" s="77"/>
    </row>
    <row r="646" spans="1:61" x14ac:dyDescent="0.25">
      <c r="A646" s="62" t="s">
        <v>375</v>
      </c>
      <c r="B646" s="62" t="s">
        <v>375</v>
      </c>
      <c r="C646" s="63"/>
      <c r="D646" s="64"/>
      <c r="E646" s="65"/>
      <c r="F646" s="66"/>
      <c r="G646" s="63"/>
      <c r="H646" s="67"/>
      <c r="I646" s="68"/>
      <c r="J646" s="68"/>
      <c r="K646" s="32"/>
      <c r="L646" s="75">
        <v>646</v>
      </c>
      <c r="M646" s="75"/>
      <c r="N646" s="70"/>
      <c r="O646" s="77" t="s">
        <v>179</v>
      </c>
      <c r="P646" s="79">
        <v>45186.699537037035</v>
      </c>
      <c r="Q646" s="77" t="s">
        <v>1439</v>
      </c>
      <c r="R646" s="77">
        <v>0</v>
      </c>
      <c r="S646" s="77">
        <v>0</v>
      </c>
      <c r="T646" s="77">
        <v>0</v>
      </c>
      <c r="U646" s="77">
        <v>0</v>
      </c>
      <c r="V646" s="77">
        <v>97</v>
      </c>
      <c r="W646" s="82" t="s">
        <v>5176</v>
      </c>
      <c r="X646" s="80" t="str">
        <f>HYPERLINK("https://youtu.be/kAOPmapCT4Y")</f>
        <v>https://youtu.be/kAOPmapCT4Y</v>
      </c>
      <c r="Y646" s="77" t="s">
        <v>7064</v>
      </c>
      <c r="Z646" s="77"/>
      <c r="AA646" s="77"/>
      <c r="AB646" s="77"/>
      <c r="AC646" s="82" t="s">
        <v>8232</v>
      </c>
      <c r="AD646" s="77" t="s">
        <v>8278</v>
      </c>
      <c r="AE646" s="80" t="str">
        <f>HYPERLINK("https://twitter.com/facilinvestidor/status/1703450576908935558")</f>
        <v>https://twitter.com/facilinvestidor/status/1703450576908935558</v>
      </c>
      <c r="AF646" s="79">
        <v>45186.699537037035</v>
      </c>
      <c r="AG646" s="85">
        <v>45186</v>
      </c>
      <c r="AH646" s="82" t="s">
        <v>8881</v>
      </c>
      <c r="AI646" s="77" t="b">
        <v>0</v>
      </c>
      <c r="AJ646" s="77"/>
      <c r="AK646" s="77"/>
      <c r="AL646" s="77"/>
      <c r="AM646" s="77"/>
      <c r="AN646" s="77"/>
      <c r="AO646" s="77"/>
      <c r="AP646" s="77"/>
      <c r="AQ646" s="77"/>
      <c r="AR646" s="77"/>
      <c r="AS646" s="77"/>
      <c r="AT646" s="77"/>
      <c r="AU646" s="77"/>
      <c r="AV646" s="80" t="str">
        <f>HYPERLINK("https://pbs.twimg.com/profile_images/1659180229296902144/sFSlf2jT_normal.jpg")</f>
        <v>https://pbs.twimg.com/profile_images/1659180229296902144/sFSlf2jT_normal.jpg</v>
      </c>
      <c r="AW646" s="82" t="s">
        <v>13743</v>
      </c>
      <c r="AX646" s="82" t="s">
        <v>13743</v>
      </c>
      <c r="AY646" s="77"/>
      <c r="AZ646" s="82" t="s">
        <v>17385</v>
      </c>
      <c r="BA646" s="82" t="s">
        <v>17385</v>
      </c>
      <c r="BB646" s="82" t="s">
        <v>17385</v>
      </c>
      <c r="BC646" s="82" t="s">
        <v>13743</v>
      </c>
      <c r="BD646" s="82" t="s">
        <v>17521</v>
      </c>
      <c r="BE646" s="77"/>
      <c r="BF646" s="77"/>
      <c r="BG646" s="77"/>
      <c r="BH646" s="77"/>
      <c r="BI646" s="77"/>
    </row>
    <row r="647" spans="1:61" x14ac:dyDescent="0.25">
      <c r="A647" s="62" t="s">
        <v>375</v>
      </c>
      <c r="B647" s="62" t="s">
        <v>375</v>
      </c>
      <c r="C647" s="63"/>
      <c r="D647" s="64"/>
      <c r="E647" s="65"/>
      <c r="F647" s="66"/>
      <c r="G647" s="63"/>
      <c r="H647" s="67"/>
      <c r="I647" s="68"/>
      <c r="J647" s="68"/>
      <c r="K647" s="32"/>
      <c r="L647" s="75">
        <v>647</v>
      </c>
      <c r="M647" s="75"/>
      <c r="N647" s="70"/>
      <c r="O647" s="77" t="s">
        <v>179</v>
      </c>
      <c r="P647" s="79">
        <v>45144.194004629629</v>
      </c>
      <c r="Q647" s="77" t="s">
        <v>1440</v>
      </c>
      <c r="R647" s="77">
        <v>0</v>
      </c>
      <c r="S647" s="77">
        <v>0</v>
      </c>
      <c r="T647" s="77">
        <v>0</v>
      </c>
      <c r="U647" s="77">
        <v>0</v>
      </c>
      <c r="V647" s="77">
        <v>38</v>
      </c>
      <c r="W647" s="82" t="s">
        <v>5177</v>
      </c>
      <c r="X647" s="80" t="str">
        <f>HYPERLINK("https://youtu.be/H4YCmEfy1sk")</f>
        <v>https://youtu.be/H4YCmEfy1sk</v>
      </c>
      <c r="Y647" s="77" t="s">
        <v>7064</v>
      </c>
      <c r="Z647" s="77"/>
      <c r="AA647" s="77"/>
      <c r="AB647" s="77"/>
      <c r="AC647" s="82" t="s">
        <v>8234</v>
      </c>
      <c r="AD647" s="77" t="s">
        <v>8278</v>
      </c>
      <c r="AE647" s="80" t="str">
        <f>HYPERLINK("https://twitter.com/facilinvestidor/status/1688047085289902080")</f>
        <v>https://twitter.com/facilinvestidor/status/1688047085289902080</v>
      </c>
      <c r="AF647" s="79">
        <v>45144.194004629629</v>
      </c>
      <c r="AG647" s="85">
        <v>45144</v>
      </c>
      <c r="AH647" s="82" t="s">
        <v>8882</v>
      </c>
      <c r="AI647" s="77" t="b">
        <v>0</v>
      </c>
      <c r="AJ647" s="77"/>
      <c r="AK647" s="77"/>
      <c r="AL647" s="77"/>
      <c r="AM647" s="77"/>
      <c r="AN647" s="77"/>
      <c r="AO647" s="77"/>
      <c r="AP647" s="77"/>
      <c r="AQ647" s="77"/>
      <c r="AR647" s="77"/>
      <c r="AS647" s="77"/>
      <c r="AT647" s="77"/>
      <c r="AU647" s="77"/>
      <c r="AV647" s="80" t="str">
        <f>HYPERLINK("https://pbs.twimg.com/profile_images/1659180229296902144/sFSlf2jT_normal.jpg")</f>
        <v>https://pbs.twimg.com/profile_images/1659180229296902144/sFSlf2jT_normal.jpg</v>
      </c>
      <c r="AW647" s="82" t="s">
        <v>13744</v>
      </c>
      <c r="AX647" s="82" t="s">
        <v>13744</v>
      </c>
      <c r="AY647" s="77"/>
      <c r="AZ647" s="82" t="s">
        <v>17385</v>
      </c>
      <c r="BA647" s="82" t="s">
        <v>17385</v>
      </c>
      <c r="BB647" s="82" t="s">
        <v>17385</v>
      </c>
      <c r="BC647" s="82" t="s">
        <v>13744</v>
      </c>
      <c r="BD647" s="82" t="s">
        <v>17521</v>
      </c>
      <c r="BE647" s="77"/>
      <c r="BF647" s="77"/>
      <c r="BG647" s="77"/>
      <c r="BH647" s="77"/>
      <c r="BI647" s="77"/>
    </row>
    <row r="648" spans="1:61" x14ac:dyDescent="0.25">
      <c r="A648" s="62" t="s">
        <v>375</v>
      </c>
      <c r="B648" s="62" t="s">
        <v>375</v>
      </c>
      <c r="C648" s="63"/>
      <c r="D648" s="64"/>
      <c r="E648" s="65"/>
      <c r="F648" s="66"/>
      <c r="G648" s="63"/>
      <c r="H648" s="67"/>
      <c r="I648" s="68"/>
      <c r="J648" s="68"/>
      <c r="K648" s="32"/>
      <c r="L648" s="75">
        <v>648</v>
      </c>
      <c r="M648" s="75"/>
      <c r="N648" s="70"/>
      <c r="O648" s="77" t="s">
        <v>179</v>
      </c>
      <c r="P648" s="79">
        <v>45134.169687499998</v>
      </c>
      <c r="Q648" s="77" t="s">
        <v>1441</v>
      </c>
      <c r="R648" s="77">
        <v>0</v>
      </c>
      <c r="S648" s="77">
        <v>0</v>
      </c>
      <c r="T648" s="77">
        <v>0</v>
      </c>
      <c r="U648" s="77">
        <v>0</v>
      </c>
      <c r="V648" s="77">
        <v>19</v>
      </c>
      <c r="W648" s="82" t="s">
        <v>5178</v>
      </c>
      <c r="X648" s="80" t="str">
        <f>HYPERLINK("https://youtu.be/Aa1e12rQGeI")</f>
        <v>https://youtu.be/Aa1e12rQGeI</v>
      </c>
      <c r="Y648" s="77" t="s">
        <v>7064</v>
      </c>
      <c r="Z648" s="77"/>
      <c r="AA648" s="77"/>
      <c r="AB648" s="77"/>
      <c r="AC648" s="82" t="s">
        <v>8232</v>
      </c>
      <c r="AD648" s="77" t="s">
        <v>8278</v>
      </c>
      <c r="AE648" s="80" t="str">
        <f>HYPERLINK("https://twitter.com/facilinvestidor/status/1684414397102403586")</f>
        <v>https://twitter.com/facilinvestidor/status/1684414397102403586</v>
      </c>
      <c r="AF648" s="79">
        <v>45134.169687499998</v>
      </c>
      <c r="AG648" s="85">
        <v>45134</v>
      </c>
      <c r="AH648" s="82" t="s">
        <v>8883</v>
      </c>
      <c r="AI648" s="77" t="b">
        <v>0</v>
      </c>
      <c r="AJ648" s="77"/>
      <c r="AK648" s="77"/>
      <c r="AL648" s="77"/>
      <c r="AM648" s="77"/>
      <c r="AN648" s="77"/>
      <c r="AO648" s="77"/>
      <c r="AP648" s="77"/>
      <c r="AQ648" s="77"/>
      <c r="AR648" s="77"/>
      <c r="AS648" s="77"/>
      <c r="AT648" s="77"/>
      <c r="AU648" s="77"/>
      <c r="AV648" s="80" t="str">
        <f>HYPERLINK("https://pbs.twimg.com/profile_images/1659180229296902144/sFSlf2jT_normal.jpg")</f>
        <v>https://pbs.twimg.com/profile_images/1659180229296902144/sFSlf2jT_normal.jpg</v>
      </c>
      <c r="AW648" s="82" t="s">
        <v>13745</v>
      </c>
      <c r="AX648" s="82" t="s">
        <v>13745</v>
      </c>
      <c r="AY648" s="77"/>
      <c r="AZ648" s="82" t="s">
        <v>17385</v>
      </c>
      <c r="BA648" s="82" t="s">
        <v>17385</v>
      </c>
      <c r="BB648" s="82" t="s">
        <v>17385</v>
      </c>
      <c r="BC648" s="82" t="s">
        <v>13745</v>
      </c>
      <c r="BD648" s="82" t="s">
        <v>17521</v>
      </c>
      <c r="BE648" s="77"/>
      <c r="BF648" s="77"/>
      <c r="BG648" s="77"/>
      <c r="BH648" s="77"/>
      <c r="BI648" s="77"/>
    </row>
    <row r="649" spans="1:61" x14ac:dyDescent="0.25">
      <c r="A649" s="62" t="s">
        <v>375</v>
      </c>
      <c r="B649" s="62" t="s">
        <v>375</v>
      </c>
      <c r="C649" s="63"/>
      <c r="D649" s="64"/>
      <c r="E649" s="65"/>
      <c r="F649" s="66"/>
      <c r="G649" s="63"/>
      <c r="H649" s="67"/>
      <c r="I649" s="68"/>
      <c r="J649" s="68"/>
      <c r="K649" s="32"/>
      <c r="L649" s="75">
        <v>649</v>
      </c>
      <c r="M649" s="75"/>
      <c r="N649" s="70"/>
      <c r="O649" s="77" t="s">
        <v>179</v>
      </c>
      <c r="P649" s="79">
        <v>45083.961180555554</v>
      </c>
      <c r="Q649" s="77" t="s">
        <v>1442</v>
      </c>
      <c r="R649" s="77">
        <v>0</v>
      </c>
      <c r="S649" s="77">
        <v>0</v>
      </c>
      <c r="T649" s="77">
        <v>0</v>
      </c>
      <c r="U649" s="77">
        <v>0</v>
      </c>
      <c r="V649" s="77">
        <v>36</v>
      </c>
      <c r="W649" s="82" t="s">
        <v>5179</v>
      </c>
      <c r="X649" s="77" t="s">
        <v>7030</v>
      </c>
      <c r="Y649" s="77" t="s">
        <v>7088</v>
      </c>
      <c r="Z649" s="77"/>
      <c r="AA649" s="77" t="s">
        <v>7626</v>
      </c>
      <c r="AB649" s="77" t="s">
        <v>8225</v>
      </c>
      <c r="AC649" s="82" t="s">
        <v>8232</v>
      </c>
      <c r="AD649" s="77" t="s">
        <v>8278</v>
      </c>
      <c r="AE649" s="80" t="str">
        <f>HYPERLINK("https://twitter.com/facilinvestidor/status/1666219442559234049")</f>
        <v>https://twitter.com/facilinvestidor/status/1666219442559234049</v>
      </c>
      <c r="AF649" s="79">
        <v>45083.961180555554</v>
      </c>
      <c r="AG649" s="85">
        <v>45083</v>
      </c>
      <c r="AH649" s="82" t="s">
        <v>8884</v>
      </c>
      <c r="AI649" s="77" t="b">
        <v>0</v>
      </c>
      <c r="AJ649" s="77"/>
      <c r="AK649" s="77"/>
      <c r="AL649" s="77"/>
      <c r="AM649" s="77"/>
      <c r="AN649" s="77"/>
      <c r="AO649" s="77"/>
      <c r="AP649" s="77"/>
      <c r="AQ649" s="77" t="s">
        <v>12511</v>
      </c>
      <c r="AR649" s="77"/>
      <c r="AS649" s="77"/>
      <c r="AT649" s="77"/>
      <c r="AU649" s="77"/>
      <c r="AV649" s="80" t="str">
        <f>HYPERLINK("https://pbs.twimg.com/media/Fx-Zuc-XgAA-dUV.jpg")</f>
        <v>https://pbs.twimg.com/media/Fx-Zuc-XgAA-dUV.jpg</v>
      </c>
      <c r="AW649" s="82" t="s">
        <v>13746</v>
      </c>
      <c r="AX649" s="82" t="s">
        <v>13746</v>
      </c>
      <c r="AY649" s="77"/>
      <c r="AZ649" s="82" t="s">
        <v>17385</v>
      </c>
      <c r="BA649" s="82" t="s">
        <v>17385</v>
      </c>
      <c r="BB649" s="82" t="s">
        <v>17385</v>
      </c>
      <c r="BC649" s="82" t="s">
        <v>13746</v>
      </c>
      <c r="BD649" s="82" t="s">
        <v>17521</v>
      </c>
      <c r="BE649" s="77"/>
      <c r="BF649" s="77"/>
      <c r="BG649" s="77"/>
      <c r="BH649" s="77"/>
      <c r="BI649" s="77"/>
    </row>
    <row r="650" spans="1:61" x14ac:dyDescent="0.25">
      <c r="A650" s="62" t="s">
        <v>375</v>
      </c>
      <c r="B650" s="62" t="s">
        <v>375</v>
      </c>
      <c r="C650" s="63"/>
      <c r="D650" s="64"/>
      <c r="E650" s="65"/>
      <c r="F650" s="66"/>
      <c r="G650" s="63"/>
      <c r="H650" s="67"/>
      <c r="I650" s="68"/>
      <c r="J650" s="68"/>
      <c r="K650" s="32"/>
      <c r="L650" s="75">
        <v>650</v>
      </c>
      <c r="M650" s="75"/>
      <c r="N650" s="70"/>
      <c r="O650" s="77" t="s">
        <v>179</v>
      </c>
      <c r="P650" s="79">
        <v>45083.080196759256</v>
      </c>
      <c r="Q650" s="77" t="s">
        <v>1443</v>
      </c>
      <c r="R650" s="77">
        <v>0</v>
      </c>
      <c r="S650" s="77">
        <v>0</v>
      </c>
      <c r="T650" s="77">
        <v>0</v>
      </c>
      <c r="U650" s="77">
        <v>0</v>
      </c>
      <c r="V650" s="77">
        <v>25</v>
      </c>
      <c r="W650" s="82" t="s">
        <v>5180</v>
      </c>
      <c r="X650" s="77" t="s">
        <v>7031</v>
      </c>
      <c r="Y650" s="77" t="s">
        <v>7088</v>
      </c>
      <c r="Z650" s="77"/>
      <c r="AA650" s="77" t="s">
        <v>7627</v>
      </c>
      <c r="AB650" s="77" t="s">
        <v>8225</v>
      </c>
      <c r="AC650" s="82" t="s">
        <v>8232</v>
      </c>
      <c r="AD650" s="77" t="s">
        <v>8278</v>
      </c>
      <c r="AE650" s="80" t="str">
        <f>HYPERLINK("https://twitter.com/facilinvestidor/status/1665900182267916289")</f>
        <v>https://twitter.com/facilinvestidor/status/1665900182267916289</v>
      </c>
      <c r="AF650" s="79">
        <v>45083.080196759256</v>
      </c>
      <c r="AG650" s="85">
        <v>45083</v>
      </c>
      <c r="AH650" s="82" t="s">
        <v>8885</v>
      </c>
      <c r="AI650" s="77" t="b">
        <v>0</v>
      </c>
      <c r="AJ650" s="77"/>
      <c r="AK650" s="77"/>
      <c r="AL650" s="77"/>
      <c r="AM650" s="77"/>
      <c r="AN650" s="77"/>
      <c r="AO650" s="77"/>
      <c r="AP650" s="77"/>
      <c r="AQ650" s="77" t="s">
        <v>12512</v>
      </c>
      <c r="AR650" s="77"/>
      <c r="AS650" s="77"/>
      <c r="AT650" s="77"/>
      <c r="AU650" s="77"/>
      <c r="AV650" s="80" t="str">
        <f>HYPERLINK("https://pbs.twimg.com/media/Fx53OXCXgAIk7al.jpg")</f>
        <v>https://pbs.twimg.com/media/Fx53OXCXgAIk7al.jpg</v>
      </c>
      <c r="AW650" s="82" t="s">
        <v>13747</v>
      </c>
      <c r="AX650" s="82" t="s">
        <v>13747</v>
      </c>
      <c r="AY650" s="77"/>
      <c r="AZ650" s="82" t="s">
        <v>17385</v>
      </c>
      <c r="BA650" s="82" t="s">
        <v>17385</v>
      </c>
      <c r="BB650" s="82" t="s">
        <v>17385</v>
      </c>
      <c r="BC650" s="82" t="s">
        <v>13747</v>
      </c>
      <c r="BD650" s="82" t="s">
        <v>17521</v>
      </c>
      <c r="BE650" s="77"/>
      <c r="BF650" s="77"/>
      <c r="BG650" s="77"/>
      <c r="BH650" s="77"/>
      <c r="BI650" s="77"/>
    </row>
    <row r="651" spans="1:61" x14ac:dyDescent="0.25">
      <c r="A651" s="62" t="s">
        <v>375</v>
      </c>
      <c r="B651" s="62" t="s">
        <v>375</v>
      </c>
      <c r="C651" s="63"/>
      <c r="D651" s="64"/>
      <c r="E651" s="65"/>
      <c r="F651" s="66"/>
      <c r="G651" s="63"/>
      <c r="H651" s="67"/>
      <c r="I651" s="68"/>
      <c r="J651" s="68"/>
      <c r="K651" s="32"/>
      <c r="L651" s="75">
        <v>651</v>
      </c>
      <c r="M651" s="75"/>
      <c r="N651" s="70"/>
      <c r="O651" s="77" t="s">
        <v>179</v>
      </c>
      <c r="P651" s="79">
        <v>45067.00273148148</v>
      </c>
      <c r="Q651" s="77" t="s">
        <v>1444</v>
      </c>
      <c r="R651" s="77">
        <v>0</v>
      </c>
      <c r="S651" s="77">
        <v>0</v>
      </c>
      <c r="T651" s="77">
        <v>0</v>
      </c>
      <c r="U651" s="77">
        <v>0</v>
      </c>
      <c r="V651" s="77">
        <v>19</v>
      </c>
      <c r="W651" s="82" t="s">
        <v>5181</v>
      </c>
      <c r="X651" s="77" t="s">
        <v>7032</v>
      </c>
      <c r="Y651" s="77" t="s">
        <v>7088</v>
      </c>
      <c r="Z651" s="77"/>
      <c r="AA651" s="77" t="s">
        <v>7628</v>
      </c>
      <c r="AB651" s="77" t="s">
        <v>8225</v>
      </c>
      <c r="AC651" s="82" t="s">
        <v>8232</v>
      </c>
      <c r="AD651" s="77" t="s">
        <v>8278</v>
      </c>
      <c r="AE651" s="80" t="str">
        <f>HYPERLINK("https://twitter.com/facilinvestidor/status/1660073904155623424")</f>
        <v>https://twitter.com/facilinvestidor/status/1660073904155623424</v>
      </c>
      <c r="AF651" s="79">
        <v>45067.00273148148</v>
      </c>
      <c r="AG651" s="85">
        <v>45067</v>
      </c>
      <c r="AH651" s="82" t="s">
        <v>8886</v>
      </c>
      <c r="AI651" s="77" t="b">
        <v>0</v>
      </c>
      <c r="AJ651" s="77"/>
      <c r="AK651" s="77"/>
      <c r="AL651" s="77"/>
      <c r="AM651" s="77"/>
      <c r="AN651" s="77"/>
      <c r="AO651" s="77"/>
      <c r="AP651" s="77"/>
      <c r="AQ651" s="77" t="s">
        <v>12513</v>
      </c>
      <c r="AR651" s="77"/>
      <c r="AS651" s="77"/>
      <c r="AT651" s="77"/>
      <c r="AU651" s="77"/>
      <c r="AV651" s="80" t="str">
        <f>HYPERLINK("https://pbs.twimg.com/media/FwnEVUPWcAELQ9G.jpg")</f>
        <v>https://pbs.twimg.com/media/FwnEVUPWcAELQ9G.jpg</v>
      </c>
      <c r="AW651" s="82" t="s">
        <v>13748</v>
      </c>
      <c r="AX651" s="82" t="s">
        <v>13748</v>
      </c>
      <c r="AY651" s="77"/>
      <c r="AZ651" s="82" t="s">
        <v>17385</v>
      </c>
      <c r="BA651" s="82" t="s">
        <v>17385</v>
      </c>
      <c r="BB651" s="82" t="s">
        <v>17385</v>
      </c>
      <c r="BC651" s="82" t="s">
        <v>13748</v>
      </c>
      <c r="BD651" s="82" t="s">
        <v>17521</v>
      </c>
      <c r="BE651" s="77"/>
      <c r="BF651" s="77"/>
      <c r="BG651" s="77"/>
      <c r="BH651" s="77"/>
      <c r="BI651" s="77"/>
    </row>
    <row r="652" spans="1:61" x14ac:dyDescent="0.25">
      <c r="A652" s="62" t="s">
        <v>375</v>
      </c>
      <c r="B652" s="62" t="s">
        <v>375</v>
      </c>
      <c r="C652" s="63"/>
      <c r="D652" s="64"/>
      <c r="E652" s="65"/>
      <c r="F652" s="66"/>
      <c r="G652" s="63"/>
      <c r="H652" s="67"/>
      <c r="I652" s="68"/>
      <c r="J652" s="68"/>
      <c r="K652" s="32"/>
      <c r="L652" s="75">
        <v>652</v>
      </c>
      <c r="M652" s="75"/>
      <c r="N652" s="70"/>
      <c r="O652" s="77" t="s">
        <v>179</v>
      </c>
      <c r="P652" s="79">
        <v>45065.240497685183</v>
      </c>
      <c r="Q652" s="77" t="s">
        <v>1445</v>
      </c>
      <c r="R652" s="77">
        <v>0</v>
      </c>
      <c r="S652" s="77">
        <v>0</v>
      </c>
      <c r="T652" s="77">
        <v>0</v>
      </c>
      <c r="U652" s="77">
        <v>0</v>
      </c>
      <c r="V652" s="77">
        <v>48</v>
      </c>
      <c r="W652" s="82" t="s">
        <v>5182</v>
      </c>
      <c r="X652" s="77" t="s">
        <v>7033</v>
      </c>
      <c r="Y652" s="77" t="s">
        <v>7088</v>
      </c>
      <c r="Z652" s="77"/>
      <c r="AA652" s="77" t="s">
        <v>7629</v>
      </c>
      <c r="AB652" s="77" t="s">
        <v>8225</v>
      </c>
      <c r="AC652" s="82" t="s">
        <v>8232</v>
      </c>
      <c r="AD652" s="77" t="s">
        <v>8278</v>
      </c>
      <c r="AE652" s="80" t="str">
        <f>HYPERLINK("https://twitter.com/facilinvestidor/status/1659435295438172166")</f>
        <v>https://twitter.com/facilinvestidor/status/1659435295438172166</v>
      </c>
      <c r="AF652" s="79">
        <v>45065.240497685183</v>
      </c>
      <c r="AG652" s="85">
        <v>45065</v>
      </c>
      <c r="AH652" s="82" t="s">
        <v>8887</v>
      </c>
      <c r="AI652" s="77" t="b">
        <v>0</v>
      </c>
      <c r="AJ652" s="77"/>
      <c r="AK652" s="77"/>
      <c r="AL652" s="77"/>
      <c r="AM652" s="77"/>
      <c r="AN652" s="77"/>
      <c r="AO652" s="77"/>
      <c r="AP652" s="77"/>
      <c r="AQ652" s="77" t="s">
        <v>12514</v>
      </c>
      <c r="AR652" s="77"/>
      <c r="AS652" s="77"/>
      <c r="AT652" s="77"/>
      <c r="AU652" s="77"/>
      <c r="AV652" s="80" t="str">
        <f>HYPERLINK("https://pbs.twimg.com/media/Fwd_RutWIAAHwFw.jpg")</f>
        <v>https://pbs.twimg.com/media/Fwd_RutWIAAHwFw.jpg</v>
      </c>
      <c r="AW652" s="82" t="s">
        <v>13749</v>
      </c>
      <c r="AX652" s="82" t="s">
        <v>13749</v>
      </c>
      <c r="AY652" s="77"/>
      <c r="AZ652" s="82" t="s">
        <v>17385</v>
      </c>
      <c r="BA652" s="82" t="s">
        <v>17385</v>
      </c>
      <c r="BB652" s="82" t="s">
        <v>17385</v>
      </c>
      <c r="BC652" s="82" t="s">
        <v>13749</v>
      </c>
      <c r="BD652" s="82" t="s">
        <v>17521</v>
      </c>
      <c r="BE652" s="77"/>
      <c r="BF652" s="77"/>
      <c r="BG652" s="77"/>
      <c r="BH652" s="77"/>
      <c r="BI652" s="77"/>
    </row>
    <row r="653" spans="1:61" x14ac:dyDescent="0.25">
      <c r="A653" s="62" t="s">
        <v>375</v>
      </c>
      <c r="B653" s="62" t="s">
        <v>375</v>
      </c>
      <c r="C653" s="63"/>
      <c r="D653" s="64"/>
      <c r="E653" s="65"/>
      <c r="F653" s="66"/>
      <c r="G653" s="63"/>
      <c r="H653" s="67"/>
      <c r="I653" s="68"/>
      <c r="J653" s="68"/>
      <c r="K653" s="32"/>
      <c r="L653" s="75">
        <v>653</v>
      </c>
      <c r="M653" s="75"/>
      <c r="N653" s="70"/>
      <c r="O653" s="77" t="s">
        <v>179</v>
      </c>
      <c r="P653" s="79">
        <v>45065.187083333331</v>
      </c>
      <c r="Q653" s="77" t="s">
        <v>1446</v>
      </c>
      <c r="R653" s="77">
        <v>0</v>
      </c>
      <c r="S653" s="77">
        <v>0</v>
      </c>
      <c r="T653" s="77">
        <v>0</v>
      </c>
      <c r="U653" s="77">
        <v>0</v>
      </c>
      <c r="V653" s="77">
        <v>31</v>
      </c>
      <c r="W653" s="82" t="s">
        <v>5183</v>
      </c>
      <c r="X653" s="77" t="s">
        <v>7034</v>
      </c>
      <c r="Y653" s="77" t="s">
        <v>7088</v>
      </c>
      <c r="Z653" s="77"/>
      <c r="AA653" s="77" t="s">
        <v>7630</v>
      </c>
      <c r="AB653" s="77" t="s">
        <v>8225</v>
      </c>
      <c r="AC653" s="82" t="s">
        <v>8232</v>
      </c>
      <c r="AD653" s="77" t="s">
        <v>8278</v>
      </c>
      <c r="AE653" s="80" t="str">
        <f>HYPERLINK("https://twitter.com/facilinvestidor/status/1659415938339307522")</f>
        <v>https://twitter.com/facilinvestidor/status/1659415938339307522</v>
      </c>
      <c r="AF653" s="79">
        <v>45065.187083333331</v>
      </c>
      <c r="AG653" s="85">
        <v>45065</v>
      </c>
      <c r="AH653" s="82" t="s">
        <v>8888</v>
      </c>
      <c r="AI653" s="77" t="b">
        <v>0</v>
      </c>
      <c r="AJ653" s="77"/>
      <c r="AK653" s="77"/>
      <c r="AL653" s="77"/>
      <c r="AM653" s="77"/>
      <c r="AN653" s="77"/>
      <c r="AO653" s="77"/>
      <c r="AP653" s="77"/>
      <c r="AQ653" s="77" t="s">
        <v>12515</v>
      </c>
      <c r="AR653" s="77"/>
      <c r="AS653" s="77"/>
      <c r="AT653" s="77"/>
      <c r="AU653" s="77"/>
      <c r="AV653" s="80" t="str">
        <f>HYPERLINK("https://pbs.twimg.com/media/Fwdtuz5WwAEw4xX.png")</f>
        <v>https://pbs.twimg.com/media/Fwdtuz5WwAEw4xX.png</v>
      </c>
      <c r="AW653" s="82" t="s">
        <v>13750</v>
      </c>
      <c r="AX653" s="82" t="s">
        <v>13750</v>
      </c>
      <c r="AY653" s="77"/>
      <c r="AZ653" s="82" t="s">
        <v>17385</v>
      </c>
      <c r="BA653" s="82" t="s">
        <v>17385</v>
      </c>
      <c r="BB653" s="82" t="s">
        <v>17385</v>
      </c>
      <c r="BC653" s="82" t="s">
        <v>13750</v>
      </c>
      <c r="BD653" s="82" t="s">
        <v>17521</v>
      </c>
      <c r="BE653" s="77"/>
      <c r="BF653" s="77"/>
      <c r="BG653" s="77"/>
      <c r="BH653" s="77"/>
      <c r="BI653" s="77"/>
    </row>
    <row r="654" spans="1:61" x14ac:dyDescent="0.25">
      <c r="A654" s="62" t="s">
        <v>375</v>
      </c>
      <c r="B654" s="62" t="s">
        <v>375</v>
      </c>
      <c r="C654" s="63"/>
      <c r="D654" s="64"/>
      <c r="E654" s="65"/>
      <c r="F654" s="66"/>
      <c r="G654" s="63"/>
      <c r="H654" s="67"/>
      <c r="I654" s="68"/>
      <c r="J654" s="68"/>
      <c r="K654" s="32"/>
      <c r="L654" s="75">
        <v>654</v>
      </c>
      <c r="M654" s="75"/>
      <c r="N654" s="70"/>
      <c r="O654" s="77" t="s">
        <v>179</v>
      </c>
      <c r="P654" s="79">
        <v>45196.187280092592</v>
      </c>
      <c r="Q654" s="77" t="s">
        <v>1447</v>
      </c>
      <c r="R654" s="77">
        <v>0</v>
      </c>
      <c r="S654" s="77">
        <v>0</v>
      </c>
      <c r="T654" s="77">
        <v>0</v>
      </c>
      <c r="U654" s="77">
        <v>0</v>
      </c>
      <c r="V654" s="77">
        <v>9</v>
      </c>
      <c r="W654" s="82" t="s">
        <v>4919</v>
      </c>
      <c r="X654" s="80" t="str">
        <f>HYPERLINK("https://youtu.be/kmlQUhGoXdU")</f>
        <v>https://youtu.be/kmlQUhGoXdU</v>
      </c>
      <c r="Y654" s="77" t="s">
        <v>7064</v>
      </c>
      <c r="Z654" s="77"/>
      <c r="AA654" s="77"/>
      <c r="AB654" s="77"/>
      <c r="AC654" s="82" t="s">
        <v>8232</v>
      </c>
      <c r="AD654" s="77" t="s">
        <v>8278</v>
      </c>
      <c r="AE654" s="80" t="str">
        <f>HYPERLINK("https://twitter.com/facilinvestidor/status/1706888820015149213")</f>
        <v>https://twitter.com/facilinvestidor/status/1706888820015149213</v>
      </c>
      <c r="AF654" s="79">
        <v>45196.187280092592</v>
      </c>
      <c r="AG654" s="85">
        <v>45196</v>
      </c>
      <c r="AH654" s="82" t="s">
        <v>8889</v>
      </c>
      <c r="AI654" s="77" t="b">
        <v>0</v>
      </c>
      <c r="AJ654" s="77"/>
      <c r="AK654" s="77"/>
      <c r="AL654" s="77"/>
      <c r="AM654" s="77"/>
      <c r="AN654" s="77"/>
      <c r="AO654" s="77"/>
      <c r="AP654" s="77"/>
      <c r="AQ654" s="77"/>
      <c r="AR654" s="77"/>
      <c r="AS654" s="77"/>
      <c r="AT654" s="77"/>
      <c r="AU654" s="77"/>
      <c r="AV654" s="80" t="str">
        <f>HYPERLINK("https://pbs.twimg.com/profile_images/1659180229296902144/sFSlf2jT_normal.jpg")</f>
        <v>https://pbs.twimg.com/profile_images/1659180229296902144/sFSlf2jT_normal.jpg</v>
      </c>
      <c r="AW654" s="82" t="s">
        <v>13751</v>
      </c>
      <c r="AX654" s="82" t="s">
        <v>13751</v>
      </c>
      <c r="AY654" s="77"/>
      <c r="AZ654" s="82" t="s">
        <v>17385</v>
      </c>
      <c r="BA654" s="82" t="s">
        <v>17385</v>
      </c>
      <c r="BB654" s="82" t="s">
        <v>17385</v>
      </c>
      <c r="BC654" s="82" t="s">
        <v>13751</v>
      </c>
      <c r="BD654" s="82" t="s">
        <v>17521</v>
      </c>
      <c r="BE654" s="77"/>
      <c r="BF654" s="77"/>
      <c r="BG654" s="77"/>
      <c r="BH654" s="77"/>
      <c r="BI654" s="77"/>
    </row>
    <row r="655" spans="1:61" x14ac:dyDescent="0.25">
      <c r="A655" s="62" t="s">
        <v>375</v>
      </c>
      <c r="B655" s="62" t="s">
        <v>375</v>
      </c>
      <c r="C655" s="63"/>
      <c r="D655" s="64"/>
      <c r="E655" s="65"/>
      <c r="F655" s="66"/>
      <c r="G655" s="63"/>
      <c r="H655" s="67"/>
      <c r="I655" s="68"/>
      <c r="J655" s="68"/>
      <c r="K655" s="32"/>
      <c r="L655" s="75">
        <v>655</v>
      </c>
      <c r="M655" s="75"/>
      <c r="N655" s="70"/>
      <c r="O655" s="77" t="s">
        <v>179</v>
      </c>
      <c r="P655" s="79">
        <v>45172.731840277775</v>
      </c>
      <c r="Q655" s="77" t="s">
        <v>1448</v>
      </c>
      <c r="R655" s="77">
        <v>0</v>
      </c>
      <c r="S655" s="77">
        <v>0</v>
      </c>
      <c r="T655" s="77">
        <v>0</v>
      </c>
      <c r="U655" s="77">
        <v>0</v>
      </c>
      <c r="V655" s="77">
        <v>26</v>
      </c>
      <c r="W655" s="82" t="s">
        <v>5167</v>
      </c>
      <c r="X655" s="80" t="str">
        <f>HYPERLINK("https://youtu.be/8IBWTSjDpKc")</f>
        <v>https://youtu.be/8IBWTSjDpKc</v>
      </c>
      <c r="Y655" s="77" t="s">
        <v>7064</v>
      </c>
      <c r="Z655" s="77"/>
      <c r="AA655" s="77"/>
      <c r="AB655" s="77"/>
      <c r="AC655" s="82" t="s">
        <v>8232</v>
      </c>
      <c r="AD655" s="77" t="s">
        <v>8278</v>
      </c>
      <c r="AE655" s="80" t="str">
        <f>HYPERLINK("https://twitter.com/facilinvestidor/status/1698388853940224178")</f>
        <v>https://twitter.com/facilinvestidor/status/1698388853940224178</v>
      </c>
      <c r="AF655" s="79">
        <v>45172.731840277775</v>
      </c>
      <c r="AG655" s="85">
        <v>45172</v>
      </c>
      <c r="AH655" s="82" t="s">
        <v>8890</v>
      </c>
      <c r="AI655" s="77" t="b">
        <v>0</v>
      </c>
      <c r="AJ655" s="77"/>
      <c r="AK655" s="77"/>
      <c r="AL655" s="77"/>
      <c r="AM655" s="77"/>
      <c r="AN655" s="77"/>
      <c r="AO655" s="77"/>
      <c r="AP655" s="77"/>
      <c r="AQ655" s="77"/>
      <c r="AR655" s="77"/>
      <c r="AS655" s="77"/>
      <c r="AT655" s="77"/>
      <c r="AU655" s="77"/>
      <c r="AV655" s="80" t="str">
        <f>HYPERLINK("https://pbs.twimg.com/profile_images/1659180229296902144/sFSlf2jT_normal.jpg")</f>
        <v>https://pbs.twimg.com/profile_images/1659180229296902144/sFSlf2jT_normal.jpg</v>
      </c>
      <c r="AW655" s="82" t="s">
        <v>13752</v>
      </c>
      <c r="AX655" s="82" t="s">
        <v>13752</v>
      </c>
      <c r="AY655" s="77"/>
      <c r="AZ655" s="82" t="s">
        <v>17385</v>
      </c>
      <c r="BA655" s="82" t="s">
        <v>17385</v>
      </c>
      <c r="BB655" s="82" t="s">
        <v>17385</v>
      </c>
      <c r="BC655" s="82" t="s">
        <v>13752</v>
      </c>
      <c r="BD655" s="82" t="s">
        <v>17521</v>
      </c>
      <c r="BE655" s="77"/>
      <c r="BF655" s="77"/>
      <c r="BG655" s="77"/>
      <c r="BH655" s="77"/>
      <c r="BI655" s="77"/>
    </row>
    <row r="656" spans="1:61" x14ac:dyDescent="0.25">
      <c r="A656" s="62" t="s">
        <v>375</v>
      </c>
      <c r="B656" s="62" t="s">
        <v>375</v>
      </c>
      <c r="C656" s="63"/>
      <c r="D656" s="64"/>
      <c r="E656" s="65"/>
      <c r="F656" s="66"/>
      <c r="G656" s="63"/>
      <c r="H656" s="67"/>
      <c r="I656" s="68"/>
      <c r="J656" s="68"/>
      <c r="K656" s="32"/>
      <c r="L656" s="75">
        <v>656</v>
      </c>
      <c r="M656" s="75"/>
      <c r="N656" s="70"/>
      <c r="O656" s="77" t="s">
        <v>179</v>
      </c>
      <c r="P656" s="79">
        <v>45169.799791666665</v>
      </c>
      <c r="Q656" s="77" t="s">
        <v>1449</v>
      </c>
      <c r="R656" s="77">
        <v>0</v>
      </c>
      <c r="S656" s="77">
        <v>0</v>
      </c>
      <c r="T656" s="77">
        <v>0</v>
      </c>
      <c r="U656" s="77">
        <v>0</v>
      </c>
      <c r="V656" s="77">
        <v>26</v>
      </c>
      <c r="W656" s="82" t="s">
        <v>5167</v>
      </c>
      <c r="X656" s="80" t="str">
        <f>HYPERLINK("https://youtu.be/lMF9d4TwJ_8?si=UCcJSBxl13RyammC")</f>
        <v>https://youtu.be/lMF9d4TwJ_8?si=UCcJSBxl13RyammC</v>
      </c>
      <c r="Y656" s="77" t="s">
        <v>7064</v>
      </c>
      <c r="Z656" s="77"/>
      <c r="AA656" s="77"/>
      <c r="AB656" s="77"/>
      <c r="AC656" s="82" t="s">
        <v>8232</v>
      </c>
      <c r="AD656" s="77" t="s">
        <v>8278</v>
      </c>
      <c r="AE656" s="80" t="str">
        <f>HYPERLINK("https://twitter.com/facilinvestidor/status/1697326311935521017")</f>
        <v>https://twitter.com/facilinvestidor/status/1697326311935521017</v>
      </c>
      <c r="AF656" s="79">
        <v>45169.799791666665</v>
      </c>
      <c r="AG656" s="85">
        <v>45169</v>
      </c>
      <c r="AH656" s="82" t="s">
        <v>8891</v>
      </c>
      <c r="AI656" s="77" t="b">
        <v>0</v>
      </c>
      <c r="AJ656" s="77"/>
      <c r="AK656" s="77"/>
      <c r="AL656" s="77"/>
      <c r="AM656" s="77"/>
      <c r="AN656" s="77"/>
      <c r="AO656" s="77"/>
      <c r="AP656" s="77"/>
      <c r="AQ656" s="77"/>
      <c r="AR656" s="77"/>
      <c r="AS656" s="77"/>
      <c r="AT656" s="77"/>
      <c r="AU656" s="77"/>
      <c r="AV656" s="80" t="str">
        <f>HYPERLINK("https://pbs.twimg.com/profile_images/1659180229296902144/sFSlf2jT_normal.jpg")</f>
        <v>https://pbs.twimg.com/profile_images/1659180229296902144/sFSlf2jT_normal.jpg</v>
      </c>
      <c r="AW656" s="82" t="s">
        <v>13753</v>
      </c>
      <c r="AX656" s="82" t="s">
        <v>13753</v>
      </c>
      <c r="AY656" s="77"/>
      <c r="AZ656" s="82" t="s">
        <v>17385</v>
      </c>
      <c r="BA656" s="82" t="s">
        <v>17385</v>
      </c>
      <c r="BB656" s="82" t="s">
        <v>17385</v>
      </c>
      <c r="BC656" s="82" t="s">
        <v>13753</v>
      </c>
      <c r="BD656" s="82" t="s">
        <v>17521</v>
      </c>
      <c r="BE656" s="77"/>
      <c r="BF656" s="77"/>
      <c r="BG656" s="77"/>
      <c r="BH656" s="77"/>
      <c r="BI656" s="77"/>
    </row>
    <row r="657" spans="1:61" x14ac:dyDescent="0.25">
      <c r="A657" s="62" t="s">
        <v>375</v>
      </c>
      <c r="B657" s="62" t="s">
        <v>375</v>
      </c>
      <c r="C657" s="63"/>
      <c r="D657" s="64"/>
      <c r="E657" s="65"/>
      <c r="F657" s="66"/>
      <c r="G657" s="63"/>
      <c r="H657" s="67"/>
      <c r="I657" s="68"/>
      <c r="J657" s="68"/>
      <c r="K657" s="32"/>
      <c r="L657" s="75">
        <v>657</v>
      </c>
      <c r="M657" s="75"/>
      <c r="N657" s="70"/>
      <c r="O657" s="77" t="s">
        <v>179</v>
      </c>
      <c r="P657" s="79">
        <v>45129.804594907408</v>
      </c>
      <c r="Q657" s="77" t="s">
        <v>1450</v>
      </c>
      <c r="R657" s="77">
        <v>0</v>
      </c>
      <c r="S657" s="77">
        <v>0</v>
      </c>
      <c r="T657" s="77">
        <v>1</v>
      </c>
      <c r="U657" s="77">
        <v>0</v>
      </c>
      <c r="V657" s="77">
        <v>148</v>
      </c>
      <c r="W657" s="82" t="s">
        <v>5184</v>
      </c>
      <c r="X657" s="80" t="str">
        <f>HYPERLINK("https://youtu.be/-i7qrS6s_gI")</f>
        <v>https://youtu.be/-i7qrS6s_gI</v>
      </c>
      <c r="Y657" s="77" t="s">
        <v>7064</v>
      </c>
      <c r="Z657" s="77"/>
      <c r="AA657" s="77"/>
      <c r="AB657" s="77"/>
      <c r="AC657" s="82" t="s">
        <v>8234</v>
      </c>
      <c r="AD657" s="77" t="s">
        <v>8278</v>
      </c>
      <c r="AE657" s="80" t="str">
        <f>HYPERLINK("https://twitter.com/facilinvestidor/status/1682832537557630980")</f>
        <v>https://twitter.com/facilinvestidor/status/1682832537557630980</v>
      </c>
      <c r="AF657" s="79">
        <v>45129.804594907408</v>
      </c>
      <c r="AG657" s="85">
        <v>45129</v>
      </c>
      <c r="AH657" s="82" t="s">
        <v>8892</v>
      </c>
      <c r="AI657" s="77" t="b">
        <v>0</v>
      </c>
      <c r="AJ657" s="77"/>
      <c r="AK657" s="77"/>
      <c r="AL657" s="77"/>
      <c r="AM657" s="77"/>
      <c r="AN657" s="77"/>
      <c r="AO657" s="77"/>
      <c r="AP657" s="77"/>
      <c r="AQ657" s="77"/>
      <c r="AR657" s="77"/>
      <c r="AS657" s="77"/>
      <c r="AT657" s="77"/>
      <c r="AU657" s="77"/>
      <c r="AV657" s="80" t="str">
        <f>HYPERLINK("https://pbs.twimg.com/profile_images/1659180229296902144/sFSlf2jT_normal.jpg")</f>
        <v>https://pbs.twimg.com/profile_images/1659180229296902144/sFSlf2jT_normal.jpg</v>
      </c>
      <c r="AW657" s="82" t="s">
        <v>13754</v>
      </c>
      <c r="AX657" s="82" t="s">
        <v>13754</v>
      </c>
      <c r="AY657" s="77"/>
      <c r="AZ657" s="82" t="s">
        <v>17385</v>
      </c>
      <c r="BA657" s="82" t="s">
        <v>17385</v>
      </c>
      <c r="BB657" s="82" t="s">
        <v>17385</v>
      </c>
      <c r="BC657" s="82" t="s">
        <v>13754</v>
      </c>
      <c r="BD657" s="82" t="s">
        <v>17521</v>
      </c>
      <c r="BE657" s="77"/>
      <c r="BF657" s="77"/>
      <c r="BG657" s="77"/>
      <c r="BH657" s="77"/>
      <c r="BI657" s="77"/>
    </row>
    <row r="658" spans="1:61" x14ac:dyDescent="0.25">
      <c r="A658" s="62" t="s">
        <v>375</v>
      </c>
      <c r="B658" s="62" t="s">
        <v>375</v>
      </c>
      <c r="C658" s="63"/>
      <c r="D658" s="64"/>
      <c r="E658" s="65"/>
      <c r="F658" s="66"/>
      <c r="G658" s="63"/>
      <c r="H658" s="67"/>
      <c r="I658" s="68"/>
      <c r="J658" s="68"/>
      <c r="K658" s="32"/>
      <c r="L658" s="75">
        <v>658</v>
      </c>
      <c r="M658" s="75"/>
      <c r="N658" s="70"/>
      <c r="O658" s="77" t="s">
        <v>179</v>
      </c>
      <c r="P658" s="79">
        <v>45129.11041666667</v>
      </c>
      <c r="Q658" s="77" t="s">
        <v>1451</v>
      </c>
      <c r="R658" s="77">
        <v>0</v>
      </c>
      <c r="S658" s="77">
        <v>0</v>
      </c>
      <c r="T658" s="77">
        <v>0</v>
      </c>
      <c r="U658" s="77">
        <v>0</v>
      </c>
      <c r="V658" s="77">
        <v>37</v>
      </c>
      <c r="W658" s="82" t="s">
        <v>5184</v>
      </c>
      <c r="X658" s="80" t="str">
        <f>HYPERLINK("https://youtu.be/fMBAsoeRpNg")</f>
        <v>https://youtu.be/fMBAsoeRpNg</v>
      </c>
      <c r="Y658" s="77" t="s">
        <v>7064</v>
      </c>
      <c r="Z658" s="77"/>
      <c r="AA658" s="77"/>
      <c r="AB658" s="77"/>
      <c r="AC658" s="82" t="s">
        <v>8232</v>
      </c>
      <c r="AD658" s="77" t="s">
        <v>8278</v>
      </c>
      <c r="AE658" s="80" t="str">
        <f>HYPERLINK("https://twitter.com/facilinvestidor/status/1682580975442616320")</f>
        <v>https://twitter.com/facilinvestidor/status/1682580975442616320</v>
      </c>
      <c r="AF658" s="79">
        <v>45129.11041666667</v>
      </c>
      <c r="AG658" s="85">
        <v>45129</v>
      </c>
      <c r="AH658" s="82" t="s">
        <v>8893</v>
      </c>
      <c r="AI658" s="77" t="b">
        <v>0</v>
      </c>
      <c r="AJ658" s="77"/>
      <c r="AK658" s="77"/>
      <c r="AL658" s="77"/>
      <c r="AM658" s="77"/>
      <c r="AN658" s="77"/>
      <c r="AO658" s="77"/>
      <c r="AP658" s="77"/>
      <c r="AQ658" s="77"/>
      <c r="AR658" s="77"/>
      <c r="AS658" s="77"/>
      <c r="AT658" s="77"/>
      <c r="AU658" s="77"/>
      <c r="AV658" s="80" t="str">
        <f>HYPERLINK("https://pbs.twimg.com/profile_images/1659180229296902144/sFSlf2jT_normal.jpg")</f>
        <v>https://pbs.twimg.com/profile_images/1659180229296902144/sFSlf2jT_normal.jpg</v>
      </c>
      <c r="AW658" s="82" t="s">
        <v>13755</v>
      </c>
      <c r="AX658" s="82" t="s">
        <v>13755</v>
      </c>
      <c r="AY658" s="77"/>
      <c r="AZ658" s="82" t="s">
        <v>17385</v>
      </c>
      <c r="BA658" s="82" t="s">
        <v>17385</v>
      </c>
      <c r="BB658" s="82" t="s">
        <v>17385</v>
      </c>
      <c r="BC658" s="82" t="s">
        <v>13755</v>
      </c>
      <c r="BD658" s="82" t="s">
        <v>17521</v>
      </c>
      <c r="BE658" s="77"/>
      <c r="BF658" s="77"/>
      <c r="BG658" s="77"/>
      <c r="BH658" s="77"/>
      <c r="BI658" s="77"/>
    </row>
    <row r="659" spans="1:61" x14ac:dyDescent="0.25">
      <c r="A659" s="62" t="s">
        <v>375</v>
      </c>
      <c r="B659" s="62" t="s">
        <v>375</v>
      </c>
      <c r="C659" s="63"/>
      <c r="D659" s="64"/>
      <c r="E659" s="65"/>
      <c r="F659" s="66"/>
      <c r="G659" s="63"/>
      <c r="H659" s="67"/>
      <c r="I659" s="68"/>
      <c r="J659" s="68"/>
      <c r="K659" s="32"/>
      <c r="L659" s="75">
        <v>659</v>
      </c>
      <c r="M659" s="75"/>
      <c r="N659" s="70"/>
      <c r="O659" s="77" t="s">
        <v>179</v>
      </c>
      <c r="P659" s="79">
        <v>45103.025462962964</v>
      </c>
      <c r="Q659" s="77" t="s">
        <v>1452</v>
      </c>
      <c r="R659" s="77">
        <v>0</v>
      </c>
      <c r="S659" s="77">
        <v>0</v>
      </c>
      <c r="T659" s="77">
        <v>0</v>
      </c>
      <c r="U659" s="77">
        <v>0</v>
      </c>
      <c r="V659" s="77">
        <v>29</v>
      </c>
      <c r="W659" s="82" t="s">
        <v>5185</v>
      </c>
      <c r="X659" s="77" t="s">
        <v>7035</v>
      </c>
      <c r="Y659" s="77" t="s">
        <v>7088</v>
      </c>
      <c r="Z659" s="77"/>
      <c r="AA659" s="77"/>
      <c r="AB659" s="77"/>
      <c r="AC659" s="82" t="s">
        <v>8232</v>
      </c>
      <c r="AD659" s="77" t="s">
        <v>8278</v>
      </c>
      <c r="AE659" s="80" t="str">
        <f>HYPERLINK("https://twitter.com/facilinvestidor/status/1673128105546854401")</f>
        <v>https://twitter.com/facilinvestidor/status/1673128105546854401</v>
      </c>
      <c r="AF659" s="79">
        <v>45103.025462962964</v>
      </c>
      <c r="AG659" s="85">
        <v>45103</v>
      </c>
      <c r="AH659" s="82" t="s">
        <v>8894</v>
      </c>
      <c r="AI659" s="77" t="b">
        <v>0</v>
      </c>
      <c r="AJ659" s="77"/>
      <c r="AK659" s="77"/>
      <c r="AL659" s="77"/>
      <c r="AM659" s="77"/>
      <c r="AN659" s="77"/>
      <c r="AO659" s="77"/>
      <c r="AP659" s="77"/>
      <c r="AQ659" s="77"/>
      <c r="AR659" s="77"/>
      <c r="AS659" s="77"/>
      <c r="AT659" s="77"/>
      <c r="AU659" s="77"/>
      <c r="AV659" s="80" t="str">
        <f>HYPERLINK("https://pbs.twimg.com/profile_images/1659180229296902144/sFSlf2jT_normal.jpg")</f>
        <v>https://pbs.twimg.com/profile_images/1659180229296902144/sFSlf2jT_normal.jpg</v>
      </c>
      <c r="AW659" s="82" t="s">
        <v>13756</v>
      </c>
      <c r="AX659" s="82" t="s">
        <v>13756</v>
      </c>
      <c r="AY659" s="77"/>
      <c r="AZ659" s="82" t="s">
        <v>17385</v>
      </c>
      <c r="BA659" s="82" t="s">
        <v>17385</v>
      </c>
      <c r="BB659" s="82" t="s">
        <v>17385</v>
      </c>
      <c r="BC659" s="82" t="s">
        <v>13756</v>
      </c>
      <c r="BD659" s="82" t="s">
        <v>17521</v>
      </c>
      <c r="BE659" s="77"/>
      <c r="BF659" s="77"/>
      <c r="BG659" s="77"/>
      <c r="BH659" s="77"/>
      <c r="BI659" s="77"/>
    </row>
    <row r="660" spans="1:61" x14ac:dyDescent="0.25">
      <c r="A660" s="62" t="s">
        <v>375</v>
      </c>
      <c r="B660" s="62" t="s">
        <v>375</v>
      </c>
      <c r="C660" s="63"/>
      <c r="D660" s="64"/>
      <c r="E660" s="65"/>
      <c r="F660" s="66"/>
      <c r="G660" s="63"/>
      <c r="H660" s="67"/>
      <c r="I660" s="68"/>
      <c r="J660" s="68"/>
      <c r="K660" s="32"/>
      <c r="L660" s="75">
        <v>660</v>
      </c>
      <c r="M660" s="75"/>
      <c r="N660" s="70"/>
      <c r="O660" s="77" t="s">
        <v>179</v>
      </c>
      <c r="P660" s="79">
        <v>45102.156539351854</v>
      </c>
      <c r="Q660" s="77" t="s">
        <v>1453</v>
      </c>
      <c r="R660" s="77">
        <v>0</v>
      </c>
      <c r="S660" s="77">
        <v>0</v>
      </c>
      <c r="T660" s="77">
        <v>1</v>
      </c>
      <c r="U660" s="77">
        <v>0</v>
      </c>
      <c r="V660" s="77">
        <v>156</v>
      </c>
      <c r="W660" s="82" t="s">
        <v>5186</v>
      </c>
      <c r="X660" s="77" t="s">
        <v>7036</v>
      </c>
      <c r="Y660" s="77" t="s">
        <v>7088</v>
      </c>
      <c r="Z660" s="77"/>
      <c r="AA660" s="77"/>
      <c r="AB660" s="77"/>
      <c r="AC660" s="82" t="s">
        <v>8232</v>
      </c>
      <c r="AD660" s="77" t="s">
        <v>8278</v>
      </c>
      <c r="AE660" s="80" t="str">
        <f>HYPERLINK("https://twitter.com/facilinvestidor/status/1672813220980051969")</f>
        <v>https://twitter.com/facilinvestidor/status/1672813220980051969</v>
      </c>
      <c r="AF660" s="79">
        <v>45102.156539351854</v>
      </c>
      <c r="AG660" s="85">
        <v>45102</v>
      </c>
      <c r="AH660" s="82" t="s">
        <v>8895</v>
      </c>
      <c r="AI660" s="77" t="b">
        <v>0</v>
      </c>
      <c r="AJ660" s="77"/>
      <c r="AK660" s="77"/>
      <c r="AL660" s="77"/>
      <c r="AM660" s="77"/>
      <c r="AN660" s="77"/>
      <c r="AO660" s="77"/>
      <c r="AP660" s="77"/>
      <c r="AQ660" s="77"/>
      <c r="AR660" s="77"/>
      <c r="AS660" s="77"/>
      <c r="AT660" s="77"/>
      <c r="AU660" s="77"/>
      <c r="AV660" s="80" t="str">
        <f>HYPERLINK("https://pbs.twimg.com/profile_images/1659180229296902144/sFSlf2jT_normal.jpg")</f>
        <v>https://pbs.twimg.com/profile_images/1659180229296902144/sFSlf2jT_normal.jpg</v>
      </c>
      <c r="AW660" s="82" t="s">
        <v>13757</v>
      </c>
      <c r="AX660" s="82" t="s">
        <v>13757</v>
      </c>
      <c r="AY660" s="77"/>
      <c r="AZ660" s="82" t="s">
        <v>17385</v>
      </c>
      <c r="BA660" s="82" t="s">
        <v>17385</v>
      </c>
      <c r="BB660" s="82" t="s">
        <v>17385</v>
      </c>
      <c r="BC660" s="82" t="s">
        <v>13757</v>
      </c>
      <c r="BD660" s="82" t="s">
        <v>17521</v>
      </c>
      <c r="BE660" s="77"/>
      <c r="BF660" s="77"/>
      <c r="BG660" s="77"/>
      <c r="BH660" s="77"/>
      <c r="BI660" s="77"/>
    </row>
    <row r="661" spans="1:61" x14ac:dyDescent="0.25">
      <c r="A661" s="62" t="s">
        <v>375</v>
      </c>
      <c r="B661" s="62" t="s">
        <v>375</v>
      </c>
      <c r="C661" s="63"/>
      <c r="D661" s="64"/>
      <c r="E661" s="65"/>
      <c r="F661" s="66"/>
      <c r="G661" s="63"/>
      <c r="H661" s="67"/>
      <c r="I661" s="68"/>
      <c r="J661" s="68"/>
      <c r="K661" s="32"/>
      <c r="L661" s="75">
        <v>661</v>
      </c>
      <c r="M661" s="75"/>
      <c r="N661" s="70"/>
      <c r="O661" s="77" t="s">
        <v>179</v>
      </c>
      <c r="P661" s="79">
        <v>45102.156284722223</v>
      </c>
      <c r="Q661" s="77" t="s">
        <v>1454</v>
      </c>
      <c r="R661" s="77">
        <v>0</v>
      </c>
      <c r="S661" s="77">
        <v>0</v>
      </c>
      <c r="T661" s="77">
        <v>0</v>
      </c>
      <c r="U661" s="77">
        <v>0</v>
      </c>
      <c r="V661" s="77">
        <v>49</v>
      </c>
      <c r="W661" s="82" t="s">
        <v>5187</v>
      </c>
      <c r="X661" s="77" t="s">
        <v>7037</v>
      </c>
      <c r="Y661" s="77" t="s">
        <v>7088</v>
      </c>
      <c r="Z661" s="77"/>
      <c r="AA661" s="77"/>
      <c r="AB661" s="77"/>
      <c r="AC661" s="82" t="s">
        <v>8232</v>
      </c>
      <c r="AD661" s="77" t="s">
        <v>8278</v>
      </c>
      <c r="AE661" s="80" t="str">
        <f>HYPERLINK("https://twitter.com/facilinvestidor/status/1672813125429501952")</f>
        <v>https://twitter.com/facilinvestidor/status/1672813125429501952</v>
      </c>
      <c r="AF661" s="79">
        <v>45102.156284722223</v>
      </c>
      <c r="AG661" s="85">
        <v>45102</v>
      </c>
      <c r="AH661" s="82" t="s">
        <v>8896</v>
      </c>
      <c r="AI661" s="77" t="b">
        <v>0</v>
      </c>
      <c r="AJ661" s="77"/>
      <c r="AK661" s="77"/>
      <c r="AL661" s="77"/>
      <c r="AM661" s="77"/>
      <c r="AN661" s="77"/>
      <c r="AO661" s="77"/>
      <c r="AP661" s="77"/>
      <c r="AQ661" s="77"/>
      <c r="AR661" s="77"/>
      <c r="AS661" s="77"/>
      <c r="AT661" s="77"/>
      <c r="AU661" s="77"/>
      <c r="AV661" s="80" t="str">
        <f>HYPERLINK("https://pbs.twimg.com/profile_images/1659180229296902144/sFSlf2jT_normal.jpg")</f>
        <v>https://pbs.twimg.com/profile_images/1659180229296902144/sFSlf2jT_normal.jpg</v>
      </c>
      <c r="AW661" s="82" t="s">
        <v>13758</v>
      </c>
      <c r="AX661" s="82" t="s">
        <v>13758</v>
      </c>
      <c r="AY661" s="77"/>
      <c r="AZ661" s="82" t="s">
        <v>17385</v>
      </c>
      <c r="BA661" s="82" t="s">
        <v>17385</v>
      </c>
      <c r="BB661" s="82" t="s">
        <v>17385</v>
      </c>
      <c r="BC661" s="82" t="s">
        <v>13758</v>
      </c>
      <c r="BD661" s="82" t="s">
        <v>17521</v>
      </c>
      <c r="BE661" s="77"/>
      <c r="BF661" s="77"/>
      <c r="BG661" s="77"/>
      <c r="BH661" s="77"/>
      <c r="BI661" s="77"/>
    </row>
    <row r="662" spans="1:61" x14ac:dyDescent="0.25">
      <c r="A662" s="62" t="s">
        <v>375</v>
      </c>
      <c r="B662" s="62" t="s">
        <v>375</v>
      </c>
      <c r="C662" s="63"/>
      <c r="D662" s="64"/>
      <c r="E662" s="65"/>
      <c r="F662" s="66"/>
      <c r="G662" s="63"/>
      <c r="H662" s="67"/>
      <c r="I662" s="68"/>
      <c r="J662" s="68"/>
      <c r="K662" s="32"/>
      <c r="L662" s="75">
        <v>662</v>
      </c>
      <c r="M662" s="75"/>
      <c r="N662" s="70"/>
      <c r="O662" s="77" t="s">
        <v>179</v>
      </c>
      <c r="P662" s="79">
        <v>45081.619884259257</v>
      </c>
      <c r="Q662" s="77" t="s">
        <v>1455</v>
      </c>
      <c r="R662" s="77">
        <v>0</v>
      </c>
      <c r="S662" s="77">
        <v>0</v>
      </c>
      <c r="T662" s="77">
        <v>0</v>
      </c>
      <c r="U662" s="77">
        <v>0</v>
      </c>
      <c r="V662" s="77">
        <v>91</v>
      </c>
      <c r="W662" s="82" t="s">
        <v>5188</v>
      </c>
      <c r="X662" s="77" t="s">
        <v>7038</v>
      </c>
      <c r="Y662" s="77" t="s">
        <v>7088</v>
      </c>
      <c r="Z662" s="77"/>
      <c r="AA662" s="77" t="s">
        <v>7631</v>
      </c>
      <c r="AB662" s="77" t="s">
        <v>8225</v>
      </c>
      <c r="AC662" s="82" t="s">
        <v>8232</v>
      </c>
      <c r="AD662" s="77" t="s">
        <v>8278</v>
      </c>
      <c r="AE662" s="80" t="str">
        <f>HYPERLINK("https://twitter.com/facilinvestidor/status/1665370983622909953")</f>
        <v>https://twitter.com/facilinvestidor/status/1665370983622909953</v>
      </c>
      <c r="AF662" s="79">
        <v>45081.619884259257</v>
      </c>
      <c r="AG662" s="85">
        <v>45081</v>
      </c>
      <c r="AH662" s="82" t="s">
        <v>8897</v>
      </c>
      <c r="AI662" s="77" t="b">
        <v>0</v>
      </c>
      <c r="AJ662" s="77"/>
      <c r="AK662" s="77"/>
      <c r="AL662" s="77"/>
      <c r="AM662" s="77"/>
      <c r="AN662" s="77"/>
      <c r="AO662" s="77"/>
      <c r="AP662" s="77"/>
      <c r="AQ662" s="77" t="s">
        <v>12516</v>
      </c>
      <c r="AR662" s="77"/>
      <c r="AS662" s="77"/>
      <c r="AT662" s="77"/>
      <c r="AU662" s="77"/>
      <c r="AV662" s="80" t="str">
        <f>HYPERLINK("https://pbs.twimg.com/media/FxyWDvJXwAEqHd7.jpg")</f>
        <v>https://pbs.twimg.com/media/FxyWDvJXwAEqHd7.jpg</v>
      </c>
      <c r="AW662" s="82" t="s">
        <v>13759</v>
      </c>
      <c r="AX662" s="82" t="s">
        <v>13759</v>
      </c>
      <c r="AY662" s="77"/>
      <c r="AZ662" s="82" t="s">
        <v>17385</v>
      </c>
      <c r="BA662" s="82" t="s">
        <v>17385</v>
      </c>
      <c r="BB662" s="82" t="s">
        <v>17385</v>
      </c>
      <c r="BC662" s="82" t="s">
        <v>13759</v>
      </c>
      <c r="BD662" s="82" t="s">
        <v>17521</v>
      </c>
      <c r="BE662" s="77"/>
      <c r="BF662" s="77"/>
      <c r="BG662" s="77"/>
      <c r="BH662" s="77"/>
      <c r="BI662" s="77"/>
    </row>
    <row r="663" spans="1:61" x14ac:dyDescent="0.25">
      <c r="A663" s="62" t="s">
        <v>375</v>
      </c>
      <c r="B663" s="62" t="s">
        <v>375</v>
      </c>
      <c r="C663" s="63"/>
      <c r="D663" s="64"/>
      <c r="E663" s="65"/>
      <c r="F663" s="66"/>
      <c r="G663" s="63"/>
      <c r="H663" s="67"/>
      <c r="I663" s="68"/>
      <c r="J663" s="68"/>
      <c r="K663" s="32"/>
      <c r="L663" s="75">
        <v>663</v>
      </c>
      <c r="M663" s="75"/>
      <c r="N663" s="70"/>
      <c r="O663" s="77" t="s">
        <v>179</v>
      </c>
      <c r="P663" s="79">
        <v>45064.546064814815</v>
      </c>
      <c r="Q663" s="77" t="s">
        <v>1456</v>
      </c>
      <c r="R663" s="77">
        <v>0</v>
      </c>
      <c r="S663" s="77">
        <v>0</v>
      </c>
      <c r="T663" s="77">
        <v>0</v>
      </c>
      <c r="U663" s="77">
        <v>0</v>
      </c>
      <c r="V663" s="77">
        <v>38</v>
      </c>
      <c r="W663" s="82" t="s">
        <v>5189</v>
      </c>
      <c r="X663" s="80" t="str">
        <f>HYPERLINK("https://www.youtube.com/@FacilitandooInvestidor/featured")</f>
        <v>https://www.youtube.com/@FacilitandooInvestidor/featured</v>
      </c>
      <c r="Y663" s="77" t="s">
        <v>7065</v>
      </c>
      <c r="Z663" s="77"/>
      <c r="AA663" s="77" t="s">
        <v>7632</v>
      </c>
      <c r="AB663" s="77" t="s">
        <v>8225</v>
      </c>
      <c r="AC663" s="82" t="s">
        <v>8234</v>
      </c>
      <c r="AD663" s="77" t="s">
        <v>8278</v>
      </c>
      <c r="AE663" s="80" t="str">
        <f>HYPERLINK("https://twitter.com/facilinvestidor/status/1659183640134266881")</f>
        <v>https://twitter.com/facilinvestidor/status/1659183640134266881</v>
      </c>
      <c r="AF663" s="79">
        <v>45064.546064814815</v>
      </c>
      <c r="AG663" s="85">
        <v>45064</v>
      </c>
      <c r="AH663" s="82" t="s">
        <v>8898</v>
      </c>
      <c r="AI663" s="77" t="b">
        <v>0</v>
      </c>
      <c r="AJ663" s="77"/>
      <c r="AK663" s="77"/>
      <c r="AL663" s="77"/>
      <c r="AM663" s="77"/>
      <c r="AN663" s="77"/>
      <c r="AO663" s="77"/>
      <c r="AP663" s="77"/>
      <c r="AQ663" s="77" t="s">
        <v>12517</v>
      </c>
      <c r="AR663" s="77"/>
      <c r="AS663" s="77"/>
      <c r="AT663" s="77"/>
      <c r="AU663" s="77"/>
      <c r="AV663" s="80" t="str">
        <f>HYPERLINK("https://pbs.twimg.com/media/Fwaaue6WcAQhSwc.jpg")</f>
        <v>https://pbs.twimg.com/media/Fwaaue6WcAQhSwc.jpg</v>
      </c>
      <c r="AW663" s="82" t="s">
        <v>13760</v>
      </c>
      <c r="AX663" s="82" t="s">
        <v>13760</v>
      </c>
      <c r="AY663" s="77"/>
      <c r="AZ663" s="82" t="s">
        <v>17385</v>
      </c>
      <c r="BA663" s="82" t="s">
        <v>17385</v>
      </c>
      <c r="BB663" s="82" t="s">
        <v>17385</v>
      </c>
      <c r="BC663" s="82" t="s">
        <v>13760</v>
      </c>
      <c r="BD663" s="82" t="s">
        <v>17521</v>
      </c>
      <c r="BE663" s="77"/>
      <c r="BF663" s="77"/>
      <c r="BG663" s="77"/>
      <c r="BH663" s="77"/>
      <c r="BI663" s="77"/>
    </row>
    <row r="664" spans="1:61" x14ac:dyDescent="0.25">
      <c r="A664" s="62" t="s">
        <v>376</v>
      </c>
      <c r="B664" s="62" t="s">
        <v>376</v>
      </c>
      <c r="C664" s="63"/>
      <c r="D664" s="64"/>
      <c r="E664" s="65"/>
      <c r="F664" s="66"/>
      <c r="G664" s="63"/>
      <c r="H664" s="67"/>
      <c r="I664" s="68"/>
      <c r="J664" s="68"/>
      <c r="K664" s="32"/>
      <c r="L664" s="75">
        <v>664</v>
      </c>
      <c r="M664" s="75"/>
      <c r="N664" s="70"/>
      <c r="O664" s="77" t="s">
        <v>179</v>
      </c>
      <c r="P664" s="79">
        <v>45147.618888888886</v>
      </c>
      <c r="Q664" s="77" t="s">
        <v>1457</v>
      </c>
      <c r="R664" s="77">
        <v>0</v>
      </c>
      <c r="S664" s="77">
        <v>0</v>
      </c>
      <c r="T664" s="77">
        <v>0</v>
      </c>
      <c r="U664" s="77">
        <v>0</v>
      </c>
      <c r="V664" s="77">
        <v>23</v>
      </c>
      <c r="W664" s="82" t="s">
        <v>5190</v>
      </c>
      <c r="X664" s="80" t="str">
        <f>HYPERLINK("https://www.papofacil.com.br/2023/08/887-netsecurity.html")</f>
        <v>https://www.papofacil.com.br/2023/08/887-netsecurity.html</v>
      </c>
      <c r="Y664" s="77" t="s">
        <v>7053</v>
      </c>
      <c r="Z664" s="77"/>
      <c r="AA664" s="77" t="s">
        <v>7633</v>
      </c>
      <c r="AB664" s="77" t="s">
        <v>8225</v>
      </c>
      <c r="AC664" s="82" t="s">
        <v>8232</v>
      </c>
      <c r="AD664" s="77" t="s">
        <v>8278</v>
      </c>
      <c r="AE664" s="80" t="str">
        <f>HYPERLINK("https://twitter.com/fxando/status/1689288224089219072")</f>
        <v>https://twitter.com/fxando/status/1689288224089219072</v>
      </c>
      <c r="AF664" s="79">
        <v>45147.618888888886</v>
      </c>
      <c r="AG664" s="85">
        <v>45147</v>
      </c>
      <c r="AH664" s="82" t="s">
        <v>8899</v>
      </c>
      <c r="AI664" s="77" t="b">
        <v>0</v>
      </c>
      <c r="AJ664" s="77"/>
      <c r="AK664" s="77"/>
      <c r="AL664" s="77"/>
      <c r="AM664" s="77"/>
      <c r="AN664" s="77"/>
      <c r="AO664" s="77"/>
      <c r="AP664" s="77"/>
      <c r="AQ664" s="77" t="s">
        <v>12518</v>
      </c>
      <c r="AR664" s="77"/>
      <c r="AS664" s="77"/>
      <c r="AT664" s="77"/>
      <c r="AU664" s="77"/>
      <c r="AV664" s="80" t="str">
        <f>HYPERLINK("https://pbs.twimg.com/media/F3GOrlyWgAA5xHb.jpg")</f>
        <v>https://pbs.twimg.com/media/F3GOrlyWgAA5xHb.jpg</v>
      </c>
      <c r="AW664" s="82" t="s">
        <v>13761</v>
      </c>
      <c r="AX664" s="82" t="s">
        <v>13761</v>
      </c>
      <c r="AY664" s="77"/>
      <c r="AZ664" s="82" t="s">
        <v>17385</v>
      </c>
      <c r="BA664" s="82" t="s">
        <v>17385</v>
      </c>
      <c r="BB664" s="82" t="s">
        <v>17385</v>
      </c>
      <c r="BC664" s="82" t="s">
        <v>13761</v>
      </c>
      <c r="BD664" s="77">
        <v>48850831</v>
      </c>
      <c r="BE664" s="77"/>
      <c r="BF664" s="77"/>
      <c r="BG664" s="77"/>
      <c r="BH664" s="77"/>
      <c r="BI664" s="77"/>
    </row>
    <row r="665" spans="1:61" x14ac:dyDescent="0.25">
      <c r="A665" s="62" t="s">
        <v>377</v>
      </c>
      <c r="B665" s="62" t="s">
        <v>377</v>
      </c>
      <c r="C665" s="63"/>
      <c r="D665" s="64"/>
      <c r="E665" s="65"/>
      <c r="F665" s="66"/>
      <c r="G665" s="63"/>
      <c r="H665" s="67"/>
      <c r="I665" s="68"/>
      <c r="J665" s="68"/>
      <c r="K665" s="32"/>
      <c r="L665" s="75">
        <v>665</v>
      </c>
      <c r="M665" s="75"/>
      <c r="N665" s="70"/>
      <c r="O665" s="77" t="s">
        <v>179</v>
      </c>
      <c r="P665" s="79">
        <v>45138.592650462961</v>
      </c>
      <c r="Q665" s="77" t="s">
        <v>1458</v>
      </c>
      <c r="R665" s="77">
        <v>0</v>
      </c>
      <c r="S665" s="77">
        <v>2</v>
      </c>
      <c r="T665" s="77">
        <v>0</v>
      </c>
      <c r="U665" s="77">
        <v>0</v>
      </c>
      <c r="V665" s="77">
        <v>950</v>
      </c>
      <c r="W665" s="82" t="s">
        <v>5191</v>
      </c>
      <c r="X665" s="77"/>
      <c r="Y665" s="77"/>
      <c r="Z665" s="77"/>
      <c r="AA665" s="77" t="s">
        <v>7634</v>
      </c>
      <c r="AB665" s="77" t="s">
        <v>8227</v>
      </c>
      <c r="AC665" s="82" t="s">
        <v>8238</v>
      </c>
      <c r="AD665" s="77" t="s">
        <v>8278</v>
      </c>
      <c r="AE665" s="80" t="str">
        <f>HYPERLINK("https://twitter.com/jovempanentrete/status/1686017221943029760")</f>
        <v>https://twitter.com/jovempanentrete/status/1686017221943029760</v>
      </c>
      <c r="AF665" s="79">
        <v>45138.592650462961</v>
      </c>
      <c r="AG665" s="85">
        <v>45138</v>
      </c>
      <c r="AH665" s="82" t="s">
        <v>8900</v>
      </c>
      <c r="AI665" s="77" t="b">
        <v>0</v>
      </c>
      <c r="AJ665" s="77"/>
      <c r="AK665" s="77"/>
      <c r="AL665" s="77"/>
      <c r="AM665" s="77"/>
      <c r="AN665" s="77"/>
      <c r="AO665" s="77"/>
      <c r="AP665" s="77"/>
      <c r="AQ665" s="77" t="s">
        <v>12519</v>
      </c>
      <c r="AR665" s="77">
        <v>415734</v>
      </c>
      <c r="AS665" s="77"/>
      <c r="AT665" s="77"/>
      <c r="AU665" s="77"/>
      <c r="AV665" s="80" t="str">
        <f>HYPERLINK("https://pbs.twimg.com/amplify_video_thumb/1686016757373267969/img/u7BB9qyPBoxymhv5.jpg")</f>
        <v>https://pbs.twimg.com/amplify_video_thumb/1686016757373267969/img/u7BB9qyPBoxymhv5.jpg</v>
      </c>
      <c r="AW665" s="82" t="s">
        <v>13762</v>
      </c>
      <c r="AX665" s="82" t="s">
        <v>13762</v>
      </c>
      <c r="AY665" s="77"/>
      <c r="AZ665" s="82" t="s">
        <v>17385</v>
      </c>
      <c r="BA665" s="82" t="s">
        <v>17385</v>
      </c>
      <c r="BB665" s="82" t="s">
        <v>17385</v>
      </c>
      <c r="BC665" s="82" t="s">
        <v>13762</v>
      </c>
      <c r="BD665" s="77">
        <v>27900594</v>
      </c>
      <c r="BE665" s="77"/>
      <c r="BF665" s="77"/>
      <c r="BG665" s="77"/>
      <c r="BH665" s="77"/>
      <c r="BI665" s="77"/>
    </row>
    <row r="666" spans="1:61" x14ac:dyDescent="0.25">
      <c r="A666" s="62" t="s">
        <v>378</v>
      </c>
      <c r="B666" s="62" t="s">
        <v>378</v>
      </c>
      <c r="C666" s="63"/>
      <c r="D666" s="64"/>
      <c r="E666" s="65"/>
      <c r="F666" s="66"/>
      <c r="G666" s="63"/>
      <c r="H666" s="67"/>
      <c r="I666" s="68"/>
      <c r="J666" s="68"/>
      <c r="K666" s="32"/>
      <c r="L666" s="75">
        <v>666</v>
      </c>
      <c r="M666" s="75"/>
      <c r="N666" s="70"/>
      <c r="O666" s="77" t="s">
        <v>179</v>
      </c>
      <c r="P666" s="79">
        <v>45108.600763888891</v>
      </c>
      <c r="Q666" s="77" t="s">
        <v>1459</v>
      </c>
      <c r="R666" s="77">
        <v>0</v>
      </c>
      <c r="S666" s="77">
        <v>0</v>
      </c>
      <c r="T666" s="77">
        <v>0</v>
      </c>
      <c r="U666" s="77">
        <v>0</v>
      </c>
      <c r="V666" s="77">
        <v>4</v>
      </c>
      <c r="W666" s="82" t="s">
        <v>4835</v>
      </c>
      <c r="X666" s="80" t="str">
        <f>HYPERLINK("https://www.portalviu.com.br/brasil/petrobras-reduz-preco-da-gasolina-e-perde-r-21-bi-em-valor-de-mercado-na-bolsa")</f>
        <v>https://www.portalviu.com.br/brasil/petrobras-reduz-preco-da-gasolina-e-perde-r-21-bi-em-valor-de-mercado-na-bolsa</v>
      </c>
      <c r="Y666" s="77" t="s">
        <v>7053</v>
      </c>
      <c r="Z666" s="77"/>
      <c r="AA666" s="77" t="s">
        <v>7635</v>
      </c>
      <c r="AB666" s="77" t="s">
        <v>8225</v>
      </c>
      <c r="AC666" s="82" t="s">
        <v>8234</v>
      </c>
      <c r="AD666" s="77" t="s">
        <v>8278</v>
      </c>
      <c r="AE666" s="80" t="str">
        <f>HYPERLINK("https://twitter.com/portal_viu/status/1675148526618132481")</f>
        <v>https://twitter.com/portal_viu/status/1675148526618132481</v>
      </c>
      <c r="AF666" s="79">
        <v>45108.600763888891</v>
      </c>
      <c r="AG666" s="85">
        <v>45108</v>
      </c>
      <c r="AH666" s="82" t="s">
        <v>8901</v>
      </c>
      <c r="AI666" s="77" t="b">
        <v>0</v>
      </c>
      <c r="AJ666" s="77"/>
      <c r="AK666" s="77"/>
      <c r="AL666" s="77"/>
      <c r="AM666" s="77"/>
      <c r="AN666" s="77"/>
      <c r="AO666" s="77"/>
      <c r="AP666" s="77"/>
      <c r="AQ666" s="77" t="s">
        <v>12520</v>
      </c>
      <c r="AR666" s="77"/>
      <c r="AS666" s="77"/>
      <c r="AT666" s="77"/>
      <c r="AU666" s="77"/>
      <c r="AV666" s="80" t="str">
        <f>HYPERLINK("https://pbs.twimg.com/media/Fz9StS_XoAYjyyN.jpg")</f>
        <v>https://pbs.twimg.com/media/Fz9StS_XoAYjyyN.jpg</v>
      </c>
      <c r="AW666" s="82" t="s">
        <v>13763</v>
      </c>
      <c r="AX666" s="82" t="s">
        <v>13763</v>
      </c>
      <c r="AY666" s="77"/>
      <c r="AZ666" s="82" t="s">
        <v>17385</v>
      </c>
      <c r="BA666" s="82" t="s">
        <v>17385</v>
      </c>
      <c r="BB666" s="82" t="s">
        <v>17385</v>
      </c>
      <c r="BC666" s="82" t="s">
        <v>13763</v>
      </c>
      <c r="BD666" s="77">
        <v>1017413287</v>
      </c>
      <c r="BE666" s="77"/>
      <c r="BF666" s="77"/>
      <c r="BG666" s="77"/>
      <c r="BH666" s="77"/>
      <c r="BI666" s="77"/>
    </row>
    <row r="667" spans="1:61" x14ac:dyDescent="0.25">
      <c r="A667" s="62" t="s">
        <v>379</v>
      </c>
      <c r="B667" s="62" t="s">
        <v>446</v>
      </c>
      <c r="C667" s="63"/>
      <c r="D667" s="64"/>
      <c r="E667" s="65"/>
      <c r="F667" s="66"/>
      <c r="G667" s="63"/>
      <c r="H667" s="67"/>
      <c r="I667" s="68"/>
      <c r="J667" s="68"/>
      <c r="K667" s="32"/>
      <c r="L667" s="75">
        <v>667</v>
      </c>
      <c r="M667" s="75"/>
      <c r="N667" s="70"/>
      <c r="O667" s="77" t="s">
        <v>801</v>
      </c>
      <c r="P667" s="79">
        <v>45130.69390046296</v>
      </c>
      <c r="Q667" s="77" t="s">
        <v>1460</v>
      </c>
      <c r="R667" s="77">
        <v>0</v>
      </c>
      <c r="S667" s="77">
        <v>0</v>
      </c>
      <c r="T667" s="77">
        <v>0</v>
      </c>
      <c r="U667" s="77">
        <v>0</v>
      </c>
      <c r="V667" s="77">
        <v>24</v>
      </c>
      <c r="W667" s="82" t="s">
        <v>5192</v>
      </c>
      <c r="X667" s="77"/>
      <c r="Y667" s="77"/>
      <c r="Z667" s="77"/>
      <c r="AA667" s="77"/>
      <c r="AB667" s="77"/>
      <c r="AC667" s="82" t="s">
        <v>8234</v>
      </c>
      <c r="AD667" s="77" t="s">
        <v>8278</v>
      </c>
      <c r="AE667" s="80" t="str">
        <f>HYPERLINK("https://twitter.com/jocarlosdaraujo/status/1683154814056775682")</f>
        <v>https://twitter.com/jocarlosdaraujo/status/1683154814056775682</v>
      </c>
      <c r="AF667" s="79">
        <v>45130.69390046296</v>
      </c>
      <c r="AG667" s="85">
        <v>45130</v>
      </c>
      <c r="AH667" s="82" t="s">
        <v>8902</v>
      </c>
      <c r="AI667" s="77"/>
      <c r="AJ667" s="77"/>
      <c r="AK667" s="77"/>
      <c r="AL667" s="77"/>
      <c r="AM667" s="77"/>
      <c r="AN667" s="77"/>
      <c r="AO667" s="77"/>
      <c r="AP667" s="77"/>
      <c r="AQ667" s="77"/>
      <c r="AR667" s="77"/>
      <c r="AS667" s="77"/>
      <c r="AT667" s="77"/>
      <c r="AU667" s="77"/>
      <c r="AV667" s="80" t="str">
        <f>HYPERLINK("https://pbs.twimg.com/profile_images/1568043423864594432/NIeaaUix_normal.jpg")</f>
        <v>https://pbs.twimg.com/profile_images/1568043423864594432/NIeaaUix_normal.jpg</v>
      </c>
      <c r="AW667" s="82" t="s">
        <v>13764</v>
      </c>
      <c r="AX667" s="82" t="s">
        <v>13764</v>
      </c>
      <c r="AY667" s="77"/>
      <c r="AZ667" s="82" t="s">
        <v>17385</v>
      </c>
      <c r="BA667" s="82" t="s">
        <v>14477</v>
      </c>
      <c r="BB667" s="82" t="s">
        <v>17385</v>
      </c>
      <c r="BC667" s="82" t="s">
        <v>14477</v>
      </c>
      <c r="BD667" s="82" t="s">
        <v>17522</v>
      </c>
      <c r="BE667" s="77"/>
      <c r="BF667" s="77"/>
      <c r="BG667" s="77"/>
      <c r="BH667" s="77"/>
      <c r="BI667" s="77"/>
    </row>
    <row r="668" spans="1:61" x14ac:dyDescent="0.25">
      <c r="A668" s="62" t="s">
        <v>380</v>
      </c>
      <c r="B668" s="62" t="s">
        <v>380</v>
      </c>
      <c r="C668" s="63"/>
      <c r="D668" s="64"/>
      <c r="E668" s="65"/>
      <c r="F668" s="66"/>
      <c r="G668" s="63"/>
      <c r="H668" s="67"/>
      <c r="I668" s="68"/>
      <c r="J668" s="68"/>
      <c r="K668" s="32"/>
      <c r="L668" s="75">
        <v>668</v>
      </c>
      <c r="M668" s="75"/>
      <c r="N668" s="70"/>
      <c r="O668" s="77" t="s">
        <v>800</v>
      </c>
      <c r="P668" s="79">
        <v>45138.805277777778</v>
      </c>
      <c r="Q668" s="77" t="s">
        <v>1461</v>
      </c>
      <c r="R668" s="77">
        <v>0</v>
      </c>
      <c r="S668" s="77">
        <v>0</v>
      </c>
      <c r="T668" s="77">
        <v>0</v>
      </c>
      <c r="U668" s="77">
        <v>0</v>
      </c>
      <c r="V668" s="77">
        <v>37</v>
      </c>
      <c r="W668" s="82" t="s">
        <v>5193</v>
      </c>
      <c r="X668" s="77"/>
      <c r="Y668" s="77"/>
      <c r="Z668" s="77"/>
      <c r="AA668" s="77" t="s">
        <v>7636</v>
      </c>
      <c r="AB668" s="77" t="s">
        <v>8229</v>
      </c>
      <c r="AC668" s="82" t="s">
        <v>8233</v>
      </c>
      <c r="AD668" s="77" t="s">
        <v>8278</v>
      </c>
      <c r="AE668" s="80" t="str">
        <f>HYPERLINK("https://twitter.com/felipedospneus/status/1686094277703585792")</f>
        <v>https://twitter.com/felipedospneus/status/1686094277703585792</v>
      </c>
      <c r="AF668" s="79">
        <v>45138.805277777778</v>
      </c>
      <c r="AG668" s="85">
        <v>45138</v>
      </c>
      <c r="AH668" s="82" t="s">
        <v>8903</v>
      </c>
      <c r="AI668" s="77" t="b">
        <v>0</v>
      </c>
      <c r="AJ668" s="77" t="s">
        <v>11999</v>
      </c>
      <c r="AK668" s="77" t="s">
        <v>12007</v>
      </c>
      <c r="AL668" s="77" t="s">
        <v>12010</v>
      </c>
      <c r="AM668" s="77" t="s">
        <v>12018</v>
      </c>
      <c r="AN668" s="77" t="s">
        <v>12031</v>
      </c>
      <c r="AO668" s="77" t="s">
        <v>12044</v>
      </c>
      <c r="AP668" s="77" t="s">
        <v>12051</v>
      </c>
      <c r="AQ668" s="77" t="s">
        <v>12521</v>
      </c>
      <c r="AR668" s="77"/>
      <c r="AS668" s="77"/>
      <c r="AT668" s="77"/>
      <c r="AU668" s="77"/>
      <c r="AV668" s="80" t="str">
        <f>HYPERLINK("https://pbs.twimg.com/media/F2Y1zqqWEAAzXz5.jpg")</f>
        <v>https://pbs.twimg.com/media/F2Y1zqqWEAAzXz5.jpg</v>
      </c>
      <c r="AW668" s="82" t="s">
        <v>13765</v>
      </c>
      <c r="AX668" s="82" t="s">
        <v>17168</v>
      </c>
      <c r="AY668" s="82" t="s">
        <v>17342</v>
      </c>
      <c r="AZ668" s="82" t="s">
        <v>17168</v>
      </c>
      <c r="BA668" s="82" t="s">
        <v>17385</v>
      </c>
      <c r="BB668" s="82" t="s">
        <v>17385</v>
      </c>
      <c r="BC668" s="82" t="s">
        <v>17168</v>
      </c>
      <c r="BD668" s="82" t="s">
        <v>17342</v>
      </c>
      <c r="BE668" s="77"/>
      <c r="BF668" s="77"/>
      <c r="BG668" s="77"/>
      <c r="BH668" s="77"/>
      <c r="BI668" s="77"/>
    </row>
    <row r="669" spans="1:61" x14ac:dyDescent="0.25">
      <c r="A669" s="62" t="s">
        <v>381</v>
      </c>
      <c r="B669" s="62" t="s">
        <v>381</v>
      </c>
      <c r="C669" s="63"/>
      <c r="D669" s="64"/>
      <c r="E669" s="65"/>
      <c r="F669" s="66"/>
      <c r="G669" s="63"/>
      <c r="H669" s="67"/>
      <c r="I669" s="68"/>
      <c r="J669" s="68"/>
      <c r="K669" s="32"/>
      <c r="L669" s="75">
        <v>669</v>
      </c>
      <c r="M669" s="75"/>
      <c r="N669" s="70"/>
      <c r="O669" s="77" t="s">
        <v>179</v>
      </c>
      <c r="P669" s="79">
        <v>45196.816006944442</v>
      </c>
      <c r="Q669" s="77" t="s">
        <v>1462</v>
      </c>
      <c r="R669" s="77">
        <v>0</v>
      </c>
      <c r="S669" s="77">
        <v>0</v>
      </c>
      <c r="T669" s="77">
        <v>0</v>
      </c>
      <c r="U669" s="77">
        <v>0</v>
      </c>
      <c r="V669" s="77">
        <v>12</v>
      </c>
      <c r="W669" s="82" t="s">
        <v>5194</v>
      </c>
      <c r="X669" s="77"/>
      <c r="Y669" s="77"/>
      <c r="Z669" s="77"/>
      <c r="AA669" s="77" t="s">
        <v>7637</v>
      </c>
      <c r="AB669" s="77" t="s">
        <v>8227</v>
      </c>
      <c r="AC669" s="82" t="s">
        <v>8233</v>
      </c>
      <c r="AD669" s="77" t="s">
        <v>8278</v>
      </c>
      <c r="AE669" s="80" t="str">
        <f>HYPERLINK("https://twitter.com/eniacsjc/status/1707116660262326769")</f>
        <v>https://twitter.com/eniacsjc/status/1707116660262326769</v>
      </c>
      <c r="AF669" s="79">
        <v>45196.816006944442</v>
      </c>
      <c r="AG669" s="85">
        <v>45196</v>
      </c>
      <c r="AH669" s="82" t="s">
        <v>8904</v>
      </c>
      <c r="AI669" s="77" t="b">
        <v>0</v>
      </c>
      <c r="AJ669" s="77"/>
      <c r="AK669" s="77"/>
      <c r="AL669" s="77"/>
      <c r="AM669" s="77"/>
      <c r="AN669" s="77"/>
      <c r="AO669" s="77"/>
      <c r="AP669" s="77"/>
      <c r="AQ669" s="77" t="s">
        <v>12522</v>
      </c>
      <c r="AR669" s="77">
        <v>5066</v>
      </c>
      <c r="AS669" s="77"/>
      <c r="AT669" s="77"/>
      <c r="AU669" s="77"/>
      <c r="AV669" s="80" t="str">
        <f>HYPERLINK("https://pbs.twimg.com/ext_tw_video_thumb/1707116633087455232/pu/img/cbaWBcg3puoW9IBN.jpg")</f>
        <v>https://pbs.twimg.com/ext_tw_video_thumb/1707116633087455232/pu/img/cbaWBcg3puoW9IBN.jpg</v>
      </c>
      <c r="AW669" s="82" t="s">
        <v>13766</v>
      </c>
      <c r="AX669" s="82" t="s">
        <v>13766</v>
      </c>
      <c r="AY669" s="77"/>
      <c r="AZ669" s="82" t="s">
        <v>17385</v>
      </c>
      <c r="BA669" s="82" t="s">
        <v>17385</v>
      </c>
      <c r="BB669" s="82" t="s">
        <v>17385</v>
      </c>
      <c r="BC669" s="82" t="s">
        <v>13766</v>
      </c>
      <c r="BD669" s="82" t="s">
        <v>17523</v>
      </c>
      <c r="BE669" s="77"/>
      <c r="BF669" s="77"/>
      <c r="BG669" s="77"/>
      <c r="BH669" s="77"/>
      <c r="BI669" s="77"/>
    </row>
    <row r="670" spans="1:61" x14ac:dyDescent="0.25">
      <c r="A670" s="62" t="s">
        <v>382</v>
      </c>
      <c r="B670" s="62" t="s">
        <v>382</v>
      </c>
      <c r="C670" s="63"/>
      <c r="D670" s="64"/>
      <c r="E670" s="65"/>
      <c r="F670" s="66"/>
      <c r="G670" s="63"/>
      <c r="H670" s="67"/>
      <c r="I670" s="68"/>
      <c r="J670" s="68"/>
      <c r="K670" s="32"/>
      <c r="L670" s="75">
        <v>670</v>
      </c>
      <c r="M670" s="75"/>
      <c r="N670" s="70"/>
      <c r="O670" s="77" t="s">
        <v>179</v>
      </c>
      <c r="P670" s="79">
        <v>45096.76017361111</v>
      </c>
      <c r="Q670" s="77" t="s">
        <v>1463</v>
      </c>
      <c r="R670" s="77">
        <v>0</v>
      </c>
      <c r="S670" s="77">
        <v>1</v>
      </c>
      <c r="T670" s="77">
        <v>0</v>
      </c>
      <c r="U670" s="77">
        <v>0</v>
      </c>
      <c r="V670" s="77">
        <v>76</v>
      </c>
      <c r="W670" s="82" t="s">
        <v>5195</v>
      </c>
      <c r="X670" s="80" t="str">
        <f>HYPERLINK("https://youtu.be/7GWn2EYnhkQ")</f>
        <v>https://youtu.be/7GWn2EYnhkQ</v>
      </c>
      <c r="Y670" s="77" t="s">
        <v>7064</v>
      </c>
      <c r="Z670" s="77"/>
      <c r="AA670" s="77"/>
      <c r="AB670" s="77"/>
      <c r="AC670" s="82" t="s">
        <v>8234</v>
      </c>
      <c r="AD670" s="77" t="s">
        <v>8278</v>
      </c>
      <c r="AE670" s="80" t="str">
        <f>HYPERLINK("https://twitter.com/darisamattos/status/1670857640300118034")</f>
        <v>https://twitter.com/darisamattos/status/1670857640300118034</v>
      </c>
      <c r="AF670" s="79">
        <v>45096.76017361111</v>
      </c>
      <c r="AG670" s="85">
        <v>45096</v>
      </c>
      <c r="AH670" s="82" t="s">
        <v>8905</v>
      </c>
      <c r="AI670" s="77" t="b">
        <v>0</v>
      </c>
      <c r="AJ670" s="77"/>
      <c r="AK670" s="77"/>
      <c r="AL670" s="77"/>
      <c r="AM670" s="77"/>
      <c r="AN670" s="77"/>
      <c r="AO670" s="77"/>
      <c r="AP670" s="77"/>
      <c r="AQ670" s="77"/>
      <c r="AR670" s="77"/>
      <c r="AS670" s="77"/>
      <c r="AT670" s="77"/>
      <c r="AU670" s="77"/>
      <c r="AV670" s="80" t="str">
        <f>HYPERLINK("https://pbs.twimg.com/profile_images/1053051814554296320/N7-SmvXF_normal.jpg")</f>
        <v>https://pbs.twimg.com/profile_images/1053051814554296320/N7-SmvXF_normal.jpg</v>
      </c>
      <c r="AW670" s="82" t="s">
        <v>13767</v>
      </c>
      <c r="AX670" s="82" t="s">
        <v>13767</v>
      </c>
      <c r="AY670" s="77"/>
      <c r="AZ670" s="82" t="s">
        <v>17385</v>
      </c>
      <c r="BA670" s="82" t="s">
        <v>17385</v>
      </c>
      <c r="BB670" s="82" t="s">
        <v>17385</v>
      </c>
      <c r="BC670" s="82" t="s">
        <v>13767</v>
      </c>
      <c r="BD670" s="82" t="s">
        <v>17524</v>
      </c>
      <c r="BE670" s="77"/>
      <c r="BF670" s="77"/>
      <c r="BG670" s="77"/>
      <c r="BH670" s="77"/>
      <c r="BI670" s="77"/>
    </row>
    <row r="671" spans="1:61" x14ac:dyDescent="0.25">
      <c r="A671" s="62" t="s">
        <v>382</v>
      </c>
      <c r="B671" s="62" t="s">
        <v>382</v>
      </c>
      <c r="C671" s="63"/>
      <c r="D671" s="64"/>
      <c r="E671" s="65"/>
      <c r="F671" s="66"/>
      <c r="G671" s="63"/>
      <c r="H671" s="67"/>
      <c r="I671" s="68"/>
      <c r="J671" s="68"/>
      <c r="K671" s="32"/>
      <c r="L671" s="75">
        <v>671</v>
      </c>
      <c r="M671" s="75"/>
      <c r="N671" s="70"/>
      <c r="O671" s="77" t="s">
        <v>179</v>
      </c>
      <c r="P671" s="79">
        <v>45114.723761574074</v>
      </c>
      <c r="Q671" s="77" t="s">
        <v>1464</v>
      </c>
      <c r="R671" s="77">
        <v>0</v>
      </c>
      <c r="S671" s="77">
        <v>0</v>
      </c>
      <c r="T671" s="77">
        <v>0</v>
      </c>
      <c r="U671" s="77">
        <v>0</v>
      </c>
      <c r="V671" s="77">
        <v>29</v>
      </c>
      <c r="W671" s="82" t="s">
        <v>5196</v>
      </c>
      <c r="X671" s="80" t="str">
        <f>HYPERLINK("https://youtu.be/CY7JaapvQxE")</f>
        <v>https://youtu.be/CY7JaapvQxE</v>
      </c>
      <c r="Y671" s="77" t="s">
        <v>7064</v>
      </c>
      <c r="Z671" s="77"/>
      <c r="AA671" s="77"/>
      <c r="AB671" s="77"/>
      <c r="AC671" s="82" t="s">
        <v>8234</v>
      </c>
      <c r="AD671" s="77" t="s">
        <v>8278</v>
      </c>
      <c r="AE671" s="80" t="str">
        <f>HYPERLINK("https://twitter.com/darisamattos/status/1677367426168545283")</f>
        <v>https://twitter.com/darisamattos/status/1677367426168545283</v>
      </c>
      <c r="AF671" s="79">
        <v>45114.723761574074</v>
      </c>
      <c r="AG671" s="85">
        <v>45114</v>
      </c>
      <c r="AH671" s="82" t="s">
        <v>8906</v>
      </c>
      <c r="AI671" s="77" t="b">
        <v>0</v>
      </c>
      <c r="AJ671" s="77"/>
      <c r="AK671" s="77"/>
      <c r="AL671" s="77"/>
      <c r="AM671" s="77"/>
      <c r="AN671" s="77"/>
      <c r="AO671" s="77"/>
      <c r="AP671" s="77"/>
      <c r="AQ671" s="77"/>
      <c r="AR671" s="77"/>
      <c r="AS671" s="77"/>
      <c r="AT671" s="77"/>
      <c r="AU671" s="77"/>
      <c r="AV671" s="80" t="str">
        <f>HYPERLINK("https://pbs.twimg.com/profile_images/1053051814554296320/N7-SmvXF_normal.jpg")</f>
        <v>https://pbs.twimg.com/profile_images/1053051814554296320/N7-SmvXF_normal.jpg</v>
      </c>
      <c r="AW671" s="82" t="s">
        <v>13768</v>
      </c>
      <c r="AX671" s="82" t="s">
        <v>13768</v>
      </c>
      <c r="AY671" s="77"/>
      <c r="AZ671" s="82" t="s">
        <v>17385</v>
      </c>
      <c r="BA671" s="82" t="s">
        <v>17385</v>
      </c>
      <c r="BB671" s="82" t="s">
        <v>17385</v>
      </c>
      <c r="BC671" s="82" t="s">
        <v>13768</v>
      </c>
      <c r="BD671" s="82" t="s">
        <v>17524</v>
      </c>
      <c r="BE671" s="77"/>
      <c r="BF671" s="77"/>
      <c r="BG671" s="77"/>
      <c r="BH671" s="77"/>
      <c r="BI671" s="77"/>
    </row>
    <row r="672" spans="1:61" x14ac:dyDescent="0.25">
      <c r="A672" s="62" t="s">
        <v>383</v>
      </c>
      <c r="B672" s="62" t="s">
        <v>383</v>
      </c>
      <c r="C672" s="63"/>
      <c r="D672" s="64"/>
      <c r="E672" s="65"/>
      <c r="F672" s="66"/>
      <c r="G672" s="63"/>
      <c r="H672" s="67"/>
      <c r="I672" s="68"/>
      <c r="J672" s="68"/>
      <c r="K672" s="32"/>
      <c r="L672" s="75">
        <v>672</v>
      </c>
      <c r="M672" s="75"/>
      <c r="N672" s="70"/>
      <c r="O672" s="77" t="s">
        <v>179</v>
      </c>
      <c r="P672" s="79">
        <v>45184.500162037039</v>
      </c>
      <c r="Q672" s="77" t="s">
        <v>1465</v>
      </c>
      <c r="R672" s="77">
        <v>0</v>
      </c>
      <c r="S672" s="77">
        <v>3</v>
      </c>
      <c r="T672" s="77">
        <v>1</v>
      </c>
      <c r="U672" s="77">
        <v>0</v>
      </c>
      <c r="V672" s="77">
        <v>270</v>
      </c>
      <c r="W672" s="82" t="s">
        <v>5197</v>
      </c>
      <c r="X672" s="77"/>
      <c r="Y672" s="77"/>
      <c r="Z672" s="77"/>
      <c r="AA672" s="77" t="s">
        <v>7638</v>
      </c>
      <c r="AB672" s="77" t="s">
        <v>8225</v>
      </c>
      <c r="AC672" s="82" t="s">
        <v>8233</v>
      </c>
      <c r="AD672" s="77" t="s">
        <v>8278</v>
      </c>
      <c r="AE672" s="80" t="str">
        <f>HYPERLINK("https://twitter.com/governosergipe/status/1702653549568532704")</f>
        <v>https://twitter.com/governosergipe/status/1702653549568532704</v>
      </c>
      <c r="AF672" s="79">
        <v>45184.500162037039</v>
      </c>
      <c r="AG672" s="85">
        <v>45184</v>
      </c>
      <c r="AH672" s="82" t="s">
        <v>8907</v>
      </c>
      <c r="AI672" s="77" t="b">
        <v>0</v>
      </c>
      <c r="AJ672" s="77" t="s">
        <v>12000</v>
      </c>
      <c r="AK672" s="77" t="s">
        <v>12007</v>
      </c>
      <c r="AL672" s="77" t="s">
        <v>12010</v>
      </c>
      <c r="AM672" s="77" t="s">
        <v>12019</v>
      </c>
      <c r="AN672" s="77" t="s">
        <v>12032</v>
      </c>
      <c r="AO672" s="77" t="s">
        <v>12045</v>
      </c>
      <c r="AP672" s="77" t="s">
        <v>12051</v>
      </c>
      <c r="AQ672" s="77" t="s">
        <v>12523</v>
      </c>
      <c r="AR672" s="77"/>
      <c r="AS672" s="77"/>
      <c r="AT672" s="77"/>
      <c r="AU672" s="77"/>
      <c r="AV672" s="80" t="str">
        <f>HYPERLINK("https://pbs.twimg.com/media/F6EKX2WXIAAnb1n.jpg")</f>
        <v>https://pbs.twimg.com/media/F6EKX2WXIAAnb1n.jpg</v>
      </c>
      <c r="AW672" s="82" t="s">
        <v>13769</v>
      </c>
      <c r="AX672" s="82" t="s">
        <v>13769</v>
      </c>
      <c r="AY672" s="77"/>
      <c r="AZ672" s="82" t="s">
        <v>17385</v>
      </c>
      <c r="BA672" s="82" t="s">
        <v>17385</v>
      </c>
      <c r="BB672" s="82" t="s">
        <v>17385</v>
      </c>
      <c r="BC672" s="82" t="s">
        <v>13769</v>
      </c>
      <c r="BD672" s="77">
        <v>57341747</v>
      </c>
      <c r="BE672" s="77"/>
      <c r="BF672" s="77"/>
      <c r="BG672" s="77"/>
      <c r="BH672" s="77"/>
      <c r="BI672" s="77"/>
    </row>
    <row r="673" spans="1:61" x14ac:dyDescent="0.25">
      <c r="A673" s="62" t="s">
        <v>384</v>
      </c>
      <c r="B673" s="62" t="s">
        <v>384</v>
      </c>
      <c r="C673" s="63"/>
      <c r="D673" s="64"/>
      <c r="E673" s="65"/>
      <c r="F673" s="66"/>
      <c r="G673" s="63"/>
      <c r="H673" s="67"/>
      <c r="I673" s="68"/>
      <c r="J673" s="68"/>
      <c r="K673" s="32"/>
      <c r="L673" s="75">
        <v>673</v>
      </c>
      <c r="M673" s="75"/>
      <c r="N673" s="70"/>
      <c r="O673" s="77" t="s">
        <v>179</v>
      </c>
      <c r="P673" s="79">
        <v>45153.637083333335</v>
      </c>
      <c r="Q673" s="77" t="s">
        <v>1466</v>
      </c>
      <c r="R673" s="77">
        <v>0</v>
      </c>
      <c r="S673" s="77">
        <v>0</v>
      </c>
      <c r="T673" s="77">
        <v>0</v>
      </c>
      <c r="U673" s="77">
        <v>0</v>
      </c>
      <c r="V673" s="77">
        <v>18</v>
      </c>
      <c r="W673" s="82" t="s">
        <v>5198</v>
      </c>
      <c r="X673" s="80" t="str">
        <f>HYPERLINK("https://encurtador.com.br/asIS0")</f>
        <v>https://encurtador.com.br/asIS0</v>
      </c>
      <c r="Y673" s="77" t="s">
        <v>7053</v>
      </c>
      <c r="Z673" s="77"/>
      <c r="AA673" s="77" t="s">
        <v>7639</v>
      </c>
      <c r="AB673" s="77" t="s">
        <v>8225</v>
      </c>
      <c r="AC673" s="82" t="s">
        <v>8232</v>
      </c>
      <c r="AD673" s="77" t="s">
        <v>8278</v>
      </c>
      <c r="AE673" s="80" t="str">
        <f>HYPERLINK("https://twitter.com/dolcarajas/status/1691469144485466112")</f>
        <v>https://twitter.com/dolcarajas/status/1691469144485466112</v>
      </c>
      <c r="AF673" s="79">
        <v>45153.637083333335</v>
      </c>
      <c r="AG673" s="85">
        <v>45153</v>
      </c>
      <c r="AH673" s="82" t="s">
        <v>8908</v>
      </c>
      <c r="AI673" s="77" t="b">
        <v>0</v>
      </c>
      <c r="AJ673" s="77"/>
      <c r="AK673" s="77"/>
      <c r="AL673" s="77"/>
      <c r="AM673" s="77"/>
      <c r="AN673" s="77"/>
      <c r="AO673" s="77"/>
      <c r="AP673" s="77"/>
      <c r="AQ673" s="77" t="s">
        <v>12524</v>
      </c>
      <c r="AR673" s="77"/>
      <c r="AS673" s="77"/>
      <c r="AT673" s="77"/>
      <c r="AU673" s="77"/>
      <c r="AV673" s="80" t="str">
        <f>HYPERLINK("https://pbs.twimg.com/media/F3lOMHdWgAA9KSu.jpg")</f>
        <v>https://pbs.twimg.com/media/F3lOMHdWgAA9KSu.jpg</v>
      </c>
      <c r="AW673" s="82" t="s">
        <v>13770</v>
      </c>
      <c r="AX673" s="82" t="s">
        <v>13770</v>
      </c>
      <c r="AY673" s="77"/>
      <c r="AZ673" s="82" t="s">
        <v>17385</v>
      </c>
      <c r="BA673" s="82" t="s">
        <v>17385</v>
      </c>
      <c r="BB673" s="82" t="s">
        <v>17385</v>
      </c>
      <c r="BC673" s="82" t="s">
        <v>13770</v>
      </c>
      <c r="BD673" s="82" t="s">
        <v>17525</v>
      </c>
      <c r="BE673" s="77"/>
      <c r="BF673" s="77"/>
      <c r="BG673" s="77"/>
      <c r="BH673" s="77"/>
      <c r="BI673" s="77"/>
    </row>
    <row r="674" spans="1:61" x14ac:dyDescent="0.25">
      <c r="A674" s="62" t="s">
        <v>385</v>
      </c>
      <c r="B674" s="62" t="s">
        <v>385</v>
      </c>
      <c r="C674" s="63"/>
      <c r="D674" s="64"/>
      <c r="E674" s="65"/>
      <c r="F674" s="66"/>
      <c r="G674" s="63"/>
      <c r="H674" s="67"/>
      <c r="I674" s="68"/>
      <c r="J674" s="68"/>
      <c r="K674" s="32"/>
      <c r="L674" s="75">
        <v>674</v>
      </c>
      <c r="M674" s="75"/>
      <c r="N674" s="70"/>
      <c r="O674" s="77" t="s">
        <v>179</v>
      </c>
      <c r="P674" s="79">
        <v>45158.966527777775</v>
      </c>
      <c r="Q674" s="77" t="s">
        <v>1467</v>
      </c>
      <c r="R674" s="77">
        <v>0</v>
      </c>
      <c r="S674" s="77">
        <v>0</v>
      </c>
      <c r="T674" s="77">
        <v>0</v>
      </c>
      <c r="U674" s="77">
        <v>0</v>
      </c>
      <c r="V674" s="77">
        <v>57</v>
      </c>
      <c r="W674" s="82" t="s">
        <v>5199</v>
      </c>
      <c r="X674" s="80" t="str">
        <f>HYPERLINK("https://nakatanis.wordpress.com/2023/08/20/queda-na-bolsa-de-valores-3/")</f>
        <v>https://nakatanis.wordpress.com/2023/08/20/queda-na-bolsa-de-valores-3/</v>
      </c>
      <c r="Y674" s="77" t="s">
        <v>7090</v>
      </c>
      <c r="Z674" s="77"/>
      <c r="AA674" s="77"/>
      <c r="AB674" s="77"/>
      <c r="AC674" s="82" t="s">
        <v>8232</v>
      </c>
      <c r="AD674" s="77" t="s">
        <v>8278</v>
      </c>
      <c r="AE674" s="80" t="str">
        <f>HYPERLINK("https://twitter.com/shnakatani/status/1693400470587396176")</f>
        <v>https://twitter.com/shnakatani/status/1693400470587396176</v>
      </c>
      <c r="AF674" s="79">
        <v>45158.966527777775</v>
      </c>
      <c r="AG674" s="85">
        <v>45158</v>
      </c>
      <c r="AH674" s="82" t="s">
        <v>8909</v>
      </c>
      <c r="AI674" s="77" t="b">
        <v>0</v>
      </c>
      <c r="AJ674" s="77"/>
      <c r="AK674" s="77"/>
      <c r="AL674" s="77"/>
      <c r="AM674" s="77"/>
      <c r="AN674" s="77"/>
      <c r="AO674" s="77"/>
      <c r="AP674" s="77"/>
      <c r="AQ674" s="77"/>
      <c r="AR674" s="77"/>
      <c r="AS674" s="77"/>
      <c r="AT674" s="77"/>
      <c r="AU674" s="77"/>
      <c r="AV674" s="80"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674" s="82" t="s">
        <v>13771</v>
      </c>
      <c r="AX674" s="82" t="s">
        <v>13771</v>
      </c>
      <c r="AY674" s="77"/>
      <c r="AZ674" s="82" t="s">
        <v>17385</v>
      </c>
      <c r="BA674" s="82" t="s">
        <v>17385</v>
      </c>
      <c r="BB674" s="82" t="s">
        <v>17385</v>
      </c>
      <c r="BC674" s="82" t="s">
        <v>13771</v>
      </c>
      <c r="BD674" s="77">
        <v>114651521</v>
      </c>
      <c r="BE674" s="77"/>
      <c r="BF674" s="77"/>
      <c r="BG674" s="77"/>
      <c r="BH674" s="77"/>
      <c r="BI674" s="77"/>
    </row>
    <row r="675" spans="1:61" x14ac:dyDescent="0.25">
      <c r="A675" s="62" t="s">
        <v>385</v>
      </c>
      <c r="B675" s="62" t="s">
        <v>385</v>
      </c>
      <c r="C675" s="63"/>
      <c r="D675" s="64"/>
      <c r="E675" s="65"/>
      <c r="F675" s="66"/>
      <c r="G675" s="63"/>
      <c r="H675" s="67"/>
      <c r="I675" s="68"/>
      <c r="J675" s="68"/>
      <c r="K675" s="32"/>
      <c r="L675" s="75">
        <v>675</v>
      </c>
      <c r="M675" s="75"/>
      <c r="N675" s="70"/>
      <c r="O675" s="77" t="s">
        <v>179</v>
      </c>
      <c r="P675" s="79">
        <v>45158.966400462959</v>
      </c>
      <c r="Q675" s="77" t="s">
        <v>1468</v>
      </c>
      <c r="R675" s="77">
        <v>0</v>
      </c>
      <c r="S675" s="77">
        <v>0</v>
      </c>
      <c r="T675" s="77">
        <v>0</v>
      </c>
      <c r="U675" s="77">
        <v>0</v>
      </c>
      <c r="V675" s="77">
        <v>56</v>
      </c>
      <c r="W675" s="82" t="s">
        <v>5199</v>
      </c>
      <c r="X675" s="80" t="str">
        <f>HYPERLINK("https://nakafin.netlify.app/posts/quedaB3")</f>
        <v>https://nakafin.netlify.app/posts/quedaB3</v>
      </c>
      <c r="Y675" s="77" t="s">
        <v>7091</v>
      </c>
      <c r="Z675" s="77"/>
      <c r="AA675" s="77"/>
      <c r="AB675" s="77"/>
      <c r="AC675" s="82" t="s">
        <v>8232</v>
      </c>
      <c r="AD675" s="77" t="s">
        <v>8278</v>
      </c>
      <c r="AE675" s="80" t="str">
        <f>HYPERLINK("https://twitter.com/shnakatani/status/1693400421782475147")</f>
        <v>https://twitter.com/shnakatani/status/1693400421782475147</v>
      </c>
      <c r="AF675" s="79">
        <v>45158.966400462959</v>
      </c>
      <c r="AG675" s="85">
        <v>45158</v>
      </c>
      <c r="AH675" s="82" t="s">
        <v>8910</v>
      </c>
      <c r="AI675" s="77" t="b">
        <v>0</v>
      </c>
      <c r="AJ675" s="77"/>
      <c r="AK675" s="77"/>
      <c r="AL675" s="77"/>
      <c r="AM675" s="77"/>
      <c r="AN675" s="77"/>
      <c r="AO675" s="77"/>
      <c r="AP675" s="77"/>
      <c r="AQ675" s="77"/>
      <c r="AR675" s="77"/>
      <c r="AS675" s="77"/>
      <c r="AT675" s="77"/>
      <c r="AU675" s="77"/>
      <c r="AV675" s="80"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675" s="82" t="s">
        <v>13772</v>
      </c>
      <c r="AX675" s="82" t="s">
        <v>13772</v>
      </c>
      <c r="AY675" s="77"/>
      <c r="AZ675" s="82" t="s">
        <v>17385</v>
      </c>
      <c r="BA675" s="82" t="s">
        <v>17385</v>
      </c>
      <c r="BB675" s="82" t="s">
        <v>17385</v>
      </c>
      <c r="BC675" s="82" t="s">
        <v>13772</v>
      </c>
      <c r="BD675" s="77">
        <v>114651521</v>
      </c>
      <c r="BE675" s="77"/>
      <c r="BF675" s="77"/>
      <c r="BG675" s="77"/>
      <c r="BH675" s="77"/>
      <c r="BI675" s="77"/>
    </row>
    <row r="676" spans="1:61" x14ac:dyDescent="0.25">
      <c r="A676" s="62" t="s">
        <v>386</v>
      </c>
      <c r="B676" s="62" t="s">
        <v>386</v>
      </c>
      <c r="C676" s="63"/>
      <c r="D676" s="64"/>
      <c r="E676" s="65"/>
      <c r="F676" s="66"/>
      <c r="G676" s="63"/>
      <c r="H676" s="67"/>
      <c r="I676" s="68"/>
      <c r="J676" s="68"/>
      <c r="K676" s="32"/>
      <c r="L676" s="75">
        <v>676</v>
      </c>
      <c r="M676" s="75"/>
      <c r="N676" s="70"/>
      <c r="O676" s="77" t="s">
        <v>800</v>
      </c>
      <c r="P676" s="79">
        <v>45096.455057870371</v>
      </c>
      <c r="Q676" s="77" t="s">
        <v>1469</v>
      </c>
      <c r="R676" s="77">
        <v>0</v>
      </c>
      <c r="S676" s="77">
        <v>3</v>
      </c>
      <c r="T676" s="77">
        <v>0</v>
      </c>
      <c r="U676" s="77">
        <v>0</v>
      </c>
      <c r="V676" s="77">
        <v>997</v>
      </c>
      <c r="W676" s="82" t="s">
        <v>5200</v>
      </c>
      <c r="X676" s="80" t="str">
        <f>HYPERLINK("https://lnkd.in/dD-pkqxe")</f>
        <v>https://lnkd.in/dD-pkqxe</v>
      </c>
      <c r="Y676" s="77" t="s">
        <v>7066</v>
      </c>
      <c r="Z676" s="77"/>
      <c r="AA676" s="77"/>
      <c r="AB676" s="77"/>
      <c r="AC676" s="82" t="s">
        <v>8232</v>
      </c>
      <c r="AD676" s="77" t="s">
        <v>8280</v>
      </c>
      <c r="AE676" s="80" t="str">
        <f>HYPERLINK("https://twitter.com/alisc/status/1670747072818028545")</f>
        <v>https://twitter.com/alisc/status/1670747072818028545</v>
      </c>
      <c r="AF676" s="79">
        <v>45096.455057870371</v>
      </c>
      <c r="AG676" s="85">
        <v>45096</v>
      </c>
      <c r="AH676" s="82" t="s">
        <v>8911</v>
      </c>
      <c r="AI676" s="77" t="b">
        <v>0</v>
      </c>
      <c r="AJ676" s="77"/>
      <c r="AK676" s="77"/>
      <c r="AL676" s="77"/>
      <c r="AM676" s="77"/>
      <c r="AN676" s="77"/>
      <c r="AO676" s="77"/>
      <c r="AP676" s="77"/>
      <c r="AQ676" s="77"/>
      <c r="AR676" s="77"/>
      <c r="AS676" s="77"/>
      <c r="AT676" s="77"/>
      <c r="AU676" s="77"/>
      <c r="AV676" s="80" t="str">
        <f>HYPERLINK("https://pbs.twimg.com/profile_images/1533208598012121090/GAlRj4Nn_normal.jpg")</f>
        <v>https://pbs.twimg.com/profile_images/1533208598012121090/GAlRj4Nn_normal.jpg</v>
      </c>
      <c r="AW676" s="82" t="s">
        <v>13773</v>
      </c>
      <c r="AX676" s="82" t="s">
        <v>17169</v>
      </c>
      <c r="AY676" s="82" t="s">
        <v>17343</v>
      </c>
      <c r="AZ676" s="82" t="s">
        <v>17404</v>
      </c>
      <c r="BA676" s="82" t="s">
        <v>17385</v>
      </c>
      <c r="BB676" s="82" t="s">
        <v>17385</v>
      </c>
      <c r="BC676" s="82" t="s">
        <v>17404</v>
      </c>
      <c r="BD676" s="77">
        <v>25593062</v>
      </c>
      <c r="BE676" s="77"/>
      <c r="BF676" s="77"/>
      <c r="BG676" s="77"/>
      <c r="BH676" s="77"/>
      <c r="BI676" s="77"/>
    </row>
    <row r="677" spans="1:61" x14ac:dyDescent="0.25">
      <c r="A677" s="62" t="s">
        <v>387</v>
      </c>
      <c r="B677" s="62" t="s">
        <v>755</v>
      </c>
      <c r="C677" s="63"/>
      <c r="D677" s="64"/>
      <c r="E677" s="65"/>
      <c r="F677" s="66"/>
      <c r="G677" s="63"/>
      <c r="H677" s="67"/>
      <c r="I677" s="68"/>
      <c r="J677" s="68"/>
      <c r="K677" s="32"/>
      <c r="L677" s="75">
        <v>677</v>
      </c>
      <c r="M677" s="75"/>
      <c r="N677" s="70"/>
      <c r="O677" s="77" t="s">
        <v>802</v>
      </c>
      <c r="P677" s="79">
        <v>45120.019317129627</v>
      </c>
      <c r="Q677" s="77" t="s">
        <v>1470</v>
      </c>
      <c r="R677" s="77">
        <v>0</v>
      </c>
      <c r="S677" s="77">
        <v>0</v>
      </c>
      <c r="T677" s="77">
        <v>0</v>
      </c>
      <c r="U677" s="77">
        <v>1</v>
      </c>
      <c r="V677" s="77">
        <v>89</v>
      </c>
      <c r="W677" s="82" t="s">
        <v>5201</v>
      </c>
      <c r="X677" s="80" t="str">
        <f>HYPERLINK("https://br.tradingview.com/chart/POMO4/vFGnNxPi/")</f>
        <v>https://br.tradingview.com/chart/POMO4/vFGnNxPi/</v>
      </c>
      <c r="Y677" s="77" t="s">
        <v>7092</v>
      </c>
      <c r="Z677" s="77" t="s">
        <v>755</v>
      </c>
      <c r="AA677" s="77"/>
      <c r="AB677" s="77"/>
      <c r="AC677" s="82" t="s">
        <v>8256</v>
      </c>
      <c r="AD677" s="77" t="s">
        <v>8281</v>
      </c>
      <c r="AE677" s="80" t="str">
        <f>HYPERLINK("https://twitter.com/vi_ruscito/status/1679286473034711041")</f>
        <v>https://twitter.com/vi_ruscito/status/1679286473034711041</v>
      </c>
      <c r="AF677" s="79">
        <v>45120.019317129627</v>
      </c>
      <c r="AG677" s="85">
        <v>45120</v>
      </c>
      <c r="AH677" s="82" t="s">
        <v>8912</v>
      </c>
      <c r="AI677" s="77" t="b">
        <v>0</v>
      </c>
      <c r="AJ677" s="77"/>
      <c r="AK677" s="77"/>
      <c r="AL677" s="77"/>
      <c r="AM677" s="77"/>
      <c r="AN677" s="77"/>
      <c r="AO677" s="77"/>
      <c r="AP677" s="77"/>
      <c r="AQ677" s="77"/>
      <c r="AR677" s="77"/>
      <c r="AS677" s="77"/>
      <c r="AT677" s="77"/>
      <c r="AU677" s="77"/>
      <c r="AV677" s="80" t="str">
        <f>HYPERLINK("https://pbs.twimg.com/profile_images/1287854989734547456/IVjNAuYy_normal.jpg")</f>
        <v>https://pbs.twimg.com/profile_images/1287854989734547456/IVjNAuYy_normal.jpg</v>
      </c>
      <c r="AW677" s="82" t="s">
        <v>13774</v>
      </c>
      <c r="AX677" s="82" t="s">
        <v>13774</v>
      </c>
      <c r="AY677" s="77"/>
      <c r="AZ677" s="82" t="s">
        <v>17385</v>
      </c>
      <c r="BA677" s="82" t="s">
        <v>17385</v>
      </c>
      <c r="BB677" s="82" t="s">
        <v>17385</v>
      </c>
      <c r="BC677" s="82" t="s">
        <v>13774</v>
      </c>
      <c r="BD677" s="77">
        <v>190271535</v>
      </c>
      <c r="BE677" s="77"/>
      <c r="BF677" s="77"/>
      <c r="BG677" s="77"/>
      <c r="BH677" s="77"/>
      <c r="BI677" s="77"/>
    </row>
    <row r="678" spans="1:61" x14ac:dyDescent="0.25">
      <c r="A678" s="62" t="s">
        <v>387</v>
      </c>
      <c r="B678" s="62" t="s">
        <v>387</v>
      </c>
      <c r="C678" s="63"/>
      <c r="D678" s="64"/>
      <c r="E678" s="65"/>
      <c r="F678" s="66"/>
      <c r="G678" s="63"/>
      <c r="H678" s="67"/>
      <c r="I678" s="68"/>
      <c r="J678" s="68"/>
      <c r="K678" s="32"/>
      <c r="L678" s="75">
        <v>678</v>
      </c>
      <c r="M678" s="75"/>
      <c r="N678" s="70"/>
      <c r="O678" s="77" t="s">
        <v>801</v>
      </c>
      <c r="P678" s="79">
        <v>45125.660266203704</v>
      </c>
      <c r="Q678" s="77" t="s">
        <v>1471</v>
      </c>
      <c r="R678" s="77">
        <v>0</v>
      </c>
      <c r="S678" s="77">
        <v>0</v>
      </c>
      <c r="T678" s="77">
        <v>0</v>
      </c>
      <c r="U678" s="77">
        <v>0</v>
      </c>
      <c r="V678" s="77">
        <v>70</v>
      </c>
      <c r="W678" s="82" t="s">
        <v>5202</v>
      </c>
      <c r="X678" s="77"/>
      <c r="Y678" s="77"/>
      <c r="Z678" s="77"/>
      <c r="AA678" s="77"/>
      <c r="AB678" s="77"/>
      <c r="AC678" s="82" t="s">
        <v>8232</v>
      </c>
      <c r="AD678" s="77" t="s">
        <v>8278</v>
      </c>
      <c r="AE678" s="80" t="str">
        <f>HYPERLINK("https://twitter.com/vi_ruscito/status/1681330683677999106")</f>
        <v>https://twitter.com/vi_ruscito/status/1681330683677999106</v>
      </c>
      <c r="AF678" s="79">
        <v>45125.660266203704</v>
      </c>
      <c r="AG678" s="85">
        <v>45125</v>
      </c>
      <c r="AH678" s="82" t="s">
        <v>8913</v>
      </c>
      <c r="AI678" s="77"/>
      <c r="AJ678" s="77"/>
      <c r="AK678" s="77"/>
      <c r="AL678" s="77"/>
      <c r="AM678" s="77"/>
      <c r="AN678" s="77"/>
      <c r="AO678" s="77"/>
      <c r="AP678" s="77"/>
      <c r="AQ678" s="77"/>
      <c r="AR678" s="77"/>
      <c r="AS678" s="77"/>
      <c r="AT678" s="77"/>
      <c r="AU678" s="77"/>
      <c r="AV678" s="80" t="str">
        <f>HYPERLINK("https://pbs.twimg.com/profile_images/1287854989734547456/IVjNAuYy_normal.jpg")</f>
        <v>https://pbs.twimg.com/profile_images/1287854989734547456/IVjNAuYy_normal.jpg</v>
      </c>
      <c r="AW678" s="82" t="s">
        <v>13775</v>
      </c>
      <c r="AX678" s="82" t="s">
        <v>13775</v>
      </c>
      <c r="AY678" s="77"/>
      <c r="AZ678" s="82" t="s">
        <v>17385</v>
      </c>
      <c r="BA678" s="82" t="s">
        <v>13774</v>
      </c>
      <c r="BB678" s="82" t="s">
        <v>17385</v>
      </c>
      <c r="BC678" s="82" t="s">
        <v>13774</v>
      </c>
      <c r="BD678" s="77">
        <v>190271535</v>
      </c>
      <c r="BE678" s="77"/>
      <c r="BF678" s="77"/>
      <c r="BG678" s="77"/>
      <c r="BH678" s="77"/>
      <c r="BI678" s="77"/>
    </row>
    <row r="679" spans="1:61" x14ac:dyDescent="0.25">
      <c r="A679" s="62" t="s">
        <v>388</v>
      </c>
      <c r="B679" s="62" t="s">
        <v>388</v>
      </c>
      <c r="C679" s="63"/>
      <c r="D679" s="64"/>
      <c r="E679" s="65"/>
      <c r="F679" s="66"/>
      <c r="G679" s="63"/>
      <c r="H679" s="67"/>
      <c r="I679" s="68"/>
      <c r="J679" s="68"/>
      <c r="K679" s="32"/>
      <c r="L679" s="75">
        <v>679</v>
      </c>
      <c r="M679" s="75"/>
      <c r="N679" s="70"/>
      <c r="O679" s="77" t="s">
        <v>179</v>
      </c>
      <c r="P679" s="79">
        <v>45147.858078703706</v>
      </c>
      <c r="Q679" s="77" t="s">
        <v>1472</v>
      </c>
      <c r="R679" s="77">
        <v>0</v>
      </c>
      <c r="S679" s="77">
        <v>1</v>
      </c>
      <c r="T679" s="77">
        <v>0</v>
      </c>
      <c r="U679" s="77">
        <v>0</v>
      </c>
      <c r="V679" s="77">
        <v>214</v>
      </c>
      <c r="W679" s="82" t="s">
        <v>5203</v>
      </c>
      <c r="X679" s="80" t="str">
        <f>HYPERLINK("https://dinheirama.com/wall-street-fecha-em-baixa-com-investidores-a-espera-de-dados-de-inflacao/")</f>
        <v>https://dinheirama.com/wall-street-fecha-em-baixa-com-investidores-a-espera-de-dados-de-inflacao/</v>
      </c>
      <c r="Y679" s="77" t="s">
        <v>7093</v>
      </c>
      <c r="Z679" s="77"/>
      <c r="AA679" s="77"/>
      <c r="AB679" s="77"/>
      <c r="AC679" s="82" t="s">
        <v>8232</v>
      </c>
      <c r="AD679" s="77" t="s">
        <v>8278</v>
      </c>
      <c r="AE679" s="80" t="str">
        <f>HYPERLINK("https://twitter.com/dinheirama/status/1689374904481644544")</f>
        <v>https://twitter.com/dinheirama/status/1689374904481644544</v>
      </c>
      <c r="AF679" s="79">
        <v>45147.858078703706</v>
      </c>
      <c r="AG679" s="85">
        <v>45147</v>
      </c>
      <c r="AH679" s="82" t="s">
        <v>8914</v>
      </c>
      <c r="AI679" s="77" t="b">
        <v>0</v>
      </c>
      <c r="AJ679" s="77"/>
      <c r="AK679" s="77"/>
      <c r="AL679" s="77"/>
      <c r="AM679" s="77"/>
      <c r="AN679" s="77"/>
      <c r="AO679" s="77"/>
      <c r="AP679" s="77"/>
      <c r="AQ679" s="77"/>
      <c r="AR679" s="77"/>
      <c r="AS679" s="77"/>
      <c r="AT679" s="77"/>
      <c r="AU679" s="77"/>
      <c r="AV679" s="80" t="str">
        <f>HYPERLINK("https://pbs.twimg.com/profile_images/1685831655976501248/p4Yj-D92_normal.jpg")</f>
        <v>https://pbs.twimg.com/profile_images/1685831655976501248/p4Yj-D92_normal.jpg</v>
      </c>
      <c r="AW679" s="82" t="s">
        <v>13776</v>
      </c>
      <c r="AX679" s="82" t="s">
        <v>13776</v>
      </c>
      <c r="AY679" s="77"/>
      <c r="AZ679" s="82" t="s">
        <v>17385</v>
      </c>
      <c r="BA679" s="82" t="s">
        <v>17385</v>
      </c>
      <c r="BB679" s="82" t="s">
        <v>17385</v>
      </c>
      <c r="BC679" s="82" t="s">
        <v>13776</v>
      </c>
      <c r="BD679" s="77">
        <v>23408209</v>
      </c>
      <c r="BE679" s="77"/>
      <c r="BF679" s="77"/>
      <c r="BG679" s="77"/>
      <c r="BH679" s="77"/>
      <c r="BI679" s="77"/>
    </row>
    <row r="680" spans="1:61" x14ac:dyDescent="0.25">
      <c r="A680" s="62" t="s">
        <v>388</v>
      </c>
      <c r="B680" s="62" t="s">
        <v>388</v>
      </c>
      <c r="C680" s="63"/>
      <c r="D680" s="64"/>
      <c r="E680" s="65"/>
      <c r="F680" s="66"/>
      <c r="G680" s="63"/>
      <c r="H680" s="67"/>
      <c r="I680" s="68"/>
      <c r="J680" s="68"/>
      <c r="K680" s="32"/>
      <c r="L680" s="75">
        <v>680</v>
      </c>
      <c r="M680" s="75"/>
      <c r="N680" s="70"/>
      <c r="O680" s="77" t="s">
        <v>179</v>
      </c>
      <c r="P680" s="79">
        <v>45147.844039351854</v>
      </c>
      <c r="Q680" s="77" t="s">
        <v>1473</v>
      </c>
      <c r="R680" s="77">
        <v>0</v>
      </c>
      <c r="S680" s="77">
        <v>2</v>
      </c>
      <c r="T680" s="77">
        <v>0</v>
      </c>
      <c r="U680" s="77">
        <v>0</v>
      </c>
      <c r="V680" s="77">
        <v>230</v>
      </c>
      <c r="W680" s="82" t="s">
        <v>5204</v>
      </c>
      <c r="X680" s="80" t="str">
        <f>HYPERLINK("https://dinheirama.com/ibovespa-fecha-em-queda-e-mantem-sinal-negativo-em-agosto-apos-rali-no-2o-tri/")</f>
        <v>https://dinheirama.com/ibovespa-fecha-em-queda-e-mantem-sinal-negativo-em-agosto-apos-rali-no-2o-tri/</v>
      </c>
      <c r="Y680" s="77" t="s">
        <v>7093</v>
      </c>
      <c r="Z680" s="77"/>
      <c r="AA680" s="77"/>
      <c r="AB680" s="77"/>
      <c r="AC680" s="82" t="s">
        <v>8232</v>
      </c>
      <c r="AD680" s="77" t="s">
        <v>8278</v>
      </c>
      <c r="AE680" s="80" t="str">
        <f>HYPERLINK("https://twitter.com/dinheirama/status/1689369814718873602")</f>
        <v>https://twitter.com/dinheirama/status/1689369814718873602</v>
      </c>
      <c r="AF680" s="79">
        <v>45147.844039351854</v>
      </c>
      <c r="AG680" s="85">
        <v>45147</v>
      </c>
      <c r="AH680" s="82" t="s">
        <v>8915</v>
      </c>
      <c r="AI680" s="77" t="b">
        <v>0</v>
      </c>
      <c r="AJ680" s="77"/>
      <c r="AK680" s="77"/>
      <c r="AL680" s="77"/>
      <c r="AM680" s="77"/>
      <c r="AN680" s="77"/>
      <c r="AO680" s="77"/>
      <c r="AP680" s="77"/>
      <c r="AQ680" s="77"/>
      <c r="AR680" s="77"/>
      <c r="AS680" s="77"/>
      <c r="AT680" s="77"/>
      <c r="AU680" s="77"/>
      <c r="AV680" s="80" t="str">
        <f>HYPERLINK("https://pbs.twimg.com/profile_images/1685831655976501248/p4Yj-D92_normal.jpg")</f>
        <v>https://pbs.twimg.com/profile_images/1685831655976501248/p4Yj-D92_normal.jpg</v>
      </c>
      <c r="AW680" s="82" t="s">
        <v>13777</v>
      </c>
      <c r="AX680" s="82" t="s">
        <v>13777</v>
      </c>
      <c r="AY680" s="77"/>
      <c r="AZ680" s="82" t="s">
        <v>17385</v>
      </c>
      <c r="BA680" s="82" t="s">
        <v>17385</v>
      </c>
      <c r="BB680" s="82" t="s">
        <v>17385</v>
      </c>
      <c r="BC680" s="82" t="s">
        <v>13777</v>
      </c>
      <c r="BD680" s="77">
        <v>23408209</v>
      </c>
      <c r="BE680" s="77"/>
      <c r="BF680" s="77"/>
      <c r="BG680" s="77"/>
      <c r="BH680" s="77"/>
      <c r="BI680" s="77"/>
    </row>
    <row r="681" spans="1:61" x14ac:dyDescent="0.25">
      <c r="A681" s="62" t="s">
        <v>388</v>
      </c>
      <c r="B681" s="62" t="s">
        <v>388</v>
      </c>
      <c r="C681" s="63"/>
      <c r="D681" s="64"/>
      <c r="E681" s="65"/>
      <c r="F681" s="66"/>
      <c r="G681" s="63"/>
      <c r="H681" s="67"/>
      <c r="I681" s="68"/>
      <c r="J681" s="68"/>
      <c r="K681" s="32"/>
      <c r="L681" s="75">
        <v>681</v>
      </c>
      <c r="M681" s="75"/>
      <c r="N681" s="70"/>
      <c r="O681" s="77" t="s">
        <v>179</v>
      </c>
      <c r="P681" s="79">
        <v>45147.825208333335</v>
      </c>
      <c r="Q681" s="77" t="s">
        <v>1474</v>
      </c>
      <c r="R681" s="77">
        <v>0</v>
      </c>
      <c r="S681" s="77">
        <v>1</v>
      </c>
      <c r="T681" s="77">
        <v>0</v>
      </c>
      <c r="U681" s="77">
        <v>1</v>
      </c>
      <c r="V681" s="77">
        <v>223</v>
      </c>
      <c r="W681" s="82" t="s">
        <v>5205</v>
      </c>
      <c r="X681" s="80" t="str">
        <f>HYPERLINK("https://dinheirama.com/amazon-esta-em-negociacao-para-se-tornar-investidor-ancora-na-arm-antes-de-ipo-dizem-fontes/")</f>
        <v>https://dinheirama.com/amazon-esta-em-negociacao-para-se-tornar-investidor-ancora-na-arm-antes-de-ipo-dizem-fontes/</v>
      </c>
      <c r="Y681" s="77" t="s">
        <v>7093</v>
      </c>
      <c r="Z681" s="77"/>
      <c r="AA681" s="77"/>
      <c r="AB681" s="77"/>
      <c r="AC681" s="82" t="s">
        <v>8232</v>
      </c>
      <c r="AD681" s="77" t="s">
        <v>8278</v>
      </c>
      <c r="AE681" s="80" t="str">
        <f>HYPERLINK("https://twitter.com/dinheirama/status/1689362991542681600")</f>
        <v>https://twitter.com/dinheirama/status/1689362991542681600</v>
      </c>
      <c r="AF681" s="79">
        <v>45147.825208333335</v>
      </c>
      <c r="AG681" s="85">
        <v>45147</v>
      </c>
      <c r="AH681" s="82" t="s">
        <v>8916</v>
      </c>
      <c r="AI681" s="77" t="b">
        <v>0</v>
      </c>
      <c r="AJ681" s="77"/>
      <c r="AK681" s="77"/>
      <c r="AL681" s="77"/>
      <c r="AM681" s="77"/>
      <c r="AN681" s="77"/>
      <c r="AO681" s="77"/>
      <c r="AP681" s="77"/>
      <c r="AQ681" s="77"/>
      <c r="AR681" s="77"/>
      <c r="AS681" s="77"/>
      <c r="AT681" s="77"/>
      <c r="AU681" s="77"/>
      <c r="AV681" s="80" t="str">
        <f>HYPERLINK("https://pbs.twimg.com/profile_images/1685831655976501248/p4Yj-D92_normal.jpg")</f>
        <v>https://pbs.twimg.com/profile_images/1685831655976501248/p4Yj-D92_normal.jpg</v>
      </c>
      <c r="AW681" s="82" t="s">
        <v>13778</v>
      </c>
      <c r="AX681" s="82" t="s">
        <v>13778</v>
      </c>
      <c r="AY681" s="77"/>
      <c r="AZ681" s="82" t="s">
        <v>17385</v>
      </c>
      <c r="BA681" s="82" t="s">
        <v>17385</v>
      </c>
      <c r="BB681" s="82" t="s">
        <v>17385</v>
      </c>
      <c r="BC681" s="82" t="s">
        <v>13778</v>
      </c>
      <c r="BD681" s="77">
        <v>23408209</v>
      </c>
      <c r="BE681" s="77"/>
      <c r="BF681" s="77"/>
      <c r="BG681" s="77"/>
      <c r="BH681" s="77"/>
      <c r="BI681" s="77"/>
    </row>
    <row r="682" spans="1:61" x14ac:dyDescent="0.25">
      <c r="A682" s="62" t="s">
        <v>388</v>
      </c>
      <c r="B682" s="62" t="s">
        <v>388</v>
      </c>
      <c r="C682" s="63"/>
      <c r="D682" s="64"/>
      <c r="E682" s="65"/>
      <c r="F682" s="66"/>
      <c r="G682" s="63"/>
      <c r="H682" s="67"/>
      <c r="I682" s="68"/>
      <c r="J682" s="68"/>
      <c r="K682" s="32"/>
      <c r="L682" s="75">
        <v>682</v>
      </c>
      <c r="M682" s="75"/>
      <c r="N682" s="70"/>
      <c r="O682" s="77" t="s">
        <v>179</v>
      </c>
      <c r="P682" s="79">
        <v>45116.043483796297</v>
      </c>
      <c r="Q682" s="77" t="s">
        <v>1475</v>
      </c>
      <c r="R682" s="77">
        <v>0</v>
      </c>
      <c r="S682" s="77">
        <v>2</v>
      </c>
      <c r="T682" s="77">
        <v>0</v>
      </c>
      <c r="U682" s="77">
        <v>0</v>
      </c>
      <c r="V682" s="77">
        <v>635</v>
      </c>
      <c r="W682" s="82" t="s">
        <v>5206</v>
      </c>
      <c r="X682" s="80" t="str">
        <f>HYPERLINK("https://dinheirama.com/veja-as-18-acoes-que-mais-sobem-quando-o-brasil-comeca-a-cortar-juros-o-que-e-logo-ali/")</f>
        <v>https://dinheirama.com/veja-as-18-acoes-que-mais-sobem-quando-o-brasil-comeca-a-cortar-juros-o-que-e-logo-ali/</v>
      </c>
      <c r="Y682" s="77" t="s">
        <v>7093</v>
      </c>
      <c r="Z682" s="77"/>
      <c r="AA682" s="77"/>
      <c r="AB682" s="77"/>
      <c r="AC682" s="82" t="s">
        <v>8232</v>
      </c>
      <c r="AD682" s="77" t="s">
        <v>8278</v>
      </c>
      <c r="AE682" s="80" t="str">
        <f>HYPERLINK("https://twitter.com/dinheirama/status/1677845681338306560")</f>
        <v>https://twitter.com/dinheirama/status/1677845681338306560</v>
      </c>
      <c r="AF682" s="79">
        <v>45116.043483796297</v>
      </c>
      <c r="AG682" s="85">
        <v>45116</v>
      </c>
      <c r="AH682" s="82" t="s">
        <v>8917</v>
      </c>
      <c r="AI682" s="77" t="b">
        <v>0</v>
      </c>
      <c r="AJ682" s="77"/>
      <c r="AK682" s="77"/>
      <c r="AL682" s="77"/>
      <c r="AM682" s="77"/>
      <c r="AN682" s="77"/>
      <c r="AO682" s="77"/>
      <c r="AP682" s="77"/>
      <c r="AQ682" s="77"/>
      <c r="AR682" s="77"/>
      <c r="AS682" s="77"/>
      <c r="AT682" s="77"/>
      <c r="AU682" s="77"/>
      <c r="AV682" s="80" t="str">
        <f>HYPERLINK("https://pbs.twimg.com/profile_images/1685831655976501248/p4Yj-D92_normal.jpg")</f>
        <v>https://pbs.twimg.com/profile_images/1685831655976501248/p4Yj-D92_normal.jpg</v>
      </c>
      <c r="AW682" s="82" t="s">
        <v>13779</v>
      </c>
      <c r="AX682" s="82" t="s">
        <v>13779</v>
      </c>
      <c r="AY682" s="77"/>
      <c r="AZ682" s="82" t="s">
        <v>17385</v>
      </c>
      <c r="BA682" s="82" t="s">
        <v>17385</v>
      </c>
      <c r="BB682" s="82" t="s">
        <v>17385</v>
      </c>
      <c r="BC682" s="82" t="s">
        <v>13779</v>
      </c>
      <c r="BD682" s="77">
        <v>23408209</v>
      </c>
      <c r="BE682" s="77"/>
      <c r="BF682" s="77"/>
      <c r="BG682" s="77"/>
      <c r="BH682" s="77"/>
      <c r="BI682" s="77"/>
    </row>
    <row r="683" spans="1:61" x14ac:dyDescent="0.25">
      <c r="A683" s="62" t="s">
        <v>388</v>
      </c>
      <c r="B683" s="62" t="s">
        <v>388</v>
      </c>
      <c r="C683" s="63"/>
      <c r="D683" s="64"/>
      <c r="E683" s="65"/>
      <c r="F683" s="66"/>
      <c r="G683" s="63"/>
      <c r="H683" s="67"/>
      <c r="I683" s="68"/>
      <c r="J683" s="68"/>
      <c r="K683" s="32"/>
      <c r="L683" s="75">
        <v>683</v>
      </c>
      <c r="M683" s="75"/>
      <c r="N683" s="70"/>
      <c r="O683" s="77" t="s">
        <v>179</v>
      </c>
      <c r="P683" s="79">
        <v>45139.630104166667</v>
      </c>
      <c r="Q683" s="77" t="s">
        <v>1476</v>
      </c>
      <c r="R683" s="77">
        <v>0</v>
      </c>
      <c r="S683" s="77">
        <v>1</v>
      </c>
      <c r="T683" s="77">
        <v>0</v>
      </c>
      <c r="U683" s="77">
        <v>0</v>
      </c>
      <c r="V683" s="77">
        <v>169</v>
      </c>
      <c r="W683" s="82" t="s">
        <v>5207</v>
      </c>
      <c r="X683" s="80" t="str">
        <f>HYPERLINK("https://dinheirama.com/apple-e-microsoft-continuam-como-maiores-empresas-do-mundo-em-valor-de-mercado/")</f>
        <v>https://dinheirama.com/apple-e-microsoft-continuam-como-maiores-empresas-do-mundo-em-valor-de-mercado/</v>
      </c>
      <c r="Y683" s="77" t="s">
        <v>7093</v>
      </c>
      <c r="Z683" s="77"/>
      <c r="AA683" s="77"/>
      <c r="AB683" s="77"/>
      <c r="AC683" s="82" t="s">
        <v>8232</v>
      </c>
      <c r="AD683" s="77" t="s">
        <v>8278</v>
      </c>
      <c r="AE683" s="80" t="str">
        <f>HYPERLINK("https://twitter.com/dinheirama/status/1686393186007351296")</f>
        <v>https://twitter.com/dinheirama/status/1686393186007351296</v>
      </c>
      <c r="AF683" s="79">
        <v>45139.630104166667</v>
      </c>
      <c r="AG683" s="85">
        <v>45139</v>
      </c>
      <c r="AH683" s="82" t="s">
        <v>8918</v>
      </c>
      <c r="AI683" s="77" t="b">
        <v>0</v>
      </c>
      <c r="AJ683" s="77"/>
      <c r="AK683" s="77"/>
      <c r="AL683" s="77"/>
      <c r="AM683" s="77"/>
      <c r="AN683" s="77"/>
      <c r="AO683" s="77"/>
      <c r="AP683" s="77"/>
      <c r="AQ683" s="77"/>
      <c r="AR683" s="77"/>
      <c r="AS683" s="77"/>
      <c r="AT683" s="77"/>
      <c r="AU683" s="77"/>
      <c r="AV683" s="80" t="str">
        <f>HYPERLINK("https://pbs.twimg.com/profile_images/1685831655976501248/p4Yj-D92_normal.jpg")</f>
        <v>https://pbs.twimg.com/profile_images/1685831655976501248/p4Yj-D92_normal.jpg</v>
      </c>
      <c r="AW683" s="82" t="s">
        <v>13780</v>
      </c>
      <c r="AX683" s="82" t="s">
        <v>13780</v>
      </c>
      <c r="AY683" s="77"/>
      <c r="AZ683" s="82" t="s">
        <v>17385</v>
      </c>
      <c r="BA683" s="82" t="s">
        <v>17385</v>
      </c>
      <c r="BB683" s="82" t="s">
        <v>17385</v>
      </c>
      <c r="BC683" s="82" t="s">
        <v>13780</v>
      </c>
      <c r="BD683" s="77">
        <v>23408209</v>
      </c>
      <c r="BE683" s="77"/>
      <c r="BF683" s="77"/>
      <c r="BG683" s="77"/>
      <c r="BH683" s="77"/>
      <c r="BI683" s="77"/>
    </row>
    <row r="684" spans="1:61" x14ac:dyDescent="0.25">
      <c r="A684" s="62" t="s">
        <v>388</v>
      </c>
      <c r="B684" s="62" t="s">
        <v>388</v>
      </c>
      <c r="C684" s="63"/>
      <c r="D684" s="64"/>
      <c r="E684" s="65"/>
      <c r="F684" s="66"/>
      <c r="G684" s="63"/>
      <c r="H684" s="67"/>
      <c r="I684" s="68"/>
      <c r="J684" s="68"/>
      <c r="K684" s="32"/>
      <c r="L684" s="75">
        <v>684</v>
      </c>
      <c r="M684" s="75"/>
      <c r="N684" s="70"/>
      <c r="O684" s="77" t="s">
        <v>179</v>
      </c>
      <c r="P684" s="79">
        <v>45159.856689814813</v>
      </c>
      <c r="Q684" s="77" t="s">
        <v>1477</v>
      </c>
      <c r="R684" s="77">
        <v>0</v>
      </c>
      <c r="S684" s="77">
        <v>3</v>
      </c>
      <c r="T684" s="77">
        <v>0</v>
      </c>
      <c r="U684" s="77">
        <v>0</v>
      </c>
      <c r="V684" s="77">
        <v>269</v>
      </c>
      <c r="W684" s="82" t="s">
        <v>5208</v>
      </c>
      <c r="X684" s="80" t="str">
        <f>HYPERLINK("https://dinheirama.com/wall-street-nasdaq-se-recupera-com-salto-do-setor-de-tecnologia/")</f>
        <v>https://dinheirama.com/wall-street-nasdaq-se-recupera-com-salto-do-setor-de-tecnologia/</v>
      </c>
      <c r="Y684" s="77" t="s">
        <v>7093</v>
      </c>
      <c r="Z684" s="77"/>
      <c r="AA684" s="77"/>
      <c r="AB684" s="77"/>
      <c r="AC684" s="82" t="s">
        <v>8232</v>
      </c>
      <c r="AD684" s="77" t="s">
        <v>8278</v>
      </c>
      <c r="AE684" s="80" t="str">
        <f>HYPERLINK("https://twitter.com/dinheirama/status/1693723054600278040")</f>
        <v>https://twitter.com/dinheirama/status/1693723054600278040</v>
      </c>
      <c r="AF684" s="79">
        <v>45159.856689814813</v>
      </c>
      <c r="AG684" s="85">
        <v>45159</v>
      </c>
      <c r="AH684" s="82" t="s">
        <v>8919</v>
      </c>
      <c r="AI684" s="77" t="b">
        <v>0</v>
      </c>
      <c r="AJ684" s="77"/>
      <c r="AK684" s="77"/>
      <c r="AL684" s="77"/>
      <c r="AM684" s="77"/>
      <c r="AN684" s="77"/>
      <c r="AO684" s="77"/>
      <c r="AP684" s="77"/>
      <c r="AQ684" s="77"/>
      <c r="AR684" s="77"/>
      <c r="AS684" s="77"/>
      <c r="AT684" s="77"/>
      <c r="AU684" s="77"/>
      <c r="AV684" s="80" t="str">
        <f>HYPERLINK("https://pbs.twimg.com/profile_images/1685831655976501248/p4Yj-D92_normal.jpg")</f>
        <v>https://pbs.twimg.com/profile_images/1685831655976501248/p4Yj-D92_normal.jpg</v>
      </c>
      <c r="AW684" s="82" t="s">
        <v>13781</v>
      </c>
      <c r="AX684" s="82" t="s">
        <v>13781</v>
      </c>
      <c r="AY684" s="77"/>
      <c r="AZ684" s="82" t="s">
        <v>17385</v>
      </c>
      <c r="BA684" s="82" t="s">
        <v>17385</v>
      </c>
      <c r="BB684" s="82" t="s">
        <v>17385</v>
      </c>
      <c r="BC684" s="82" t="s">
        <v>13781</v>
      </c>
      <c r="BD684" s="77">
        <v>23408209</v>
      </c>
      <c r="BE684" s="77"/>
      <c r="BF684" s="77"/>
      <c r="BG684" s="77"/>
      <c r="BH684" s="77"/>
      <c r="BI684" s="77"/>
    </row>
    <row r="685" spans="1:61" x14ac:dyDescent="0.25">
      <c r="A685" s="62" t="s">
        <v>388</v>
      </c>
      <c r="B685" s="62" t="s">
        <v>388</v>
      </c>
      <c r="C685" s="63"/>
      <c r="D685" s="64"/>
      <c r="E685" s="65"/>
      <c r="F685" s="66"/>
      <c r="G685" s="63"/>
      <c r="H685" s="67"/>
      <c r="I685" s="68"/>
      <c r="J685" s="68"/>
      <c r="K685" s="32"/>
      <c r="L685" s="75">
        <v>685</v>
      </c>
      <c r="M685" s="75"/>
      <c r="N685" s="70"/>
      <c r="O685" s="77" t="s">
        <v>179</v>
      </c>
      <c r="P685" s="79">
        <v>45159.840937499997</v>
      </c>
      <c r="Q685" s="77" t="s">
        <v>1478</v>
      </c>
      <c r="R685" s="77">
        <v>0</v>
      </c>
      <c r="S685" s="77">
        <v>1</v>
      </c>
      <c r="T685" s="77">
        <v>0</v>
      </c>
      <c r="U685" s="77">
        <v>0</v>
      </c>
      <c r="V685" s="77">
        <v>229</v>
      </c>
      <c r="W685" s="82" t="s">
        <v>5209</v>
      </c>
      <c r="X685" s="80" t="str">
        <f>HYPERLINK("https://dinheirama.com/ibovespa-fecha-em-queda-com-riscos-externos-e-falta-de-catalisadores-no-brasil/")</f>
        <v>https://dinheirama.com/ibovespa-fecha-em-queda-com-riscos-externos-e-falta-de-catalisadores-no-brasil/</v>
      </c>
      <c r="Y685" s="77" t="s">
        <v>7093</v>
      </c>
      <c r="Z685" s="77"/>
      <c r="AA685" s="77"/>
      <c r="AB685" s="77"/>
      <c r="AC685" s="82" t="s">
        <v>8232</v>
      </c>
      <c r="AD685" s="77" t="s">
        <v>8278</v>
      </c>
      <c r="AE685" s="80" t="str">
        <f>HYPERLINK("https://twitter.com/dinheirama/status/1693717346366419426")</f>
        <v>https://twitter.com/dinheirama/status/1693717346366419426</v>
      </c>
      <c r="AF685" s="79">
        <v>45159.840937499997</v>
      </c>
      <c r="AG685" s="85">
        <v>45159</v>
      </c>
      <c r="AH685" s="82" t="s">
        <v>8920</v>
      </c>
      <c r="AI685" s="77" t="b">
        <v>0</v>
      </c>
      <c r="AJ685" s="77"/>
      <c r="AK685" s="77"/>
      <c r="AL685" s="77"/>
      <c r="AM685" s="77"/>
      <c r="AN685" s="77"/>
      <c r="AO685" s="77"/>
      <c r="AP685" s="77"/>
      <c r="AQ685" s="77"/>
      <c r="AR685" s="77"/>
      <c r="AS685" s="77"/>
      <c r="AT685" s="77"/>
      <c r="AU685" s="77"/>
      <c r="AV685" s="80" t="str">
        <f>HYPERLINK("https://pbs.twimg.com/profile_images/1685831655976501248/p4Yj-D92_normal.jpg")</f>
        <v>https://pbs.twimg.com/profile_images/1685831655976501248/p4Yj-D92_normal.jpg</v>
      </c>
      <c r="AW685" s="82" t="s">
        <v>13782</v>
      </c>
      <c r="AX685" s="82" t="s">
        <v>13782</v>
      </c>
      <c r="AY685" s="77"/>
      <c r="AZ685" s="82" t="s">
        <v>17385</v>
      </c>
      <c r="BA685" s="82" t="s">
        <v>17385</v>
      </c>
      <c r="BB685" s="82" t="s">
        <v>17385</v>
      </c>
      <c r="BC685" s="82" t="s">
        <v>13782</v>
      </c>
      <c r="BD685" s="77">
        <v>23408209</v>
      </c>
      <c r="BE685" s="77"/>
      <c r="BF685" s="77"/>
      <c r="BG685" s="77"/>
      <c r="BH685" s="77"/>
      <c r="BI685" s="77"/>
    </row>
    <row r="686" spans="1:61" x14ac:dyDescent="0.25">
      <c r="A686" s="62" t="s">
        <v>388</v>
      </c>
      <c r="B686" s="62" t="s">
        <v>388</v>
      </c>
      <c r="C686" s="63"/>
      <c r="D686" s="64"/>
      <c r="E686" s="65"/>
      <c r="F686" s="66"/>
      <c r="G686" s="63"/>
      <c r="H686" s="67"/>
      <c r="I686" s="68"/>
      <c r="J686" s="68"/>
      <c r="K686" s="32"/>
      <c r="L686" s="75">
        <v>686</v>
      </c>
      <c r="M686" s="75"/>
      <c r="N686" s="70"/>
      <c r="O686" s="77" t="s">
        <v>179</v>
      </c>
      <c r="P686" s="79">
        <v>45159.723854166667</v>
      </c>
      <c r="Q686" s="77" t="s">
        <v>1479</v>
      </c>
      <c r="R686" s="77">
        <v>0</v>
      </c>
      <c r="S686" s="77">
        <v>0</v>
      </c>
      <c r="T686" s="77">
        <v>0</v>
      </c>
      <c r="U686" s="77">
        <v>0</v>
      </c>
      <c r="V686" s="77">
        <v>177</v>
      </c>
      <c r="W686" s="82" t="s">
        <v>5210</v>
      </c>
      <c r="X686" s="80" t="str">
        <f>HYPERLINK("https://dinheirama.com/acoes-europeias-tem-alta-modesta-apos-quatro-dias-de-perdas-com-impulso-de-energia-e-saude/")</f>
        <v>https://dinheirama.com/acoes-europeias-tem-alta-modesta-apos-quatro-dias-de-perdas-com-impulso-de-energia-e-saude/</v>
      </c>
      <c r="Y686" s="77" t="s">
        <v>7093</v>
      </c>
      <c r="Z686" s="77"/>
      <c r="AA686" s="77"/>
      <c r="AB686" s="77"/>
      <c r="AC686" s="82" t="s">
        <v>8232</v>
      </c>
      <c r="AD686" s="77" t="s">
        <v>8278</v>
      </c>
      <c r="AE686" s="80" t="str">
        <f>HYPERLINK("https://twitter.com/dinheirama/status/1693674915730272475")</f>
        <v>https://twitter.com/dinheirama/status/1693674915730272475</v>
      </c>
      <c r="AF686" s="79">
        <v>45159.723854166667</v>
      </c>
      <c r="AG686" s="85">
        <v>45159</v>
      </c>
      <c r="AH686" s="82" t="s">
        <v>8921</v>
      </c>
      <c r="AI686" s="77" t="b">
        <v>0</v>
      </c>
      <c r="AJ686" s="77"/>
      <c r="AK686" s="77"/>
      <c r="AL686" s="77"/>
      <c r="AM686" s="77"/>
      <c r="AN686" s="77"/>
      <c r="AO686" s="77"/>
      <c r="AP686" s="77"/>
      <c r="AQ686" s="77"/>
      <c r="AR686" s="77"/>
      <c r="AS686" s="77"/>
      <c r="AT686" s="77"/>
      <c r="AU686" s="77"/>
      <c r="AV686" s="80" t="str">
        <f>HYPERLINK("https://pbs.twimg.com/profile_images/1685831655976501248/p4Yj-D92_normal.jpg")</f>
        <v>https://pbs.twimg.com/profile_images/1685831655976501248/p4Yj-D92_normal.jpg</v>
      </c>
      <c r="AW686" s="82" t="s">
        <v>13783</v>
      </c>
      <c r="AX686" s="82" t="s">
        <v>13783</v>
      </c>
      <c r="AY686" s="77"/>
      <c r="AZ686" s="82" t="s">
        <v>17385</v>
      </c>
      <c r="BA686" s="82" t="s">
        <v>17385</v>
      </c>
      <c r="BB686" s="82" t="s">
        <v>17385</v>
      </c>
      <c r="BC686" s="82" t="s">
        <v>13783</v>
      </c>
      <c r="BD686" s="77">
        <v>23408209</v>
      </c>
      <c r="BE686" s="77"/>
      <c r="BF686" s="77"/>
      <c r="BG686" s="77"/>
      <c r="BH686" s="77"/>
      <c r="BI686" s="77"/>
    </row>
    <row r="687" spans="1:61" x14ac:dyDescent="0.25">
      <c r="A687" s="62" t="s">
        <v>388</v>
      </c>
      <c r="B687" s="62" t="s">
        <v>388</v>
      </c>
      <c r="C687" s="63"/>
      <c r="D687" s="64"/>
      <c r="E687" s="65"/>
      <c r="F687" s="66"/>
      <c r="G687" s="63"/>
      <c r="H687" s="67"/>
      <c r="I687" s="68"/>
      <c r="J687" s="68"/>
      <c r="K687" s="32"/>
      <c r="L687" s="75">
        <v>687</v>
      </c>
      <c r="M687" s="75"/>
      <c r="N687" s="70"/>
      <c r="O687" s="77" t="s">
        <v>179</v>
      </c>
      <c r="P687" s="79">
        <v>45153.803159722222</v>
      </c>
      <c r="Q687" s="77" t="s">
        <v>1480</v>
      </c>
      <c r="R687" s="77">
        <v>0</v>
      </c>
      <c r="S687" s="77">
        <v>0</v>
      </c>
      <c r="T687" s="77">
        <v>0</v>
      </c>
      <c r="U687" s="77">
        <v>0</v>
      </c>
      <c r="V687" s="77">
        <v>203</v>
      </c>
      <c r="W687" s="82" t="s">
        <v>5211</v>
      </c>
      <c r="X687" s="80" t="str">
        <f>HYPERLINK("https://dinheirama.com/pesquisa-xp-investidor-planeja-comprar-mais-acoes-mas-nao-muda-carteira/")</f>
        <v>https://dinheirama.com/pesquisa-xp-investidor-planeja-comprar-mais-acoes-mas-nao-muda-carteira/</v>
      </c>
      <c r="Y687" s="77" t="s">
        <v>7093</v>
      </c>
      <c r="Z687" s="77"/>
      <c r="AA687" s="77"/>
      <c r="AB687" s="77"/>
      <c r="AC687" s="82" t="s">
        <v>8232</v>
      </c>
      <c r="AD687" s="77" t="s">
        <v>8278</v>
      </c>
      <c r="AE687" s="80" t="str">
        <f>HYPERLINK("https://twitter.com/dinheirama/status/1691529329371385857")</f>
        <v>https://twitter.com/dinheirama/status/1691529329371385857</v>
      </c>
      <c r="AF687" s="79">
        <v>45153.803159722222</v>
      </c>
      <c r="AG687" s="85">
        <v>45153</v>
      </c>
      <c r="AH687" s="82" t="s">
        <v>8490</v>
      </c>
      <c r="AI687" s="77" t="b">
        <v>0</v>
      </c>
      <c r="AJ687" s="77"/>
      <c r="AK687" s="77"/>
      <c r="AL687" s="77"/>
      <c r="AM687" s="77"/>
      <c r="AN687" s="77"/>
      <c r="AO687" s="77"/>
      <c r="AP687" s="77"/>
      <c r="AQ687" s="77"/>
      <c r="AR687" s="77"/>
      <c r="AS687" s="77"/>
      <c r="AT687" s="77"/>
      <c r="AU687" s="77"/>
      <c r="AV687" s="80" t="str">
        <f>HYPERLINK("https://pbs.twimg.com/profile_images/1685831655976501248/p4Yj-D92_normal.jpg")</f>
        <v>https://pbs.twimg.com/profile_images/1685831655976501248/p4Yj-D92_normal.jpg</v>
      </c>
      <c r="AW687" s="82" t="s">
        <v>13784</v>
      </c>
      <c r="AX687" s="82" t="s">
        <v>13784</v>
      </c>
      <c r="AY687" s="77"/>
      <c r="AZ687" s="82" t="s">
        <v>17385</v>
      </c>
      <c r="BA687" s="82" t="s">
        <v>17385</v>
      </c>
      <c r="BB687" s="82" t="s">
        <v>17385</v>
      </c>
      <c r="BC687" s="82" t="s">
        <v>13784</v>
      </c>
      <c r="BD687" s="77">
        <v>23408209</v>
      </c>
      <c r="BE687" s="77"/>
      <c r="BF687" s="77"/>
      <c r="BG687" s="77"/>
      <c r="BH687" s="77"/>
      <c r="BI687" s="77"/>
    </row>
    <row r="688" spans="1:61" x14ac:dyDescent="0.25">
      <c r="A688" s="62" t="s">
        <v>388</v>
      </c>
      <c r="B688" s="62" t="s">
        <v>388</v>
      </c>
      <c r="C688" s="63"/>
      <c r="D688" s="64"/>
      <c r="E688" s="65"/>
      <c r="F688" s="66"/>
      <c r="G688" s="63"/>
      <c r="H688" s="67"/>
      <c r="I688" s="68"/>
      <c r="J688" s="68"/>
      <c r="K688" s="32"/>
      <c r="L688" s="75">
        <v>688</v>
      </c>
      <c r="M688" s="75"/>
      <c r="N688" s="70"/>
      <c r="O688" s="77" t="s">
        <v>179</v>
      </c>
      <c r="P688" s="79">
        <v>45152.951238425929</v>
      </c>
      <c r="Q688" s="77" t="s">
        <v>1481</v>
      </c>
      <c r="R688" s="77">
        <v>0</v>
      </c>
      <c r="S688" s="77">
        <v>1</v>
      </c>
      <c r="T688" s="77">
        <v>0</v>
      </c>
      <c r="U688" s="77">
        <v>0</v>
      </c>
      <c r="V688" s="77">
        <v>355</v>
      </c>
      <c r="W688" s="82" t="s">
        <v>5212</v>
      </c>
      <c r="X688" s="80" t="str">
        <f>HYPERLINK("https://dinheirama.com/itausa-vai-emitir-135-mi-de-novas-acoes-para-reforco-de-caixa-e-liquidez/")</f>
        <v>https://dinheirama.com/itausa-vai-emitir-135-mi-de-novas-acoes-para-reforco-de-caixa-e-liquidez/</v>
      </c>
      <c r="Y688" s="77" t="s">
        <v>7093</v>
      </c>
      <c r="Z688" s="77"/>
      <c r="AA688" s="77"/>
      <c r="AB688" s="77"/>
      <c r="AC688" s="82" t="s">
        <v>8232</v>
      </c>
      <c r="AD688" s="77" t="s">
        <v>8278</v>
      </c>
      <c r="AE688" s="80" t="str">
        <f>HYPERLINK("https://twitter.com/dinheirama/status/1691220603439546368")</f>
        <v>https://twitter.com/dinheirama/status/1691220603439546368</v>
      </c>
      <c r="AF688" s="79">
        <v>45152.951238425929</v>
      </c>
      <c r="AG688" s="85">
        <v>45152</v>
      </c>
      <c r="AH688" s="82" t="s">
        <v>8922</v>
      </c>
      <c r="AI688" s="77" t="b">
        <v>0</v>
      </c>
      <c r="AJ688" s="77"/>
      <c r="AK688" s="77"/>
      <c r="AL688" s="77"/>
      <c r="AM688" s="77"/>
      <c r="AN688" s="77"/>
      <c r="AO688" s="77"/>
      <c r="AP688" s="77"/>
      <c r="AQ688" s="77"/>
      <c r="AR688" s="77"/>
      <c r="AS688" s="77"/>
      <c r="AT688" s="77"/>
      <c r="AU688" s="77"/>
      <c r="AV688" s="80" t="str">
        <f>HYPERLINK("https://pbs.twimg.com/profile_images/1685831655976501248/p4Yj-D92_normal.jpg")</f>
        <v>https://pbs.twimg.com/profile_images/1685831655976501248/p4Yj-D92_normal.jpg</v>
      </c>
      <c r="AW688" s="82" t="s">
        <v>13785</v>
      </c>
      <c r="AX688" s="82" t="s">
        <v>13785</v>
      </c>
      <c r="AY688" s="77"/>
      <c r="AZ688" s="82" t="s">
        <v>17385</v>
      </c>
      <c r="BA688" s="82" t="s">
        <v>17385</v>
      </c>
      <c r="BB688" s="82" t="s">
        <v>17385</v>
      </c>
      <c r="BC688" s="82" t="s">
        <v>13785</v>
      </c>
      <c r="BD688" s="77">
        <v>23408209</v>
      </c>
      <c r="BE688" s="77"/>
      <c r="BF688" s="77"/>
      <c r="BG688" s="77"/>
      <c r="BH688" s="77"/>
      <c r="BI688" s="77"/>
    </row>
    <row r="689" spans="1:61" x14ac:dyDescent="0.25">
      <c r="A689" s="62" t="s">
        <v>388</v>
      </c>
      <c r="B689" s="62" t="s">
        <v>388</v>
      </c>
      <c r="C689" s="63"/>
      <c r="D689" s="64"/>
      <c r="E689" s="65"/>
      <c r="F689" s="66"/>
      <c r="G689" s="63"/>
      <c r="H689" s="67"/>
      <c r="I689" s="68"/>
      <c r="J689" s="68"/>
      <c r="K689" s="32"/>
      <c r="L689" s="75">
        <v>689</v>
      </c>
      <c r="M689" s="75"/>
      <c r="N689" s="70"/>
      <c r="O689" s="77" t="s">
        <v>179</v>
      </c>
      <c r="P689" s="79">
        <v>45139.852314814816</v>
      </c>
      <c r="Q689" s="77" t="s">
        <v>1482</v>
      </c>
      <c r="R689" s="77">
        <v>0</v>
      </c>
      <c r="S689" s="77">
        <v>0</v>
      </c>
      <c r="T689" s="77">
        <v>0</v>
      </c>
      <c r="U689" s="77">
        <v>0</v>
      </c>
      <c r="V689" s="77">
        <v>206</v>
      </c>
      <c r="W689" s="82" t="s">
        <v>5213</v>
      </c>
      <c r="X689" s="80" t="str">
        <f>HYPERLINK("https://dinheirama.com/otimista-e-cautelosa-genial-troca-metade-de-carteira-para-agosto/")</f>
        <v>https://dinheirama.com/otimista-e-cautelosa-genial-troca-metade-de-carteira-para-agosto/</v>
      </c>
      <c r="Y689" s="77" t="s">
        <v>7093</v>
      </c>
      <c r="Z689" s="77"/>
      <c r="AA689" s="77"/>
      <c r="AB689" s="77"/>
      <c r="AC689" s="82" t="s">
        <v>8232</v>
      </c>
      <c r="AD689" s="77" t="s">
        <v>8278</v>
      </c>
      <c r="AE689" s="80" t="str">
        <f>HYPERLINK("https://twitter.com/dinheirama/status/1686473712516636673")</f>
        <v>https://twitter.com/dinheirama/status/1686473712516636673</v>
      </c>
      <c r="AF689" s="79">
        <v>45139.852314814816</v>
      </c>
      <c r="AG689" s="85">
        <v>45139</v>
      </c>
      <c r="AH689" s="82" t="s">
        <v>8923</v>
      </c>
      <c r="AI689" s="77" t="b">
        <v>0</v>
      </c>
      <c r="AJ689" s="77"/>
      <c r="AK689" s="77"/>
      <c r="AL689" s="77"/>
      <c r="AM689" s="77"/>
      <c r="AN689" s="77"/>
      <c r="AO689" s="77"/>
      <c r="AP689" s="77"/>
      <c r="AQ689" s="77"/>
      <c r="AR689" s="77"/>
      <c r="AS689" s="77"/>
      <c r="AT689" s="77"/>
      <c r="AU689" s="77"/>
      <c r="AV689" s="80" t="str">
        <f>HYPERLINK("https://pbs.twimg.com/profile_images/1685831655976501248/p4Yj-D92_normal.jpg")</f>
        <v>https://pbs.twimg.com/profile_images/1685831655976501248/p4Yj-D92_normal.jpg</v>
      </c>
      <c r="AW689" s="82" t="s">
        <v>13786</v>
      </c>
      <c r="AX689" s="82" t="s">
        <v>13786</v>
      </c>
      <c r="AY689" s="77"/>
      <c r="AZ689" s="82" t="s">
        <v>17385</v>
      </c>
      <c r="BA689" s="82" t="s">
        <v>17385</v>
      </c>
      <c r="BB689" s="82" t="s">
        <v>17385</v>
      </c>
      <c r="BC689" s="82" t="s">
        <v>13786</v>
      </c>
      <c r="BD689" s="77">
        <v>23408209</v>
      </c>
      <c r="BE689" s="77"/>
      <c r="BF689" s="77"/>
      <c r="BG689" s="77"/>
      <c r="BH689" s="77"/>
      <c r="BI689" s="77"/>
    </row>
    <row r="690" spans="1:61" x14ac:dyDescent="0.25">
      <c r="A690" s="62" t="s">
        <v>388</v>
      </c>
      <c r="B690" s="62" t="s">
        <v>388</v>
      </c>
      <c r="C690" s="63"/>
      <c r="D690" s="64"/>
      <c r="E690" s="65"/>
      <c r="F690" s="66"/>
      <c r="G690" s="63"/>
      <c r="H690" s="67"/>
      <c r="I690" s="68"/>
      <c r="J690" s="68"/>
      <c r="K690" s="32"/>
      <c r="L690" s="75">
        <v>690</v>
      </c>
      <c r="M690" s="75"/>
      <c r="N690" s="70"/>
      <c r="O690" s="77" t="s">
        <v>179</v>
      </c>
      <c r="P690" s="79">
        <v>45158.556655092594</v>
      </c>
      <c r="Q690" s="77" t="s">
        <v>1483</v>
      </c>
      <c r="R690" s="77">
        <v>0</v>
      </c>
      <c r="S690" s="77">
        <v>0</v>
      </c>
      <c r="T690" s="77">
        <v>0</v>
      </c>
      <c r="U690" s="77">
        <v>0</v>
      </c>
      <c r="V690" s="77">
        <v>328</v>
      </c>
      <c r="W690" s="82" t="s">
        <v>5214</v>
      </c>
      <c r="X690" s="80" t="str">
        <f>HYPERLINK("https://dinheirama.com/o-que-esperar-para-semana-crucial-ao-ibovespa-e-quais-acoes-comprar-segundo-9-analistas/")</f>
        <v>https://dinheirama.com/o-que-esperar-para-semana-crucial-ao-ibovespa-e-quais-acoes-comprar-segundo-9-analistas/</v>
      </c>
      <c r="Y690" s="77" t="s">
        <v>7093</v>
      </c>
      <c r="Z690" s="77"/>
      <c r="AA690" s="77"/>
      <c r="AB690" s="77"/>
      <c r="AC690" s="82" t="s">
        <v>8232</v>
      </c>
      <c r="AD690" s="77" t="s">
        <v>8278</v>
      </c>
      <c r="AE690" s="80" t="str">
        <f>HYPERLINK("https://twitter.com/dinheirama/status/1693251935384539385")</f>
        <v>https://twitter.com/dinheirama/status/1693251935384539385</v>
      </c>
      <c r="AF690" s="79">
        <v>45158.556655092594</v>
      </c>
      <c r="AG690" s="85">
        <v>45158</v>
      </c>
      <c r="AH690" s="82" t="s">
        <v>8924</v>
      </c>
      <c r="AI690" s="77" t="b">
        <v>0</v>
      </c>
      <c r="AJ690" s="77"/>
      <c r="AK690" s="77"/>
      <c r="AL690" s="77"/>
      <c r="AM690" s="77"/>
      <c r="AN690" s="77"/>
      <c r="AO690" s="77"/>
      <c r="AP690" s="77"/>
      <c r="AQ690" s="77"/>
      <c r="AR690" s="77"/>
      <c r="AS690" s="77"/>
      <c r="AT690" s="77"/>
      <c r="AU690" s="77"/>
      <c r="AV690" s="80" t="str">
        <f>HYPERLINK("https://pbs.twimg.com/profile_images/1685831655976501248/p4Yj-D92_normal.jpg")</f>
        <v>https://pbs.twimg.com/profile_images/1685831655976501248/p4Yj-D92_normal.jpg</v>
      </c>
      <c r="AW690" s="82" t="s">
        <v>13787</v>
      </c>
      <c r="AX690" s="82" t="s">
        <v>13787</v>
      </c>
      <c r="AY690" s="77"/>
      <c r="AZ690" s="82" t="s">
        <v>17385</v>
      </c>
      <c r="BA690" s="82" t="s">
        <v>17385</v>
      </c>
      <c r="BB690" s="82" t="s">
        <v>17385</v>
      </c>
      <c r="BC690" s="82" t="s">
        <v>13787</v>
      </c>
      <c r="BD690" s="77">
        <v>23408209</v>
      </c>
      <c r="BE690" s="77"/>
      <c r="BF690" s="77"/>
      <c r="BG690" s="77"/>
      <c r="BH690" s="77"/>
      <c r="BI690" s="77"/>
    </row>
    <row r="691" spans="1:61" x14ac:dyDescent="0.25">
      <c r="A691" s="62" t="s">
        <v>388</v>
      </c>
      <c r="B691" s="62" t="s">
        <v>388</v>
      </c>
      <c r="C691" s="63"/>
      <c r="D691" s="64"/>
      <c r="E691" s="65"/>
      <c r="F691" s="66"/>
      <c r="G691" s="63"/>
      <c r="H691" s="67"/>
      <c r="I691" s="68"/>
      <c r="J691" s="68"/>
      <c r="K691" s="32"/>
      <c r="L691" s="75">
        <v>691</v>
      </c>
      <c r="M691" s="75"/>
      <c r="N691" s="70"/>
      <c r="O691" s="77" t="s">
        <v>179</v>
      </c>
      <c r="P691" s="79">
        <v>45148.828611111108</v>
      </c>
      <c r="Q691" s="77" t="s">
        <v>1484</v>
      </c>
      <c r="R691" s="77">
        <v>0</v>
      </c>
      <c r="S691" s="77">
        <v>0</v>
      </c>
      <c r="T691" s="77">
        <v>0</v>
      </c>
      <c r="U691" s="77">
        <v>0</v>
      </c>
      <c r="V691" s="77">
        <v>189</v>
      </c>
      <c r="W691" s="82" t="s">
        <v>5215</v>
      </c>
      <c r="X691" s="80" t="str">
        <f>HYPERLINK("https://dinheirama.com/robinhood-vence-investidores-em-processo-sobre-acoes-meme/")</f>
        <v>https://dinheirama.com/robinhood-vence-investidores-em-processo-sobre-acoes-meme/</v>
      </c>
      <c r="Y691" s="77" t="s">
        <v>7093</v>
      </c>
      <c r="Z691" s="77"/>
      <c r="AA691" s="77"/>
      <c r="AB691" s="77"/>
      <c r="AC691" s="82" t="s">
        <v>8232</v>
      </c>
      <c r="AD691" s="77" t="s">
        <v>8278</v>
      </c>
      <c r="AE691" s="80" t="str">
        <f>HYPERLINK("https://twitter.com/dinheirama/status/1689726613175377920")</f>
        <v>https://twitter.com/dinheirama/status/1689726613175377920</v>
      </c>
      <c r="AF691" s="79">
        <v>45148.828611111108</v>
      </c>
      <c r="AG691" s="85">
        <v>45148</v>
      </c>
      <c r="AH691" s="82" t="s">
        <v>8925</v>
      </c>
      <c r="AI691" s="77" t="b">
        <v>0</v>
      </c>
      <c r="AJ691" s="77"/>
      <c r="AK691" s="77"/>
      <c r="AL691" s="77"/>
      <c r="AM691" s="77"/>
      <c r="AN691" s="77"/>
      <c r="AO691" s="77"/>
      <c r="AP691" s="77"/>
      <c r="AQ691" s="77"/>
      <c r="AR691" s="77"/>
      <c r="AS691" s="77"/>
      <c r="AT691" s="77"/>
      <c r="AU691" s="77"/>
      <c r="AV691" s="80" t="str">
        <f>HYPERLINK("https://pbs.twimg.com/profile_images/1685831655976501248/p4Yj-D92_normal.jpg")</f>
        <v>https://pbs.twimg.com/profile_images/1685831655976501248/p4Yj-D92_normal.jpg</v>
      </c>
      <c r="AW691" s="82" t="s">
        <v>13788</v>
      </c>
      <c r="AX691" s="82" t="s">
        <v>13788</v>
      </c>
      <c r="AY691" s="77"/>
      <c r="AZ691" s="82" t="s">
        <v>17385</v>
      </c>
      <c r="BA691" s="82" t="s">
        <v>17385</v>
      </c>
      <c r="BB691" s="82" t="s">
        <v>17385</v>
      </c>
      <c r="BC691" s="82" t="s">
        <v>13788</v>
      </c>
      <c r="BD691" s="77">
        <v>23408209</v>
      </c>
      <c r="BE691" s="77"/>
      <c r="BF691" s="77"/>
      <c r="BG691" s="77"/>
      <c r="BH691" s="77"/>
      <c r="BI691" s="77"/>
    </row>
    <row r="692" spans="1:61" x14ac:dyDescent="0.25">
      <c r="A692" s="62" t="s">
        <v>388</v>
      </c>
      <c r="B692" s="62" t="s">
        <v>388</v>
      </c>
      <c r="C692" s="63"/>
      <c r="D692" s="64"/>
      <c r="E692" s="65"/>
      <c r="F692" s="66"/>
      <c r="G692" s="63"/>
      <c r="H692" s="67"/>
      <c r="I692" s="68"/>
      <c r="J692" s="68"/>
      <c r="K692" s="32"/>
      <c r="L692" s="75">
        <v>692</v>
      </c>
      <c r="M692" s="75"/>
      <c r="N692" s="70"/>
      <c r="O692" s="77" t="s">
        <v>179</v>
      </c>
      <c r="P692" s="79">
        <v>45139.509085648147</v>
      </c>
      <c r="Q692" s="77" t="s">
        <v>1485</v>
      </c>
      <c r="R692" s="77">
        <v>0</v>
      </c>
      <c r="S692" s="77">
        <v>0</v>
      </c>
      <c r="T692" s="77">
        <v>0</v>
      </c>
      <c r="U692" s="77">
        <v>0</v>
      </c>
      <c r="V692" s="77">
        <v>211</v>
      </c>
      <c r="W692" s="82" t="s">
        <v>5093</v>
      </c>
      <c r="X692" s="80" t="str">
        <f>HYPERLINK("https://dinheirama.com/o-que-comprar-em-agosto-btg-revela-volta-da-petrobras-em-top-10/")</f>
        <v>https://dinheirama.com/o-que-comprar-em-agosto-btg-revela-volta-da-petrobras-em-top-10/</v>
      </c>
      <c r="Y692" s="77" t="s">
        <v>7093</v>
      </c>
      <c r="Z692" s="77"/>
      <c r="AA692" s="77"/>
      <c r="AB692" s="77"/>
      <c r="AC692" s="82" t="s">
        <v>8232</v>
      </c>
      <c r="AD692" s="77" t="s">
        <v>8278</v>
      </c>
      <c r="AE692" s="80" t="str">
        <f>HYPERLINK("https://twitter.com/dinheirama/status/1686349327906516992")</f>
        <v>https://twitter.com/dinheirama/status/1686349327906516992</v>
      </c>
      <c r="AF692" s="79">
        <v>45139.509085648147</v>
      </c>
      <c r="AG692" s="85">
        <v>45139</v>
      </c>
      <c r="AH692" s="82" t="s">
        <v>8926</v>
      </c>
      <c r="AI692" s="77" t="b">
        <v>0</v>
      </c>
      <c r="AJ692" s="77"/>
      <c r="AK692" s="77"/>
      <c r="AL692" s="77"/>
      <c r="AM692" s="77"/>
      <c r="AN692" s="77"/>
      <c r="AO692" s="77"/>
      <c r="AP692" s="77"/>
      <c r="AQ692" s="77"/>
      <c r="AR692" s="77"/>
      <c r="AS692" s="77"/>
      <c r="AT692" s="77"/>
      <c r="AU692" s="77"/>
      <c r="AV692" s="80" t="str">
        <f>HYPERLINK("https://pbs.twimg.com/profile_images/1685831655976501248/p4Yj-D92_normal.jpg")</f>
        <v>https://pbs.twimg.com/profile_images/1685831655976501248/p4Yj-D92_normal.jpg</v>
      </c>
      <c r="AW692" s="82" t="s">
        <v>13789</v>
      </c>
      <c r="AX692" s="82" t="s">
        <v>13789</v>
      </c>
      <c r="AY692" s="77"/>
      <c r="AZ692" s="82" t="s">
        <v>17385</v>
      </c>
      <c r="BA692" s="82" t="s">
        <v>17385</v>
      </c>
      <c r="BB692" s="82" t="s">
        <v>17385</v>
      </c>
      <c r="BC692" s="82" t="s">
        <v>13789</v>
      </c>
      <c r="BD692" s="77">
        <v>23408209</v>
      </c>
      <c r="BE692" s="77"/>
      <c r="BF692" s="77"/>
      <c r="BG692" s="77"/>
      <c r="BH692" s="77"/>
      <c r="BI692" s="77"/>
    </row>
    <row r="693" spans="1:61" x14ac:dyDescent="0.25">
      <c r="A693" s="62" t="s">
        <v>388</v>
      </c>
      <c r="B693" s="62" t="s">
        <v>388</v>
      </c>
      <c r="C693" s="63"/>
      <c r="D693" s="64"/>
      <c r="E693" s="65"/>
      <c r="F693" s="66"/>
      <c r="G693" s="63"/>
      <c r="H693" s="67"/>
      <c r="I693" s="68"/>
      <c r="J693" s="68"/>
      <c r="K693" s="32"/>
      <c r="L693" s="75">
        <v>693</v>
      </c>
      <c r="M693" s="75"/>
      <c r="N693" s="70"/>
      <c r="O693" s="77" t="s">
        <v>179</v>
      </c>
      <c r="P693" s="79">
        <v>45120.119722222225</v>
      </c>
      <c r="Q693" s="77" t="s">
        <v>1486</v>
      </c>
      <c r="R693" s="77">
        <v>0</v>
      </c>
      <c r="S693" s="77">
        <v>1</v>
      </c>
      <c r="T693" s="77">
        <v>0</v>
      </c>
      <c r="U693" s="77">
        <v>0</v>
      </c>
      <c r="V693" s="77">
        <v>382</v>
      </c>
      <c r="W693" s="82" t="s">
        <v>5093</v>
      </c>
      <c r="X693" s="80" t="str">
        <f>HYPERLINK("https://dinheirama.com/festa-na-bolsa-com-a-queda-da-selic-veja-o-que-e-oportunidade-e-o-que-e-cilada/")</f>
        <v>https://dinheirama.com/festa-na-bolsa-com-a-queda-da-selic-veja-o-que-e-oportunidade-e-o-que-e-cilada/</v>
      </c>
      <c r="Y693" s="77" t="s">
        <v>7093</v>
      </c>
      <c r="Z693" s="77"/>
      <c r="AA693" s="77"/>
      <c r="AB693" s="77"/>
      <c r="AC693" s="82" t="s">
        <v>8232</v>
      </c>
      <c r="AD693" s="77" t="s">
        <v>8278</v>
      </c>
      <c r="AE693" s="80" t="str">
        <f>HYPERLINK("https://twitter.com/dinheirama/status/1679322860278411264")</f>
        <v>https://twitter.com/dinheirama/status/1679322860278411264</v>
      </c>
      <c r="AF693" s="79">
        <v>45120.119722222225</v>
      </c>
      <c r="AG693" s="85">
        <v>45120</v>
      </c>
      <c r="AH693" s="82" t="s">
        <v>8927</v>
      </c>
      <c r="AI693" s="77" t="b">
        <v>0</v>
      </c>
      <c r="AJ693" s="77"/>
      <c r="AK693" s="77"/>
      <c r="AL693" s="77"/>
      <c r="AM693" s="77"/>
      <c r="AN693" s="77"/>
      <c r="AO693" s="77"/>
      <c r="AP693" s="77"/>
      <c r="AQ693" s="77"/>
      <c r="AR693" s="77"/>
      <c r="AS693" s="77"/>
      <c r="AT693" s="77"/>
      <c r="AU693" s="77"/>
      <c r="AV693" s="80" t="str">
        <f>HYPERLINK("https://pbs.twimg.com/profile_images/1685831655976501248/p4Yj-D92_normal.jpg")</f>
        <v>https://pbs.twimg.com/profile_images/1685831655976501248/p4Yj-D92_normal.jpg</v>
      </c>
      <c r="AW693" s="82" t="s">
        <v>13790</v>
      </c>
      <c r="AX693" s="82" t="s">
        <v>13790</v>
      </c>
      <c r="AY693" s="77"/>
      <c r="AZ693" s="82" t="s">
        <v>17385</v>
      </c>
      <c r="BA693" s="82" t="s">
        <v>17385</v>
      </c>
      <c r="BB693" s="82" t="s">
        <v>17385</v>
      </c>
      <c r="BC693" s="82" t="s">
        <v>13790</v>
      </c>
      <c r="BD693" s="77">
        <v>23408209</v>
      </c>
      <c r="BE693" s="77"/>
      <c r="BF693" s="77"/>
      <c r="BG693" s="77"/>
      <c r="BH693" s="77"/>
      <c r="BI693" s="77"/>
    </row>
    <row r="694" spans="1:61" x14ac:dyDescent="0.25">
      <c r="A694" s="62" t="s">
        <v>388</v>
      </c>
      <c r="B694" s="62" t="s">
        <v>388</v>
      </c>
      <c r="C694" s="63"/>
      <c r="D694" s="64"/>
      <c r="E694" s="65"/>
      <c r="F694" s="66"/>
      <c r="G694" s="63"/>
      <c r="H694" s="67"/>
      <c r="I694" s="68"/>
      <c r="J694" s="68"/>
      <c r="K694" s="32"/>
      <c r="L694" s="75">
        <v>694</v>
      </c>
      <c r="M694" s="75"/>
      <c r="N694" s="70"/>
      <c r="O694" s="77" t="s">
        <v>179</v>
      </c>
      <c r="P694" s="79">
        <v>45183.739849537036</v>
      </c>
      <c r="Q694" s="77" t="s">
        <v>1487</v>
      </c>
      <c r="R694" s="77">
        <v>0</v>
      </c>
      <c r="S694" s="77">
        <v>0</v>
      </c>
      <c r="T694" s="77">
        <v>0</v>
      </c>
      <c r="U694" s="77">
        <v>0</v>
      </c>
      <c r="V694" s="77">
        <v>163</v>
      </c>
      <c r="W694" s="82" t="s">
        <v>5216</v>
      </c>
      <c r="X694" s="80" t="str">
        <f>HYPERLINK("https://dinheirama.com/bolsas-na-europa-tem-dia-mais-forte-em-6-meses-apos-bce-elevar-juro-para-nivel-recorde/")</f>
        <v>https://dinheirama.com/bolsas-na-europa-tem-dia-mais-forte-em-6-meses-apos-bce-elevar-juro-para-nivel-recorde/</v>
      </c>
      <c r="Y694" s="77" t="s">
        <v>7093</v>
      </c>
      <c r="Z694" s="77"/>
      <c r="AA694" s="77"/>
      <c r="AB694" s="77"/>
      <c r="AC694" s="82" t="s">
        <v>8232</v>
      </c>
      <c r="AD694" s="77" t="s">
        <v>8278</v>
      </c>
      <c r="AE694" s="80" t="str">
        <f>HYPERLINK("https://twitter.com/dinheirama/status/1702378022282649649")</f>
        <v>https://twitter.com/dinheirama/status/1702378022282649649</v>
      </c>
      <c r="AF694" s="79">
        <v>45183.739849537036</v>
      </c>
      <c r="AG694" s="85">
        <v>45183</v>
      </c>
      <c r="AH694" s="82" t="s">
        <v>8928</v>
      </c>
      <c r="AI694" s="77" t="b">
        <v>0</v>
      </c>
      <c r="AJ694" s="77"/>
      <c r="AK694" s="77"/>
      <c r="AL694" s="77"/>
      <c r="AM694" s="77"/>
      <c r="AN694" s="77"/>
      <c r="AO694" s="77"/>
      <c r="AP694" s="77"/>
      <c r="AQ694" s="77"/>
      <c r="AR694" s="77"/>
      <c r="AS694" s="77"/>
      <c r="AT694" s="77"/>
      <c r="AU694" s="77"/>
      <c r="AV694" s="80" t="str">
        <f>HYPERLINK("https://pbs.twimg.com/profile_images/1685831655976501248/p4Yj-D92_normal.jpg")</f>
        <v>https://pbs.twimg.com/profile_images/1685831655976501248/p4Yj-D92_normal.jpg</v>
      </c>
      <c r="AW694" s="82" t="s">
        <v>13791</v>
      </c>
      <c r="AX694" s="82" t="s">
        <v>13791</v>
      </c>
      <c r="AY694" s="77"/>
      <c r="AZ694" s="82" t="s">
        <v>17385</v>
      </c>
      <c r="BA694" s="82" t="s">
        <v>17385</v>
      </c>
      <c r="BB694" s="82" t="s">
        <v>17385</v>
      </c>
      <c r="BC694" s="82" t="s">
        <v>13791</v>
      </c>
      <c r="BD694" s="77">
        <v>23408209</v>
      </c>
      <c r="BE694" s="77"/>
      <c r="BF694" s="77"/>
      <c r="BG694" s="77"/>
      <c r="BH694" s="77"/>
      <c r="BI694" s="77"/>
    </row>
    <row r="695" spans="1:61" x14ac:dyDescent="0.25">
      <c r="A695" s="62" t="s">
        <v>388</v>
      </c>
      <c r="B695" s="62" t="s">
        <v>388</v>
      </c>
      <c r="C695" s="63"/>
      <c r="D695" s="64"/>
      <c r="E695" s="65"/>
      <c r="F695" s="66"/>
      <c r="G695" s="63"/>
      <c r="H695" s="67"/>
      <c r="I695" s="68"/>
      <c r="J695" s="68"/>
      <c r="K695" s="32"/>
      <c r="L695" s="75">
        <v>695</v>
      </c>
      <c r="M695" s="75"/>
      <c r="N695" s="70"/>
      <c r="O695" s="77" t="s">
        <v>179</v>
      </c>
      <c r="P695" s="79">
        <v>45182.447152777779</v>
      </c>
      <c r="Q695" s="77" t="s">
        <v>1488</v>
      </c>
      <c r="R695" s="77">
        <v>0</v>
      </c>
      <c r="S695" s="77">
        <v>0</v>
      </c>
      <c r="T695" s="77">
        <v>0</v>
      </c>
      <c r="U695" s="77">
        <v>0</v>
      </c>
      <c r="V695" s="77">
        <v>194</v>
      </c>
      <c r="W695" s="82" t="s">
        <v>5217</v>
      </c>
      <c r="X695" s="80" t="str">
        <f>HYPERLINK("https://dinheirama.com/acoes-da-china-terminam-em-baixa-com-foco-em-dados-dos-eua/")</f>
        <v>https://dinheirama.com/acoes-da-china-terminam-em-baixa-com-foco-em-dados-dos-eua/</v>
      </c>
      <c r="Y695" s="77" t="s">
        <v>7093</v>
      </c>
      <c r="Z695" s="77"/>
      <c r="AA695" s="77"/>
      <c r="AB695" s="77"/>
      <c r="AC695" s="82" t="s">
        <v>8232</v>
      </c>
      <c r="AD695" s="77" t="s">
        <v>8278</v>
      </c>
      <c r="AE695" s="80" t="str">
        <f>HYPERLINK("https://twitter.com/dinheirama/status/1701909564654809191")</f>
        <v>https://twitter.com/dinheirama/status/1701909564654809191</v>
      </c>
      <c r="AF695" s="79">
        <v>45182.447152777779</v>
      </c>
      <c r="AG695" s="85">
        <v>45182</v>
      </c>
      <c r="AH695" s="82" t="s">
        <v>8929</v>
      </c>
      <c r="AI695" s="77" t="b">
        <v>0</v>
      </c>
      <c r="AJ695" s="77"/>
      <c r="AK695" s="77"/>
      <c r="AL695" s="77"/>
      <c r="AM695" s="77"/>
      <c r="AN695" s="77"/>
      <c r="AO695" s="77"/>
      <c r="AP695" s="77"/>
      <c r="AQ695" s="77"/>
      <c r="AR695" s="77"/>
      <c r="AS695" s="77"/>
      <c r="AT695" s="77"/>
      <c r="AU695" s="77"/>
      <c r="AV695" s="80" t="str">
        <f>HYPERLINK("https://pbs.twimg.com/profile_images/1685831655976501248/p4Yj-D92_normal.jpg")</f>
        <v>https://pbs.twimg.com/profile_images/1685831655976501248/p4Yj-D92_normal.jpg</v>
      </c>
      <c r="AW695" s="82" t="s">
        <v>13792</v>
      </c>
      <c r="AX695" s="82" t="s">
        <v>13792</v>
      </c>
      <c r="AY695" s="77"/>
      <c r="AZ695" s="82" t="s">
        <v>17385</v>
      </c>
      <c r="BA695" s="82" t="s">
        <v>17385</v>
      </c>
      <c r="BB695" s="82" t="s">
        <v>17385</v>
      </c>
      <c r="BC695" s="82" t="s">
        <v>13792</v>
      </c>
      <c r="BD695" s="77">
        <v>23408209</v>
      </c>
      <c r="BE695" s="77"/>
      <c r="BF695" s="77"/>
      <c r="BG695" s="77"/>
      <c r="BH695" s="77"/>
      <c r="BI695" s="77"/>
    </row>
    <row r="696" spans="1:61" x14ac:dyDescent="0.25">
      <c r="A696" s="62" t="s">
        <v>388</v>
      </c>
      <c r="B696" s="62" t="s">
        <v>388</v>
      </c>
      <c r="C696" s="63"/>
      <c r="D696" s="64"/>
      <c r="E696" s="65"/>
      <c r="F696" s="66"/>
      <c r="G696" s="63"/>
      <c r="H696" s="67"/>
      <c r="I696" s="68"/>
      <c r="J696" s="68"/>
      <c r="K696" s="32"/>
      <c r="L696" s="75">
        <v>696</v>
      </c>
      <c r="M696" s="75"/>
      <c r="N696" s="70"/>
      <c r="O696" s="77" t="s">
        <v>179</v>
      </c>
      <c r="P696" s="79">
        <v>45180.680358796293</v>
      </c>
      <c r="Q696" s="77" t="s">
        <v>1489</v>
      </c>
      <c r="R696" s="77">
        <v>0</v>
      </c>
      <c r="S696" s="77">
        <v>0</v>
      </c>
      <c r="T696" s="77">
        <v>1</v>
      </c>
      <c r="U696" s="77">
        <v>0</v>
      </c>
      <c r="V696" s="77">
        <v>274</v>
      </c>
      <c r="W696" s="82" t="s">
        <v>5218</v>
      </c>
      <c r="X696" s="80" t="str">
        <f>HYPERLINK("https://dinheirama.com/bofa-ve-chance-alta-de-petrobras-distribuir-dividendo-extraordinario-no-2o-semestre/")</f>
        <v>https://dinheirama.com/bofa-ve-chance-alta-de-petrobras-distribuir-dividendo-extraordinario-no-2o-semestre/</v>
      </c>
      <c r="Y696" s="77" t="s">
        <v>7093</v>
      </c>
      <c r="Z696" s="77"/>
      <c r="AA696" s="77"/>
      <c r="AB696" s="77"/>
      <c r="AC696" s="82" t="s">
        <v>8232</v>
      </c>
      <c r="AD696" s="77" t="s">
        <v>8278</v>
      </c>
      <c r="AE696" s="80" t="str">
        <f>HYPERLINK("https://twitter.com/dinheirama/status/1701269299162214897")</f>
        <v>https://twitter.com/dinheirama/status/1701269299162214897</v>
      </c>
      <c r="AF696" s="79">
        <v>45180.680358796293</v>
      </c>
      <c r="AG696" s="85">
        <v>45180</v>
      </c>
      <c r="AH696" s="82" t="s">
        <v>8930</v>
      </c>
      <c r="AI696" s="77" t="b">
        <v>0</v>
      </c>
      <c r="AJ696" s="77"/>
      <c r="AK696" s="77"/>
      <c r="AL696" s="77"/>
      <c r="AM696" s="77"/>
      <c r="AN696" s="77"/>
      <c r="AO696" s="77"/>
      <c r="AP696" s="77"/>
      <c r="AQ696" s="77"/>
      <c r="AR696" s="77"/>
      <c r="AS696" s="77"/>
      <c r="AT696" s="77"/>
      <c r="AU696" s="77"/>
      <c r="AV696" s="80" t="str">
        <f>HYPERLINK("https://pbs.twimg.com/profile_images/1685831655976501248/p4Yj-D92_normal.jpg")</f>
        <v>https://pbs.twimg.com/profile_images/1685831655976501248/p4Yj-D92_normal.jpg</v>
      </c>
      <c r="AW696" s="82" t="s">
        <v>13793</v>
      </c>
      <c r="AX696" s="82" t="s">
        <v>13793</v>
      </c>
      <c r="AY696" s="77"/>
      <c r="AZ696" s="82" t="s">
        <v>17385</v>
      </c>
      <c r="BA696" s="82" t="s">
        <v>17385</v>
      </c>
      <c r="BB696" s="82" t="s">
        <v>17385</v>
      </c>
      <c r="BC696" s="82" t="s">
        <v>13793</v>
      </c>
      <c r="BD696" s="77">
        <v>23408209</v>
      </c>
      <c r="BE696" s="77"/>
      <c r="BF696" s="77"/>
      <c r="BG696" s="77"/>
      <c r="BH696" s="77"/>
      <c r="BI696" s="77"/>
    </row>
    <row r="697" spans="1:61" x14ac:dyDescent="0.25">
      <c r="A697" s="62" t="s">
        <v>388</v>
      </c>
      <c r="B697" s="62" t="s">
        <v>388</v>
      </c>
      <c r="C697" s="63"/>
      <c r="D697" s="64"/>
      <c r="E697" s="65"/>
      <c r="F697" s="66"/>
      <c r="G697" s="63"/>
      <c r="H697" s="67"/>
      <c r="I697" s="68"/>
      <c r="J697" s="68"/>
      <c r="K697" s="32"/>
      <c r="L697" s="75">
        <v>697</v>
      </c>
      <c r="M697" s="75"/>
      <c r="N697" s="70"/>
      <c r="O697" s="77" t="s">
        <v>179</v>
      </c>
      <c r="P697" s="79">
        <v>45180.654004629629</v>
      </c>
      <c r="Q697" s="77" t="s">
        <v>1490</v>
      </c>
      <c r="R697" s="77">
        <v>0</v>
      </c>
      <c r="S697" s="77">
        <v>0</v>
      </c>
      <c r="T697" s="77">
        <v>0</v>
      </c>
      <c r="U697" s="77">
        <v>0</v>
      </c>
      <c r="V697" s="77">
        <v>212</v>
      </c>
      <c r="W697" s="82" t="s">
        <v>5214</v>
      </c>
      <c r="X697" s="80" t="str">
        <f>HYPERLINK("https://dinheirama.com/ibovespa-avanca-com-apoio-externo-apos-semana-negativa/")</f>
        <v>https://dinheirama.com/ibovespa-avanca-com-apoio-externo-apos-semana-negativa/</v>
      </c>
      <c r="Y697" s="77" t="s">
        <v>7093</v>
      </c>
      <c r="Z697" s="77"/>
      <c r="AA697" s="77"/>
      <c r="AB697" s="77"/>
      <c r="AC697" s="82" t="s">
        <v>8232</v>
      </c>
      <c r="AD697" s="77" t="s">
        <v>8278</v>
      </c>
      <c r="AE697" s="80" t="str">
        <f>HYPERLINK("https://twitter.com/dinheirama/status/1701259746261528993")</f>
        <v>https://twitter.com/dinheirama/status/1701259746261528993</v>
      </c>
      <c r="AF697" s="79">
        <v>45180.654004629629</v>
      </c>
      <c r="AG697" s="85">
        <v>45180</v>
      </c>
      <c r="AH697" s="82" t="s">
        <v>8931</v>
      </c>
      <c r="AI697" s="77" t="b">
        <v>0</v>
      </c>
      <c r="AJ697" s="77"/>
      <c r="AK697" s="77"/>
      <c r="AL697" s="77"/>
      <c r="AM697" s="77"/>
      <c r="AN697" s="77"/>
      <c r="AO697" s="77"/>
      <c r="AP697" s="77"/>
      <c r="AQ697" s="77"/>
      <c r="AR697" s="77"/>
      <c r="AS697" s="77"/>
      <c r="AT697" s="77"/>
      <c r="AU697" s="77"/>
      <c r="AV697" s="80" t="str">
        <f>HYPERLINK("https://pbs.twimg.com/profile_images/1685831655976501248/p4Yj-D92_normal.jpg")</f>
        <v>https://pbs.twimg.com/profile_images/1685831655976501248/p4Yj-D92_normal.jpg</v>
      </c>
      <c r="AW697" s="82" t="s">
        <v>13794</v>
      </c>
      <c r="AX697" s="82" t="s">
        <v>13794</v>
      </c>
      <c r="AY697" s="77"/>
      <c r="AZ697" s="82" t="s">
        <v>17385</v>
      </c>
      <c r="BA697" s="82" t="s">
        <v>17385</v>
      </c>
      <c r="BB697" s="82" t="s">
        <v>17385</v>
      </c>
      <c r="BC697" s="82" t="s">
        <v>13794</v>
      </c>
      <c r="BD697" s="77">
        <v>23408209</v>
      </c>
      <c r="BE697" s="77"/>
      <c r="BF697" s="77"/>
      <c r="BG697" s="77"/>
      <c r="BH697" s="77"/>
      <c r="BI697" s="77"/>
    </row>
    <row r="698" spans="1:61" x14ac:dyDescent="0.25">
      <c r="A698" s="62" t="s">
        <v>388</v>
      </c>
      <c r="B698" s="62" t="s">
        <v>388</v>
      </c>
      <c r="C698" s="63"/>
      <c r="D698" s="64"/>
      <c r="E698" s="65"/>
      <c r="F698" s="66"/>
      <c r="G698" s="63"/>
      <c r="H698" s="67"/>
      <c r="I698" s="68"/>
      <c r="J698" s="68"/>
      <c r="K698" s="32"/>
      <c r="L698" s="75">
        <v>698</v>
      </c>
      <c r="M698" s="75"/>
      <c r="N698" s="70"/>
      <c r="O698" s="77" t="s">
        <v>179</v>
      </c>
      <c r="P698" s="79">
        <v>45180.449594907404</v>
      </c>
      <c r="Q698" s="77" t="s">
        <v>1491</v>
      </c>
      <c r="R698" s="77">
        <v>0</v>
      </c>
      <c r="S698" s="77">
        <v>1</v>
      </c>
      <c r="T698" s="77">
        <v>0</v>
      </c>
      <c r="U698" s="77">
        <v>0</v>
      </c>
      <c r="V698" s="77">
        <v>223</v>
      </c>
      <c r="W698" s="82" t="s">
        <v>5217</v>
      </c>
      <c r="X698" s="80" t="str">
        <f>HYPERLINK("https://dinheirama.com/acoes-da-china-sobem-com-novas-medidas-de-estimulo/")</f>
        <v>https://dinheirama.com/acoes-da-china-sobem-com-novas-medidas-de-estimulo/</v>
      </c>
      <c r="Y698" s="77" t="s">
        <v>7093</v>
      </c>
      <c r="Z698" s="77"/>
      <c r="AA698" s="77"/>
      <c r="AB698" s="77"/>
      <c r="AC698" s="82" t="s">
        <v>8232</v>
      </c>
      <c r="AD698" s="77" t="s">
        <v>8278</v>
      </c>
      <c r="AE698" s="80" t="str">
        <f>HYPERLINK("https://twitter.com/dinheirama/status/1701185672990630204")</f>
        <v>https://twitter.com/dinheirama/status/1701185672990630204</v>
      </c>
      <c r="AF698" s="79">
        <v>45180.449594907404</v>
      </c>
      <c r="AG698" s="85">
        <v>45180</v>
      </c>
      <c r="AH698" s="82" t="s">
        <v>8932</v>
      </c>
      <c r="AI698" s="77" t="b">
        <v>0</v>
      </c>
      <c r="AJ698" s="77"/>
      <c r="AK698" s="77"/>
      <c r="AL698" s="77"/>
      <c r="AM698" s="77"/>
      <c r="AN698" s="77"/>
      <c r="AO698" s="77"/>
      <c r="AP698" s="77"/>
      <c r="AQ698" s="77"/>
      <c r="AR698" s="77"/>
      <c r="AS698" s="77"/>
      <c r="AT698" s="77"/>
      <c r="AU698" s="77"/>
      <c r="AV698" s="80" t="str">
        <f>HYPERLINK("https://pbs.twimg.com/profile_images/1685831655976501248/p4Yj-D92_normal.jpg")</f>
        <v>https://pbs.twimg.com/profile_images/1685831655976501248/p4Yj-D92_normal.jpg</v>
      </c>
      <c r="AW698" s="82" t="s">
        <v>13795</v>
      </c>
      <c r="AX698" s="82" t="s">
        <v>13795</v>
      </c>
      <c r="AY698" s="77"/>
      <c r="AZ698" s="82" t="s">
        <v>17385</v>
      </c>
      <c r="BA698" s="82" t="s">
        <v>17385</v>
      </c>
      <c r="BB698" s="82" t="s">
        <v>17385</v>
      </c>
      <c r="BC698" s="82" t="s">
        <v>13795</v>
      </c>
      <c r="BD698" s="77">
        <v>23408209</v>
      </c>
      <c r="BE698" s="77"/>
      <c r="BF698" s="77"/>
      <c r="BG698" s="77"/>
      <c r="BH698" s="77"/>
      <c r="BI698" s="77"/>
    </row>
    <row r="699" spans="1:61" x14ac:dyDescent="0.25">
      <c r="A699" s="62" t="s">
        <v>388</v>
      </c>
      <c r="B699" s="62" t="s">
        <v>388</v>
      </c>
      <c r="C699" s="63"/>
      <c r="D699" s="64"/>
      <c r="E699" s="65"/>
      <c r="F699" s="66"/>
      <c r="G699" s="63"/>
      <c r="H699" s="67"/>
      <c r="I699" s="68"/>
      <c r="J699" s="68"/>
      <c r="K699" s="32"/>
      <c r="L699" s="75">
        <v>699</v>
      </c>
      <c r="M699" s="75"/>
      <c r="N699" s="70"/>
      <c r="O699" s="77" t="s">
        <v>179</v>
      </c>
      <c r="P699" s="79">
        <v>45175.744363425925</v>
      </c>
      <c r="Q699" s="77" t="s">
        <v>1492</v>
      </c>
      <c r="R699" s="77">
        <v>0</v>
      </c>
      <c r="S699" s="77">
        <v>0</v>
      </c>
      <c r="T699" s="77">
        <v>0</v>
      </c>
      <c r="U699" s="77">
        <v>0</v>
      </c>
      <c r="V699" s="77">
        <v>190</v>
      </c>
      <c r="W699" s="82" t="s">
        <v>5219</v>
      </c>
      <c r="X699" s="80" t="str">
        <f>HYPERLINK("https://dinheirama.com/projeto-regulamenta-compra-de-acoes-de-empresas-por-funcionarios/")</f>
        <v>https://dinheirama.com/projeto-regulamenta-compra-de-acoes-de-empresas-por-funcionarios/</v>
      </c>
      <c r="Y699" s="77" t="s">
        <v>7093</v>
      </c>
      <c r="Z699" s="77"/>
      <c r="AA699" s="77"/>
      <c r="AB699" s="77"/>
      <c r="AC699" s="82" t="s">
        <v>8232</v>
      </c>
      <c r="AD699" s="77" t="s">
        <v>8278</v>
      </c>
      <c r="AE699" s="80" t="str">
        <f>HYPERLINK("https://twitter.com/dinheirama/status/1699480555786469474")</f>
        <v>https://twitter.com/dinheirama/status/1699480555786469474</v>
      </c>
      <c r="AF699" s="79">
        <v>45175.744363425925</v>
      </c>
      <c r="AG699" s="85">
        <v>45175</v>
      </c>
      <c r="AH699" s="82" t="s">
        <v>8933</v>
      </c>
      <c r="AI699" s="77" t="b">
        <v>0</v>
      </c>
      <c r="AJ699" s="77"/>
      <c r="AK699" s="77"/>
      <c r="AL699" s="77"/>
      <c r="AM699" s="77"/>
      <c r="AN699" s="77"/>
      <c r="AO699" s="77"/>
      <c r="AP699" s="77"/>
      <c r="AQ699" s="77"/>
      <c r="AR699" s="77"/>
      <c r="AS699" s="77"/>
      <c r="AT699" s="77"/>
      <c r="AU699" s="77"/>
      <c r="AV699" s="80" t="str">
        <f>HYPERLINK("https://pbs.twimg.com/profile_images/1685831655976501248/p4Yj-D92_normal.jpg")</f>
        <v>https://pbs.twimg.com/profile_images/1685831655976501248/p4Yj-D92_normal.jpg</v>
      </c>
      <c r="AW699" s="82" t="s">
        <v>13796</v>
      </c>
      <c r="AX699" s="82" t="s">
        <v>13796</v>
      </c>
      <c r="AY699" s="77"/>
      <c r="AZ699" s="82" t="s">
        <v>17385</v>
      </c>
      <c r="BA699" s="82" t="s">
        <v>17385</v>
      </c>
      <c r="BB699" s="82" t="s">
        <v>17385</v>
      </c>
      <c r="BC699" s="82" t="s">
        <v>13796</v>
      </c>
      <c r="BD699" s="77">
        <v>23408209</v>
      </c>
      <c r="BE699" s="77"/>
      <c r="BF699" s="77"/>
      <c r="BG699" s="77"/>
      <c r="BH699" s="77"/>
      <c r="BI699" s="77"/>
    </row>
    <row r="700" spans="1:61" x14ac:dyDescent="0.25">
      <c r="A700" s="62" t="s">
        <v>388</v>
      </c>
      <c r="B700" s="62" t="s">
        <v>388</v>
      </c>
      <c r="C700" s="63"/>
      <c r="D700" s="64"/>
      <c r="E700" s="65"/>
      <c r="F700" s="66"/>
      <c r="G700" s="63"/>
      <c r="H700" s="67"/>
      <c r="I700" s="68"/>
      <c r="J700" s="68"/>
      <c r="K700" s="32"/>
      <c r="L700" s="75">
        <v>700</v>
      </c>
      <c r="M700" s="75"/>
      <c r="N700" s="70"/>
      <c r="O700" s="77" t="s">
        <v>179</v>
      </c>
      <c r="P700" s="79">
        <v>45174.450682870367</v>
      </c>
      <c r="Q700" s="77" t="s">
        <v>1493</v>
      </c>
      <c r="R700" s="77">
        <v>0</v>
      </c>
      <c r="S700" s="77">
        <v>0</v>
      </c>
      <c r="T700" s="77">
        <v>0</v>
      </c>
      <c r="U700" s="77">
        <v>0</v>
      </c>
      <c r="V700" s="77">
        <v>212</v>
      </c>
      <c r="W700" s="82" t="s">
        <v>5220</v>
      </c>
      <c r="X700" s="80" t="str">
        <f>HYPERLINK("https://dinheirama.com/acoes-da-china-registram-queda-de-olho-em-dados-do-pmi/")</f>
        <v>https://dinheirama.com/acoes-da-china-registram-queda-de-olho-em-dados-do-pmi/</v>
      </c>
      <c r="Y700" s="77" t="s">
        <v>7093</v>
      </c>
      <c r="Z700" s="77"/>
      <c r="AA700" s="77"/>
      <c r="AB700" s="77"/>
      <c r="AC700" s="82" t="s">
        <v>8232</v>
      </c>
      <c r="AD700" s="77" t="s">
        <v>8278</v>
      </c>
      <c r="AE700" s="80" t="str">
        <f>HYPERLINK("https://twitter.com/dinheirama/status/1699011739281432814")</f>
        <v>https://twitter.com/dinheirama/status/1699011739281432814</v>
      </c>
      <c r="AF700" s="79">
        <v>45174.450682870367</v>
      </c>
      <c r="AG700" s="85">
        <v>45174</v>
      </c>
      <c r="AH700" s="82" t="s">
        <v>8934</v>
      </c>
      <c r="AI700" s="77" t="b">
        <v>0</v>
      </c>
      <c r="AJ700" s="77"/>
      <c r="AK700" s="77"/>
      <c r="AL700" s="77"/>
      <c r="AM700" s="77"/>
      <c r="AN700" s="77"/>
      <c r="AO700" s="77"/>
      <c r="AP700" s="77"/>
      <c r="AQ700" s="77"/>
      <c r="AR700" s="77"/>
      <c r="AS700" s="77"/>
      <c r="AT700" s="77"/>
      <c r="AU700" s="77"/>
      <c r="AV700" s="80" t="str">
        <f>HYPERLINK("https://pbs.twimg.com/profile_images/1685831655976501248/p4Yj-D92_normal.jpg")</f>
        <v>https://pbs.twimg.com/profile_images/1685831655976501248/p4Yj-D92_normal.jpg</v>
      </c>
      <c r="AW700" s="82" t="s">
        <v>13797</v>
      </c>
      <c r="AX700" s="82" t="s">
        <v>13797</v>
      </c>
      <c r="AY700" s="77"/>
      <c r="AZ700" s="82" t="s">
        <v>17385</v>
      </c>
      <c r="BA700" s="82" t="s">
        <v>17385</v>
      </c>
      <c r="BB700" s="82" t="s">
        <v>17385</v>
      </c>
      <c r="BC700" s="82" t="s">
        <v>13797</v>
      </c>
      <c r="BD700" s="77">
        <v>23408209</v>
      </c>
      <c r="BE700" s="77"/>
      <c r="BF700" s="77"/>
      <c r="BG700" s="77"/>
      <c r="BH700" s="77"/>
      <c r="BI700" s="77"/>
    </row>
    <row r="701" spans="1:61" x14ac:dyDescent="0.25">
      <c r="A701" s="62" t="s">
        <v>388</v>
      </c>
      <c r="B701" s="62" t="s">
        <v>388</v>
      </c>
      <c r="C701" s="63"/>
      <c r="D701" s="64"/>
      <c r="E701" s="65"/>
      <c r="F701" s="66"/>
      <c r="G701" s="63"/>
      <c r="H701" s="67"/>
      <c r="I701" s="68"/>
      <c r="J701" s="68"/>
      <c r="K701" s="32"/>
      <c r="L701" s="75">
        <v>701</v>
      </c>
      <c r="M701" s="75"/>
      <c r="N701" s="70"/>
      <c r="O701" s="77" t="s">
        <v>179</v>
      </c>
      <c r="P701" s="79">
        <v>45146.845023148147</v>
      </c>
      <c r="Q701" s="77" t="s">
        <v>1494</v>
      </c>
      <c r="R701" s="77">
        <v>0</v>
      </c>
      <c r="S701" s="77">
        <v>0</v>
      </c>
      <c r="T701" s="77">
        <v>0</v>
      </c>
      <c r="U701" s="77">
        <v>0</v>
      </c>
      <c r="V701" s="77">
        <v>217</v>
      </c>
      <c r="W701" s="82" t="s">
        <v>5221</v>
      </c>
      <c r="X701" s="80" t="str">
        <f>HYPERLINK("https://dinheirama.com/ibovespa-fecha-em-queda-mas-distante-da-minima-com-alivio-na-curva-de-di/")</f>
        <v>https://dinheirama.com/ibovespa-fecha-em-queda-mas-distante-da-minima-com-alivio-na-curva-de-di/</v>
      </c>
      <c r="Y701" s="77" t="s">
        <v>7093</v>
      </c>
      <c r="Z701" s="77"/>
      <c r="AA701" s="77"/>
      <c r="AB701" s="77"/>
      <c r="AC701" s="82" t="s">
        <v>8232</v>
      </c>
      <c r="AD701" s="77" t="s">
        <v>8278</v>
      </c>
      <c r="AE701" s="80" t="str">
        <f>HYPERLINK("https://twitter.com/dinheirama/status/1689007783210074112")</f>
        <v>https://twitter.com/dinheirama/status/1689007783210074112</v>
      </c>
      <c r="AF701" s="79">
        <v>45146.845023148147</v>
      </c>
      <c r="AG701" s="85">
        <v>45146</v>
      </c>
      <c r="AH701" s="82" t="s">
        <v>8935</v>
      </c>
      <c r="AI701" s="77" t="b">
        <v>0</v>
      </c>
      <c r="AJ701" s="77"/>
      <c r="AK701" s="77"/>
      <c r="AL701" s="77"/>
      <c r="AM701" s="77"/>
      <c r="AN701" s="77"/>
      <c r="AO701" s="77"/>
      <c r="AP701" s="77"/>
      <c r="AQ701" s="77"/>
      <c r="AR701" s="77"/>
      <c r="AS701" s="77"/>
      <c r="AT701" s="77"/>
      <c r="AU701" s="77"/>
      <c r="AV701" s="80" t="str">
        <f>HYPERLINK("https://pbs.twimg.com/profile_images/1685831655976501248/p4Yj-D92_normal.jpg")</f>
        <v>https://pbs.twimg.com/profile_images/1685831655976501248/p4Yj-D92_normal.jpg</v>
      </c>
      <c r="AW701" s="82" t="s">
        <v>13798</v>
      </c>
      <c r="AX701" s="82" t="s">
        <v>13798</v>
      </c>
      <c r="AY701" s="77"/>
      <c r="AZ701" s="82" t="s">
        <v>17385</v>
      </c>
      <c r="BA701" s="82" t="s">
        <v>17385</v>
      </c>
      <c r="BB701" s="82" t="s">
        <v>17385</v>
      </c>
      <c r="BC701" s="82" t="s">
        <v>13798</v>
      </c>
      <c r="BD701" s="77">
        <v>23408209</v>
      </c>
      <c r="BE701" s="77"/>
      <c r="BF701" s="77"/>
      <c r="BG701" s="77"/>
      <c r="BH701" s="77"/>
      <c r="BI701" s="77"/>
    </row>
    <row r="702" spans="1:61" x14ac:dyDescent="0.25">
      <c r="A702" s="62" t="s">
        <v>388</v>
      </c>
      <c r="B702" s="62" t="s">
        <v>388</v>
      </c>
      <c r="C702" s="63"/>
      <c r="D702" s="64"/>
      <c r="E702" s="65"/>
      <c r="F702" s="66"/>
      <c r="G702" s="63"/>
      <c r="H702" s="67"/>
      <c r="I702" s="68"/>
      <c r="J702" s="68"/>
      <c r="K702" s="32"/>
      <c r="L702" s="75">
        <v>702</v>
      </c>
      <c r="M702" s="75"/>
      <c r="N702" s="70"/>
      <c r="O702" s="77" t="s">
        <v>179</v>
      </c>
      <c r="P702" s="79">
        <v>45145.850312499999</v>
      </c>
      <c r="Q702" s="77" t="s">
        <v>1495</v>
      </c>
      <c r="R702" s="77">
        <v>0</v>
      </c>
      <c r="S702" s="77">
        <v>1</v>
      </c>
      <c r="T702" s="77">
        <v>0</v>
      </c>
      <c r="U702" s="77">
        <v>0</v>
      </c>
      <c r="V702" s="77">
        <v>261</v>
      </c>
      <c r="W702" s="82" t="s">
        <v>5222</v>
      </c>
      <c r="X702" s="80" t="str">
        <f>HYPERLINK("https://dinheirama.com/wall-street-fecha-em-alta-na-expectativa-por-dado-de-inflacao-nesta-semana/")</f>
        <v>https://dinheirama.com/wall-street-fecha-em-alta-na-expectativa-por-dado-de-inflacao-nesta-semana/</v>
      </c>
      <c r="Y702" s="77" t="s">
        <v>7093</v>
      </c>
      <c r="Z702" s="77"/>
      <c r="AA702" s="77"/>
      <c r="AB702" s="77"/>
      <c r="AC702" s="82" t="s">
        <v>8232</v>
      </c>
      <c r="AD702" s="77" t="s">
        <v>8278</v>
      </c>
      <c r="AE702" s="80" t="str">
        <f>HYPERLINK("https://twitter.com/dinheirama/status/1688647312451461125")</f>
        <v>https://twitter.com/dinheirama/status/1688647312451461125</v>
      </c>
      <c r="AF702" s="79">
        <v>45145.850312499999</v>
      </c>
      <c r="AG702" s="85">
        <v>45145</v>
      </c>
      <c r="AH702" s="82" t="s">
        <v>8936</v>
      </c>
      <c r="AI702" s="77" t="b">
        <v>0</v>
      </c>
      <c r="AJ702" s="77"/>
      <c r="AK702" s="77"/>
      <c r="AL702" s="77"/>
      <c r="AM702" s="77"/>
      <c r="AN702" s="77"/>
      <c r="AO702" s="77"/>
      <c r="AP702" s="77"/>
      <c r="AQ702" s="77"/>
      <c r="AR702" s="77"/>
      <c r="AS702" s="77"/>
      <c r="AT702" s="77"/>
      <c r="AU702" s="77"/>
      <c r="AV702" s="80" t="str">
        <f>HYPERLINK("https://pbs.twimg.com/profile_images/1685831655976501248/p4Yj-D92_normal.jpg")</f>
        <v>https://pbs.twimg.com/profile_images/1685831655976501248/p4Yj-D92_normal.jpg</v>
      </c>
      <c r="AW702" s="82" t="s">
        <v>13799</v>
      </c>
      <c r="AX702" s="82" t="s">
        <v>13799</v>
      </c>
      <c r="AY702" s="77"/>
      <c r="AZ702" s="82" t="s">
        <v>17385</v>
      </c>
      <c r="BA702" s="82" t="s">
        <v>17385</v>
      </c>
      <c r="BB702" s="82" t="s">
        <v>17385</v>
      </c>
      <c r="BC702" s="82" t="s">
        <v>13799</v>
      </c>
      <c r="BD702" s="77">
        <v>23408209</v>
      </c>
      <c r="BE702" s="77"/>
      <c r="BF702" s="77"/>
      <c r="BG702" s="77"/>
      <c r="BH702" s="77"/>
      <c r="BI702" s="77"/>
    </row>
    <row r="703" spans="1:61" x14ac:dyDescent="0.25">
      <c r="A703" s="62" t="s">
        <v>388</v>
      </c>
      <c r="B703" s="62" t="s">
        <v>388</v>
      </c>
      <c r="C703" s="63"/>
      <c r="D703" s="64"/>
      <c r="E703" s="65"/>
      <c r="F703" s="66"/>
      <c r="G703" s="63"/>
      <c r="H703" s="67"/>
      <c r="I703" s="68"/>
      <c r="J703" s="68"/>
      <c r="K703" s="32"/>
      <c r="L703" s="75">
        <v>703</v>
      </c>
      <c r="M703" s="75"/>
      <c r="N703" s="70"/>
      <c r="O703" s="77" t="s">
        <v>179</v>
      </c>
      <c r="P703" s="79">
        <v>45145.841296296298</v>
      </c>
      <c r="Q703" s="77" t="s">
        <v>1496</v>
      </c>
      <c r="R703" s="77">
        <v>0</v>
      </c>
      <c r="S703" s="77">
        <v>1</v>
      </c>
      <c r="T703" s="77">
        <v>0</v>
      </c>
      <c r="U703" s="77">
        <v>0</v>
      </c>
      <c r="V703" s="77">
        <v>245</v>
      </c>
      <c r="W703" s="82" t="s">
        <v>5223</v>
      </c>
      <c r="X703" s="80" t="str">
        <f>HYPERLINK("https://dinheirama.com/ibovespa-fecha-com-declinio-discreto-e-volume-reduzido-bb-seguridade-sobe-apos-balanco/")</f>
        <v>https://dinheirama.com/ibovespa-fecha-com-declinio-discreto-e-volume-reduzido-bb-seguridade-sobe-apos-balanco/</v>
      </c>
      <c r="Y703" s="77" t="s">
        <v>7093</v>
      </c>
      <c r="Z703" s="77"/>
      <c r="AA703" s="77"/>
      <c r="AB703" s="77"/>
      <c r="AC703" s="82" t="s">
        <v>8232</v>
      </c>
      <c r="AD703" s="77" t="s">
        <v>8278</v>
      </c>
      <c r="AE703" s="80" t="str">
        <f>HYPERLINK("https://twitter.com/dinheirama/status/1688644044337938433")</f>
        <v>https://twitter.com/dinheirama/status/1688644044337938433</v>
      </c>
      <c r="AF703" s="79">
        <v>45145.841296296298</v>
      </c>
      <c r="AG703" s="85">
        <v>45145</v>
      </c>
      <c r="AH703" s="82" t="s">
        <v>8937</v>
      </c>
      <c r="AI703" s="77" t="b">
        <v>0</v>
      </c>
      <c r="AJ703" s="77"/>
      <c r="AK703" s="77"/>
      <c r="AL703" s="77"/>
      <c r="AM703" s="77"/>
      <c r="AN703" s="77"/>
      <c r="AO703" s="77"/>
      <c r="AP703" s="77"/>
      <c r="AQ703" s="77"/>
      <c r="AR703" s="77"/>
      <c r="AS703" s="77"/>
      <c r="AT703" s="77"/>
      <c r="AU703" s="77"/>
      <c r="AV703" s="80" t="str">
        <f>HYPERLINK("https://pbs.twimg.com/profile_images/1685831655976501248/p4Yj-D92_normal.jpg")</f>
        <v>https://pbs.twimg.com/profile_images/1685831655976501248/p4Yj-D92_normal.jpg</v>
      </c>
      <c r="AW703" s="82" t="s">
        <v>13800</v>
      </c>
      <c r="AX703" s="82" t="s">
        <v>13800</v>
      </c>
      <c r="AY703" s="77"/>
      <c r="AZ703" s="82" t="s">
        <v>17385</v>
      </c>
      <c r="BA703" s="82" t="s">
        <v>17385</v>
      </c>
      <c r="BB703" s="82" t="s">
        <v>17385</v>
      </c>
      <c r="BC703" s="82" t="s">
        <v>13800</v>
      </c>
      <c r="BD703" s="77">
        <v>23408209</v>
      </c>
      <c r="BE703" s="77"/>
      <c r="BF703" s="77"/>
      <c r="BG703" s="77"/>
      <c r="BH703" s="77"/>
      <c r="BI703" s="77"/>
    </row>
    <row r="704" spans="1:61" x14ac:dyDescent="0.25">
      <c r="A704" s="62" t="s">
        <v>388</v>
      </c>
      <c r="B704" s="62" t="s">
        <v>388</v>
      </c>
      <c r="C704" s="63"/>
      <c r="D704" s="64"/>
      <c r="E704" s="65"/>
      <c r="F704" s="66"/>
      <c r="G704" s="63"/>
      <c r="H704" s="67"/>
      <c r="I704" s="68"/>
      <c r="J704" s="68"/>
      <c r="K704" s="32"/>
      <c r="L704" s="75">
        <v>704</v>
      </c>
      <c r="M704" s="75"/>
      <c r="N704" s="70"/>
      <c r="O704" s="77" t="s">
        <v>179</v>
      </c>
      <c r="P704" s="79">
        <v>45188.450775462959</v>
      </c>
      <c r="Q704" s="77" t="s">
        <v>1497</v>
      </c>
      <c r="R704" s="77">
        <v>0</v>
      </c>
      <c r="S704" s="77">
        <v>0</v>
      </c>
      <c r="T704" s="77">
        <v>0</v>
      </c>
      <c r="U704" s="77">
        <v>0</v>
      </c>
      <c r="V704" s="77">
        <v>235</v>
      </c>
      <c r="W704" s="82" t="s">
        <v>5224</v>
      </c>
      <c r="X704" s="80" t="str">
        <f>HYPERLINK("https://dinheirama.com/acoes-da-china-registram-queda-de-019/")</f>
        <v>https://dinheirama.com/acoes-da-china-registram-queda-de-019/</v>
      </c>
      <c r="Y704" s="77" t="s">
        <v>7093</v>
      </c>
      <c r="Z704" s="77"/>
      <c r="AA704" s="77"/>
      <c r="AB704" s="77"/>
      <c r="AC704" s="82" t="s">
        <v>8232</v>
      </c>
      <c r="AD704" s="77" t="s">
        <v>8278</v>
      </c>
      <c r="AE704" s="80" t="str">
        <f>HYPERLINK("https://twitter.com/dinheirama/status/1704085205047222376")</f>
        <v>https://twitter.com/dinheirama/status/1704085205047222376</v>
      </c>
      <c r="AF704" s="79">
        <v>45188.450775462959</v>
      </c>
      <c r="AG704" s="85">
        <v>45188</v>
      </c>
      <c r="AH704" s="82" t="s">
        <v>8938</v>
      </c>
      <c r="AI704" s="77" t="b">
        <v>0</v>
      </c>
      <c r="AJ704" s="77"/>
      <c r="AK704" s="77"/>
      <c r="AL704" s="77"/>
      <c r="AM704" s="77"/>
      <c r="AN704" s="77"/>
      <c r="AO704" s="77"/>
      <c r="AP704" s="77"/>
      <c r="AQ704" s="77"/>
      <c r="AR704" s="77"/>
      <c r="AS704" s="77"/>
      <c r="AT704" s="77"/>
      <c r="AU704" s="77"/>
      <c r="AV704" s="80" t="str">
        <f>HYPERLINK("https://pbs.twimg.com/profile_images/1685831655976501248/p4Yj-D92_normal.jpg")</f>
        <v>https://pbs.twimg.com/profile_images/1685831655976501248/p4Yj-D92_normal.jpg</v>
      </c>
      <c r="AW704" s="82" t="s">
        <v>13801</v>
      </c>
      <c r="AX704" s="82" t="s">
        <v>13801</v>
      </c>
      <c r="AY704" s="77"/>
      <c r="AZ704" s="82" t="s">
        <v>17385</v>
      </c>
      <c r="BA704" s="82" t="s">
        <v>17385</v>
      </c>
      <c r="BB704" s="82" t="s">
        <v>17385</v>
      </c>
      <c r="BC704" s="82" t="s">
        <v>13801</v>
      </c>
      <c r="BD704" s="77">
        <v>23408209</v>
      </c>
      <c r="BE704" s="77"/>
      <c r="BF704" s="77"/>
      <c r="BG704" s="77"/>
      <c r="BH704" s="77"/>
      <c r="BI704" s="77"/>
    </row>
    <row r="705" spans="1:61" x14ac:dyDescent="0.25">
      <c r="A705" s="62" t="s">
        <v>388</v>
      </c>
      <c r="B705" s="62" t="s">
        <v>388</v>
      </c>
      <c r="C705" s="63"/>
      <c r="D705" s="64"/>
      <c r="E705" s="65"/>
      <c r="F705" s="66"/>
      <c r="G705" s="63"/>
      <c r="H705" s="67"/>
      <c r="I705" s="68"/>
      <c r="J705" s="68"/>
      <c r="K705" s="32"/>
      <c r="L705" s="75">
        <v>705</v>
      </c>
      <c r="M705" s="75"/>
      <c r="N705" s="70"/>
      <c r="O705" s="77" t="s">
        <v>179</v>
      </c>
      <c r="P705" s="79">
        <v>45173.44363425926</v>
      </c>
      <c r="Q705" s="77" t="s">
        <v>1498</v>
      </c>
      <c r="R705" s="77">
        <v>0</v>
      </c>
      <c r="S705" s="77">
        <v>0</v>
      </c>
      <c r="T705" s="77">
        <v>0</v>
      </c>
      <c r="U705" s="77">
        <v>0</v>
      </c>
      <c r="V705" s="77">
        <v>253</v>
      </c>
      <c r="W705" s="82" t="s">
        <v>5217</v>
      </c>
      <c r="X705" s="80" t="str">
        <f>HYPERLINK("https://dinheirama.com/acoes-da-china-registram-alta-de-152/")</f>
        <v>https://dinheirama.com/acoes-da-china-registram-alta-de-152/</v>
      </c>
      <c r="Y705" s="77" t="s">
        <v>7093</v>
      </c>
      <c r="Z705" s="77"/>
      <c r="AA705" s="77"/>
      <c r="AB705" s="77"/>
      <c r="AC705" s="82" t="s">
        <v>8232</v>
      </c>
      <c r="AD705" s="77" t="s">
        <v>8278</v>
      </c>
      <c r="AE705" s="80" t="str">
        <f>HYPERLINK("https://twitter.com/dinheirama/status/1698646796828807521")</f>
        <v>https://twitter.com/dinheirama/status/1698646796828807521</v>
      </c>
      <c r="AF705" s="79">
        <v>45173.44363425926</v>
      </c>
      <c r="AG705" s="85">
        <v>45173</v>
      </c>
      <c r="AH705" s="82" t="s">
        <v>8939</v>
      </c>
      <c r="AI705" s="77" t="b">
        <v>0</v>
      </c>
      <c r="AJ705" s="77"/>
      <c r="AK705" s="77"/>
      <c r="AL705" s="77"/>
      <c r="AM705" s="77"/>
      <c r="AN705" s="77"/>
      <c r="AO705" s="77"/>
      <c r="AP705" s="77"/>
      <c r="AQ705" s="77"/>
      <c r="AR705" s="77"/>
      <c r="AS705" s="77"/>
      <c r="AT705" s="77"/>
      <c r="AU705" s="77"/>
      <c r="AV705" s="80" t="str">
        <f>HYPERLINK("https://pbs.twimg.com/profile_images/1685831655976501248/p4Yj-D92_normal.jpg")</f>
        <v>https://pbs.twimg.com/profile_images/1685831655976501248/p4Yj-D92_normal.jpg</v>
      </c>
      <c r="AW705" s="82" t="s">
        <v>13802</v>
      </c>
      <c r="AX705" s="82" t="s">
        <v>13802</v>
      </c>
      <c r="AY705" s="77"/>
      <c r="AZ705" s="82" t="s">
        <v>17385</v>
      </c>
      <c r="BA705" s="82" t="s">
        <v>17385</v>
      </c>
      <c r="BB705" s="82" t="s">
        <v>17385</v>
      </c>
      <c r="BC705" s="82" t="s">
        <v>13802</v>
      </c>
      <c r="BD705" s="77">
        <v>23408209</v>
      </c>
      <c r="BE705" s="77"/>
      <c r="BF705" s="77"/>
      <c r="BG705" s="77"/>
      <c r="BH705" s="77"/>
      <c r="BI705" s="77"/>
    </row>
    <row r="706" spans="1:61" x14ac:dyDescent="0.25">
      <c r="A706" s="62" t="s">
        <v>388</v>
      </c>
      <c r="B706" s="62" t="s">
        <v>388</v>
      </c>
      <c r="C706" s="63"/>
      <c r="D706" s="64"/>
      <c r="E706" s="65"/>
      <c r="F706" s="66"/>
      <c r="G706" s="63"/>
      <c r="H706" s="67"/>
      <c r="I706" s="68"/>
      <c r="J706" s="68"/>
      <c r="K706" s="32"/>
      <c r="L706" s="75">
        <v>706</v>
      </c>
      <c r="M706" s="75"/>
      <c r="N706" s="70"/>
      <c r="O706" s="77" t="s">
        <v>179</v>
      </c>
      <c r="P706" s="79">
        <v>45169.794108796297</v>
      </c>
      <c r="Q706" s="77" t="s">
        <v>1499</v>
      </c>
      <c r="R706" s="77">
        <v>0</v>
      </c>
      <c r="S706" s="77">
        <v>0</v>
      </c>
      <c r="T706" s="77">
        <v>0</v>
      </c>
      <c r="U706" s="77">
        <v>0</v>
      </c>
      <c r="V706" s="77">
        <v>193</v>
      </c>
      <c r="W706" s="82" t="s">
        <v>5225</v>
      </c>
      <c r="X706" s="80" t="str">
        <f>HYPERLINK("https://dinheirama.com/acoes-europeias-devolvem-ganhos-sob-peso-de-setores-de-luxo-e-bens-de-consumo/")</f>
        <v>https://dinheirama.com/acoes-europeias-devolvem-ganhos-sob-peso-de-setores-de-luxo-e-bens-de-consumo/</v>
      </c>
      <c r="Y706" s="77" t="s">
        <v>7093</v>
      </c>
      <c r="Z706" s="77"/>
      <c r="AA706" s="77"/>
      <c r="AB706" s="77"/>
      <c r="AC706" s="82" t="s">
        <v>8232</v>
      </c>
      <c r="AD706" s="77" t="s">
        <v>8278</v>
      </c>
      <c r="AE706" s="80" t="str">
        <f>HYPERLINK("https://twitter.com/dinheirama/status/1697324253744431240")</f>
        <v>https://twitter.com/dinheirama/status/1697324253744431240</v>
      </c>
      <c r="AF706" s="79">
        <v>45169.794108796297</v>
      </c>
      <c r="AG706" s="85">
        <v>45169</v>
      </c>
      <c r="AH706" s="82" t="s">
        <v>8940</v>
      </c>
      <c r="AI706" s="77" t="b">
        <v>0</v>
      </c>
      <c r="AJ706" s="77"/>
      <c r="AK706" s="77"/>
      <c r="AL706" s="77"/>
      <c r="AM706" s="77"/>
      <c r="AN706" s="77"/>
      <c r="AO706" s="77"/>
      <c r="AP706" s="77"/>
      <c r="AQ706" s="77"/>
      <c r="AR706" s="77"/>
      <c r="AS706" s="77"/>
      <c r="AT706" s="77"/>
      <c r="AU706" s="77"/>
      <c r="AV706" s="80" t="str">
        <f>HYPERLINK("https://pbs.twimg.com/profile_images/1685831655976501248/p4Yj-D92_normal.jpg")</f>
        <v>https://pbs.twimg.com/profile_images/1685831655976501248/p4Yj-D92_normal.jpg</v>
      </c>
      <c r="AW706" s="82" t="s">
        <v>13803</v>
      </c>
      <c r="AX706" s="82" t="s">
        <v>13803</v>
      </c>
      <c r="AY706" s="77"/>
      <c r="AZ706" s="82" t="s">
        <v>17385</v>
      </c>
      <c r="BA706" s="82" t="s">
        <v>17385</v>
      </c>
      <c r="BB706" s="82" t="s">
        <v>17385</v>
      </c>
      <c r="BC706" s="82" t="s">
        <v>13803</v>
      </c>
      <c r="BD706" s="77">
        <v>23408209</v>
      </c>
      <c r="BE706" s="77"/>
      <c r="BF706" s="77"/>
      <c r="BG706" s="77"/>
      <c r="BH706" s="77"/>
      <c r="BI706" s="77"/>
    </row>
    <row r="707" spans="1:61" x14ac:dyDescent="0.25">
      <c r="A707" s="62" t="s">
        <v>388</v>
      </c>
      <c r="B707" s="62" t="s">
        <v>388</v>
      </c>
      <c r="C707" s="63"/>
      <c r="D707" s="64"/>
      <c r="E707" s="65"/>
      <c r="F707" s="66"/>
      <c r="G707" s="63"/>
      <c r="H707" s="67"/>
      <c r="I707" s="68"/>
      <c r="J707" s="68"/>
      <c r="K707" s="32"/>
      <c r="L707" s="75">
        <v>707</v>
      </c>
      <c r="M707" s="75"/>
      <c r="N707" s="70"/>
      <c r="O707" s="77" t="s">
        <v>179</v>
      </c>
      <c r="P707" s="79">
        <v>45161.845694444448</v>
      </c>
      <c r="Q707" s="77" t="s">
        <v>1500</v>
      </c>
      <c r="R707" s="77">
        <v>0</v>
      </c>
      <c r="S707" s="77">
        <v>0</v>
      </c>
      <c r="T707" s="77">
        <v>0</v>
      </c>
      <c r="U707" s="77">
        <v>0</v>
      </c>
      <c r="V707" s="77">
        <v>238</v>
      </c>
      <c r="W707" s="82" t="s">
        <v>5226</v>
      </c>
      <c r="X707" s="80" t="str">
        <f>HYPERLINK("https://dinheirama.com/ibovespa-fecha-em-alta-com-aval-externo-e-petrobras-em-destaque/")</f>
        <v>https://dinheirama.com/ibovespa-fecha-em-alta-com-aval-externo-e-petrobras-em-destaque/</v>
      </c>
      <c r="Y707" s="77" t="s">
        <v>7093</v>
      </c>
      <c r="Z707" s="77"/>
      <c r="AA707" s="77"/>
      <c r="AB707" s="77"/>
      <c r="AC707" s="82" t="s">
        <v>8232</v>
      </c>
      <c r="AD707" s="77" t="s">
        <v>8278</v>
      </c>
      <c r="AE707" s="80" t="str">
        <f>HYPERLINK("https://twitter.com/dinheirama/status/1694443843431678383")</f>
        <v>https://twitter.com/dinheirama/status/1694443843431678383</v>
      </c>
      <c r="AF707" s="79">
        <v>45161.845694444448</v>
      </c>
      <c r="AG707" s="85">
        <v>45161</v>
      </c>
      <c r="AH707" s="82" t="s">
        <v>8941</v>
      </c>
      <c r="AI707" s="77" t="b">
        <v>0</v>
      </c>
      <c r="AJ707" s="77"/>
      <c r="AK707" s="77"/>
      <c r="AL707" s="77"/>
      <c r="AM707" s="77"/>
      <c r="AN707" s="77"/>
      <c r="AO707" s="77"/>
      <c r="AP707" s="77"/>
      <c r="AQ707" s="77"/>
      <c r="AR707" s="77"/>
      <c r="AS707" s="77"/>
      <c r="AT707" s="77"/>
      <c r="AU707" s="77"/>
      <c r="AV707" s="80" t="str">
        <f>HYPERLINK("https://pbs.twimg.com/profile_images/1685831655976501248/p4Yj-D92_normal.jpg")</f>
        <v>https://pbs.twimg.com/profile_images/1685831655976501248/p4Yj-D92_normal.jpg</v>
      </c>
      <c r="AW707" s="82" t="s">
        <v>13804</v>
      </c>
      <c r="AX707" s="82" t="s">
        <v>13804</v>
      </c>
      <c r="AY707" s="77"/>
      <c r="AZ707" s="82" t="s">
        <v>17385</v>
      </c>
      <c r="BA707" s="82" t="s">
        <v>17385</v>
      </c>
      <c r="BB707" s="82" t="s">
        <v>17385</v>
      </c>
      <c r="BC707" s="82" t="s">
        <v>13804</v>
      </c>
      <c r="BD707" s="77">
        <v>23408209</v>
      </c>
      <c r="BE707" s="77"/>
      <c r="BF707" s="77"/>
      <c r="BG707" s="77"/>
      <c r="BH707" s="77"/>
      <c r="BI707" s="77"/>
    </row>
    <row r="708" spans="1:61" x14ac:dyDescent="0.25">
      <c r="A708" s="62" t="s">
        <v>388</v>
      </c>
      <c r="B708" s="62" t="s">
        <v>388</v>
      </c>
      <c r="C708" s="63"/>
      <c r="D708" s="64"/>
      <c r="E708" s="65"/>
      <c r="F708" s="66"/>
      <c r="G708" s="63"/>
      <c r="H708" s="67"/>
      <c r="I708" s="68"/>
      <c r="J708" s="68"/>
      <c r="K708" s="32"/>
      <c r="L708" s="75">
        <v>708</v>
      </c>
      <c r="M708" s="75"/>
      <c r="N708" s="70"/>
      <c r="O708" s="77" t="s">
        <v>179</v>
      </c>
      <c r="P708" s="79">
        <v>45161.74077546296</v>
      </c>
      <c r="Q708" s="77" t="s">
        <v>1501</v>
      </c>
      <c r="R708" s="77">
        <v>0</v>
      </c>
      <c r="S708" s="77">
        <v>0</v>
      </c>
      <c r="T708" s="77">
        <v>0</v>
      </c>
      <c r="U708" s="77">
        <v>0</v>
      </c>
      <c r="V708" s="77">
        <v>194</v>
      </c>
      <c r="W708" s="82" t="s">
        <v>5227</v>
      </c>
      <c r="X708" s="80" t="str">
        <f>HYPERLINK("https://dinheirama.com/acoes-europeias-reduzem-ganhos-por-receios-economicos-e-mercado-suico-supera-pares-com-alta-da-roche/")</f>
        <v>https://dinheirama.com/acoes-europeias-reduzem-ganhos-por-receios-economicos-e-mercado-suico-supera-pares-com-alta-da-roche/</v>
      </c>
      <c r="Y708" s="77" t="s">
        <v>7093</v>
      </c>
      <c r="Z708" s="77"/>
      <c r="AA708" s="77"/>
      <c r="AB708" s="77"/>
      <c r="AC708" s="82" t="s">
        <v>8232</v>
      </c>
      <c r="AD708" s="77" t="s">
        <v>8278</v>
      </c>
      <c r="AE708" s="80" t="str">
        <f>HYPERLINK("https://twitter.com/dinheirama/status/1694405821835223120")</f>
        <v>https://twitter.com/dinheirama/status/1694405821835223120</v>
      </c>
      <c r="AF708" s="79">
        <v>45161.74077546296</v>
      </c>
      <c r="AG708" s="85">
        <v>45161</v>
      </c>
      <c r="AH708" s="82" t="s">
        <v>8942</v>
      </c>
      <c r="AI708" s="77" t="b">
        <v>0</v>
      </c>
      <c r="AJ708" s="77"/>
      <c r="AK708" s="77"/>
      <c r="AL708" s="77"/>
      <c r="AM708" s="77"/>
      <c r="AN708" s="77"/>
      <c r="AO708" s="77"/>
      <c r="AP708" s="77"/>
      <c r="AQ708" s="77"/>
      <c r="AR708" s="77"/>
      <c r="AS708" s="77"/>
      <c r="AT708" s="77"/>
      <c r="AU708" s="77"/>
      <c r="AV708" s="80" t="str">
        <f>HYPERLINK("https://pbs.twimg.com/profile_images/1685831655976501248/p4Yj-D92_normal.jpg")</f>
        <v>https://pbs.twimg.com/profile_images/1685831655976501248/p4Yj-D92_normal.jpg</v>
      </c>
      <c r="AW708" s="82" t="s">
        <v>13805</v>
      </c>
      <c r="AX708" s="82" t="s">
        <v>13805</v>
      </c>
      <c r="AY708" s="77"/>
      <c r="AZ708" s="82" t="s">
        <v>17385</v>
      </c>
      <c r="BA708" s="82" t="s">
        <v>17385</v>
      </c>
      <c r="BB708" s="82" t="s">
        <v>17385</v>
      </c>
      <c r="BC708" s="82" t="s">
        <v>13805</v>
      </c>
      <c r="BD708" s="77">
        <v>23408209</v>
      </c>
      <c r="BE708" s="77"/>
      <c r="BF708" s="77"/>
      <c r="BG708" s="77"/>
      <c r="BH708" s="77"/>
      <c r="BI708" s="77"/>
    </row>
    <row r="709" spans="1:61" x14ac:dyDescent="0.25">
      <c r="A709" s="62" t="s">
        <v>388</v>
      </c>
      <c r="B709" s="62" t="s">
        <v>388</v>
      </c>
      <c r="C709" s="63"/>
      <c r="D709" s="64"/>
      <c r="E709" s="65"/>
      <c r="F709" s="66"/>
      <c r="G709" s="63"/>
      <c r="H709" s="67"/>
      <c r="I709" s="68"/>
      <c r="J709" s="68"/>
      <c r="K709" s="32"/>
      <c r="L709" s="75">
        <v>709</v>
      </c>
      <c r="M709" s="75"/>
      <c r="N709" s="70"/>
      <c r="O709" s="77" t="s">
        <v>179</v>
      </c>
      <c r="P709" s="79">
        <v>45160.858703703707</v>
      </c>
      <c r="Q709" s="77" t="s">
        <v>1502</v>
      </c>
      <c r="R709" s="77">
        <v>0</v>
      </c>
      <c r="S709" s="77">
        <v>1</v>
      </c>
      <c r="T709" s="77">
        <v>0</v>
      </c>
      <c r="U709" s="77">
        <v>0</v>
      </c>
      <c r="V709" s="77">
        <v>206</v>
      </c>
      <c r="W709" s="82" t="s">
        <v>5228</v>
      </c>
      <c r="X709" s="80" t="str">
        <f>HYPERLINK("https://dinheirama.com/ibovespa-fecha-em-alta-puxada-por-vale-e-expectativa-sobre-arcabouco-fiscal/")</f>
        <v>https://dinheirama.com/ibovespa-fecha-em-alta-puxada-por-vale-e-expectativa-sobre-arcabouco-fiscal/</v>
      </c>
      <c r="Y709" s="77" t="s">
        <v>7093</v>
      </c>
      <c r="Z709" s="77"/>
      <c r="AA709" s="77"/>
      <c r="AB709" s="77"/>
      <c r="AC709" s="82" t="s">
        <v>8232</v>
      </c>
      <c r="AD709" s="77" t="s">
        <v>8278</v>
      </c>
      <c r="AE709" s="80" t="str">
        <f>HYPERLINK("https://twitter.com/dinheirama/status/1694086172748677579")</f>
        <v>https://twitter.com/dinheirama/status/1694086172748677579</v>
      </c>
      <c r="AF709" s="79">
        <v>45160.858703703707</v>
      </c>
      <c r="AG709" s="85">
        <v>45160</v>
      </c>
      <c r="AH709" s="82" t="s">
        <v>8943</v>
      </c>
      <c r="AI709" s="77" t="b">
        <v>0</v>
      </c>
      <c r="AJ709" s="77"/>
      <c r="AK709" s="77"/>
      <c r="AL709" s="77"/>
      <c r="AM709" s="77"/>
      <c r="AN709" s="77"/>
      <c r="AO709" s="77"/>
      <c r="AP709" s="77"/>
      <c r="AQ709" s="77"/>
      <c r="AR709" s="77"/>
      <c r="AS709" s="77"/>
      <c r="AT709" s="77"/>
      <c r="AU709" s="77"/>
      <c r="AV709" s="80" t="str">
        <f>HYPERLINK("https://pbs.twimg.com/profile_images/1685831655976501248/p4Yj-D92_normal.jpg")</f>
        <v>https://pbs.twimg.com/profile_images/1685831655976501248/p4Yj-D92_normal.jpg</v>
      </c>
      <c r="AW709" s="82" t="s">
        <v>13806</v>
      </c>
      <c r="AX709" s="82" t="s">
        <v>13806</v>
      </c>
      <c r="AY709" s="77"/>
      <c r="AZ709" s="82" t="s">
        <v>17385</v>
      </c>
      <c r="BA709" s="82" t="s">
        <v>17385</v>
      </c>
      <c r="BB709" s="82" t="s">
        <v>17385</v>
      </c>
      <c r="BC709" s="82" t="s">
        <v>13806</v>
      </c>
      <c r="BD709" s="77">
        <v>23408209</v>
      </c>
      <c r="BE709" s="77"/>
      <c r="BF709" s="77"/>
      <c r="BG709" s="77"/>
      <c r="BH709" s="77"/>
      <c r="BI709" s="77"/>
    </row>
    <row r="710" spans="1:61" x14ac:dyDescent="0.25">
      <c r="A710" s="62" t="s">
        <v>388</v>
      </c>
      <c r="B710" s="62" t="s">
        <v>388</v>
      </c>
      <c r="C710" s="63"/>
      <c r="D710" s="64"/>
      <c r="E710" s="65"/>
      <c r="F710" s="66"/>
      <c r="G710" s="63"/>
      <c r="H710" s="67"/>
      <c r="I710" s="68"/>
      <c r="J710" s="68"/>
      <c r="K710" s="32"/>
      <c r="L710" s="75">
        <v>710</v>
      </c>
      <c r="M710" s="75"/>
      <c r="N710" s="70"/>
      <c r="O710" s="77" t="s">
        <v>179</v>
      </c>
      <c r="P710" s="79">
        <v>45154.458703703705</v>
      </c>
      <c r="Q710" s="77" t="s">
        <v>1503</v>
      </c>
      <c r="R710" s="77">
        <v>0</v>
      </c>
      <c r="S710" s="77">
        <v>0</v>
      </c>
      <c r="T710" s="77">
        <v>0</v>
      </c>
      <c r="U710" s="77">
        <v>0</v>
      </c>
      <c r="V710" s="77">
        <v>227</v>
      </c>
      <c r="W710" s="82" t="s">
        <v>5217</v>
      </c>
      <c r="X710" s="80" t="str">
        <f>HYPERLINK("https://dinheirama.com/acoes-da-china-recuam-073-de-olho-no-setor-imobiliario/")</f>
        <v>https://dinheirama.com/acoes-da-china-recuam-073-de-olho-no-setor-imobiliario/</v>
      </c>
      <c r="Y710" s="77" t="s">
        <v>7093</v>
      </c>
      <c r="Z710" s="77"/>
      <c r="AA710" s="77"/>
      <c r="AB710" s="77"/>
      <c r="AC710" s="82" t="s">
        <v>8232</v>
      </c>
      <c r="AD710" s="77" t="s">
        <v>8278</v>
      </c>
      <c r="AE710" s="80" t="str">
        <f>HYPERLINK("https://twitter.com/dinheirama/status/1691766889272242341")</f>
        <v>https://twitter.com/dinheirama/status/1691766889272242341</v>
      </c>
      <c r="AF710" s="79">
        <v>45154.458703703705</v>
      </c>
      <c r="AG710" s="85">
        <v>45154</v>
      </c>
      <c r="AH710" s="82" t="s">
        <v>8944</v>
      </c>
      <c r="AI710" s="77" t="b">
        <v>0</v>
      </c>
      <c r="AJ710" s="77"/>
      <c r="AK710" s="77"/>
      <c r="AL710" s="77"/>
      <c r="AM710" s="77"/>
      <c r="AN710" s="77"/>
      <c r="AO710" s="77"/>
      <c r="AP710" s="77"/>
      <c r="AQ710" s="77"/>
      <c r="AR710" s="77"/>
      <c r="AS710" s="77"/>
      <c r="AT710" s="77"/>
      <c r="AU710" s="77"/>
      <c r="AV710" s="80" t="str">
        <f>HYPERLINK("https://pbs.twimg.com/profile_images/1685831655976501248/p4Yj-D92_normal.jpg")</f>
        <v>https://pbs.twimg.com/profile_images/1685831655976501248/p4Yj-D92_normal.jpg</v>
      </c>
      <c r="AW710" s="82" t="s">
        <v>13807</v>
      </c>
      <c r="AX710" s="82" t="s">
        <v>13807</v>
      </c>
      <c r="AY710" s="77"/>
      <c r="AZ710" s="82" t="s">
        <v>17385</v>
      </c>
      <c r="BA710" s="82" t="s">
        <v>17385</v>
      </c>
      <c r="BB710" s="82" t="s">
        <v>17385</v>
      </c>
      <c r="BC710" s="82" t="s">
        <v>13807</v>
      </c>
      <c r="BD710" s="77">
        <v>23408209</v>
      </c>
      <c r="BE710" s="77"/>
      <c r="BF710" s="77"/>
      <c r="BG710" s="77"/>
      <c r="BH710" s="77"/>
      <c r="BI710" s="77"/>
    </row>
    <row r="711" spans="1:61" x14ac:dyDescent="0.25">
      <c r="A711" s="62" t="s">
        <v>388</v>
      </c>
      <c r="B711" s="62" t="s">
        <v>388</v>
      </c>
      <c r="C711" s="63"/>
      <c r="D711" s="64"/>
      <c r="E711" s="65"/>
      <c r="F711" s="66"/>
      <c r="G711" s="63"/>
      <c r="H711" s="67"/>
      <c r="I711" s="68"/>
      <c r="J711" s="68"/>
      <c r="K711" s="32"/>
      <c r="L711" s="75">
        <v>711</v>
      </c>
      <c r="M711" s="75"/>
      <c r="N711" s="70"/>
      <c r="O711" s="77" t="s">
        <v>179</v>
      </c>
      <c r="P711" s="79">
        <v>45153.866828703707</v>
      </c>
      <c r="Q711" s="77" t="s">
        <v>1504</v>
      </c>
      <c r="R711" s="77">
        <v>0</v>
      </c>
      <c r="S711" s="77">
        <v>0</v>
      </c>
      <c r="T711" s="77">
        <v>0</v>
      </c>
      <c r="U711" s="77">
        <v>0</v>
      </c>
      <c r="V711" s="77">
        <v>192</v>
      </c>
      <c r="W711" s="82" t="s">
        <v>5229</v>
      </c>
      <c r="X711" s="80" t="str">
        <f>HYPERLINK("https://dinheirama.com/wall-street-fecha-em-baixa-apos-temores-de-alta-de-juros/")</f>
        <v>https://dinheirama.com/wall-street-fecha-em-baixa-apos-temores-de-alta-de-juros/</v>
      </c>
      <c r="Y711" s="77" t="s">
        <v>7093</v>
      </c>
      <c r="Z711" s="77"/>
      <c r="AA711" s="77"/>
      <c r="AB711" s="77"/>
      <c r="AC711" s="82" t="s">
        <v>8232</v>
      </c>
      <c r="AD711" s="77" t="s">
        <v>8278</v>
      </c>
      <c r="AE711" s="80" t="str">
        <f>HYPERLINK("https://twitter.com/dinheirama/status/1691552400148992484")</f>
        <v>https://twitter.com/dinheirama/status/1691552400148992484</v>
      </c>
      <c r="AF711" s="79">
        <v>45153.866828703707</v>
      </c>
      <c r="AG711" s="85">
        <v>45153</v>
      </c>
      <c r="AH711" s="82" t="s">
        <v>8945</v>
      </c>
      <c r="AI711" s="77" t="b">
        <v>0</v>
      </c>
      <c r="AJ711" s="77"/>
      <c r="AK711" s="77"/>
      <c r="AL711" s="77"/>
      <c r="AM711" s="77"/>
      <c r="AN711" s="77"/>
      <c r="AO711" s="77"/>
      <c r="AP711" s="77"/>
      <c r="AQ711" s="77"/>
      <c r="AR711" s="77"/>
      <c r="AS711" s="77"/>
      <c r="AT711" s="77"/>
      <c r="AU711" s="77"/>
      <c r="AV711" s="80" t="str">
        <f>HYPERLINK("https://pbs.twimg.com/profile_images/1685831655976501248/p4Yj-D92_normal.jpg")</f>
        <v>https://pbs.twimg.com/profile_images/1685831655976501248/p4Yj-D92_normal.jpg</v>
      </c>
      <c r="AW711" s="82" t="s">
        <v>13808</v>
      </c>
      <c r="AX711" s="82" t="s">
        <v>13808</v>
      </c>
      <c r="AY711" s="77"/>
      <c r="AZ711" s="82" t="s">
        <v>17385</v>
      </c>
      <c r="BA711" s="82" t="s">
        <v>17385</v>
      </c>
      <c r="BB711" s="82" t="s">
        <v>17385</v>
      </c>
      <c r="BC711" s="82" t="s">
        <v>13808</v>
      </c>
      <c r="BD711" s="77">
        <v>23408209</v>
      </c>
      <c r="BE711" s="77"/>
      <c r="BF711" s="77"/>
      <c r="BG711" s="77"/>
      <c r="BH711" s="77"/>
      <c r="BI711" s="77"/>
    </row>
    <row r="712" spans="1:61" x14ac:dyDescent="0.25">
      <c r="A712" s="62" t="s">
        <v>388</v>
      </c>
      <c r="B712" s="62" t="s">
        <v>388</v>
      </c>
      <c r="C712" s="63"/>
      <c r="D712" s="64"/>
      <c r="E712" s="65"/>
      <c r="F712" s="66"/>
      <c r="G712" s="63"/>
      <c r="H712" s="67"/>
      <c r="I712" s="68"/>
      <c r="J712" s="68"/>
      <c r="K712" s="32"/>
      <c r="L712" s="75">
        <v>712</v>
      </c>
      <c r="M712" s="75"/>
      <c r="N712" s="70"/>
      <c r="O712" s="77" t="s">
        <v>179</v>
      </c>
      <c r="P712" s="79">
        <v>45153.848749999997</v>
      </c>
      <c r="Q712" s="77" t="s">
        <v>1505</v>
      </c>
      <c r="R712" s="77">
        <v>0</v>
      </c>
      <c r="S712" s="77">
        <v>0</v>
      </c>
      <c r="T712" s="77">
        <v>0</v>
      </c>
      <c r="U712" s="77">
        <v>0</v>
      </c>
      <c r="V712" s="77">
        <v>276</v>
      </c>
      <c r="W712" s="82" t="s">
        <v>5230</v>
      </c>
      <c r="X712" s="80" t="str">
        <f>HYPERLINK("https://dinheirama.com/ibovespa-fecha-em-queda-pelo-11o-pregao-e-petrobras-sobe/")</f>
        <v>https://dinheirama.com/ibovespa-fecha-em-queda-pelo-11o-pregao-e-petrobras-sobe/</v>
      </c>
      <c r="Y712" s="77" t="s">
        <v>7093</v>
      </c>
      <c r="Z712" s="77"/>
      <c r="AA712" s="77"/>
      <c r="AB712" s="77"/>
      <c r="AC712" s="82" t="s">
        <v>8232</v>
      </c>
      <c r="AD712" s="77" t="s">
        <v>8278</v>
      </c>
      <c r="AE712" s="80" t="str">
        <f>HYPERLINK("https://twitter.com/dinheirama/status/1691545849170456576")</f>
        <v>https://twitter.com/dinheirama/status/1691545849170456576</v>
      </c>
      <c r="AF712" s="79">
        <v>45153.848749999997</v>
      </c>
      <c r="AG712" s="85">
        <v>45153</v>
      </c>
      <c r="AH712" s="82" t="s">
        <v>8946</v>
      </c>
      <c r="AI712" s="77" t="b">
        <v>0</v>
      </c>
      <c r="AJ712" s="77"/>
      <c r="AK712" s="77"/>
      <c r="AL712" s="77"/>
      <c r="AM712" s="77"/>
      <c r="AN712" s="77"/>
      <c r="AO712" s="77"/>
      <c r="AP712" s="77"/>
      <c r="AQ712" s="77"/>
      <c r="AR712" s="77"/>
      <c r="AS712" s="77"/>
      <c r="AT712" s="77"/>
      <c r="AU712" s="77"/>
      <c r="AV712" s="80" t="str">
        <f>HYPERLINK("https://pbs.twimg.com/profile_images/1685831655976501248/p4Yj-D92_normal.jpg")</f>
        <v>https://pbs.twimg.com/profile_images/1685831655976501248/p4Yj-D92_normal.jpg</v>
      </c>
      <c r="AW712" s="82" t="s">
        <v>13809</v>
      </c>
      <c r="AX712" s="82" t="s">
        <v>13809</v>
      </c>
      <c r="AY712" s="77"/>
      <c r="AZ712" s="82" t="s">
        <v>17385</v>
      </c>
      <c r="BA712" s="82" t="s">
        <v>17385</v>
      </c>
      <c r="BB712" s="82" t="s">
        <v>17385</v>
      </c>
      <c r="BC712" s="82" t="s">
        <v>13809</v>
      </c>
      <c r="BD712" s="77">
        <v>23408209</v>
      </c>
      <c r="BE712" s="77"/>
      <c r="BF712" s="77"/>
      <c r="BG712" s="77"/>
      <c r="BH712" s="77"/>
      <c r="BI712" s="77"/>
    </row>
    <row r="713" spans="1:61" x14ac:dyDescent="0.25">
      <c r="A713" s="62" t="s">
        <v>388</v>
      </c>
      <c r="B713" s="62" t="s">
        <v>388</v>
      </c>
      <c r="C713" s="63"/>
      <c r="D713" s="64"/>
      <c r="E713" s="65"/>
      <c r="F713" s="66"/>
      <c r="G713" s="63"/>
      <c r="H713" s="67"/>
      <c r="I713" s="68"/>
      <c r="J713" s="68"/>
      <c r="K713" s="32"/>
      <c r="L713" s="75">
        <v>713</v>
      </c>
      <c r="M713" s="75"/>
      <c r="N713" s="70"/>
      <c r="O713" s="77" t="s">
        <v>179</v>
      </c>
      <c r="P713" s="79">
        <v>45142.552083333336</v>
      </c>
      <c r="Q713" s="77" t="s">
        <v>1506</v>
      </c>
      <c r="R713" s="77">
        <v>0</v>
      </c>
      <c r="S713" s="77">
        <v>0</v>
      </c>
      <c r="T713" s="77">
        <v>0</v>
      </c>
      <c r="U713" s="77">
        <v>0</v>
      </c>
      <c r="V713" s="77">
        <v>215</v>
      </c>
      <c r="W713" s="82" t="s">
        <v>5231</v>
      </c>
      <c r="X713" s="80" t="str">
        <f>HYPERLINK("https://dinheirama.com/ibovespa-recua-nos-primeiros-negocios-com-balancos-e-dados-dos-eua-no-radar/")</f>
        <v>https://dinheirama.com/ibovespa-recua-nos-primeiros-negocios-com-balancos-e-dados-dos-eua-no-radar/</v>
      </c>
      <c r="Y713" s="77" t="s">
        <v>7093</v>
      </c>
      <c r="Z713" s="77"/>
      <c r="AA713" s="77"/>
      <c r="AB713" s="77"/>
      <c r="AC713" s="82" t="s">
        <v>8232</v>
      </c>
      <c r="AD713" s="77" t="s">
        <v>8278</v>
      </c>
      <c r="AE713" s="80" t="str">
        <f>HYPERLINK("https://twitter.com/dinheirama/status/1687452074303193090")</f>
        <v>https://twitter.com/dinheirama/status/1687452074303193090</v>
      </c>
      <c r="AF713" s="79">
        <v>45142.552083333336</v>
      </c>
      <c r="AG713" s="85">
        <v>45142</v>
      </c>
      <c r="AH713" s="82" t="s">
        <v>8947</v>
      </c>
      <c r="AI713" s="77" t="b">
        <v>0</v>
      </c>
      <c r="AJ713" s="77"/>
      <c r="AK713" s="77"/>
      <c r="AL713" s="77"/>
      <c r="AM713" s="77"/>
      <c r="AN713" s="77"/>
      <c r="AO713" s="77"/>
      <c r="AP713" s="77"/>
      <c r="AQ713" s="77"/>
      <c r="AR713" s="77"/>
      <c r="AS713" s="77"/>
      <c r="AT713" s="77"/>
      <c r="AU713" s="77"/>
      <c r="AV713" s="80" t="str">
        <f>HYPERLINK("https://pbs.twimg.com/profile_images/1685831655976501248/p4Yj-D92_normal.jpg")</f>
        <v>https://pbs.twimg.com/profile_images/1685831655976501248/p4Yj-D92_normal.jpg</v>
      </c>
      <c r="AW713" s="82" t="s">
        <v>13810</v>
      </c>
      <c r="AX713" s="82" t="s">
        <v>13810</v>
      </c>
      <c r="AY713" s="77"/>
      <c r="AZ713" s="82" t="s">
        <v>17385</v>
      </c>
      <c r="BA713" s="82" t="s">
        <v>17385</v>
      </c>
      <c r="BB713" s="82" t="s">
        <v>17385</v>
      </c>
      <c r="BC713" s="82" t="s">
        <v>13810</v>
      </c>
      <c r="BD713" s="77">
        <v>23408209</v>
      </c>
      <c r="BE713" s="77"/>
      <c r="BF713" s="77"/>
      <c r="BG713" s="77"/>
      <c r="BH713" s="77"/>
      <c r="BI713" s="77"/>
    </row>
    <row r="714" spans="1:61" x14ac:dyDescent="0.25">
      <c r="A714" s="62" t="s">
        <v>388</v>
      </c>
      <c r="B714" s="62" t="s">
        <v>388</v>
      </c>
      <c r="C714" s="63"/>
      <c r="D714" s="64"/>
      <c r="E714" s="65"/>
      <c r="F714" s="66"/>
      <c r="G714" s="63"/>
      <c r="H714" s="67"/>
      <c r="I714" s="68"/>
      <c r="J714" s="68"/>
      <c r="K714" s="32"/>
      <c r="L714" s="75">
        <v>714</v>
      </c>
      <c r="M714" s="75"/>
      <c r="N714" s="70"/>
      <c r="O714" s="77" t="s">
        <v>179</v>
      </c>
      <c r="P714" s="79">
        <v>45195.467719907407</v>
      </c>
      <c r="Q714" s="77" t="s">
        <v>1507</v>
      </c>
      <c r="R714" s="77">
        <v>0</v>
      </c>
      <c r="S714" s="77">
        <v>0</v>
      </c>
      <c r="T714" s="77">
        <v>0</v>
      </c>
      <c r="U714" s="77">
        <v>0</v>
      </c>
      <c r="V714" s="77">
        <v>191</v>
      </c>
      <c r="W714" s="82" t="s">
        <v>5232</v>
      </c>
      <c r="X714" s="80" t="str">
        <f>HYPERLINK("https://dinheirama.com/pre-mercado-tudo-o-que-voce-precisa-saber-nesta-terca-feira-e-um-pouco-mais-3/")</f>
        <v>https://dinheirama.com/pre-mercado-tudo-o-que-voce-precisa-saber-nesta-terca-feira-e-um-pouco-mais-3/</v>
      </c>
      <c r="Y714" s="77" t="s">
        <v>7093</v>
      </c>
      <c r="Z714" s="77"/>
      <c r="AA714" s="77" t="s">
        <v>7640</v>
      </c>
      <c r="AB714" s="77" t="s">
        <v>8225</v>
      </c>
      <c r="AC714" s="82" t="s">
        <v>8232</v>
      </c>
      <c r="AD714" s="77" t="s">
        <v>8278</v>
      </c>
      <c r="AE714" s="80" t="str">
        <f>HYPERLINK("https://twitter.com/dinheirama/status/1706628058386411809")</f>
        <v>https://twitter.com/dinheirama/status/1706628058386411809</v>
      </c>
      <c r="AF714" s="79">
        <v>45195.467719907407</v>
      </c>
      <c r="AG714" s="85">
        <v>45195</v>
      </c>
      <c r="AH714" s="82" t="s">
        <v>8948</v>
      </c>
      <c r="AI714" s="77" t="b">
        <v>0</v>
      </c>
      <c r="AJ714" s="77"/>
      <c r="AK714" s="77"/>
      <c r="AL714" s="77"/>
      <c r="AM714" s="77"/>
      <c r="AN714" s="77"/>
      <c r="AO714" s="77"/>
      <c r="AP714" s="77"/>
      <c r="AQ714" s="77" t="s">
        <v>12525</v>
      </c>
      <c r="AR714" s="77"/>
      <c r="AS714" s="77"/>
      <c r="AT714" s="77"/>
      <c r="AU714" s="77"/>
      <c r="AV714" s="80" t="str">
        <f>HYPERLINK("https://pbs.twimg.com/media/F68pFtGXkAAE0JJ.jpg")</f>
        <v>https://pbs.twimg.com/media/F68pFtGXkAAE0JJ.jpg</v>
      </c>
      <c r="AW714" s="82" t="s">
        <v>13811</v>
      </c>
      <c r="AX714" s="82" t="s">
        <v>13811</v>
      </c>
      <c r="AY714" s="77"/>
      <c r="AZ714" s="82" t="s">
        <v>17385</v>
      </c>
      <c r="BA714" s="82" t="s">
        <v>17385</v>
      </c>
      <c r="BB714" s="82" t="s">
        <v>17385</v>
      </c>
      <c r="BC714" s="82" t="s">
        <v>13811</v>
      </c>
      <c r="BD714" s="77">
        <v>23408209</v>
      </c>
      <c r="BE714" s="77"/>
      <c r="BF714" s="77"/>
      <c r="BG714" s="77"/>
      <c r="BH714" s="77"/>
      <c r="BI714" s="77"/>
    </row>
    <row r="715" spans="1:61" x14ac:dyDescent="0.25">
      <c r="A715" s="62" t="s">
        <v>388</v>
      </c>
      <c r="B715" s="62" t="s">
        <v>388</v>
      </c>
      <c r="C715" s="63"/>
      <c r="D715" s="64"/>
      <c r="E715" s="65"/>
      <c r="F715" s="66"/>
      <c r="G715" s="63"/>
      <c r="H715" s="67"/>
      <c r="I715" s="68"/>
      <c r="J715" s="68"/>
      <c r="K715" s="32"/>
      <c r="L715" s="75">
        <v>715</v>
      </c>
      <c r="M715" s="75"/>
      <c r="N715" s="70"/>
      <c r="O715" s="77" t="s">
        <v>179</v>
      </c>
      <c r="P715" s="79">
        <v>45195.449942129628</v>
      </c>
      <c r="Q715" s="77" t="s">
        <v>1508</v>
      </c>
      <c r="R715" s="77">
        <v>0</v>
      </c>
      <c r="S715" s="77">
        <v>0</v>
      </c>
      <c r="T715" s="77">
        <v>0</v>
      </c>
      <c r="U715" s="77">
        <v>0</v>
      </c>
      <c r="V715" s="77">
        <v>211</v>
      </c>
      <c r="W715" s="82" t="s">
        <v>5217</v>
      </c>
      <c r="X715" s="80" t="str">
        <f>HYPERLINK("https://dinheirama.com/acoes-da-china-recuam-058-antes-do-feriado/")</f>
        <v>https://dinheirama.com/acoes-da-china-recuam-058-antes-do-feriado/</v>
      </c>
      <c r="Y715" s="77" t="s">
        <v>7093</v>
      </c>
      <c r="Z715" s="77"/>
      <c r="AA715" s="77" t="s">
        <v>7641</v>
      </c>
      <c r="AB715" s="77" t="s">
        <v>8225</v>
      </c>
      <c r="AC715" s="82" t="s">
        <v>8232</v>
      </c>
      <c r="AD715" s="77" t="s">
        <v>8278</v>
      </c>
      <c r="AE715" s="80" t="str">
        <f>HYPERLINK("https://twitter.com/dinheirama/status/1706621614295503224")</f>
        <v>https://twitter.com/dinheirama/status/1706621614295503224</v>
      </c>
      <c r="AF715" s="79">
        <v>45195.449942129628</v>
      </c>
      <c r="AG715" s="85">
        <v>45195</v>
      </c>
      <c r="AH715" s="82" t="s">
        <v>8949</v>
      </c>
      <c r="AI715" s="77" t="b">
        <v>0</v>
      </c>
      <c r="AJ715" s="77"/>
      <c r="AK715" s="77"/>
      <c r="AL715" s="77"/>
      <c r="AM715" s="77"/>
      <c r="AN715" s="77"/>
      <c r="AO715" s="77"/>
      <c r="AP715" s="77"/>
      <c r="AQ715" s="77" t="s">
        <v>12526</v>
      </c>
      <c r="AR715" s="77"/>
      <c r="AS715" s="77"/>
      <c r="AT715" s="77"/>
      <c r="AU715" s="77"/>
      <c r="AV715" s="80" t="str">
        <f>HYPERLINK("https://pbs.twimg.com/media/F68jQSWW8AAvhO3.jpg")</f>
        <v>https://pbs.twimg.com/media/F68jQSWW8AAvhO3.jpg</v>
      </c>
      <c r="AW715" s="82" t="s">
        <v>13812</v>
      </c>
      <c r="AX715" s="82" t="s">
        <v>13812</v>
      </c>
      <c r="AY715" s="77"/>
      <c r="AZ715" s="82" t="s">
        <v>17385</v>
      </c>
      <c r="BA715" s="82" t="s">
        <v>17385</v>
      </c>
      <c r="BB715" s="82" t="s">
        <v>17385</v>
      </c>
      <c r="BC715" s="82" t="s">
        <v>13812</v>
      </c>
      <c r="BD715" s="77">
        <v>23408209</v>
      </c>
      <c r="BE715" s="77"/>
      <c r="BF715" s="77"/>
      <c r="BG715" s="77"/>
      <c r="BH715" s="77"/>
      <c r="BI715" s="77"/>
    </row>
    <row r="716" spans="1:61" x14ac:dyDescent="0.25">
      <c r="A716" s="62" t="s">
        <v>388</v>
      </c>
      <c r="B716" s="62" t="s">
        <v>388</v>
      </c>
      <c r="C716" s="63"/>
      <c r="D716" s="64"/>
      <c r="E716" s="65"/>
      <c r="F716" s="66"/>
      <c r="G716" s="63"/>
      <c r="H716" s="67"/>
      <c r="I716" s="68"/>
      <c r="J716" s="68"/>
      <c r="K716" s="32"/>
      <c r="L716" s="75">
        <v>716</v>
      </c>
      <c r="M716" s="75"/>
      <c r="N716" s="70"/>
      <c r="O716" s="77" t="s">
        <v>179</v>
      </c>
      <c r="P716" s="79">
        <v>45189.446689814817</v>
      </c>
      <c r="Q716" s="77" t="s">
        <v>1509</v>
      </c>
      <c r="R716" s="77">
        <v>0</v>
      </c>
      <c r="S716" s="77">
        <v>0</v>
      </c>
      <c r="T716" s="77">
        <v>0</v>
      </c>
      <c r="U716" s="77">
        <v>0</v>
      </c>
      <c r="V716" s="77">
        <v>229</v>
      </c>
      <c r="W716" s="82" t="s">
        <v>5217</v>
      </c>
      <c r="X716" s="80" t="str">
        <f>HYPERLINK("https://dinheirama.com/acoes-da-china-fecham-em-baixa-04/")</f>
        <v>https://dinheirama.com/acoes-da-china-fecham-em-baixa-04/</v>
      </c>
      <c r="Y716" s="77" t="s">
        <v>7093</v>
      </c>
      <c r="Z716" s="77"/>
      <c r="AA716" s="77"/>
      <c r="AB716" s="77"/>
      <c r="AC716" s="82" t="s">
        <v>8232</v>
      </c>
      <c r="AD716" s="77" t="s">
        <v>8278</v>
      </c>
      <c r="AE716" s="80" t="str">
        <f>HYPERLINK("https://twitter.com/dinheirama/status/1704446110968799700")</f>
        <v>https://twitter.com/dinheirama/status/1704446110968799700</v>
      </c>
      <c r="AF716" s="79">
        <v>45189.446689814817</v>
      </c>
      <c r="AG716" s="85">
        <v>45189</v>
      </c>
      <c r="AH716" s="82" t="s">
        <v>8950</v>
      </c>
      <c r="AI716" s="77" t="b">
        <v>0</v>
      </c>
      <c r="AJ716" s="77"/>
      <c r="AK716" s="77"/>
      <c r="AL716" s="77"/>
      <c r="AM716" s="77"/>
      <c r="AN716" s="77"/>
      <c r="AO716" s="77"/>
      <c r="AP716" s="77"/>
      <c r="AQ716" s="77"/>
      <c r="AR716" s="77"/>
      <c r="AS716" s="77"/>
      <c r="AT716" s="77"/>
      <c r="AU716" s="77"/>
      <c r="AV716" s="80" t="str">
        <f>HYPERLINK("https://pbs.twimg.com/profile_images/1685831655976501248/p4Yj-D92_normal.jpg")</f>
        <v>https://pbs.twimg.com/profile_images/1685831655976501248/p4Yj-D92_normal.jpg</v>
      </c>
      <c r="AW716" s="82" t="s">
        <v>13813</v>
      </c>
      <c r="AX716" s="82" t="s">
        <v>13813</v>
      </c>
      <c r="AY716" s="77"/>
      <c r="AZ716" s="82" t="s">
        <v>17385</v>
      </c>
      <c r="BA716" s="82" t="s">
        <v>17385</v>
      </c>
      <c r="BB716" s="82" t="s">
        <v>17385</v>
      </c>
      <c r="BC716" s="82" t="s">
        <v>13813</v>
      </c>
      <c r="BD716" s="77">
        <v>23408209</v>
      </c>
      <c r="BE716" s="77"/>
      <c r="BF716" s="77"/>
      <c r="BG716" s="77"/>
      <c r="BH716" s="77"/>
      <c r="BI716" s="77"/>
    </row>
    <row r="717" spans="1:61" x14ac:dyDescent="0.25">
      <c r="A717" s="62" t="s">
        <v>388</v>
      </c>
      <c r="B717" s="62" t="s">
        <v>388</v>
      </c>
      <c r="C717" s="63"/>
      <c r="D717" s="64"/>
      <c r="E717" s="65"/>
      <c r="F717" s="66"/>
      <c r="G717" s="63"/>
      <c r="H717" s="67"/>
      <c r="I717" s="68"/>
      <c r="J717" s="68"/>
      <c r="K717" s="32"/>
      <c r="L717" s="75">
        <v>717</v>
      </c>
      <c r="M717" s="75"/>
      <c r="N717" s="70"/>
      <c r="O717" s="77" t="s">
        <v>179</v>
      </c>
      <c r="P717" s="79">
        <v>45189.013391203705</v>
      </c>
      <c r="Q717" s="77" t="s">
        <v>1510</v>
      </c>
      <c r="R717" s="77">
        <v>0</v>
      </c>
      <c r="S717" s="77">
        <v>0</v>
      </c>
      <c r="T717" s="77">
        <v>0</v>
      </c>
      <c r="U717" s="77">
        <v>0</v>
      </c>
      <c r="V717" s="77">
        <v>337</v>
      </c>
      <c r="W717" s="82" t="s">
        <v>5233</v>
      </c>
      <c r="X717" s="80" t="str">
        <f>HYPERLINK("https://dinheirama.com/2w-ecobank-contrata-bancos-para-potencial-ipo/")</f>
        <v>https://dinheirama.com/2w-ecobank-contrata-bancos-para-potencial-ipo/</v>
      </c>
      <c r="Y717" s="77" t="s">
        <v>7093</v>
      </c>
      <c r="Z717" s="77"/>
      <c r="AA717" s="77"/>
      <c r="AB717" s="77"/>
      <c r="AC717" s="82" t="s">
        <v>8232</v>
      </c>
      <c r="AD717" s="77" t="s">
        <v>8278</v>
      </c>
      <c r="AE717" s="80" t="str">
        <f>HYPERLINK("https://twitter.com/dinheirama/status/1704289090374410551")</f>
        <v>https://twitter.com/dinheirama/status/1704289090374410551</v>
      </c>
      <c r="AF717" s="79">
        <v>45189.013391203705</v>
      </c>
      <c r="AG717" s="85">
        <v>45189</v>
      </c>
      <c r="AH717" s="82" t="s">
        <v>8951</v>
      </c>
      <c r="AI717" s="77" t="b">
        <v>0</v>
      </c>
      <c r="AJ717" s="77"/>
      <c r="AK717" s="77"/>
      <c r="AL717" s="77"/>
      <c r="AM717" s="77"/>
      <c r="AN717" s="77"/>
      <c r="AO717" s="77"/>
      <c r="AP717" s="77"/>
      <c r="AQ717" s="77"/>
      <c r="AR717" s="77"/>
      <c r="AS717" s="77"/>
      <c r="AT717" s="77"/>
      <c r="AU717" s="77"/>
      <c r="AV717" s="80" t="str">
        <f>HYPERLINK("https://pbs.twimg.com/profile_images/1685831655976501248/p4Yj-D92_normal.jpg")</f>
        <v>https://pbs.twimg.com/profile_images/1685831655976501248/p4Yj-D92_normal.jpg</v>
      </c>
      <c r="AW717" s="82" t="s">
        <v>13814</v>
      </c>
      <c r="AX717" s="82" t="s">
        <v>13814</v>
      </c>
      <c r="AY717" s="77"/>
      <c r="AZ717" s="82" t="s">
        <v>17385</v>
      </c>
      <c r="BA717" s="82" t="s">
        <v>17385</v>
      </c>
      <c r="BB717" s="82" t="s">
        <v>17385</v>
      </c>
      <c r="BC717" s="82" t="s">
        <v>13814</v>
      </c>
      <c r="BD717" s="77">
        <v>23408209</v>
      </c>
      <c r="BE717" s="77"/>
      <c r="BF717" s="77"/>
      <c r="BG717" s="77"/>
      <c r="BH717" s="77"/>
      <c r="BI717" s="77"/>
    </row>
    <row r="718" spans="1:61" x14ac:dyDescent="0.25">
      <c r="A718" s="62" t="s">
        <v>388</v>
      </c>
      <c r="B718" s="62" t="s">
        <v>388</v>
      </c>
      <c r="C718" s="63"/>
      <c r="D718" s="64"/>
      <c r="E718" s="65"/>
      <c r="F718" s="66"/>
      <c r="G718" s="63"/>
      <c r="H718" s="67"/>
      <c r="I718" s="68"/>
      <c r="J718" s="68"/>
      <c r="K718" s="32"/>
      <c r="L718" s="75">
        <v>718</v>
      </c>
      <c r="M718" s="75"/>
      <c r="N718" s="70"/>
      <c r="O718" s="77" t="s">
        <v>179</v>
      </c>
      <c r="P718" s="79">
        <v>45163.468252314815</v>
      </c>
      <c r="Q718" s="77" t="s">
        <v>1511</v>
      </c>
      <c r="R718" s="77">
        <v>0</v>
      </c>
      <c r="S718" s="77">
        <v>1</v>
      </c>
      <c r="T718" s="77">
        <v>0</v>
      </c>
      <c r="U718" s="77">
        <v>0</v>
      </c>
      <c r="V718" s="77">
        <v>225</v>
      </c>
      <c r="W718" s="82" t="s">
        <v>5232</v>
      </c>
      <c r="X718" s="80" t="str">
        <f>HYPERLINK("https://dinheirama.com/indice-japones-nikkei-cai-2-com-perdas-de-advantest-e-tokyo-electron/")</f>
        <v>https://dinheirama.com/indice-japones-nikkei-cai-2-com-perdas-de-advantest-e-tokyo-electron/</v>
      </c>
      <c r="Y718" s="77" t="s">
        <v>7093</v>
      </c>
      <c r="Z718" s="77"/>
      <c r="AA718" s="77"/>
      <c r="AB718" s="77"/>
      <c r="AC718" s="82" t="s">
        <v>8232</v>
      </c>
      <c r="AD718" s="77" t="s">
        <v>8278</v>
      </c>
      <c r="AE718" s="80" t="str">
        <f>HYPERLINK("https://twitter.com/dinheirama/status/1695031839918805268")</f>
        <v>https://twitter.com/dinheirama/status/1695031839918805268</v>
      </c>
      <c r="AF718" s="79">
        <v>45163.468252314815</v>
      </c>
      <c r="AG718" s="85">
        <v>45163</v>
      </c>
      <c r="AH718" s="82" t="s">
        <v>8952</v>
      </c>
      <c r="AI718" s="77" t="b">
        <v>0</v>
      </c>
      <c r="AJ718" s="77"/>
      <c r="AK718" s="77"/>
      <c r="AL718" s="77"/>
      <c r="AM718" s="77"/>
      <c r="AN718" s="77"/>
      <c r="AO718" s="77"/>
      <c r="AP718" s="77"/>
      <c r="AQ718" s="77"/>
      <c r="AR718" s="77"/>
      <c r="AS718" s="77"/>
      <c r="AT718" s="77"/>
      <c r="AU718" s="77"/>
      <c r="AV718" s="80" t="str">
        <f>HYPERLINK("https://pbs.twimg.com/profile_images/1685831655976501248/p4Yj-D92_normal.jpg")</f>
        <v>https://pbs.twimg.com/profile_images/1685831655976501248/p4Yj-D92_normal.jpg</v>
      </c>
      <c r="AW718" s="82" t="s">
        <v>13815</v>
      </c>
      <c r="AX718" s="82" t="s">
        <v>13815</v>
      </c>
      <c r="AY718" s="77"/>
      <c r="AZ718" s="82" t="s">
        <v>17385</v>
      </c>
      <c r="BA718" s="82" t="s">
        <v>17385</v>
      </c>
      <c r="BB718" s="82" t="s">
        <v>17385</v>
      </c>
      <c r="BC718" s="82" t="s">
        <v>13815</v>
      </c>
      <c r="BD718" s="77">
        <v>23408209</v>
      </c>
      <c r="BE718" s="77"/>
      <c r="BF718" s="77"/>
      <c r="BG718" s="77"/>
      <c r="BH718" s="77"/>
      <c r="BI718" s="77"/>
    </row>
    <row r="719" spans="1:61" x14ac:dyDescent="0.25">
      <c r="A719" s="62" t="s">
        <v>388</v>
      </c>
      <c r="B719" s="62" t="s">
        <v>388</v>
      </c>
      <c r="C719" s="63"/>
      <c r="D719" s="64"/>
      <c r="E719" s="65"/>
      <c r="F719" s="66"/>
      <c r="G719" s="63"/>
      <c r="H719" s="67"/>
      <c r="I719" s="68"/>
      <c r="J719" s="68"/>
      <c r="K719" s="32"/>
      <c r="L719" s="75">
        <v>719</v>
      </c>
      <c r="M719" s="75"/>
      <c r="N719" s="70"/>
      <c r="O719" s="77" t="s">
        <v>179</v>
      </c>
      <c r="P719" s="79">
        <v>45154.866990740738</v>
      </c>
      <c r="Q719" s="77" t="s">
        <v>1512</v>
      </c>
      <c r="R719" s="77">
        <v>0</v>
      </c>
      <c r="S719" s="77">
        <v>0</v>
      </c>
      <c r="T719" s="77">
        <v>1</v>
      </c>
      <c r="U719" s="77">
        <v>0</v>
      </c>
      <c r="V719" s="77">
        <v>201</v>
      </c>
      <c r="W719" s="82" t="s">
        <v>5234</v>
      </c>
      <c r="X719" s="80" t="str">
        <f>HYPERLINK("https://dinheirama.com/wall-street-fecha-em-baixa-apos-ata-do-fed-indicar-incerteza-sobre-os-juros/")</f>
        <v>https://dinheirama.com/wall-street-fecha-em-baixa-apos-ata-do-fed-indicar-incerteza-sobre-os-juros/</v>
      </c>
      <c r="Y719" s="77" t="s">
        <v>7093</v>
      </c>
      <c r="Z719" s="77"/>
      <c r="AA719" s="77"/>
      <c r="AB719" s="77"/>
      <c r="AC719" s="82" t="s">
        <v>8232</v>
      </c>
      <c r="AD719" s="77" t="s">
        <v>8278</v>
      </c>
      <c r="AE719" s="80" t="str">
        <f>HYPERLINK("https://twitter.com/dinheirama/status/1691914845275471875")</f>
        <v>https://twitter.com/dinheirama/status/1691914845275471875</v>
      </c>
      <c r="AF719" s="79">
        <v>45154.866990740738</v>
      </c>
      <c r="AG719" s="85">
        <v>45154</v>
      </c>
      <c r="AH719" s="82" t="s">
        <v>8953</v>
      </c>
      <c r="AI719" s="77" t="b">
        <v>0</v>
      </c>
      <c r="AJ719" s="77"/>
      <c r="AK719" s="77"/>
      <c r="AL719" s="77"/>
      <c r="AM719" s="77"/>
      <c r="AN719" s="77"/>
      <c r="AO719" s="77"/>
      <c r="AP719" s="77"/>
      <c r="AQ719" s="77"/>
      <c r="AR719" s="77"/>
      <c r="AS719" s="77"/>
      <c r="AT719" s="77"/>
      <c r="AU719" s="77"/>
      <c r="AV719" s="80" t="str">
        <f>HYPERLINK("https://pbs.twimg.com/profile_images/1685831655976501248/p4Yj-D92_normal.jpg")</f>
        <v>https://pbs.twimg.com/profile_images/1685831655976501248/p4Yj-D92_normal.jpg</v>
      </c>
      <c r="AW719" s="82" t="s">
        <v>13816</v>
      </c>
      <c r="AX719" s="82" t="s">
        <v>13816</v>
      </c>
      <c r="AY719" s="77"/>
      <c r="AZ719" s="82" t="s">
        <v>17385</v>
      </c>
      <c r="BA719" s="82" t="s">
        <v>17385</v>
      </c>
      <c r="BB719" s="82" t="s">
        <v>17385</v>
      </c>
      <c r="BC719" s="82" t="s">
        <v>13816</v>
      </c>
      <c r="BD719" s="77">
        <v>23408209</v>
      </c>
      <c r="BE719" s="77"/>
      <c r="BF719" s="77"/>
      <c r="BG719" s="77"/>
      <c r="BH719" s="77"/>
      <c r="BI719" s="77"/>
    </row>
    <row r="720" spans="1:61" x14ac:dyDescent="0.25">
      <c r="A720" s="62" t="s">
        <v>388</v>
      </c>
      <c r="B720" s="62" t="s">
        <v>388</v>
      </c>
      <c r="C720" s="63"/>
      <c r="D720" s="64"/>
      <c r="E720" s="65"/>
      <c r="F720" s="66"/>
      <c r="G720" s="63"/>
      <c r="H720" s="67"/>
      <c r="I720" s="68"/>
      <c r="J720" s="68"/>
      <c r="K720" s="32"/>
      <c r="L720" s="75">
        <v>720</v>
      </c>
      <c r="M720" s="75"/>
      <c r="N720" s="70"/>
      <c r="O720" s="77" t="s">
        <v>179</v>
      </c>
      <c r="P720" s="79">
        <v>45197.45453703704</v>
      </c>
      <c r="Q720" s="77" t="s">
        <v>1513</v>
      </c>
      <c r="R720" s="77">
        <v>0</v>
      </c>
      <c r="S720" s="77">
        <v>0</v>
      </c>
      <c r="T720" s="77">
        <v>0</v>
      </c>
      <c r="U720" s="77">
        <v>0</v>
      </c>
      <c r="V720" s="77">
        <v>153</v>
      </c>
      <c r="W720" s="82" t="s">
        <v>5217</v>
      </c>
      <c r="X720" s="80" t="str">
        <f>HYPERLINK("https://dinheirama.com/acoes-da-china-caem-antes-de-feriado/")</f>
        <v>https://dinheirama.com/acoes-da-china-caem-antes-de-feriado/</v>
      </c>
      <c r="Y720" s="77" t="s">
        <v>7093</v>
      </c>
      <c r="Z720" s="77"/>
      <c r="AA720" s="77" t="s">
        <v>7642</v>
      </c>
      <c r="AB720" s="77" t="s">
        <v>8225</v>
      </c>
      <c r="AC720" s="82" t="s">
        <v>8232</v>
      </c>
      <c r="AD720" s="77" t="s">
        <v>8278</v>
      </c>
      <c r="AE720" s="80" t="str">
        <f>HYPERLINK("https://twitter.com/dinheirama/status/1707348058940313713")</f>
        <v>https://twitter.com/dinheirama/status/1707348058940313713</v>
      </c>
      <c r="AF720" s="79">
        <v>45197.45453703704</v>
      </c>
      <c r="AG720" s="85">
        <v>45197</v>
      </c>
      <c r="AH720" s="82" t="s">
        <v>8954</v>
      </c>
      <c r="AI720" s="77" t="b">
        <v>0</v>
      </c>
      <c r="AJ720" s="77"/>
      <c r="AK720" s="77"/>
      <c r="AL720" s="77"/>
      <c r="AM720" s="77"/>
      <c r="AN720" s="77"/>
      <c r="AO720" s="77"/>
      <c r="AP720" s="77"/>
      <c r="AQ720" s="77" t="s">
        <v>12527</v>
      </c>
      <c r="AR720" s="77"/>
      <c r="AS720" s="77"/>
      <c r="AT720" s="77"/>
      <c r="AU720" s="77"/>
      <c r="AV720" s="80" t="str">
        <f>HYPERLINK("https://pbs.twimg.com/media/F7G4AT0WEAAIx_A.jpg")</f>
        <v>https://pbs.twimg.com/media/F7G4AT0WEAAIx_A.jpg</v>
      </c>
      <c r="AW720" s="82" t="s">
        <v>13817</v>
      </c>
      <c r="AX720" s="82" t="s">
        <v>13817</v>
      </c>
      <c r="AY720" s="77"/>
      <c r="AZ720" s="82" t="s">
        <v>17385</v>
      </c>
      <c r="BA720" s="82" t="s">
        <v>17385</v>
      </c>
      <c r="BB720" s="82" t="s">
        <v>17385</v>
      </c>
      <c r="BC720" s="82" t="s">
        <v>13817</v>
      </c>
      <c r="BD720" s="77">
        <v>23408209</v>
      </c>
      <c r="BE720" s="77"/>
      <c r="BF720" s="77"/>
      <c r="BG720" s="77"/>
      <c r="BH720" s="77"/>
      <c r="BI720" s="77"/>
    </row>
    <row r="721" spans="1:61" x14ac:dyDescent="0.25">
      <c r="A721" s="62" t="s">
        <v>388</v>
      </c>
      <c r="B721" s="62" t="s">
        <v>388</v>
      </c>
      <c r="C721" s="63"/>
      <c r="D721" s="64"/>
      <c r="E721" s="65"/>
      <c r="F721" s="66"/>
      <c r="G721" s="63"/>
      <c r="H721" s="67"/>
      <c r="I721" s="68"/>
      <c r="J721" s="68"/>
      <c r="K721" s="32"/>
      <c r="L721" s="75">
        <v>721</v>
      </c>
      <c r="M721" s="75"/>
      <c r="N721" s="70"/>
      <c r="O721" s="77" t="s">
        <v>179</v>
      </c>
      <c r="P721" s="79">
        <v>45196.781342592592</v>
      </c>
      <c r="Q721" s="77" t="s">
        <v>1514</v>
      </c>
      <c r="R721" s="77">
        <v>0</v>
      </c>
      <c r="S721" s="77">
        <v>0</v>
      </c>
      <c r="T721" s="77">
        <v>0</v>
      </c>
      <c r="U721" s="77">
        <v>0</v>
      </c>
      <c r="V721" s="77">
        <v>173</v>
      </c>
      <c r="W721" s="82" t="s">
        <v>5235</v>
      </c>
      <c r="X721" s="80" t="str">
        <f>HYPERLINK("https://dinheirama.com/acoes-europeias-caem-pelo-5o-dia-com-queda-do-setor-imobiliario/")</f>
        <v>https://dinheirama.com/acoes-europeias-caem-pelo-5o-dia-com-queda-do-setor-imobiliario/</v>
      </c>
      <c r="Y721" s="77" t="s">
        <v>7093</v>
      </c>
      <c r="Z721" s="77"/>
      <c r="AA721" s="77" t="s">
        <v>7643</v>
      </c>
      <c r="AB721" s="77" t="s">
        <v>8225</v>
      </c>
      <c r="AC721" s="82" t="s">
        <v>8232</v>
      </c>
      <c r="AD721" s="77" t="s">
        <v>8278</v>
      </c>
      <c r="AE721" s="80" t="str">
        <f>HYPERLINK("https://twitter.com/dinheirama/status/1707104098628010042")</f>
        <v>https://twitter.com/dinheirama/status/1707104098628010042</v>
      </c>
      <c r="AF721" s="79">
        <v>45196.781342592592</v>
      </c>
      <c r="AG721" s="85">
        <v>45196</v>
      </c>
      <c r="AH721" s="82" t="s">
        <v>8955</v>
      </c>
      <c r="AI721" s="77" t="b">
        <v>0</v>
      </c>
      <c r="AJ721" s="77"/>
      <c r="AK721" s="77"/>
      <c r="AL721" s="77"/>
      <c r="AM721" s="77"/>
      <c r="AN721" s="77"/>
      <c r="AO721" s="77"/>
      <c r="AP721" s="77"/>
      <c r="AQ721" s="77" t="s">
        <v>12528</v>
      </c>
      <c r="AR721" s="77"/>
      <c r="AS721" s="77"/>
      <c r="AT721" s="77"/>
      <c r="AU721" s="77"/>
      <c r="AV721" s="80" t="str">
        <f>HYPERLINK("https://pbs.twimg.com/media/F7DaE8ZXcAESkfU.jpg")</f>
        <v>https://pbs.twimg.com/media/F7DaE8ZXcAESkfU.jpg</v>
      </c>
      <c r="AW721" s="82" t="s">
        <v>13818</v>
      </c>
      <c r="AX721" s="82" t="s">
        <v>13818</v>
      </c>
      <c r="AY721" s="77"/>
      <c r="AZ721" s="82" t="s">
        <v>17385</v>
      </c>
      <c r="BA721" s="82" t="s">
        <v>17385</v>
      </c>
      <c r="BB721" s="82" t="s">
        <v>17385</v>
      </c>
      <c r="BC721" s="82" t="s">
        <v>13818</v>
      </c>
      <c r="BD721" s="77">
        <v>23408209</v>
      </c>
      <c r="BE721" s="77"/>
      <c r="BF721" s="77"/>
      <c r="BG721" s="77"/>
      <c r="BH721" s="77"/>
      <c r="BI721" s="77"/>
    </row>
    <row r="722" spans="1:61" x14ac:dyDescent="0.25">
      <c r="A722" s="62" t="s">
        <v>388</v>
      </c>
      <c r="B722" s="62" t="s">
        <v>388</v>
      </c>
      <c r="C722" s="63"/>
      <c r="D722" s="64"/>
      <c r="E722" s="65"/>
      <c r="F722" s="66"/>
      <c r="G722" s="63"/>
      <c r="H722" s="67"/>
      <c r="I722" s="68"/>
      <c r="J722" s="68"/>
      <c r="K722" s="32"/>
      <c r="L722" s="75">
        <v>722</v>
      </c>
      <c r="M722" s="75"/>
      <c r="N722" s="70"/>
      <c r="O722" s="77" t="s">
        <v>179</v>
      </c>
      <c r="P722" s="79">
        <v>45194.445659722223</v>
      </c>
      <c r="Q722" s="77" t="s">
        <v>1515</v>
      </c>
      <c r="R722" s="77">
        <v>0</v>
      </c>
      <c r="S722" s="77">
        <v>0</v>
      </c>
      <c r="T722" s="77">
        <v>0</v>
      </c>
      <c r="U722" s="77">
        <v>0</v>
      </c>
      <c r="V722" s="77">
        <v>231</v>
      </c>
      <c r="W722" s="82" t="s">
        <v>5217</v>
      </c>
      <c r="X722" s="80" t="str">
        <f>HYPERLINK("https://dinheirama.com/acoes-da-china-e-hong-kong-recuam-com-cautela-antes-de-feriado/")</f>
        <v>https://dinheirama.com/acoes-da-china-e-hong-kong-recuam-com-cautela-antes-de-feriado/</v>
      </c>
      <c r="Y722" s="77" t="s">
        <v>7093</v>
      </c>
      <c r="Z722" s="77"/>
      <c r="AA722" s="77"/>
      <c r="AB722" s="77"/>
      <c r="AC722" s="82" t="s">
        <v>8232</v>
      </c>
      <c r="AD722" s="77" t="s">
        <v>8278</v>
      </c>
      <c r="AE722" s="80" t="str">
        <f>HYPERLINK("https://twitter.com/dinheirama/status/1706257676269748278")</f>
        <v>https://twitter.com/dinheirama/status/1706257676269748278</v>
      </c>
      <c r="AF722" s="79">
        <v>45194.445659722223</v>
      </c>
      <c r="AG722" s="85">
        <v>45194</v>
      </c>
      <c r="AH722" s="82" t="s">
        <v>8956</v>
      </c>
      <c r="AI722" s="77" t="b">
        <v>0</v>
      </c>
      <c r="AJ722" s="77"/>
      <c r="AK722" s="77"/>
      <c r="AL722" s="77"/>
      <c r="AM722" s="77"/>
      <c r="AN722" s="77"/>
      <c r="AO722" s="77"/>
      <c r="AP722" s="77"/>
      <c r="AQ722" s="77"/>
      <c r="AR722" s="77"/>
      <c r="AS722" s="77"/>
      <c r="AT722" s="77"/>
      <c r="AU722" s="77"/>
      <c r="AV722" s="80" t="str">
        <f>HYPERLINK("https://pbs.twimg.com/profile_images/1685831655976501248/p4Yj-D92_normal.jpg")</f>
        <v>https://pbs.twimg.com/profile_images/1685831655976501248/p4Yj-D92_normal.jpg</v>
      </c>
      <c r="AW722" s="82" t="s">
        <v>13819</v>
      </c>
      <c r="AX722" s="82" t="s">
        <v>13819</v>
      </c>
      <c r="AY722" s="77"/>
      <c r="AZ722" s="82" t="s">
        <v>17385</v>
      </c>
      <c r="BA722" s="82" t="s">
        <v>17385</v>
      </c>
      <c r="BB722" s="82" t="s">
        <v>17385</v>
      </c>
      <c r="BC722" s="82" t="s">
        <v>13819</v>
      </c>
      <c r="BD722" s="77">
        <v>23408209</v>
      </c>
      <c r="BE722" s="77"/>
      <c r="BF722" s="77"/>
      <c r="BG722" s="77"/>
      <c r="BH722" s="77"/>
      <c r="BI722" s="77"/>
    </row>
    <row r="723" spans="1:61" x14ac:dyDescent="0.25">
      <c r="A723" s="62" t="s">
        <v>388</v>
      </c>
      <c r="B723" s="62" t="s">
        <v>388</v>
      </c>
      <c r="C723" s="63"/>
      <c r="D723" s="64"/>
      <c r="E723" s="65"/>
      <c r="F723" s="66"/>
      <c r="G723" s="63"/>
      <c r="H723" s="67"/>
      <c r="I723" s="68"/>
      <c r="J723" s="68"/>
      <c r="K723" s="32"/>
      <c r="L723" s="75">
        <v>723</v>
      </c>
      <c r="M723" s="75"/>
      <c r="N723" s="70"/>
      <c r="O723" s="77" t="s">
        <v>179</v>
      </c>
      <c r="P723" s="79">
        <v>45191.450740740744</v>
      </c>
      <c r="Q723" s="77" t="s">
        <v>1516</v>
      </c>
      <c r="R723" s="77">
        <v>0</v>
      </c>
      <c r="S723" s="77">
        <v>0</v>
      </c>
      <c r="T723" s="77">
        <v>0</v>
      </c>
      <c r="U723" s="77">
        <v>0</v>
      </c>
      <c r="V723" s="77">
        <v>206</v>
      </c>
      <c r="W723" s="82" t="s">
        <v>5217</v>
      </c>
      <c r="X723" s="80" t="str">
        <f>HYPERLINK("https://dinheirama.com/acoes-da-china-tem-maior-alta-em-8-semanas/")</f>
        <v>https://dinheirama.com/acoes-da-china-tem-maior-alta-em-8-semanas/</v>
      </c>
      <c r="Y723" s="77" t="s">
        <v>7093</v>
      </c>
      <c r="Z723" s="77"/>
      <c r="AA723" s="77"/>
      <c r="AB723" s="77"/>
      <c r="AC723" s="82" t="s">
        <v>8232</v>
      </c>
      <c r="AD723" s="77" t="s">
        <v>8278</v>
      </c>
      <c r="AE723" s="80" t="str">
        <f>HYPERLINK("https://twitter.com/dinheirama/status/1705172352412074416")</f>
        <v>https://twitter.com/dinheirama/status/1705172352412074416</v>
      </c>
      <c r="AF723" s="79">
        <v>45191.450740740744</v>
      </c>
      <c r="AG723" s="85">
        <v>45191</v>
      </c>
      <c r="AH723" s="82" t="s">
        <v>8957</v>
      </c>
      <c r="AI723" s="77" t="b">
        <v>0</v>
      </c>
      <c r="AJ723" s="77"/>
      <c r="AK723" s="77"/>
      <c r="AL723" s="77"/>
      <c r="AM723" s="77"/>
      <c r="AN723" s="77"/>
      <c r="AO723" s="77"/>
      <c r="AP723" s="77"/>
      <c r="AQ723" s="77"/>
      <c r="AR723" s="77"/>
      <c r="AS723" s="77"/>
      <c r="AT723" s="77"/>
      <c r="AU723" s="77"/>
      <c r="AV723" s="80" t="str">
        <f>HYPERLINK("https://pbs.twimg.com/profile_images/1685831655976501248/p4Yj-D92_normal.jpg")</f>
        <v>https://pbs.twimg.com/profile_images/1685831655976501248/p4Yj-D92_normal.jpg</v>
      </c>
      <c r="AW723" s="82" t="s">
        <v>13820</v>
      </c>
      <c r="AX723" s="82" t="s">
        <v>13820</v>
      </c>
      <c r="AY723" s="77"/>
      <c r="AZ723" s="82" t="s">
        <v>17385</v>
      </c>
      <c r="BA723" s="82" t="s">
        <v>17385</v>
      </c>
      <c r="BB723" s="82" t="s">
        <v>17385</v>
      </c>
      <c r="BC723" s="82" t="s">
        <v>13820</v>
      </c>
      <c r="BD723" s="77">
        <v>23408209</v>
      </c>
      <c r="BE723" s="77"/>
      <c r="BF723" s="77"/>
      <c r="BG723" s="77"/>
      <c r="BH723" s="77"/>
      <c r="BI723" s="77"/>
    </row>
    <row r="724" spans="1:61" x14ac:dyDescent="0.25">
      <c r="A724" s="62" t="s">
        <v>388</v>
      </c>
      <c r="B724" s="62" t="s">
        <v>388</v>
      </c>
      <c r="C724" s="63"/>
      <c r="D724" s="64"/>
      <c r="E724" s="65"/>
      <c r="F724" s="66"/>
      <c r="G724" s="63"/>
      <c r="H724" s="67"/>
      <c r="I724" s="68"/>
      <c r="J724" s="68"/>
      <c r="K724" s="32"/>
      <c r="L724" s="75">
        <v>724</v>
      </c>
      <c r="M724" s="75"/>
      <c r="N724" s="70"/>
      <c r="O724" s="77" t="s">
        <v>179</v>
      </c>
      <c r="P724" s="79">
        <v>45188.951412037037</v>
      </c>
      <c r="Q724" s="77" t="s">
        <v>1517</v>
      </c>
      <c r="R724" s="77">
        <v>0</v>
      </c>
      <c r="S724" s="77">
        <v>0</v>
      </c>
      <c r="T724" s="77">
        <v>0</v>
      </c>
      <c r="U724" s="77">
        <v>0</v>
      </c>
      <c r="V724" s="77">
        <v>232</v>
      </c>
      <c r="W724" s="82" t="s">
        <v>5236</v>
      </c>
      <c r="X724" s="80" t="str">
        <f>HYPERLINK("https://dinheirama.com/acoes-da-arm-caminham-para-3o-dia-seguido-de-perdas/")</f>
        <v>https://dinheirama.com/acoes-da-arm-caminham-para-3o-dia-seguido-de-perdas/</v>
      </c>
      <c r="Y724" s="77" t="s">
        <v>7093</v>
      </c>
      <c r="Z724" s="77"/>
      <c r="AA724" s="77"/>
      <c r="AB724" s="77"/>
      <c r="AC724" s="82" t="s">
        <v>8232</v>
      </c>
      <c r="AD724" s="77" t="s">
        <v>8278</v>
      </c>
      <c r="AE724" s="80" t="str">
        <f>HYPERLINK("https://twitter.com/dinheirama/status/1704266627989037549")</f>
        <v>https://twitter.com/dinheirama/status/1704266627989037549</v>
      </c>
      <c r="AF724" s="79">
        <v>45188.951412037037</v>
      </c>
      <c r="AG724" s="85">
        <v>45188</v>
      </c>
      <c r="AH724" s="82" t="s">
        <v>8958</v>
      </c>
      <c r="AI724" s="77" t="b">
        <v>0</v>
      </c>
      <c r="AJ724" s="77"/>
      <c r="AK724" s="77"/>
      <c r="AL724" s="77"/>
      <c r="AM724" s="77"/>
      <c r="AN724" s="77"/>
      <c r="AO724" s="77"/>
      <c r="AP724" s="77"/>
      <c r="AQ724" s="77"/>
      <c r="AR724" s="77"/>
      <c r="AS724" s="77"/>
      <c r="AT724" s="77"/>
      <c r="AU724" s="77"/>
      <c r="AV724" s="80" t="str">
        <f>HYPERLINK("https://pbs.twimg.com/profile_images/1685831655976501248/p4Yj-D92_normal.jpg")</f>
        <v>https://pbs.twimg.com/profile_images/1685831655976501248/p4Yj-D92_normal.jpg</v>
      </c>
      <c r="AW724" s="82" t="s">
        <v>13821</v>
      </c>
      <c r="AX724" s="82" t="s">
        <v>13821</v>
      </c>
      <c r="AY724" s="77"/>
      <c r="AZ724" s="82" t="s">
        <v>17385</v>
      </c>
      <c r="BA724" s="82" t="s">
        <v>17385</v>
      </c>
      <c r="BB724" s="82" t="s">
        <v>17385</v>
      </c>
      <c r="BC724" s="82" t="s">
        <v>13821</v>
      </c>
      <c r="BD724" s="77">
        <v>23408209</v>
      </c>
      <c r="BE724" s="77"/>
      <c r="BF724" s="77"/>
      <c r="BG724" s="77"/>
      <c r="BH724" s="77"/>
      <c r="BI724" s="77"/>
    </row>
    <row r="725" spans="1:61" x14ac:dyDescent="0.25">
      <c r="A725" s="62" t="s">
        <v>388</v>
      </c>
      <c r="B725" s="62" t="s">
        <v>388</v>
      </c>
      <c r="C725" s="63"/>
      <c r="D725" s="64"/>
      <c r="E725" s="65"/>
      <c r="F725" s="66"/>
      <c r="G725" s="63"/>
      <c r="H725" s="67"/>
      <c r="I725" s="68"/>
      <c r="J725" s="68"/>
      <c r="K725" s="32"/>
      <c r="L725" s="75">
        <v>725</v>
      </c>
      <c r="M725" s="75"/>
      <c r="N725" s="70"/>
      <c r="O725" s="77" t="s">
        <v>179</v>
      </c>
      <c r="P725" s="79">
        <v>45183.509398148148</v>
      </c>
      <c r="Q725" s="77" t="s">
        <v>1518</v>
      </c>
      <c r="R725" s="77">
        <v>0</v>
      </c>
      <c r="S725" s="77">
        <v>0</v>
      </c>
      <c r="T725" s="77">
        <v>0</v>
      </c>
      <c r="U725" s="77">
        <v>0</v>
      </c>
      <c r="V725" s="77">
        <v>150</v>
      </c>
      <c r="W725" s="82" t="s">
        <v>5237</v>
      </c>
      <c r="X725" s="80" t="str">
        <f>HYPERLINK("https://dinheirama.com/casas-bahia-levanta-r-622-milhoes-com-venda-de-acoes/")</f>
        <v>https://dinheirama.com/casas-bahia-levanta-r-622-milhoes-com-venda-de-acoes/</v>
      </c>
      <c r="Y725" s="77" t="s">
        <v>7093</v>
      </c>
      <c r="Z725" s="77"/>
      <c r="AA725" s="77"/>
      <c r="AB725" s="77"/>
      <c r="AC725" s="82" t="s">
        <v>8232</v>
      </c>
      <c r="AD725" s="77" t="s">
        <v>8278</v>
      </c>
      <c r="AE725" s="80" t="str">
        <f>HYPERLINK("https://twitter.com/dinheirama/status/1702294506916180147")</f>
        <v>https://twitter.com/dinheirama/status/1702294506916180147</v>
      </c>
      <c r="AF725" s="79">
        <v>45183.509398148148</v>
      </c>
      <c r="AG725" s="85">
        <v>45183</v>
      </c>
      <c r="AH725" s="82" t="s">
        <v>8959</v>
      </c>
      <c r="AI725" s="77" t="b">
        <v>0</v>
      </c>
      <c r="AJ725" s="77"/>
      <c r="AK725" s="77"/>
      <c r="AL725" s="77"/>
      <c r="AM725" s="77"/>
      <c r="AN725" s="77"/>
      <c r="AO725" s="77"/>
      <c r="AP725" s="77"/>
      <c r="AQ725" s="77"/>
      <c r="AR725" s="77"/>
      <c r="AS725" s="77"/>
      <c r="AT725" s="77"/>
      <c r="AU725" s="77"/>
      <c r="AV725" s="80" t="str">
        <f>HYPERLINK("https://pbs.twimg.com/profile_images/1685831655976501248/p4Yj-D92_normal.jpg")</f>
        <v>https://pbs.twimg.com/profile_images/1685831655976501248/p4Yj-D92_normal.jpg</v>
      </c>
      <c r="AW725" s="82" t="s">
        <v>13822</v>
      </c>
      <c r="AX725" s="82" t="s">
        <v>13822</v>
      </c>
      <c r="AY725" s="77"/>
      <c r="AZ725" s="82" t="s">
        <v>17385</v>
      </c>
      <c r="BA725" s="82" t="s">
        <v>17385</v>
      </c>
      <c r="BB725" s="82" t="s">
        <v>17385</v>
      </c>
      <c r="BC725" s="82" t="s">
        <v>13822</v>
      </c>
      <c r="BD725" s="77">
        <v>23408209</v>
      </c>
      <c r="BE725" s="77"/>
      <c r="BF725" s="77"/>
      <c r="BG725" s="77"/>
      <c r="BH725" s="77"/>
      <c r="BI725" s="77"/>
    </row>
    <row r="726" spans="1:61" x14ac:dyDescent="0.25">
      <c r="A726" s="62" t="s">
        <v>388</v>
      </c>
      <c r="B726" s="62" t="s">
        <v>388</v>
      </c>
      <c r="C726" s="63"/>
      <c r="D726" s="64"/>
      <c r="E726" s="65"/>
      <c r="F726" s="66"/>
      <c r="G726" s="63"/>
      <c r="H726" s="67"/>
      <c r="I726" s="68"/>
      <c r="J726" s="68"/>
      <c r="K726" s="32"/>
      <c r="L726" s="75">
        <v>726</v>
      </c>
      <c r="M726" s="75"/>
      <c r="N726" s="70"/>
      <c r="O726" s="77" t="s">
        <v>179</v>
      </c>
      <c r="P726" s="79">
        <v>45181.448981481481</v>
      </c>
      <c r="Q726" s="77" t="s">
        <v>1519</v>
      </c>
      <c r="R726" s="77">
        <v>0</v>
      </c>
      <c r="S726" s="77">
        <v>0</v>
      </c>
      <c r="T726" s="77">
        <v>0</v>
      </c>
      <c r="U726" s="77">
        <v>0</v>
      </c>
      <c r="V726" s="77">
        <v>203</v>
      </c>
      <c r="W726" s="82" t="s">
        <v>5217</v>
      </c>
      <c r="X726" s="80" t="str">
        <f>HYPERLINK("https://dinheirama.com/acoes-da-china-recuam-018-nesta-terca-feira/")</f>
        <v>https://dinheirama.com/acoes-da-china-recuam-018-nesta-terca-feira/</v>
      </c>
      <c r="Y726" s="77" t="s">
        <v>7093</v>
      </c>
      <c r="Z726" s="77"/>
      <c r="AA726" s="77"/>
      <c r="AB726" s="77"/>
      <c r="AC726" s="82" t="s">
        <v>8232</v>
      </c>
      <c r="AD726" s="77" t="s">
        <v>8281</v>
      </c>
      <c r="AE726" s="80" t="str">
        <f>HYPERLINK("https://twitter.com/dinheirama/status/1701547838998491502")</f>
        <v>https://twitter.com/dinheirama/status/1701547838998491502</v>
      </c>
      <c r="AF726" s="79">
        <v>45181.448981481481</v>
      </c>
      <c r="AG726" s="85">
        <v>45181</v>
      </c>
      <c r="AH726" s="82" t="s">
        <v>8960</v>
      </c>
      <c r="AI726" s="77" t="b">
        <v>0</v>
      </c>
      <c r="AJ726" s="77"/>
      <c r="AK726" s="77"/>
      <c r="AL726" s="77"/>
      <c r="AM726" s="77"/>
      <c r="AN726" s="77"/>
      <c r="AO726" s="77"/>
      <c r="AP726" s="77"/>
      <c r="AQ726" s="77"/>
      <c r="AR726" s="77"/>
      <c r="AS726" s="77"/>
      <c r="AT726" s="77"/>
      <c r="AU726" s="77"/>
      <c r="AV726" s="80" t="str">
        <f>HYPERLINK("https://pbs.twimg.com/profile_images/1685831655976501248/p4Yj-D92_normal.jpg")</f>
        <v>https://pbs.twimg.com/profile_images/1685831655976501248/p4Yj-D92_normal.jpg</v>
      </c>
      <c r="AW726" s="82" t="s">
        <v>13823</v>
      </c>
      <c r="AX726" s="82" t="s">
        <v>13823</v>
      </c>
      <c r="AY726" s="77"/>
      <c r="AZ726" s="82" t="s">
        <v>17385</v>
      </c>
      <c r="BA726" s="82" t="s">
        <v>17385</v>
      </c>
      <c r="BB726" s="82" t="s">
        <v>17385</v>
      </c>
      <c r="BC726" s="82" t="s">
        <v>13823</v>
      </c>
      <c r="BD726" s="77">
        <v>23408209</v>
      </c>
      <c r="BE726" s="77"/>
      <c r="BF726" s="77"/>
      <c r="BG726" s="77"/>
      <c r="BH726" s="77"/>
      <c r="BI726" s="77"/>
    </row>
    <row r="727" spans="1:61" x14ac:dyDescent="0.25">
      <c r="A727" s="62" t="s">
        <v>388</v>
      </c>
      <c r="B727" s="62" t="s">
        <v>388</v>
      </c>
      <c r="C727" s="63"/>
      <c r="D727" s="64"/>
      <c r="E727" s="65"/>
      <c r="F727" s="66"/>
      <c r="G727" s="63"/>
      <c r="H727" s="67"/>
      <c r="I727" s="68"/>
      <c r="J727" s="68"/>
      <c r="K727" s="32"/>
      <c r="L727" s="75">
        <v>727</v>
      </c>
      <c r="M727" s="75"/>
      <c r="N727" s="70"/>
      <c r="O727" s="77" t="s">
        <v>179</v>
      </c>
      <c r="P727" s="79">
        <v>45180.733703703707</v>
      </c>
      <c r="Q727" s="77" t="s">
        <v>1520</v>
      </c>
      <c r="R727" s="77">
        <v>0</v>
      </c>
      <c r="S727" s="77">
        <v>0</v>
      </c>
      <c r="T727" s="77">
        <v>0</v>
      </c>
      <c r="U727" s="77">
        <v>0</v>
      </c>
      <c r="V727" s="77">
        <v>200</v>
      </c>
      <c r="W727" s="82" t="s">
        <v>5238</v>
      </c>
      <c r="X727" s="80" t="str">
        <f>HYPERLINK("https://dinheirama.com/alibaba-acoes-caem-apos-ex-ceo-abandonar-unidade-de-nuvem-antes-de-ipo/")</f>
        <v>https://dinheirama.com/alibaba-acoes-caem-apos-ex-ceo-abandonar-unidade-de-nuvem-antes-de-ipo/</v>
      </c>
      <c r="Y727" s="77" t="s">
        <v>7093</v>
      </c>
      <c r="Z727" s="77"/>
      <c r="AA727" s="77"/>
      <c r="AB727" s="77"/>
      <c r="AC727" s="82" t="s">
        <v>8232</v>
      </c>
      <c r="AD727" s="77" t="s">
        <v>8278</v>
      </c>
      <c r="AE727" s="80" t="str">
        <f>HYPERLINK("https://twitter.com/dinheirama/status/1701288631229387148")</f>
        <v>https://twitter.com/dinheirama/status/1701288631229387148</v>
      </c>
      <c r="AF727" s="79">
        <v>45180.733703703707</v>
      </c>
      <c r="AG727" s="85">
        <v>45180</v>
      </c>
      <c r="AH727" s="82" t="s">
        <v>8961</v>
      </c>
      <c r="AI727" s="77" t="b">
        <v>0</v>
      </c>
      <c r="AJ727" s="77"/>
      <c r="AK727" s="77"/>
      <c r="AL727" s="77"/>
      <c r="AM727" s="77"/>
      <c r="AN727" s="77"/>
      <c r="AO727" s="77"/>
      <c r="AP727" s="77"/>
      <c r="AQ727" s="77"/>
      <c r="AR727" s="77"/>
      <c r="AS727" s="77"/>
      <c r="AT727" s="77"/>
      <c r="AU727" s="77"/>
      <c r="AV727" s="80" t="str">
        <f>HYPERLINK("https://pbs.twimg.com/profile_images/1685831655976501248/p4Yj-D92_normal.jpg")</f>
        <v>https://pbs.twimg.com/profile_images/1685831655976501248/p4Yj-D92_normal.jpg</v>
      </c>
      <c r="AW727" s="82" t="s">
        <v>13824</v>
      </c>
      <c r="AX727" s="82" t="s">
        <v>13824</v>
      </c>
      <c r="AY727" s="77"/>
      <c r="AZ727" s="82" t="s">
        <v>17385</v>
      </c>
      <c r="BA727" s="82" t="s">
        <v>17385</v>
      </c>
      <c r="BB727" s="82" t="s">
        <v>17385</v>
      </c>
      <c r="BC727" s="82" t="s">
        <v>13824</v>
      </c>
      <c r="BD727" s="77">
        <v>23408209</v>
      </c>
      <c r="BE727" s="77"/>
      <c r="BF727" s="77"/>
      <c r="BG727" s="77"/>
      <c r="BH727" s="77"/>
      <c r="BI727" s="77"/>
    </row>
    <row r="728" spans="1:61" x14ac:dyDescent="0.25">
      <c r="A728" s="62" t="s">
        <v>388</v>
      </c>
      <c r="B728" s="62" t="s">
        <v>388</v>
      </c>
      <c r="C728" s="63"/>
      <c r="D728" s="64"/>
      <c r="E728" s="65"/>
      <c r="F728" s="66"/>
      <c r="G728" s="63"/>
      <c r="H728" s="67"/>
      <c r="I728" s="68"/>
      <c r="J728" s="68"/>
      <c r="K728" s="32"/>
      <c r="L728" s="75">
        <v>728</v>
      </c>
      <c r="M728" s="75"/>
      <c r="N728" s="70"/>
      <c r="O728" s="77" t="s">
        <v>179</v>
      </c>
      <c r="P728" s="79">
        <v>45177.826620370368</v>
      </c>
      <c r="Q728" s="77" t="s">
        <v>1521</v>
      </c>
      <c r="R728" s="77">
        <v>0</v>
      </c>
      <c r="S728" s="77">
        <v>0</v>
      </c>
      <c r="T728" s="77">
        <v>0</v>
      </c>
      <c r="U728" s="77">
        <v>0</v>
      </c>
      <c r="V728" s="77">
        <v>222</v>
      </c>
      <c r="W728" s="82" t="s">
        <v>5239</v>
      </c>
      <c r="X728" s="80" t="str">
        <f>HYPERLINK("https://dinheirama.com/ubs-executivos-do-banco-ja-venderam-mais-de-us-15-milhoes-em-acoes-em-setembro/")</f>
        <v>https://dinheirama.com/ubs-executivos-do-banco-ja-venderam-mais-de-us-15-milhoes-em-acoes-em-setembro/</v>
      </c>
      <c r="Y728" s="77" t="s">
        <v>7093</v>
      </c>
      <c r="Z728" s="77"/>
      <c r="AA728" s="77"/>
      <c r="AB728" s="77"/>
      <c r="AC728" s="82" t="s">
        <v>8232</v>
      </c>
      <c r="AD728" s="77" t="s">
        <v>8278</v>
      </c>
      <c r="AE728" s="80" t="str">
        <f>HYPERLINK("https://twitter.com/dinheirama/status/1700235136573260087")</f>
        <v>https://twitter.com/dinheirama/status/1700235136573260087</v>
      </c>
      <c r="AF728" s="79">
        <v>45177.826620370368</v>
      </c>
      <c r="AG728" s="85">
        <v>45177</v>
      </c>
      <c r="AH728" s="82" t="s">
        <v>8962</v>
      </c>
      <c r="AI728" s="77" t="b">
        <v>0</v>
      </c>
      <c r="AJ728" s="77"/>
      <c r="AK728" s="77"/>
      <c r="AL728" s="77"/>
      <c r="AM728" s="77"/>
      <c r="AN728" s="77"/>
      <c r="AO728" s="77"/>
      <c r="AP728" s="77"/>
      <c r="AQ728" s="77"/>
      <c r="AR728" s="77"/>
      <c r="AS728" s="77"/>
      <c r="AT728" s="77"/>
      <c r="AU728" s="77"/>
      <c r="AV728" s="80" t="str">
        <f>HYPERLINK("https://pbs.twimg.com/profile_images/1685831655976501248/p4Yj-D92_normal.jpg")</f>
        <v>https://pbs.twimg.com/profile_images/1685831655976501248/p4Yj-D92_normal.jpg</v>
      </c>
      <c r="AW728" s="82" t="s">
        <v>13825</v>
      </c>
      <c r="AX728" s="82" t="s">
        <v>13825</v>
      </c>
      <c r="AY728" s="77"/>
      <c r="AZ728" s="82" t="s">
        <v>17385</v>
      </c>
      <c r="BA728" s="82" t="s">
        <v>17385</v>
      </c>
      <c r="BB728" s="82" t="s">
        <v>17385</v>
      </c>
      <c r="BC728" s="82" t="s">
        <v>13825</v>
      </c>
      <c r="BD728" s="77">
        <v>23408209</v>
      </c>
      <c r="BE728" s="77"/>
      <c r="BF728" s="77"/>
      <c r="BG728" s="77"/>
      <c r="BH728" s="77"/>
      <c r="BI728" s="77"/>
    </row>
    <row r="729" spans="1:61" x14ac:dyDescent="0.25">
      <c r="A729" s="62" t="s">
        <v>388</v>
      </c>
      <c r="B729" s="62" t="s">
        <v>388</v>
      </c>
      <c r="C729" s="63"/>
      <c r="D729" s="64"/>
      <c r="E729" s="65"/>
      <c r="F729" s="66"/>
      <c r="G729" s="63"/>
      <c r="H729" s="67"/>
      <c r="I729" s="68"/>
      <c r="J729" s="68"/>
      <c r="K729" s="32"/>
      <c r="L729" s="75">
        <v>729</v>
      </c>
      <c r="M729" s="75"/>
      <c r="N729" s="70"/>
      <c r="O729" s="77" t="s">
        <v>179</v>
      </c>
      <c r="P729" s="79">
        <v>45177.644120370373</v>
      </c>
      <c r="Q729" s="77" t="s">
        <v>1522</v>
      </c>
      <c r="R729" s="77">
        <v>0</v>
      </c>
      <c r="S729" s="77">
        <v>0</v>
      </c>
      <c r="T729" s="77">
        <v>0</v>
      </c>
      <c r="U729" s="77">
        <v>0</v>
      </c>
      <c r="V729" s="77">
        <v>200</v>
      </c>
      <c r="W729" s="82" t="s">
        <v>5240</v>
      </c>
      <c r="X729" s="80" t="str">
        <f>HYPERLINK("https://dinheirama.com/acoes-de-fornecedores-da-apple-caem-com-restricao-na-china-e-ameaca-da-huawei/")</f>
        <v>https://dinheirama.com/acoes-de-fornecedores-da-apple-caem-com-restricao-na-china-e-ameaca-da-huawei/</v>
      </c>
      <c r="Y729" s="77" t="s">
        <v>7093</v>
      </c>
      <c r="Z729" s="77"/>
      <c r="AA729" s="77"/>
      <c r="AB729" s="77"/>
      <c r="AC729" s="82" t="s">
        <v>8232</v>
      </c>
      <c r="AD729" s="77" t="s">
        <v>8278</v>
      </c>
      <c r="AE729" s="80" t="str">
        <f>HYPERLINK("https://twitter.com/dinheirama/status/1700169000590643546")</f>
        <v>https://twitter.com/dinheirama/status/1700169000590643546</v>
      </c>
      <c r="AF729" s="79">
        <v>45177.644120370373</v>
      </c>
      <c r="AG729" s="85">
        <v>45177</v>
      </c>
      <c r="AH729" s="82" t="s">
        <v>8963</v>
      </c>
      <c r="AI729" s="77" t="b">
        <v>0</v>
      </c>
      <c r="AJ729" s="77"/>
      <c r="AK729" s="77"/>
      <c r="AL729" s="77"/>
      <c r="AM729" s="77"/>
      <c r="AN729" s="77"/>
      <c r="AO729" s="77"/>
      <c r="AP729" s="77"/>
      <c r="AQ729" s="77"/>
      <c r="AR729" s="77"/>
      <c r="AS729" s="77"/>
      <c r="AT729" s="77"/>
      <c r="AU729" s="77"/>
      <c r="AV729" s="80" t="str">
        <f>HYPERLINK("https://pbs.twimg.com/profile_images/1685831655976501248/p4Yj-D92_normal.jpg")</f>
        <v>https://pbs.twimg.com/profile_images/1685831655976501248/p4Yj-D92_normal.jpg</v>
      </c>
      <c r="AW729" s="82" t="s">
        <v>13826</v>
      </c>
      <c r="AX729" s="82" t="s">
        <v>13826</v>
      </c>
      <c r="AY729" s="77"/>
      <c r="AZ729" s="82" t="s">
        <v>17385</v>
      </c>
      <c r="BA729" s="82" t="s">
        <v>17385</v>
      </c>
      <c r="BB729" s="82" t="s">
        <v>17385</v>
      </c>
      <c r="BC729" s="82" t="s">
        <v>13826</v>
      </c>
      <c r="BD729" s="77">
        <v>23408209</v>
      </c>
      <c r="BE729" s="77"/>
      <c r="BF729" s="77"/>
      <c r="BG729" s="77"/>
      <c r="BH729" s="77"/>
      <c r="BI729" s="77"/>
    </row>
    <row r="730" spans="1:61" x14ac:dyDescent="0.25">
      <c r="A730" s="62" t="s">
        <v>388</v>
      </c>
      <c r="B730" s="62" t="s">
        <v>388</v>
      </c>
      <c r="C730" s="63"/>
      <c r="D730" s="64"/>
      <c r="E730" s="65"/>
      <c r="F730" s="66"/>
      <c r="G730" s="63"/>
      <c r="H730" s="67"/>
      <c r="I730" s="68"/>
      <c r="J730" s="68"/>
      <c r="K730" s="32"/>
      <c r="L730" s="75">
        <v>730</v>
      </c>
      <c r="M730" s="75"/>
      <c r="N730" s="70"/>
      <c r="O730" s="77" t="s">
        <v>179</v>
      </c>
      <c r="P730" s="79">
        <v>45177.464999999997</v>
      </c>
      <c r="Q730" s="77" t="s">
        <v>1523</v>
      </c>
      <c r="R730" s="77">
        <v>0</v>
      </c>
      <c r="S730" s="77">
        <v>0</v>
      </c>
      <c r="T730" s="77">
        <v>0</v>
      </c>
      <c r="U730" s="77">
        <v>0</v>
      </c>
      <c r="V730" s="77">
        <v>246</v>
      </c>
      <c r="W730" s="82" t="s">
        <v>5217</v>
      </c>
      <c r="X730" s="80" t="str">
        <f>HYPERLINK("https://dinheirama.com/acoes-da-china-fecham-em-baixa-de-049/")</f>
        <v>https://dinheirama.com/acoes-da-china-fecham-em-baixa-de-049/</v>
      </c>
      <c r="Y730" s="77" t="s">
        <v>7093</v>
      </c>
      <c r="Z730" s="77"/>
      <c r="AA730" s="77"/>
      <c r="AB730" s="77"/>
      <c r="AC730" s="82" t="s">
        <v>8232</v>
      </c>
      <c r="AD730" s="77" t="s">
        <v>8278</v>
      </c>
      <c r="AE730" s="80" t="str">
        <f>HYPERLINK("https://twitter.com/dinheirama/status/1700104092490547647")</f>
        <v>https://twitter.com/dinheirama/status/1700104092490547647</v>
      </c>
      <c r="AF730" s="79">
        <v>45177.464999999997</v>
      </c>
      <c r="AG730" s="85">
        <v>45177</v>
      </c>
      <c r="AH730" s="82" t="s">
        <v>8964</v>
      </c>
      <c r="AI730" s="77" t="b">
        <v>0</v>
      </c>
      <c r="AJ730" s="77"/>
      <c r="AK730" s="77"/>
      <c r="AL730" s="77"/>
      <c r="AM730" s="77"/>
      <c r="AN730" s="77"/>
      <c r="AO730" s="77"/>
      <c r="AP730" s="77"/>
      <c r="AQ730" s="77"/>
      <c r="AR730" s="77"/>
      <c r="AS730" s="77"/>
      <c r="AT730" s="77"/>
      <c r="AU730" s="77"/>
      <c r="AV730" s="80" t="str">
        <f>HYPERLINK("https://pbs.twimg.com/profile_images/1685831655976501248/p4Yj-D92_normal.jpg")</f>
        <v>https://pbs.twimg.com/profile_images/1685831655976501248/p4Yj-D92_normal.jpg</v>
      </c>
      <c r="AW730" s="82" t="s">
        <v>13827</v>
      </c>
      <c r="AX730" s="82" t="s">
        <v>13827</v>
      </c>
      <c r="AY730" s="77"/>
      <c r="AZ730" s="82" t="s">
        <v>17385</v>
      </c>
      <c r="BA730" s="82" t="s">
        <v>17385</v>
      </c>
      <c r="BB730" s="82" t="s">
        <v>17385</v>
      </c>
      <c r="BC730" s="82" t="s">
        <v>13827</v>
      </c>
      <c r="BD730" s="77">
        <v>23408209</v>
      </c>
      <c r="BE730" s="77"/>
      <c r="BF730" s="77"/>
      <c r="BG730" s="77"/>
      <c r="BH730" s="77"/>
      <c r="BI730" s="77"/>
    </row>
    <row r="731" spans="1:61" x14ac:dyDescent="0.25">
      <c r="A731" s="62" t="s">
        <v>388</v>
      </c>
      <c r="B731" s="62" t="s">
        <v>388</v>
      </c>
      <c r="C731" s="63"/>
      <c r="D731" s="64"/>
      <c r="E731" s="65"/>
      <c r="F731" s="66"/>
      <c r="G731" s="63"/>
      <c r="H731" s="67"/>
      <c r="I731" s="68"/>
      <c r="J731" s="68"/>
      <c r="K731" s="32"/>
      <c r="L731" s="75">
        <v>731</v>
      </c>
      <c r="M731" s="75"/>
      <c r="N731" s="70"/>
      <c r="O731" s="77" t="s">
        <v>179</v>
      </c>
      <c r="P731" s="79">
        <v>45174.995104166665</v>
      </c>
      <c r="Q731" s="77" t="s">
        <v>1524</v>
      </c>
      <c r="R731" s="77">
        <v>0</v>
      </c>
      <c r="S731" s="77">
        <v>0</v>
      </c>
      <c r="T731" s="77">
        <v>0</v>
      </c>
      <c r="U731" s="77">
        <v>0</v>
      </c>
      <c r="V731" s="77">
        <v>312</v>
      </c>
      <c r="W731" s="82" t="s">
        <v>5241</v>
      </c>
      <c r="X731" s="80" t="str">
        <f>HYPERLINK("https://dinheirama.com/vitru-aprova-plano-para-deixar-nasdaq-e-listar-acoes-na-b3/")</f>
        <v>https://dinheirama.com/vitru-aprova-plano-para-deixar-nasdaq-e-listar-acoes-na-b3/</v>
      </c>
      <c r="Y731" s="77" t="s">
        <v>7093</v>
      </c>
      <c r="Z731" s="77"/>
      <c r="AA731" s="77"/>
      <c r="AB731" s="77"/>
      <c r="AC731" s="82" t="s">
        <v>8232</v>
      </c>
      <c r="AD731" s="77" t="s">
        <v>8278</v>
      </c>
      <c r="AE731" s="80" t="str">
        <f>HYPERLINK("https://twitter.com/dinheirama/status/1699209033364779099")</f>
        <v>https://twitter.com/dinheirama/status/1699209033364779099</v>
      </c>
      <c r="AF731" s="79">
        <v>45174.995104166665</v>
      </c>
      <c r="AG731" s="85">
        <v>45174</v>
      </c>
      <c r="AH731" s="82" t="s">
        <v>8965</v>
      </c>
      <c r="AI731" s="77" t="b">
        <v>0</v>
      </c>
      <c r="AJ731" s="77"/>
      <c r="AK731" s="77"/>
      <c r="AL731" s="77"/>
      <c r="AM731" s="77"/>
      <c r="AN731" s="77"/>
      <c r="AO731" s="77"/>
      <c r="AP731" s="77"/>
      <c r="AQ731" s="77"/>
      <c r="AR731" s="77"/>
      <c r="AS731" s="77"/>
      <c r="AT731" s="77"/>
      <c r="AU731" s="77"/>
      <c r="AV731" s="80" t="str">
        <f>HYPERLINK("https://pbs.twimg.com/profile_images/1685831655976501248/p4Yj-D92_normal.jpg")</f>
        <v>https://pbs.twimg.com/profile_images/1685831655976501248/p4Yj-D92_normal.jpg</v>
      </c>
      <c r="AW731" s="82" t="s">
        <v>13828</v>
      </c>
      <c r="AX731" s="82" t="s">
        <v>13828</v>
      </c>
      <c r="AY731" s="77"/>
      <c r="AZ731" s="82" t="s">
        <v>17385</v>
      </c>
      <c r="BA731" s="82" t="s">
        <v>17385</v>
      </c>
      <c r="BB731" s="82" t="s">
        <v>17385</v>
      </c>
      <c r="BC731" s="82" t="s">
        <v>13828</v>
      </c>
      <c r="BD731" s="77">
        <v>23408209</v>
      </c>
      <c r="BE731" s="77"/>
      <c r="BF731" s="77"/>
      <c r="BG731" s="77"/>
      <c r="BH731" s="77"/>
      <c r="BI731" s="77"/>
    </row>
    <row r="732" spans="1:61" x14ac:dyDescent="0.25">
      <c r="A732" s="62" t="s">
        <v>388</v>
      </c>
      <c r="B732" s="62" t="s">
        <v>388</v>
      </c>
      <c r="C732" s="63"/>
      <c r="D732" s="64"/>
      <c r="E732" s="65"/>
      <c r="F732" s="66"/>
      <c r="G732" s="63"/>
      <c r="H732" s="67"/>
      <c r="I732" s="68"/>
      <c r="J732" s="68"/>
      <c r="K732" s="32"/>
      <c r="L732" s="75">
        <v>732</v>
      </c>
      <c r="M732" s="75"/>
      <c r="N732" s="70"/>
      <c r="O732" s="77" t="s">
        <v>179</v>
      </c>
      <c r="P732" s="79">
        <v>45167.885949074072</v>
      </c>
      <c r="Q732" s="77" t="s">
        <v>1525</v>
      </c>
      <c r="R732" s="77">
        <v>0</v>
      </c>
      <c r="S732" s="77">
        <v>0</v>
      </c>
      <c r="T732" s="77">
        <v>0</v>
      </c>
      <c r="U732" s="77">
        <v>0</v>
      </c>
      <c r="V732" s="77">
        <v>241</v>
      </c>
      <c r="W732" s="82" t="s">
        <v>5206</v>
      </c>
      <c r="X732" s="80" t="str">
        <f>HYPERLINK("https://dinheirama.com/as-10-acoes-que-mais-reagem-ao-juros-futuro-de-1-dia-e-tem-recomendacao-de-compra/")</f>
        <v>https://dinheirama.com/as-10-acoes-que-mais-reagem-ao-juros-futuro-de-1-dia-e-tem-recomendacao-de-compra/</v>
      </c>
      <c r="Y732" s="77" t="s">
        <v>7093</v>
      </c>
      <c r="Z732" s="77"/>
      <c r="AA732" s="77"/>
      <c r="AB732" s="77"/>
      <c r="AC732" s="82" t="s">
        <v>8232</v>
      </c>
      <c r="AD732" s="77" t="s">
        <v>8278</v>
      </c>
      <c r="AE732" s="80" t="str">
        <f>HYPERLINK("https://twitter.com/dinheirama/status/1696632759685357862")</f>
        <v>https://twitter.com/dinheirama/status/1696632759685357862</v>
      </c>
      <c r="AF732" s="79">
        <v>45167.885949074072</v>
      </c>
      <c r="AG732" s="85">
        <v>45167</v>
      </c>
      <c r="AH732" s="82" t="s">
        <v>8966</v>
      </c>
      <c r="AI732" s="77" t="b">
        <v>0</v>
      </c>
      <c r="AJ732" s="77"/>
      <c r="AK732" s="77"/>
      <c r="AL732" s="77"/>
      <c r="AM732" s="77"/>
      <c r="AN732" s="77"/>
      <c r="AO732" s="77"/>
      <c r="AP732" s="77"/>
      <c r="AQ732" s="77"/>
      <c r="AR732" s="77"/>
      <c r="AS732" s="77"/>
      <c r="AT732" s="77"/>
      <c r="AU732" s="77"/>
      <c r="AV732" s="80" t="str">
        <f>HYPERLINK("https://pbs.twimg.com/profile_images/1685831655976501248/p4Yj-D92_normal.jpg")</f>
        <v>https://pbs.twimg.com/profile_images/1685831655976501248/p4Yj-D92_normal.jpg</v>
      </c>
      <c r="AW732" s="82" t="s">
        <v>13829</v>
      </c>
      <c r="AX732" s="82" t="s">
        <v>13829</v>
      </c>
      <c r="AY732" s="77"/>
      <c r="AZ732" s="82" t="s">
        <v>17385</v>
      </c>
      <c r="BA732" s="82" t="s">
        <v>17385</v>
      </c>
      <c r="BB732" s="82" t="s">
        <v>17385</v>
      </c>
      <c r="BC732" s="82" t="s">
        <v>13829</v>
      </c>
      <c r="BD732" s="77">
        <v>23408209</v>
      </c>
      <c r="BE732" s="77"/>
      <c r="BF732" s="77"/>
      <c r="BG732" s="77"/>
      <c r="BH732" s="77"/>
      <c r="BI732" s="77"/>
    </row>
    <row r="733" spans="1:61" x14ac:dyDescent="0.25">
      <c r="A733" s="62" t="s">
        <v>388</v>
      </c>
      <c r="B733" s="62" t="s">
        <v>388</v>
      </c>
      <c r="C733" s="63"/>
      <c r="D733" s="64"/>
      <c r="E733" s="65"/>
      <c r="F733" s="66"/>
      <c r="G733" s="63"/>
      <c r="H733" s="67"/>
      <c r="I733" s="68"/>
      <c r="J733" s="68"/>
      <c r="K733" s="32"/>
      <c r="L733" s="75">
        <v>733</v>
      </c>
      <c r="M733" s="75"/>
      <c r="N733" s="70"/>
      <c r="O733" s="77" t="s">
        <v>179</v>
      </c>
      <c r="P733" s="79">
        <v>45149.960844907408</v>
      </c>
      <c r="Q733" s="77" t="s">
        <v>1526</v>
      </c>
      <c r="R733" s="77">
        <v>0</v>
      </c>
      <c r="S733" s="77">
        <v>0</v>
      </c>
      <c r="T733" s="77">
        <v>0</v>
      </c>
      <c r="U733" s="77">
        <v>0</v>
      </c>
      <c r="V733" s="77">
        <v>332</v>
      </c>
      <c r="W733" s="82" t="s">
        <v>5242</v>
      </c>
      <c r="X733" s="80" t="str">
        <f>HYPERLINK("https://dinheirama.com/plano-plano-diz-que-avalia-potencial-oferta-de-acoes-de-ate-r-500-mi/")</f>
        <v>https://dinheirama.com/plano-plano-diz-que-avalia-potencial-oferta-de-acoes-de-ate-r-500-mi/</v>
      </c>
      <c r="Y733" s="77" t="s">
        <v>7093</v>
      </c>
      <c r="Z733" s="77"/>
      <c r="AA733" s="77"/>
      <c r="AB733" s="77"/>
      <c r="AC733" s="82" t="s">
        <v>8232</v>
      </c>
      <c r="AD733" s="77" t="s">
        <v>8278</v>
      </c>
      <c r="AE733" s="80" t="str">
        <f>HYPERLINK("https://twitter.com/dinheirama/status/1690136918846017537")</f>
        <v>https://twitter.com/dinheirama/status/1690136918846017537</v>
      </c>
      <c r="AF733" s="79">
        <v>45149.960844907408</v>
      </c>
      <c r="AG733" s="85">
        <v>45149</v>
      </c>
      <c r="AH733" s="82" t="s">
        <v>8967</v>
      </c>
      <c r="AI733" s="77" t="b">
        <v>0</v>
      </c>
      <c r="AJ733" s="77"/>
      <c r="AK733" s="77"/>
      <c r="AL733" s="77"/>
      <c r="AM733" s="77"/>
      <c r="AN733" s="77"/>
      <c r="AO733" s="77"/>
      <c r="AP733" s="77"/>
      <c r="AQ733" s="77"/>
      <c r="AR733" s="77"/>
      <c r="AS733" s="77"/>
      <c r="AT733" s="77"/>
      <c r="AU733" s="77"/>
      <c r="AV733" s="80" t="str">
        <f>HYPERLINK("https://pbs.twimg.com/profile_images/1685831655976501248/p4Yj-D92_normal.jpg")</f>
        <v>https://pbs.twimg.com/profile_images/1685831655976501248/p4Yj-D92_normal.jpg</v>
      </c>
      <c r="AW733" s="82" t="s">
        <v>13830</v>
      </c>
      <c r="AX733" s="82" t="s">
        <v>13830</v>
      </c>
      <c r="AY733" s="77"/>
      <c r="AZ733" s="82" t="s">
        <v>17385</v>
      </c>
      <c r="BA733" s="82" t="s">
        <v>17385</v>
      </c>
      <c r="BB733" s="82" t="s">
        <v>17385</v>
      </c>
      <c r="BC733" s="82" t="s">
        <v>13830</v>
      </c>
      <c r="BD733" s="77">
        <v>23408209</v>
      </c>
      <c r="BE733" s="77"/>
      <c r="BF733" s="77"/>
      <c r="BG733" s="77"/>
      <c r="BH733" s="77"/>
      <c r="BI733" s="77"/>
    </row>
    <row r="734" spans="1:61" x14ac:dyDescent="0.25">
      <c r="A734" s="62" t="s">
        <v>388</v>
      </c>
      <c r="B734" s="62" t="s">
        <v>388</v>
      </c>
      <c r="C734" s="63"/>
      <c r="D734" s="64"/>
      <c r="E734" s="65"/>
      <c r="F734" s="66"/>
      <c r="G734" s="63"/>
      <c r="H734" s="67"/>
      <c r="I734" s="68"/>
      <c r="J734" s="68"/>
      <c r="K734" s="32"/>
      <c r="L734" s="75">
        <v>734</v>
      </c>
      <c r="M734" s="75"/>
      <c r="N734" s="70"/>
      <c r="O734" s="77" t="s">
        <v>179</v>
      </c>
      <c r="P734" s="79">
        <v>45148.864050925928</v>
      </c>
      <c r="Q734" s="77" t="s">
        <v>1527</v>
      </c>
      <c r="R734" s="77">
        <v>0</v>
      </c>
      <c r="S734" s="77">
        <v>1</v>
      </c>
      <c r="T734" s="77">
        <v>0</v>
      </c>
      <c r="U734" s="77">
        <v>0</v>
      </c>
      <c r="V734" s="77">
        <v>329</v>
      </c>
      <c r="W734" s="82" t="s">
        <v>5243</v>
      </c>
      <c r="X734" s="80" t="str">
        <f>HYPERLINK("https://dinheirama.com/wall-street-se-desfaz-da-maior-parte-dos-ganhos-com-dados-de-inflacao-dos-eua-de-julho-e-fecha-estavel/")</f>
        <v>https://dinheirama.com/wall-street-se-desfaz-da-maior-parte-dos-ganhos-com-dados-de-inflacao-dos-eua-de-julho-e-fecha-estavel/</v>
      </c>
      <c r="Y734" s="77" t="s">
        <v>7093</v>
      </c>
      <c r="Z734" s="77"/>
      <c r="AA734" s="77"/>
      <c r="AB734" s="77"/>
      <c r="AC734" s="82" t="s">
        <v>8232</v>
      </c>
      <c r="AD734" s="77" t="s">
        <v>8278</v>
      </c>
      <c r="AE734" s="80" t="str">
        <f>HYPERLINK("https://twitter.com/dinheirama/status/1689739453151977473")</f>
        <v>https://twitter.com/dinheirama/status/1689739453151977473</v>
      </c>
      <c r="AF734" s="79">
        <v>45148.864050925928</v>
      </c>
      <c r="AG734" s="85">
        <v>45148</v>
      </c>
      <c r="AH734" s="82" t="s">
        <v>8968</v>
      </c>
      <c r="AI734" s="77" t="b">
        <v>0</v>
      </c>
      <c r="AJ734" s="77"/>
      <c r="AK734" s="77"/>
      <c r="AL734" s="77"/>
      <c r="AM734" s="77"/>
      <c r="AN734" s="77"/>
      <c r="AO734" s="77"/>
      <c r="AP734" s="77"/>
      <c r="AQ734" s="77"/>
      <c r="AR734" s="77"/>
      <c r="AS734" s="77"/>
      <c r="AT734" s="77"/>
      <c r="AU734" s="77"/>
      <c r="AV734" s="80" t="str">
        <f>HYPERLINK("https://pbs.twimg.com/profile_images/1685831655976501248/p4Yj-D92_normal.jpg")</f>
        <v>https://pbs.twimg.com/profile_images/1685831655976501248/p4Yj-D92_normal.jpg</v>
      </c>
      <c r="AW734" s="82" t="s">
        <v>13831</v>
      </c>
      <c r="AX734" s="82" t="s">
        <v>13831</v>
      </c>
      <c r="AY734" s="77"/>
      <c r="AZ734" s="82" t="s">
        <v>17385</v>
      </c>
      <c r="BA734" s="82" t="s">
        <v>17385</v>
      </c>
      <c r="BB734" s="82" t="s">
        <v>17385</v>
      </c>
      <c r="BC734" s="82" t="s">
        <v>13831</v>
      </c>
      <c r="BD734" s="77">
        <v>23408209</v>
      </c>
      <c r="BE734" s="77"/>
      <c r="BF734" s="77"/>
      <c r="BG734" s="77"/>
      <c r="BH734" s="77"/>
      <c r="BI734" s="77"/>
    </row>
    <row r="735" spans="1:61" x14ac:dyDescent="0.25">
      <c r="A735" s="62" t="s">
        <v>388</v>
      </c>
      <c r="B735" s="62" t="s">
        <v>388</v>
      </c>
      <c r="C735" s="63"/>
      <c r="D735" s="64"/>
      <c r="E735" s="65"/>
      <c r="F735" s="66"/>
      <c r="G735" s="63"/>
      <c r="H735" s="67"/>
      <c r="I735" s="68"/>
      <c r="J735" s="68"/>
      <c r="K735" s="32"/>
      <c r="L735" s="75">
        <v>735</v>
      </c>
      <c r="M735" s="75"/>
      <c r="N735" s="70"/>
      <c r="O735" s="77" t="s">
        <v>179</v>
      </c>
      <c r="P735" s="79">
        <v>45148.853692129633</v>
      </c>
      <c r="Q735" s="77" t="s">
        <v>1528</v>
      </c>
      <c r="R735" s="77">
        <v>0</v>
      </c>
      <c r="S735" s="77">
        <v>0</v>
      </c>
      <c r="T735" s="77">
        <v>0</v>
      </c>
      <c r="U735" s="77">
        <v>0</v>
      </c>
      <c r="V735" s="77">
        <v>262</v>
      </c>
      <c r="W735" s="82" t="s">
        <v>5244</v>
      </c>
      <c r="X735" s="80" t="str">
        <f>HYPERLINK("https://dinheirama.com/ibovespa-perde-folego-e-fecha-com-declinio-timido-pressionado-por-vale/")</f>
        <v>https://dinheirama.com/ibovespa-perde-folego-e-fecha-com-declinio-timido-pressionado-por-vale/</v>
      </c>
      <c r="Y735" s="77" t="s">
        <v>7093</v>
      </c>
      <c r="Z735" s="77"/>
      <c r="AA735" s="77"/>
      <c r="AB735" s="77"/>
      <c r="AC735" s="82" t="s">
        <v>8232</v>
      </c>
      <c r="AD735" s="77" t="s">
        <v>8278</v>
      </c>
      <c r="AE735" s="80" t="str">
        <f>HYPERLINK("https://twitter.com/dinheirama/status/1689735700239802368")</f>
        <v>https://twitter.com/dinheirama/status/1689735700239802368</v>
      </c>
      <c r="AF735" s="79">
        <v>45148.853692129633</v>
      </c>
      <c r="AG735" s="85">
        <v>45148</v>
      </c>
      <c r="AH735" s="82" t="s">
        <v>8529</v>
      </c>
      <c r="AI735" s="77" t="b">
        <v>0</v>
      </c>
      <c r="AJ735" s="77"/>
      <c r="AK735" s="77"/>
      <c r="AL735" s="77"/>
      <c r="AM735" s="77"/>
      <c r="AN735" s="77"/>
      <c r="AO735" s="77"/>
      <c r="AP735" s="77"/>
      <c r="AQ735" s="77"/>
      <c r="AR735" s="77"/>
      <c r="AS735" s="77"/>
      <c r="AT735" s="77"/>
      <c r="AU735" s="77"/>
      <c r="AV735" s="80" t="str">
        <f>HYPERLINK("https://pbs.twimg.com/profile_images/1685831655976501248/p4Yj-D92_normal.jpg")</f>
        <v>https://pbs.twimg.com/profile_images/1685831655976501248/p4Yj-D92_normal.jpg</v>
      </c>
      <c r="AW735" s="82" t="s">
        <v>13832</v>
      </c>
      <c r="AX735" s="82" t="s">
        <v>13832</v>
      </c>
      <c r="AY735" s="77"/>
      <c r="AZ735" s="82" t="s">
        <v>17385</v>
      </c>
      <c r="BA735" s="82" t="s">
        <v>17385</v>
      </c>
      <c r="BB735" s="82" t="s">
        <v>17385</v>
      </c>
      <c r="BC735" s="82" t="s">
        <v>13832</v>
      </c>
      <c r="BD735" s="77">
        <v>23408209</v>
      </c>
      <c r="BE735" s="77"/>
      <c r="BF735" s="77"/>
      <c r="BG735" s="77"/>
      <c r="BH735" s="77"/>
      <c r="BI735" s="77"/>
    </row>
    <row r="736" spans="1:61" x14ac:dyDescent="0.25">
      <c r="A736" s="62" t="s">
        <v>389</v>
      </c>
      <c r="B736" s="62" t="s">
        <v>389</v>
      </c>
      <c r="C736" s="63"/>
      <c r="D736" s="64"/>
      <c r="E736" s="65"/>
      <c r="F736" s="66"/>
      <c r="G736" s="63"/>
      <c r="H736" s="67"/>
      <c r="I736" s="68"/>
      <c r="J736" s="68"/>
      <c r="K736" s="32"/>
      <c r="L736" s="75">
        <v>736</v>
      </c>
      <c r="M736" s="75"/>
      <c r="N736" s="70"/>
      <c r="O736" s="77" t="s">
        <v>179</v>
      </c>
      <c r="P736" s="79">
        <v>45135.138495370367</v>
      </c>
      <c r="Q736" s="77" t="s">
        <v>1529</v>
      </c>
      <c r="R736" s="77">
        <v>0</v>
      </c>
      <c r="S736" s="77">
        <v>1</v>
      </c>
      <c r="T736" s="77">
        <v>0</v>
      </c>
      <c r="U736" s="77">
        <v>0</v>
      </c>
      <c r="V736" s="77">
        <v>36</v>
      </c>
      <c r="W736" s="82" t="s">
        <v>5245</v>
      </c>
      <c r="X736" s="80" t="str">
        <f>HYPERLINK("https://www.instagram.com/washingtonamancio/")</f>
        <v>https://www.instagram.com/washingtonamancio/</v>
      </c>
      <c r="Y736" s="77" t="s">
        <v>7055</v>
      </c>
      <c r="Z736" s="77"/>
      <c r="AA736" s="77" t="s">
        <v>7644</v>
      </c>
      <c r="AB736" s="77" t="s">
        <v>8225</v>
      </c>
      <c r="AC736" s="82" t="s">
        <v>8232</v>
      </c>
      <c r="AD736" s="77" t="s">
        <v>8280</v>
      </c>
      <c r="AE736" s="80" t="str">
        <f>HYPERLINK("https://twitter.com/sigler_marcia/status/1684765481041899520")</f>
        <v>https://twitter.com/sigler_marcia/status/1684765481041899520</v>
      </c>
      <c r="AF736" s="79">
        <v>45135.138495370367</v>
      </c>
      <c r="AG736" s="85">
        <v>45135</v>
      </c>
      <c r="AH736" s="82" t="s">
        <v>8969</v>
      </c>
      <c r="AI736" s="77" t="b">
        <v>0</v>
      </c>
      <c r="AJ736" s="77"/>
      <c r="AK736" s="77"/>
      <c r="AL736" s="77"/>
      <c r="AM736" s="77"/>
      <c r="AN736" s="77"/>
      <c r="AO736" s="77"/>
      <c r="AP736" s="77"/>
      <c r="AQ736" s="77" t="s">
        <v>12529</v>
      </c>
      <c r="AR736" s="77"/>
      <c r="AS736" s="77"/>
      <c r="AT736" s="77"/>
      <c r="AU736" s="77"/>
      <c r="AV736" s="80" t="str">
        <f>HYPERLINK("https://pbs.twimg.com/media/F2F7ttBXMAItomF.jpg")</f>
        <v>https://pbs.twimg.com/media/F2F7ttBXMAItomF.jpg</v>
      </c>
      <c r="AW736" s="82" t="s">
        <v>13833</v>
      </c>
      <c r="AX736" s="82" t="s">
        <v>13833</v>
      </c>
      <c r="AY736" s="77"/>
      <c r="AZ736" s="82" t="s">
        <v>17385</v>
      </c>
      <c r="BA736" s="82" t="s">
        <v>17385</v>
      </c>
      <c r="BB736" s="82" t="s">
        <v>17385</v>
      </c>
      <c r="BC736" s="82" t="s">
        <v>13833</v>
      </c>
      <c r="BD736" s="82" t="s">
        <v>17526</v>
      </c>
      <c r="BE736" s="77"/>
      <c r="BF736" s="77"/>
      <c r="BG736" s="77"/>
      <c r="BH736" s="77"/>
      <c r="BI736" s="77"/>
    </row>
    <row r="737" spans="1:61" x14ac:dyDescent="0.25">
      <c r="A737" s="62" t="s">
        <v>390</v>
      </c>
      <c r="B737" s="62" t="s">
        <v>390</v>
      </c>
      <c r="C737" s="63"/>
      <c r="D737" s="64"/>
      <c r="E737" s="65"/>
      <c r="F737" s="66"/>
      <c r="G737" s="63"/>
      <c r="H737" s="67"/>
      <c r="I737" s="68"/>
      <c r="J737" s="68"/>
      <c r="K737" s="32"/>
      <c r="L737" s="75">
        <v>737</v>
      </c>
      <c r="M737" s="75"/>
      <c r="N737" s="70"/>
      <c r="O737" s="77" t="s">
        <v>179</v>
      </c>
      <c r="P737" s="79">
        <v>45145.915277777778</v>
      </c>
      <c r="Q737" s="77" t="s">
        <v>1530</v>
      </c>
      <c r="R737" s="77">
        <v>0</v>
      </c>
      <c r="S737" s="77">
        <v>5</v>
      </c>
      <c r="T737" s="77">
        <v>0</v>
      </c>
      <c r="U737" s="77">
        <v>0</v>
      </c>
      <c r="V737" s="77">
        <v>1569</v>
      </c>
      <c r="W737" s="82" t="s">
        <v>5246</v>
      </c>
      <c r="X737" s="80" t="str">
        <f>HYPERLINK("https://acesse.tc.com.br/e/hIlTx0DZ9yb")</f>
        <v>https://acesse.tc.com.br/e/hIlTx0DZ9yb</v>
      </c>
      <c r="Y737" s="77" t="s">
        <v>7053</v>
      </c>
      <c r="Z737" s="77"/>
      <c r="AA737" s="77" t="s">
        <v>7645</v>
      </c>
      <c r="AB737" s="77" t="s">
        <v>8227</v>
      </c>
      <c r="AC737" s="82" t="s">
        <v>8232</v>
      </c>
      <c r="AD737" s="77" t="s">
        <v>8278</v>
      </c>
      <c r="AE737" s="80" t="str">
        <f>HYPERLINK("https://twitter.com/tcinvestimentos/status/1688670853829935105")</f>
        <v>https://twitter.com/tcinvestimentos/status/1688670853829935105</v>
      </c>
      <c r="AF737" s="79">
        <v>45145.915277777778</v>
      </c>
      <c r="AG737" s="85">
        <v>45145</v>
      </c>
      <c r="AH737" s="82" t="s">
        <v>8970</v>
      </c>
      <c r="AI737" s="77" t="b">
        <v>0</v>
      </c>
      <c r="AJ737" s="77"/>
      <c r="AK737" s="77"/>
      <c r="AL737" s="77"/>
      <c r="AM737" s="77"/>
      <c r="AN737" s="77"/>
      <c r="AO737" s="77"/>
      <c r="AP737" s="77"/>
      <c r="AQ737" s="77" t="s">
        <v>12530</v>
      </c>
      <c r="AR737" s="77">
        <v>59893</v>
      </c>
      <c r="AS737" s="77"/>
      <c r="AT737" s="77"/>
      <c r="AU737" s="77"/>
      <c r="AV737" s="80" t="str">
        <f>HYPERLINK("https://pbs.twimg.com/ext_tw_video_thumb/1688625624133345280/pu/img/813Sx8PnIvoCrlmm.jpg")</f>
        <v>https://pbs.twimg.com/ext_tw_video_thumb/1688625624133345280/pu/img/813Sx8PnIvoCrlmm.jpg</v>
      </c>
      <c r="AW737" s="82" t="s">
        <v>13834</v>
      </c>
      <c r="AX737" s="82" t="s">
        <v>13834</v>
      </c>
      <c r="AY737" s="77"/>
      <c r="AZ737" s="82" t="s">
        <v>17385</v>
      </c>
      <c r="BA737" s="82" t="s">
        <v>17385</v>
      </c>
      <c r="BB737" s="82" t="s">
        <v>17385</v>
      </c>
      <c r="BC737" s="82" t="s">
        <v>13834</v>
      </c>
      <c r="BD737" s="82" t="s">
        <v>17527</v>
      </c>
      <c r="BE737" s="77"/>
      <c r="BF737" s="77"/>
      <c r="BG737" s="77"/>
      <c r="BH737" s="77"/>
      <c r="BI737" s="77"/>
    </row>
    <row r="738" spans="1:61" x14ac:dyDescent="0.25">
      <c r="A738" s="62" t="s">
        <v>390</v>
      </c>
      <c r="B738" s="62" t="s">
        <v>390</v>
      </c>
      <c r="C738" s="63"/>
      <c r="D738" s="64"/>
      <c r="E738" s="65"/>
      <c r="F738" s="66"/>
      <c r="G738" s="63"/>
      <c r="H738" s="67"/>
      <c r="I738" s="68"/>
      <c r="J738" s="68"/>
      <c r="K738" s="32"/>
      <c r="L738" s="75">
        <v>738</v>
      </c>
      <c r="M738" s="75"/>
      <c r="N738" s="70"/>
      <c r="O738" s="77" t="s">
        <v>179</v>
      </c>
      <c r="P738" s="79">
        <v>45162.921527777777</v>
      </c>
      <c r="Q738" s="77" t="s">
        <v>1531</v>
      </c>
      <c r="R738" s="77">
        <v>2</v>
      </c>
      <c r="S738" s="77">
        <v>3</v>
      </c>
      <c r="T738" s="77">
        <v>0</v>
      </c>
      <c r="U738" s="77">
        <v>0</v>
      </c>
      <c r="V738" s="77">
        <v>1614</v>
      </c>
      <c r="W738" s="82" t="s">
        <v>5247</v>
      </c>
      <c r="X738" s="77"/>
      <c r="Y738" s="77"/>
      <c r="Z738" s="77"/>
      <c r="AA738" s="77" t="s">
        <v>7646</v>
      </c>
      <c r="AB738" s="77" t="s">
        <v>8227</v>
      </c>
      <c r="AC738" s="82" t="s">
        <v>8232</v>
      </c>
      <c r="AD738" s="77" t="s">
        <v>8278</v>
      </c>
      <c r="AE738" s="80" t="str">
        <f>HYPERLINK("https://twitter.com/tcinvestimentos/status/1694833712486359425")</f>
        <v>https://twitter.com/tcinvestimentos/status/1694833712486359425</v>
      </c>
      <c r="AF738" s="79">
        <v>45162.921527777777</v>
      </c>
      <c r="AG738" s="85">
        <v>45162</v>
      </c>
      <c r="AH738" s="82" t="s">
        <v>8971</v>
      </c>
      <c r="AI738" s="77" t="b">
        <v>0</v>
      </c>
      <c r="AJ738" s="77"/>
      <c r="AK738" s="77"/>
      <c r="AL738" s="77"/>
      <c r="AM738" s="77"/>
      <c r="AN738" s="77"/>
      <c r="AO738" s="77"/>
      <c r="AP738" s="77"/>
      <c r="AQ738" s="77" t="s">
        <v>12531</v>
      </c>
      <c r="AR738" s="77">
        <v>52619</v>
      </c>
      <c r="AS738" s="77"/>
      <c r="AT738" s="77"/>
      <c r="AU738" s="77"/>
      <c r="AV738" s="80" t="str">
        <f>HYPERLINK("https://pbs.twimg.com/ext_tw_video_thumb/1691209904353062913/pu/img/-C4KMqAUvNy_ApqJ.jpg")</f>
        <v>https://pbs.twimg.com/ext_tw_video_thumb/1691209904353062913/pu/img/-C4KMqAUvNy_ApqJ.jpg</v>
      </c>
      <c r="AW738" s="82" t="s">
        <v>13835</v>
      </c>
      <c r="AX738" s="82" t="s">
        <v>13835</v>
      </c>
      <c r="AY738" s="77"/>
      <c r="AZ738" s="82" t="s">
        <v>17385</v>
      </c>
      <c r="BA738" s="82" t="s">
        <v>17385</v>
      </c>
      <c r="BB738" s="82" t="s">
        <v>17385</v>
      </c>
      <c r="BC738" s="82" t="s">
        <v>13835</v>
      </c>
      <c r="BD738" s="82" t="s">
        <v>17527</v>
      </c>
      <c r="BE738" s="77"/>
      <c r="BF738" s="77"/>
      <c r="BG738" s="77"/>
      <c r="BH738" s="77"/>
      <c r="BI738" s="77"/>
    </row>
    <row r="739" spans="1:61" x14ac:dyDescent="0.25">
      <c r="A739" s="62" t="s">
        <v>390</v>
      </c>
      <c r="B739" s="62" t="s">
        <v>390</v>
      </c>
      <c r="C739" s="63"/>
      <c r="D739" s="64"/>
      <c r="E739" s="65"/>
      <c r="F739" s="66"/>
      <c r="G739" s="63"/>
      <c r="H739" s="67"/>
      <c r="I739" s="68"/>
      <c r="J739" s="68"/>
      <c r="K739" s="32"/>
      <c r="L739" s="75">
        <v>739</v>
      </c>
      <c r="M739" s="75"/>
      <c r="N739" s="70"/>
      <c r="O739" s="77" t="s">
        <v>179</v>
      </c>
      <c r="P739" s="79">
        <v>45190.972222222219</v>
      </c>
      <c r="Q739" s="77" t="s">
        <v>1532</v>
      </c>
      <c r="R739" s="77">
        <v>1</v>
      </c>
      <c r="S739" s="77">
        <v>8</v>
      </c>
      <c r="T739" s="77">
        <v>0</v>
      </c>
      <c r="U739" s="77">
        <v>0</v>
      </c>
      <c r="V739" s="77">
        <v>2050</v>
      </c>
      <c r="W739" s="82" t="s">
        <v>5248</v>
      </c>
      <c r="X739" s="77"/>
      <c r="Y739" s="77"/>
      <c r="Z739" s="77"/>
      <c r="AA739" s="77" t="s">
        <v>7647</v>
      </c>
      <c r="AB739" s="77" t="s">
        <v>8227</v>
      </c>
      <c r="AC739" s="82" t="s">
        <v>8232</v>
      </c>
      <c r="AD739" s="77" t="s">
        <v>8278</v>
      </c>
      <c r="AE739" s="80" t="str">
        <f>HYPERLINK("https://twitter.com/tcinvestimentos/status/1704998943929635015")</f>
        <v>https://twitter.com/tcinvestimentos/status/1704998943929635015</v>
      </c>
      <c r="AF739" s="79">
        <v>45190.972222222219</v>
      </c>
      <c r="AG739" s="85">
        <v>45190</v>
      </c>
      <c r="AH739" s="82" t="s">
        <v>8972</v>
      </c>
      <c r="AI739" s="77" t="b">
        <v>0</v>
      </c>
      <c r="AJ739" s="77"/>
      <c r="AK739" s="77"/>
      <c r="AL739" s="77"/>
      <c r="AM739" s="77"/>
      <c r="AN739" s="77"/>
      <c r="AO739" s="77"/>
      <c r="AP739" s="77"/>
      <c r="AQ739" s="77" t="s">
        <v>12532</v>
      </c>
      <c r="AR739" s="77">
        <v>58024</v>
      </c>
      <c r="AS739" s="77"/>
      <c r="AT739" s="77"/>
      <c r="AU739" s="77"/>
      <c r="AV739" s="80" t="str">
        <f>HYPERLINK("https://pbs.twimg.com/ext_tw_video_thumb/1704154225125494784/pu/img/v-QK8KQehbWTa6nQ.jpg")</f>
        <v>https://pbs.twimg.com/ext_tw_video_thumb/1704154225125494784/pu/img/v-QK8KQehbWTa6nQ.jpg</v>
      </c>
      <c r="AW739" s="82" t="s">
        <v>13836</v>
      </c>
      <c r="AX739" s="82" t="s">
        <v>13836</v>
      </c>
      <c r="AY739" s="77"/>
      <c r="AZ739" s="82" t="s">
        <v>17385</v>
      </c>
      <c r="BA739" s="82" t="s">
        <v>17385</v>
      </c>
      <c r="BB739" s="82" t="s">
        <v>17385</v>
      </c>
      <c r="BC739" s="82" t="s">
        <v>13836</v>
      </c>
      <c r="BD739" s="82" t="s">
        <v>17527</v>
      </c>
      <c r="BE739" s="77"/>
      <c r="BF739" s="77"/>
      <c r="BG739" s="77"/>
      <c r="BH739" s="77"/>
      <c r="BI739" s="77"/>
    </row>
    <row r="740" spans="1:61" x14ac:dyDescent="0.25">
      <c r="A740" s="62" t="s">
        <v>391</v>
      </c>
      <c r="B740" s="62" t="s">
        <v>390</v>
      </c>
      <c r="C740" s="63"/>
      <c r="D740" s="64"/>
      <c r="E740" s="65"/>
      <c r="F740" s="66"/>
      <c r="G740" s="63"/>
      <c r="H740" s="67"/>
      <c r="I740" s="68"/>
      <c r="J740" s="68"/>
      <c r="K740" s="32"/>
      <c r="L740" s="75">
        <v>740</v>
      </c>
      <c r="M740" s="75"/>
      <c r="N740" s="70"/>
      <c r="O740" s="77" t="s">
        <v>803</v>
      </c>
      <c r="P740" s="79">
        <v>45190.973530092589</v>
      </c>
      <c r="Q740" s="77" t="s">
        <v>1533</v>
      </c>
      <c r="R740" s="77">
        <v>1</v>
      </c>
      <c r="S740" s="77">
        <v>0</v>
      </c>
      <c r="T740" s="77">
        <v>0</v>
      </c>
      <c r="U740" s="77">
        <v>0</v>
      </c>
      <c r="V740" s="77"/>
      <c r="W740" s="82" t="s">
        <v>5248</v>
      </c>
      <c r="X740" s="77"/>
      <c r="Y740" s="77"/>
      <c r="Z740" s="77" t="s">
        <v>390</v>
      </c>
      <c r="AA740" s="77"/>
      <c r="AB740" s="77"/>
      <c r="AC740" s="82" t="s">
        <v>8233</v>
      </c>
      <c r="AD740" s="77" t="s">
        <v>8278</v>
      </c>
      <c r="AE740" s="80" t="str">
        <f>HYPERLINK("https://twitter.com/j_ramacciotti/status/1704999417684611400")</f>
        <v>https://twitter.com/j_ramacciotti/status/1704999417684611400</v>
      </c>
      <c r="AF740" s="79">
        <v>45190.973530092589</v>
      </c>
      <c r="AG740" s="85">
        <v>45190</v>
      </c>
      <c r="AH740" s="82" t="s">
        <v>8973</v>
      </c>
      <c r="AI740" s="77"/>
      <c r="AJ740" s="77"/>
      <c r="AK740" s="77"/>
      <c r="AL740" s="77"/>
      <c r="AM740" s="77"/>
      <c r="AN740" s="77"/>
      <c r="AO740" s="77"/>
      <c r="AP740" s="77"/>
      <c r="AQ740" s="77"/>
      <c r="AR740" s="77"/>
      <c r="AS740" s="77"/>
      <c r="AT740" s="77"/>
      <c r="AU740" s="77"/>
      <c r="AV740" s="80" t="str">
        <f>HYPERLINK("https://pbs.twimg.com/profile_images/1604805849679118336/stRYelj2_normal.jpg")</f>
        <v>https://pbs.twimg.com/profile_images/1604805849679118336/stRYelj2_normal.jpg</v>
      </c>
      <c r="AW740" s="82" t="s">
        <v>13837</v>
      </c>
      <c r="AX740" s="82" t="s">
        <v>13837</v>
      </c>
      <c r="AY740" s="77"/>
      <c r="AZ740" s="82" t="s">
        <v>17385</v>
      </c>
      <c r="BA740" s="82" t="s">
        <v>17385</v>
      </c>
      <c r="BB740" s="82" t="s">
        <v>13836</v>
      </c>
      <c r="BC740" s="82" t="s">
        <v>13836</v>
      </c>
      <c r="BD740" s="77">
        <v>142850730</v>
      </c>
      <c r="BE740" s="77"/>
      <c r="BF740" s="77"/>
      <c r="BG740" s="77"/>
      <c r="BH740" s="77"/>
      <c r="BI740" s="77"/>
    </row>
    <row r="741" spans="1:61" x14ac:dyDescent="0.25">
      <c r="A741" s="62" t="s">
        <v>392</v>
      </c>
      <c r="B741" s="62" t="s">
        <v>392</v>
      </c>
      <c r="C741" s="63"/>
      <c r="D741" s="64"/>
      <c r="E741" s="65"/>
      <c r="F741" s="66"/>
      <c r="G741" s="63"/>
      <c r="H741" s="67"/>
      <c r="I741" s="68"/>
      <c r="J741" s="68"/>
      <c r="K741" s="32"/>
      <c r="L741" s="75">
        <v>741</v>
      </c>
      <c r="M741" s="75"/>
      <c r="N741" s="70"/>
      <c r="O741" s="77" t="s">
        <v>800</v>
      </c>
      <c r="P741" s="79">
        <v>45089.587824074071</v>
      </c>
      <c r="Q741" s="77" t="s">
        <v>1534</v>
      </c>
      <c r="R741" s="77">
        <v>0</v>
      </c>
      <c r="S741" s="77">
        <v>1</v>
      </c>
      <c r="T741" s="77">
        <v>1</v>
      </c>
      <c r="U741" s="77">
        <v>0</v>
      </c>
      <c r="V741" s="77">
        <v>44</v>
      </c>
      <c r="W741" s="82" t="s">
        <v>5249</v>
      </c>
      <c r="X741" s="77"/>
      <c r="Y741" s="77"/>
      <c r="Z741" s="77"/>
      <c r="AA741" s="77"/>
      <c r="AB741" s="77"/>
      <c r="AC741" s="82" t="s">
        <v>8232</v>
      </c>
      <c r="AD741" s="77" t="s">
        <v>8278</v>
      </c>
      <c r="AE741" s="80" t="str">
        <f>HYPERLINK("https://twitter.com/caio_c_antonio/status/1668258470510952449")</f>
        <v>https://twitter.com/caio_c_antonio/status/1668258470510952449</v>
      </c>
      <c r="AF741" s="79">
        <v>45089.587824074071</v>
      </c>
      <c r="AG741" s="85">
        <v>45089</v>
      </c>
      <c r="AH741" s="82" t="s">
        <v>8974</v>
      </c>
      <c r="AI741" s="77"/>
      <c r="AJ741" s="77"/>
      <c r="AK741" s="77"/>
      <c r="AL741" s="77"/>
      <c r="AM741" s="77"/>
      <c r="AN741" s="77"/>
      <c r="AO741" s="77"/>
      <c r="AP741" s="77"/>
      <c r="AQ741" s="77"/>
      <c r="AR741" s="77"/>
      <c r="AS741" s="77"/>
      <c r="AT741" s="77"/>
      <c r="AU741" s="77"/>
      <c r="AV741" s="80" t="str">
        <f>HYPERLINK("https://pbs.twimg.com/profile_images/1599416664562569217/DER6Jp_e_normal.jpg")</f>
        <v>https://pbs.twimg.com/profile_images/1599416664562569217/DER6Jp_e_normal.jpg</v>
      </c>
      <c r="AW741" s="82" t="s">
        <v>13838</v>
      </c>
      <c r="AX741" s="82" t="s">
        <v>17170</v>
      </c>
      <c r="AY741" s="82" t="s">
        <v>17344</v>
      </c>
      <c r="AZ741" s="82" t="s">
        <v>17405</v>
      </c>
      <c r="BA741" s="82" t="s">
        <v>17385</v>
      </c>
      <c r="BB741" s="82" t="s">
        <v>17385</v>
      </c>
      <c r="BC741" s="82" t="s">
        <v>17405</v>
      </c>
      <c r="BD741" s="82" t="s">
        <v>17344</v>
      </c>
      <c r="BE741" s="77"/>
      <c r="BF741" s="77"/>
      <c r="BG741" s="77"/>
      <c r="BH741" s="77"/>
      <c r="BI741" s="77"/>
    </row>
    <row r="742" spans="1:61" x14ac:dyDescent="0.25">
      <c r="A742" s="62" t="s">
        <v>393</v>
      </c>
      <c r="B742" s="62" t="s">
        <v>756</v>
      </c>
      <c r="C742" s="63"/>
      <c r="D742" s="64"/>
      <c r="E742" s="65"/>
      <c r="F742" s="66"/>
      <c r="G742" s="63"/>
      <c r="H742" s="67"/>
      <c r="I742" s="68"/>
      <c r="J742" s="68"/>
      <c r="K742" s="32"/>
      <c r="L742" s="75">
        <v>742</v>
      </c>
      <c r="M742" s="75"/>
      <c r="N742" s="70"/>
      <c r="O742" s="77" t="s">
        <v>802</v>
      </c>
      <c r="P742" s="79">
        <v>45084.9372337963</v>
      </c>
      <c r="Q742" s="77" t="s">
        <v>1535</v>
      </c>
      <c r="R742" s="77">
        <v>0</v>
      </c>
      <c r="S742" s="77">
        <v>0</v>
      </c>
      <c r="T742" s="77">
        <v>0</v>
      </c>
      <c r="U742" s="77">
        <v>0</v>
      </c>
      <c r="V742" s="77">
        <v>24</v>
      </c>
      <c r="W742" s="82" t="s">
        <v>5250</v>
      </c>
      <c r="X742" s="77"/>
      <c r="Y742" s="77"/>
      <c r="Z742" s="77" t="s">
        <v>7159</v>
      </c>
      <c r="AA742" s="77" t="s">
        <v>7648</v>
      </c>
      <c r="AB742" s="77" t="s">
        <v>8225</v>
      </c>
      <c r="AC742" s="82" t="s">
        <v>8232</v>
      </c>
      <c r="AD742" s="77" t="s">
        <v>8285</v>
      </c>
      <c r="AE742" s="80" t="str">
        <f>HYPERLINK("https://twitter.com/francisinvicto/status/1666573153227636736")</f>
        <v>https://twitter.com/francisinvicto/status/1666573153227636736</v>
      </c>
      <c r="AF742" s="79">
        <v>45084.9372337963</v>
      </c>
      <c r="AG742" s="85">
        <v>45084</v>
      </c>
      <c r="AH742" s="82" t="s">
        <v>8975</v>
      </c>
      <c r="AI742" s="77" t="b">
        <v>0</v>
      </c>
      <c r="AJ742" s="77"/>
      <c r="AK742" s="77"/>
      <c r="AL742" s="77"/>
      <c r="AM742" s="77"/>
      <c r="AN742" s="77"/>
      <c r="AO742" s="77"/>
      <c r="AP742" s="77"/>
      <c r="AQ742" s="77" t="s">
        <v>12533</v>
      </c>
      <c r="AR742" s="77"/>
      <c r="AS742" s="77"/>
      <c r="AT742" s="77"/>
      <c r="AU742" s="77"/>
      <c r="AV742" s="80" t="str">
        <f>HYPERLINK("https://pbs.twimg.com/media/FyDat4OXgAE_rkg.jpg")</f>
        <v>https://pbs.twimg.com/media/FyDat4OXgAE_rkg.jpg</v>
      </c>
      <c r="AW742" s="82" t="s">
        <v>13839</v>
      </c>
      <c r="AX742" s="82" t="s">
        <v>13839</v>
      </c>
      <c r="AY742" s="77"/>
      <c r="AZ742" s="82" t="s">
        <v>17385</v>
      </c>
      <c r="BA742" s="82" t="s">
        <v>17385</v>
      </c>
      <c r="BB742" s="82" t="s">
        <v>17385</v>
      </c>
      <c r="BC742" s="82" t="s">
        <v>13839</v>
      </c>
      <c r="BD742" s="82" t="s">
        <v>17528</v>
      </c>
      <c r="BE742" s="77"/>
      <c r="BF742" s="77"/>
      <c r="BG742" s="77"/>
      <c r="BH742" s="77"/>
      <c r="BI742" s="77"/>
    </row>
    <row r="743" spans="1:61" x14ac:dyDescent="0.25">
      <c r="A743" s="62" t="s">
        <v>393</v>
      </c>
      <c r="B743" s="62" t="s">
        <v>757</v>
      </c>
      <c r="C743" s="63"/>
      <c r="D743" s="64"/>
      <c r="E743" s="65"/>
      <c r="F743" s="66"/>
      <c r="G743" s="63"/>
      <c r="H743" s="67"/>
      <c r="I743" s="68"/>
      <c r="J743" s="68"/>
      <c r="K743" s="32"/>
      <c r="L743" s="75">
        <v>743</v>
      </c>
      <c r="M743" s="75"/>
      <c r="N743" s="70"/>
      <c r="O743" s="77" t="s">
        <v>802</v>
      </c>
      <c r="P743" s="79">
        <v>45084.9372337963</v>
      </c>
      <c r="Q743" s="77" t="s">
        <v>1535</v>
      </c>
      <c r="R743" s="77">
        <v>0</v>
      </c>
      <c r="S743" s="77">
        <v>0</v>
      </c>
      <c r="T743" s="77">
        <v>0</v>
      </c>
      <c r="U743" s="77">
        <v>0</v>
      </c>
      <c r="V743" s="77">
        <v>24</v>
      </c>
      <c r="W743" s="82" t="s">
        <v>5250</v>
      </c>
      <c r="X743" s="77"/>
      <c r="Y743" s="77"/>
      <c r="Z743" s="77" t="s">
        <v>7159</v>
      </c>
      <c r="AA743" s="77" t="s">
        <v>7648</v>
      </c>
      <c r="AB743" s="77" t="s">
        <v>8225</v>
      </c>
      <c r="AC743" s="82" t="s">
        <v>8232</v>
      </c>
      <c r="AD743" s="77" t="s">
        <v>8285</v>
      </c>
      <c r="AE743" s="80" t="str">
        <f>HYPERLINK("https://twitter.com/francisinvicto/status/1666573153227636736")</f>
        <v>https://twitter.com/francisinvicto/status/1666573153227636736</v>
      </c>
      <c r="AF743" s="79">
        <v>45084.9372337963</v>
      </c>
      <c r="AG743" s="85">
        <v>45084</v>
      </c>
      <c r="AH743" s="82" t="s">
        <v>8975</v>
      </c>
      <c r="AI743" s="77" t="b">
        <v>0</v>
      </c>
      <c r="AJ743" s="77"/>
      <c r="AK743" s="77"/>
      <c r="AL743" s="77"/>
      <c r="AM743" s="77"/>
      <c r="AN743" s="77"/>
      <c r="AO743" s="77"/>
      <c r="AP743" s="77"/>
      <c r="AQ743" s="77" t="s">
        <v>12533</v>
      </c>
      <c r="AR743" s="77"/>
      <c r="AS743" s="77"/>
      <c r="AT743" s="77"/>
      <c r="AU743" s="77"/>
      <c r="AV743" s="80" t="str">
        <f>HYPERLINK("https://pbs.twimg.com/media/FyDat4OXgAE_rkg.jpg")</f>
        <v>https://pbs.twimg.com/media/FyDat4OXgAE_rkg.jpg</v>
      </c>
      <c r="AW743" s="82" t="s">
        <v>13839</v>
      </c>
      <c r="AX743" s="82" t="s">
        <v>13839</v>
      </c>
      <c r="AY743" s="77"/>
      <c r="AZ743" s="82" t="s">
        <v>17385</v>
      </c>
      <c r="BA743" s="82" t="s">
        <v>17385</v>
      </c>
      <c r="BB743" s="82" t="s">
        <v>17385</v>
      </c>
      <c r="BC743" s="82" t="s">
        <v>13839</v>
      </c>
      <c r="BD743" s="82" t="s">
        <v>17528</v>
      </c>
      <c r="BE743" s="77"/>
      <c r="BF743" s="77"/>
      <c r="BG743" s="77"/>
      <c r="BH743" s="77"/>
      <c r="BI743" s="77"/>
    </row>
    <row r="744" spans="1:61" x14ac:dyDescent="0.25">
      <c r="A744" s="62" t="s">
        <v>394</v>
      </c>
      <c r="B744" s="62" t="s">
        <v>394</v>
      </c>
      <c r="C744" s="63"/>
      <c r="D744" s="64"/>
      <c r="E744" s="65"/>
      <c r="F744" s="66"/>
      <c r="G744" s="63"/>
      <c r="H744" s="67"/>
      <c r="I744" s="68"/>
      <c r="J744" s="68"/>
      <c r="K744" s="32"/>
      <c r="L744" s="75">
        <v>744</v>
      </c>
      <c r="M744" s="75"/>
      <c r="N744" s="70"/>
      <c r="O744" s="77" t="s">
        <v>179</v>
      </c>
      <c r="P744" s="79">
        <v>45077.896886574075</v>
      </c>
      <c r="Q744" s="77" t="s">
        <v>1536</v>
      </c>
      <c r="R744" s="77">
        <v>0</v>
      </c>
      <c r="S744" s="77">
        <v>0</v>
      </c>
      <c r="T744" s="77">
        <v>0</v>
      </c>
      <c r="U744" s="77">
        <v>0</v>
      </c>
      <c r="V744" s="77">
        <v>32</v>
      </c>
      <c r="W744" s="82" t="s">
        <v>5251</v>
      </c>
      <c r="X744" s="77"/>
      <c r="Y744" s="77"/>
      <c r="Z744" s="77"/>
      <c r="AA744" s="77" t="s">
        <v>7649</v>
      </c>
      <c r="AB744" s="77" t="s">
        <v>8225</v>
      </c>
      <c r="AC744" s="82" t="s">
        <v>8234</v>
      </c>
      <c r="AD744" s="77" t="s">
        <v>8278</v>
      </c>
      <c r="AE744" s="80" t="str">
        <f>HYPERLINK("https://twitter.com/thiagobudni/status/1664021814861856769")</f>
        <v>https://twitter.com/thiagobudni/status/1664021814861856769</v>
      </c>
      <c r="AF744" s="79">
        <v>45077.896886574075</v>
      </c>
      <c r="AG744" s="85">
        <v>45077</v>
      </c>
      <c r="AH744" s="82" t="s">
        <v>8976</v>
      </c>
      <c r="AI744" s="77" t="b">
        <v>0</v>
      </c>
      <c r="AJ744" s="77" t="s">
        <v>12001</v>
      </c>
      <c r="AK744" s="77" t="s">
        <v>12007</v>
      </c>
      <c r="AL744" s="77" t="s">
        <v>12010</v>
      </c>
      <c r="AM744" s="77" t="s">
        <v>12020</v>
      </c>
      <c r="AN744" s="77" t="s">
        <v>12033</v>
      </c>
      <c r="AO744" s="77" t="s">
        <v>12046</v>
      </c>
      <c r="AP744" s="77" t="s">
        <v>12051</v>
      </c>
      <c r="AQ744" s="77" t="s">
        <v>12534</v>
      </c>
      <c r="AR744" s="77"/>
      <c r="AS744" s="77"/>
      <c r="AT744" s="77"/>
      <c r="AU744" s="77"/>
      <c r="AV744" s="80" t="str">
        <f>HYPERLINK("https://pbs.twimg.com/media/FxfLA7hWIAAkV9p.jpg")</f>
        <v>https://pbs.twimg.com/media/FxfLA7hWIAAkV9p.jpg</v>
      </c>
      <c r="AW744" s="82" t="s">
        <v>13840</v>
      </c>
      <c r="AX744" s="82" t="s">
        <v>13840</v>
      </c>
      <c r="AY744" s="77"/>
      <c r="AZ744" s="82" t="s">
        <v>17385</v>
      </c>
      <c r="BA744" s="82" t="s">
        <v>17385</v>
      </c>
      <c r="BB744" s="82" t="s">
        <v>17385</v>
      </c>
      <c r="BC744" s="82" t="s">
        <v>13840</v>
      </c>
      <c r="BD744" s="77">
        <v>57981116</v>
      </c>
      <c r="BE744" s="77"/>
      <c r="BF744" s="77"/>
      <c r="BG744" s="77"/>
      <c r="BH744" s="77"/>
      <c r="BI744" s="77"/>
    </row>
    <row r="745" spans="1:61" x14ac:dyDescent="0.25">
      <c r="A745" s="62" t="s">
        <v>395</v>
      </c>
      <c r="B745" s="62" t="s">
        <v>395</v>
      </c>
      <c r="C745" s="63"/>
      <c r="D745" s="64"/>
      <c r="E745" s="65"/>
      <c r="F745" s="66"/>
      <c r="G745" s="63"/>
      <c r="H745" s="67"/>
      <c r="I745" s="68"/>
      <c r="J745" s="68"/>
      <c r="K745" s="32"/>
      <c r="L745" s="75">
        <v>745</v>
      </c>
      <c r="M745" s="75"/>
      <c r="N745" s="70"/>
      <c r="O745" s="77" t="s">
        <v>179</v>
      </c>
      <c r="P745" s="79">
        <v>45072.979305555556</v>
      </c>
      <c r="Q745" s="77" t="s">
        <v>1537</v>
      </c>
      <c r="R745" s="77">
        <v>0</v>
      </c>
      <c r="S745" s="77">
        <v>0</v>
      </c>
      <c r="T745" s="77">
        <v>0</v>
      </c>
      <c r="U745" s="77">
        <v>0</v>
      </c>
      <c r="V745" s="77">
        <v>199</v>
      </c>
      <c r="W745" s="82" t="s">
        <v>5252</v>
      </c>
      <c r="X745" s="80" t="str">
        <f>HYPERLINK("https://www.falkcapital.com.br/mercado/acoes?utm_source=twitter&amp;utm_medium=falkalertas&amp;utm_campaign=fechamentodemercado")</f>
        <v>https://www.falkcapital.com.br/mercado/acoes?utm_source=twitter&amp;utm_medium=falkalertas&amp;utm_campaign=fechamentodemercado</v>
      </c>
      <c r="Y745" s="77" t="s">
        <v>7053</v>
      </c>
      <c r="Z745" s="77"/>
      <c r="AA745" s="77"/>
      <c r="AB745" s="77"/>
      <c r="AC745" s="82" t="s">
        <v>8257</v>
      </c>
      <c r="AD745" s="77" t="s">
        <v>8278</v>
      </c>
      <c r="AE745" s="80" t="str">
        <f>HYPERLINK("https://twitter.com/falkalertas/status/1662239744003039236")</f>
        <v>https://twitter.com/falkalertas/status/1662239744003039236</v>
      </c>
      <c r="AF745" s="79">
        <v>45072.979305555556</v>
      </c>
      <c r="AG745" s="85">
        <v>45072</v>
      </c>
      <c r="AH745" s="82" t="s">
        <v>8977</v>
      </c>
      <c r="AI745" s="77" t="b">
        <v>0</v>
      </c>
      <c r="AJ745" s="77"/>
      <c r="AK745" s="77"/>
      <c r="AL745" s="77"/>
      <c r="AM745" s="77"/>
      <c r="AN745" s="77"/>
      <c r="AO745" s="77"/>
      <c r="AP745" s="77"/>
      <c r="AQ745" s="77"/>
      <c r="AR745" s="77"/>
      <c r="AS745" s="77"/>
      <c r="AT745" s="77"/>
      <c r="AU745" s="77"/>
      <c r="AV745" s="80" t="str">
        <f>HYPERLINK("https://pbs.twimg.com/profile_images/1619161712967434240/ISM2hv8y_normal.png")</f>
        <v>https://pbs.twimg.com/profile_images/1619161712967434240/ISM2hv8y_normal.png</v>
      </c>
      <c r="AW745" s="82" t="s">
        <v>13841</v>
      </c>
      <c r="AX745" s="82" t="s">
        <v>13841</v>
      </c>
      <c r="AY745" s="77"/>
      <c r="AZ745" s="82" t="s">
        <v>17385</v>
      </c>
      <c r="BA745" s="82" t="s">
        <v>17385</v>
      </c>
      <c r="BB745" s="82" t="s">
        <v>17385</v>
      </c>
      <c r="BC745" s="82" t="s">
        <v>13841</v>
      </c>
      <c r="BD745" s="82" t="s">
        <v>17529</v>
      </c>
      <c r="BE745" s="77"/>
      <c r="BF745" s="77"/>
      <c r="BG745" s="77"/>
      <c r="BH745" s="77"/>
      <c r="BI745" s="77"/>
    </row>
    <row r="746" spans="1:61" x14ac:dyDescent="0.25">
      <c r="A746" s="62" t="s">
        <v>395</v>
      </c>
      <c r="B746" s="62" t="s">
        <v>395</v>
      </c>
      <c r="C746" s="63"/>
      <c r="D746" s="64"/>
      <c r="E746" s="65"/>
      <c r="F746" s="66"/>
      <c r="G746" s="63"/>
      <c r="H746" s="67"/>
      <c r="I746" s="68"/>
      <c r="J746" s="68"/>
      <c r="K746" s="32"/>
      <c r="L746" s="75">
        <v>746</v>
      </c>
      <c r="M746" s="75"/>
      <c r="N746" s="70"/>
      <c r="O746" s="77" t="s">
        <v>179</v>
      </c>
      <c r="P746" s="79">
        <v>45072.979305555556</v>
      </c>
      <c r="Q746" s="77" t="s">
        <v>1538</v>
      </c>
      <c r="R746" s="77">
        <v>0</v>
      </c>
      <c r="S746" s="77">
        <v>0</v>
      </c>
      <c r="T746" s="77">
        <v>0</v>
      </c>
      <c r="U746" s="77">
        <v>0</v>
      </c>
      <c r="V746" s="77">
        <v>100</v>
      </c>
      <c r="W746" s="82" t="s">
        <v>5253</v>
      </c>
      <c r="X746" s="80" t="str">
        <f>HYPERLINK("https://www.falkcapital.com.br/mercado/acoes?utm_source=twitter&amp;utm_medium=falkalertas&amp;utm_campaign=fechamentodemercado")</f>
        <v>https://www.falkcapital.com.br/mercado/acoes?utm_source=twitter&amp;utm_medium=falkalertas&amp;utm_campaign=fechamentodemercado</v>
      </c>
      <c r="Y746" s="77" t="s">
        <v>7053</v>
      </c>
      <c r="Z746" s="77"/>
      <c r="AA746" s="77"/>
      <c r="AB746" s="77"/>
      <c r="AC746" s="82" t="s">
        <v>8257</v>
      </c>
      <c r="AD746" s="77" t="s">
        <v>8278</v>
      </c>
      <c r="AE746" s="80" t="str">
        <f>HYPERLINK("https://twitter.com/falkalertas/status/1662239742983827456")</f>
        <v>https://twitter.com/falkalertas/status/1662239742983827456</v>
      </c>
      <c r="AF746" s="79">
        <v>45072.979305555556</v>
      </c>
      <c r="AG746" s="85">
        <v>45072</v>
      </c>
      <c r="AH746" s="82" t="s">
        <v>8977</v>
      </c>
      <c r="AI746" s="77" t="b">
        <v>0</v>
      </c>
      <c r="AJ746" s="77"/>
      <c r="AK746" s="77"/>
      <c r="AL746" s="77"/>
      <c r="AM746" s="77"/>
      <c r="AN746" s="77"/>
      <c r="AO746" s="77"/>
      <c r="AP746" s="77"/>
      <c r="AQ746" s="77"/>
      <c r="AR746" s="77"/>
      <c r="AS746" s="77"/>
      <c r="AT746" s="77"/>
      <c r="AU746" s="77"/>
      <c r="AV746" s="80" t="str">
        <f>HYPERLINK("https://pbs.twimg.com/profile_images/1619161712967434240/ISM2hv8y_normal.png")</f>
        <v>https://pbs.twimg.com/profile_images/1619161712967434240/ISM2hv8y_normal.png</v>
      </c>
      <c r="AW746" s="82" t="s">
        <v>13842</v>
      </c>
      <c r="AX746" s="82" t="s">
        <v>13842</v>
      </c>
      <c r="AY746" s="77"/>
      <c r="AZ746" s="82" t="s">
        <v>17385</v>
      </c>
      <c r="BA746" s="82" t="s">
        <v>17385</v>
      </c>
      <c r="BB746" s="82" t="s">
        <v>17385</v>
      </c>
      <c r="BC746" s="82" t="s">
        <v>13842</v>
      </c>
      <c r="BD746" s="82" t="s">
        <v>17529</v>
      </c>
      <c r="BE746" s="77"/>
      <c r="BF746" s="77"/>
      <c r="BG746" s="77"/>
      <c r="BH746" s="77"/>
      <c r="BI746" s="77"/>
    </row>
    <row r="747" spans="1:61" x14ac:dyDescent="0.25">
      <c r="A747" s="62" t="s">
        <v>395</v>
      </c>
      <c r="B747" s="62" t="s">
        <v>395</v>
      </c>
      <c r="C747" s="63"/>
      <c r="D747" s="64"/>
      <c r="E747" s="65"/>
      <c r="F747" s="66"/>
      <c r="G747" s="63"/>
      <c r="H747" s="67"/>
      <c r="I747" s="68"/>
      <c r="J747" s="68"/>
      <c r="K747" s="32"/>
      <c r="L747" s="75">
        <v>747</v>
      </c>
      <c r="M747" s="75"/>
      <c r="N747" s="70"/>
      <c r="O747" s="77" t="s">
        <v>179</v>
      </c>
      <c r="P747" s="79">
        <v>45061.979386574072</v>
      </c>
      <c r="Q747" s="77" t="s">
        <v>1539</v>
      </c>
      <c r="R747" s="77">
        <v>0</v>
      </c>
      <c r="S747" s="77">
        <v>0</v>
      </c>
      <c r="T747" s="77">
        <v>0</v>
      </c>
      <c r="U747" s="77">
        <v>0</v>
      </c>
      <c r="V747" s="77">
        <v>162</v>
      </c>
      <c r="W747" s="82" t="s">
        <v>5254</v>
      </c>
      <c r="X747" s="80" t="str">
        <f>HYPERLINK("https://www.falkcapital.com.br/mercado/acoes?utm_source=twitter&amp;utm_medium=falkalertas&amp;utm_campaign=fechamentodemercado")</f>
        <v>https://www.falkcapital.com.br/mercado/acoes?utm_source=twitter&amp;utm_medium=falkalertas&amp;utm_campaign=fechamentodemercado</v>
      </c>
      <c r="Y747" s="77" t="s">
        <v>7053</v>
      </c>
      <c r="Z747" s="77"/>
      <c r="AA747" s="77"/>
      <c r="AB747" s="77"/>
      <c r="AC747" s="82" t="s">
        <v>8257</v>
      </c>
      <c r="AD747" s="77" t="s">
        <v>8278</v>
      </c>
      <c r="AE747" s="80" t="str">
        <f>HYPERLINK("https://twitter.com/falkalertas/status/1658253504933244928")</f>
        <v>https://twitter.com/falkalertas/status/1658253504933244928</v>
      </c>
      <c r="AF747" s="79">
        <v>45061.979386574072</v>
      </c>
      <c r="AG747" s="85">
        <v>45061</v>
      </c>
      <c r="AH747" s="82" t="s">
        <v>8978</v>
      </c>
      <c r="AI747" s="77" t="b">
        <v>0</v>
      </c>
      <c r="AJ747" s="77"/>
      <c r="AK747" s="77"/>
      <c r="AL747" s="77"/>
      <c r="AM747" s="77"/>
      <c r="AN747" s="77"/>
      <c r="AO747" s="77"/>
      <c r="AP747" s="77"/>
      <c r="AQ747" s="77"/>
      <c r="AR747" s="77"/>
      <c r="AS747" s="77"/>
      <c r="AT747" s="77"/>
      <c r="AU747" s="77"/>
      <c r="AV747" s="80" t="str">
        <f>HYPERLINK("https://pbs.twimg.com/profile_images/1619161712967434240/ISM2hv8y_normal.png")</f>
        <v>https://pbs.twimg.com/profile_images/1619161712967434240/ISM2hv8y_normal.png</v>
      </c>
      <c r="AW747" s="82" t="s">
        <v>13843</v>
      </c>
      <c r="AX747" s="82" t="s">
        <v>13843</v>
      </c>
      <c r="AY747" s="77"/>
      <c r="AZ747" s="82" t="s">
        <v>17385</v>
      </c>
      <c r="BA747" s="82" t="s">
        <v>17385</v>
      </c>
      <c r="BB747" s="82" t="s">
        <v>17385</v>
      </c>
      <c r="BC747" s="82" t="s">
        <v>13843</v>
      </c>
      <c r="BD747" s="82" t="s">
        <v>17529</v>
      </c>
      <c r="BE747" s="77"/>
      <c r="BF747" s="77"/>
      <c r="BG747" s="77"/>
      <c r="BH747" s="77"/>
      <c r="BI747" s="77"/>
    </row>
    <row r="748" spans="1:61" x14ac:dyDescent="0.25">
      <c r="A748" s="62" t="s">
        <v>395</v>
      </c>
      <c r="B748" s="62" t="s">
        <v>395</v>
      </c>
      <c r="C748" s="63"/>
      <c r="D748" s="64"/>
      <c r="E748" s="65"/>
      <c r="F748" s="66"/>
      <c r="G748" s="63"/>
      <c r="H748" s="67"/>
      <c r="I748" s="68"/>
      <c r="J748" s="68"/>
      <c r="K748" s="32"/>
      <c r="L748" s="75">
        <v>748</v>
      </c>
      <c r="M748" s="75"/>
      <c r="N748" s="70"/>
      <c r="O748" s="77" t="s">
        <v>179</v>
      </c>
      <c r="P748" s="79">
        <v>45061.979375000003</v>
      </c>
      <c r="Q748" s="77" t="s">
        <v>1540</v>
      </c>
      <c r="R748" s="77">
        <v>0</v>
      </c>
      <c r="S748" s="77">
        <v>0</v>
      </c>
      <c r="T748" s="77">
        <v>0</v>
      </c>
      <c r="U748" s="77">
        <v>0</v>
      </c>
      <c r="V748" s="77">
        <v>99</v>
      </c>
      <c r="W748" s="82" t="s">
        <v>5255</v>
      </c>
      <c r="X748" s="80" t="str">
        <f>HYPERLINK("https://www.falkcapital.com.br/mercado/acoes?utm_source=twitter&amp;utm_medium=falkalertas&amp;utm_campaign=fechamentodemercado")</f>
        <v>https://www.falkcapital.com.br/mercado/acoes?utm_source=twitter&amp;utm_medium=falkalertas&amp;utm_campaign=fechamentodemercado</v>
      </c>
      <c r="Y748" s="77" t="s">
        <v>7053</v>
      </c>
      <c r="Z748" s="77"/>
      <c r="AA748" s="77"/>
      <c r="AB748" s="77"/>
      <c r="AC748" s="82" t="s">
        <v>8257</v>
      </c>
      <c r="AD748" s="77" t="s">
        <v>8278</v>
      </c>
      <c r="AE748" s="80" t="str">
        <f>HYPERLINK("https://twitter.com/falkalertas/status/1658253503435874305")</f>
        <v>https://twitter.com/falkalertas/status/1658253503435874305</v>
      </c>
      <c r="AF748" s="79">
        <v>45061.979375000003</v>
      </c>
      <c r="AG748" s="85">
        <v>45061</v>
      </c>
      <c r="AH748" s="82" t="s">
        <v>8979</v>
      </c>
      <c r="AI748" s="77" t="b">
        <v>0</v>
      </c>
      <c r="AJ748" s="77"/>
      <c r="AK748" s="77"/>
      <c r="AL748" s="77"/>
      <c r="AM748" s="77"/>
      <c r="AN748" s="77"/>
      <c r="AO748" s="77"/>
      <c r="AP748" s="77"/>
      <c r="AQ748" s="77"/>
      <c r="AR748" s="77"/>
      <c r="AS748" s="77"/>
      <c r="AT748" s="77"/>
      <c r="AU748" s="77"/>
      <c r="AV748" s="80" t="str">
        <f>HYPERLINK("https://pbs.twimg.com/profile_images/1619161712967434240/ISM2hv8y_normal.png")</f>
        <v>https://pbs.twimg.com/profile_images/1619161712967434240/ISM2hv8y_normal.png</v>
      </c>
      <c r="AW748" s="82" t="s">
        <v>13844</v>
      </c>
      <c r="AX748" s="82" t="s">
        <v>13844</v>
      </c>
      <c r="AY748" s="77"/>
      <c r="AZ748" s="82" t="s">
        <v>17385</v>
      </c>
      <c r="BA748" s="82" t="s">
        <v>17385</v>
      </c>
      <c r="BB748" s="82" t="s">
        <v>17385</v>
      </c>
      <c r="BC748" s="82" t="s">
        <v>13844</v>
      </c>
      <c r="BD748" s="82" t="s">
        <v>17529</v>
      </c>
      <c r="BE748" s="77"/>
      <c r="BF748" s="77"/>
      <c r="BG748" s="77"/>
      <c r="BH748" s="77"/>
      <c r="BI748" s="77"/>
    </row>
    <row r="749" spans="1:61" x14ac:dyDescent="0.25">
      <c r="A749" s="62" t="s">
        <v>395</v>
      </c>
      <c r="B749" s="62" t="s">
        <v>395</v>
      </c>
      <c r="C749" s="63"/>
      <c r="D749" s="64"/>
      <c r="E749" s="65"/>
      <c r="F749" s="66"/>
      <c r="G749" s="63"/>
      <c r="H749" s="67"/>
      <c r="I749" s="68"/>
      <c r="J749" s="68"/>
      <c r="K749" s="32"/>
      <c r="L749" s="75">
        <v>749</v>
      </c>
      <c r="M749" s="75"/>
      <c r="N749" s="70"/>
      <c r="O749" s="77" t="s">
        <v>179</v>
      </c>
      <c r="P749" s="79">
        <v>45048.97929398148</v>
      </c>
      <c r="Q749" s="77" t="s">
        <v>1541</v>
      </c>
      <c r="R749" s="77">
        <v>0</v>
      </c>
      <c r="S749" s="77">
        <v>0</v>
      </c>
      <c r="T749" s="77">
        <v>0</v>
      </c>
      <c r="U749" s="77">
        <v>0</v>
      </c>
      <c r="V749" s="77">
        <v>212</v>
      </c>
      <c r="W749" s="82" t="s">
        <v>5256</v>
      </c>
      <c r="X749" s="80" t="str">
        <f>HYPERLINK("https://www.falkcapital.com.br/mercado/acoes?utm_source=twitter&amp;utm_medium=falkalertas&amp;utm_campaign=fechamentodemercado")</f>
        <v>https://www.falkcapital.com.br/mercado/acoes?utm_source=twitter&amp;utm_medium=falkalertas&amp;utm_campaign=fechamentodemercado</v>
      </c>
      <c r="Y749" s="77" t="s">
        <v>7053</v>
      </c>
      <c r="Z749" s="77"/>
      <c r="AA749" s="77"/>
      <c r="AB749" s="77"/>
      <c r="AC749" s="82" t="s">
        <v>8257</v>
      </c>
      <c r="AD749" s="77" t="s">
        <v>8278</v>
      </c>
      <c r="AE749" s="80" t="str">
        <f>HYPERLINK("https://twitter.com/falkalertas/status/1653542430266859522")</f>
        <v>https://twitter.com/falkalertas/status/1653542430266859522</v>
      </c>
      <c r="AF749" s="79">
        <v>45048.97929398148</v>
      </c>
      <c r="AG749" s="85">
        <v>45048</v>
      </c>
      <c r="AH749" s="82" t="s">
        <v>8980</v>
      </c>
      <c r="AI749" s="77" t="b">
        <v>0</v>
      </c>
      <c r="AJ749" s="77"/>
      <c r="AK749" s="77"/>
      <c r="AL749" s="77"/>
      <c r="AM749" s="77"/>
      <c r="AN749" s="77"/>
      <c r="AO749" s="77"/>
      <c r="AP749" s="77"/>
      <c r="AQ749" s="77"/>
      <c r="AR749" s="77"/>
      <c r="AS749" s="77"/>
      <c r="AT749" s="77"/>
      <c r="AU749" s="77"/>
      <c r="AV749" s="80" t="str">
        <f>HYPERLINK("https://pbs.twimg.com/profile_images/1619161712967434240/ISM2hv8y_normal.png")</f>
        <v>https://pbs.twimg.com/profile_images/1619161712967434240/ISM2hv8y_normal.png</v>
      </c>
      <c r="AW749" s="82" t="s">
        <v>13845</v>
      </c>
      <c r="AX749" s="82" t="s">
        <v>13845</v>
      </c>
      <c r="AY749" s="77"/>
      <c r="AZ749" s="82" t="s">
        <v>17385</v>
      </c>
      <c r="BA749" s="82" t="s">
        <v>17385</v>
      </c>
      <c r="BB749" s="82" t="s">
        <v>17385</v>
      </c>
      <c r="BC749" s="82" t="s">
        <v>13845</v>
      </c>
      <c r="BD749" s="82" t="s">
        <v>17529</v>
      </c>
      <c r="BE749" s="77"/>
      <c r="BF749" s="77"/>
      <c r="BG749" s="77"/>
      <c r="BH749" s="77"/>
      <c r="BI749" s="77"/>
    </row>
    <row r="750" spans="1:61" x14ac:dyDescent="0.25">
      <c r="A750" s="62" t="s">
        <v>395</v>
      </c>
      <c r="B750" s="62" t="s">
        <v>395</v>
      </c>
      <c r="C750" s="63"/>
      <c r="D750" s="64"/>
      <c r="E750" s="65"/>
      <c r="F750" s="66"/>
      <c r="G750" s="63"/>
      <c r="H750" s="67"/>
      <c r="I750" s="68"/>
      <c r="J750" s="68"/>
      <c r="K750" s="32"/>
      <c r="L750" s="75">
        <v>750</v>
      </c>
      <c r="M750" s="75"/>
      <c r="N750" s="70"/>
      <c r="O750" s="77" t="s">
        <v>179</v>
      </c>
      <c r="P750" s="79">
        <v>45048.97929398148</v>
      </c>
      <c r="Q750" s="77" t="s">
        <v>1542</v>
      </c>
      <c r="R750" s="77">
        <v>0</v>
      </c>
      <c r="S750" s="77">
        <v>0</v>
      </c>
      <c r="T750" s="77">
        <v>0</v>
      </c>
      <c r="U750" s="77">
        <v>0</v>
      </c>
      <c r="V750" s="77">
        <v>133</v>
      </c>
      <c r="W750" s="82" t="s">
        <v>5257</v>
      </c>
      <c r="X750" s="80" t="str">
        <f>HYPERLINK("https://www.falkcapital.com.br/mercado/acoes?utm_source=twitter&amp;utm_medium=falkalertas&amp;utm_campaign=fechamentodemercado")</f>
        <v>https://www.falkcapital.com.br/mercado/acoes?utm_source=twitter&amp;utm_medium=falkalertas&amp;utm_campaign=fechamentodemercado</v>
      </c>
      <c r="Y750" s="77" t="s">
        <v>7053</v>
      </c>
      <c r="Z750" s="77"/>
      <c r="AA750" s="77"/>
      <c r="AB750" s="77"/>
      <c r="AC750" s="82" t="s">
        <v>8257</v>
      </c>
      <c r="AD750" s="77" t="s">
        <v>8278</v>
      </c>
      <c r="AE750" s="80" t="str">
        <f>HYPERLINK("https://twitter.com/falkalertas/status/1653542429205594113")</f>
        <v>https://twitter.com/falkalertas/status/1653542429205594113</v>
      </c>
      <c r="AF750" s="79">
        <v>45048.97929398148</v>
      </c>
      <c r="AG750" s="85">
        <v>45048</v>
      </c>
      <c r="AH750" s="82" t="s">
        <v>8980</v>
      </c>
      <c r="AI750" s="77" t="b">
        <v>0</v>
      </c>
      <c r="AJ750" s="77"/>
      <c r="AK750" s="77"/>
      <c r="AL750" s="77"/>
      <c r="AM750" s="77"/>
      <c r="AN750" s="77"/>
      <c r="AO750" s="77"/>
      <c r="AP750" s="77"/>
      <c r="AQ750" s="77"/>
      <c r="AR750" s="77"/>
      <c r="AS750" s="77"/>
      <c r="AT750" s="77"/>
      <c r="AU750" s="77"/>
      <c r="AV750" s="80" t="str">
        <f>HYPERLINK("https://pbs.twimg.com/profile_images/1619161712967434240/ISM2hv8y_normal.png")</f>
        <v>https://pbs.twimg.com/profile_images/1619161712967434240/ISM2hv8y_normal.png</v>
      </c>
      <c r="AW750" s="82" t="s">
        <v>13846</v>
      </c>
      <c r="AX750" s="82" t="s">
        <v>13846</v>
      </c>
      <c r="AY750" s="77"/>
      <c r="AZ750" s="82" t="s">
        <v>17385</v>
      </c>
      <c r="BA750" s="82" t="s">
        <v>17385</v>
      </c>
      <c r="BB750" s="82" t="s">
        <v>17385</v>
      </c>
      <c r="BC750" s="82" t="s">
        <v>13846</v>
      </c>
      <c r="BD750" s="82" t="s">
        <v>17529</v>
      </c>
      <c r="BE750" s="77"/>
      <c r="BF750" s="77"/>
      <c r="BG750" s="77"/>
      <c r="BH750" s="77"/>
      <c r="BI750" s="77"/>
    </row>
    <row r="751" spans="1:61" x14ac:dyDescent="0.25">
      <c r="A751" s="62" t="s">
        <v>395</v>
      </c>
      <c r="B751" s="62" t="s">
        <v>395</v>
      </c>
      <c r="C751" s="63"/>
      <c r="D751" s="64"/>
      <c r="E751" s="65"/>
      <c r="F751" s="66"/>
      <c r="G751" s="63"/>
      <c r="H751" s="67"/>
      <c r="I751" s="68"/>
      <c r="J751" s="68"/>
      <c r="K751" s="32"/>
      <c r="L751" s="75">
        <v>751</v>
      </c>
      <c r="M751" s="75"/>
      <c r="N751" s="70"/>
      <c r="O751" s="77" t="s">
        <v>179</v>
      </c>
      <c r="P751" s="79">
        <v>45142.980821759258</v>
      </c>
      <c r="Q751" s="77" t="s">
        <v>1543</v>
      </c>
      <c r="R751" s="77">
        <v>0</v>
      </c>
      <c r="S751" s="77">
        <v>0</v>
      </c>
      <c r="T751" s="77">
        <v>0</v>
      </c>
      <c r="U751" s="77">
        <v>0</v>
      </c>
      <c r="V751" s="77">
        <v>196</v>
      </c>
      <c r="W751" s="82" t="s">
        <v>5258</v>
      </c>
      <c r="X751" s="80" t="str">
        <f>HYPERLINK("https://www.falkcapital.com.br/mercado/acoes?utm_source=twitter&amp;utm_medium=falkalertas&amp;utm_campaign=fechamentodemercado")</f>
        <v>https://www.falkcapital.com.br/mercado/acoes?utm_source=twitter&amp;utm_medium=falkalertas&amp;utm_campaign=fechamentodemercado</v>
      </c>
      <c r="Y751" s="77" t="s">
        <v>7053</v>
      </c>
      <c r="Z751" s="77"/>
      <c r="AA751" s="77"/>
      <c r="AB751" s="77"/>
      <c r="AC751" s="82" t="s">
        <v>8258</v>
      </c>
      <c r="AD751" s="77" t="s">
        <v>8278</v>
      </c>
      <c r="AE751" s="80" t="str">
        <f>HYPERLINK("https://twitter.com/falkalertas/status/1687607444422221824")</f>
        <v>https://twitter.com/falkalertas/status/1687607444422221824</v>
      </c>
      <c r="AF751" s="79">
        <v>45142.980821759258</v>
      </c>
      <c r="AG751" s="85">
        <v>45142</v>
      </c>
      <c r="AH751" s="82" t="s">
        <v>8981</v>
      </c>
      <c r="AI751" s="77" t="b">
        <v>0</v>
      </c>
      <c r="AJ751" s="77"/>
      <c r="AK751" s="77"/>
      <c r="AL751" s="77"/>
      <c r="AM751" s="77"/>
      <c r="AN751" s="77"/>
      <c r="AO751" s="77"/>
      <c r="AP751" s="77"/>
      <c r="AQ751" s="77"/>
      <c r="AR751" s="77"/>
      <c r="AS751" s="77"/>
      <c r="AT751" s="77"/>
      <c r="AU751" s="77"/>
      <c r="AV751" s="80" t="str">
        <f>HYPERLINK("https://pbs.twimg.com/profile_images/1619161712967434240/ISM2hv8y_normal.png")</f>
        <v>https://pbs.twimg.com/profile_images/1619161712967434240/ISM2hv8y_normal.png</v>
      </c>
      <c r="AW751" s="82" t="s">
        <v>13847</v>
      </c>
      <c r="AX751" s="82" t="s">
        <v>13847</v>
      </c>
      <c r="AY751" s="77"/>
      <c r="AZ751" s="82" t="s">
        <v>17385</v>
      </c>
      <c r="BA751" s="82" t="s">
        <v>17385</v>
      </c>
      <c r="BB751" s="82" t="s">
        <v>17385</v>
      </c>
      <c r="BC751" s="82" t="s">
        <v>13847</v>
      </c>
      <c r="BD751" s="82" t="s">
        <v>17529</v>
      </c>
      <c r="BE751" s="77"/>
      <c r="BF751" s="77"/>
      <c r="BG751" s="77"/>
      <c r="BH751" s="77"/>
      <c r="BI751" s="77"/>
    </row>
    <row r="752" spans="1:61" x14ac:dyDescent="0.25">
      <c r="A752" s="62" t="s">
        <v>395</v>
      </c>
      <c r="B752" s="62" t="s">
        <v>395</v>
      </c>
      <c r="C752" s="63"/>
      <c r="D752" s="64"/>
      <c r="E752" s="65"/>
      <c r="F752" s="66"/>
      <c r="G752" s="63"/>
      <c r="H752" s="67"/>
      <c r="I752" s="68"/>
      <c r="J752" s="68"/>
      <c r="K752" s="32"/>
      <c r="L752" s="75">
        <v>752</v>
      </c>
      <c r="M752" s="75"/>
      <c r="N752" s="70"/>
      <c r="O752" s="77" t="s">
        <v>179</v>
      </c>
      <c r="P752" s="79">
        <v>45142.980821759258</v>
      </c>
      <c r="Q752" s="77" t="s">
        <v>1544</v>
      </c>
      <c r="R752" s="77">
        <v>0</v>
      </c>
      <c r="S752" s="77">
        <v>0</v>
      </c>
      <c r="T752" s="77">
        <v>0</v>
      </c>
      <c r="U752" s="77">
        <v>0</v>
      </c>
      <c r="V752" s="77">
        <v>137</v>
      </c>
      <c r="W752" s="82" t="s">
        <v>5259</v>
      </c>
      <c r="X752" s="80" t="str">
        <f>HYPERLINK("https://www.falkcapital.com.br/mercado/acoes?utm_source=twitter&amp;utm_medium=falkalertas&amp;utm_campaign=fechamentodemercado")</f>
        <v>https://www.falkcapital.com.br/mercado/acoes?utm_source=twitter&amp;utm_medium=falkalertas&amp;utm_campaign=fechamentodemercado</v>
      </c>
      <c r="Y752" s="77" t="s">
        <v>7053</v>
      </c>
      <c r="Z752" s="77"/>
      <c r="AA752" s="77"/>
      <c r="AB752" s="77"/>
      <c r="AC752" s="82" t="s">
        <v>8258</v>
      </c>
      <c r="AD752" s="77" t="s">
        <v>8278</v>
      </c>
      <c r="AE752" s="80" t="str">
        <f>HYPERLINK("https://twitter.com/falkalertas/status/1687607442769694722")</f>
        <v>https://twitter.com/falkalertas/status/1687607442769694722</v>
      </c>
      <c r="AF752" s="79">
        <v>45142.980821759258</v>
      </c>
      <c r="AG752" s="85">
        <v>45142</v>
      </c>
      <c r="AH752" s="82" t="s">
        <v>8981</v>
      </c>
      <c r="AI752" s="77" t="b">
        <v>0</v>
      </c>
      <c r="AJ752" s="77"/>
      <c r="AK752" s="77"/>
      <c r="AL752" s="77"/>
      <c r="AM752" s="77"/>
      <c r="AN752" s="77"/>
      <c r="AO752" s="77"/>
      <c r="AP752" s="77"/>
      <c r="AQ752" s="77"/>
      <c r="AR752" s="77"/>
      <c r="AS752" s="77"/>
      <c r="AT752" s="77"/>
      <c r="AU752" s="77"/>
      <c r="AV752" s="80" t="str">
        <f>HYPERLINK("https://pbs.twimg.com/profile_images/1619161712967434240/ISM2hv8y_normal.png")</f>
        <v>https://pbs.twimg.com/profile_images/1619161712967434240/ISM2hv8y_normal.png</v>
      </c>
      <c r="AW752" s="82" t="s">
        <v>13848</v>
      </c>
      <c r="AX752" s="82" t="s">
        <v>13848</v>
      </c>
      <c r="AY752" s="77"/>
      <c r="AZ752" s="82" t="s">
        <v>17385</v>
      </c>
      <c r="BA752" s="82" t="s">
        <v>17385</v>
      </c>
      <c r="BB752" s="82" t="s">
        <v>17385</v>
      </c>
      <c r="BC752" s="82" t="s">
        <v>13848</v>
      </c>
      <c r="BD752" s="82" t="s">
        <v>17529</v>
      </c>
      <c r="BE752" s="77"/>
      <c r="BF752" s="77"/>
      <c r="BG752" s="77"/>
      <c r="BH752" s="77"/>
      <c r="BI752" s="77"/>
    </row>
    <row r="753" spans="1:61" x14ac:dyDescent="0.25">
      <c r="A753" s="62" t="s">
        <v>395</v>
      </c>
      <c r="B753" s="62" t="s">
        <v>395</v>
      </c>
      <c r="C753" s="63"/>
      <c r="D753" s="64"/>
      <c r="E753" s="65"/>
      <c r="F753" s="66"/>
      <c r="G753" s="63"/>
      <c r="H753" s="67"/>
      <c r="I753" s="68"/>
      <c r="J753" s="68"/>
      <c r="K753" s="32"/>
      <c r="L753" s="75">
        <v>753</v>
      </c>
      <c r="M753" s="75"/>
      <c r="N753" s="70"/>
      <c r="O753" s="77" t="s">
        <v>179</v>
      </c>
      <c r="P753" s="79">
        <v>45086.979351851849</v>
      </c>
      <c r="Q753" s="77" t="s">
        <v>1545</v>
      </c>
      <c r="R753" s="77">
        <v>0</v>
      </c>
      <c r="S753" s="77">
        <v>0</v>
      </c>
      <c r="T753" s="77">
        <v>0</v>
      </c>
      <c r="U753" s="77">
        <v>0</v>
      </c>
      <c r="V753" s="77">
        <v>171</v>
      </c>
      <c r="W753" s="82" t="s">
        <v>5260</v>
      </c>
      <c r="X753" s="80" t="str">
        <f>HYPERLINK("https://www.falkcapital.com.br/mercado/acoes?utm_source=twitter&amp;utm_medium=falkalertas&amp;utm_campaign=fechamentodemercado")</f>
        <v>https://www.falkcapital.com.br/mercado/acoes?utm_source=twitter&amp;utm_medium=falkalertas&amp;utm_campaign=fechamentodemercado</v>
      </c>
      <c r="Y753" s="77" t="s">
        <v>7053</v>
      </c>
      <c r="Z753" s="77"/>
      <c r="AA753" s="77"/>
      <c r="AB753" s="77"/>
      <c r="AC753" s="82" t="s">
        <v>8257</v>
      </c>
      <c r="AD753" s="77" t="s">
        <v>8278</v>
      </c>
      <c r="AE753" s="80" t="str">
        <f>HYPERLINK("https://twitter.com/falkalertas/status/1667313192203083782")</f>
        <v>https://twitter.com/falkalertas/status/1667313192203083782</v>
      </c>
      <c r="AF753" s="79">
        <v>45086.979351851849</v>
      </c>
      <c r="AG753" s="85">
        <v>45086</v>
      </c>
      <c r="AH753" s="82" t="s">
        <v>8982</v>
      </c>
      <c r="AI753" s="77" t="b">
        <v>0</v>
      </c>
      <c r="AJ753" s="77"/>
      <c r="AK753" s="77"/>
      <c r="AL753" s="77"/>
      <c r="AM753" s="77"/>
      <c r="AN753" s="77"/>
      <c r="AO753" s="77"/>
      <c r="AP753" s="77"/>
      <c r="AQ753" s="77"/>
      <c r="AR753" s="77"/>
      <c r="AS753" s="77"/>
      <c r="AT753" s="77"/>
      <c r="AU753" s="77"/>
      <c r="AV753" s="80" t="str">
        <f>HYPERLINK("https://pbs.twimg.com/profile_images/1619161712967434240/ISM2hv8y_normal.png")</f>
        <v>https://pbs.twimg.com/profile_images/1619161712967434240/ISM2hv8y_normal.png</v>
      </c>
      <c r="AW753" s="82" t="s">
        <v>13849</v>
      </c>
      <c r="AX753" s="82" t="s">
        <v>13849</v>
      </c>
      <c r="AY753" s="77"/>
      <c r="AZ753" s="82" t="s">
        <v>17385</v>
      </c>
      <c r="BA753" s="82" t="s">
        <v>17385</v>
      </c>
      <c r="BB753" s="82" t="s">
        <v>17385</v>
      </c>
      <c r="BC753" s="82" t="s">
        <v>13849</v>
      </c>
      <c r="BD753" s="82" t="s">
        <v>17529</v>
      </c>
      <c r="BE753" s="77"/>
      <c r="BF753" s="77"/>
      <c r="BG753" s="77"/>
      <c r="BH753" s="77"/>
      <c r="BI753" s="77"/>
    </row>
    <row r="754" spans="1:61" x14ac:dyDescent="0.25">
      <c r="A754" s="62" t="s">
        <v>395</v>
      </c>
      <c r="B754" s="62" t="s">
        <v>395</v>
      </c>
      <c r="C754" s="63"/>
      <c r="D754" s="64"/>
      <c r="E754" s="65"/>
      <c r="F754" s="66"/>
      <c r="G754" s="63"/>
      <c r="H754" s="67"/>
      <c r="I754" s="68"/>
      <c r="J754" s="68"/>
      <c r="K754" s="32"/>
      <c r="L754" s="75">
        <v>754</v>
      </c>
      <c r="M754" s="75"/>
      <c r="N754" s="70"/>
      <c r="O754" s="77" t="s">
        <v>179</v>
      </c>
      <c r="P754" s="79">
        <v>45086.979351851849</v>
      </c>
      <c r="Q754" s="77" t="s">
        <v>1546</v>
      </c>
      <c r="R754" s="77">
        <v>0</v>
      </c>
      <c r="S754" s="77">
        <v>0</v>
      </c>
      <c r="T754" s="77">
        <v>0</v>
      </c>
      <c r="U754" s="77">
        <v>0</v>
      </c>
      <c r="V754" s="77">
        <v>138</v>
      </c>
      <c r="W754" s="82" t="s">
        <v>5261</v>
      </c>
      <c r="X754" s="80" t="str">
        <f>HYPERLINK("https://www.falkcapital.com.br/mercado/acoes?utm_source=twitter&amp;utm_medium=falkalertas&amp;utm_campaign=fechamentodemercado")</f>
        <v>https://www.falkcapital.com.br/mercado/acoes?utm_source=twitter&amp;utm_medium=falkalertas&amp;utm_campaign=fechamentodemercado</v>
      </c>
      <c r="Y754" s="77" t="s">
        <v>7053</v>
      </c>
      <c r="Z754" s="77"/>
      <c r="AA754" s="77"/>
      <c r="AB754" s="77"/>
      <c r="AC754" s="82" t="s">
        <v>8257</v>
      </c>
      <c r="AD754" s="77" t="s">
        <v>8278</v>
      </c>
      <c r="AE754" s="80" t="str">
        <f>HYPERLINK("https://twitter.com/falkalertas/status/1667313190575718401")</f>
        <v>https://twitter.com/falkalertas/status/1667313190575718401</v>
      </c>
      <c r="AF754" s="79">
        <v>45086.979351851849</v>
      </c>
      <c r="AG754" s="85">
        <v>45086</v>
      </c>
      <c r="AH754" s="82" t="s">
        <v>8982</v>
      </c>
      <c r="AI754" s="77" t="b">
        <v>0</v>
      </c>
      <c r="AJ754" s="77"/>
      <c r="AK754" s="77"/>
      <c r="AL754" s="77"/>
      <c r="AM754" s="77"/>
      <c r="AN754" s="77"/>
      <c r="AO754" s="77"/>
      <c r="AP754" s="77"/>
      <c r="AQ754" s="77"/>
      <c r="AR754" s="77"/>
      <c r="AS754" s="77"/>
      <c r="AT754" s="77"/>
      <c r="AU754" s="77"/>
      <c r="AV754" s="80" t="str">
        <f>HYPERLINK("https://pbs.twimg.com/profile_images/1619161712967434240/ISM2hv8y_normal.png")</f>
        <v>https://pbs.twimg.com/profile_images/1619161712967434240/ISM2hv8y_normal.png</v>
      </c>
      <c r="AW754" s="82" t="s">
        <v>13850</v>
      </c>
      <c r="AX754" s="82" t="s">
        <v>13850</v>
      </c>
      <c r="AY754" s="77"/>
      <c r="AZ754" s="82" t="s">
        <v>17385</v>
      </c>
      <c r="BA754" s="82" t="s">
        <v>17385</v>
      </c>
      <c r="BB754" s="82" t="s">
        <v>17385</v>
      </c>
      <c r="BC754" s="82" t="s">
        <v>13850</v>
      </c>
      <c r="BD754" s="82" t="s">
        <v>17529</v>
      </c>
      <c r="BE754" s="77"/>
      <c r="BF754" s="77"/>
      <c r="BG754" s="77"/>
      <c r="BH754" s="77"/>
      <c r="BI754" s="77"/>
    </row>
    <row r="755" spans="1:61" x14ac:dyDescent="0.25">
      <c r="A755" s="62" t="s">
        <v>395</v>
      </c>
      <c r="B755" s="62" t="s">
        <v>395</v>
      </c>
      <c r="C755" s="63"/>
      <c r="D755" s="64"/>
      <c r="E755" s="65"/>
      <c r="F755" s="66"/>
      <c r="G755" s="63"/>
      <c r="H755" s="67"/>
      <c r="I755" s="68"/>
      <c r="J755" s="68"/>
      <c r="K755" s="32"/>
      <c r="L755" s="75">
        <v>755</v>
      </c>
      <c r="M755" s="75"/>
      <c r="N755" s="70"/>
      <c r="O755" s="77" t="s">
        <v>179</v>
      </c>
      <c r="P755" s="79">
        <v>45070.979351851849</v>
      </c>
      <c r="Q755" s="77" t="s">
        <v>1547</v>
      </c>
      <c r="R755" s="77">
        <v>0</v>
      </c>
      <c r="S755" s="77">
        <v>0</v>
      </c>
      <c r="T755" s="77">
        <v>0</v>
      </c>
      <c r="U755" s="77">
        <v>0</v>
      </c>
      <c r="V755" s="77">
        <v>88</v>
      </c>
      <c r="W755" s="82" t="s">
        <v>5262</v>
      </c>
      <c r="X755" s="80" t="str">
        <f>HYPERLINK("https://www.falkcapital.com.br/mercado/acoes?utm_source=twitter&amp;utm_medium=falkalertas&amp;utm_campaign=fechamentodemercado")</f>
        <v>https://www.falkcapital.com.br/mercado/acoes?utm_source=twitter&amp;utm_medium=falkalertas&amp;utm_campaign=fechamentodemercado</v>
      </c>
      <c r="Y755" s="77" t="s">
        <v>7053</v>
      </c>
      <c r="Z755" s="77"/>
      <c r="AA755" s="77"/>
      <c r="AB755" s="77"/>
      <c r="AC755" s="82" t="s">
        <v>8257</v>
      </c>
      <c r="AD755" s="77" t="s">
        <v>8278</v>
      </c>
      <c r="AE755" s="80" t="str">
        <f>HYPERLINK("https://twitter.com/falkalertas/status/1661514984705105921")</f>
        <v>https://twitter.com/falkalertas/status/1661514984705105921</v>
      </c>
      <c r="AF755" s="79">
        <v>45070.979351851849</v>
      </c>
      <c r="AG755" s="85">
        <v>45070</v>
      </c>
      <c r="AH755" s="82" t="s">
        <v>8982</v>
      </c>
      <c r="AI755" s="77" t="b">
        <v>0</v>
      </c>
      <c r="AJ755" s="77"/>
      <c r="AK755" s="77"/>
      <c r="AL755" s="77"/>
      <c r="AM755" s="77"/>
      <c r="AN755" s="77"/>
      <c r="AO755" s="77"/>
      <c r="AP755" s="77"/>
      <c r="AQ755" s="77"/>
      <c r="AR755" s="77"/>
      <c r="AS755" s="77"/>
      <c r="AT755" s="77"/>
      <c r="AU755" s="77"/>
      <c r="AV755" s="80" t="str">
        <f>HYPERLINK("https://pbs.twimg.com/profile_images/1619161712967434240/ISM2hv8y_normal.png")</f>
        <v>https://pbs.twimg.com/profile_images/1619161712967434240/ISM2hv8y_normal.png</v>
      </c>
      <c r="AW755" s="82" t="s">
        <v>13851</v>
      </c>
      <c r="AX755" s="82" t="s">
        <v>13851</v>
      </c>
      <c r="AY755" s="77"/>
      <c r="AZ755" s="82" t="s">
        <v>17385</v>
      </c>
      <c r="BA755" s="82" t="s">
        <v>17385</v>
      </c>
      <c r="BB755" s="82" t="s">
        <v>17385</v>
      </c>
      <c r="BC755" s="82" t="s">
        <v>13851</v>
      </c>
      <c r="BD755" s="82" t="s">
        <v>17529</v>
      </c>
      <c r="BE755" s="77"/>
      <c r="BF755" s="77"/>
      <c r="BG755" s="77"/>
      <c r="BH755" s="77"/>
      <c r="BI755" s="77"/>
    </row>
    <row r="756" spans="1:61" x14ac:dyDescent="0.25">
      <c r="A756" s="62" t="s">
        <v>395</v>
      </c>
      <c r="B756" s="62" t="s">
        <v>395</v>
      </c>
      <c r="C756" s="63"/>
      <c r="D756" s="64"/>
      <c r="E756" s="65"/>
      <c r="F756" s="66"/>
      <c r="G756" s="63"/>
      <c r="H756" s="67"/>
      <c r="I756" s="68"/>
      <c r="J756" s="68"/>
      <c r="K756" s="32"/>
      <c r="L756" s="75">
        <v>756</v>
      </c>
      <c r="M756" s="75"/>
      <c r="N756" s="70"/>
      <c r="O756" s="77" t="s">
        <v>179</v>
      </c>
      <c r="P756" s="79">
        <v>45070.979351851849</v>
      </c>
      <c r="Q756" s="77" t="s">
        <v>1548</v>
      </c>
      <c r="R756" s="77">
        <v>0</v>
      </c>
      <c r="S756" s="77">
        <v>0</v>
      </c>
      <c r="T756" s="77">
        <v>0</v>
      </c>
      <c r="U756" s="77">
        <v>0</v>
      </c>
      <c r="V756" s="77">
        <v>121</v>
      </c>
      <c r="W756" s="82" t="s">
        <v>5263</v>
      </c>
      <c r="X756" s="80" t="str">
        <f>HYPERLINK("https://www.falkcapital.com.br/mercado/acoes?utm_source=twitter&amp;utm_medium=falkalertas&amp;utm_campaign=fechamentodemercado")</f>
        <v>https://www.falkcapital.com.br/mercado/acoes?utm_source=twitter&amp;utm_medium=falkalertas&amp;utm_campaign=fechamentodemercado</v>
      </c>
      <c r="Y756" s="77" t="s">
        <v>7053</v>
      </c>
      <c r="Z756" s="77"/>
      <c r="AA756" s="77"/>
      <c r="AB756" s="77"/>
      <c r="AC756" s="82" t="s">
        <v>8257</v>
      </c>
      <c r="AD756" s="77" t="s">
        <v>8278</v>
      </c>
      <c r="AE756" s="80" t="str">
        <f>HYPERLINK("https://twitter.com/falkalertas/status/1661514983216238592")</f>
        <v>https://twitter.com/falkalertas/status/1661514983216238592</v>
      </c>
      <c r="AF756" s="79">
        <v>45070.979351851849</v>
      </c>
      <c r="AG756" s="85">
        <v>45070</v>
      </c>
      <c r="AH756" s="82" t="s">
        <v>8982</v>
      </c>
      <c r="AI756" s="77" t="b">
        <v>0</v>
      </c>
      <c r="AJ756" s="77"/>
      <c r="AK756" s="77"/>
      <c r="AL756" s="77"/>
      <c r="AM756" s="77"/>
      <c r="AN756" s="77"/>
      <c r="AO756" s="77"/>
      <c r="AP756" s="77"/>
      <c r="AQ756" s="77"/>
      <c r="AR756" s="77"/>
      <c r="AS756" s="77"/>
      <c r="AT756" s="77"/>
      <c r="AU756" s="77"/>
      <c r="AV756" s="80" t="str">
        <f>HYPERLINK("https://pbs.twimg.com/profile_images/1619161712967434240/ISM2hv8y_normal.png")</f>
        <v>https://pbs.twimg.com/profile_images/1619161712967434240/ISM2hv8y_normal.png</v>
      </c>
      <c r="AW756" s="82" t="s">
        <v>13852</v>
      </c>
      <c r="AX756" s="82" t="s">
        <v>13852</v>
      </c>
      <c r="AY756" s="77"/>
      <c r="AZ756" s="82" t="s">
        <v>17385</v>
      </c>
      <c r="BA756" s="82" t="s">
        <v>17385</v>
      </c>
      <c r="BB756" s="82" t="s">
        <v>17385</v>
      </c>
      <c r="BC756" s="82" t="s">
        <v>13852</v>
      </c>
      <c r="BD756" s="82" t="s">
        <v>17529</v>
      </c>
      <c r="BE756" s="77"/>
      <c r="BF756" s="77"/>
      <c r="BG756" s="77"/>
      <c r="BH756" s="77"/>
      <c r="BI756" s="77"/>
    </row>
    <row r="757" spans="1:61" x14ac:dyDescent="0.25">
      <c r="A757" s="62" t="s">
        <v>395</v>
      </c>
      <c r="B757" s="62" t="s">
        <v>395</v>
      </c>
      <c r="C757" s="63"/>
      <c r="D757" s="64"/>
      <c r="E757" s="65"/>
      <c r="F757" s="66"/>
      <c r="G757" s="63"/>
      <c r="H757" s="67"/>
      <c r="I757" s="68"/>
      <c r="J757" s="68"/>
      <c r="K757" s="32"/>
      <c r="L757" s="75">
        <v>757</v>
      </c>
      <c r="M757" s="75"/>
      <c r="N757" s="70"/>
      <c r="O757" s="77" t="s">
        <v>179</v>
      </c>
      <c r="P757" s="79">
        <v>45054.979305555556</v>
      </c>
      <c r="Q757" s="77" t="s">
        <v>1549</v>
      </c>
      <c r="R757" s="77">
        <v>0</v>
      </c>
      <c r="S757" s="77">
        <v>0</v>
      </c>
      <c r="T757" s="77">
        <v>0</v>
      </c>
      <c r="U757" s="77">
        <v>0</v>
      </c>
      <c r="V757" s="77">
        <v>161</v>
      </c>
      <c r="W757" s="82" t="s">
        <v>5264</v>
      </c>
      <c r="X757" s="80" t="str">
        <f>HYPERLINK("https://www.falkcapital.com.br/mercado/acoes?utm_source=twitter&amp;utm_medium=falkalertas&amp;utm_campaign=fechamentodemercado")</f>
        <v>https://www.falkcapital.com.br/mercado/acoes?utm_source=twitter&amp;utm_medium=falkalertas&amp;utm_campaign=fechamentodemercado</v>
      </c>
      <c r="Y757" s="77" t="s">
        <v>7053</v>
      </c>
      <c r="Z757" s="77"/>
      <c r="AA757" s="77"/>
      <c r="AB757" s="77"/>
      <c r="AC757" s="82" t="s">
        <v>8257</v>
      </c>
      <c r="AD757" s="77" t="s">
        <v>8278</v>
      </c>
      <c r="AE757" s="80" t="str">
        <f>HYPERLINK("https://twitter.com/falkalertas/status/1655716763923890178")</f>
        <v>https://twitter.com/falkalertas/status/1655716763923890178</v>
      </c>
      <c r="AF757" s="79">
        <v>45054.979305555556</v>
      </c>
      <c r="AG757" s="85">
        <v>45054</v>
      </c>
      <c r="AH757" s="82" t="s">
        <v>8977</v>
      </c>
      <c r="AI757" s="77" t="b">
        <v>0</v>
      </c>
      <c r="AJ757" s="77"/>
      <c r="AK757" s="77"/>
      <c r="AL757" s="77"/>
      <c r="AM757" s="77"/>
      <c r="AN757" s="77"/>
      <c r="AO757" s="77"/>
      <c r="AP757" s="77"/>
      <c r="AQ757" s="77"/>
      <c r="AR757" s="77"/>
      <c r="AS757" s="77"/>
      <c r="AT757" s="77"/>
      <c r="AU757" s="77"/>
      <c r="AV757" s="80" t="str">
        <f>HYPERLINK("https://pbs.twimg.com/profile_images/1619161712967434240/ISM2hv8y_normal.png")</f>
        <v>https://pbs.twimg.com/profile_images/1619161712967434240/ISM2hv8y_normal.png</v>
      </c>
      <c r="AW757" s="82" t="s">
        <v>13853</v>
      </c>
      <c r="AX757" s="82" t="s">
        <v>13853</v>
      </c>
      <c r="AY757" s="77"/>
      <c r="AZ757" s="82" t="s">
        <v>17385</v>
      </c>
      <c r="BA757" s="82" t="s">
        <v>17385</v>
      </c>
      <c r="BB757" s="82" t="s">
        <v>17385</v>
      </c>
      <c r="BC757" s="82" t="s">
        <v>13853</v>
      </c>
      <c r="BD757" s="82" t="s">
        <v>17529</v>
      </c>
      <c r="BE757" s="77"/>
      <c r="BF757" s="77"/>
      <c r="BG757" s="77"/>
      <c r="BH757" s="77"/>
      <c r="BI757" s="77"/>
    </row>
    <row r="758" spans="1:61" x14ac:dyDescent="0.25">
      <c r="A758" s="62" t="s">
        <v>395</v>
      </c>
      <c r="B758" s="62" t="s">
        <v>395</v>
      </c>
      <c r="C758" s="63"/>
      <c r="D758" s="64"/>
      <c r="E758" s="65"/>
      <c r="F758" s="66"/>
      <c r="G758" s="63"/>
      <c r="H758" s="67"/>
      <c r="I758" s="68"/>
      <c r="J758" s="68"/>
      <c r="K758" s="32"/>
      <c r="L758" s="75">
        <v>758</v>
      </c>
      <c r="M758" s="75"/>
      <c r="N758" s="70"/>
      <c r="O758" s="77" t="s">
        <v>179</v>
      </c>
      <c r="P758" s="79">
        <v>45054.979305555556</v>
      </c>
      <c r="Q758" s="77" t="s">
        <v>1550</v>
      </c>
      <c r="R758" s="77">
        <v>0</v>
      </c>
      <c r="S758" s="77">
        <v>0</v>
      </c>
      <c r="T758" s="77">
        <v>0</v>
      </c>
      <c r="U758" s="77">
        <v>0</v>
      </c>
      <c r="V758" s="77">
        <v>86</v>
      </c>
      <c r="W758" s="82" t="s">
        <v>5265</v>
      </c>
      <c r="X758" s="80" t="str">
        <f>HYPERLINK("https://www.falkcapital.com.br/mercado/acoes?utm_source=twitter&amp;utm_medium=falkalertas&amp;utm_campaign=fechamentodemercado")</f>
        <v>https://www.falkcapital.com.br/mercado/acoes?utm_source=twitter&amp;utm_medium=falkalertas&amp;utm_campaign=fechamentodemercado</v>
      </c>
      <c r="Y758" s="77" t="s">
        <v>7053</v>
      </c>
      <c r="Z758" s="77"/>
      <c r="AA758" s="77"/>
      <c r="AB758" s="77"/>
      <c r="AC758" s="82" t="s">
        <v>8257</v>
      </c>
      <c r="AD758" s="77" t="s">
        <v>8278</v>
      </c>
      <c r="AE758" s="80" t="str">
        <f>HYPERLINK("https://twitter.com/falkalertas/status/1655716762946609156")</f>
        <v>https://twitter.com/falkalertas/status/1655716762946609156</v>
      </c>
      <c r="AF758" s="79">
        <v>45054.979305555556</v>
      </c>
      <c r="AG758" s="85">
        <v>45054</v>
      </c>
      <c r="AH758" s="82" t="s">
        <v>8977</v>
      </c>
      <c r="AI758" s="77" t="b">
        <v>0</v>
      </c>
      <c r="AJ758" s="77"/>
      <c r="AK758" s="77"/>
      <c r="AL758" s="77"/>
      <c r="AM758" s="77"/>
      <c r="AN758" s="77"/>
      <c r="AO758" s="77"/>
      <c r="AP758" s="77"/>
      <c r="AQ758" s="77"/>
      <c r="AR758" s="77"/>
      <c r="AS758" s="77"/>
      <c r="AT758" s="77"/>
      <c r="AU758" s="77"/>
      <c r="AV758" s="80" t="str">
        <f>HYPERLINK("https://pbs.twimg.com/profile_images/1619161712967434240/ISM2hv8y_normal.png")</f>
        <v>https://pbs.twimg.com/profile_images/1619161712967434240/ISM2hv8y_normal.png</v>
      </c>
      <c r="AW758" s="82" t="s">
        <v>13854</v>
      </c>
      <c r="AX758" s="82" t="s">
        <v>13854</v>
      </c>
      <c r="AY758" s="77"/>
      <c r="AZ758" s="82" t="s">
        <v>17385</v>
      </c>
      <c r="BA758" s="82" t="s">
        <v>17385</v>
      </c>
      <c r="BB758" s="82" t="s">
        <v>17385</v>
      </c>
      <c r="BC758" s="82" t="s">
        <v>13854</v>
      </c>
      <c r="BD758" s="82" t="s">
        <v>17529</v>
      </c>
      <c r="BE758" s="77"/>
      <c r="BF758" s="77"/>
      <c r="BG758" s="77"/>
      <c r="BH758" s="77"/>
      <c r="BI758" s="77"/>
    </row>
    <row r="759" spans="1:61" x14ac:dyDescent="0.25">
      <c r="A759" s="62" t="s">
        <v>395</v>
      </c>
      <c r="B759" s="62" t="s">
        <v>395</v>
      </c>
      <c r="C759" s="63"/>
      <c r="D759" s="64"/>
      <c r="E759" s="65"/>
      <c r="F759" s="66"/>
      <c r="G759" s="63"/>
      <c r="H759" s="67"/>
      <c r="I759" s="68"/>
      <c r="J759" s="68"/>
      <c r="K759" s="32"/>
      <c r="L759" s="75">
        <v>759</v>
      </c>
      <c r="M759" s="75"/>
      <c r="N759" s="70"/>
      <c r="O759" s="77" t="s">
        <v>179</v>
      </c>
      <c r="P759" s="79">
        <v>45170.840289351851</v>
      </c>
      <c r="Q759" s="77" t="s">
        <v>1551</v>
      </c>
      <c r="R759" s="77">
        <v>0</v>
      </c>
      <c r="S759" s="77">
        <v>0</v>
      </c>
      <c r="T759" s="77">
        <v>0</v>
      </c>
      <c r="U759" s="77">
        <v>0</v>
      </c>
      <c r="V759" s="77">
        <v>228</v>
      </c>
      <c r="W759" s="82" t="s">
        <v>5266</v>
      </c>
      <c r="X759" s="80" t="str">
        <f>HYPERLINK("https://www.falkcapital.com.br/mercado/acoes?utm_source=twitter&amp;utm_medium=falkalertas&amp;utm_campaign=mostrentedtc")</f>
        <v>https://www.falkcapital.com.br/mercado/acoes?utm_source=twitter&amp;utm_medium=falkalertas&amp;utm_campaign=mostrentedtc</v>
      </c>
      <c r="Y759" s="77" t="s">
        <v>7053</v>
      </c>
      <c r="Z759" s="77"/>
      <c r="AA759" s="77"/>
      <c r="AB759" s="77"/>
      <c r="AC759" s="82" t="s">
        <v>8258</v>
      </c>
      <c r="AD759" s="77" t="s">
        <v>8278</v>
      </c>
      <c r="AE759" s="80" t="str">
        <f>HYPERLINK("https://twitter.com/falkalertas/status/1697703375553368319")</f>
        <v>https://twitter.com/falkalertas/status/1697703375553368319</v>
      </c>
      <c r="AF759" s="79">
        <v>45170.840289351851</v>
      </c>
      <c r="AG759" s="85">
        <v>45170</v>
      </c>
      <c r="AH759" s="82" t="s">
        <v>8983</v>
      </c>
      <c r="AI759" s="77" t="b">
        <v>0</v>
      </c>
      <c r="AJ759" s="77"/>
      <c r="AK759" s="77"/>
      <c r="AL759" s="77"/>
      <c r="AM759" s="77"/>
      <c r="AN759" s="77"/>
      <c r="AO759" s="77"/>
      <c r="AP759" s="77"/>
      <c r="AQ759" s="77"/>
      <c r="AR759" s="77"/>
      <c r="AS759" s="77"/>
      <c r="AT759" s="77"/>
      <c r="AU759" s="77"/>
      <c r="AV759" s="80" t="str">
        <f>HYPERLINK("https://pbs.twimg.com/profile_images/1619161712967434240/ISM2hv8y_normal.png")</f>
        <v>https://pbs.twimg.com/profile_images/1619161712967434240/ISM2hv8y_normal.png</v>
      </c>
      <c r="AW759" s="82" t="s">
        <v>13855</v>
      </c>
      <c r="AX759" s="82" t="s">
        <v>13855</v>
      </c>
      <c r="AY759" s="77"/>
      <c r="AZ759" s="82" t="s">
        <v>17385</v>
      </c>
      <c r="BA759" s="82" t="s">
        <v>17385</v>
      </c>
      <c r="BB759" s="82" t="s">
        <v>17385</v>
      </c>
      <c r="BC759" s="82" t="s">
        <v>13855</v>
      </c>
      <c r="BD759" s="82" t="s">
        <v>17529</v>
      </c>
      <c r="BE759" s="77"/>
      <c r="BF759" s="77"/>
      <c r="BG759" s="77"/>
      <c r="BH759" s="77"/>
      <c r="BI759" s="77"/>
    </row>
    <row r="760" spans="1:61" x14ac:dyDescent="0.25">
      <c r="A760" s="62" t="s">
        <v>395</v>
      </c>
      <c r="B760" s="62" t="s">
        <v>395</v>
      </c>
      <c r="C760" s="63"/>
      <c r="D760" s="64"/>
      <c r="E760" s="65"/>
      <c r="F760" s="66"/>
      <c r="G760" s="63"/>
      <c r="H760" s="67"/>
      <c r="I760" s="68"/>
      <c r="J760" s="68"/>
      <c r="K760" s="32"/>
      <c r="L760" s="75">
        <v>760</v>
      </c>
      <c r="M760" s="75"/>
      <c r="N760" s="70"/>
      <c r="O760" s="77" t="s">
        <v>179</v>
      </c>
      <c r="P760" s="79">
        <v>45168.979351851849</v>
      </c>
      <c r="Q760" s="77" t="s">
        <v>1552</v>
      </c>
      <c r="R760" s="77">
        <v>0</v>
      </c>
      <c r="S760" s="77">
        <v>1</v>
      </c>
      <c r="T760" s="77">
        <v>0</v>
      </c>
      <c r="U760" s="77">
        <v>0</v>
      </c>
      <c r="V760" s="77">
        <v>167</v>
      </c>
      <c r="W760" s="82" t="s">
        <v>5267</v>
      </c>
      <c r="X760" s="80" t="str">
        <f>HYPERLINK("https://www.falkcapital.com.br/mercado/acoes?utm_source=twitter&amp;utm_medium=falkalertas&amp;utm_campaign=fechamentodemercado")</f>
        <v>https://www.falkcapital.com.br/mercado/acoes?utm_source=twitter&amp;utm_medium=falkalertas&amp;utm_campaign=fechamentodemercado</v>
      </c>
      <c r="Y760" s="77" t="s">
        <v>7053</v>
      </c>
      <c r="Z760" s="77"/>
      <c r="AA760" s="77"/>
      <c r="AB760" s="77"/>
      <c r="AC760" s="82" t="s">
        <v>8258</v>
      </c>
      <c r="AD760" s="77" t="s">
        <v>8278</v>
      </c>
      <c r="AE760" s="80" t="str">
        <f>HYPERLINK("https://twitter.com/falkalertas/status/1697028995340959979")</f>
        <v>https://twitter.com/falkalertas/status/1697028995340959979</v>
      </c>
      <c r="AF760" s="79">
        <v>45168.979351851849</v>
      </c>
      <c r="AG760" s="85">
        <v>45168</v>
      </c>
      <c r="AH760" s="82" t="s">
        <v>8982</v>
      </c>
      <c r="AI760" s="77" t="b">
        <v>0</v>
      </c>
      <c r="AJ760" s="77"/>
      <c r="AK760" s="77"/>
      <c r="AL760" s="77"/>
      <c r="AM760" s="77"/>
      <c r="AN760" s="77"/>
      <c r="AO760" s="77"/>
      <c r="AP760" s="77"/>
      <c r="AQ760" s="77"/>
      <c r="AR760" s="77"/>
      <c r="AS760" s="77"/>
      <c r="AT760" s="77"/>
      <c r="AU760" s="77"/>
      <c r="AV760" s="80" t="str">
        <f>HYPERLINK("https://pbs.twimg.com/profile_images/1619161712967434240/ISM2hv8y_normal.png")</f>
        <v>https://pbs.twimg.com/profile_images/1619161712967434240/ISM2hv8y_normal.png</v>
      </c>
      <c r="AW760" s="82" t="s">
        <v>13856</v>
      </c>
      <c r="AX760" s="82" t="s">
        <v>13856</v>
      </c>
      <c r="AY760" s="77"/>
      <c r="AZ760" s="82" t="s">
        <v>17385</v>
      </c>
      <c r="BA760" s="82" t="s">
        <v>17385</v>
      </c>
      <c r="BB760" s="82" t="s">
        <v>17385</v>
      </c>
      <c r="BC760" s="82" t="s">
        <v>13856</v>
      </c>
      <c r="BD760" s="82" t="s">
        <v>17529</v>
      </c>
      <c r="BE760" s="77"/>
      <c r="BF760" s="77"/>
      <c r="BG760" s="77"/>
      <c r="BH760" s="77"/>
      <c r="BI760" s="77"/>
    </row>
    <row r="761" spans="1:61" x14ac:dyDescent="0.25">
      <c r="A761" s="62" t="s">
        <v>395</v>
      </c>
      <c r="B761" s="62" t="s">
        <v>395</v>
      </c>
      <c r="C761" s="63"/>
      <c r="D761" s="64"/>
      <c r="E761" s="65"/>
      <c r="F761" s="66"/>
      <c r="G761" s="63"/>
      <c r="H761" s="67"/>
      <c r="I761" s="68"/>
      <c r="J761" s="68"/>
      <c r="K761" s="32"/>
      <c r="L761" s="75">
        <v>761</v>
      </c>
      <c r="M761" s="75"/>
      <c r="N761" s="70"/>
      <c r="O761" s="77" t="s">
        <v>179</v>
      </c>
      <c r="P761" s="79">
        <v>45168.979351851849</v>
      </c>
      <c r="Q761" s="77" t="s">
        <v>1553</v>
      </c>
      <c r="R761" s="77">
        <v>0</v>
      </c>
      <c r="S761" s="77">
        <v>1</v>
      </c>
      <c r="T761" s="77">
        <v>0</v>
      </c>
      <c r="U761" s="77">
        <v>0</v>
      </c>
      <c r="V761" s="77">
        <v>130</v>
      </c>
      <c r="W761" s="82" t="s">
        <v>5268</v>
      </c>
      <c r="X761" s="80" t="str">
        <f>HYPERLINK("https://www.falkcapital.com.br/mercado/acoes?utm_source=twitter&amp;utm_medium=falkalertas&amp;utm_campaign=fechamentodemercado")</f>
        <v>https://www.falkcapital.com.br/mercado/acoes?utm_source=twitter&amp;utm_medium=falkalertas&amp;utm_campaign=fechamentodemercado</v>
      </c>
      <c r="Y761" s="77" t="s">
        <v>7053</v>
      </c>
      <c r="Z761" s="77"/>
      <c r="AA761" s="77"/>
      <c r="AB761" s="77"/>
      <c r="AC761" s="82" t="s">
        <v>8258</v>
      </c>
      <c r="AD761" s="77" t="s">
        <v>8278</v>
      </c>
      <c r="AE761" s="80" t="str">
        <f>HYPERLINK("https://twitter.com/falkalertas/status/1697028993730388049")</f>
        <v>https://twitter.com/falkalertas/status/1697028993730388049</v>
      </c>
      <c r="AF761" s="79">
        <v>45168.979351851849</v>
      </c>
      <c r="AG761" s="85">
        <v>45168</v>
      </c>
      <c r="AH761" s="82" t="s">
        <v>8982</v>
      </c>
      <c r="AI761" s="77" t="b">
        <v>0</v>
      </c>
      <c r="AJ761" s="77"/>
      <c r="AK761" s="77"/>
      <c r="AL761" s="77"/>
      <c r="AM761" s="77"/>
      <c r="AN761" s="77"/>
      <c r="AO761" s="77"/>
      <c r="AP761" s="77"/>
      <c r="AQ761" s="77"/>
      <c r="AR761" s="77"/>
      <c r="AS761" s="77"/>
      <c r="AT761" s="77"/>
      <c r="AU761" s="77"/>
      <c r="AV761" s="80" t="str">
        <f>HYPERLINK("https://pbs.twimg.com/profile_images/1619161712967434240/ISM2hv8y_normal.png")</f>
        <v>https://pbs.twimg.com/profile_images/1619161712967434240/ISM2hv8y_normal.png</v>
      </c>
      <c r="AW761" s="82" t="s">
        <v>13857</v>
      </c>
      <c r="AX761" s="82" t="s">
        <v>13857</v>
      </c>
      <c r="AY761" s="77"/>
      <c r="AZ761" s="82" t="s">
        <v>17385</v>
      </c>
      <c r="BA761" s="82" t="s">
        <v>17385</v>
      </c>
      <c r="BB761" s="82" t="s">
        <v>17385</v>
      </c>
      <c r="BC761" s="82" t="s">
        <v>13857</v>
      </c>
      <c r="BD761" s="82" t="s">
        <v>17529</v>
      </c>
      <c r="BE761" s="77"/>
      <c r="BF761" s="77"/>
      <c r="BG761" s="77"/>
      <c r="BH761" s="77"/>
      <c r="BI761" s="77"/>
    </row>
    <row r="762" spans="1:61" x14ac:dyDescent="0.25">
      <c r="A762" s="62" t="s">
        <v>395</v>
      </c>
      <c r="B762" s="62" t="s">
        <v>395</v>
      </c>
      <c r="C762" s="63"/>
      <c r="D762" s="64"/>
      <c r="E762" s="65"/>
      <c r="F762" s="66"/>
      <c r="G762" s="63"/>
      <c r="H762" s="67"/>
      <c r="I762" s="68"/>
      <c r="J762" s="68"/>
      <c r="K762" s="32"/>
      <c r="L762" s="75">
        <v>762</v>
      </c>
      <c r="M762" s="75"/>
      <c r="N762" s="70"/>
      <c r="O762" s="77" t="s">
        <v>179</v>
      </c>
      <c r="P762" s="79">
        <v>45156.985081018516</v>
      </c>
      <c r="Q762" s="77" t="s">
        <v>1554</v>
      </c>
      <c r="R762" s="77">
        <v>0</v>
      </c>
      <c r="S762" s="77">
        <v>1</v>
      </c>
      <c r="T762" s="77">
        <v>0</v>
      </c>
      <c r="U762" s="77">
        <v>0</v>
      </c>
      <c r="V762" s="77">
        <v>90</v>
      </c>
      <c r="W762" s="82" t="s">
        <v>5269</v>
      </c>
      <c r="X762" s="80" t="str">
        <f>HYPERLINK("https://www.falkcapital.com.br/mercado/acoes?utm_source=twitter&amp;utm_medium=falkalertas&amp;utm_campaign=fechamentodemercado")</f>
        <v>https://www.falkcapital.com.br/mercado/acoes?utm_source=twitter&amp;utm_medium=falkalertas&amp;utm_campaign=fechamentodemercado</v>
      </c>
      <c r="Y762" s="77" t="s">
        <v>7053</v>
      </c>
      <c r="Z762" s="77"/>
      <c r="AA762" s="77"/>
      <c r="AB762" s="77"/>
      <c r="AC762" s="82" t="s">
        <v>8258</v>
      </c>
      <c r="AD762" s="77" t="s">
        <v>8278</v>
      </c>
      <c r="AE762" s="80" t="str">
        <f>HYPERLINK("https://twitter.com/falkalertas/status/1692682417507651883")</f>
        <v>https://twitter.com/falkalertas/status/1692682417507651883</v>
      </c>
      <c r="AF762" s="79">
        <v>45156.985081018516</v>
      </c>
      <c r="AG762" s="85">
        <v>45156</v>
      </c>
      <c r="AH762" s="82" t="s">
        <v>8984</v>
      </c>
      <c r="AI762" s="77" t="b">
        <v>0</v>
      </c>
      <c r="AJ762" s="77"/>
      <c r="AK762" s="77"/>
      <c r="AL762" s="77"/>
      <c r="AM762" s="77"/>
      <c r="AN762" s="77"/>
      <c r="AO762" s="77"/>
      <c r="AP762" s="77"/>
      <c r="AQ762" s="77"/>
      <c r="AR762" s="77"/>
      <c r="AS762" s="77"/>
      <c r="AT762" s="77"/>
      <c r="AU762" s="77"/>
      <c r="AV762" s="80" t="str">
        <f>HYPERLINK("https://pbs.twimg.com/profile_images/1619161712967434240/ISM2hv8y_normal.png")</f>
        <v>https://pbs.twimg.com/profile_images/1619161712967434240/ISM2hv8y_normal.png</v>
      </c>
      <c r="AW762" s="82" t="s">
        <v>13858</v>
      </c>
      <c r="AX762" s="82" t="s">
        <v>13858</v>
      </c>
      <c r="AY762" s="77"/>
      <c r="AZ762" s="82" t="s">
        <v>17385</v>
      </c>
      <c r="BA762" s="82" t="s">
        <v>17385</v>
      </c>
      <c r="BB762" s="82" t="s">
        <v>17385</v>
      </c>
      <c r="BC762" s="82" t="s">
        <v>13858</v>
      </c>
      <c r="BD762" s="82" t="s">
        <v>17529</v>
      </c>
      <c r="BE762" s="77"/>
      <c r="BF762" s="77"/>
      <c r="BG762" s="77"/>
      <c r="BH762" s="77"/>
      <c r="BI762" s="77"/>
    </row>
    <row r="763" spans="1:61" x14ac:dyDescent="0.25">
      <c r="A763" s="62" t="s">
        <v>395</v>
      </c>
      <c r="B763" s="62" t="s">
        <v>395</v>
      </c>
      <c r="C763" s="63"/>
      <c r="D763" s="64"/>
      <c r="E763" s="65"/>
      <c r="F763" s="66"/>
      <c r="G763" s="63"/>
      <c r="H763" s="67"/>
      <c r="I763" s="68"/>
      <c r="J763" s="68"/>
      <c r="K763" s="32"/>
      <c r="L763" s="75">
        <v>763</v>
      </c>
      <c r="M763" s="75"/>
      <c r="N763" s="70"/>
      <c r="O763" s="77" t="s">
        <v>179</v>
      </c>
      <c r="P763" s="79">
        <v>45156.985081018516</v>
      </c>
      <c r="Q763" s="77" t="s">
        <v>1555</v>
      </c>
      <c r="R763" s="77">
        <v>0</v>
      </c>
      <c r="S763" s="77">
        <v>1</v>
      </c>
      <c r="T763" s="77">
        <v>0</v>
      </c>
      <c r="U763" s="77">
        <v>0</v>
      </c>
      <c r="V763" s="77">
        <v>133</v>
      </c>
      <c r="W763" s="82" t="s">
        <v>5270</v>
      </c>
      <c r="X763" s="80" t="str">
        <f>HYPERLINK("https://www.falkcapital.com.br/mercado/acoes?utm_source=twitter&amp;utm_medium=falkalertas&amp;utm_campaign=fechamentodemercado")</f>
        <v>https://www.falkcapital.com.br/mercado/acoes?utm_source=twitter&amp;utm_medium=falkalertas&amp;utm_campaign=fechamentodemercado</v>
      </c>
      <c r="Y763" s="77" t="s">
        <v>7053</v>
      </c>
      <c r="Z763" s="77"/>
      <c r="AA763" s="77"/>
      <c r="AB763" s="77"/>
      <c r="AC763" s="82" t="s">
        <v>8258</v>
      </c>
      <c r="AD763" s="77" t="s">
        <v>8278</v>
      </c>
      <c r="AE763" s="80" t="str">
        <f>HYPERLINK("https://twitter.com/falkalertas/status/1692682415808897062")</f>
        <v>https://twitter.com/falkalertas/status/1692682415808897062</v>
      </c>
      <c r="AF763" s="79">
        <v>45156.985081018516</v>
      </c>
      <c r="AG763" s="85">
        <v>45156</v>
      </c>
      <c r="AH763" s="82" t="s">
        <v>8984</v>
      </c>
      <c r="AI763" s="77" t="b">
        <v>0</v>
      </c>
      <c r="AJ763" s="77"/>
      <c r="AK763" s="77"/>
      <c r="AL763" s="77"/>
      <c r="AM763" s="77"/>
      <c r="AN763" s="77"/>
      <c r="AO763" s="77"/>
      <c r="AP763" s="77"/>
      <c r="AQ763" s="77"/>
      <c r="AR763" s="77"/>
      <c r="AS763" s="77"/>
      <c r="AT763" s="77"/>
      <c r="AU763" s="77"/>
      <c r="AV763" s="80" t="str">
        <f>HYPERLINK("https://pbs.twimg.com/profile_images/1619161712967434240/ISM2hv8y_normal.png")</f>
        <v>https://pbs.twimg.com/profile_images/1619161712967434240/ISM2hv8y_normal.png</v>
      </c>
      <c r="AW763" s="82" t="s">
        <v>13859</v>
      </c>
      <c r="AX763" s="82" t="s">
        <v>13859</v>
      </c>
      <c r="AY763" s="77"/>
      <c r="AZ763" s="82" t="s">
        <v>17385</v>
      </c>
      <c r="BA763" s="82" t="s">
        <v>17385</v>
      </c>
      <c r="BB763" s="82" t="s">
        <v>17385</v>
      </c>
      <c r="BC763" s="82" t="s">
        <v>13859</v>
      </c>
      <c r="BD763" s="82" t="s">
        <v>17529</v>
      </c>
      <c r="BE763" s="77"/>
      <c r="BF763" s="77"/>
      <c r="BG763" s="77"/>
      <c r="BH763" s="77"/>
      <c r="BI763" s="77"/>
    </row>
    <row r="764" spans="1:61" x14ac:dyDescent="0.25">
      <c r="A764" s="62" t="s">
        <v>395</v>
      </c>
      <c r="B764" s="62" t="s">
        <v>395</v>
      </c>
      <c r="C764" s="63"/>
      <c r="D764" s="64"/>
      <c r="E764" s="65"/>
      <c r="F764" s="66"/>
      <c r="G764" s="63"/>
      <c r="H764" s="67"/>
      <c r="I764" s="68"/>
      <c r="J764" s="68"/>
      <c r="K764" s="32"/>
      <c r="L764" s="75">
        <v>764</v>
      </c>
      <c r="M764" s="75"/>
      <c r="N764" s="70"/>
      <c r="O764" s="77" t="s">
        <v>179</v>
      </c>
      <c r="P764" s="79">
        <v>45147.97934027778</v>
      </c>
      <c r="Q764" s="77" t="s">
        <v>1556</v>
      </c>
      <c r="R764" s="77">
        <v>0</v>
      </c>
      <c r="S764" s="77">
        <v>1</v>
      </c>
      <c r="T764" s="77">
        <v>0</v>
      </c>
      <c r="U764" s="77">
        <v>0</v>
      </c>
      <c r="V764" s="77">
        <v>243</v>
      </c>
      <c r="W764" s="82" t="s">
        <v>5271</v>
      </c>
      <c r="X764" s="80" t="str">
        <f>HYPERLINK("https://www.falkcapital.com.br/mercado/acoes?utm_source=twitter&amp;utm_medium=falkalertas&amp;utm_campaign=fechamentodemercado")</f>
        <v>https://www.falkcapital.com.br/mercado/acoes?utm_source=twitter&amp;utm_medium=falkalertas&amp;utm_campaign=fechamentodemercado</v>
      </c>
      <c r="Y764" s="77" t="s">
        <v>7053</v>
      </c>
      <c r="Z764" s="77"/>
      <c r="AA764" s="77"/>
      <c r="AB764" s="77"/>
      <c r="AC764" s="82" t="s">
        <v>8258</v>
      </c>
      <c r="AD764" s="77" t="s">
        <v>8278</v>
      </c>
      <c r="AE764" s="80" t="str">
        <f>HYPERLINK("https://twitter.com/falkalertas/status/1689418847999217664")</f>
        <v>https://twitter.com/falkalertas/status/1689418847999217664</v>
      </c>
      <c r="AF764" s="79">
        <v>45147.97934027778</v>
      </c>
      <c r="AG764" s="85">
        <v>45147</v>
      </c>
      <c r="AH764" s="82" t="s">
        <v>8985</v>
      </c>
      <c r="AI764" s="77" t="b">
        <v>0</v>
      </c>
      <c r="AJ764" s="77"/>
      <c r="AK764" s="77"/>
      <c r="AL764" s="77"/>
      <c r="AM764" s="77"/>
      <c r="AN764" s="77"/>
      <c r="AO764" s="77"/>
      <c r="AP764" s="77"/>
      <c r="AQ764" s="77"/>
      <c r="AR764" s="77"/>
      <c r="AS764" s="77"/>
      <c r="AT764" s="77"/>
      <c r="AU764" s="77"/>
      <c r="AV764" s="80" t="str">
        <f>HYPERLINK("https://pbs.twimg.com/profile_images/1619161712967434240/ISM2hv8y_normal.png")</f>
        <v>https://pbs.twimg.com/profile_images/1619161712967434240/ISM2hv8y_normal.png</v>
      </c>
      <c r="AW764" s="82" t="s">
        <v>13860</v>
      </c>
      <c r="AX764" s="82" t="s">
        <v>13860</v>
      </c>
      <c r="AY764" s="77"/>
      <c r="AZ764" s="82" t="s">
        <v>17385</v>
      </c>
      <c r="BA764" s="82" t="s">
        <v>17385</v>
      </c>
      <c r="BB764" s="82" t="s">
        <v>17385</v>
      </c>
      <c r="BC764" s="82" t="s">
        <v>13860</v>
      </c>
      <c r="BD764" s="82" t="s">
        <v>17529</v>
      </c>
      <c r="BE764" s="77"/>
      <c r="BF764" s="77"/>
      <c r="BG764" s="77"/>
      <c r="BH764" s="77"/>
      <c r="BI764" s="77"/>
    </row>
    <row r="765" spans="1:61" x14ac:dyDescent="0.25">
      <c r="A765" s="62" t="s">
        <v>395</v>
      </c>
      <c r="B765" s="62" t="s">
        <v>395</v>
      </c>
      <c r="C765" s="63"/>
      <c r="D765" s="64"/>
      <c r="E765" s="65"/>
      <c r="F765" s="66"/>
      <c r="G765" s="63"/>
      <c r="H765" s="67"/>
      <c r="I765" s="68"/>
      <c r="J765" s="68"/>
      <c r="K765" s="32"/>
      <c r="L765" s="75">
        <v>765</v>
      </c>
      <c r="M765" s="75"/>
      <c r="N765" s="70"/>
      <c r="O765" s="77" t="s">
        <v>179</v>
      </c>
      <c r="P765" s="79">
        <v>45147.97934027778</v>
      </c>
      <c r="Q765" s="77" t="s">
        <v>1557</v>
      </c>
      <c r="R765" s="77">
        <v>0</v>
      </c>
      <c r="S765" s="77">
        <v>1</v>
      </c>
      <c r="T765" s="77">
        <v>0</v>
      </c>
      <c r="U765" s="77">
        <v>0</v>
      </c>
      <c r="V765" s="77">
        <v>186</v>
      </c>
      <c r="W765" s="82" t="s">
        <v>5272</v>
      </c>
      <c r="X765" s="80" t="str">
        <f>HYPERLINK("https://www.falkcapital.com.br/mercado/acoes?utm_source=twitter&amp;utm_medium=falkalertas&amp;utm_campaign=fechamentodemercado")</f>
        <v>https://www.falkcapital.com.br/mercado/acoes?utm_source=twitter&amp;utm_medium=falkalertas&amp;utm_campaign=fechamentodemercado</v>
      </c>
      <c r="Y765" s="77" t="s">
        <v>7053</v>
      </c>
      <c r="Z765" s="77"/>
      <c r="AA765" s="77"/>
      <c r="AB765" s="77"/>
      <c r="AC765" s="82" t="s">
        <v>8258</v>
      </c>
      <c r="AD765" s="77" t="s">
        <v>8278</v>
      </c>
      <c r="AE765" s="80" t="str">
        <f>HYPERLINK("https://twitter.com/falkalertas/status/1689418846040473600")</f>
        <v>https://twitter.com/falkalertas/status/1689418846040473600</v>
      </c>
      <c r="AF765" s="79">
        <v>45147.97934027778</v>
      </c>
      <c r="AG765" s="85">
        <v>45147</v>
      </c>
      <c r="AH765" s="82" t="s">
        <v>8985</v>
      </c>
      <c r="AI765" s="77" t="b">
        <v>0</v>
      </c>
      <c r="AJ765" s="77"/>
      <c r="AK765" s="77"/>
      <c r="AL765" s="77"/>
      <c r="AM765" s="77"/>
      <c r="AN765" s="77"/>
      <c r="AO765" s="77"/>
      <c r="AP765" s="77"/>
      <c r="AQ765" s="77"/>
      <c r="AR765" s="77"/>
      <c r="AS765" s="77"/>
      <c r="AT765" s="77"/>
      <c r="AU765" s="77"/>
      <c r="AV765" s="80" t="str">
        <f>HYPERLINK("https://pbs.twimg.com/profile_images/1619161712967434240/ISM2hv8y_normal.png")</f>
        <v>https://pbs.twimg.com/profile_images/1619161712967434240/ISM2hv8y_normal.png</v>
      </c>
      <c r="AW765" s="82" t="s">
        <v>13861</v>
      </c>
      <c r="AX765" s="82" t="s">
        <v>13861</v>
      </c>
      <c r="AY765" s="77"/>
      <c r="AZ765" s="82" t="s">
        <v>17385</v>
      </c>
      <c r="BA765" s="82" t="s">
        <v>17385</v>
      </c>
      <c r="BB765" s="82" t="s">
        <v>17385</v>
      </c>
      <c r="BC765" s="82" t="s">
        <v>13861</v>
      </c>
      <c r="BD765" s="82" t="s">
        <v>17529</v>
      </c>
      <c r="BE765" s="77"/>
      <c r="BF765" s="77"/>
      <c r="BG765" s="77"/>
      <c r="BH765" s="77"/>
      <c r="BI765" s="77"/>
    </row>
    <row r="766" spans="1:61" x14ac:dyDescent="0.25">
      <c r="A766" s="62" t="s">
        <v>395</v>
      </c>
      <c r="B766" s="62" t="s">
        <v>395</v>
      </c>
      <c r="C766" s="63"/>
      <c r="D766" s="64"/>
      <c r="E766" s="65"/>
      <c r="F766" s="66"/>
      <c r="G766" s="63"/>
      <c r="H766" s="67"/>
      <c r="I766" s="68"/>
      <c r="J766" s="68"/>
      <c r="K766" s="32"/>
      <c r="L766" s="75">
        <v>766</v>
      </c>
      <c r="M766" s="75"/>
      <c r="N766" s="70"/>
      <c r="O766" s="77" t="s">
        <v>179</v>
      </c>
      <c r="P766" s="79">
        <v>45084.97934027778</v>
      </c>
      <c r="Q766" s="77" t="s">
        <v>1558</v>
      </c>
      <c r="R766" s="77">
        <v>0</v>
      </c>
      <c r="S766" s="77">
        <v>0</v>
      </c>
      <c r="T766" s="77">
        <v>0</v>
      </c>
      <c r="U766" s="77">
        <v>0</v>
      </c>
      <c r="V766" s="77">
        <v>132</v>
      </c>
      <c r="W766" s="82" t="s">
        <v>5273</v>
      </c>
      <c r="X766" s="80" t="str">
        <f>HYPERLINK("https://www.falkcapital.com.br/mercado/acoes?utm_source=twitter&amp;utm_medium=falkalertas&amp;utm_campaign=fechamentodemercado")</f>
        <v>https://www.falkcapital.com.br/mercado/acoes?utm_source=twitter&amp;utm_medium=falkalertas&amp;utm_campaign=fechamentodemercado</v>
      </c>
      <c r="Y766" s="77" t="s">
        <v>7053</v>
      </c>
      <c r="Z766" s="77"/>
      <c r="AA766" s="77"/>
      <c r="AB766" s="77"/>
      <c r="AC766" s="82" t="s">
        <v>8257</v>
      </c>
      <c r="AD766" s="77" t="s">
        <v>8278</v>
      </c>
      <c r="AE766" s="80" t="str">
        <f>HYPERLINK("https://twitter.com/falkalertas/status/1666588411849764879")</f>
        <v>https://twitter.com/falkalertas/status/1666588411849764879</v>
      </c>
      <c r="AF766" s="79">
        <v>45084.97934027778</v>
      </c>
      <c r="AG766" s="85">
        <v>45084</v>
      </c>
      <c r="AH766" s="82" t="s">
        <v>8985</v>
      </c>
      <c r="AI766" s="77" t="b">
        <v>0</v>
      </c>
      <c r="AJ766" s="77"/>
      <c r="AK766" s="77"/>
      <c r="AL766" s="77"/>
      <c r="AM766" s="77"/>
      <c r="AN766" s="77"/>
      <c r="AO766" s="77"/>
      <c r="AP766" s="77"/>
      <c r="AQ766" s="77"/>
      <c r="AR766" s="77"/>
      <c r="AS766" s="77"/>
      <c r="AT766" s="77"/>
      <c r="AU766" s="77"/>
      <c r="AV766" s="80" t="str">
        <f>HYPERLINK("https://pbs.twimg.com/profile_images/1619161712967434240/ISM2hv8y_normal.png")</f>
        <v>https://pbs.twimg.com/profile_images/1619161712967434240/ISM2hv8y_normal.png</v>
      </c>
      <c r="AW766" s="82" t="s">
        <v>13862</v>
      </c>
      <c r="AX766" s="82" t="s">
        <v>13862</v>
      </c>
      <c r="AY766" s="77"/>
      <c r="AZ766" s="82" t="s">
        <v>17385</v>
      </c>
      <c r="BA766" s="82" t="s">
        <v>17385</v>
      </c>
      <c r="BB766" s="82" t="s">
        <v>17385</v>
      </c>
      <c r="BC766" s="82" t="s">
        <v>13862</v>
      </c>
      <c r="BD766" s="82" t="s">
        <v>17529</v>
      </c>
      <c r="BE766" s="77"/>
      <c r="BF766" s="77"/>
      <c r="BG766" s="77"/>
      <c r="BH766" s="77"/>
      <c r="BI766" s="77"/>
    </row>
    <row r="767" spans="1:61" x14ac:dyDescent="0.25">
      <c r="A767" s="62" t="s">
        <v>395</v>
      </c>
      <c r="B767" s="62" t="s">
        <v>395</v>
      </c>
      <c r="C767" s="63"/>
      <c r="D767" s="64"/>
      <c r="E767" s="65"/>
      <c r="F767" s="66"/>
      <c r="G767" s="63"/>
      <c r="H767" s="67"/>
      <c r="I767" s="68"/>
      <c r="J767" s="68"/>
      <c r="K767" s="32"/>
      <c r="L767" s="75">
        <v>767</v>
      </c>
      <c r="M767" s="75"/>
      <c r="N767" s="70"/>
      <c r="O767" s="77" t="s">
        <v>179</v>
      </c>
      <c r="P767" s="79">
        <v>45084.97934027778</v>
      </c>
      <c r="Q767" s="77" t="s">
        <v>1559</v>
      </c>
      <c r="R767" s="77">
        <v>0</v>
      </c>
      <c r="S767" s="77">
        <v>0</v>
      </c>
      <c r="T767" s="77">
        <v>0</v>
      </c>
      <c r="U767" s="77">
        <v>0</v>
      </c>
      <c r="V767" s="77">
        <v>42</v>
      </c>
      <c r="W767" s="82" t="s">
        <v>5274</v>
      </c>
      <c r="X767" s="80" t="str">
        <f>HYPERLINK("https://www.falkcapital.com.br/mercado/acoes?utm_source=twitter&amp;utm_medium=falkalertas&amp;utm_campaign=fechamentodemercado")</f>
        <v>https://www.falkcapital.com.br/mercado/acoes?utm_source=twitter&amp;utm_medium=falkalertas&amp;utm_campaign=fechamentodemercado</v>
      </c>
      <c r="Y767" s="77" t="s">
        <v>7053</v>
      </c>
      <c r="Z767" s="77"/>
      <c r="AA767" s="77"/>
      <c r="AB767" s="77"/>
      <c r="AC767" s="82" t="s">
        <v>8257</v>
      </c>
      <c r="AD767" s="77" t="s">
        <v>8278</v>
      </c>
      <c r="AE767" s="80" t="str">
        <f>HYPERLINK("https://twitter.com/falkalertas/status/1666588410755141636")</f>
        <v>https://twitter.com/falkalertas/status/1666588410755141636</v>
      </c>
      <c r="AF767" s="79">
        <v>45084.97934027778</v>
      </c>
      <c r="AG767" s="85">
        <v>45084</v>
      </c>
      <c r="AH767" s="82" t="s">
        <v>8985</v>
      </c>
      <c r="AI767" s="77" t="b">
        <v>0</v>
      </c>
      <c r="AJ767" s="77"/>
      <c r="AK767" s="77"/>
      <c r="AL767" s="77"/>
      <c r="AM767" s="77"/>
      <c r="AN767" s="77"/>
      <c r="AO767" s="77"/>
      <c r="AP767" s="77"/>
      <c r="AQ767" s="77"/>
      <c r="AR767" s="77"/>
      <c r="AS767" s="77"/>
      <c r="AT767" s="77"/>
      <c r="AU767" s="77"/>
      <c r="AV767" s="80" t="str">
        <f>HYPERLINK("https://pbs.twimg.com/profile_images/1619161712967434240/ISM2hv8y_normal.png")</f>
        <v>https://pbs.twimg.com/profile_images/1619161712967434240/ISM2hv8y_normal.png</v>
      </c>
      <c r="AW767" s="82" t="s">
        <v>13863</v>
      </c>
      <c r="AX767" s="82" t="s">
        <v>13863</v>
      </c>
      <c r="AY767" s="77"/>
      <c r="AZ767" s="82" t="s">
        <v>17385</v>
      </c>
      <c r="BA767" s="82" t="s">
        <v>17385</v>
      </c>
      <c r="BB767" s="82" t="s">
        <v>17385</v>
      </c>
      <c r="BC767" s="82" t="s">
        <v>13863</v>
      </c>
      <c r="BD767" s="82" t="s">
        <v>17529</v>
      </c>
      <c r="BE767" s="77"/>
      <c r="BF767" s="77"/>
      <c r="BG767" s="77"/>
      <c r="BH767" s="77"/>
      <c r="BI767" s="77"/>
    </row>
    <row r="768" spans="1:61" x14ac:dyDescent="0.25">
      <c r="A768" s="62" t="s">
        <v>395</v>
      </c>
      <c r="B768" s="62" t="s">
        <v>395</v>
      </c>
      <c r="C768" s="63"/>
      <c r="D768" s="64"/>
      <c r="E768" s="65"/>
      <c r="F768" s="66"/>
      <c r="G768" s="63"/>
      <c r="H768" s="67"/>
      <c r="I768" s="68"/>
      <c r="J768" s="68"/>
      <c r="K768" s="32"/>
      <c r="L768" s="75">
        <v>768</v>
      </c>
      <c r="M768" s="75"/>
      <c r="N768" s="70"/>
      <c r="O768" s="77" t="s">
        <v>179</v>
      </c>
      <c r="P768" s="79">
        <v>45083.979375000003</v>
      </c>
      <c r="Q768" s="77" t="s">
        <v>1560</v>
      </c>
      <c r="R768" s="77">
        <v>0</v>
      </c>
      <c r="S768" s="77">
        <v>0</v>
      </c>
      <c r="T768" s="77">
        <v>0</v>
      </c>
      <c r="U768" s="77">
        <v>0</v>
      </c>
      <c r="V768" s="77">
        <v>137</v>
      </c>
      <c r="W768" s="82" t="s">
        <v>5275</v>
      </c>
      <c r="X768" s="80" t="str">
        <f>HYPERLINK("https://www.falkcapital.com.br/mercado/acoes?utm_source=twitter&amp;utm_medium=falkalertas&amp;utm_campaign=fechamentodemercado")</f>
        <v>https://www.falkcapital.com.br/mercado/acoes?utm_source=twitter&amp;utm_medium=falkalertas&amp;utm_campaign=fechamentodemercado</v>
      </c>
      <c r="Y768" s="77" t="s">
        <v>7053</v>
      </c>
      <c r="Z768" s="77"/>
      <c r="AA768" s="77"/>
      <c r="AB768" s="77"/>
      <c r="AC768" s="82" t="s">
        <v>8257</v>
      </c>
      <c r="AD768" s="77" t="s">
        <v>8278</v>
      </c>
      <c r="AE768" s="80" t="str">
        <f>HYPERLINK("https://twitter.com/falkalertas/status/1666226035568918537")</f>
        <v>https://twitter.com/falkalertas/status/1666226035568918537</v>
      </c>
      <c r="AF768" s="79">
        <v>45083.979375000003</v>
      </c>
      <c r="AG768" s="85">
        <v>45083</v>
      </c>
      <c r="AH768" s="82" t="s">
        <v>8979</v>
      </c>
      <c r="AI768" s="77" t="b">
        <v>0</v>
      </c>
      <c r="AJ768" s="77"/>
      <c r="AK768" s="77"/>
      <c r="AL768" s="77"/>
      <c r="AM768" s="77"/>
      <c r="AN768" s="77"/>
      <c r="AO768" s="77"/>
      <c r="AP768" s="77"/>
      <c r="AQ768" s="77"/>
      <c r="AR768" s="77"/>
      <c r="AS768" s="77"/>
      <c r="AT768" s="77"/>
      <c r="AU768" s="77"/>
      <c r="AV768" s="80" t="str">
        <f>HYPERLINK("https://pbs.twimg.com/profile_images/1619161712967434240/ISM2hv8y_normal.png")</f>
        <v>https://pbs.twimg.com/profile_images/1619161712967434240/ISM2hv8y_normal.png</v>
      </c>
      <c r="AW768" s="82" t="s">
        <v>13864</v>
      </c>
      <c r="AX768" s="82" t="s">
        <v>13864</v>
      </c>
      <c r="AY768" s="77"/>
      <c r="AZ768" s="82" t="s">
        <v>17385</v>
      </c>
      <c r="BA768" s="82" t="s">
        <v>17385</v>
      </c>
      <c r="BB768" s="82" t="s">
        <v>17385</v>
      </c>
      <c r="BC768" s="82" t="s">
        <v>13864</v>
      </c>
      <c r="BD768" s="82" t="s">
        <v>17529</v>
      </c>
      <c r="BE768" s="77"/>
      <c r="BF768" s="77"/>
      <c r="BG768" s="77"/>
      <c r="BH768" s="77"/>
      <c r="BI768" s="77"/>
    </row>
    <row r="769" spans="1:61" x14ac:dyDescent="0.25">
      <c r="A769" s="62" t="s">
        <v>395</v>
      </c>
      <c r="B769" s="62" t="s">
        <v>395</v>
      </c>
      <c r="C769" s="63"/>
      <c r="D769" s="64"/>
      <c r="E769" s="65"/>
      <c r="F769" s="66"/>
      <c r="G769" s="63"/>
      <c r="H769" s="67"/>
      <c r="I769" s="68"/>
      <c r="J769" s="68"/>
      <c r="K769" s="32"/>
      <c r="L769" s="75">
        <v>769</v>
      </c>
      <c r="M769" s="75"/>
      <c r="N769" s="70"/>
      <c r="O769" s="77" t="s">
        <v>179</v>
      </c>
      <c r="P769" s="79">
        <v>45083.979375000003</v>
      </c>
      <c r="Q769" s="77" t="s">
        <v>1561</v>
      </c>
      <c r="R769" s="77">
        <v>0</v>
      </c>
      <c r="S769" s="77">
        <v>0</v>
      </c>
      <c r="T769" s="77">
        <v>0</v>
      </c>
      <c r="U769" s="77">
        <v>0</v>
      </c>
      <c r="V769" s="77">
        <v>41</v>
      </c>
      <c r="W769" s="82" t="s">
        <v>5276</v>
      </c>
      <c r="X769" s="80" t="str">
        <f>HYPERLINK("https://www.falkcapital.com.br/mercado/acoes?utm_source=twitter&amp;utm_medium=falkalertas&amp;utm_campaign=fechamentodemercado")</f>
        <v>https://www.falkcapital.com.br/mercado/acoes?utm_source=twitter&amp;utm_medium=falkalertas&amp;utm_campaign=fechamentodemercado</v>
      </c>
      <c r="Y769" s="77" t="s">
        <v>7053</v>
      </c>
      <c r="Z769" s="77"/>
      <c r="AA769" s="77"/>
      <c r="AB769" s="77"/>
      <c r="AC769" s="82" t="s">
        <v>8257</v>
      </c>
      <c r="AD769" s="77" t="s">
        <v>8278</v>
      </c>
      <c r="AE769" s="80" t="str">
        <f>HYPERLINK("https://twitter.com/falkalertas/status/1666226034457423876")</f>
        <v>https://twitter.com/falkalertas/status/1666226034457423876</v>
      </c>
      <c r="AF769" s="79">
        <v>45083.979375000003</v>
      </c>
      <c r="AG769" s="85">
        <v>45083</v>
      </c>
      <c r="AH769" s="82" t="s">
        <v>8979</v>
      </c>
      <c r="AI769" s="77" t="b">
        <v>0</v>
      </c>
      <c r="AJ769" s="77"/>
      <c r="AK769" s="77"/>
      <c r="AL769" s="77"/>
      <c r="AM769" s="77"/>
      <c r="AN769" s="77"/>
      <c r="AO769" s="77"/>
      <c r="AP769" s="77"/>
      <c r="AQ769" s="77"/>
      <c r="AR769" s="77"/>
      <c r="AS769" s="77"/>
      <c r="AT769" s="77"/>
      <c r="AU769" s="77"/>
      <c r="AV769" s="80" t="str">
        <f>HYPERLINK("https://pbs.twimg.com/profile_images/1619161712967434240/ISM2hv8y_normal.png")</f>
        <v>https://pbs.twimg.com/profile_images/1619161712967434240/ISM2hv8y_normal.png</v>
      </c>
      <c r="AW769" s="82" t="s">
        <v>13865</v>
      </c>
      <c r="AX769" s="82" t="s">
        <v>13865</v>
      </c>
      <c r="AY769" s="77"/>
      <c r="AZ769" s="82" t="s">
        <v>17385</v>
      </c>
      <c r="BA769" s="82" t="s">
        <v>17385</v>
      </c>
      <c r="BB769" s="82" t="s">
        <v>17385</v>
      </c>
      <c r="BC769" s="82" t="s">
        <v>13865</v>
      </c>
      <c r="BD769" s="82" t="s">
        <v>17529</v>
      </c>
      <c r="BE769" s="77"/>
      <c r="BF769" s="77"/>
      <c r="BG769" s="77"/>
      <c r="BH769" s="77"/>
      <c r="BI769" s="77"/>
    </row>
    <row r="770" spans="1:61" x14ac:dyDescent="0.25">
      <c r="A770" s="62" t="s">
        <v>395</v>
      </c>
      <c r="B770" s="62" t="s">
        <v>395</v>
      </c>
      <c r="C770" s="63"/>
      <c r="D770" s="64"/>
      <c r="E770" s="65"/>
      <c r="F770" s="66"/>
      <c r="G770" s="63"/>
      <c r="H770" s="67"/>
      <c r="I770" s="68"/>
      <c r="J770" s="68"/>
      <c r="K770" s="32"/>
      <c r="L770" s="75">
        <v>770</v>
      </c>
      <c r="M770" s="75"/>
      <c r="N770" s="70"/>
      <c r="O770" s="77" t="s">
        <v>179</v>
      </c>
      <c r="P770" s="79">
        <v>45068.979328703703</v>
      </c>
      <c r="Q770" s="77" t="s">
        <v>1562</v>
      </c>
      <c r="R770" s="77">
        <v>0</v>
      </c>
      <c r="S770" s="77">
        <v>0</v>
      </c>
      <c r="T770" s="77">
        <v>0</v>
      </c>
      <c r="U770" s="77">
        <v>0</v>
      </c>
      <c r="V770" s="77">
        <v>124</v>
      </c>
      <c r="W770" s="82" t="s">
        <v>5277</v>
      </c>
      <c r="X770" s="80" t="str">
        <f>HYPERLINK("https://www.falkcapital.com.br/mercado/acoes?utm_source=twitter&amp;utm_medium=falkalertas&amp;utm_campaign=fechamentodemercado")</f>
        <v>https://www.falkcapital.com.br/mercado/acoes?utm_source=twitter&amp;utm_medium=falkalertas&amp;utm_campaign=fechamentodemercado</v>
      </c>
      <c r="Y770" s="77" t="s">
        <v>7053</v>
      </c>
      <c r="Z770" s="77"/>
      <c r="AA770" s="77"/>
      <c r="AB770" s="77"/>
      <c r="AC770" s="82" t="s">
        <v>8257</v>
      </c>
      <c r="AD770" s="77" t="s">
        <v>8278</v>
      </c>
      <c r="AE770" s="80" t="str">
        <f>HYPERLINK("https://twitter.com/falkalertas/status/1660790199289278466")</f>
        <v>https://twitter.com/falkalertas/status/1660790199289278466</v>
      </c>
      <c r="AF770" s="79">
        <v>45068.979328703703</v>
      </c>
      <c r="AG770" s="85">
        <v>45068</v>
      </c>
      <c r="AH770" s="82" t="s">
        <v>8986</v>
      </c>
      <c r="AI770" s="77" t="b">
        <v>0</v>
      </c>
      <c r="AJ770" s="77"/>
      <c r="AK770" s="77"/>
      <c r="AL770" s="77"/>
      <c r="AM770" s="77"/>
      <c r="AN770" s="77"/>
      <c r="AO770" s="77"/>
      <c r="AP770" s="77"/>
      <c r="AQ770" s="77"/>
      <c r="AR770" s="77"/>
      <c r="AS770" s="77"/>
      <c r="AT770" s="77"/>
      <c r="AU770" s="77"/>
      <c r="AV770" s="80" t="str">
        <f>HYPERLINK("https://pbs.twimg.com/profile_images/1619161712967434240/ISM2hv8y_normal.png")</f>
        <v>https://pbs.twimg.com/profile_images/1619161712967434240/ISM2hv8y_normal.png</v>
      </c>
      <c r="AW770" s="82" t="s">
        <v>13866</v>
      </c>
      <c r="AX770" s="82" t="s">
        <v>13866</v>
      </c>
      <c r="AY770" s="77"/>
      <c r="AZ770" s="82" t="s">
        <v>17385</v>
      </c>
      <c r="BA770" s="82" t="s">
        <v>17385</v>
      </c>
      <c r="BB770" s="82" t="s">
        <v>17385</v>
      </c>
      <c r="BC770" s="82" t="s">
        <v>13866</v>
      </c>
      <c r="BD770" s="82" t="s">
        <v>17529</v>
      </c>
      <c r="BE770" s="77"/>
      <c r="BF770" s="77"/>
      <c r="BG770" s="77"/>
      <c r="BH770" s="77"/>
      <c r="BI770" s="77"/>
    </row>
    <row r="771" spans="1:61" x14ac:dyDescent="0.25">
      <c r="A771" s="62" t="s">
        <v>395</v>
      </c>
      <c r="B771" s="62" t="s">
        <v>395</v>
      </c>
      <c r="C771" s="63"/>
      <c r="D771" s="64"/>
      <c r="E771" s="65"/>
      <c r="F771" s="66"/>
      <c r="G771" s="63"/>
      <c r="H771" s="67"/>
      <c r="I771" s="68"/>
      <c r="J771" s="68"/>
      <c r="K771" s="32"/>
      <c r="L771" s="75">
        <v>771</v>
      </c>
      <c r="M771" s="75"/>
      <c r="N771" s="70"/>
      <c r="O771" s="77" t="s">
        <v>179</v>
      </c>
      <c r="P771" s="79">
        <v>45068.979317129626</v>
      </c>
      <c r="Q771" s="77" t="s">
        <v>1563</v>
      </c>
      <c r="R771" s="77">
        <v>0</v>
      </c>
      <c r="S771" s="77">
        <v>0</v>
      </c>
      <c r="T771" s="77">
        <v>0</v>
      </c>
      <c r="U771" s="77">
        <v>0</v>
      </c>
      <c r="V771" s="77">
        <v>118</v>
      </c>
      <c r="W771" s="82" t="s">
        <v>5278</v>
      </c>
      <c r="X771" s="80" t="str">
        <f>HYPERLINK("https://www.falkcapital.com.br/mercado/acoes?utm_source=twitter&amp;utm_medium=falkalertas&amp;utm_campaign=fechamentodemercado")</f>
        <v>https://www.falkcapital.com.br/mercado/acoes?utm_source=twitter&amp;utm_medium=falkalertas&amp;utm_campaign=fechamentodemercado</v>
      </c>
      <c r="Y771" s="77" t="s">
        <v>7053</v>
      </c>
      <c r="Z771" s="77"/>
      <c r="AA771" s="77"/>
      <c r="AB771" s="77"/>
      <c r="AC771" s="82" t="s">
        <v>8257</v>
      </c>
      <c r="AD771" s="77" t="s">
        <v>8278</v>
      </c>
      <c r="AE771" s="80" t="str">
        <f>HYPERLINK("https://twitter.com/falkalertas/status/1660790197884256257")</f>
        <v>https://twitter.com/falkalertas/status/1660790197884256257</v>
      </c>
      <c r="AF771" s="79">
        <v>45068.979317129626</v>
      </c>
      <c r="AG771" s="85">
        <v>45068</v>
      </c>
      <c r="AH771" s="82" t="s">
        <v>8987</v>
      </c>
      <c r="AI771" s="77" t="b">
        <v>0</v>
      </c>
      <c r="AJ771" s="77"/>
      <c r="AK771" s="77"/>
      <c r="AL771" s="77"/>
      <c r="AM771" s="77"/>
      <c r="AN771" s="77"/>
      <c r="AO771" s="77"/>
      <c r="AP771" s="77"/>
      <c r="AQ771" s="77"/>
      <c r="AR771" s="77"/>
      <c r="AS771" s="77"/>
      <c r="AT771" s="77"/>
      <c r="AU771" s="77"/>
      <c r="AV771" s="80" t="str">
        <f>HYPERLINK("https://pbs.twimg.com/profile_images/1619161712967434240/ISM2hv8y_normal.png")</f>
        <v>https://pbs.twimg.com/profile_images/1619161712967434240/ISM2hv8y_normal.png</v>
      </c>
      <c r="AW771" s="82" t="s">
        <v>13867</v>
      </c>
      <c r="AX771" s="82" t="s">
        <v>13867</v>
      </c>
      <c r="AY771" s="77"/>
      <c r="AZ771" s="82" t="s">
        <v>17385</v>
      </c>
      <c r="BA771" s="82" t="s">
        <v>17385</v>
      </c>
      <c r="BB771" s="82" t="s">
        <v>17385</v>
      </c>
      <c r="BC771" s="82" t="s">
        <v>13867</v>
      </c>
      <c r="BD771" s="82" t="s">
        <v>17529</v>
      </c>
      <c r="BE771" s="77"/>
      <c r="BF771" s="77"/>
      <c r="BG771" s="77"/>
      <c r="BH771" s="77"/>
      <c r="BI771" s="77"/>
    </row>
    <row r="772" spans="1:61" x14ac:dyDescent="0.25">
      <c r="A772" s="62" t="s">
        <v>395</v>
      </c>
      <c r="B772" s="62" t="s">
        <v>395</v>
      </c>
      <c r="C772" s="63"/>
      <c r="D772" s="64"/>
      <c r="E772" s="65"/>
      <c r="F772" s="66"/>
      <c r="G772" s="63"/>
      <c r="H772" s="67"/>
      <c r="I772" s="68"/>
      <c r="J772" s="68"/>
      <c r="K772" s="32"/>
      <c r="L772" s="75">
        <v>772</v>
      </c>
      <c r="M772" s="75"/>
      <c r="N772" s="70"/>
      <c r="O772" s="77" t="s">
        <v>179</v>
      </c>
      <c r="P772" s="79">
        <v>45051.97929398148</v>
      </c>
      <c r="Q772" s="77" t="s">
        <v>1564</v>
      </c>
      <c r="R772" s="77">
        <v>0</v>
      </c>
      <c r="S772" s="77">
        <v>0</v>
      </c>
      <c r="T772" s="77">
        <v>0</v>
      </c>
      <c r="U772" s="77">
        <v>0</v>
      </c>
      <c r="V772" s="77">
        <v>54</v>
      </c>
      <c r="W772" s="82" t="s">
        <v>5279</v>
      </c>
      <c r="X772" s="80" t="str">
        <f>HYPERLINK("https://www.falkcapital.com.br/mercado/acoes?utm_source=twitter&amp;utm_medium=falkalertas&amp;utm_campaign=fechamentodemercado")</f>
        <v>https://www.falkcapital.com.br/mercado/acoes?utm_source=twitter&amp;utm_medium=falkalertas&amp;utm_campaign=fechamentodemercado</v>
      </c>
      <c r="Y772" s="77" t="s">
        <v>7053</v>
      </c>
      <c r="Z772" s="77"/>
      <c r="AA772" s="77"/>
      <c r="AB772" s="77"/>
      <c r="AC772" s="82" t="s">
        <v>8257</v>
      </c>
      <c r="AD772" s="77" t="s">
        <v>8278</v>
      </c>
      <c r="AE772" s="80" t="str">
        <f>HYPERLINK("https://twitter.com/falkalertas/status/1654629595814023168")</f>
        <v>https://twitter.com/falkalertas/status/1654629595814023168</v>
      </c>
      <c r="AF772" s="79">
        <v>45051.97929398148</v>
      </c>
      <c r="AG772" s="85">
        <v>45051</v>
      </c>
      <c r="AH772" s="82" t="s">
        <v>8980</v>
      </c>
      <c r="AI772" s="77" t="b">
        <v>0</v>
      </c>
      <c r="AJ772" s="77"/>
      <c r="AK772" s="77"/>
      <c r="AL772" s="77"/>
      <c r="AM772" s="77"/>
      <c r="AN772" s="77"/>
      <c r="AO772" s="77"/>
      <c r="AP772" s="77"/>
      <c r="AQ772" s="77"/>
      <c r="AR772" s="77"/>
      <c r="AS772" s="77"/>
      <c r="AT772" s="77"/>
      <c r="AU772" s="77"/>
      <c r="AV772" s="80" t="str">
        <f>HYPERLINK("https://pbs.twimg.com/profile_images/1619161712967434240/ISM2hv8y_normal.png")</f>
        <v>https://pbs.twimg.com/profile_images/1619161712967434240/ISM2hv8y_normal.png</v>
      </c>
      <c r="AW772" s="82" t="s">
        <v>13868</v>
      </c>
      <c r="AX772" s="82" t="s">
        <v>13868</v>
      </c>
      <c r="AY772" s="77"/>
      <c r="AZ772" s="82" t="s">
        <v>17385</v>
      </c>
      <c r="BA772" s="82" t="s">
        <v>17385</v>
      </c>
      <c r="BB772" s="82" t="s">
        <v>17385</v>
      </c>
      <c r="BC772" s="82" t="s">
        <v>13868</v>
      </c>
      <c r="BD772" s="82" t="s">
        <v>17529</v>
      </c>
      <c r="BE772" s="77"/>
      <c r="BF772" s="77"/>
      <c r="BG772" s="77"/>
      <c r="BH772" s="77"/>
      <c r="BI772" s="77"/>
    </row>
    <row r="773" spans="1:61" x14ac:dyDescent="0.25">
      <c r="A773" s="62" t="s">
        <v>395</v>
      </c>
      <c r="B773" s="62" t="s">
        <v>395</v>
      </c>
      <c r="C773" s="63"/>
      <c r="D773" s="64"/>
      <c r="E773" s="65"/>
      <c r="F773" s="66"/>
      <c r="G773" s="63"/>
      <c r="H773" s="67"/>
      <c r="I773" s="68"/>
      <c r="J773" s="68"/>
      <c r="K773" s="32"/>
      <c r="L773" s="75">
        <v>773</v>
      </c>
      <c r="M773" s="75"/>
      <c r="N773" s="70"/>
      <c r="O773" s="77" t="s">
        <v>179</v>
      </c>
      <c r="P773" s="79">
        <v>45051.97929398148</v>
      </c>
      <c r="Q773" s="77" t="s">
        <v>1565</v>
      </c>
      <c r="R773" s="77">
        <v>0</v>
      </c>
      <c r="S773" s="77">
        <v>0</v>
      </c>
      <c r="T773" s="77">
        <v>0</v>
      </c>
      <c r="U773" s="77">
        <v>0</v>
      </c>
      <c r="V773" s="77">
        <v>111</v>
      </c>
      <c r="W773" s="82" t="s">
        <v>5280</v>
      </c>
      <c r="X773" s="80" t="str">
        <f>HYPERLINK("https://www.falkcapital.com.br/mercado/acoes?utm_source=twitter&amp;utm_medium=falkalertas&amp;utm_campaign=fechamentodemercado")</f>
        <v>https://www.falkcapital.com.br/mercado/acoes?utm_source=twitter&amp;utm_medium=falkalertas&amp;utm_campaign=fechamentodemercado</v>
      </c>
      <c r="Y773" s="77" t="s">
        <v>7053</v>
      </c>
      <c r="Z773" s="77"/>
      <c r="AA773" s="77"/>
      <c r="AB773" s="77"/>
      <c r="AC773" s="82" t="s">
        <v>8257</v>
      </c>
      <c r="AD773" s="77" t="s">
        <v>8278</v>
      </c>
      <c r="AE773" s="80" t="str">
        <f>HYPERLINK("https://twitter.com/falkalertas/status/1654629594740170752")</f>
        <v>https://twitter.com/falkalertas/status/1654629594740170752</v>
      </c>
      <c r="AF773" s="79">
        <v>45051.97929398148</v>
      </c>
      <c r="AG773" s="85">
        <v>45051</v>
      </c>
      <c r="AH773" s="82" t="s">
        <v>8980</v>
      </c>
      <c r="AI773" s="77" t="b">
        <v>0</v>
      </c>
      <c r="AJ773" s="77"/>
      <c r="AK773" s="77"/>
      <c r="AL773" s="77"/>
      <c r="AM773" s="77"/>
      <c r="AN773" s="77"/>
      <c r="AO773" s="77"/>
      <c r="AP773" s="77"/>
      <c r="AQ773" s="77"/>
      <c r="AR773" s="77"/>
      <c r="AS773" s="77"/>
      <c r="AT773" s="77"/>
      <c r="AU773" s="77"/>
      <c r="AV773" s="80" t="str">
        <f>HYPERLINK("https://pbs.twimg.com/profile_images/1619161712967434240/ISM2hv8y_normal.png")</f>
        <v>https://pbs.twimg.com/profile_images/1619161712967434240/ISM2hv8y_normal.png</v>
      </c>
      <c r="AW773" s="82" t="s">
        <v>13869</v>
      </c>
      <c r="AX773" s="82" t="s">
        <v>13869</v>
      </c>
      <c r="AY773" s="77"/>
      <c r="AZ773" s="82" t="s">
        <v>17385</v>
      </c>
      <c r="BA773" s="82" t="s">
        <v>17385</v>
      </c>
      <c r="BB773" s="82" t="s">
        <v>17385</v>
      </c>
      <c r="BC773" s="82" t="s">
        <v>13869</v>
      </c>
      <c r="BD773" s="82" t="s">
        <v>17529</v>
      </c>
      <c r="BE773" s="77"/>
      <c r="BF773" s="77"/>
      <c r="BG773" s="77"/>
      <c r="BH773" s="77"/>
      <c r="BI773" s="77"/>
    </row>
    <row r="774" spans="1:61" x14ac:dyDescent="0.25">
      <c r="A774" s="62" t="s">
        <v>395</v>
      </c>
      <c r="B774" s="62" t="s">
        <v>395</v>
      </c>
      <c r="C774" s="63"/>
      <c r="D774" s="64"/>
      <c r="E774" s="65"/>
      <c r="F774" s="66"/>
      <c r="G774" s="63"/>
      <c r="H774" s="67"/>
      <c r="I774" s="68"/>
      <c r="J774" s="68"/>
      <c r="K774" s="32"/>
      <c r="L774" s="75">
        <v>774</v>
      </c>
      <c r="M774" s="75"/>
      <c r="N774" s="70"/>
      <c r="O774" s="77" t="s">
        <v>179</v>
      </c>
      <c r="P774" s="79">
        <v>45050.979317129626</v>
      </c>
      <c r="Q774" s="77" t="s">
        <v>1566</v>
      </c>
      <c r="R774" s="77">
        <v>0</v>
      </c>
      <c r="S774" s="77">
        <v>0</v>
      </c>
      <c r="T774" s="77">
        <v>0</v>
      </c>
      <c r="U774" s="77">
        <v>0</v>
      </c>
      <c r="V774" s="77">
        <v>62</v>
      </c>
      <c r="W774" s="82" t="s">
        <v>5281</v>
      </c>
      <c r="X774" s="80" t="str">
        <f>HYPERLINK("https://www.falkcapital.com.br/mercado/acoes?utm_source=twitter&amp;utm_medium=falkalertas&amp;utm_campaign=fechamentodemercado")</f>
        <v>https://www.falkcapital.com.br/mercado/acoes?utm_source=twitter&amp;utm_medium=falkalertas&amp;utm_campaign=fechamentodemercado</v>
      </c>
      <c r="Y774" s="77" t="s">
        <v>7053</v>
      </c>
      <c r="Z774" s="77"/>
      <c r="AA774" s="77"/>
      <c r="AB774" s="77"/>
      <c r="AC774" s="82" t="s">
        <v>8257</v>
      </c>
      <c r="AD774" s="77" t="s">
        <v>8278</v>
      </c>
      <c r="AE774" s="80" t="str">
        <f>HYPERLINK("https://twitter.com/falkalertas/status/1654267213740756994")</f>
        <v>https://twitter.com/falkalertas/status/1654267213740756994</v>
      </c>
      <c r="AF774" s="79">
        <v>45050.979317129626</v>
      </c>
      <c r="AG774" s="85">
        <v>45050</v>
      </c>
      <c r="AH774" s="82" t="s">
        <v>8987</v>
      </c>
      <c r="AI774" s="77" t="b">
        <v>0</v>
      </c>
      <c r="AJ774" s="77"/>
      <c r="AK774" s="77"/>
      <c r="AL774" s="77"/>
      <c r="AM774" s="77"/>
      <c r="AN774" s="77"/>
      <c r="AO774" s="77"/>
      <c r="AP774" s="77"/>
      <c r="AQ774" s="77"/>
      <c r="AR774" s="77"/>
      <c r="AS774" s="77"/>
      <c r="AT774" s="77"/>
      <c r="AU774" s="77"/>
      <c r="AV774" s="80" t="str">
        <f>HYPERLINK("https://pbs.twimg.com/profile_images/1619161712967434240/ISM2hv8y_normal.png")</f>
        <v>https://pbs.twimg.com/profile_images/1619161712967434240/ISM2hv8y_normal.png</v>
      </c>
      <c r="AW774" s="82" t="s">
        <v>13870</v>
      </c>
      <c r="AX774" s="82" t="s">
        <v>13870</v>
      </c>
      <c r="AY774" s="77"/>
      <c r="AZ774" s="82" t="s">
        <v>17385</v>
      </c>
      <c r="BA774" s="82" t="s">
        <v>17385</v>
      </c>
      <c r="BB774" s="82" t="s">
        <v>17385</v>
      </c>
      <c r="BC774" s="82" t="s">
        <v>13870</v>
      </c>
      <c r="BD774" s="82" t="s">
        <v>17529</v>
      </c>
      <c r="BE774" s="77"/>
      <c r="BF774" s="77"/>
      <c r="BG774" s="77"/>
      <c r="BH774" s="77"/>
      <c r="BI774" s="77"/>
    </row>
    <row r="775" spans="1:61" x14ac:dyDescent="0.25">
      <c r="A775" s="62" t="s">
        <v>395</v>
      </c>
      <c r="B775" s="62" t="s">
        <v>395</v>
      </c>
      <c r="C775" s="63"/>
      <c r="D775" s="64"/>
      <c r="E775" s="65"/>
      <c r="F775" s="66"/>
      <c r="G775" s="63"/>
      <c r="H775" s="67"/>
      <c r="I775" s="68"/>
      <c r="J775" s="68"/>
      <c r="K775" s="32"/>
      <c r="L775" s="75">
        <v>775</v>
      </c>
      <c r="M775" s="75"/>
      <c r="N775" s="70"/>
      <c r="O775" s="77" t="s">
        <v>179</v>
      </c>
      <c r="P775" s="79">
        <v>45050.979305555556</v>
      </c>
      <c r="Q775" s="77" t="s">
        <v>1567</v>
      </c>
      <c r="R775" s="77">
        <v>0</v>
      </c>
      <c r="S775" s="77">
        <v>0</v>
      </c>
      <c r="T775" s="77">
        <v>0</v>
      </c>
      <c r="U775" s="77">
        <v>0</v>
      </c>
      <c r="V775" s="77">
        <v>108</v>
      </c>
      <c r="W775" s="82" t="s">
        <v>5282</v>
      </c>
      <c r="X775" s="80" t="str">
        <f>HYPERLINK("https://www.falkcapital.com.br/mercado/acoes?utm_source=twitter&amp;utm_medium=falkalertas&amp;utm_campaign=fechamentodemercado")</f>
        <v>https://www.falkcapital.com.br/mercado/acoes?utm_source=twitter&amp;utm_medium=falkalertas&amp;utm_campaign=fechamentodemercado</v>
      </c>
      <c r="Y775" s="77" t="s">
        <v>7053</v>
      </c>
      <c r="Z775" s="77"/>
      <c r="AA775" s="77"/>
      <c r="AB775" s="77"/>
      <c r="AC775" s="82" t="s">
        <v>8257</v>
      </c>
      <c r="AD775" s="77" t="s">
        <v>8278</v>
      </c>
      <c r="AE775" s="80" t="str">
        <f>HYPERLINK("https://twitter.com/falkalertas/status/1654267212587311104")</f>
        <v>https://twitter.com/falkalertas/status/1654267212587311104</v>
      </c>
      <c r="AF775" s="79">
        <v>45050.979305555556</v>
      </c>
      <c r="AG775" s="85">
        <v>45050</v>
      </c>
      <c r="AH775" s="82" t="s">
        <v>8977</v>
      </c>
      <c r="AI775" s="77" t="b">
        <v>0</v>
      </c>
      <c r="AJ775" s="77"/>
      <c r="AK775" s="77"/>
      <c r="AL775" s="77"/>
      <c r="AM775" s="77"/>
      <c r="AN775" s="77"/>
      <c r="AO775" s="77"/>
      <c r="AP775" s="77"/>
      <c r="AQ775" s="77"/>
      <c r="AR775" s="77"/>
      <c r="AS775" s="77"/>
      <c r="AT775" s="77"/>
      <c r="AU775" s="77"/>
      <c r="AV775" s="80" t="str">
        <f>HYPERLINK("https://pbs.twimg.com/profile_images/1619161712967434240/ISM2hv8y_normal.png")</f>
        <v>https://pbs.twimg.com/profile_images/1619161712967434240/ISM2hv8y_normal.png</v>
      </c>
      <c r="AW775" s="82" t="s">
        <v>13871</v>
      </c>
      <c r="AX775" s="82" t="s">
        <v>13871</v>
      </c>
      <c r="AY775" s="77"/>
      <c r="AZ775" s="82" t="s">
        <v>17385</v>
      </c>
      <c r="BA775" s="82" t="s">
        <v>17385</v>
      </c>
      <c r="BB775" s="82" t="s">
        <v>17385</v>
      </c>
      <c r="BC775" s="82" t="s">
        <v>13871</v>
      </c>
      <c r="BD775" s="82" t="s">
        <v>17529</v>
      </c>
      <c r="BE775" s="77"/>
      <c r="BF775" s="77"/>
      <c r="BG775" s="77"/>
      <c r="BH775" s="77"/>
      <c r="BI775" s="77"/>
    </row>
    <row r="776" spans="1:61" x14ac:dyDescent="0.25">
      <c r="A776" s="62" t="s">
        <v>395</v>
      </c>
      <c r="B776" s="62" t="s">
        <v>395</v>
      </c>
      <c r="C776" s="63"/>
      <c r="D776" s="64"/>
      <c r="E776" s="65"/>
      <c r="F776" s="66"/>
      <c r="G776" s="63"/>
      <c r="H776" s="67"/>
      <c r="I776" s="68"/>
      <c r="J776" s="68"/>
      <c r="K776" s="32"/>
      <c r="L776" s="75">
        <v>776</v>
      </c>
      <c r="M776" s="75"/>
      <c r="N776" s="70"/>
      <c r="O776" s="77" t="s">
        <v>179</v>
      </c>
      <c r="P776" s="79">
        <v>45049.979305555556</v>
      </c>
      <c r="Q776" s="77" t="s">
        <v>1568</v>
      </c>
      <c r="R776" s="77">
        <v>0</v>
      </c>
      <c r="S776" s="77">
        <v>0</v>
      </c>
      <c r="T776" s="77">
        <v>1</v>
      </c>
      <c r="U776" s="77">
        <v>0</v>
      </c>
      <c r="V776" s="77">
        <v>123</v>
      </c>
      <c r="W776" s="82" t="s">
        <v>5283</v>
      </c>
      <c r="X776" s="80" t="str">
        <f>HYPERLINK("https://www.falkcapital.com.br/mercado/acoes?utm_source=twitter&amp;utm_medium=falkalertas&amp;utm_campaign=fechamentodemercado")</f>
        <v>https://www.falkcapital.com.br/mercado/acoes?utm_source=twitter&amp;utm_medium=falkalertas&amp;utm_campaign=fechamentodemercado</v>
      </c>
      <c r="Y776" s="77" t="s">
        <v>7053</v>
      </c>
      <c r="Z776" s="77"/>
      <c r="AA776" s="77"/>
      <c r="AB776" s="77"/>
      <c r="AC776" s="82" t="s">
        <v>8257</v>
      </c>
      <c r="AD776" s="77" t="s">
        <v>8278</v>
      </c>
      <c r="AE776" s="80" t="str">
        <f>HYPERLINK("https://twitter.com/falkalertas/status/1653904822356041728")</f>
        <v>https://twitter.com/falkalertas/status/1653904822356041728</v>
      </c>
      <c r="AF776" s="79">
        <v>45049.979305555556</v>
      </c>
      <c r="AG776" s="85">
        <v>45049</v>
      </c>
      <c r="AH776" s="82" t="s">
        <v>8977</v>
      </c>
      <c r="AI776" s="77" t="b">
        <v>0</v>
      </c>
      <c r="AJ776" s="77"/>
      <c r="AK776" s="77"/>
      <c r="AL776" s="77"/>
      <c r="AM776" s="77"/>
      <c r="AN776" s="77"/>
      <c r="AO776" s="77"/>
      <c r="AP776" s="77"/>
      <c r="AQ776" s="77"/>
      <c r="AR776" s="77"/>
      <c r="AS776" s="77"/>
      <c r="AT776" s="77"/>
      <c r="AU776" s="77"/>
      <c r="AV776" s="80" t="str">
        <f>HYPERLINK("https://pbs.twimg.com/profile_images/1619161712967434240/ISM2hv8y_normal.png")</f>
        <v>https://pbs.twimg.com/profile_images/1619161712967434240/ISM2hv8y_normal.png</v>
      </c>
      <c r="AW776" s="82" t="s">
        <v>13872</v>
      </c>
      <c r="AX776" s="82" t="s">
        <v>13872</v>
      </c>
      <c r="AY776" s="77"/>
      <c r="AZ776" s="82" t="s">
        <v>17385</v>
      </c>
      <c r="BA776" s="82" t="s">
        <v>17385</v>
      </c>
      <c r="BB776" s="82" t="s">
        <v>17385</v>
      </c>
      <c r="BC776" s="82" t="s">
        <v>13872</v>
      </c>
      <c r="BD776" s="82" t="s">
        <v>17529</v>
      </c>
      <c r="BE776" s="77"/>
      <c r="BF776" s="77"/>
      <c r="BG776" s="77"/>
      <c r="BH776" s="77"/>
      <c r="BI776" s="77"/>
    </row>
    <row r="777" spans="1:61" x14ac:dyDescent="0.25">
      <c r="A777" s="62" t="s">
        <v>395</v>
      </c>
      <c r="B777" s="62" t="s">
        <v>395</v>
      </c>
      <c r="C777" s="63"/>
      <c r="D777" s="64"/>
      <c r="E777" s="65"/>
      <c r="F777" s="66"/>
      <c r="G777" s="63"/>
      <c r="H777" s="67"/>
      <c r="I777" s="68"/>
      <c r="J777" s="68"/>
      <c r="K777" s="32"/>
      <c r="L777" s="75">
        <v>777</v>
      </c>
      <c r="M777" s="75"/>
      <c r="N777" s="70"/>
      <c r="O777" s="77" t="s">
        <v>179</v>
      </c>
      <c r="P777" s="79">
        <v>45049.979305555556</v>
      </c>
      <c r="Q777" s="77" t="s">
        <v>1569</v>
      </c>
      <c r="R777" s="77">
        <v>0</v>
      </c>
      <c r="S777" s="77">
        <v>1</v>
      </c>
      <c r="T777" s="77">
        <v>0</v>
      </c>
      <c r="U777" s="77">
        <v>0</v>
      </c>
      <c r="V777" s="77">
        <v>103</v>
      </c>
      <c r="W777" s="82" t="s">
        <v>5284</v>
      </c>
      <c r="X777" s="80" t="str">
        <f>HYPERLINK("https://www.falkcapital.com.br/mercado/acoes?utm_source=twitter&amp;utm_medium=falkalertas&amp;utm_campaign=fechamentodemercado")</f>
        <v>https://www.falkcapital.com.br/mercado/acoes?utm_source=twitter&amp;utm_medium=falkalertas&amp;utm_campaign=fechamentodemercado</v>
      </c>
      <c r="Y777" s="77" t="s">
        <v>7053</v>
      </c>
      <c r="Z777" s="77"/>
      <c r="AA777" s="77"/>
      <c r="AB777" s="77"/>
      <c r="AC777" s="82" t="s">
        <v>8257</v>
      </c>
      <c r="AD777" s="77" t="s">
        <v>8278</v>
      </c>
      <c r="AE777" s="80" t="str">
        <f>HYPERLINK("https://twitter.com/falkalertas/status/1653904821240451072")</f>
        <v>https://twitter.com/falkalertas/status/1653904821240451072</v>
      </c>
      <c r="AF777" s="79">
        <v>45049.979305555556</v>
      </c>
      <c r="AG777" s="85">
        <v>45049</v>
      </c>
      <c r="AH777" s="82" t="s">
        <v>8977</v>
      </c>
      <c r="AI777" s="77" t="b">
        <v>0</v>
      </c>
      <c r="AJ777" s="77"/>
      <c r="AK777" s="77"/>
      <c r="AL777" s="77"/>
      <c r="AM777" s="77"/>
      <c r="AN777" s="77"/>
      <c r="AO777" s="77"/>
      <c r="AP777" s="77"/>
      <c r="AQ777" s="77"/>
      <c r="AR777" s="77"/>
      <c r="AS777" s="77"/>
      <c r="AT777" s="77"/>
      <c r="AU777" s="77"/>
      <c r="AV777" s="80" t="str">
        <f>HYPERLINK("https://pbs.twimg.com/profile_images/1619161712967434240/ISM2hv8y_normal.png")</f>
        <v>https://pbs.twimg.com/profile_images/1619161712967434240/ISM2hv8y_normal.png</v>
      </c>
      <c r="AW777" s="82" t="s">
        <v>13873</v>
      </c>
      <c r="AX777" s="82" t="s">
        <v>13873</v>
      </c>
      <c r="AY777" s="77"/>
      <c r="AZ777" s="82" t="s">
        <v>17385</v>
      </c>
      <c r="BA777" s="82" t="s">
        <v>17385</v>
      </c>
      <c r="BB777" s="82" t="s">
        <v>17385</v>
      </c>
      <c r="BC777" s="82" t="s">
        <v>13873</v>
      </c>
      <c r="BD777" s="82" t="s">
        <v>17529</v>
      </c>
      <c r="BE777" s="77"/>
      <c r="BF777" s="77"/>
      <c r="BG777" s="77"/>
      <c r="BH777" s="77"/>
      <c r="BI777" s="77"/>
    </row>
    <row r="778" spans="1:61" x14ac:dyDescent="0.25">
      <c r="A778" s="62" t="s">
        <v>395</v>
      </c>
      <c r="B778" s="62" t="s">
        <v>395</v>
      </c>
      <c r="C778" s="63"/>
      <c r="D778" s="64"/>
      <c r="E778" s="65"/>
      <c r="F778" s="66"/>
      <c r="G778" s="63"/>
      <c r="H778" s="67"/>
      <c r="I778" s="68"/>
      <c r="J778" s="68"/>
      <c r="K778" s="32"/>
      <c r="L778" s="75">
        <v>778</v>
      </c>
      <c r="M778" s="75"/>
      <c r="N778" s="70"/>
      <c r="O778" s="77" t="s">
        <v>179</v>
      </c>
      <c r="P778" s="79">
        <v>45180.698009259257</v>
      </c>
      <c r="Q778" s="77" t="s">
        <v>1570</v>
      </c>
      <c r="R778" s="77">
        <v>0</v>
      </c>
      <c r="S778" s="77">
        <v>1</v>
      </c>
      <c r="T778" s="77">
        <v>0</v>
      </c>
      <c r="U778" s="77">
        <v>0</v>
      </c>
      <c r="V778" s="77">
        <v>529</v>
      </c>
      <c r="W778" s="82" t="s">
        <v>5285</v>
      </c>
      <c r="X778" s="80" t="str">
        <f>HYPERLINK("https://www.falkcapital.com.br/mercado/acoes?utm_source=twitter&amp;utm_medium=falkalertas&amp;utm_campaign=mostrentedtc")</f>
        <v>https://www.falkcapital.com.br/mercado/acoes?utm_source=twitter&amp;utm_medium=falkalertas&amp;utm_campaign=mostrentedtc</v>
      </c>
      <c r="Y778" s="77" t="s">
        <v>7053</v>
      </c>
      <c r="Z778" s="77"/>
      <c r="AA778" s="77"/>
      <c r="AB778" s="77"/>
      <c r="AC778" s="82" t="s">
        <v>8258</v>
      </c>
      <c r="AD778" s="77" t="s">
        <v>8278</v>
      </c>
      <c r="AE778" s="80" t="str">
        <f>HYPERLINK("https://twitter.com/falkalertas/status/1701275694762766567")</f>
        <v>https://twitter.com/falkalertas/status/1701275694762766567</v>
      </c>
      <c r="AF778" s="79">
        <v>45180.698009259257</v>
      </c>
      <c r="AG778" s="85">
        <v>45180</v>
      </c>
      <c r="AH778" s="82" t="s">
        <v>8988</v>
      </c>
      <c r="AI778" s="77" t="b">
        <v>0</v>
      </c>
      <c r="AJ778" s="77"/>
      <c r="AK778" s="77"/>
      <c r="AL778" s="77"/>
      <c r="AM778" s="77"/>
      <c r="AN778" s="77"/>
      <c r="AO778" s="77"/>
      <c r="AP778" s="77"/>
      <c r="AQ778" s="77"/>
      <c r="AR778" s="77"/>
      <c r="AS778" s="77"/>
      <c r="AT778" s="77"/>
      <c r="AU778" s="77"/>
      <c r="AV778" s="80" t="str">
        <f>HYPERLINK("https://pbs.twimg.com/profile_images/1619161712967434240/ISM2hv8y_normal.png")</f>
        <v>https://pbs.twimg.com/profile_images/1619161712967434240/ISM2hv8y_normal.png</v>
      </c>
      <c r="AW778" s="82" t="s">
        <v>13874</v>
      </c>
      <c r="AX778" s="82" t="s">
        <v>13874</v>
      </c>
      <c r="AY778" s="77"/>
      <c r="AZ778" s="82" t="s">
        <v>17385</v>
      </c>
      <c r="BA778" s="82" t="s">
        <v>17385</v>
      </c>
      <c r="BB778" s="82" t="s">
        <v>17385</v>
      </c>
      <c r="BC778" s="82" t="s">
        <v>13874</v>
      </c>
      <c r="BD778" s="82" t="s">
        <v>17529</v>
      </c>
      <c r="BE778" s="77"/>
      <c r="BF778" s="77"/>
      <c r="BG778" s="77"/>
      <c r="BH778" s="77"/>
      <c r="BI778" s="77"/>
    </row>
    <row r="779" spans="1:61" x14ac:dyDescent="0.25">
      <c r="A779" s="62" t="s">
        <v>395</v>
      </c>
      <c r="B779" s="62" t="s">
        <v>395</v>
      </c>
      <c r="C779" s="63"/>
      <c r="D779" s="64"/>
      <c r="E779" s="65"/>
      <c r="F779" s="66"/>
      <c r="G779" s="63"/>
      <c r="H779" s="67"/>
      <c r="I779" s="68"/>
      <c r="J779" s="68"/>
      <c r="K779" s="32"/>
      <c r="L779" s="75">
        <v>779</v>
      </c>
      <c r="M779" s="75"/>
      <c r="N779" s="70"/>
      <c r="O779" s="77" t="s">
        <v>179</v>
      </c>
      <c r="P779" s="79">
        <v>45175.98228009259</v>
      </c>
      <c r="Q779" s="77" t="s">
        <v>1571</v>
      </c>
      <c r="R779" s="77">
        <v>0</v>
      </c>
      <c r="S779" s="77">
        <v>1</v>
      </c>
      <c r="T779" s="77">
        <v>0</v>
      </c>
      <c r="U779" s="77">
        <v>0</v>
      </c>
      <c r="V779" s="77">
        <v>217</v>
      </c>
      <c r="W779" s="82" t="s">
        <v>5286</v>
      </c>
      <c r="X779" s="80" t="str">
        <f>HYPERLINK("https://www.falkcapital.com.br/mercado/acoes?utm_source=twitter&amp;utm_medium=falkalertas&amp;utm_campaign=fechamentodemercado")</f>
        <v>https://www.falkcapital.com.br/mercado/acoes?utm_source=twitter&amp;utm_medium=falkalertas&amp;utm_campaign=fechamentodemercado</v>
      </c>
      <c r="Y779" s="77" t="s">
        <v>7053</v>
      </c>
      <c r="Z779" s="77"/>
      <c r="AA779" s="77"/>
      <c r="AB779" s="77"/>
      <c r="AC779" s="82" t="s">
        <v>8258</v>
      </c>
      <c r="AD779" s="77" t="s">
        <v>8278</v>
      </c>
      <c r="AE779" s="80" t="str">
        <f>HYPERLINK("https://twitter.com/falkalertas/status/1699566771743690757")</f>
        <v>https://twitter.com/falkalertas/status/1699566771743690757</v>
      </c>
      <c r="AF779" s="79">
        <v>45175.98228009259</v>
      </c>
      <c r="AG779" s="85">
        <v>45175</v>
      </c>
      <c r="AH779" s="82" t="s">
        <v>8989</v>
      </c>
      <c r="AI779" s="77" t="b">
        <v>0</v>
      </c>
      <c r="AJ779" s="77"/>
      <c r="AK779" s="77"/>
      <c r="AL779" s="77"/>
      <c r="AM779" s="77"/>
      <c r="AN779" s="77"/>
      <c r="AO779" s="77"/>
      <c r="AP779" s="77"/>
      <c r="AQ779" s="77"/>
      <c r="AR779" s="77"/>
      <c r="AS779" s="77"/>
      <c r="AT779" s="77"/>
      <c r="AU779" s="77"/>
      <c r="AV779" s="80" t="str">
        <f>HYPERLINK("https://pbs.twimg.com/profile_images/1619161712967434240/ISM2hv8y_normal.png")</f>
        <v>https://pbs.twimg.com/profile_images/1619161712967434240/ISM2hv8y_normal.png</v>
      </c>
      <c r="AW779" s="82" t="s">
        <v>13875</v>
      </c>
      <c r="AX779" s="82" t="s">
        <v>13875</v>
      </c>
      <c r="AY779" s="77"/>
      <c r="AZ779" s="82" t="s">
        <v>17385</v>
      </c>
      <c r="BA779" s="82" t="s">
        <v>17385</v>
      </c>
      <c r="BB779" s="82" t="s">
        <v>17385</v>
      </c>
      <c r="BC779" s="82" t="s">
        <v>13875</v>
      </c>
      <c r="BD779" s="82" t="s">
        <v>17529</v>
      </c>
      <c r="BE779" s="77"/>
      <c r="BF779" s="77"/>
      <c r="BG779" s="77"/>
      <c r="BH779" s="77"/>
      <c r="BI779" s="77"/>
    </row>
    <row r="780" spans="1:61" x14ac:dyDescent="0.25">
      <c r="A780" s="62" t="s">
        <v>395</v>
      </c>
      <c r="B780" s="62" t="s">
        <v>395</v>
      </c>
      <c r="C780" s="63"/>
      <c r="D780" s="64"/>
      <c r="E780" s="65"/>
      <c r="F780" s="66"/>
      <c r="G780" s="63"/>
      <c r="H780" s="67"/>
      <c r="I780" s="68"/>
      <c r="J780" s="68"/>
      <c r="K780" s="32"/>
      <c r="L780" s="75">
        <v>780</v>
      </c>
      <c r="M780" s="75"/>
      <c r="N780" s="70"/>
      <c r="O780" s="77" t="s">
        <v>179</v>
      </c>
      <c r="P780" s="79">
        <v>45175.98228009259</v>
      </c>
      <c r="Q780" s="77" t="s">
        <v>1572</v>
      </c>
      <c r="R780" s="77">
        <v>0</v>
      </c>
      <c r="S780" s="77">
        <v>1</v>
      </c>
      <c r="T780" s="77">
        <v>0</v>
      </c>
      <c r="U780" s="77">
        <v>0</v>
      </c>
      <c r="V780" s="77">
        <v>153</v>
      </c>
      <c r="W780" s="82" t="s">
        <v>5287</v>
      </c>
      <c r="X780" s="80" t="str">
        <f>HYPERLINK("https://www.falkcapital.com.br/mercado/acoes?utm_source=twitter&amp;utm_medium=falkalertas&amp;utm_campaign=fechamentodemercado")</f>
        <v>https://www.falkcapital.com.br/mercado/acoes?utm_source=twitter&amp;utm_medium=falkalertas&amp;utm_campaign=fechamentodemercado</v>
      </c>
      <c r="Y780" s="77" t="s">
        <v>7053</v>
      </c>
      <c r="Z780" s="77"/>
      <c r="AA780" s="77"/>
      <c r="AB780" s="77"/>
      <c r="AC780" s="82" t="s">
        <v>8258</v>
      </c>
      <c r="AD780" s="77" t="s">
        <v>8278</v>
      </c>
      <c r="AE780" s="80" t="str">
        <f>HYPERLINK("https://twitter.com/falkalertas/status/1699566770049192059")</f>
        <v>https://twitter.com/falkalertas/status/1699566770049192059</v>
      </c>
      <c r="AF780" s="79">
        <v>45175.98228009259</v>
      </c>
      <c r="AG780" s="85">
        <v>45175</v>
      </c>
      <c r="AH780" s="82" t="s">
        <v>8989</v>
      </c>
      <c r="AI780" s="77" t="b">
        <v>0</v>
      </c>
      <c r="AJ780" s="77"/>
      <c r="AK780" s="77"/>
      <c r="AL780" s="77"/>
      <c r="AM780" s="77"/>
      <c r="AN780" s="77"/>
      <c r="AO780" s="77"/>
      <c r="AP780" s="77"/>
      <c r="AQ780" s="77"/>
      <c r="AR780" s="77"/>
      <c r="AS780" s="77"/>
      <c r="AT780" s="77"/>
      <c r="AU780" s="77"/>
      <c r="AV780" s="80" t="str">
        <f>HYPERLINK("https://pbs.twimg.com/profile_images/1619161712967434240/ISM2hv8y_normal.png")</f>
        <v>https://pbs.twimg.com/profile_images/1619161712967434240/ISM2hv8y_normal.png</v>
      </c>
      <c r="AW780" s="82" t="s">
        <v>13876</v>
      </c>
      <c r="AX780" s="82" t="s">
        <v>13876</v>
      </c>
      <c r="AY780" s="77"/>
      <c r="AZ780" s="82" t="s">
        <v>17385</v>
      </c>
      <c r="BA780" s="82" t="s">
        <v>17385</v>
      </c>
      <c r="BB780" s="82" t="s">
        <v>17385</v>
      </c>
      <c r="BC780" s="82" t="s">
        <v>13876</v>
      </c>
      <c r="BD780" s="82" t="s">
        <v>17529</v>
      </c>
      <c r="BE780" s="77"/>
      <c r="BF780" s="77"/>
      <c r="BG780" s="77"/>
      <c r="BH780" s="77"/>
      <c r="BI780" s="77"/>
    </row>
    <row r="781" spans="1:61" x14ac:dyDescent="0.25">
      <c r="A781" s="62" t="s">
        <v>395</v>
      </c>
      <c r="B781" s="62" t="s">
        <v>395</v>
      </c>
      <c r="C781" s="63"/>
      <c r="D781" s="64"/>
      <c r="E781" s="65"/>
      <c r="F781" s="66"/>
      <c r="G781" s="63"/>
      <c r="H781" s="67"/>
      <c r="I781" s="68"/>
      <c r="J781" s="68"/>
      <c r="K781" s="32"/>
      <c r="L781" s="75">
        <v>781</v>
      </c>
      <c r="M781" s="75"/>
      <c r="N781" s="70"/>
      <c r="O781" s="77" t="s">
        <v>179</v>
      </c>
      <c r="P781" s="79">
        <v>45175.69798611111</v>
      </c>
      <c r="Q781" s="77" t="s">
        <v>1573</v>
      </c>
      <c r="R781" s="77">
        <v>0</v>
      </c>
      <c r="S781" s="77">
        <v>1</v>
      </c>
      <c r="T781" s="77">
        <v>0</v>
      </c>
      <c r="U781" s="77">
        <v>0</v>
      </c>
      <c r="V781" s="77">
        <v>274</v>
      </c>
      <c r="W781" s="82" t="s">
        <v>5288</v>
      </c>
      <c r="X781" s="80" t="str">
        <f>HYPERLINK("https://www.falkcapital.com.br/mercado/acoes?utm_source=twitter&amp;utm_medium=falkalertas&amp;utm_campaign=mostrentedtc")</f>
        <v>https://www.falkcapital.com.br/mercado/acoes?utm_source=twitter&amp;utm_medium=falkalertas&amp;utm_campaign=mostrentedtc</v>
      </c>
      <c r="Y781" s="77" t="s">
        <v>7053</v>
      </c>
      <c r="Z781" s="77"/>
      <c r="AA781" s="77"/>
      <c r="AB781" s="77"/>
      <c r="AC781" s="82" t="s">
        <v>8258</v>
      </c>
      <c r="AD781" s="77" t="s">
        <v>8278</v>
      </c>
      <c r="AE781" s="80" t="str">
        <f>HYPERLINK("https://twitter.com/falkalertas/status/1699463748270882825")</f>
        <v>https://twitter.com/falkalertas/status/1699463748270882825</v>
      </c>
      <c r="AF781" s="79">
        <v>45175.69798611111</v>
      </c>
      <c r="AG781" s="85">
        <v>45175</v>
      </c>
      <c r="AH781" s="82" t="s">
        <v>8990</v>
      </c>
      <c r="AI781" s="77" t="b">
        <v>0</v>
      </c>
      <c r="AJ781" s="77"/>
      <c r="AK781" s="77"/>
      <c r="AL781" s="77"/>
      <c r="AM781" s="77"/>
      <c r="AN781" s="77"/>
      <c r="AO781" s="77"/>
      <c r="AP781" s="77"/>
      <c r="AQ781" s="77"/>
      <c r="AR781" s="77"/>
      <c r="AS781" s="77"/>
      <c r="AT781" s="77"/>
      <c r="AU781" s="77"/>
      <c r="AV781" s="80" t="str">
        <f>HYPERLINK("https://pbs.twimg.com/profile_images/1619161712967434240/ISM2hv8y_normal.png")</f>
        <v>https://pbs.twimg.com/profile_images/1619161712967434240/ISM2hv8y_normal.png</v>
      </c>
      <c r="AW781" s="82" t="s">
        <v>13877</v>
      </c>
      <c r="AX781" s="82" t="s">
        <v>13877</v>
      </c>
      <c r="AY781" s="77"/>
      <c r="AZ781" s="82" t="s">
        <v>17385</v>
      </c>
      <c r="BA781" s="82" t="s">
        <v>17385</v>
      </c>
      <c r="BB781" s="82" t="s">
        <v>17385</v>
      </c>
      <c r="BC781" s="82" t="s">
        <v>13877</v>
      </c>
      <c r="BD781" s="82" t="s">
        <v>17529</v>
      </c>
      <c r="BE781" s="77"/>
      <c r="BF781" s="77"/>
      <c r="BG781" s="77"/>
      <c r="BH781" s="77"/>
      <c r="BI781" s="77"/>
    </row>
    <row r="782" spans="1:61" x14ac:dyDescent="0.25">
      <c r="A782" s="62" t="s">
        <v>395</v>
      </c>
      <c r="B782" s="62" t="s">
        <v>395</v>
      </c>
      <c r="C782" s="63"/>
      <c r="D782" s="64"/>
      <c r="E782" s="65"/>
      <c r="F782" s="66"/>
      <c r="G782" s="63"/>
      <c r="H782" s="67"/>
      <c r="I782" s="68"/>
      <c r="J782" s="68"/>
      <c r="K782" s="32"/>
      <c r="L782" s="75">
        <v>782</v>
      </c>
      <c r="M782" s="75"/>
      <c r="N782" s="70"/>
      <c r="O782" s="77" t="s">
        <v>179</v>
      </c>
      <c r="P782" s="79">
        <v>45173.979305555556</v>
      </c>
      <c r="Q782" s="77" t="s">
        <v>1574</v>
      </c>
      <c r="R782" s="77">
        <v>0</v>
      </c>
      <c r="S782" s="77">
        <v>1</v>
      </c>
      <c r="T782" s="77">
        <v>0</v>
      </c>
      <c r="U782" s="77">
        <v>0</v>
      </c>
      <c r="V782" s="77">
        <v>191</v>
      </c>
      <c r="W782" s="82" t="s">
        <v>5289</v>
      </c>
      <c r="X782" s="80" t="str">
        <f>HYPERLINK("https://www.falkcapital.com.br/mercado/acoes?utm_source=twitter&amp;utm_medium=falkalertas&amp;utm_campaign=fechamentodemercado")</f>
        <v>https://www.falkcapital.com.br/mercado/acoes?utm_source=twitter&amp;utm_medium=falkalertas&amp;utm_campaign=fechamentodemercado</v>
      </c>
      <c r="Y782" s="77" t="s">
        <v>7053</v>
      </c>
      <c r="Z782" s="77"/>
      <c r="AA782" s="77"/>
      <c r="AB782" s="77"/>
      <c r="AC782" s="82" t="s">
        <v>8258</v>
      </c>
      <c r="AD782" s="77" t="s">
        <v>8278</v>
      </c>
      <c r="AE782" s="80" t="str">
        <f>HYPERLINK("https://twitter.com/falkalertas/status/1698840917971542281")</f>
        <v>https://twitter.com/falkalertas/status/1698840917971542281</v>
      </c>
      <c r="AF782" s="79">
        <v>45173.979305555556</v>
      </c>
      <c r="AG782" s="85">
        <v>45173</v>
      </c>
      <c r="AH782" s="82" t="s">
        <v>8977</v>
      </c>
      <c r="AI782" s="77" t="b">
        <v>0</v>
      </c>
      <c r="AJ782" s="77"/>
      <c r="AK782" s="77"/>
      <c r="AL782" s="77"/>
      <c r="AM782" s="77"/>
      <c r="AN782" s="77"/>
      <c r="AO782" s="77"/>
      <c r="AP782" s="77"/>
      <c r="AQ782" s="77"/>
      <c r="AR782" s="77"/>
      <c r="AS782" s="77"/>
      <c r="AT782" s="77"/>
      <c r="AU782" s="77"/>
      <c r="AV782" s="80" t="str">
        <f>HYPERLINK("https://pbs.twimg.com/profile_images/1619161712967434240/ISM2hv8y_normal.png")</f>
        <v>https://pbs.twimg.com/profile_images/1619161712967434240/ISM2hv8y_normal.png</v>
      </c>
      <c r="AW782" s="82" t="s">
        <v>13878</v>
      </c>
      <c r="AX782" s="82" t="s">
        <v>13878</v>
      </c>
      <c r="AY782" s="77"/>
      <c r="AZ782" s="82" t="s">
        <v>17385</v>
      </c>
      <c r="BA782" s="82" t="s">
        <v>17385</v>
      </c>
      <c r="BB782" s="82" t="s">
        <v>17385</v>
      </c>
      <c r="BC782" s="82" t="s">
        <v>13878</v>
      </c>
      <c r="BD782" s="82" t="s">
        <v>17529</v>
      </c>
      <c r="BE782" s="77"/>
      <c r="BF782" s="77"/>
      <c r="BG782" s="77"/>
      <c r="BH782" s="77"/>
      <c r="BI782" s="77"/>
    </row>
    <row r="783" spans="1:61" x14ac:dyDescent="0.25">
      <c r="A783" s="62" t="s">
        <v>395</v>
      </c>
      <c r="B783" s="62" t="s">
        <v>395</v>
      </c>
      <c r="C783" s="63"/>
      <c r="D783" s="64"/>
      <c r="E783" s="65"/>
      <c r="F783" s="66"/>
      <c r="G783" s="63"/>
      <c r="H783" s="67"/>
      <c r="I783" s="68"/>
      <c r="J783" s="68"/>
      <c r="K783" s="32"/>
      <c r="L783" s="75">
        <v>783</v>
      </c>
      <c r="M783" s="75"/>
      <c r="N783" s="70"/>
      <c r="O783" s="77" t="s">
        <v>179</v>
      </c>
      <c r="P783" s="79">
        <v>45173.979305555556</v>
      </c>
      <c r="Q783" s="77" t="s">
        <v>1575</v>
      </c>
      <c r="R783" s="77">
        <v>0</v>
      </c>
      <c r="S783" s="77">
        <v>1</v>
      </c>
      <c r="T783" s="77">
        <v>0</v>
      </c>
      <c r="U783" s="77">
        <v>0</v>
      </c>
      <c r="V783" s="77">
        <v>155</v>
      </c>
      <c r="W783" s="82" t="s">
        <v>5290</v>
      </c>
      <c r="X783" s="80" t="str">
        <f>HYPERLINK("https://www.falkcapital.com.br/mercado/acoes?utm_source=twitter&amp;utm_medium=falkalertas&amp;utm_campaign=fechamentodemercado")</f>
        <v>https://www.falkcapital.com.br/mercado/acoes?utm_source=twitter&amp;utm_medium=falkalertas&amp;utm_campaign=fechamentodemercado</v>
      </c>
      <c r="Y783" s="77" t="s">
        <v>7053</v>
      </c>
      <c r="Z783" s="77"/>
      <c r="AA783" s="77"/>
      <c r="AB783" s="77"/>
      <c r="AC783" s="82" t="s">
        <v>8258</v>
      </c>
      <c r="AD783" s="77" t="s">
        <v>8278</v>
      </c>
      <c r="AE783" s="80" t="str">
        <f>HYPERLINK("https://twitter.com/falkalertas/status/1698840916302159896")</f>
        <v>https://twitter.com/falkalertas/status/1698840916302159896</v>
      </c>
      <c r="AF783" s="79">
        <v>45173.979305555556</v>
      </c>
      <c r="AG783" s="85">
        <v>45173</v>
      </c>
      <c r="AH783" s="82" t="s">
        <v>8977</v>
      </c>
      <c r="AI783" s="77" t="b">
        <v>0</v>
      </c>
      <c r="AJ783" s="77"/>
      <c r="AK783" s="77"/>
      <c r="AL783" s="77"/>
      <c r="AM783" s="77"/>
      <c r="AN783" s="77"/>
      <c r="AO783" s="77"/>
      <c r="AP783" s="77"/>
      <c r="AQ783" s="77"/>
      <c r="AR783" s="77"/>
      <c r="AS783" s="77"/>
      <c r="AT783" s="77"/>
      <c r="AU783" s="77"/>
      <c r="AV783" s="80" t="str">
        <f>HYPERLINK("https://pbs.twimg.com/profile_images/1619161712967434240/ISM2hv8y_normal.png")</f>
        <v>https://pbs.twimg.com/profile_images/1619161712967434240/ISM2hv8y_normal.png</v>
      </c>
      <c r="AW783" s="82" t="s">
        <v>13879</v>
      </c>
      <c r="AX783" s="82" t="s">
        <v>13879</v>
      </c>
      <c r="AY783" s="77"/>
      <c r="AZ783" s="82" t="s">
        <v>17385</v>
      </c>
      <c r="BA783" s="82" t="s">
        <v>17385</v>
      </c>
      <c r="BB783" s="82" t="s">
        <v>17385</v>
      </c>
      <c r="BC783" s="82" t="s">
        <v>13879</v>
      </c>
      <c r="BD783" s="82" t="s">
        <v>17529</v>
      </c>
      <c r="BE783" s="77"/>
      <c r="BF783" s="77"/>
      <c r="BG783" s="77"/>
      <c r="BH783" s="77"/>
      <c r="BI783" s="77"/>
    </row>
    <row r="784" spans="1:61" x14ac:dyDescent="0.25">
      <c r="A784" s="62" t="s">
        <v>395</v>
      </c>
      <c r="B784" s="62" t="s">
        <v>395</v>
      </c>
      <c r="C784" s="63"/>
      <c r="D784" s="64"/>
      <c r="E784" s="65"/>
      <c r="F784" s="66"/>
      <c r="G784" s="63"/>
      <c r="H784" s="67"/>
      <c r="I784" s="68"/>
      <c r="J784" s="68"/>
      <c r="K784" s="32"/>
      <c r="L784" s="75">
        <v>784</v>
      </c>
      <c r="M784" s="75"/>
      <c r="N784" s="70"/>
      <c r="O784" s="77" t="s">
        <v>179</v>
      </c>
      <c r="P784" s="79">
        <v>45173.713391203702</v>
      </c>
      <c r="Q784" s="77" t="s">
        <v>1576</v>
      </c>
      <c r="R784" s="77">
        <v>0</v>
      </c>
      <c r="S784" s="77">
        <v>1</v>
      </c>
      <c r="T784" s="77">
        <v>0</v>
      </c>
      <c r="U784" s="77">
        <v>0</v>
      </c>
      <c r="V784" s="77">
        <v>172</v>
      </c>
      <c r="W784" s="82" t="s">
        <v>5291</v>
      </c>
      <c r="X784" s="80" t="str">
        <f>HYPERLINK("https://www.falkcapital.com.br/mercado/acoes?utm_source=twitter&amp;utm_medium=falkalertas&amp;utm_campaign=mostrentedtc")</f>
        <v>https://www.falkcapital.com.br/mercado/acoes?utm_source=twitter&amp;utm_medium=falkalertas&amp;utm_campaign=mostrentedtc</v>
      </c>
      <c r="Y784" s="77" t="s">
        <v>7053</v>
      </c>
      <c r="Z784" s="77"/>
      <c r="AA784" s="77"/>
      <c r="AB784" s="77"/>
      <c r="AC784" s="82" t="s">
        <v>8258</v>
      </c>
      <c r="AD784" s="77" t="s">
        <v>8278</v>
      </c>
      <c r="AE784" s="80" t="str">
        <f>HYPERLINK("https://twitter.com/falkalertas/status/1698744555615531450")</f>
        <v>https://twitter.com/falkalertas/status/1698744555615531450</v>
      </c>
      <c r="AF784" s="79">
        <v>45173.713391203702</v>
      </c>
      <c r="AG784" s="85">
        <v>45173</v>
      </c>
      <c r="AH784" s="82" t="s">
        <v>8991</v>
      </c>
      <c r="AI784" s="77" t="b">
        <v>0</v>
      </c>
      <c r="AJ784" s="77"/>
      <c r="AK784" s="77"/>
      <c r="AL784" s="77"/>
      <c r="AM784" s="77"/>
      <c r="AN784" s="77"/>
      <c r="AO784" s="77"/>
      <c r="AP784" s="77"/>
      <c r="AQ784" s="77"/>
      <c r="AR784" s="77"/>
      <c r="AS784" s="77"/>
      <c r="AT784" s="77"/>
      <c r="AU784" s="77"/>
      <c r="AV784" s="80" t="str">
        <f>HYPERLINK("https://pbs.twimg.com/profile_images/1619161712967434240/ISM2hv8y_normal.png")</f>
        <v>https://pbs.twimg.com/profile_images/1619161712967434240/ISM2hv8y_normal.png</v>
      </c>
      <c r="AW784" s="82" t="s">
        <v>13880</v>
      </c>
      <c r="AX784" s="82" t="s">
        <v>13880</v>
      </c>
      <c r="AY784" s="77"/>
      <c r="AZ784" s="82" t="s">
        <v>17385</v>
      </c>
      <c r="BA784" s="82" t="s">
        <v>17385</v>
      </c>
      <c r="BB784" s="82" t="s">
        <v>17385</v>
      </c>
      <c r="BC784" s="82" t="s">
        <v>13880</v>
      </c>
      <c r="BD784" s="82" t="s">
        <v>17529</v>
      </c>
      <c r="BE784" s="77"/>
      <c r="BF784" s="77"/>
      <c r="BG784" s="77"/>
      <c r="BH784" s="77"/>
      <c r="BI784" s="77"/>
    </row>
    <row r="785" spans="1:61" x14ac:dyDescent="0.25">
      <c r="A785" s="62" t="s">
        <v>395</v>
      </c>
      <c r="B785" s="62" t="s">
        <v>395</v>
      </c>
      <c r="C785" s="63"/>
      <c r="D785" s="64"/>
      <c r="E785" s="65"/>
      <c r="F785" s="66"/>
      <c r="G785" s="63"/>
      <c r="H785" s="67"/>
      <c r="I785" s="68"/>
      <c r="J785" s="68"/>
      <c r="K785" s="32"/>
      <c r="L785" s="75">
        <v>785</v>
      </c>
      <c r="M785" s="75"/>
      <c r="N785" s="70"/>
      <c r="O785" s="77" t="s">
        <v>179</v>
      </c>
      <c r="P785" s="79">
        <v>45163.980833333335</v>
      </c>
      <c r="Q785" s="77" t="s">
        <v>1577</v>
      </c>
      <c r="R785" s="77">
        <v>0</v>
      </c>
      <c r="S785" s="77">
        <v>2</v>
      </c>
      <c r="T785" s="77">
        <v>0</v>
      </c>
      <c r="U785" s="77">
        <v>0</v>
      </c>
      <c r="V785" s="77">
        <v>170</v>
      </c>
      <c r="W785" s="82" t="s">
        <v>5292</v>
      </c>
      <c r="X785" s="80" t="str">
        <f>HYPERLINK("https://www.falkcapital.com.br/mercado/acoes?utm_source=twitter&amp;utm_medium=falkalertas&amp;utm_campaign=fechamentodemercado")</f>
        <v>https://www.falkcapital.com.br/mercado/acoes?utm_source=twitter&amp;utm_medium=falkalertas&amp;utm_campaign=fechamentodemercado</v>
      </c>
      <c r="Y785" s="77" t="s">
        <v>7053</v>
      </c>
      <c r="Z785" s="77"/>
      <c r="AA785" s="77"/>
      <c r="AB785" s="77"/>
      <c r="AC785" s="82" t="s">
        <v>8258</v>
      </c>
      <c r="AD785" s="77" t="s">
        <v>8278</v>
      </c>
      <c r="AE785" s="80" t="str">
        <f>HYPERLINK("https://twitter.com/falkalertas/status/1695217594326798808")</f>
        <v>https://twitter.com/falkalertas/status/1695217594326798808</v>
      </c>
      <c r="AF785" s="79">
        <v>45163.980833333335</v>
      </c>
      <c r="AG785" s="85">
        <v>45163</v>
      </c>
      <c r="AH785" s="82" t="s">
        <v>8992</v>
      </c>
      <c r="AI785" s="77" t="b">
        <v>0</v>
      </c>
      <c r="AJ785" s="77"/>
      <c r="AK785" s="77"/>
      <c r="AL785" s="77"/>
      <c r="AM785" s="77"/>
      <c r="AN785" s="77"/>
      <c r="AO785" s="77"/>
      <c r="AP785" s="77"/>
      <c r="AQ785" s="77"/>
      <c r="AR785" s="77"/>
      <c r="AS785" s="77"/>
      <c r="AT785" s="77"/>
      <c r="AU785" s="77"/>
      <c r="AV785" s="80" t="str">
        <f>HYPERLINK("https://pbs.twimg.com/profile_images/1619161712967434240/ISM2hv8y_normal.png")</f>
        <v>https://pbs.twimg.com/profile_images/1619161712967434240/ISM2hv8y_normal.png</v>
      </c>
      <c r="AW785" s="82" t="s">
        <v>13881</v>
      </c>
      <c r="AX785" s="82" t="s">
        <v>13881</v>
      </c>
      <c r="AY785" s="77"/>
      <c r="AZ785" s="82" t="s">
        <v>17385</v>
      </c>
      <c r="BA785" s="82" t="s">
        <v>17385</v>
      </c>
      <c r="BB785" s="82" t="s">
        <v>17385</v>
      </c>
      <c r="BC785" s="82" t="s">
        <v>13881</v>
      </c>
      <c r="BD785" s="82" t="s">
        <v>17529</v>
      </c>
      <c r="BE785" s="77"/>
      <c r="BF785" s="77"/>
      <c r="BG785" s="77"/>
      <c r="BH785" s="77"/>
      <c r="BI785" s="77"/>
    </row>
    <row r="786" spans="1:61" x14ac:dyDescent="0.25">
      <c r="A786" s="62" t="s">
        <v>395</v>
      </c>
      <c r="B786" s="62" t="s">
        <v>395</v>
      </c>
      <c r="C786" s="63"/>
      <c r="D786" s="64"/>
      <c r="E786" s="65"/>
      <c r="F786" s="66"/>
      <c r="G786" s="63"/>
      <c r="H786" s="67"/>
      <c r="I786" s="68"/>
      <c r="J786" s="68"/>
      <c r="K786" s="32"/>
      <c r="L786" s="75">
        <v>786</v>
      </c>
      <c r="M786" s="75"/>
      <c r="N786" s="70"/>
      <c r="O786" s="77" t="s">
        <v>179</v>
      </c>
      <c r="P786" s="79">
        <v>45163.980833333335</v>
      </c>
      <c r="Q786" s="77" t="s">
        <v>1578</v>
      </c>
      <c r="R786" s="77">
        <v>0</v>
      </c>
      <c r="S786" s="77">
        <v>1</v>
      </c>
      <c r="T786" s="77">
        <v>0</v>
      </c>
      <c r="U786" s="77">
        <v>0</v>
      </c>
      <c r="V786" s="77">
        <v>102</v>
      </c>
      <c r="W786" s="82" t="s">
        <v>5293</v>
      </c>
      <c r="X786" s="80" t="str">
        <f>HYPERLINK("https://www.falkcapital.com.br/mercado/acoes?utm_source=twitter&amp;utm_medium=falkalertas&amp;utm_campaign=fechamentodemercado")</f>
        <v>https://www.falkcapital.com.br/mercado/acoes?utm_source=twitter&amp;utm_medium=falkalertas&amp;utm_campaign=fechamentodemercado</v>
      </c>
      <c r="Y786" s="77" t="s">
        <v>7053</v>
      </c>
      <c r="Z786" s="77"/>
      <c r="AA786" s="77"/>
      <c r="AB786" s="77"/>
      <c r="AC786" s="82" t="s">
        <v>8258</v>
      </c>
      <c r="AD786" s="77" t="s">
        <v>8278</v>
      </c>
      <c r="AE786" s="80" t="str">
        <f>HYPERLINK("https://twitter.com/falkalertas/status/1695217592451887446")</f>
        <v>https://twitter.com/falkalertas/status/1695217592451887446</v>
      </c>
      <c r="AF786" s="79">
        <v>45163.980833333335</v>
      </c>
      <c r="AG786" s="85">
        <v>45163</v>
      </c>
      <c r="AH786" s="82" t="s">
        <v>8992</v>
      </c>
      <c r="AI786" s="77" t="b">
        <v>0</v>
      </c>
      <c r="AJ786" s="77"/>
      <c r="AK786" s="77"/>
      <c r="AL786" s="77"/>
      <c r="AM786" s="77"/>
      <c r="AN786" s="77"/>
      <c r="AO786" s="77"/>
      <c r="AP786" s="77"/>
      <c r="AQ786" s="77"/>
      <c r="AR786" s="77"/>
      <c r="AS786" s="77"/>
      <c r="AT786" s="77"/>
      <c r="AU786" s="77"/>
      <c r="AV786" s="80" t="str">
        <f>HYPERLINK("https://pbs.twimg.com/profile_images/1619161712967434240/ISM2hv8y_normal.png")</f>
        <v>https://pbs.twimg.com/profile_images/1619161712967434240/ISM2hv8y_normal.png</v>
      </c>
      <c r="AW786" s="82" t="s">
        <v>13882</v>
      </c>
      <c r="AX786" s="82" t="s">
        <v>13882</v>
      </c>
      <c r="AY786" s="77"/>
      <c r="AZ786" s="82" t="s">
        <v>17385</v>
      </c>
      <c r="BA786" s="82" t="s">
        <v>17385</v>
      </c>
      <c r="BB786" s="82" t="s">
        <v>17385</v>
      </c>
      <c r="BC786" s="82" t="s">
        <v>13882</v>
      </c>
      <c r="BD786" s="82" t="s">
        <v>17529</v>
      </c>
      <c r="BE786" s="77"/>
      <c r="BF786" s="77"/>
      <c r="BG786" s="77"/>
      <c r="BH786" s="77"/>
      <c r="BI786" s="77"/>
    </row>
    <row r="787" spans="1:61" x14ac:dyDescent="0.25">
      <c r="A787" s="62" t="s">
        <v>395</v>
      </c>
      <c r="B787" s="62" t="s">
        <v>395</v>
      </c>
      <c r="C787" s="63"/>
      <c r="D787" s="64"/>
      <c r="E787" s="65"/>
      <c r="F787" s="66"/>
      <c r="G787" s="63"/>
      <c r="H787" s="67"/>
      <c r="I787" s="68"/>
      <c r="J787" s="68"/>
      <c r="K787" s="32"/>
      <c r="L787" s="75">
        <v>787</v>
      </c>
      <c r="M787" s="75"/>
      <c r="N787" s="70"/>
      <c r="O787" s="77" t="s">
        <v>179</v>
      </c>
      <c r="P787" s="79">
        <v>45155.981261574074</v>
      </c>
      <c r="Q787" s="77" t="s">
        <v>1579</v>
      </c>
      <c r="R787" s="77">
        <v>0</v>
      </c>
      <c r="S787" s="77">
        <v>0</v>
      </c>
      <c r="T787" s="77">
        <v>0</v>
      </c>
      <c r="U787" s="77">
        <v>0</v>
      </c>
      <c r="V787" s="77">
        <v>96</v>
      </c>
      <c r="W787" s="82" t="s">
        <v>5294</v>
      </c>
      <c r="X787" s="80" t="str">
        <f>HYPERLINK("https://www.falkcapital.com.br/mercado/acoes?utm_source=twitter&amp;utm_medium=falkalertas&amp;utm_campaign=fechamentodemercado")</f>
        <v>https://www.falkcapital.com.br/mercado/acoes?utm_source=twitter&amp;utm_medium=falkalertas&amp;utm_campaign=fechamentodemercado</v>
      </c>
      <c r="Y787" s="77" t="s">
        <v>7053</v>
      </c>
      <c r="Z787" s="77"/>
      <c r="AA787" s="77"/>
      <c r="AB787" s="77"/>
      <c r="AC787" s="82" t="s">
        <v>8258</v>
      </c>
      <c r="AD787" s="77" t="s">
        <v>8278</v>
      </c>
      <c r="AE787" s="80" t="str">
        <f>HYPERLINK("https://twitter.com/falkalertas/status/1692318644284358771")</f>
        <v>https://twitter.com/falkalertas/status/1692318644284358771</v>
      </c>
      <c r="AF787" s="79">
        <v>45155.981261574074</v>
      </c>
      <c r="AG787" s="85">
        <v>45155</v>
      </c>
      <c r="AH787" s="82" t="s">
        <v>8993</v>
      </c>
      <c r="AI787" s="77" t="b">
        <v>0</v>
      </c>
      <c r="AJ787" s="77"/>
      <c r="AK787" s="77"/>
      <c r="AL787" s="77"/>
      <c r="AM787" s="77"/>
      <c r="AN787" s="77"/>
      <c r="AO787" s="77"/>
      <c r="AP787" s="77"/>
      <c r="AQ787" s="77"/>
      <c r="AR787" s="77"/>
      <c r="AS787" s="77"/>
      <c r="AT787" s="77"/>
      <c r="AU787" s="77"/>
      <c r="AV787" s="80" t="str">
        <f>HYPERLINK("https://pbs.twimg.com/profile_images/1619161712967434240/ISM2hv8y_normal.png")</f>
        <v>https://pbs.twimg.com/profile_images/1619161712967434240/ISM2hv8y_normal.png</v>
      </c>
      <c r="AW787" s="82" t="s">
        <v>13883</v>
      </c>
      <c r="AX787" s="82" t="s">
        <v>13883</v>
      </c>
      <c r="AY787" s="77"/>
      <c r="AZ787" s="82" t="s">
        <v>17385</v>
      </c>
      <c r="BA787" s="82" t="s">
        <v>17385</v>
      </c>
      <c r="BB787" s="82" t="s">
        <v>17385</v>
      </c>
      <c r="BC787" s="82" t="s">
        <v>13883</v>
      </c>
      <c r="BD787" s="82" t="s">
        <v>17529</v>
      </c>
      <c r="BE787" s="77"/>
      <c r="BF787" s="77"/>
      <c r="BG787" s="77"/>
      <c r="BH787" s="77"/>
      <c r="BI787" s="77"/>
    </row>
    <row r="788" spans="1:61" x14ac:dyDescent="0.25">
      <c r="A788" s="62" t="s">
        <v>395</v>
      </c>
      <c r="B788" s="62" t="s">
        <v>395</v>
      </c>
      <c r="C788" s="63"/>
      <c r="D788" s="64"/>
      <c r="E788" s="65"/>
      <c r="F788" s="66"/>
      <c r="G788" s="63"/>
      <c r="H788" s="67"/>
      <c r="I788" s="68"/>
      <c r="J788" s="68"/>
      <c r="K788" s="32"/>
      <c r="L788" s="75">
        <v>788</v>
      </c>
      <c r="M788" s="75"/>
      <c r="N788" s="70"/>
      <c r="O788" s="77" t="s">
        <v>179</v>
      </c>
      <c r="P788" s="79">
        <v>45155.981192129628</v>
      </c>
      <c r="Q788" s="77" t="s">
        <v>1580</v>
      </c>
      <c r="R788" s="77">
        <v>0</v>
      </c>
      <c r="S788" s="77">
        <v>0</v>
      </c>
      <c r="T788" s="77">
        <v>0</v>
      </c>
      <c r="U788" s="77">
        <v>0</v>
      </c>
      <c r="V788" s="77">
        <v>93</v>
      </c>
      <c r="W788" s="82" t="s">
        <v>5295</v>
      </c>
      <c r="X788" s="80" t="str">
        <f>HYPERLINK("https://www.falkcapital.com.br/mercado/acoes?utm_source=twitter&amp;utm_medium=falkalertas&amp;utm_campaign=fechamentodemercado")</f>
        <v>https://www.falkcapital.com.br/mercado/acoes?utm_source=twitter&amp;utm_medium=falkalertas&amp;utm_campaign=fechamentodemercado</v>
      </c>
      <c r="Y788" s="77" t="s">
        <v>7053</v>
      </c>
      <c r="Z788" s="77"/>
      <c r="AA788" s="77"/>
      <c r="AB788" s="77"/>
      <c r="AC788" s="82" t="s">
        <v>8258</v>
      </c>
      <c r="AD788" s="77" t="s">
        <v>8278</v>
      </c>
      <c r="AE788" s="80" t="str">
        <f>HYPERLINK("https://twitter.com/falkalertas/status/1692318621156950314")</f>
        <v>https://twitter.com/falkalertas/status/1692318621156950314</v>
      </c>
      <c r="AF788" s="79">
        <v>45155.981192129628</v>
      </c>
      <c r="AG788" s="85">
        <v>45155</v>
      </c>
      <c r="AH788" s="82" t="s">
        <v>8994</v>
      </c>
      <c r="AI788" s="77" t="b">
        <v>0</v>
      </c>
      <c r="AJ788" s="77"/>
      <c r="AK788" s="77"/>
      <c r="AL788" s="77"/>
      <c r="AM788" s="77"/>
      <c r="AN788" s="77"/>
      <c r="AO788" s="77"/>
      <c r="AP788" s="77"/>
      <c r="AQ788" s="77"/>
      <c r="AR788" s="77"/>
      <c r="AS788" s="77"/>
      <c r="AT788" s="77"/>
      <c r="AU788" s="77"/>
      <c r="AV788" s="80" t="str">
        <f>HYPERLINK("https://pbs.twimg.com/profile_images/1619161712967434240/ISM2hv8y_normal.png")</f>
        <v>https://pbs.twimg.com/profile_images/1619161712967434240/ISM2hv8y_normal.png</v>
      </c>
      <c r="AW788" s="82" t="s">
        <v>13884</v>
      </c>
      <c r="AX788" s="82" t="s">
        <v>13884</v>
      </c>
      <c r="AY788" s="77"/>
      <c r="AZ788" s="82" t="s">
        <v>17385</v>
      </c>
      <c r="BA788" s="82" t="s">
        <v>17385</v>
      </c>
      <c r="BB788" s="82" t="s">
        <v>17385</v>
      </c>
      <c r="BC788" s="82" t="s">
        <v>13884</v>
      </c>
      <c r="BD788" s="82" t="s">
        <v>17529</v>
      </c>
      <c r="BE788" s="77"/>
      <c r="BF788" s="77"/>
      <c r="BG788" s="77"/>
      <c r="BH788" s="77"/>
      <c r="BI788" s="77"/>
    </row>
    <row r="789" spans="1:61" x14ac:dyDescent="0.25">
      <c r="A789" s="62" t="s">
        <v>395</v>
      </c>
      <c r="B789" s="62" t="s">
        <v>395</v>
      </c>
      <c r="C789" s="63"/>
      <c r="D789" s="64"/>
      <c r="E789" s="65"/>
      <c r="F789" s="66"/>
      <c r="G789" s="63"/>
      <c r="H789" s="67"/>
      <c r="I789" s="68"/>
      <c r="J789" s="68"/>
      <c r="K789" s="32"/>
      <c r="L789" s="75">
        <v>789</v>
      </c>
      <c r="M789" s="75"/>
      <c r="N789" s="70"/>
      <c r="O789" s="77" t="s">
        <v>179</v>
      </c>
      <c r="P789" s="79">
        <v>45146.979363425926</v>
      </c>
      <c r="Q789" s="77" t="s">
        <v>1581</v>
      </c>
      <c r="R789" s="77">
        <v>0</v>
      </c>
      <c r="S789" s="77">
        <v>0</v>
      </c>
      <c r="T789" s="77">
        <v>0</v>
      </c>
      <c r="U789" s="77">
        <v>0</v>
      </c>
      <c r="V789" s="77">
        <v>251</v>
      </c>
      <c r="W789" s="82" t="s">
        <v>5296</v>
      </c>
      <c r="X789" s="80" t="str">
        <f>HYPERLINK("https://www.falkcapital.com.br/mercado/acoes?utm_source=twitter&amp;utm_medium=falkalertas&amp;utm_campaign=fechamentodemercado")</f>
        <v>https://www.falkcapital.com.br/mercado/acoes?utm_source=twitter&amp;utm_medium=falkalertas&amp;utm_campaign=fechamentodemercado</v>
      </c>
      <c r="Y789" s="77" t="s">
        <v>7053</v>
      </c>
      <c r="Z789" s="77"/>
      <c r="AA789" s="77"/>
      <c r="AB789" s="77"/>
      <c r="AC789" s="82" t="s">
        <v>8258</v>
      </c>
      <c r="AD789" s="77" t="s">
        <v>8278</v>
      </c>
      <c r="AE789" s="80" t="str">
        <f>HYPERLINK("https://twitter.com/falkalertas/status/1689056467100246016")</f>
        <v>https://twitter.com/falkalertas/status/1689056467100246016</v>
      </c>
      <c r="AF789" s="79">
        <v>45146.979363425926</v>
      </c>
      <c r="AG789" s="85">
        <v>45146</v>
      </c>
      <c r="AH789" s="82" t="s">
        <v>8995</v>
      </c>
      <c r="AI789" s="77" t="b">
        <v>0</v>
      </c>
      <c r="AJ789" s="77"/>
      <c r="AK789" s="77"/>
      <c r="AL789" s="77"/>
      <c r="AM789" s="77"/>
      <c r="AN789" s="77"/>
      <c r="AO789" s="77"/>
      <c r="AP789" s="77"/>
      <c r="AQ789" s="77"/>
      <c r="AR789" s="77"/>
      <c r="AS789" s="77"/>
      <c r="AT789" s="77"/>
      <c r="AU789" s="77"/>
      <c r="AV789" s="80" t="str">
        <f>HYPERLINK("https://pbs.twimg.com/profile_images/1619161712967434240/ISM2hv8y_normal.png")</f>
        <v>https://pbs.twimg.com/profile_images/1619161712967434240/ISM2hv8y_normal.png</v>
      </c>
      <c r="AW789" s="82" t="s">
        <v>13885</v>
      </c>
      <c r="AX789" s="82" t="s">
        <v>13885</v>
      </c>
      <c r="AY789" s="77"/>
      <c r="AZ789" s="82" t="s">
        <v>17385</v>
      </c>
      <c r="BA789" s="82" t="s">
        <v>17385</v>
      </c>
      <c r="BB789" s="82" t="s">
        <v>17385</v>
      </c>
      <c r="BC789" s="82" t="s">
        <v>13885</v>
      </c>
      <c r="BD789" s="82" t="s">
        <v>17529</v>
      </c>
      <c r="BE789" s="77"/>
      <c r="BF789" s="77"/>
      <c r="BG789" s="77"/>
      <c r="BH789" s="77"/>
      <c r="BI789" s="77"/>
    </row>
    <row r="790" spans="1:61" x14ac:dyDescent="0.25">
      <c r="A790" s="62" t="s">
        <v>395</v>
      </c>
      <c r="B790" s="62" t="s">
        <v>395</v>
      </c>
      <c r="C790" s="63"/>
      <c r="D790" s="64"/>
      <c r="E790" s="65"/>
      <c r="F790" s="66"/>
      <c r="G790" s="63"/>
      <c r="H790" s="67"/>
      <c r="I790" s="68"/>
      <c r="J790" s="68"/>
      <c r="K790" s="32"/>
      <c r="L790" s="75">
        <v>790</v>
      </c>
      <c r="M790" s="75"/>
      <c r="N790" s="70"/>
      <c r="O790" s="77" t="s">
        <v>179</v>
      </c>
      <c r="P790" s="79">
        <v>45146.979363425926</v>
      </c>
      <c r="Q790" s="77" t="s">
        <v>1582</v>
      </c>
      <c r="R790" s="77">
        <v>0</v>
      </c>
      <c r="S790" s="77">
        <v>0</v>
      </c>
      <c r="T790" s="77">
        <v>0</v>
      </c>
      <c r="U790" s="77">
        <v>0</v>
      </c>
      <c r="V790" s="77">
        <v>133</v>
      </c>
      <c r="W790" s="82" t="s">
        <v>5297</v>
      </c>
      <c r="X790" s="80" t="str">
        <f>HYPERLINK("https://www.falkcapital.com.br/mercado/acoes?utm_source=twitter&amp;utm_medium=falkalertas&amp;utm_campaign=fechamentodemercado")</f>
        <v>https://www.falkcapital.com.br/mercado/acoes?utm_source=twitter&amp;utm_medium=falkalertas&amp;utm_campaign=fechamentodemercado</v>
      </c>
      <c r="Y790" s="77" t="s">
        <v>7053</v>
      </c>
      <c r="Z790" s="77"/>
      <c r="AA790" s="77"/>
      <c r="AB790" s="77"/>
      <c r="AC790" s="82" t="s">
        <v>8258</v>
      </c>
      <c r="AD790" s="77" t="s">
        <v>8278</v>
      </c>
      <c r="AE790" s="80" t="str">
        <f>HYPERLINK("https://twitter.com/falkalertas/status/1689056465539969024")</f>
        <v>https://twitter.com/falkalertas/status/1689056465539969024</v>
      </c>
      <c r="AF790" s="79">
        <v>45146.979363425926</v>
      </c>
      <c r="AG790" s="85">
        <v>45146</v>
      </c>
      <c r="AH790" s="82" t="s">
        <v>8995</v>
      </c>
      <c r="AI790" s="77" t="b">
        <v>0</v>
      </c>
      <c r="AJ790" s="77"/>
      <c r="AK790" s="77"/>
      <c r="AL790" s="77"/>
      <c r="AM790" s="77"/>
      <c r="AN790" s="77"/>
      <c r="AO790" s="77"/>
      <c r="AP790" s="77"/>
      <c r="AQ790" s="77"/>
      <c r="AR790" s="77"/>
      <c r="AS790" s="77"/>
      <c r="AT790" s="77"/>
      <c r="AU790" s="77"/>
      <c r="AV790" s="80" t="str">
        <f>HYPERLINK("https://pbs.twimg.com/profile_images/1619161712967434240/ISM2hv8y_normal.png")</f>
        <v>https://pbs.twimg.com/profile_images/1619161712967434240/ISM2hv8y_normal.png</v>
      </c>
      <c r="AW790" s="82" t="s">
        <v>13886</v>
      </c>
      <c r="AX790" s="82" t="s">
        <v>13886</v>
      </c>
      <c r="AY790" s="77"/>
      <c r="AZ790" s="82" t="s">
        <v>17385</v>
      </c>
      <c r="BA790" s="82" t="s">
        <v>17385</v>
      </c>
      <c r="BB790" s="82" t="s">
        <v>17385</v>
      </c>
      <c r="BC790" s="82" t="s">
        <v>13886</v>
      </c>
      <c r="BD790" s="82" t="s">
        <v>17529</v>
      </c>
      <c r="BE790" s="77"/>
      <c r="BF790" s="77"/>
      <c r="BG790" s="77"/>
      <c r="BH790" s="77"/>
      <c r="BI790" s="77"/>
    </row>
    <row r="791" spans="1:61" x14ac:dyDescent="0.25">
      <c r="A791" s="62" t="s">
        <v>395</v>
      </c>
      <c r="B791" s="62" t="s">
        <v>395</v>
      </c>
      <c r="C791" s="63"/>
      <c r="D791" s="64"/>
      <c r="E791" s="65"/>
      <c r="F791" s="66"/>
      <c r="G791" s="63"/>
      <c r="H791" s="67"/>
      <c r="I791" s="68"/>
      <c r="J791" s="68"/>
      <c r="K791" s="32"/>
      <c r="L791" s="75">
        <v>791</v>
      </c>
      <c r="M791" s="75"/>
      <c r="N791" s="70"/>
      <c r="O791" s="77" t="s">
        <v>179</v>
      </c>
      <c r="P791" s="79">
        <v>45145.980011574073</v>
      </c>
      <c r="Q791" s="77" t="s">
        <v>1583</v>
      </c>
      <c r="R791" s="77">
        <v>0</v>
      </c>
      <c r="S791" s="77">
        <v>1</v>
      </c>
      <c r="T791" s="77">
        <v>0</v>
      </c>
      <c r="U791" s="77">
        <v>0</v>
      </c>
      <c r="V791" s="77">
        <v>93</v>
      </c>
      <c r="W791" s="82" t="s">
        <v>5298</v>
      </c>
      <c r="X791" s="80" t="str">
        <f>HYPERLINK("https://www.falkcapital.com.br/mercado/acoes?utm_source=twitter&amp;utm_medium=falkalertas&amp;utm_campaign=fechamentodemercado")</f>
        <v>https://www.falkcapital.com.br/mercado/acoes?utm_source=twitter&amp;utm_medium=falkalertas&amp;utm_campaign=fechamentodemercado</v>
      </c>
      <c r="Y791" s="77" t="s">
        <v>7053</v>
      </c>
      <c r="Z791" s="77"/>
      <c r="AA791" s="77"/>
      <c r="AB791" s="77"/>
      <c r="AC791" s="82" t="s">
        <v>8258</v>
      </c>
      <c r="AD791" s="77" t="s">
        <v>8278</v>
      </c>
      <c r="AE791" s="80" t="str">
        <f>HYPERLINK("https://twitter.com/falkalertas/status/1688694314841362432")</f>
        <v>https://twitter.com/falkalertas/status/1688694314841362432</v>
      </c>
      <c r="AF791" s="79">
        <v>45145.980011574073</v>
      </c>
      <c r="AG791" s="85">
        <v>45145</v>
      </c>
      <c r="AH791" s="82" t="s">
        <v>8996</v>
      </c>
      <c r="AI791" s="77" t="b">
        <v>0</v>
      </c>
      <c r="AJ791" s="77"/>
      <c r="AK791" s="77"/>
      <c r="AL791" s="77"/>
      <c r="AM791" s="77"/>
      <c r="AN791" s="77"/>
      <c r="AO791" s="77"/>
      <c r="AP791" s="77"/>
      <c r="AQ791" s="77"/>
      <c r="AR791" s="77"/>
      <c r="AS791" s="77"/>
      <c r="AT791" s="77"/>
      <c r="AU791" s="77"/>
      <c r="AV791" s="80" t="str">
        <f>HYPERLINK("https://pbs.twimg.com/profile_images/1619161712967434240/ISM2hv8y_normal.png")</f>
        <v>https://pbs.twimg.com/profile_images/1619161712967434240/ISM2hv8y_normal.png</v>
      </c>
      <c r="AW791" s="82" t="s">
        <v>13887</v>
      </c>
      <c r="AX791" s="82" t="s">
        <v>13887</v>
      </c>
      <c r="AY791" s="77"/>
      <c r="AZ791" s="82" t="s">
        <v>17385</v>
      </c>
      <c r="BA791" s="82" t="s">
        <v>17385</v>
      </c>
      <c r="BB791" s="82" t="s">
        <v>17385</v>
      </c>
      <c r="BC791" s="82" t="s">
        <v>13887</v>
      </c>
      <c r="BD791" s="82" t="s">
        <v>17529</v>
      </c>
      <c r="BE791" s="77"/>
      <c r="BF791" s="77"/>
      <c r="BG791" s="77"/>
      <c r="BH791" s="77"/>
      <c r="BI791" s="77"/>
    </row>
    <row r="792" spans="1:61" x14ac:dyDescent="0.25">
      <c r="A792" s="62" t="s">
        <v>395</v>
      </c>
      <c r="B792" s="62" t="s">
        <v>395</v>
      </c>
      <c r="C792" s="63"/>
      <c r="D792" s="64"/>
      <c r="E792" s="65"/>
      <c r="F792" s="66"/>
      <c r="G792" s="63"/>
      <c r="H792" s="67"/>
      <c r="I792" s="68"/>
      <c r="J792" s="68"/>
      <c r="K792" s="32"/>
      <c r="L792" s="75">
        <v>792</v>
      </c>
      <c r="M792" s="75"/>
      <c r="N792" s="70"/>
      <c r="O792" s="77" t="s">
        <v>179</v>
      </c>
      <c r="P792" s="79">
        <v>45089.979363425926</v>
      </c>
      <c r="Q792" s="77" t="s">
        <v>1584</v>
      </c>
      <c r="R792" s="77">
        <v>0</v>
      </c>
      <c r="S792" s="77">
        <v>0</v>
      </c>
      <c r="T792" s="77">
        <v>0</v>
      </c>
      <c r="U792" s="77">
        <v>0</v>
      </c>
      <c r="V792" s="77">
        <v>140</v>
      </c>
      <c r="W792" s="82" t="s">
        <v>5299</v>
      </c>
      <c r="X792" s="80" t="str">
        <f>HYPERLINK("https://www.falkcapital.com.br/mercado/acoes?utm_source=twitter&amp;utm_medium=falkalertas&amp;utm_campaign=fechamentodemercado")</f>
        <v>https://www.falkcapital.com.br/mercado/acoes?utm_source=twitter&amp;utm_medium=falkalertas&amp;utm_campaign=fechamentodemercado</v>
      </c>
      <c r="Y792" s="77" t="s">
        <v>7053</v>
      </c>
      <c r="Z792" s="77"/>
      <c r="AA792" s="77"/>
      <c r="AB792" s="77"/>
      <c r="AC792" s="82" t="s">
        <v>8257</v>
      </c>
      <c r="AD792" s="77" t="s">
        <v>8278</v>
      </c>
      <c r="AE792" s="80" t="str">
        <f>HYPERLINK("https://twitter.com/falkalertas/status/1668400358341615617")</f>
        <v>https://twitter.com/falkalertas/status/1668400358341615617</v>
      </c>
      <c r="AF792" s="79">
        <v>45089.979363425926</v>
      </c>
      <c r="AG792" s="85">
        <v>45089</v>
      </c>
      <c r="AH792" s="82" t="s">
        <v>8995</v>
      </c>
      <c r="AI792" s="77" t="b">
        <v>0</v>
      </c>
      <c r="AJ792" s="77"/>
      <c r="AK792" s="77"/>
      <c r="AL792" s="77"/>
      <c r="AM792" s="77"/>
      <c r="AN792" s="77"/>
      <c r="AO792" s="77"/>
      <c r="AP792" s="77"/>
      <c r="AQ792" s="77"/>
      <c r="AR792" s="77"/>
      <c r="AS792" s="77"/>
      <c r="AT792" s="77"/>
      <c r="AU792" s="77"/>
      <c r="AV792" s="80" t="str">
        <f>HYPERLINK("https://pbs.twimg.com/profile_images/1619161712967434240/ISM2hv8y_normal.png")</f>
        <v>https://pbs.twimg.com/profile_images/1619161712967434240/ISM2hv8y_normal.png</v>
      </c>
      <c r="AW792" s="82" t="s">
        <v>13888</v>
      </c>
      <c r="AX792" s="82" t="s">
        <v>13888</v>
      </c>
      <c r="AY792" s="77"/>
      <c r="AZ792" s="82" t="s">
        <v>17385</v>
      </c>
      <c r="BA792" s="82" t="s">
        <v>17385</v>
      </c>
      <c r="BB792" s="82" t="s">
        <v>17385</v>
      </c>
      <c r="BC792" s="82" t="s">
        <v>13888</v>
      </c>
      <c r="BD792" s="82" t="s">
        <v>17529</v>
      </c>
      <c r="BE792" s="77"/>
      <c r="BF792" s="77"/>
      <c r="BG792" s="77"/>
      <c r="BH792" s="77"/>
      <c r="BI792" s="77"/>
    </row>
    <row r="793" spans="1:61" x14ac:dyDescent="0.25">
      <c r="A793" s="62" t="s">
        <v>395</v>
      </c>
      <c r="B793" s="62" t="s">
        <v>395</v>
      </c>
      <c r="C793" s="63"/>
      <c r="D793" s="64"/>
      <c r="E793" s="65"/>
      <c r="F793" s="66"/>
      <c r="G793" s="63"/>
      <c r="H793" s="67"/>
      <c r="I793" s="68"/>
      <c r="J793" s="68"/>
      <c r="K793" s="32"/>
      <c r="L793" s="75">
        <v>793</v>
      </c>
      <c r="M793" s="75"/>
      <c r="N793" s="70"/>
      <c r="O793" s="77" t="s">
        <v>179</v>
      </c>
      <c r="P793" s="79">
        <v>45089.979363425926</v>
      </c>
      <c r="Q793" s="77" t="s">
        <v>1585</v>
      </c>
      <c r="R793" s="77">
        <v>0</v>
      </c>
      <c r="S793" s="77">
        <v>0</v>
      </c>
      <c r="T793" s="77">
        <v>0</v>
      </c>
      <c r="U793" s="77">
        <v>0</v>
      </c>
      <c r="V793" s="77">
        <v>91</v>
      </c>
      <c r="W793" s="82" t="s">
        <v>5300</v>
      </c>
      <c r="X793" s="80" t="str">
        <f>HYPERLINK("https://www.falkcapital.com.br/mercado/acoes?utm_source=twitter&amp;utm_medium=falkalertas&amp;utm_campaign=fechamentodemercado")</f>
        <v>https://www.falkcapital.com.br/mercado/acoes?utm_source=twitter&amp;utm_medium=falkalertas&amp;utm_campaign=fechamentodemercado</v>
      </c>
      <c r="Y793" s="77" t="s">
        <v>7053</v>
      </c>
      <c r="Z793" s="77"/>
      <c r="AA793" s="77"/>
      <c r="AB793" s="77"/>
      <c r="AC793" s="82" t="s">
        <v>8257</v>
      </c>
      <c r="AD793" s="77" t="s">
        <v>8278</v>
      </c>
      <c r="AE793" s="80" t="str">
        <f>HYPERLINK("https://twitter.com/falkalertas/status/1668400356978487296")</f>
        <v>https://twitter.com/falkalertas/status/1668400356978487296</v>
      </c>
      <c r="AF793" s="79">
        <v>45089.979363425926</v>
      </c>
      <c r="AG793" s="85">
        <v>45089</v>
      </c>
      <c r="AH793" s="82" t="s">
        <v>8995</v>
      </c>
      <c r="AI793" s="77" t="b">
        <v>0</v>
      </c>
      <c r="AJ793" s="77"/>
      <c r="AK793" s="77"/>
      <c r="AL793" s="77"/>
      <c r="AM793" s="77"/>
      <c r="AN793" s="77"/>
      <c r="AO793" s="77"/>
      <c r="AP793" s="77"/>
      <c r="AQ793" s="77"/>
      <c r="AR793" s="77"/>
      <c r="AS793" s="77"/>
      <c r="AT793" s="77"/>
      <c r="AU793" s="77"/>
      <c r="AV793" s="80" t="str">
        <f>HYPERLINK("https://pbs.twimg.com/profile_images/1619161712967434240/ISM2hv8y_normal.png")</f>
        <v>https://pbs.twimg.com/profile_images/1619161712967434240/ISM2hv8y_normal.png</v>
      </c>
      <c r="AW793" s="82" t="s">
        <v>13889</v>
      </c>
      <c r="AX793" s="82" t="s">
        <v>13889</v>
      </c>
      <c r="AY793" s="77"/>
      <c r="AZ793" s="82" t="s">
        <v>17385</v>
      </c>
      <c r="BA793" s="82" t="s">
        <v>17385</v>
      </c>
      <c r="BB793" s="82" t="s">
        <v>17385</v>
      </c>
      <c r="BC793" s="82" t="s">
        <v>13889</v>
      </c>
      <c r="BD793" s="82" t="s">
        <v>17529</v>
      </c>
      <c r="BE793" s="77"/>
      <c r="BF793" s="77"/>
      <c r="BG793" s="77"/>
      <c r="BH793" s="77"/>
      <c r="BI793" s="77"/>
    </row>
    <row r="794" spans="1:61" x14ac:dyDescent="0.25">
      <c r="A794" s="62" t="s">
        <v>395</v>
      </c>
      <c r="B794" s="62" t="s">
        <v>395</v>
      </c>
      <c r="C794" s="63"/>
      <c r="D794" s="64"/>
      <c r="E794" s="65"/>
      <c r="F794" s="66"/>
      <c r="G794" s="63"/>
      <c r="H794" s="67"/>
      <c r="I794" s="68"/>
      <c r="J794" s="68"/>
      <c r="K794" s="32"/>
      <c r="L794" s="75">
        <v>794</v>
      </c>
      <c r="M794" s="75"/>
      <c r="N794" s="70"/>
      <c r="O794" s="77" t="s">
        <v>179</v>
      </c>
      <c r="P794" s="79">
        <v>45077.979351851849</v>
      </c>
      <c r="Q794" s="77" t="s">
        <v>1586</v>
      </c>
      <c r="R794" s="77">
        <v>0</v>
      </c>
      <c r="S794" s="77">
        <v>0</v>
      </c>
      <c r="T794" s="77">
        <v>0</v>
      </c>
      <c r="U794" s="77">
        <v>0</v>
      </c>
      <c r="V794" s="77">
        <v>64</v>
      </c>
      <c r="W794" s="82" t="s">
        <v>5301</v>
      </c>
      <c r="X794" s="80" t="str">
        <f>HYPERLINK("https://www.falkcapital.com.br/mercado/acoes?utm_source=twitter&amp;utm_medium=falkalertas&amp;utm_campaign=fechamentodemercado")</f>
        <v>https://www.falkcapital.com.br/mercado/acoes?utm_source=twitter&amp;utm_medium=falkalertas&amp;utm_campaign=fechamentodemercado</v>
      </c>
      <c r="Y794" s="77" t="s">
        <v>7053</v>
      </c>
      <c r="Z794" s="77"/>
      <c r="AA794" s="77"/>
      <c r="AB794" s="77"/>
      <c r="AC794" s="82" t="s">
        <v>8257</v>
      </c>
      <c r="AD794" s="77" t="s">
        <v>8278</v>
      </c>
      <c r="AE794" s="80" t="str">
        <f>HYPERLINK("https://twitter.com/falkalertas/status/1664051701945454593")</f>
        <v>https://twitter.com/falkalertas/status/1664051701945454593</v>
      </c>
      <c r="AF794" s="79">
        <v>45077.979351851849</v>
      </c>
      <c r="AG794" s="85">
        <v>45077</v>
      </c>
      <c r="AH794" s="82" t="s">
        <v>8982</v>
      </c>
      <c r="AI794" s="77" t="b">
        <v>0</v>
      </c>
      <c r="AJ794" s="77"/>
      <c r="AK794" s="77"/>
      <c r="AL794" s="77"/>
      <c r="AM794" s="77"/>
      <c r="AN794" s="77"/>
      <c r="AO794" s="77"/>
      <c r="AP794" s="77"/>
      <c r="AQ794" s="77"/>
      <c r="AR794" s="77"/>
      <c r="AS794" s="77"/>
      <c r="AT794" s="77"/>
      <c r="AU794" s="77"/>
      <c r="AV794" s="80" t="str">
        <f>HYPERLINK("https://pbs.twimg.com/profile_images/1619161712967434240/ISM2hv8y_normal.png")</f>
        <v>https://pbs.twimg.com/profile_images/1619161712967434240/ISM2hv8y_normal.png</v>
      </c>
      <c r="AW794" s="82" t="s">
        <v>13890</v>
      </c>
      <c r="AX794" s="82" t="s">
        <v>13890</v>
      </c>
      <c r="AY794" s="77"/>
      <c r="AZ794" s="82" t="s">
        <v>17385</v>
      </c>
      <c r="BA794" s="82" t="s">
        <v>17385</v>
      </c>
      <c r="BB794" s="82" t="s">
        <v>17385</v>
      </c>
      <c r="BC794" s="82" t="s">
        <v>13890</v>
      </c>
      <c r="BD794" s="82" t="s">
        <v>17529</v>
      </c>
      <c r="BE794" s="77"/>
      <c r="BF794" s="77"/>
      <c r="BG794" s="77"/>
      <c r="BH794" s="77"/>
      <c r="BI794" s="77"/>
    </row>
    <row r="795" spans="1:61" x14ac:dyDescent="0.25">
      <c r="A795" s="62" t="s">
        <v>395</v>
      </c>
      <c r="B795" s="62" t="s">
        <v>395</v>
      </c>
      <c r="C795" s="63"/>
      <c r="D795" s="64"/>
      <c r="E795" s="65"/>
      <c r="F795" s="66"/>
      <c r="G795" s="63"/>
      <c r="H795" s="67"/>
      <c r="I795" s="68"/>
      <c r="J795" s="68"/>
      <c r="K795" s="32"/>
      <c r="L795" s="75">
        <v>795</v>
      </c>
      <c r="M795" s="75"/>
      <c r="N795" s="70"/>
      <c r="O795" s="77" t="s">
        <v>179</v>
      </c>
      <c r="P795" s="79">
        <v>45077.979351851849</v>
      </c>
      <c r="Q795" s="77" t="s">
        <v>1587</v>
      </c>
      <c r="R795" s="77">
        <v>0</v>
      </c>
      <c r="S795" s="77">
        <v>0</v>
      </c>
      <c r="T795" s="77">
        <v>0</v>
      </c>
      <c r="U795" s="77">
        <v>0</v>
      </c>
      <c r="V795" s="77">
        <v>164</v>
      </c>
      <c r="W795" s="82" t="s">
        <v>5302</v>
      </c>
      <c r="X795" s="80" t="str">
        <f>HYPERLINK("https://www.falkcapital.com.br/mercado/acoes?utm_source=twitter&amp;utm_medium=falkalertas&amp;utm_campaign=fechamentodemercado")</f>
        <v>https://www.falkcapital.com.br/mercado/acoes?utm_source=twitter&amp;utm_medium=falkalertas&amp;utm_campaign=fechamentodemercado</v>
      </c>
      <c r="Y795" s="77" t="s">
        <v>7053</v>
      </c>
      <c r="Z795" s="77"/>
      <c r="AA795" s="77"/>
      <c r="AB795" s="77"/>
      <c r="AC795" s="82" t="s">
        <v>8257</v>
      </c>
      <c r="AD795" s="77" t="s">
        <v>8278</v>
      </c>
      <c r="AE795" s="80" t="str">
        <f>HYPERLINK("https://twitter.com/falkalertas/status/1664051700796096513")</f>
        <v>https://twitter.com/falkalertas/status/1664051700796096513</v>
      </c>
      <c r="AF795" s="79">
        <v>45077.979351851849</v>
      </c>
      <c r="AG795" s="85">
        <v>45077</v>
      </c>
      <c r="AH795" s="82" t="s">
        <v>8982</v>
      </c>
      <c r="AI795" s="77" t="b">
        <v>0</v>
      </c>
      <c r="AJ795" s="77"/>
      <c r="AK795" s="77"/>
      <c r="AL795" s="77"/>
      <c r="AM795" s="77"/>
      <c r="AN795" s="77"/>
      <c r="AO795" s="77"/>
      <c r="AP795" s="77"/>
      <c r="AQ795" s="77"/>
      <c r="AR795" s="77"/>
      <c r="AS795" s="77"/>
      <c r="AT795" s="77"/>
      <c r="AU795" s="77"/>
      <c r="AV795" s="80" t="str">
        <f>HYPERLINK("https://pbs.twimg.com/profile_images/1619161712967434240/ISM2hv8y_normal.png")</f>
        <v>https://pbs.twimg.com/profile_images/1619161712967434240/ISM2hv8y_normal.png</v>
      </c>
      <c r="AW795" s="82" t="s">
        <v>13891</v>
      </c>
      <c r="AX795" s="82" t="s">
        <v>13891</v>
      </c>
      <c r="AY795" s="77"/>
      <c r="AZ795" s="82" t="s">
        <v>17385</v>
      </c>
      <c r="BA795" s="82" t="s">
        <v>17385</v>
      </c>
      <c r="BB795" s="82" t="s">
        <v>17385</v>
      </c>
      <c r="BC795" s="82" t="s">
        <v>13891</v>
      </c>
      <c r="BD795" s="82" t="s">
        <v>17529</v>
      </c>
      <c r="BE795" s="77"/>
      <c r="BF795" s="77"/>
      <c r="BG795" s="77"/>
      <c r="BH795" s="77"/>
      <c r="BI795" s="77"/>
    </row>
    <row r="796" spans="1:61" x14ac:dyDescent="0.25">
      <c r="A796" s="62" t="s">
        <v>395</v>
      </c>
      <c r="B796" s="62" t="s">
        <v>395</v>
      </c>
      <c r="C796" s="63"/>
      <c r="D796" s="64"/>
      <c r="E796" s="65"/>
      <c r="F796" s="66"/>
      <c r="G796" s="63"/>
      <c r="H796" s="67"/>
      <c r="I796" s="68"/>
      <c r="J796" s="68"/>
      <c r="K796" s="32"/>
      <c r="L796" s="75">
        <v>796</v>
      </c>
      <c r="M796" s="75"/>
      <c r="N796" s="70"/>
      <c r="O796" s="77" t="s">
        <v>179</v>
      </c>
      <c r="P796" s="79">
        <v>45076.979375000003</v>
      </c>
      <c r="Q796" s="77" t="s">
        <v>1588</v>
      </c>
      <c r="R796" s="77">
        <v>0</v>
      </c>
      <c r="S796" s="77">
        <v>1</v>
      </c>
      <c r="T796" s="77">
        <v>0</v>
      </c>
      <c r="U796" s="77">
        <v>0</v>
      </c>
      <c r="V796" s="77">
        <v>160</v>
      </c>
      <c r="W796" s="82" t="s">
        <v>5303</v>
      </c>
      <c r="X796" s="80" t="str">
        <f>HYPERLINK("https://www.falkcapital.com.br/mercado/acoes?utm_source=twitter&amp;utm_medium=falkalertas&amp;utm_campaign=fechamentodemercado")</f>
        <v>https://www.falkcapital.com.br/mercado/acoes?utm_source=twitter&amp;utm_medium=falkalertas&amp;utm_campaign=fechamentodemercado</v>
      </c>
      <c r="Y796" s="77" t="s">
        <v>7053</v>
      </c>
      <c r="Z796" s="77"/>
      <c r="AA796" s="77"/>
      <c r="AB796" s="77"/>
      <c r="AC796" s="82" t="s">
        <v>8257</v>
      </c>
      <c r="AD796" s="77" t="s">
        <v>8278</v>
      </c>
      <c r="AE796" s="80" t="str">
        <f>HYPERLINK("https://twitter.com/falkalertas/status/1663689319796572163")</f>
        <v>https://twitter.com/falkalertas/status/1663689319796572163</v>
      </c>
      <c r="AF796" s="79">
        <v>45076.979375000003</v>
      </c>
      <c r="AG796" s="85">
        <v>45076</v>
      </c>
      <c r="AH796" s="82" t="s">
        <v>8979</v>
      </c>
      <c r="AI796" s="77" t="b">
        <v>0</v>
      </c>
      <c r="AJ796" s="77"/>
      <c r="AK796" s="77"/>
      <c r="AL796" s="77"/>
      <c r="AM796" s="77"/>
      <c r="AN796" s="77"/>
      <c r="AO796" s="77"/>
      <c r="AP796" s="77"/>
      <c r="AQ796" s="77"/>
      <c r="AR796" s="77"/>
      <c r="AS796" s="77"/>
      <c r="AT796" s="77"/>
      <c r="AU796" s="77"/>
      <c r="AV796" s="80" t="str">
        <f>HYPERLINK("https://pbs.twimg.com/profile_images/1619161712967434240/ISM2hv8y_normal.png")</f>
        <v>https://pbs.twimg.com/profile_images/1619161712967434240/ISM2hv8y_normal.png</v>
      </c>
      <c r="AW796" s="82" t="s">
        <v>13892</v>
      </c>
      <c r="AX796" s="82" t="s">
        <v>13892</v>
      </c>
      <c r="AY796" s="77"/>
      <c r="AZ796" s="82" t="s">
        <v>17385</v>
      </c>
      <c r="BA796" s="82" t="s">
        <v>17385</v>
      </c>
      <c r="BB796" s="82" t="s">
        <v>17385</v>
      </c>
      <c r="BC796" s="82" t="s">
        <v>13892</v>
      </c>
      <c r="BD796" s="82" t="s">
        <v>17529</v>
      </c>
      <c r="BE796" s="77"/>
      <c r="BF796" s="77"/>
      <c r="BG796" s="77"/>
      <c r="BH796" s="77"/>
      <c r="BI796" s="77"/>
    </row>
    <row r="797" spans="1:61" x14ac:dyDescent="0.25">
      <c r="A797" s="62" t="s">
        <v>395</v>
      </c>
      <c r="B797" s="62" t="s">
        <v>395</v>
      </c>
      <c r="C797" s="63"/>
      <c r="D797" s="64"/>
      <c r="E797" s="65"/>
      <c r="F797" s="66"/>
      <c r="G797" s="63"/>
      <c r="H797" s="67"/>
      <c r="I797" s="68"/>
      <c r="J797" s="68"/>
      <c r="K797" s="32"/>
      <c r="L797" s="75">
        <v>797</v>
      </c>
      <c r="M797" s="75"/>
      <c r="N797" s="70"/>
      <c r="O797" s="77" t="s">
        <v>179</v>
      </c>
      <c r="P797" s="79">
        <v>45076.979363425926</v>
      </c>
      <c r="Q797" s="77" t="s">
        <v>1589</v>
      </c>
      <c r="R797" s="77">
        <v>0</v>
      </c>
      <c r="S797" s="77">
        <v>0</v>
      </c>
      <c r="T797" s="77">
        <v>0</v>
      </c>
      <c r="U797" s="77">
        <v>0</v>
      </c>
      <c r="V797" s="77">
        <v>119</v>
      </c>
      <c r="W797" s="82" t="s">
        <v>5304</v>
      </c>
      <c r="X797" s="80" t="str">
        <f>HYPERLINK("https://www.falkcapital.com.br/mercado/acoes?utm_source=twitter&amp;utm_medium=falkalertas&amp;utm_campaign=fechamentodemercado")</f>
        <v>https://www.falkcapital.com.br/mercado/acoes?utm_source=twitter&amp;utm_medium=falkalertas&amp;utm_campaign=fechamentodemercado</v>
      </c>
      <c r="Y797" s="77" t="s">
        <v>7053</v>
      </c>
      <c r="Z797" s="77"/>
      <c r="AA797" s="77"/>
      <c r="AB797" s="77"/>
      <c r="AC797" s="82" t="s">
        <v>8257</v>
      </c>
      <c r="AD797" s="77" t="s">
        <v>8278</v>
      </c>
      <c r="AE797" s="80" t="str">
        <f>HYPERLINK("https://twitter.com/falkalertas/status/1663689318290927621")</f>
        <v>https://twitter.com/falkalertas/status/1663689318290927621</v>
      </c>
      <c r="AF797" s="79">
        <v>45076.979363425926</v>
      </c>
      <c r="AG797" s="85">
        <v>45076</v>
      </c>
      <c r="AH797" s="82" t="s">
        <v>8995</v>
      </c>
      <c r="AI797" s="77" t="b">
        <v>0</v>
      </c>
      <c r="AJ797" s="77"/>
      <c r="AK797" s="77"/>
      <c r="AL797" s="77"/>
      <c r="AM797" s="77"/>
      <c r="AN797" s="77"/>
      <c r="AO797" s="77"/>
      <c r="AP797" s="77"/>
      <c r="AQ797" s="77"/>
      <c r="AR797" s="77"/>
      <c r="AS797" s="77"/>
      <c r="AT797" s="77"/>
      <c r="AU797" s="77"/>
      <c r="AV797" s="80" t="str">
        <f>HYPERLINK("https://pbs.twimg.com/profile_images/1619161712967434240/ISM2hv8y_normal.png")</f>
        <v>https://pbs.twimg.com/profile_images/1619161712967434240/ISM2hv8y_normal.png</v>
      </c>
      <c r="AW797" s="82" t="s">
        <v>13893</v>
      </c>
      <c r="AX797" s="82" t="s">
        <v>13893</v>
      </c>
      <c r="AY797" s="77"/>
      <c r="AZ797" s="82" t="s">
        <v>17385</v>
      </c>
      <c r="BA797" s="82" t="s">
        <v>17385</v>
      </c>
      <c r="BB797" s="82" t="s">
        <v>17385</v>
      </c>
      <c r="BC797" s="82" t="s">
        <v>13893</v>
      </c>
      <c r="BD797" s="82" t="s">
        <v>17529</v>
      </c>
      <c r="BE797" s="77"/>
      <c r="BF797" s="77"/>
      <c r="BG797" s="77"/>
      <c r="BH797" s="77"/>
      <c r="BI797" s="77"/>
    </row>
    <row r="798" spans="1:61" x14ac:dyDescent="0.25">
      <c r="A798" s="62" t="s">
        <v>395</v>
      </c>
      <c r="B798" s="62" t="s">
        <v>395</v>
      </c>
      <c r="C798" s="63"/>
      <c r="D798" s="64"/>
      <c r="E798" s="65"/>
      <c r="F798" s="66"/>
      <c r="G798" s="63"/>
      <c r="H798" s="67"/>
      <c r="I798" s="68"/>
      <c r="J798" s="68"/>
      <c r="K798" s="32"/>
      <c r="L798" s="75">
        <v>798</v>
      </c>
      <c r="M798" s="75"/>
      <c r="N798" s="70"/>
      <c r="O798" s="77" t="s">
        <v>179</v>
      </c>
      <c r="P798" s="79">
        <v>45075.979317129626</v>
      </c>
      <c r="Q798" s="77" t="s">
        <v>1590</v>
      </c>
      <c r="R798" s="77">
        <v>0</v>
      </c>
      <c r="S798" s="77">
        <v>0</v>
      </c>
      <c r="T798" s="77">
        <v>0</v>
      </c>
      <c r="U798" s="77">
        <v>0</v>
      </c>
      <c r="V798" s="77">
        <v>177</v>
      </c>
      <c r="W798" s="82" t="s">
        <v>5305</v>
      </c>
      <c r="X798" s="80" t="str">
        <f>HYPERLINK("https://www.falkcapital.com.br/mercado/acoes?utm_source=twitter&amp;utm_medium=falkalertas&amp;utm_campaign=fechamentodemercado")</f>
        <v>https://www.falkcapital.com.br/mercado/acoes?utm_source=twitter&amp;utm_medium=falkalertas&amp;utm_campaign=fechamentodemercado</v>
      </c>
      <c r="Y798" s="77" t="s">
        <v>7053</v>
      </c>
      <c r="Z798" s="77"/>
      <c r="AA798" s="77"/>
      <c r="AB798" s="77"/>
      <c r="AC798" s="82" t="s">
        <v>8257</v>
      </c>
      <c r="AD798" s="77" t="s">
        <v>8278</v>
      </c>
      <c r="AE798" s="80" t="str">
        <f>HYPERLINK("https://twitter.com/falkalertas/status/1663326910443601921")</f>
        <v>https://twitter.com/falkalertas/status/1663326910443601921</v>
      </c>
      <c r="AF798" s="79">
        <v>45075.979317129626</v>
      </c>
      <c r="AG798" s="85">
        <v>45075</v>
      </c>
      <c r="AH798" s="82" t="s">
        <v>8987</v>
      </c>
      <c r="AI798" s="77" t="b">
        <v>0</v>
      </c>
      <c r="AJ798" s="77"/>
      <c r="AK798" s="77"/>
      <c r="AL798" s="77"/>
      <c r="AM798" s="77"/>
      <c r="AN798" s="77"/>
      <c r="AO798" s="77"/>
      <c r="AP798" s="77"/>
      <c r="AQ798" s="77"/>
      <c r="AR798" s="77"/>
      <c r="AS798" s="77"/>
      <c r="AT798" s="77"/>
      <c r="AU798" s="77"/>
      <c r="AV798" s="80" t="str">
        <f>HYPERLINK("https://pbs.twimg.com/profile_images/1619161712967434240/ISM2hv8y_normal.png")</f>
        <v>https://pbs.twimg.com/profile_images/1619161712967434240/ISM2hv8y_normal.png</v>
      </c>
      <c r="AW798" s="82" t="s">
        <v>13894</v>
      </c>
      <c r="AX798" s="82" t="s">
        <v>13894</v>
      </c>
      <c r="AY798" s="77"/>
      <c r="AZ798" s="82" t="s">
        <v>17385</v>
      </c>
      <c r="BA798" s="82" t="s">
        <v>17385</v>
      </c>
      <c r="BB798" s="82" t="s">
        <v>17385</v>
      </c>
      <c r="BC798" s="82" t="s">
        <v>13894</v>
      </c>
      <c r="BD798" s="82" t="s">
        <v>17529</v>
      </c>
      <c r="BE798" s="77"/>
      <c r="BF798" s="77"/>
      <c r="BG798" s="77"/>
      <c r="BH798" s="77"/>
      <c r="BI798" s="77"/>
    </row>
    <row r="799" spans="1:61" x14ac:dyDescent="0.25">
      <c r="A799" s="62" t="s">
        <v>395</v>
      </c>
      <c r="B799" s="62" t="s">
        <v>395</v>
      </c>
      <c r="C799" s="63"/>
      <c r="D799" s="64"/>
      <c r="E799" s="65"/>
      <c r="F799" s="66"/>
      <c r="G799" s="63"/>
      <c r="H799" s="67"/>
      <c r="I799" s="68"/>
      <c r="J799" s="68"/>
      <c r="K799" s="32"/>
      <c r="L799" s="75">
        <v>799</v>
      </c>
      <c r="M799" s="75"/>
      <c r="N799" s="70"/>
      <c r="O799" s="77" t="s">
        <v>179</v>
      </c>
      <c r="P799" s="79">
        <v>45075.979305555556</v>
      </c>
      <c r="Q799" s="77" t="s">
        <v>1591</v>
      </c>
      <c r="R799" s="77">
        <v>0</v>
      </c>
      <c r="S799" s="77">
        <v>1</v>
      </c>
      <c r="T799" s="77">
        <v>0</v>
      </c>
      <c r="U799" s="77">
        <v>0</v>
      </c>
      <c r="V799" s="77">
        <v>155</v>
      </c>
      <c r="W799" s="82" t="s">
        <v>5306</v>
      </c>
      <c r="X799" s="80" t="str">
        <f>HYPERLINK("https://www.falkcapital.com.br/mercado/acoes?utm_source=twitter&amp;utm_medium=falkalertas&amp;utm_campaign=fechamentodemercado")</f>
        <v>https://www.falkcapital.com.br/mercado/acoes?utm_source=twitter&amp;utm_medium=falkalertas&amp;utm_campaign=fechamentodemercado</v>
      </c>
      <c r="Y799" s="77" t="s">
        <v>7053</v>
      </c>
      <c r="Z799" s="77"/>
      <c r="AA799" s="77"/>
      <c r="AB799" s="77"/>
      <c r="AC799" s="82" t="s">
        <v>8257</v>
      </c>
      <c r="AD799" s="77" t="s">
        <v>8278</v>
      </c>
      <c r="AE799" s="80" t="str">
        <f>HYPERLINK("https://twitter.com/falkalertas/status/1663326909311188993")</f>
        <v>https://twitter.com/falkalertas/status/1663326909311188993</v>
      </c>
      <c r="AF799" s="79">
        <v>45075.979305555556</v>
      </c>
      <c r="AG799" s="85">
        <v>45075</v>
      </c>
      <c r="AH799" s="82" t="s">
        <v>8977</v>
      </c>
      <c r="AI799" s="77" t="b">
        <v>0</v>
      </c>
      <c r="AJ799" s="77"/>
      <c r="AK799" s="77"/>
      <c r="AL799" s="77"/>
      <c r="AM799" s="77"/>
      <c r="AN799" s="77"/>
      <c r="AO799" s="77"/>
      <c r="AP799" s="77"/>
      <c r="AQ799" s="77"/>
      <c r="AR799" s="77"/>
      <c r="AS799" s="77"/>
      <c r="AT799" s="77"/>
      <c r="AU799" s="77"/>
      <c r="AV799" s="80" t="str">
        <f>HYPERLINK("https://pbs.twimg.com/profile_images/1619161712967434240/ISM2hv8y_normal.png")</f>
        <v>https://pbs.twimg.com/profile_images/1619161712967434240/ISM2hv8y_normal.png</v>
      </c>
      <c r="AW799" s="82" t="s">
        <v>13895</v>
      </c>
      <c r="AX799" s="82" t="s">
        <v>13895</v>
      </c>
      <c r="AY799" s="77"/>
      <c r="AZ799" s="82" t="s">
        <v>17385</v>
      </c>
      <c r="BA799" s="82" t="s">
        <v>17385</v>
      </c>
      <c r="BB799" s="82" t="s">
        <v>17385</v>
      </c>
      <c r="BC799" s="82" t="s">
        <v>13895</v>
      </c>
      <c r="BD799" s="82" t="s">
        <v>17529</v>
      </c>
      <c r="BE799" s="77"/>
      <c r="BF799" s="77"/>
      <c r="BG799" s="77"/>
      <c r="BH799" s="77"/>
      <c r="BI799" s="77"/>
    </row>
    <row r="800" spans="1:61" x14ac:dyDescent="0.25">
      <c r="A800" s="62" t="s">
        <v>395</v>
      </c>
      <c r="B800" s="62" t="s">
        <v>395</v>
      </c>
      <c r="C800" s="63"/>
      <c r="D800" s="64"/>
      <c r="E800" s="65"/>
      <c r="F800" s="66"/>
      <c r="G800" s="63"/>
      <c r="H800" s="67"/>
      <c r="I800" s="68"/>
      <c r="J800" s="68"/>
      <c r="K800" s="32"/>
      <c r="L800" s="75">
        <v>800</v>
      </c>
      <c r="M800" s="75"/>
      <c r="N800" s="70"/>
      <c r="O800" s="77" t="s">
        <v>179</v>
      </c>
      <c r="P800" s="79">
        <v>45044.97929398148</v>
      </c>
      <c r="Q800" s="77" t="s">
        <v>1592</v>
      </c>
      <c r="R800" s="77">
        <v>0</v>
      </c>
      <c r="S800" s="77">
        <v>0</v>
      </c>
      <c r="T800" s="77">
        <v>0</v>
      </c>
      <c r="U800" s="77">
        <v>0</v>
      </c>
      <c r="V800" s="77">
        <v>81</v>
      </c>
      <c r="W800" s="82" t="s">
        <v>5307</v>
      </c>
      <c r="X800" s="80" t="str">
        <f>HYPERLINK("https://www.falkcapital.com.br/mercado/acoes?utm_source=twitter&amp;utm_medium=falkalertas&amp;utm_campaign=fechamentodemercado")</f>
        <v>https://www.falkcapital.com.br/mercado/acoes?utm_source=twitter&amp;utm_medium=falkalertas&amp;utm_campaign=fechamentodemercado</v>
      </c>
      <c r="Y800" s="77" t="s">
        <v>7053</v>
      </c>
      <c r="Z800" s="77"/>
      <c r="AA800" s="77"/>
      <c r="AB800" s="77"/>
      <c r="AC800" s="82" t="s">
        <v>8257</v>
      </c>
      <c r="AD800" s="77" t="s">
        <v>8278</v>
      </c>
      <c r="AE800" s="80" t="str">
        <f>HYPERLINK("https://twitter.com/falkalertas/status/1652092880851197952")</f>
        <v>https://twitter.com/falkalertas/status/1652092880851197952</v>
      </c>
      <c r="AF800" s="79">
        <v>45044.97929398148</v>
      </c>
      <c r="AG800" s="85">
        <v>45044</v>
      </c>
      <c r="AH800" s="82" t="s">
        <v>8980</v>
      </c>
      <c r="AI800" s="77" t="b">
        <v>0</v>
      </c>
      <c r="AJ800" s="77"/>
      <c r="AK800" s="77"/>
      <c r="AL800" s="77"/>
      <c r="AM800" s="77"/>
      <c r="AN800" s="77"/>
      <c r="AO800" s="77"/>
      <c r="AP800" s="77"/>
      <c r="AQ800" s="77"/>
      <c r="AR800" s="77"/>
      <c r="AS800" s="77"/>
      <c r="AT800" s="77"/>
      <c r="AU800" s="77"/>
      <c r="AV800" s="80" t="str">
        <f>HYPERLINK("https://pbs.twimg.com/profile_images/1619161712967434240/ISM2hv8y_normal.png")</f>
        <v>https://pbs.twimg.com/profile_images/1619161712967434240/ISM2hv8y_normal.png</v>
      </c>
      <c r="AW800" s="82" t="s">
        <v>13896</v>
      </c>
      <c r="AX800" s="82" t="s">
        <v>13896</v>
      </c>
      <c r="AY800" s="77"/>
      <c r="AZ800" s="82" t="s">
        <v>17385</v>
      </c>
      <c r="BA800" s="82" t="s">
        <v>17385</v>
      </c>
      <c r="BB800" s="82" t="s">
        <v>17385</v>
      </c>
      <c r="BC800" s="82" t="s">
        <v>13896</v>
      </c>
      <c r="BD800" s="82" t="s">
        <v>17529</v>
      </c>
      <c r="BE800" s="77"/>
      <c r="BF800" s="77"/>
      <c r="BG800" s="77"/>
      <c r="BH800" s="77"/>
      <c r="BI800" s="77"/>
    </row>
    <row r="801" spans="1:61" x14ac:dyDescent="0.25">
      <c r="A801" s="62" t="s">
        <v>395</v>
      </c>
      <c r="B801" s="62" t="s">
        <v>395</v>
      </c>
      <c r="C801" s="63"/>
      <c r="D801" s="64"/>
      <c r="E801" s="65"/>
      <c r="F801" s="66"/>
      <c r="G801" s="63"/>
      <c r="H801" s="67"/>
      <c r="I801" s="68"/>
      <c r="J801" s="68"/>
      <c r="K801" s="32"/>
      <c r="L801" s="75">
        <v>801</v>
      </c>
      <c r="M801" s="75"/>
      <c r="N801" s="70"/>
      <c r="O801" s="77" t="s">
        <v>179</v>
      </c>
      <c r="P801" s="79">
        <v>45044.97929398148</v>
      </c>
      <c r="Q801" s="77" t="s">
        <v>1593</v>
      </c>
      <c r="R801" s="77">
        <v>0</v>
      </c>
      <c r="S801" s="77">
        <v>0</v>
      </c>
      <c r="T801" s="77">
        <v>0</v>
      </c>
      <c r="U801" s="77">
        <v>0</v>
      </c>
      <c r="V801" s="77">
        <v>119</v>
      </c>
      <c r="W801" s="82" t="s">
        <v>5308</v>
      </c>
      <c r="X801" s="80" t="str">
        <f>HYPERLINK("https://www.falkcapital.com.br/mercado/acoes?utm_source=twitter&amp;utm_medium=falkalertas&amp;utm_campaign=fechamentodemercado")</f>
        <v>https://www.falkcapital.com.br/mercado/acoes?utm_source=twitter&amp;utm_medium=falkalertas&amp;utm_campaign=fechamentodemercado</v>
      </c>
      <c r="Y801" s="77" t="s">
        <v>7053</v>
      </c>
      <c r="Z801" s="77"/>
      <c r="AA801" s="77"/>
      <c r="AB801" s="77"/>
      <c r="AC801" s="82" t="s">
        <v>8257</v>
      </c>
      <c r="AD801" s="77" t="s">
        <v>8278</v>
      </c>
      <c r="AE801" s="80" t="str">
        <f>HYPERLINK("https://twitter.com/falkalertas/status/1652092879668490240")</f>
        <v>https://twitter.com/falkalertas/status/1652092879668490240</v>
      </c>
      <c r="AF801" s="79">
        <v>45044.97929398148</v>
      </c>
      <c r="AG801" s="85">
        <v>45044</v>
      </c>
      <c r="AH801" s="82" t="s">
        <v>8980</v>
      </c>
      <c r="AI801" s="77" t="b">
        <v>0</v>
      </c>
      <c r="AJ801" s="77"/>
      <c r="AK801" s="77"/>
      <c r="AL801" s="77"/>
      <c r="AM801" s="77"/>
      <c r="AN801" s="77"/>
      <c r="AO801" s="77"/>
      <c r="AP801" s="77"/>
      <c r="AQ801" s="77"/>
      <c r="AR801" s="77"/>
      <c r="AS801" s="77"/>
      <c r="AT801" s="77"/>
      <c r="AU801" s="77"/>
      <c r="AV801" s="80" t="str">
        <f>HYPERLINK("https://pbs.twimg.com/profile_images/1619161712967434240/ISM2hv8y_normal.png")</f>
        <v>https://pbs.twimg.com/profile_images/1619161712967434240/ISM2hv8y_normal.png</v>
      </c>
      <c r="AW801" s="82" t="s">
        <v>13897</v>
      </c>
      <c r="AX801" s="82" t="s">
        <v>13897</v>
      </c>
      <c r="AY801" s="77"/>
      <c r="AZ801" s="82" t="s">
        <v>17385</v>
      </c>
      <c r="BA801" s="82" t="s">
        <v>17385</v>
      </c>
      <c r="BB801" s="82" t="s">
        <v>17385</v>
      </c>
      <c r="BC801" s="82" t="s">
        <v>13897</v>
      </c>
      <c r="BD801" s="82" t="s">
        <v>17529</v>
      </c>
      <c r="BE801" s="77"/>
      <c r="BF801" s="77"/>
      <c r="BG801" s="77"/>
      <c r="BH801" s="77"/>
      <c r="BI801" s="77"/>
    </row>
    <row r="802" spans="1:61" x14ac:dyDescent="0.25">
      <c r="A802" s="62" t="s">
        <v>395</v>
      </c>
      <c r="B802" s="62" t="s">
        <v>395</v>
      </c>
      <c r="C802" s="63"/>
      <c r="D802" s="64"/>
      <c r="E802" s="65"/>
      <c r="F802" s="66"/>
      <c r="G802" s="63"/>
      <c r="H802" s="67"/>
      <c r="I802" s="68"/>
      <c r="J802" s="68"/>
      <c r="K802" s="32"/>
      <c r="L802" s="75">
        <v>802</v>
      </c>
      <c r="M802" s="75"/>
      <c r="N802" s="70"/>
      <c r="O802" s="77" t="s">
        <v>179</v>
      </c>
      <c r="P802" s="79">
        <v>45043.97929398148</v>
      </c>
      <c r="Q802" s="77" t="s">
        <v>1594</v>
      </c>
      <c r="R802" s="77">
        <v>0</v>
      </c>
      <c r="S802" s="77">
        <v>0</v>
      </c>
      <c r="T802" s="77">
        <v>0</v>
      </c>
      <c r="U802" s="77">
        <v>0</v>
      </c>
      <c r="V802" s="77">
        <v>98</v>
      </c>
      <c r="W802" s="82" t="s">
        <v>5309</v>
      </c>
      <c r="X802" s="80" t="str">
        <f>HYPERLINK("https://www.falkcapital.com.br/mercado/acoes?utm_source=twitter&amp;utm_medium=falkalertas&amp;utm_campaign=fechamentodemercado")</f>
        <v>https://www.falkcapital.com.br/mercado/acoes?utm_source=twitter&amp;utm_medium=falkalertas&amp;utm_campaign=fechamentodemercado</v>
      </c>
      <c r="Y802" s="77" t="s">
        <v>7053</v>
      </c>
      <c r="Z802" s="77"/>
      <c r="AA802" s="77"/>
      <c r="AB802" s="77"/>
      <c r="AC802" s="82" t="s">
        <v>8257</v>
      </c>
      <c r="AD802" s="77" t="s">
        <v>8278</v>
      </c>
      <c r="AE802" s="80" t="str">
        <f>HYPERLINK("https://twitter.com/falkalertas/status/1651730489814798338")</f>
        <v>https://twitter.com/falkalertas/status/1651730489814798338</v>
      </c>
      <c r="AF802" s="79">
        <v>45043.97929398148</v>
      </c>
      <c r="AG802" s="85">
        <v>45043</v>
      </c>
      <c r="AH802" s="82" t="s">
        <v>8980</v>
      </c>
      <c r="AI802" s="77" t="b">
        <v>0</v>
      </c>
      <c r="AJ802" s="77"/>
      <c r="AK802" s="77"/>
      <c r="AL802" s="77"/>
      <c r="AM802" s="77"/>
      <c r="AN802" s="77"/>
      <c r="AO802" s="77"/>
      <c r="AP802" s="77"/>
      <c r="AQ802" s="77"/>
      <c r="AR802" s="77"/>
      <c r="AS802" s="77"/>
      <c r="AT802" s="77"/>
      <c r="AU802" s="77"/>
      <c r="AV802" s="80" t="str">
        <f>HYPERLINK("https://pbs.twimg.com/profile_images/1619161712967434240/ISM2hv8y_normal.png")</f>
        <v>https://pbs.twimg.com/profile_images/1619161712967434240/ISM2hv8y_normal.png</v>
      </c>
      <c r="AW802" s="82" t="s">
        <v>13898</v>
      </c>
      <c r="AX802" s="82" t="s">
        <v>13898</v>
      </c>
      <c r="AY802" s="77"/>
      <c r="AZ802" s="82" t="s">
        <v>17385</v>
      </c>
      <c r="BA802" s="82" t="s">
        <v>17385</v>
      </c>
      <c r="BB802" s="82" t="s">
        <v>17385</v>
      </c>
      <c r="BC802" s="82" t="s">
        <v>13898</v>
      </c>
      <c r="BD802" s="82" t="s">
        <v>17529</v>
      </c>
      <c r="BE802" s="77"/>
      <c r="BF802" s="77"/>
      <c r="BG802" s="77"/>
      <c r="BH802" s="77"/>
      <c r="BI802" s="77"/>
    </row>
    <row r="803" spans="1:61" x14ac:dyDescent="0.25">
      <c r="A803" s="62" t="s">
        <v>395</v>
      </c>
      <c r="B803" s="62" t="s">
        <v>395</v>
      </c>
      <c r="C803" s="63"/>
      <c r="D803" s="64"/>
      <c r="E803" s="65"/>
      <c r="F803" s="66"/>
      <c r="G803" s="63"/>
      <c r="H803" s="67"/>
      <c r="I803" s="68"/>
      <c r="J803" s="68"/>
      <c r="K803" s="32"/>
      <c r="L803" s="75">
        <v>803</v>
      </c>
      <c r="M803" s="75"/>
      <c r="N803" s="70"/>
      <c r="O803" s="77" t="s">
        <v>179</v>
      </c>
      <c r="P803" s="79">
        <v>45043.97928240741</v>
      </c>
      <c r="Q803" s="77" t="s">
        <v>1595</v>
      </c>
      <c r="R803" s="77">
        <v>0</v>
      </c>
      <c r="S803" s="77">
        <v>0</v>
      </c>
      <c r="T803" s="77">
        <v>0</v>
      </c>
      <c r="U803" s="77">
        <v>0</v>
      </c>
      <c r="V803" s="77">
        <v>147</v>
      </c>
      <c r="W803" s="82" t="s">
        <v>5310</v>
      </c>
      <c r="X803" s="80" t="str">
        <f>HYPERLINK("https://www.falkcapital.com.br/mercado/acoes?utm_source=twitter&amp;utm_medium=falkalertas&amp;utm_campaign=fechamentodemercado")</f>
        <v>https://www.falkcapital.com.br/mercado/acoes?utm_source=twitter&amp;utm_medium=falkalertas&amp;utm_campaign=fechamentodemercado</v>
      </c>
      <c r="Y803" s="77" t="s">
        <v>7053</v>
      </c>
      <c r="Z803" s="77"/>
      <c r="AA803" s="77"/>
      <c r="AB803" s="77"/>
      <c r="AC803" s="82" t="s">
        <v>8257</v>
      </c>
      <c r="AD803" s="77" t="s">
        <v>8278</v>
      </c>
      <c r="AE803" s="80" t="str">
        <f>HYPERLINK("https://twitter.com/falkalertas/status/1651730488791293954")</f>
        <v>https://twitter.com/falkalertas/status/1651730488791293954</v>
      </c>
      <c r="AF803" s="79">
        <v>45043.97928240741</v>
      </c>
      <c r="AG803" s="85">
        <v>45043</v>
      </c>
      <c r="AH803" s="82" t="s">
        <v>8997</v>
      </c>
      <c r="AI803" s="77" t="b">
        <v>0</v>
      </c>
      <c r="AJ803" s="77"/>
      <c r="AK803" s="77"/>
      <c r="AL803" s="77"/>
      <c r="AM803" s="77"/>
      <c r="AN803" s="77"/>
      <c r="AO803" s="77"/>
      <c r="AP803" s="77"/>
      <c r="AQ803" s="77"/>
      <c r="AR803" s="77"/>
      <c r="AS803" s="77"/>
      <c r="AT803" s="77"/>
      <c r="AU803" s="77"/>
      <c r="AV803" s="80" t="str">
        <f>HYPERLINK("https://pbs.twimg.com/profile_images/1619161712967434240/ISM2hv8y_normal.png")</f>
        <v>https://pbs.twimg.com/profile_images/1619161712967434240/ISM2hv8y_normal.png</v>
      </c>
      <c r="AW803" s="82" t="s">
        <v>13899</v>
      </c>
      <c r="AX803" s="82" t="s">
        <v>13899</v>
      </c>
      <c r="AY803" s="77"/>
      <c r="AZ803" s="82" t="s">
        <v>17385</v>
      </c>
      <c r="BA803" s="82" t="s">
        <v>17385</v>
      </c>
      <c r="BB803" s="82" t="s">
        <v>17385</v>
      </c>
      <c r="BC803" s="82" t="s">
        <v>13899</v>
      </c>
      <c r="BD803" s="82" t="s">
        <v>17529</v>
      </c>
      <c r="BE803" s="77"/>
      <c r="BF803" s="77"/>
      <c r="BG803" s="77"/>
      <c r="BH803" s="77"/>
      <c r="BI803" s="77"/>
    </row>
    <row r="804" spans="1:61" x14ac:dyDescent="0.25">
      <c r="A804" s="62" t="s">
        <v>395</v>
      </c>
      <c r="B804" s="62" t="s">
        <v>580</v>
      </c>
      <c r="C804" s="63"/>
      <c r="D804" s="64"/>
      <c r="E804" s="65"/>
      <c r="F804" s="66"/>
      <c r="G804" s="63"/>
      <c r="H804" s="67"/>
      <c r="I804" s="68"/>
      <c r="J804" s="68"/>
      <c r="K804" s="32"/>
      <c r="L804" s="75">
        <v>804</v>
      </c>
      <c r="M804" s="75"/>
      <c r="N804" s="70"/>
      <c r="O804" s="77" t="s">
        <v>803</v>
      </c>
      <c r="P804" s="79">
        <v>45190.025266203702</v>
      </c>
      <c r="Q804" s="77" t="s">
        <v>1596</v>
      </c>
      <c r="R804" s="77">
        <v>1</v>
      </c>
      <c r="S804" s="77">
        <v>0</v>
      </c>
      <c r="T804" s="77">
        <v>0</v>
      </c>
      <c r="U804" s="77">
        <v>0</v>
      </c>
      <c r="V804" s="77"/>
      <c r="W804" s="82" t="s">
        <v>5311</v>
      </c>
      <c r="X804" s="77"/>
      <c r="Y804" s="77"/>
      <c r="Z804" s="77" t="s">
        <v>580</v>
      </c>
      <c r="AA804" s="77"/>
      <c r="AB804" s="77"/>
      <c r="AC804" s="82" t="s">
        <v>8234</v>
      </c>
      <c r="AD804" s="77" t="s">
        <v>8278</v>
      </c>
      <c r="AE804" s="80" t="str">
        <f>HYPERLINK("https://twitter.com/falkalertas/status/1704655779565891994")</f>
        <v>https://twitter.com/falkalertas/status/1704655779565891994</v>
      </c>
      <c r="AF804" s="79">
        <v>45190.025266203702</v>
      </c>
      <c r="AG804" s="85">
        <v>45190</v>
      </c>
      <c r="AH804" s="82" t="s">
        <v>8998</v>
      </c>
      <c r="AI804" s="77" t="b">
        <v>0</v>
      </c>
      <c r="AJ804" s="77"/>
      <c r="AK804" s="77"/>
      <c r="AL804" s="77"/>
      <c r="AM804" s="77"/>
      <c r="AN804" s="77"/>
      <c r="AO804" s="77"/>
      <c r="AP804" s="77"/>
      <c r="AQ804" s="77"/>
      <c r="AR804" s="77"/>
      <c r="AS804" s="77"/>
      <c r="AT804" s="77"/>
      <c r="AU804" s="77"/>
      <c r="AV804" s="80" t="str">
        <f>HYPERLINK("https://pbs.twimg.com/profile_images/1619161712967434240/ISM2hv8y_normal.png")</f>
        <v>https://pbs.twimg.com/profile_images/1619161712967434240/ISM2hv8y_normal.png</v>
      </c>
      <c r="AW804" s="82" t="s">
        <v>13900</v>
      </c>
      <c r="AX804" s="82" t="s">
        <v>13900</v>
      </c>
      <c r="AY804" s="77"/>
      <c r="AZ804" s="82" t="s">
        <v>17385</v>
      </c>
      <c r="BA804" s="82" t="s">
        <v>17385</v>
      </c>
      <c r="BB804" s="82" t="s">
        <v>15184</v>
      </c>
      <c r="BC804" s="82" t="s">
        <v>15184</v>
      </c>
      <c r="BD804" s="82" t="s">
        <v>17529</v>
      </c>
      <c r="BE804" s="77"/>
      <c r="BF804" s="77"/>
      <c r="BG804" s="77"/>
      <c r="BH804" s="77"/>
      <c r="BI804" s="77"/>
    </row>
    <row r="805" spans="1:61" x14ac:dyDescent="0.25">
      <c r="A805" s="62" t="s">
        <v>395</v>
      </c>
      <c r="B805" s="62" t="s">
        <v>395</v>
      </c>
      <c r="C805" s="63"/>
      <c r="D805" s="64"/>
      <c r="E805" s="65"/>
      <c r="F805" s="66"/>
      <c r="G805" s="63"/>
      <c r="H805" s="67"/>
      <c r="I805" s="68"/>
      <c r="J805" s="68"/>
      <c r="K805" s="32"/>
      <c r="L805" s="75">
        <v>805</v>
      </c>
      <c r="M805" s="75"/>
      <c r="N805" s="70"/>
      <c r="O805" s="77" t="s">
        <v>179</v>
      </c>
      <c r="P805" s="79">
        <v>45170.98265046296</v>
      </c>
      <c r="Q805" s="77" t="s">
        <v>1597</v>
      </c>
      <c r="R805" s="77">
        <v>0</v>
      </c>
      <c r="S805" s="77">
        <v>1</v>
      </c>
      <c r="T805" s="77">
        <v>0</v>
      </c>
      <c r="U805" s="77">
        <v>0</v>
      </c>
      <c r="V805" s="77">
        <v>213</v>
      </c>
      <c r="W805" s="82" t="s">
        <v>5312</v>
      </c>
      <c r="X805" s="80" t="str">
        <f>HYPERLINK("https://www.falkcapital.com.br/mercado/acoes?utm_source=twitter&amp;utm_medium=falkalertas&amp;utm_campaign=fechamentodemercado")</f>
        <v>https://www.falkcapital.com.br/mercado/acoes?utm_source=twitter&amp;utm_medium=falkalertas&amp;utm_campaign=fechamentodemercado</v>
      </c>
      <c r="Y805" s="77" t="s">
        <v>7053</v>
      </c>
      <c r="Z805" s="77"/>
      <c r="AA805" s="77"/>
      <c r="AB805" s="77"/>
      <c r="AC805" s="82" t="s">
        <v>8258</v>
      </c>
      <c r="AD805" s="77" t="s">
        <v>8278</v>
      </c>
      <c r="AE805" s="80" t="str">
        <f>HYPERLINK("https://twitter.com/falkalertas/status/1697754964725043367")</f>
        <v>https://twitter.com/falkalertas/status/1697754964725043367</v>
      </c>
      <c r="AF805" s="79">
        <v>45170.98265046296</v>
      </c>
      <c r="AG805" s="85">
        <v>45170</v>
      </c>
      <c r="AH805" s="82" t="s">
        <v>8999</v>
      </c>
      <c r="AI805" s="77" t="b">
        <v>0</v>
      </c>
      <c r="AJ805" s="77"/>
      <c r="AK805" s="77"/>
      <c r="AL805" s="77"/>
      <c r="AM805" s="77"/>
      <c r="AN805" s="77"/>
      <c r="AO805" s="77"/>
      <c r="AP805" s="77"/>
      <c r="AQ805" s="77"/>
      <c r="AR805" s="77"/>
      <c r="AS805" s="77"/>
      <c r="AT805" s="77"/>
      <c r="AU805" s="77"/>
      <c r="AV805" s="80" t="str">
        <f>HYPERLINK("https://pbs.twimg.com/profile_images/1619161712967434240/ISM2hv8y_normal.png")</f>
        <v>https://pbs.twimg.com/profile_images/1619161712967434240/ISM2hv8y_normal.png</v>
      </c>
      <c r="AW805" s="82" t="s">
        <v>13901</v>
      </c>
      <c r="AX805" s="82" t="s">
        <v>13901</v>
      </c>
      <c r="AY805" s="77"/>
      <c r="AZ805" s="82" t="s">
        <v>17385</v>
      </c>
      <c r="BA805" s="82" t="s">
        <v>17385</v>
      </c>
      <c r="BB805" s="82" t="s">
        <v>17385</v>
      </c>
      <c r="BC805" s="82" t="s">
        <v>13901</v>
      </c>
      <c r="BD805" s="82" t="s">
        <v>17529</v>
      </c>
      <c r="BE805" s="77"/>
      <c r="BF805" s="77"/>
      <c r="BG805" s="77"/>
      <c r="BH805" s="77"/>
      <c r="BI805" s="77"/>
    </row>
    <row r="806" spans="1:61" x14ac:dyDescent="0.25">
      <c r="A806" s="62" t="s">
        <v>395</v>
      </c>
      <c r="B806" s="62" t="s">
        <v>395</v>
      </c>
      <c r="C806" s="63"/>
      <c r="D806" s="64"/>
      <c r="E806" s="65"/>
      <c r="F806" s="66"/>
      <c r="G806" s="63"/>
      <c r="H806" s="67"/>
      <c r="I806" s="68"/>
      <c r="J806" s="68"/>
      <c r="K806" s="32"/>
      <c r="L806" s="75">
        <v>806</v>
      </c>
      <c r="M806" s="75"/>
      <c r="N806" s="70"/>
      <c r="O806" s="77" t="s">
        <v>179</v>
      </c>
      <c r="P806" s="79">
        <v>45159.983356481483</v>
      </c>
      <c r="Q806" s="77" t="s">
        <v>1598</v>
      </c>
      <c r="R806" s="77">
        <v>0</v>
      </c>
      <c r="S806" s="77">
        <v>1</v>
      </c>
      <c r="T806" s="77">
        <v>0</v>
      </c>
      <c r="U806" s="77">
        <v>0</v>
      </c>
      <c r="V806" s="77">
        <v>147</v>
      </c>
      <c r="W806" s="82" t="s">
        <v>5313</v>
      </c>
      <c r="X806" s="80" t="str">
        <f>HYPERLINK("https://www.falkcapital.com.br/mercado/acoes?utm_source=twitter&amp;utm_medium=falkalertas&amp;utm_campaign=fechamentodemercado")</f>
        <v>https://www.falkcapital.com.br/mercado/acoes?utm_source=twitter&amp;utm_medium=falkalertas&amp;utm_campaign=fechamentodemercado</v>
      </c>
      <c r="Y806" s="77" t="s">
        <v>7053</v>
      </c>
      <c r="Z806" s="77"/>
      <c r="AA806" s="77"/>
      <c r="AB806" s="77"/>
      <c r="AC806" s="82" t="s">
        <v>8258</v>
      </c>
      <c r="AD806" s="77" t="s">
        <v>8278</v>
      </c>
      <c r="AE806" s="80" t="str">
        <f>HYPERLINK("https://twitter.com/falkalertas/status/1693768957847589231")</f>
        <v>https://twitter.com/falkalertas/status/1693768957847589231</v>
      </c>
      <c r="AF806" s="79">
        <v>45159.983356481483</v>
      </c>
      <c r="AG806" s="85">
        <v>45159</v>
      </c>
      <c r="AH806" s="82" t="s">
        <v>9000</v>
      </c>
      <c r="AI806" s="77" t="b">
        <v>0</v>
      </c>
      <c r="AJ806" s="77"/>
      <c r="AK806" s="77"/>
      <c r="AL806" s="77"/>
      <c r="AM806" s="77"/>
      <c r="AN806" s="77"/>
      <c r="AO806" s="77"/>
      <c r="AP806" s="77"/>
      <c r="AQ806" s="77"/>
      <c r="AR806" s="77"/>
      <c r="AS806" s="77"/>
      <c r="AT806" s="77"/>
      <c r="AU806" s="77"/>
      <c r="AV806" s="80" t="str">
        <f>HYPERLINK("https://pbs.twimg.com/profile_images/1619161712967434240/ISM2hv8y_normal.png")</f>
        <v>https://pbs.twimg.com/profile_images/1619161712967434240/ISM2hv8y_normal.png</v>
      </c>
      <c r="AW806" s="82" t="s">
        <v>13902</v>
      </c>
      <c r="AX806" s="82" t="s">
        <v>13902</v>
      </c>
      <c r="AY806" s="77"/>
      <c r="AZ806" s="82" t="s">
        <v>17385</v>
      </c>
      <c r="BA806" s="82" t="s">
        <v>17385</v>
      </c>
      <c r="BB806" s="82" t="s">
        <v>17385</v>
      </c>
      <c r="BC806" s="82" t="s">
        <v>13902</v>
      </c>
      <c r="BD806" s="82" t="s">
        <v>17529</v>
      </c>
      <c r="BE806" s="77"/>
      <c r="BF806" s="77"/>
      <c r="BG806" s="77"/>
      <c r="BH806" s="77"/>
      <c r="BI806" s="77"/>
    </row>
    <row r="807" spans="1:61" x14ac:dyDescent="0.25">
      <c r="A807" s="62" t="s">
        <v>395</v>
      </c>
      <c r="B807" s="62" t="s">
        <v>395</v>
      </c>
      <c r="C807" s="63"/>
      <c r="D807" s="64"/>
      <c r="E807" s="65"/>
      <c r="F807" s="66"/>
      <c r="G807" s="63"/>
      <c r="H807" s="67"/>
      <c r="I807" s="68"/>
      <c r="J807" s="68"/>
      <c r="K807" s="32"/>
      <c r="L807" s="75">
        <v>807</v>
      </c>
      <c r="M807" s="75"/>
      <c r="N807" s="70"/>
      <c r="O807" s="77" t="s">
        <v>179</v>
      </c>
      <c r="P807" s="79">
        <v>45159.983356481483</v>
      </c>
      <c r="Q807" s="77" t="s">
        <v>1599</v>
      </c>
      <c r="R807" s="77">
        <v>0</v>
      </c>
      <c r="S807" s="77">
        <v>1</v>
      </c>
      <c r="T807" s="77">
        <v>0</v>
      </c>
      <c r="U807" s="77">
        <v>0</v>
      </c>
      <c r="V807" s="77">
        <v>144</v>
      </c>
      <c r="W807" s="82" t="s">
        <v>5314</v>
      </c>
      <c r="X807" s="80" t="str">
        <f>HYPERLINK("https://www.falkcapital.com.br/mercado/acoes?utm_source=twitter&amp;utm_medium=falkalertas&amp;utm_campaign=fechamentodemercado")</f>
        <v>https://www.falkcapital.com.br/mercado/acoes?utm_source=twitter&amp;utm_medium=falkalertas&amp;utm_campaign=fechamentodemercado</v>
      </c>
      <c r="Y807" s="77" t="s">
        <v>7053</v>
      </c>
      <c r="Z807" s="77"/>
      <c r="AA807" s="77"/>
      <c r="AB807" s="77"/>
      <c r="AC807" s="82" t="s">
        <v>8258</v>
      </c>
      <c r="AD807" s="77" t="s">
        <v>8278</v>
      </c>
      <c r="AE807" s="80" t="str">
        <f>HYPERLINK("https://twitter.com/falkalertas/status/1693768955809116363")</f>
        <v>https://twitter.com/falkalertas/status/1693768955809116363</v>
      </c>
      <c r="AF807" s="79">
        <v>45159.983356481483</v>
      </c>
      <c r="AG807" s="85">
        <v>45159</v>
      </c>
      <c r="AH807" s="82" t="s">
        <v>9000</v>
      </c>
      <c r="AI807" s="77" t="b">
        <v>0</v>
      </c>
      <c r="AJ807" s="77"/>
      <c r="AK807" s="77"/>
      <c r="AL807" s="77"/>
      <c r="AM807" s="77"/>
      <c r="AN807" s="77"/>
      <c r="AO807" s="77"/>
      <c r="AP807" s="77"/>
      <c r="AQ807" s="77"/>
      <c r="AR807" s="77"/>
      <c r="AS807" s="77"/>
      <c r="AT807" s="77"/>
      <c r="AU807" s="77"/>
      <c r="AV807" s="80" t="str">
        <f>HYPERLINK("https://pbs.twimg.com/profile_images/1619161712967434240/ISM2hv8y_normal.png")</f>
        <v>https://pbs.twimg.com/profile_images/1619161712967434240/ISM2hv8y_normal.png</v>
      </c>
      <c r="AW807" s="82" t="s">
        <v>13903</v>
      </c>
      <c r="AX807" s="82" t="s">
        <v>13903</v>
      </c>
      <c r="AY807" s="77"/>
      <c r="AZ807" s="82" t="s">
        <v>17385</v>
      </c>
      <c r="BA807" s="82" t="s">
        <v>17385</v>
      </c>
      <c r="BB807" s="82" t="s">
        <v>17385</v>
      </c>
      <c r="BC807" s="82" t="s">
        <v>13903</v>
      </c>
      <c r="BD807" s="82" t="s">
        <v>17529</v>
      </c>
      <c r="BE807" s="77"/>
      <c r="BF807" s="77"/>
      <c r="BG807" s="77"/>
      <c r="BH807" s="77"/>
      <c r="BI807" s="77"/>
    </row>
    <row r="808" spans="1:61" x14ac:dyDescent="0.25">
      <c r="A808" s="62" t="s">
        <v>395</v>
      </c>
      <c r="B808" s="62" t="s">
        <v>395</v>
      </c>
      <c r="C808" s="63"/>
      <c r="D808" s="64"/>
      <c r="E808" s="65"/>
      <c r="F808" s="66"/>
      <c r="G808" s="63"/>
      <c r="H808" s="67"/>
      <c r="I808" s="68"/>
      <c r="J808" s="68"/>
      <c r="K808" s="32"/>
      <c r="L808" s="75">
        <v>808</v>
      </c>
      <c r="M808" s="75"/>
      <c r="N808" s="70"/>
      <c r="O808" s="77" t="s">
        <v>179</v>
      </c>
      <c r="P808" s="79">
        <v>45152.980196759258</v>
      </c>
      <c r="Q808" s="77" t="s">
        <v>1600</v>
      </c>
      <c r="R808" s="77">
        <v>0</v>
      </c>
      <c r="S808" s="77">
        <v>1</v>
      </c>
      <c r="T808" s="77">
        <v>0</v>
      </c>
      <c r="U808" s="77">
        <v>0</v>
      </c>
      <c r="V808" s="77">
        <v>130</v>
      </c>
      <c r="W808" s="82" t="s">
        <v>5315</v>
      </c>
      <c r="X808" s="80" t="str">
        <f>HYPERLINK("https://www.falkcapital.com.br/mercado/acoes?utm_source=twitter&amp;utm_medium=falkalertas&amp;utm_campaign=fechamentodemercado")</f>
        <v>https://www.falkcapital.com.br/mercado/acoes?utm_source=twitter&amp;utm_medium=falkalertas&amp;utm_campaign=fechamentodemercado</v>
      </c>
      <c r="Y808" s="77" t="s">
        <v>7053</v>
      </c>
      <c r="Z808" s="77"/>
      <c r="AA808" s="77"/>
      <c r="AB808" s="77"/>
      <c r="AC808" s="82" t="s">
        <v>8258</v>
      </c>
      <c r="AD808" s="77" t="s">
        <v>8278</v>
      </c>
      <c r="AE808" s="80" t="str">
        <f>HYPERLINK("https://twitter.com/falkalertas/status/1691231094027259904")</f>
        <v>https://twitter.com/falkalertas/status/1691231094027259904</v>
      </c>
      <c r="AF808" s="79">
        <v>45152.980196759258</v>
      </c>
      <c r="AG808" s="85">
        <v>45152</v>
      </c>
      <c r="AH808" s="82" t="s">
        <v>9001</v>
      </c>
      <c r="AI808" s="77" t="b">
        <v>0</v>
      </c>
      <c r="AJ808" s="77"/>
      <c r="AK808" s="77"/>
      <c r="AL808" s="77"/>
      <c r="AM808" s="77"/>
      <c r="AN808" s="77"/>
      <c r="AO808" s="77"/>
      <c r="AP808" s="77"/>
      <c r="AQ808" s="77"/>
      <c r="AR808" s="77"/>
      <c r="AS808" s="77"/>
      <c r="AT808" s="77"/>
      <c r="AU808" s="77"/>
      <c r="AV808" s="80" t="str">
        <f>HYPERLINK("https://pbs.twimg.com/profile_images/1619161712967434240/ISM2hv8y_normal.png")</f>
        <v>https://pbs.twimg.com/profile_images/1619161712967434240/ISM2hv8y_normal.png</v>
      </c>
      <c r="AW808" s="82" t="s">
        <v>13904</v>
      </c>
      <c r="AX808" s="82" t="s">
        <v>13904</v>
      </c>
      <c r="AY808" s="77"/>
      <c r="AZ808" s="82" t="s">
        <v>17385</v>
      </c>
      <c r="BA808" s="82" t="s">
        <v>17385</v>
      </c>
      <c r="BB808" s="82" t="s">
        <v>17385</v>
      </c>
      <c r="BC808" s="82" t="s">
        <v>13904</v>
      </c>
      <c r="BD808" s="82" t="s">
        <v>17529</v>
      </c>
      <c r="BE808" s="77"/>
      <c r="BF808" s="77"/>
      <c r="BG808" s="77"/>
      <c r="BH808" s="77"/>
      <c r="BI808" s="77"/>
    </row>
    <row r="809" spans="1:61" x14ac:dyDescent="0.25">
      <c r="A809" s="62" t="s">
        <v>395</v>
      </c>
      <c r="B809" s="62" t="s">
        <v>395</v>
      </c>
      <c r="C809" s="63"/>
      <c r="D809" s="64"/>
      <c r="E809" s="65"/>
      <c r="F809" s="66"/>
      <c r="G809" s="63"/>
      <c r="H809" s="67"/>
      <c r="I809" s="68"/>
      <c r="J809" s="68"/>
      <c r="K809" s="32"/>
      <c r="L809" s="75">
        <v>809</v>
      </c>
      <c r="M809" s="75"/>
      <c r="N809" s="70"/>
      <c r="O809" s="77" t="s">
        <v>179</v>
      </c>
      <c r="P809" s="79">
        <v>45152.979456018518</v>
      </c>
      <c r="Q809" s="77" t="s">
        <v>1601</v>
      </c>
      <c r="R809" s="77">
        <v>0</v>
      </c>
      <c r="S809" s="77">
        <v>1</v>
      </c>
      <c r="T809" s="77">
        <v>0</v>
      </c>
      <c r="U809" s="77">
        <v>0</v>
      </c>
      <c r="V809" s="77">
        <v>149</v>
      </c>
      <c r="W809" s="82" t="s">
        <v>5316</v>
      </c>
      <c r="X809" s="80" t="str">
        <f>HYPERLINK("https://www.falkcapital.com.br/mercado/acoes?utm_source=twitter&amp;utm_medium=falkalertas&amp;utm_campaign=fechamentodemercado")</f>
        <v>https://www.falkcapital.com.br/mercado/acoes?utm_source=twitter&amp;utm_medium=falkalertas&amp;utm_campaign=fechamentodemercado</v>
      </c>
      <c r="Y809" s="77" t="s">
        <v>7053</v>
      </c>
      <c r="Z809" s="77"/>
      <c r="AA809" s="77"/>
      <c r="AB809" s="77"/>
      <c r="AC809" s="82" t="s">
        <v>8258</v>
      </c>
      <c r="AD809" s="77" t="s">
        <v>8278</v>
      </c>
      <c r="AE809" s="80" t="str">
        <f>HYPERLINK("https://twitter.com/falkalertas/status/1691230827412078592")</f>
        <v>https://twitter.com/falkalertas/status/1691230827412078592</v>
      </c>
      <c r="AF809" s="79">
        <v>45152.979456018518</v>
      </c>
      <c r="AG809" s="85">
        <v>45152</v>
      </c>
      <c r="AH809" s="82" t="s">
        <v>9002</v>
      </c>
      <c r="AI809" s="77" t="b">
        <v>0</v>
      </c>
      <c r="AJ809" s="77"/>
      <c r="AK809" s="77"/>
      <c r="AL809" s="77"/>
      <c r="AM809" s="77"/>
      <c r="AN809" s="77"/>
      <c r="AO809" s="77"/>
      <c r="AP809" s="77"/>
      <c r="AQ809" s="77"/>
      <c r="AR809" s="77"/>
      <c r="AS809" s="77"/>
      <c r="AT809" s="77"/>
      <c r="AU809" s="77"/>
      <c r="AV809" s="80" t="str">
        <f>HYPERLINK("https://pbs.twimg.com/profile_images/1619161712967434240/ISM2hv8y_normal.png")</f>
        <v>https://pbs.twimg.com/profile_images/1619161712967434240/ISM2hv8y_normal.png</v>
      </c>
      <c r="AW809" s="82" t="s">
        <v>13905</v>
      </c>
      <c r="AX809" s="82" t="s">
        <v>13905</v>
      </c>
      <c r="AY809" s="77"/>
      <c r="AZ809" s="82" t="s">
        <v>17385</v>
      </c>
      <c r="BA809" s="82" t="s">
        <v>17385</v>
      </c>
      <c r="BB809" s="82" t="s">
        <v>17385</v>
      </c>
      <c r="BC809" s="82" t="s">
        <v>13905</v>
      </c>
      <c r="BD809" s="82" t="s">
        <v>17529</v>
      </c>
      <c r="BE809" s="77"/>
      <c r="BF809" s="77"/>
      <c r="BG809" s="77"/>
      <c r="BH809" s="77"/>
      <c r="BI809" s="77"/>
    </row>
    <row r="810" spans="1:61" x14ac:dyDescent="0.25">
      <c r="A810" s="62" t="s">
        <v>395</v>
      </c>
      <c r="B810" s="62" t="s">
        <v>395</v>
      </c>
      <c r="C810" s="63"/>
      <c r="D810" s="64"/>
      <c r="E810" s="65"/>
      <c r="F810" s="66"/>
      <c r="G810" s="63"/>
      <c r="H810" s="67"/>
      <c r="I810" s="68"/>
      <c r="J810" s="68"/>
      <c r="K810" s="32"/>
      <c r="L810" s="75">
        <v>810</v>
      </c>
      <c r="M810" s="75"/>
      <c r="N810" s="70"/>
      <c r="O810" s="77" t="s">
        <v>179</v>
      </c>
      <c r="P810" s="79">
        <v>45078.979386574072</v>
      </c>
      <c r="Q810" s="77" t="s">
        <v>1602</v>
      </c>
      <c r="R810" s="77">
        <v>0</v>
      </c>
      <c r="S810" s="77">
        <v>0</v>
      </c>
      <c r="T810" s="77">
        <v>0</v>
      </c>
      <c r="U810" s="77">
        <v>0</v>
      </c>
      <c r="V810" s="77">
        <v>65</v>
      </c>
      <c r="W810" s="82" t="s">
        <v>5317</v>
      </c>
      <c r="X810" s="80" t="str">
        <f>HYPERLINK("https://www.falkcapital.com.br/mercado/acoes?utm_source=twitter&amp;utm_medium=falkalertas&amp;utm_campaign=fechamentodemercado")</f>
        <v>https://www.falkcapital.com.br/mercado/acoes?utm_source=twitter&amp;utm_medium=falkalertas&amp;utm_campaign=fechamentodemercado</v>
      </c>
      <c r="Y810" s="77" t="s">
        <v>7053</v>
      </c>
      <c r="Z810" s="77"/>
      <c r="AA810" s="77"/>
      <c r="AB810" s="77"/>
      <c r="AC810" s="82" t="s">
        <v>8257</v>
      </c>
      <c r="AD810" s="77" t="s">
        <v>8278</v>
      </c>
      <c r="AE810" s="80" t="str">
        <f>HYPERLINK("https://twitter.com/falkalertas/status/1664414098950422529")</f>
        <v>https://twitter.com/falkalertas/status/1664414098950422529</v>
      </c>
      <c r="AF810" s="79">
        <v>45078.979386574072</v>
      </c>
      <c r="AG810" s="85">
        <v>45078</v>
      </c>
      <c r="AH810" s="82" t="s">
        <v>8978</v>
      </c>
      <c r="AI810" s="77" t="b">
        <v>0</v>
      </c>
      <c r="AJ810" s="77"/>
      <c r="AK810" s="77"/>
      <c r="AL810" s="77"/>
      <c r="AM810" s="77"/>
      <c r="AN810" s="77"/>
      <c r="AO810" s="77"/>
      <c r="AP810" s="77"/>
      <c r="AQ810" s="77"/>
      <c r="AR810" s="77"/>
      <c r="AS810" s="77"/>
      <c r="AT810" s="77"/>
      <c r="AU810" s="77"/>
      <c r="AV810" s="80" t="str">
        <f>HYPERLINK("https://pbs.twimg.com/profile_images/1619161712967434240/ISM2hv8y_normal.png")</f>
        <v>https://pbs.twimg.com/profile_images/1619161712967434240/ISM2hv8y_normal.png</v>
      </c>
      <c r="AW810" s="82" t="s">
        <v>13906</v>
      </c>
      <c r="AX810" s="82" t="s">
        <v>13906</v>
      </c>
      <c r="AY810" s="77"/>
      <c r="AZ810" s="82" t="s">
        <v>17385</v>
      </c>
      <c r="BA810" s="82" t="s">
        <v>17385</v>
      </c>
      <c r="BB810" s="82" t="s">
        <v>17385</v>
      </c>
      <c r="BC810" s="82" t="s">
        <v>13906</v>
      </c>
      <c r="BD810" s="82" t="s">
        <v>17529</v>
      </c>
      <c r="BE810" s="77"/>
      <c r="BF810" s="77"/>
      <c r="BG810" s="77"/>
      <c r="BH810" s="77"/>
      <c r="BI810" s="77"/>
    </row>
    <row r="811" spans="1:61" x14ac:dyDescent="0.25">
      <c r="A811" s="62" t="s">
        <v>395</v>
      </c>
      <c r="B811" s="62" t="s">
        <v>395</v>
      </c>
      <c r="C811" s="63"/>
      <c r="D811" s="64"/>
      <c r="E811" s="65"/>
      <c r="F811" s="66"/>
      <c r="G811" s="63"/>
      <c r="H811" s="67"/>
      <c r="I811" s="68"/>
      <c r="J811" s="68"/>
      <c r="K811" s="32"/>
      <c r="L811" s="75">
        <v>811</v>
      </c>
      <c r="M811" s="75"/>
      <c r="N811" s="70"/>
      <c r="O811" s="77" t="s">
        <v>179</v>
      </c>
      <c r="P811" s="79">
        <v>45078.979375000003</v>
      </c>
      <c r="Q811" s="77" t="s">
        <v>1603</v>
      </c>
      <c r="R811" s="77">
        <v>0</v>
      </c>
      <c r="S811" s="77">
        <v>0</v>
      </c>
      <c r="T811" s="77">
        <v>0</v>
      </c>
      <c r="U811" s="77">
        <v>0</v>
      </c>
      <c r="V811" s="77">
        <v>78</v>
      </c>
      <c r="W811" s="82" t="s">
        <v>5318</v>
      </c>
      <c r="X811" s="80" t="str">
        <f>HYPERLINK("https://www.falkcapital.com.br/mercado/acoes?utm_source=twitter&amp;utm_medium=falkalertas&amp;utm_campaign=fechamentodemercado")</f>
        <v>https://www.falkcapital.com.br/mercado/acoes?utm_source=twitter&amp;utm_medium=falkalertas&amp;utm_campaign=fechamentodemercado</v>
      </c>
      <c r="Y811" s="77" t="s">
        <v>7053</v>
      </c>
      <c r="Z811" s="77"/>
      <c r="AA811" s="77"/>
      <c r="AB811" s="77"/>
      <c r="AC811" s="82" t="s">
        <v>8257</v>
      </c>
      <c r="AD811" s="77" t="s">
        <v>8278</v>
      </c>
      <c r="AE811" s="80" t="str">
        <f>HYPERLINK("https://twitter.com/falkalertas/status/1664414097159364609")</f>
        <v>https://twitter.com/falkalertas/status/1664414097159364609</v>
      </c>
      <c r="AF811" s="79">
        <v>45078.979375000003</v>
      </c>
      <c r="AG811" s="85">
        <v>45078</v>
      </c>
      <c r="AH811" s="82" t="s">
        <v>8979</v>
      </c>
      <c r="AI811" s="77" t="b">
        <v>0</v>
      </c>
      <c r="AJ811" s="77"/>
      <c r="AK811" s="77"/>
      <c r="AL811" s="77"/>
      <c r="AM811" s="77"/>
      <c r="AN811" s="77"/>
      <c r="AO811" s="77"/>
      <c r="AP811" s="77"/>
      <c r="AQ811" s="77"/>
      <c r="AR811" s="77"/>
      <c r="AS811" s="77"/>
      <c r="AT811" s="77"/>
      <c r="AU811" s="77"/>
      <c r="AV811" s="80" t="str">
        <f>HYPERLINK("https://pbs.twimg.com/profile_images/1619161712967434240/ISM2hv8y_normal.png")</f>
        <v>https://pbs.twimg.com/profile_images/1619161712967434240/ISM2hv8y_normal.png</v>
      </c>
      <c r="AW811" s="82" t="s">
        <v>13907</v>
      </c>
      <c r="AX811" s="82" t="s">
        <v>13907</v>
      </c>
      <c r="AY811" s="77"/>
      <c r="AZ811" s="82" t="s">
        <v>17385</v>
      </c>
      <c r="BA811" s="82" t="s">
        <v>17385</v>
      </c>
      <c r="BB811" s="82" t="s">
        <v>17385</v>
      </c>
      <c r="BC811" s="82" t="s">
        <v>13907</v>
      </c>
      <c r="BD811" s="82" t="s">
        <v>17529</v>
      </c>
      <c r="BE811" s="77"/>
      <c r="BF811" s="77"/>
      <c r="BG811" s="77"/>
      <c r="BH811" s="77"/>
      <c r="BI811" s="77"/>
    </row>
    <row r="812" spans="1:61" x14ac:dyDescent="0.25">
      <c r="A812" s="62" t="s">
        <v>395</v>
      </c>
      <c r="B812" s="62" t="s">
        <v>395</v>
      </c>
      <c r="C812" s="63"/>
      <c r="D812" s="64"/>
      <c r="E812" s="65"/>
      <c r="F812" s="66"/>
      <c r="G812" s="63"/>
      <c r="H812" s="67"/>
      <c r="I812" s="68"/>
      <c r="J812" s="68"/>
      <c r="K812" s="32"/>
      <c r="L812" s="75">
        <v>812</v>
      </c>
      <c r="M812" s="75"/>
      <c r="N812" s="70"/>
      <c r="O812" s="77" t="s">
        <v>179</v>
      </c>
      <c r="P812" s="79">
        <v>45058.979363425926</v>
      </c>
      <c r="Q812" s="77" t="s">
        <v>1604</v>
      </c>
      <c r="R812" s="77">
        <v>0</v>
      </c>
      <c r="S812" s="77">
        <v>0</v>
      </c>
      <c r="T812" s="77">
        <v>0</v>
      </c>
      <c r="U812" s="77">
        <v>0</v>
      </c>
      <c r="V812" s="77">
        <v>162</v>
      </c>
      <c r="W812" s="82" t="s">
        <v>5319</v>
      </c>
      <c r="X812" s="80" t="str">
        <f>HYPERLINK("https://www.falkcapital.com.br/mercado/acoes?utm_source=twitter&amp;utm_medium=falkalertas&amp;utm_campaign=fechamentodemercado")</f>
        <v>https://www.falkcapital.com.br/mercado/acoes?utm_source=twitter&amp;utm_medium=falkalertas&amp;utm_campaign=fechamentodemercado</v>
      </c>
      <c r="Y812" s="77" t="s">
        <v>7053</v>
      </c>
      <c r="Z812" s="77"/>
      <c r="AA812" s="77"/>
      <c r="AB812" s="77"/>
      <c r="AC812" s="82" t="s">
        <v>8257</v>
      </c>
      <c r="AD812" s="77" t="s">
        <v>8278</v>
      </c>
      <c r="AE812" s="80" t="str">
        <f>HYPERLINK("https://twitter.com/falkalertas/status/1657166333895639040")</f>
        <v>https://twitter.com/falkalertas/status/1657166333895639040</v>
      </c>
      <c r="AF812" s="79">
        <v>45058.979363425926</v>
      </c>
      <c r="AG812" s="85">
        <v>45058</v>
      </c>
      <c r="AH812" s="82" t="s">
        <v>8995</v>
      </c>
      <c r="AI812" s="77" t="b">
        <v>0</v>
      </c>
      <c r="AJ812" s="77"/>
      <c r="AK812" s="77"/>
      <c r="AL812" s="77"/>
      <c r="AM812" s="77"/>
      <c r="AN812" s="77"/>
      <c r="AO812" s="77"/>
      <c r="AP812" s="77"/>
      <c r="AQ812" s="77"/>
      <c r="AR812" s="77"/>
      <c r="AS812" s="77"/>
      <c r="AT812" s="77"/>
      <c r="AU812" s="77"/>
      <c r="AV812" s="80" t="str">
        <f>HYPERLINK("https://pbs.twimg.com/profile_images/1619161712967434240/ISM2hv8y_normal.png")</f>
        <v>https://pbs.twimg.com/profile_images/1619161712967434240/ISM2hv8y_normal.png</v>
      </c>
      <c r="AW812" s="82" t="s">
        <v>13908</v>
      </c>
      <c r="AX812" s="82" t="s">
        <v>13908</v>
      </c>
      <c r="AY812" s="77"/>
      <c r="AZ812" s="82" t="s">
        <v>17385</v>
      </c>
      <c r="BA812" s="82" t="s">
        <v>17385</v>
      </c>
      <c r="BB812" s="82" t="s">
        <v>17385</v>
      </c>
      <c r="BC812" s="82" t="s">
        <v>13908</v>
      </c>
      <c r="BD812" s="82" t="s">
        <v>17529</v>
      </c>
      <c r="BE812" s="77"/>
      <c r="BF812" s="77"/>
      <c r="BG812" s="77"/>
      <c r="BH812" s="77"/>
      <c r="BI812" s="77"/>
    </row>
    <row r="813" spans="1:61" x14ac:dyDescent="0.25">
      <c r="A813" s="62" t="s">
        <v>395</v>
      </c>
      <c r="B813" s="62" t="s">
        <v>395</v>
      </c>
      <c r="C813" s="63"/>
      <c r="D813" s="64"/>
      <c r="E813" s="65"/>
      <c r="F813" s="66"/>
      <c r="G813" s="63"/>
      <c r="H813" s="67"/>
      <c r="I813" s="68"/>
      <c r="J813" s="68"/>
      <c r="K813" s="32"/>
      <c r="L813" s="75">
        <v>813</v>
      </c>
      <c r="M813" s="75"/>
      <c r="N813" s="70"/>
      <c r="O813" s="77" t="s">
        <v>179</v>
      </c>
      <c r="P813" s="79">
        <v>45058.979363425926</v>
      </c>
      <c r="Q813" s="77" t="s">
        <v>1605</v>
      </c>
      <c r="R813" s="77">
        <v>0</v>
      </c>
      <c r="S813" s="77">
        <v>0</v>
      </c>
      <c r="T813" s="77">
        <v>0</v>
      </c>
      <c r="U813" s="77">
        <v>0</v>
      </c>
      <c r="V813" s="77">
        <v>53</v>
      </c>
      <c r="W813" s="82" t="s">
        <v>5320</v>
      </c>
      <c r="X813" s="80" t="str">
        <f>HYPERLINK("https://www.falkcapital.com.br/mercado/acoes?utm_source=twitter&amp;utm_medium=falkalertas&amp;utm_campaign=fechamentodemercado")</f>
        <v>https://www.falkcapital.com.br/mercado/acoes?utm_source=twitter&amp;utm_medium=falkalertas&amp;utm_campaign=fechamentodemercado</v>
      </c>
      <c r="Y813" s="77" t="s">
        <v>7053</v>
      </c>
      <c r="Z813" s="77"/>
      <c r="AA813" s="77"/>
      <c r="AB813" s="77"/>
      <c r="AC813" s="82" t="s">
        <v>8257</v>
      </c>
      <c r="AD813" s="77" t="s">
        <v>8278</v>
      </c>
      <c r="AE813" s="80" t="str">
        <f>HYPERLINK("https://twitter.com/falkalertas/status/1657166332826091522")</f>
        <v>https://twitter.com/falkalertas/status/1657166332826091522</v>
      </c>
      <c r="AF813" s="79">
        <v>45058.979363425926</v>
      </c>
      <c r="AG813" s="85">
        <v>45058</v>
      </c>
      <c r="AH813" s="82" t="s">
        <v>8995</v>
      </c>
      <c r="AI813" s="77" t="b">
        <v>0</v>
      </c>
      <c r="AJ813" s="77"/>
      <c r="AK813" s="77"/>
      <c r="AL813" s="77"/>
      <c r="AM813" s="77"/>
      <c r="AN813" s="77"/>
      <c r="AO813" s="77"/>
      <c r="AP813" s="77"/>
      <c r="AQ813" s="77"/>
      <c r="AR813" s="77"/>
      <c r="AS813" s="77"/>
      <c r="AT813" s="77"/>
      <c r="AU813" s="77"/>
      <c r="AV813" s="80" t="str">
        <f>HYPERLINK("https://pbs.twimg.com/profile_images/1619161712967434240/ISM2hv8y_normal.png")</f>
        <v>https://pbs.twimg.com/profile_images/1619161712967434240/ISM2hv8y_normal.png</v>
      </c>
      <c r="AW813" s="82" t="s">
        <v>13909</v>
      </c>
      <c r="AX813" s="82" t="s">
        <v>13909</v>
      </c>
      <c r="AY813" s="77"/>
      <c r="AZ813" s="82" t="s">
        <v>17385</v>
      </c>
      <c r="BA813" s="82" t="s">
        <v>17385</v>
      </c>
      <c r="BB813" s="82" t="s">
        <v>17385</v>
      </c>
      <c r="BC813" s="82" t="s">
        <v>13909</v>
      </c>
      <c r="BD813" s="82" t="s">
        <v>17529</v>
      </c>
      <c r="BE813" s="77"/>
      <c r="BF813" s="77"/>
      <c r="BG813" s="77"/>
      <c r="BH813" s="77"/>
      <c r="BI813" s="77"/>
    </row>
    <row r="814" spans="1:61" x14ac:dyDescent="0.25">
      <c r="A814" s="62" t="s">
        <v>395</v>
      </c>
      <c r="B814" s="62" t="s">
        <v>580</v>
      </c>
      <c r="C814" s="63"/>
      <c r="D814" s="64"/>
      <c r="E814" s="65"/>
      <c r="F814" s="66"/>
      <c r="G814" s="63"/>
      <c r="H814" s="67"/>
      <c r="I814" s="68"/>
      <c r="J814" s="68"/>
      <c r="K814" s="32"/>
      <c r="L814" s="75">
        <v>814</v>
      </c>
      <c r="M814" s="75"/>
      <c r="N814" s="70"/>
      <c r="O814" s="77" t="s">
        <v>803</v>
      </c>
      <c r="P814" s="79">
        <v>45190.982245370367</v>
      </c>
      <c r="Q814" s="77" t="s">
        <v>1606</v>
      </c>
      <c r="R814" s="77">
        <v>1</v>
      </c>
      <c r="S814" s="77">
        <v>0</v>
      </c>
      <c r="T814" s="77">
        <v>0</v>
      </c>
      <c r="U814" s="77">
        <v>0</v>
      </c>
      <c r="V814" s="77"/>
      <c r="W814" s="82" t="s">
        <v>5321</v>
      </c>
      <c r="X814" s="77"/>
      <c r="Y814" s="77"/>
      <c r="Z814" s="77" t="s">
        <v>580</v>
      </c>
      <c r="AA814" s="77"/>
      <c r="AB814" s="77"/>
      <c r="AC814" s="82" t="s">
        <v>8234</v>
      </c>
      <c r="AD814" s="77" t="s">
        <v>8278</v>
      </c>
      <c r="AE814" s="80" t="str">
        <f>HYPERLINK("https://twitter.com/falkalertas/status/1705002576012341251")</f>
        <v>https://twitter.com/falkalertas/status/1705002576012341251</v>
      </c>
      <c r="AF814" s="79">
        <v>45190.982245370367</v>
      </c>
      <c r="AG814" s="85">
        <v>45190</v>
      </c>
      <c r="AH814" s="82" t="s">
        <v>9003</v>
      </c>
      <c r="AI814" s="77" t="b">
        <v>0</v>
      </c>
      <c r="AJ814" s="77"/>
      <c r="AK814" s="77"/>
      <c r="AL814" s="77"/>
      <c r="AM814" s="77"/>
      <c r="AN814" s="77"/>
      <c r="AO814" s="77"/>
      <c r="AP814" s="77"/>
      <c r="AQ814" s="77"/>
      <c r="AR814" s="77"/>
      <c r="AS814" s="77"/>
      <c r="AT814" s="77"/>
      <c r="AU814" s="77"/>
      <c r="AV814" s="80" t="str">
        <f>HYPERLINK("https://pbs.twimg.com/profile_images/1619161712967434240/ISM2hv8y_normal.png")</f>
        <v>https://pbs.twimg.com/profile_images/1619161712967434240/ISM2hv8y_normal.png</v>
      </c>
      <c r="AW814" s="82" t="s">
        <v>13910</v>
      </c>
      <c r="AX814" s="82" t="s">
        <v>13910</v>
      </c>
      <c r="AY814" s="77"/>
      <c r="AZ814" s="82" t="s">
        <v>17385</v>
      </c>
      <c r="BA814" s="82" t="s">
        <v>17385</v>
      </c>
      <c r="BB814" s="82" t="s">
        <v>15191</v>
      </c>
      <c r="BC814" s="82" t="s">
        <v>15191</v>
      </c>
      <c r="BD814" s="82" t="s">
        <v>17529</v>
      </c>
      <c r="BE814" s="77"/>
      <c r="BF814" s="77"/>
      <c r="BG814" s="77"/>
      <c r="BH814" s="77"/>
      <c r="BI814" s="77"/>
    </row>
    <row r="815" spans="1:61" x14ac:dyDescent="0.25">
      <c r="A815" s="62" t="s">
        <v>395</v>
      </c>
      <c r="B815" s="62" t="s">
        <v>580</v>
      </c>
      <c r="C815" s="63"/>
      <c r="D815" s="64"/>
      <c r="E815" s="65"/>
      <c r="F815" s="66"/>
      <c r="G815" s="63"/>
      <c r="H815" s="67"/>
      <c r="I815" s="68"/>
      <c r="J815" s="68"/>
      <c r="K815" s="32"/>
      <c r="L815" s="75">
        <v>815</v>
      </c>
      <c r="M815" s="75"/>
      <c r="N815" s="70"/>
      <c r="O815" s="77" t="s">
        <v>803</v>
      </c>
      <c r="P815" s="79">
        <v>45188.999224537038</v>
      </c>
      <c r="Q815" s="77" t="s">
        <v>1607</v>
      </c>
      <c r="R815" s="77">
        <v>1</v>
      </c>
      <c r="S815" s="77">
        <v>0</v>
      </c>
      <c r="T815" s="77">
        <v>0</v>
      </c>
      <c r="U815" s="77">
        <v>0</v>
      </c>
      <c r="V815" s="77"/>
      <c r="W815" s="82" t="s">
        <v>5322</v>
      </c>
      <c r="X815" s="77"/>
      <c r="Y815" s="77"/>
      <c r="Z815" s="77" t="s">
        <v>580</v>
      </c>
      <c r="AA815" s="77"/>
      <c r="AB815" s="77"/>
      <c r="AC815" s="82" t="s">
        <v>8232</v>
      </c>
      <c r="AD815" s="77" t="s">
        <v>8278</v>
      </c>
      <c r="AE815" s="80" t="str">
        <f>HYPERLINK("https://twitter.com/falkalertas/status/1704283954080100652")</f>
        <v>https://twitter.com/falkalertas/status/1704283954080100652</v>
      </c>
      <c r="AF815" s="79">
        <v>45188.999224537038</v>
      </c>
      <c r="AG815" s="85">
        <v>45188</v>
      </c>
      <c r="AH815" s="82" t="s">
        <v>9004</v>
      </c>
      <c r="AI815" s="77" t="b">
        <v>0</v>
      </c>
      <c r="AJ815" s="77"/>
      <c r="AK815" s="77"/>
      <c r="AL815" s="77"/>
      <c r="AM815" s="77"/>
      <c r="AN815" s="77"/>
      <c r="AO815" s="77"/>
      <c r="AP815" s="77"/>
      <c r="AQ815" s="77"/>
      <c r="AR815" s="77"/>
      <c r="AS815" s="77"/>
      <c r="AT815" s="77"/>
      <c r="AU815" s="77"/>
      <c r="AV815" s="80" t="str">
        <f>HYPERLINK("https://pbs.twimg.com/profile_images/1619161712967434240/ISM2hv8y_normal.png")</f>
        <v>https://pbs.twimg.com/profile_images/1619161712967434240/ISM2hv8y_normal.png</v>
      </c>
      <c r="AW815" s="82" t="s">
        <v>13911</v>
      </c>
      <c r="AX815" s="82" t="s">
        <v>13911</v>
      </c>
      <c r="AY815" s="77"/>
      <c r="AZ815" s="82" t="s">
        <v>17385</v>
      </c>
      <c r="BA815" s="82" t="s">
        <v>17385</v>
      </c>
      <c r="BB815" s="82" t="s">
        <v>15192</v>
      </c>
      <c r="BC815" s="82" t="s">
        <v>15192</v>
      </c>
      <c r="BD815" s="82" t="s">
        <v>17529</v>
      </c>
      <c r="BE815" s="77"/>
      <c r="BF815" s="77"/>
      <c r="BG815" s="77"/>
      <c r="BH815" s="77"/>
      <c r="BI815" s="77"/>
    </row>
    <row r="816" spans="1:61" x14ac:dyDescent="0.25">
      <c r="A816" s="62" t="s">
        <v>395</v>
      </c>
      <c r="B816" s="62" t="s">
        <v>580</v>
      </c>
      <c r="C816" s="63"/>
      <c r="D816" s="64"/>
      <c r="E816" s="65"/>
      <c r="F816" s="66"/>
      <c r="G816" s="63"/>
      <c r="H816" s="67"/>
      <c r="I816" s="68"/>
      <c r="J816" s="68"/>
      <c r="K816" s="32"/>
      <c r="L816" s="75">
        <v>816</v>
      </c>
      <c r="M816" s="75"/>
      <c r="N816" s="70"/>
      <c r="O816" s="77" t="s">
        <v>802</v>
      </c>
      <c r="P816" s="79">
        <v>45183.087280092594</v>
      </c>
      <c r="Q816" s="77" t="s">
        <v>1608</v>
      </c>
      <c r="R816" s="77">
        <v>0</v>
      </c>
      <c r="S816" s="77">
        <v>2</v>
      </c>
      <c r="T816" s="77">
        <v>0</v>
      </c>
      <c r="U816" s="77">
        <v>0</v>
      </c>
      <c r="V816" s="77">
        <v>41</v>
      </c>
      <c r="W816" s="82" t="s">
        <v>5323</v>
      </c>
      <c r="X816" s="77"/>
      <c r="Y816" s="77"/>
      <c r="Z816" s="77" t="s">
        <v>580</v>
      </c>
      <c r="AA816" s="77"/>
      <c r="AB816" s="77"/>
      <c r="AC816" s="82" t="s">
        <v>8232</v>
      </c>
      <c r="AD816" s="77" t="s">
        <v>8278</v>
      </c>
      <c r="AE816" s="80" t="str">
        <f>HYPERLINK("https://twitter.com/falkalertas/status/1702141539613339735")</f>
        <v>https://twitter.com/falkalertas/status/1702141539613339735</v>
      </c>
      <c r="AF816" s="79">
        <v>45183.087280092594</v>
      </c>
      <c r="AG816" s="85">
        <v>45183</v>
      </c>
      <c r="AH816" s="82" t="s">
        <v>9005</v>
      </c>
      <c r="AI816" s="77"/>
      <c r="AJ816" s="77"/>
      <c r="AK816" s="77"/>
      <c r="AL816" s="77"/>
      <c r="AM816" s="77"/>
      <c r="AN816" s="77"/>
      <c r="AO816" s="77"/>
      <c r="AP816" s="77"/>
      <c r="AQ816" s="77"/>
      <c r="AR816" s="77"/>
      <c r="AS816" s="77"/>
      <c r="AT816" s="77"/>
      <c r="AU816" s="77"/>
      <c r="AV816" s="80" t="str">
        <f>HYPERLINK("https://pbs.twimg.com/profile_images/1619161712967434240/ISM2hv8y_normal.png")</f>
        <v>https://pbs.twimg.com/profile_images/1619161712967434240/ISM2hv8y_normal.png</v>
      </c>
      <c r="AW816" s="82" t="s">
        <v>13912</v>
      </c>
      <c r="AX816" s="82" t="s">
        <v>13912</v>
      </c>
      <c r="AY816" s="77"/>
      <c r="AZ816" s="82" t="s">
        <v>17385</v>
      </c>
      <c r="BA816" s="82" t="s">
        <v>17385</v>
      </c>
      <c r="BB816" s="82" t="s">
        <v>17385</v>
      </c>
      <c r="BC816" s="82" t="s">
        <v>13912</v>
      </c>
      <c r="BD816" s="82" t="s">
        <v>17529</v>
      </c>
      <c r="BE816" s="77"/>
      <c r="BF816" s="77"/>
      <c r="BG816" s="77"/>
      <c r="BH816" s="77"/>
      <c r="BI816" s="77"/>
    </row>
    <row r="817" spans="1:61" x14ac:dyDescent="0.25">
      <c r="A817" s="62" t="s">
        <v>395</v>
      </c>
      <c r="B817" s="62" t="s">
        <v>395</v>
      </c>
      <c r="C817" s="63"/>
      <c r="D817" s="64"/>
      <c r="E817" s="65"/>
      <c r="F817" s="66"/>
      <c r="G817" s="63"/>
      <c r="H817" s="67"/>
      <c r="I817" s="68"/>
      <c r="J817" s="68"/>
      <c r="K817" s="32"/>
      <c r="L817" s="75">
        <v>817</v>
      </c>
      <c r="M817" s="75"/>
      <c r="N817" s="70"/>
      <c r="O817" s="77" t="s">
        <v>179</v>
      </c>
      <c r="P817" s="79">
        <v>45182.698067129626</v>
      </c>
      <c r="Q817" s="77" t="s">
        <v>1609</v>
      </c>
      <c r="R817" s="77">
        <v>0</v>
      </c>
      <c r="S817" s="77">
        <v>1</v>
      </c>
      <c r="T817" s="77">
        <v>0</v>
      </c>
      <c r="U817" s="77">
        <v>0</v>
      </c>
      <c r="V817" s="77">
        <v>398</v>
      </c>
      <c r="W817" s="82" t="s">
        <v>5324</v>
      </c>
      <c r="X817" s="80" t="str">
        <f>HYPERLINK("https://www.falkcapital.com.br/mercado/acoes?utm_source=twitter&amp;utm_medium=falkalertas&amp;utm_campaign=mostrentedtc")</f>
        <v>https://www.falkcapital.com.br/mercado/acoes?utm_source=twitter&amp;utm_medium=falkalertas&amp;utm_campaign=mostrentedtc</v>
      </c>
      <c r="Y817" s="77" t="s">
        <v>7053</v>
      </c>
      <c r="Z817" s="77"/>
      <c r="AA817" s="77"/>
      <c r="AB817" s="77"/>
      <c r="AC817" s="82" t="s">
        <v>8258</v>
      </c>
      <c r="AD817" s="77" t="s">
        <v>8278</v>
      </c>
      <c r="AE817" s="80" t="str">
        <f>HYPERLINK("https://twitter.com/falkalertas/status/1702000491046097199")</f>
        <v>https://twitter.com/falkalertas/status/1702000491046097199</v>
      </c>
      <c r="AF817" s="79">
        <v>45182.698067129626</v>
      </c>
      <c r="AG817" s="85">
        <v>45182</v>
      </c>
      <c r="AH817" s="82" t="s">
        <v>9006</v>
      </c>
      <c r="AI817" s="77" t="b">
        <v>0</v>
      </c>
      <c r="AJ817" s="77"/>
      <c r="AK817" s="77"/>
      <c r="AL817" s="77"/>
      <c r="AM817" s="77"/>
      <c r="AN817" s="77"/>
      <c r="AO817" s="77"/>
      <c r="AP817" s="77"/>
      <c r="AQ817" s="77"/>
      <c r="AR817" s="77"/>
      <c r="AS817" s="77"/>
      <c r="AT817" s="77"/>
      <c r="AU817" s="77"/>
      <c r="AV817" s="80" t="str">
        <f>HYPERLINK("https://pbs.twimg.com/profile_images/1619161712967434240/ISM2hv8y_normal.png")</f>
        <v>https://pbs.twimg.com/profile_images/1619161712967434240/ISM2hv8y_normal.png</v>
      </c>
      <c r="AW817" s="82" t="s">
        <v>13913</v>
      </c>
      <c r="AX817" s="82" t="s">
        <v>13913</v>
      </c>
      <c r="AY817" s="77"/>
      <c r="AZ817" s="82" t="s">
        <v>17385</v>
      </c>
      <c r="BA817" s="82" t="s">
        <v>17385</v>
      </c>
      <c r="BB817" s="82" t="s">
        <v>17385</v>
      </c>
      <c r="BC817" s="82" t="s">
        <v>13913</v>
      </c>
      <c r="BD817" s="82" t="s">
        <v>17529</v>
      </c>
      <c r="BE817" s="77"/>
      <c r="BF817" s="77"/>
      <c r="BG817" s="77"/>
      <c r="BH817" s="77"/>
      <c r="BI817" s="77"/>
    </row>
    <row r="818" spans="1:61" x14ac:dyDescent="0.25">
      <c r="A818" s="62" t="s">
        <v>395</v>
      </c>
      <c r="B818" s="62" t="s">
        <v>395</v>
      </c>
      <c r="C818" s="63"/>
      <c r="D818" s="64"/>
      <c r="E818" s="65"/>
      <c r="F818" s="66"/>
      <c r="G818" s="63"/>
      <c r="H818" s="67"/>
      <c r="I818" s="68"/>
      <c r="J818" s="68"/>
      <c r="K818" s="32"/>
      <c r="L818" s="75">
        <v>818</v>
      </c>
      <c r="M818" s="75"/>
      <c r="N818" s="70"/>
      <c r="O818" s="77" t="s">
        <v>179</v>
      </c>
      <c r="P818" s="79">
        <v>45181.698217592595</v>
      </c>
      <c r="Q818" s="77" t="s">
        <v>1610</v>
      </c>
      <c r="R818" s="77">
        <v>0</v>
      </c>
      <c r="S818" s="77">
        <v>1</v>
      </c>
      <c r="T818" s="77">
        <v>0</v>
      </c>
      <c r="U818" s="77">
        <v>0</v>
      </c>
      <c r="V818" s="77">
        <v>475</v>
      </c>
      <c r="W818" s="82" t="s">
        <v>5325</v>
      </c>
      <c r="X818" s="80" t="str">
        <f>HYPERLINK("https://www.falkcapital.com.br/mercado/acoes?utm_source=twitter&amp;utm_medium=falkalertas&amp;utm_campaign=mostrentedtc")</f>
        <v>https://www.falkcapital.com.br/mercado/acoes?utm_source=twitter&amp;utm_medium=falkalertas&amp;utm_campaign=mostrentedtc</v>
      </c>
      <c r="Y818" s="77" t="s">
        <v>7053</v>
      </c>
      <c r="Z818" s="77"/>
      <c r="AA818" s="77"/>
      <c r="AB818" s="77"/>
      <c r="AC818" s="82" t="s">
        <v>8258</v>
      </c>
      <c r="AD818" s="77" t="s">
        <v>8278</v>
      </c>
      <c r="AE818" s="80" t="str">
        <f>HYPERLINK("https://twitter.com/falkalertas/status/1701638160248115541")</f>
        <v>https://twitter.com/falkalertas/status/1701638160248115541</v>
      </c>
      <c r="AF818" s="79">
        <v>45181.698217592595</v>
      </c>
      <c r="AG818" s="85">
        <v>45181</v>
      </c>
      <c r="AH818" s="82" t="s">
        <v>9007</v>
      </c>
      <c r="AI818" s="77" t="b">
        <v>0</v>
      </c>
      <c r="AJ818" s="77"/>
      <c r="AK818" s="77"/>
      <c r="AL818" s="77"/>
      <c r="AM818" s="77"/>
      <c r="AN818" s="77"/>
      <c r="AO818" s="77"/>
      <c r="AP818" s="77"/>
      <c r="AQ818" s="77"/>
      <c r="AR818" s="77"/>
      <c r="AS818" s="77"/>
      <c r="AT818" s="77"/>
      <c r="AU818" s="77"/>
      <c r="AV818" s="80" t="str">
        <f>HYPERLINK("https://pbs.twimg.com/profile_images/1619161712967434240/ISM2hv8y_normal.png")</f>
        <v>https://pbs.twimg.com/profile_images/1619161712967434240/ISM2hv8y_normal.png</v>
      </c>
      <c r="AW818" s="82" t="s">
        <v>13914</v>
      </c>
      <c r="AX818" s="82" t="s">
        <v>13914</v>
      </c>
      <c r="AY818" s="77"/>
      <c r="AZ818" s="82" t="s">
        <v>17385</v>
      </c>
      <c r="BA818" s="82" t="s">
        <v>17385</v>
      </c>
      <c r="BB818" s="82" t="s">
        <v>17385</v>
      </c>
      <c r="BC818" s="82" t="s">
        <v>13914</v>
      </c>
      <c r="BD818" s="82" t="s">
        <v>17529</v>
      </c>
      <c r="BE818" s="77"/>
      <c r="BF818" s="77"/>
      <c r="BG818" s="77"/>
      <c r="BH818" s="77"/>
      <c r="BI818" s="77"/>
    </row>
    <row r="819" spans="1:61" x14ac:dyDescent="0.25">
      <c r="A819" s="62" t="s">
        <v>395</v>
      </c>
      <c r="B819" s="62" t="s">
        <v>395</v>
      </c>
      <c r="C819" s="63"/>
      <c r="D819" s="64"/>
      <c r="E819" s="65"/>
      <c r="F819" s="66"/>
      <c r="G819" s="63"/>
      <c r="H819" s="67"/>
      <c r="I819" s="68"/>
      <c r="J819" s="68"/>
      <c r="K819" s="32"/>
      <c r="L819" s="75">
        <v>819</v>
      </c>
      <c r="M819" s="75"/>
      <c r="N819" s="70"/>
      <c r="O819" s="77" t="s">
        <v>179</v>
      </c>
      <c r="P819" s="79">
        <v>45180.981030092589</v>
      </c>
      <c r="Q819" s="77" t="s">
        <v>1611</v>
      </c>
      <c r="R819" s="77">
        <v>0</v>
      </c>
      <c r="S819" s="77">
        <v>1</v>
      </c>
      <c r="T819" s="77">
        <v>0</v>
      </c>
      <c r="U819" s="77">
        <v>0</v>
      </c>
      <c r="V819" s="77">
        <v>182</v>
      </c>
      <c r="W819" s="82" t="s">
        <v>5326</v>
      </c>
      <c r="X819" s="80" t="str">
        <f>HYPERLINK("https://www.falkcapital.com.br/mercado/acoes?utm_source=twitter&amp;utm_medium=falkalertas&amp;utm_campaign=fechamentodemercado")</f>
        <v>https://www.falkcapital.com.br/mercado/acoes?utm_source=twitter&amp;utm_medium=falkalertas&amp;utm_campaign=fechamentodemercado</v>
      </c>
      <c r="Y819" s="77" t="s">
        <v>7053</v>
      </c>
      <c r="Z819" s="77"/>
      <c r="AA819" s="77"/>
      <c r="AB819" s="77"/>
      <c r="AC819" s="82" t="s">
        <v>8258</v>
      </c>
      <c r="AD819" s="77" t="s">
        <v>8278</v>
      </c>
      <c r="AE819" s="80" t="str">
        <f>HYPERLINK("https://twitter.com/falkalertas/status/1701378259198292178")</f>
        <v>https://twitter.com/falkalertas/status/1701378259198292178</v>
      </c>
      <c r="AF819" s="79">
        <v>45180.981030092589</v>
      </c>
      <c r="AG819" s="85">
        <v>45180</v>
      </c>
      <c r="AH819" s="82" t="s">
        <v>9008</v>
      </c>
      <c r="AI819" s="77" t="b">
        <v>0</v>
      </c>
      <c r="AJ819" s="77"/>
      <c r="AK819" s="77"/>
      <c r="AL819" s="77"/>
      <c r="AM819" s="77"/>
      <c r="AN819" s="77"/>
      <c r="AO819" s="77"/>
      <c r="AP819" s="77"/>
      <c r="AQ819" s="77"/>
      <c r="AR819" s="77"/>
      <c r="AS819" s="77"/>
      <c r="AT819" s="77"/>
      <c r="AU819" s="77"/>
      <c r="AV819" s="80" t="str">
        <f>HYPERLINK("https://pbs.twimg.com/profile_images/1619161712967434240/ISM2hv8y_normal.png")</f>
        <v>https://pbs.twimg.com/profile_images/1619161712967434240/ISM2hv8y_normal.png</v>
      </c>
      <c r="AW819" s="82" t="s">
        <v>13915</v>
      </c>
      <c r="AX819" s="82" t="s">
        <v>13915</v>
      </c>
      <c r="AY819" s="77"/>
      <c r="AZ819" s="82" t="s">
        <v>17385</v>
      </c>
      <c r="BA819" s="82" t="s">
        <v>17385</v>
      </c>
      <c r="BB819" s="82" t="s">
        <v>17385</v>
      </c>
      <c r="BC819" s="82" t="s">
        <v>13915</v>
      </c>
      <c r="BD819" s="82" t="s">
        <v>17529</v>
      </c>
      <c r="BE819" s="77"/>
      <c r="BF819" s="77"/>
      <c r="BG819" s="77"/>
      <c r="BH819" s="77"/>
      <c r="BI819" s="77"/>
    </row>
    <row r="820" spans="1:61" x14ac:dyDescent="0.25">
      <c r="A820" s="62" t="s">
        <v>395</v>
      </c>
      <c r="B820" s="62" t="s">
        <v>395</v>
      </c>
      <c r="C820" s="63"/>
      <c r="D820" s="64"/>
      <c r="E820" s="65"/>
      <c r="F820" s="66"/>
      <c r="G820" s="63"/>
      <c r="H820" s="67"/>
      <c r="I820" s="68"/>
      <c r="J820" s="68"/>
      <c r="K820" s="32"/>
      <c r="L820" s="75">
        <v>820</v>
      </c>
      <c r="M820" s="75"/>
      <c r="N820" s="70"/>
      <c r="O820" s="77" t="s">
        <v>179</v>
      </c>
      <c r="P820" s="79">
        <v>45180.981030092589</v>
      </c>
      <c r="Q820" s="77" t="s">
        <v>1612</v>
      </c>
      <c r="R820" s="77">
        <v>0</v>
      </c>
      <c r="S820" s="77">
        <v>1</v>
      </c>
      <c r="T820" s="77">
        <v>0</v>
      </c>
      <c r="U820" s="77">
        <v>0</v>
      </c>
      <c r="V820" s="77">
        <v>160</v>
      </c>
      <c r="W820" s="82" t="s">
        <v>5327</v>
      </c>
      <c r="X820" s="80" t="str">
        <f>HYPERLINK("https://www.falkcapital.com.br/mercado/acoes?utm_source=twitter&amp;utm_medium=falkalertas&amp;utm_campaign=fechamentodemercado")</f>
        <v>https://www.falkcapital.com.br/mercado/acoes?utm_source=twitter&amp;utm_medium=falkalertas&amp;utm_campaign=fechamentodemercado</v>
      </c>
      <c r="Y820" s="77" t="s">
        <v>7053</v>
      </c>
      <c r="Z820" s="77"/>
      <c r="AA820" s="77"/>
      <c r="AB820" s="77"/>
      <c r="AC820" s="82" t="s">
        <v>8258</v>
      </c>
      <c r="AD820" s="77" t="s">
        <v>8278</v>
      </c>
      <c r="AE820" s="80" t="str">
        <f>HYPERLINK("https://twitter.com/falkalertas/status/1701378257348604248")</f>
        <v>https://twitter.com/falkalertas/status/1701378257348604248</v>
      </c>
      <c r="AF820" s="79">
        <v>45180.981030092589</v>
      </c>
      <c r="AG820" s="85">
        <v>45180</v>
      </c>
      <c r="AH820" s="82" t="s">
        <v>9008</v>
      </c>
      <c r="AI820" s="77" t="b">
        <v>0</v>
      </c>
      <c r="AJ820" s="77"/>
      <c r="AK820" s="77"/>
      <c r="AL820" s="77"/>
      <c r="AM820" s="77"/>
      <c r="AN820" s="77"/>
      <c r="AO820" s="77"/>
      <c r="AP820" s="77"/>
      <c r="AQ820" s="77"/>
      <c r="AR820" s="77"/>
      <c r="AS820" s="77"/>
      <c r="AT820" s="77"/>
      <c r="AU820" s="77"/>
      <c r="AV820" s="80" t="str">
        <f>HYPERLINK("https://pbs.twimg.com/profile_images/1619161712967434240/ISM2hv8y_normal.png")</f>
        <v>https://pbs.twimg.com/profile_images/1619161712967434240/ISM2hv8y_normal.png</v>
      </c>
      <c r="AW820" s="82" t="s">
        <v>13916</v>
      </c>
      <c r="AX820" s="82" t="s">
        <v>13916</v>
      </c>
      <c r="AY820" s="77"/>
      <c r="AZ820" s="82" t="s">
        <v>17385</v>
      </c>
      <c r="BA820" s="82" t="s">
        <v>17385</v>
      </c>
      <c r="BB820" s="82" t="s">
        <v>17385</v>
      </c>
      <c r="BC820" s="82" t="s">
        <v>13916</v>
      </c>
      <c r="BD820" s="82" t="s">
        <v>17529</v>
      </c>
      <c r="BE820" s="77"/>
      <c r="BF820" s="77"/>
      <c r="BG820" s="77"/>
      <c r="BH820" s="77"/>
      <c r="BI820" s="77"/>
    </row>
    <row r="821" spans="1:61" x14ac:dyDescent="0.25">
      <c r="A821" s="62" t="s">
        <v>395</v>
      </c>
      <c r="B821" s="62" t="s">
        <v>395</v>
      </c>
      <c r="C821" s="63"/>
      <c r="D821" s="64"/>
      <c r="E821" s="65"/>
      <c r="F821" s="66"/>
      <c r="G821" s="63"/>
      <c r="H821" s="67"/>
      <c r="I821" s="68"/>
      <c r="J821" s="68"/>
      <c r="K821" s="32"/>
      <c r="L821" s="75">
        <v>821</v>
      </c>
      <c r="M821" s="75"/>
      <c r="N821" s="70"/>
      <c r="O821" s="77" t="s">
        <v>179</v>
      </c>
      <c r="P821" s="79">
        <v>45177.698078703703</v>
      </c>
      <c r="Q821" s="77" t="s">
        <v>1613</v>
      </c>
      <c r="R821" s="77">
        <v>0</v>
      </c>
      <c r="S821" s="77">
        <v>2</v>
      </c>
      <c r="T821" s="77">
        <v>0</v>
      </c>
      <c r="U821" s="77">
        <v>0</v>
      </c>
      <c r="V821" s="77">
        <v>362</v>
      </c>
      <c r="W821" s="82" t="s">
        <v>5328</v>
      </c>
      <c r="X821" s="80" t="str">
        <f>HYPERLINK("https://www.falkcapital.com.br/mercado/acoes?utm_source=twitter&amp;utm_medium=falkalertas&amp;utm_campaign=mostrentedtc")</f>
        <v>https://www.falkcapital.com.br/mercado/acoes?utm_source=twitter&amp;utm_medium=falkalertas&amp;utm_campaign=mostrentedtc</v>
      </c>
      <c r="Y821" s="77" t="s">
        <v>7053</v>
      </c>
      <c r="Z821" s="77"/>
      <c r="AA821" s="77"/>
      <c r="AB821" s="77"/>
      <c r="AC821" s="82" t="s">
        <v>8258</v>
      </c>
      <c r="AD821" s="77" t="s">
        <v>8278</v>
      </c>
      <c r="AE821" s="80" t="str">
        <f>HYPERLINK("https://twitter.com/falkalertas/status/1700188556432417254")</f>
        <v>https://twitter.com/falkalertas/status/1700188556432417254</v>
      </c>
      <c r="AF821" s="79">
        <v>45177.698078703703</v>
      </c>
      <c r="AG821" s="85">
        <v>45177</v>
      </c>
      <c r="AH821" s="82" t="s">
        <v>9009</v>
      </c>
      <c r="AI821" s="77" t="b">
        <v>0</v>
      </c>
      <c r="AJ821" s="77"/>
      <c r="AK821" s="77"/>
      <c r="AL821" s="77"/>
      <c r="AM821" s="77"/>
      <c r="AN821" s="77"/>
      <c r="AO821" s="77"/>
      <c r="AP821" s="77"/>
      <c r="AQ821" s="77"/>
      <c r="AR821" s="77"/>
      <c r="AS821" s="77"/>
      <c r="AT821" s="77"/>
      <c r="AU821" s="77"/>
      <c r="AV821" s="80" t="str">
        <f>HYPERLINK("https://pbs.twimg.com/profile_images/1619161712967434240/ISM2hv8y_normal.png")</f>
        <v>https://pbs.twimg.com/profile_images/1619161712967434240/ISM2hv8y_normal.png</v>
      </c>
      <c r="AW821" s="82" t="s">
        <v>13917</v>
      </c>
      <c r="AX821" s="82" t="s">
        <v>13917</v>
      </c>
      <c r="AY821" s="77"/>
      <c r="AZ821" s="82" t="s">
        <v>17385</v>
      </c>
      <c r="BA821" s="82" t="s">
        <v>17385</v>
      </c>
      <c r="BB821" s="82" t="s">
        <v>17385</v>
      </c>
      <c r="BC821" s="82" t="s">
        <v>13917</v>
      </c>
      <c r="BD821" s="82" t="s">
        <v>17529</v>
      </c>
      <c r="BE821" s="77"/>
      <c r="BF821" s="77"/>
      <c r="BG821" s="77"/>
      <c r="BH821" s="77"/>
      <c r="BI821" s="77"/>
    </row>
    <row r="822" spans="1:61" x14ac:dyDescent="0.25">
      <c r="A822" s="62" t="s">
        <v>395</v>
      </c>
      <c r="B822" s="62" t="s">
        <v>395</v>
      </c>
      <c r="C822" s="63"/>
      <c r="D822" s="64"/>
      <c r="E822" s="65"/>
      <c r="F822" s="66"/>
      <c r="G822" s="63"/>
      <c r="H822" s="67"/>
      <c r="I822" s="68"/>
      <c r="J822" s="68"/>
      <c r="K822" s="32"/>
      <c r="L822" s="75">
        <v>822</v>
      </c>
      <c r="M822" s="75"/>
      <c r="N822" s="70"/>
      <c r="O822" s="77" t="s">
        <v>179</v>
      </c>
      <c r="P822" s="79">
        <v>45176.698020833333</v>
      </c>
      <c r="Q822" s="77" t="s">
        <v>1614</v>
      </c>
      <c r="R822" s="77">
        <v>0</v>
      </c>
      <c r="S822" s="77">
        <v>2</v>
      </c>
      <c r="T822" s="77">
        <v>0</v>
      </c>
      <c r="U822" s="77">
        <v>0</v>
      </c>
      <c r="V822" s="77">
        <v>413</v>
      </c>
      <c r="W822" s="82" t="s">
        <v>5288</v>
      </c>
      <c r="X822" s="80" t="str">
        <f>HYPERLINK("https://www.falkcapital.com.br/mercado/acoes?utm_source=twitter&amp;utm_medium=falkalertas&amp;utm_campaign=mostrentedtc")</f>
        <v>https://www.falkcapital.com.br/mercado/acoes?utm_source=twitter&amp;utm_medium=falkalertas&amp;utm_campaign=mostrentedtc</v>
      </c>
      <c r="Y822" s="77" t="s">
        <v>7053</v>
      </c>
      <c r="Z822" s="77"/>
      <c r="AA822" s="77"/>
      <c r="AB822" s="77"/>
      <c r="AC822" s="82" t="s">
        <v>8258</v>
      </c>
      <c r="AD822" s="77" t="s">
        <v>8278</v>
      </c>
      <c r="AE822" s="80" t="str">
        <f>HYPERLINK("https://twitter.com/falkalertas/status/1699826147716960346")</f>
        <v>https://twitter.com/falkalertas/status/1699826147716960346</v>
      </c>
      <c r="AF822" s="79">
        <v>45176.698020833333</v>
      </c>
      <c r="AG822" s="85">
        <v>45176</v>
      </c>
      <c r="AH822" s="82" t="s">
        <v>9010</v>
      </c>
      <c r="AI822" s="77" t="b">
        <v>0</v>
      </c>
      <c r="AJ822" s="77"/>
      <c r="AK822" s="77"/>
      <c r="AL822" s="77"/>
      <c r="AM822" s="77"/>
      <c r="AN822" s="77"/>
      <c r="AO822" s="77"/>
      <c r="AP822" s="77"/>
      <c r="AQ822" s="77"/>
      <c r="AR822" s="77"/>
      <c r="AS822" s="77"/>
      <c r="AT822" s="77"/>
      <c r="AU822" s="77"/>
      <c r="AV822" s="80" t="str">
        <f>HYPERLINK("https://pbs.twimg.com/profile_images/1619161712967434240/ISM2hv8y_normal.png")</f>
        <v>https://pbs.twimg.com/profile_images/1619161712967434240/ISM2hv8y_normal.png</v>
      </c>
      <c r="AW822" s="82" t="s">
        <v>13918</v>
      </c>
      <c r="AX822" s="82" t="s">
        <v>13918</v>
      </c>
      <c r="AY822" s="77"/>
      <c r="AZ822" s="82" t="s">
        <v>17385</v>
      </c>
      <c r="BA822" s="82" t="s">
        <v>17385</v>
      </c>
      <c r="BB822" s="82" t="s">
        <v>17385</v>
      </c>
      <c r="BC822" s="82" t="s">
        <v>13918</v>
      </c>
      <c r="BD822" s="82" t="s">
        <v>17529</v>
      </c>
      <c r="BE822" s="77"/>
      <c r="BF822" s="77"/>
      <c r="BG822" s="77"/>
      <c r="BH822" s="77"/>
      <c r="BI822" s="77"/>
    </row>
    <row r="823" spans="1:61" x14ac:dyDescent="0.25">
      <c r="A823" s="62" t="s">
        <v>395</v>
      </c>
      <c r="B823" s="62" t="s">
        <v>395</v>
      </c>
      <c r="C823" s="63"/>
      <c r="D823" s="64"/>
      <c r="E823" s="65"/>
      <c r="F823" s="66"/>
      <c r="G823" s="63"/>
      <c r="H823" s="67"/>
      <c r="I823" s="68"/>
      <c r="J823" s="68"/>
      <c r="K823" s="32"/>
      <c r="L823" s="75">
        <v>823</v>
      </c>
      <c r="M823" s="75"/>
      <c r="N823" s="70"/>
      <c r="O823" s="77" t="s">
        <v>179</v>
      </c>
      <c r="P823" s="79">
        <v>45174.979629629626</v>
      </c>
      <c r="Q823" s="77" t="s">
        <v>1615</v>
      </c>
      <c r="R823" s="77">
        <v>0</v>
      </c>
      <c r="S823" s="77">
        <v>2</v>
      </c>
      <c r="T823" s="77">
        <v>0</v>
      </c>
      <c r="U823" s="77">
        <v>0</v>
      </c>
      <c r="V823" s="77">
        <v>210</v>
      </c>
      <c r="W823" s="82" t="s">
        <v>5329</v>
      </c>
      <c r="X823" s="80" t="str">
        <f>HYPERLINK("https://www.falkcapital.com.br/mercado/acoes?utm_source=twitter&amp;utm_medium=falkalertas&amp;utm_campaign=fechamentodemercado")</f>
        <v>https://www.falkcapital.com.br/mercado/acoes?utm_source=twitter&amp;utm_medium=falkalertas&amp;utm_campaign=fechamentodemercado</v>
      </c>
      <c r="Y823" s="77" t="s">
        <v>7053</v>
      </c>
      <c r="Z823" s="77"/>
      <c r="AA823" s="77"/>
      <c r="AB823" s="77"/>
      <c r="AC823" s="82" t="s">
        <v>8258</v>
      </c>
      <c r="AD823" s="77" t="s">
        <v>8278</v>
      </c>
      <c r="AE823" s="80" t="str">
        <f>HYPERLINK("https://twitter.com/falkalertas/status/1699203425521517047")</f>
        <v>https://twitter.com/falkalertas/status/1699203425521517047</v>
      </c>
      <c r="AF823" s="79">
        <v>45174.979629629626</v>
      </c>
      <c r="AG823" s="85">
        <v>45174</v>
      </c>
      <c r="AH823" s="82" t="s">
        <v>9011</v>
      </c>
      <c r="AI823" s="77" t="b">
        <v>0</v>
      </c>
      <c r="AJ823" s="77"/>
      <c r="AK823" s="77"/>
      <c r="AL823" s="77"/>
      <c r="AM823" s="77"/>
      <c r="AN823" s="77"/>
      <c r="AO823" s="77"/>
      <c r="AP823" s="77"/>
      <c r="AQ823" s="77"/>
      <c r="AR823" s="77"/>
      <c r="AS823" s="77"/>
      <c r="AT823" s="77"/>
      <c r="AU823" s="77"/>
      <c r="AV823" s="80" t="str">
        <f>HYPERLINK("https://pbs.twimg.com/profile_images/1619161712967434240/ISM2hv8y_normal.png")</f>
        <v>https://pbs.twimg.com/profile_images/1619161712967434240/ISM2hv8y_normal.png</v>
      </c>
      <c r="AW823" s="82" t="s">
        <v>13919</v>
      </c>
      <c r="AX823" s="82" t="s">
        <v>13919</v>
      </c>
      <c r="AY823" s="77"/>
      <c r="AZ823" s="82" t="s">
        <v>17385</v>
      </c>
      <c r="BA823" s="82" t="s">
        <v>17385</v>
      </c>
      <c r="BB823" s="82" t="s">
        <v>17385</v>
      </c>
      <c r="BC823" s="82" t="s">
        <v>13919</v>
      </c>
      <c r="BD823" s="82" t="s">
        <v>17529</v>
      </c>
      <c r="BE823" s="77"/>
      <c r="BF823" s="77"/>
      <c r="BG823" s="77"/>
      <c r="BH823" s="77"/>
      <c r="BI823" s="77"/>
    </row>
    <row r="824" spans="1:61" x14ac:dyDescent="0.25">
      <c r="A824" s="62" t="s">
        <v>395</v>
      </c>
      <c r="B824" s="62" t="s">
        <v>395</v>
      </c>
      <c r="C824" s="63"/>
      <c r="D824" s="64"/>
      <c r="E824" s="65"/>
      <c r="F824" s="66"/>
      <c r="G824" s="63"/>
      <c r="H824" s="67"/>
      <c r="I824" s="68"/>
      <c r="J824" s="68"/>
      <c r="K824" s="32"/>
      <c r="L824" s="75">
        <v>824</v>
      </c>
      <c r="M824" s="75"/>
      <c r="N824" s="70"/>
      <c r="O824" s="77" t="s">
        <v>179</v>
      </c>
      <c r="P824" s="79">
        <v>45174.979629629626</v>
      </c>
      <c r="Q824" s="77" t="s">
        <v>1616</v>
      </c>
      <c r="R824" s="77">
        <v>0</v>
      </c>
      <c r="S824" s="77">
        <v>1</v>
      </c>
      <c r="T824" s="77">
        <v>0</v>
      </c>
      <c r="U824" s="77">
        <v>0</v>
      </c>
      <c r="V824" s="77">
        <v>93</v>
      </c>
      <c r="W824" s="82" t="s">
        <v>5330</v>
      </c>
      <c r="X824" s="80" t="str">
        <f>HYPERLINK("https://www.falkcapital.com.br/mercado/acoes?utm_source=twitter&amp;utm_medium=falkalertas&amp;utm_campaign=fechamentodemercado")</f>
        <v>https://www.falkcapital.com.br/mercado/acoes?utm_source=twitter&amp;utm_medium=falkalertas&amp;utm_campaign=fechamentodemercado</v>
      </c>
      <c r="Y824" s="77" t="s">
        <v>7053</v>
      </c>
      <c r="Z824" s="77"/>
      <c r="AA824" s="77"/>
      <c r="AB824" s="77"/>
      <c r="AC824" s="82" t="s">
        <v>8258</v>
      </c>
      <c r="AD824" s="77" t="s">
        <v>8278</v>
      </c>
      <c r="AE824" s="80" t="str">
        <f>HYPERLINK("https://twitter.com/falkalertas/status/1699203423709638858")</f>
        <v>https://twitter.com/falkalertas/status/1699203423709638858</v>
      </c>
      <c r="AF824" s="79">
        <v>45174.979629629626</v>
      </c>
      <c r="AG824" s="85">
        <v>45174</v>
      </c>
      <c r="AH824" s="82" t="s">
        <v>9011</v>
      </c>
      <c r="AI824" s="77" t="b">
        <v>0</v>
      </c>
      <c r="AJ824" s="77"/>
      <c r="AK824" s="77"/>
      <c r="AL824" s="77"/>
      <c r="AM824" s="77"/>
      <c r="AN824" s="77"/>
      <c r="AO824" s="77"/>
      <c r="AP824" s="77"/>
      <c r="AQ824" s="77"/>
      <c r="AR824" s="77"/>
      <c r="AS824" s="77"/>
      <c r="AT824" s="77"/>
      <c r="AU824" s="77"/>
      <c r="AV824" s="80" t="str">
        <f>HYPERLINK("https://pbs.twimg.com/profile_images/1619161712967434240/ISM2hv8y_normal.png")</f>
        <v>https://pbs.twimg.com/profile_images/1619161712967434240/ISM2hv8y_normal.png</v>
      </c>
      <c r="AW824" s="82" t="s">
        <v>13920</v>
      </c>
      <c r="AX824" s="82" t="s">
        <v>13920</v>
      </c>
      <c r="AY824" s="77"/>
      <c r="AZ824" s="82" t="s">
        <v>17385</v>
      </c>
      <c r="BA824" s="82" t="s">
        <v>17385</v>
      </c>
      <c r="BB824" s="82" t="s">
        <v>17385</v>
      </c>
      <c r="BC824" s="82" t="s">
        <v>13920</v>
      </c>
      <c r="BD824" s="82" t="s">
        <v>17529</v>
      </c>
      <c r="BE824" s="77"/>
      <c r="BF824" s="77"/>
      <c r="BG824" s="77"/>
      <c r="BH824" s="77"/>
      <c r="BI824" s="77"/>
    </row>
    <row r="825" spans="1:61" x14ac:dyDescent="0.25">
      <c r="A825" s="62" t="s">
        <v>395</v>
      </c>
      <c r="B825" s="62" t="s">
        <v>395</v>
      </c>
      <c r="C825" s="63"/>
      <c r="D825" s="64"/>
      <c r="E825" s="65"/>
      <c r="F825" s="66"/>
      <c r="G825" s="63"/>
      <c r="H825" s="67"/>
      <c r="I825" s="68"/>
      <c r="J825" s="68"/>
      <c r="K825" s="32"/>
      <c r="L825" s="75">
        <v>825</v>
      </c>
      <c r="M825" s="75"/>
      <c r="N825" s="70"/>
      <c r="O825" s="77" t="s">
        <v>179</v>
      </c>
      <c r="P825" s="79">
        <v>45174.69804398148</v>
      </c>
      <c r="Q825" s="77" t="s">
        <v>1617</v>
      </c>
      <c r="R825" s="77">
        <v>0</v>
      </c>
      <c r="S825" s="77">
        <v>1</v>
      </c>
      <c r="T825" s="77">
        <v>0</v>
      </c>
      <c r="U825" s="77">
        <v>0</v>
      </c>
      <c r="V825" s="77">
        <v>241</v>
      </c>
      <c r="W825" s="82" t="s">
        <v>5291</v>
      </c>
      <c r="X825" s="80" t="str">
        <f>HYPERLINK("https://www.falkcapital.com.br/mercado/acoes?utm_source=twitter&amp;utm_medium=falkalertas&amp;utm_campaign=mostrentedtc")</f>
        <v>https://www.falkcapital.com.br/mercado/acoes?utm_source=twitter&amp;utm_medium=falkalertas&amp;utm_campaign=mostrentedtc</v>
      </c>
      <c r="Y825" s="77" t="s">
        <v>7053</v>
      </c>
      <c r="Z825" s="77"/>
      <c r="AA825" s="77"/>
      <c r="AB825" s="77"/>
      <c r="AC825" s="82" t="s">
        <v>8258</v>
      </c>
      <c r="AD825" s="77" t="s">
        <v>8278</v>
      </c>
      <c r="AE825" s="80" t="str">
        <f>HYPERLINK("https://twitter.com/falkalertas/status/1699101379594170431")</f>
        <v>https://twitter.com/falkalertas/status/1699101379594170431</v>
      </c>
      <c r="AF825" s="79">
        <v>45174.69804398148</v>
      </c>
      <c r="AG825" s="85">
        <v>45174</v>
      </c>
      <c r="AH825" s="82" t="s">
        <v>9012</v>
      </c>
      <c r="AI825" s="77" t="b">
        <v>0</v>
      </c>
      <c r="AJ825" s="77"/>
      <c r="AK825" s="77"/>
      <c r="AL825" s="77"/>
      <c r="AM825" s="77"/>
      <c r="AN825" s="77"/>
      <c r="AO825" s="77"/>
      <c r="AP825" s="77"/>
      <c r="AQ825" s="77"/>
      <c r="AR825" s="77"/>
      <c r="AS825" s="77"/>
      <c r="AT825" s="77"/>
      <c r="AU825" s="77"/>
      <c r="AV825" s="80" t="str">
        <f>HYPERLINK("https://pbs.twimg.com/profile_images/1619161712967434240/ISM2hv8y_normal.png")</f>
        <v>https://pbs.twimg.com/profile_images/1619161712967434240/ISM2hv8y_normal.png</v>
      </c>
      <c r="AW825" s="82" t="s">
        <v>13921</v>
      </c>
      <c r="AX825" s="82" t="s">
        <v>13921</v>
      </c>
      <c r="AY825" s="77"/>
      <c r="AZ825" s="82" t="s">
        <v>17385</v>
      </c>
      <c r="BA825" s="82" t="s">
        <v>17385</v>
      </c>
      <c r="BB825" s="82" t="s">
        <v>17385</v>
      </c>
      <c r="BC825" s="82" t="s">
        <v>13921</v>
      </c>
      <c r="BD825" s="82" t="s">
        <v>17529</v>
      </c>
      <c r="BE825" s="77"/>
      <c r="BF825" s="77"/>
      <c r="BG825" s="77"/>
      <c r="BH825" s="77"/>
      <c r="BI825" s="77"/>
    </row>
    <row r="826" spans="1:61" x14ac:dyDescent="0.25">
      <c r="A826" s="62" t="s">
        <v>395</v>
      </c>
      <c r="B826" s="62" t="s">
        <v>395</v>
      </c>
      <c r="C826" s="63"/>
      <c r="D826" s="64"/>
      <c r="E826" s="65"/>
      <c r="F826" s="66"/>
      <c r="G826" s="63"/>
      <c r="H826" s="67"/>
      <c r="I826" s="68"/>
      <c r="J826" s="68"/>
      <c r="K826" s="32"/>
      <c r="L826" s="75">
        <v>826</v>
      </c>
      <c r="M826" s="75"/>
      <c r="N826" s="70"/>
      <c r="O826" s="77" t="s">
        <v>179</v>
      </c>
      <c r="P826" s="79">
        <v>45167.982592592591</v>
      </c>
      <c r="Q826" s="77" t="s">
        <v>1618</v>
      </c>
      <c r="R826" s="77">
        <v>0</v>
      </c>
      <c r="S826" s="77">
        <v>1</v>
      </c>
      <c r="T826" s="77">
        <v>0</v>
      </c>
      <c r="U826" s="77">
        <v>0</v>
      </c>
      <c r="V826" s="77">
        <v>299</v>
      </c>
      <c r="W826" s="82" t="s">
        <v>5331</v>
      </c>
      <c r="X826" s="80" t="str">
        <f>HYPERLINK("https://www.falkcapital.com.br/mercado/acoes?utm_source=twitter&amp;utm_medium=falkalertas&amp;utm_campaign=fechamentodemercado")</f>
        <v>https://www.falkcapital.com.br/mercado/acoes?utm_source=twitter&amp;utm_medium=falkalertas&amp;utm_campaign=fechamentodemercado</v>
      </c>
      <c r="Y826" s="77" t="s">
        <v>7053</v>
      </c>
      <c r="Z826" s="77"/>
      <c r="AA826" s="77"/>
      <c r="AB826" s="77"/>
      <c r="AC826" s="82" t="s">
        <v>8258</v>
      </c>
      <c r="AD826" s="77" t="s">
        <v>8278</v>
      </c>
      <c r="AE826" s="80" t="str">
        <f>HYPERLINK("https://twitter.com/falkalertas/status/1696667784212533282")</f>
        <v>https://twitter.com/falkalertas/status/1696667784212533282</v>
      </c>
      <c r="AF826" s="79">
        <v>45167.982592592591</v>
      </c>
      <c r="AG826" s="85">
        <v>45167</v>
      </c>
      <c r="AH826" s="82" t="s">
        <v>9013</v>
      </c>
      <c r="AI826" s="77" t="b">
        <v>0</v>
      </c>
      <c r="AJ826" s="77"/>
      <c r="AK826" s="77"/>
      <c r="AL826" s="77"/>
      <c r="AM826" s="77"/>
      <c r="AN826" s="77"/>
      <c r="AO826" s="77"/>
      <c r="AP826" s="77"/>
      <c r="AQ826" s="77"/>
      <c r="AR826" s="77"/>
      <c r="AS826" s="77"/>
      <c r="AT826" s="77"/>
      <c r="AU826" s="77"/>
      <c r="AV826" s="80" t="str">
        <f>HYPERLINK("https://pbs.twimg.com/profile_images/1619161712967434240/ISM2hv8y_normal.png")</f>
        <v>https://pbs.twimg.com/profile_images/1619161712967434240/ISM2hv8y_normal.png</v>
      </c>
      <c r="AW826" s="82" t="s">
        <v>13922</v>
      </c>
      <c r="AX826" s="82" t="s">
        <v>13922</v>
      </c>
      <c r="AY826" s="77"/>
      <c r="AZ826" s="82" t="s">
        <v>17385</v>
      </c>
      <c r="BA826" s="82" t="s">
        <v>17385</v>
      </c>
      <c r="BB826" s="82" t="s">
        <v>17385</v>
      </c>
      <c r="BC826" s="82" t="s">
        <v>13922</v>
      </c>
      <c r="BD826" s="82" t="s">
        <v>17529</v>
      </c>
      <c r="BE826" s="77"/>
      <c r="BF826" s="77"/>
      <c r="BG826" s="77"/>
      <c r="BH826" s="77"/>
      <c r="BI826" s="77"/>
    </row>
    <row r="827" spans="1:61" x14ac:dyDescent="0.25">
      <c r="A827" s="62" t="s">
        <v>395</v>
      </c>
      <c r="B827" s="62" t="s">
        <v>395</v>
      </c>
      <c r="C827" s="63"/>
      <c r="D827" s="64"/>
      <c r="E827" s="65"/>
      <c r="F827" s="66"/>
      <c r="G827" s="63"/>
      <c r="H827" s="67"/>
      <c r="I827" s="68"/>
      <c r="J827" s="68"/>
      <c r="K827" s="32"/>
      <c r="L827" s="75">
        <v>827</v>
      </c>
      <c r="M827" s="75"/>
      <c r="N827" s="70"/>
      <c r="O827" s="77" t="s">
        <v>179</v>
      </c>
      <c r="P827" s="79">
        <v>45167.982592592591</v>
      </c>
      <c r="Q827" s="77" t="s">
        <v>1619</v>
      </c>
      <c r="R827" s="77">
        <v>0</v>
      </c>
      <c r="S827" s="77">
        <v>1</v>
      </c>
      <c r="T827" s="77">
        <v>0</v>
      </c>
      <c r="U827" s="77">
        <v>0</v>
      </c>
      <c r="V827" s="77">
        <v>156</v>
      </c>
      <c r="W827" s="82" t="s">
        <v>5332</v>
      </c>
      <c r="X827" s="80" t="str">
        <f>HYPERLINK("https://www.falkcapital.com.br/mercado/acoes?utm_source=twitter&amp;utm_medium=falkalertas&amp;utm_campaign=fechamentodemercado")</f>
        <v>https://www.falkcapital.com.br/mercado/acoes?utm_source=twitter&amp;utm_medium=falkalertas&amp;utm_campaign=fechamentodemercado</v>
      </c>
      <c r="Y827" s="77" t="s">
        <v>7053</v>
      </c>
      <c r="Z827" s="77"/>
      <c r="AA827" s="77"/>
      <c r="AB827" s="77"/>
      <c r="AC827" s="82" t="s">
        <v>8258</v>
      </c>
      <c r="AD827" s="77" t="s">
        <v>8278</v>
      </c>
      <c r="AE827" s="80" t="str">
        <f>HYPERLINK("https://twitter.com/falkalertas/status/1696667782501241027")</f>
        <v>https://twitter.com/falkalertas/status/1696667782501241027</v>
      </c>
      <c r="AF827" s="79">
        <v>45167.982592592591</v>
      </c>
      <c r="AG827" s="85">
        <v>45167</v>
      </c>
      <c r="AH827" s="82" t="s">
        <v>9013</v>
      </c>
      <c r="AI827" s="77" t="b">
        <v>0</v>
      </c>
      <c r="AJ827" s="77"/>
      <c r="AK827" s="77"/>
      <c r="AL827" s="77"/>
      <c r="AM827" s="77"/>
      <c r="AN827" s="77"/>
      <c r="AO827" s="77"/>
      <c r="AP827" s="77"/>
      <c r="AQ827" s="77"/>
      <c r="AR827" s="77"/>
      <c r="AS827" s="77"/>
      <c r="AT827" s="77"/>
      <c r="AU827" s="77"/>
      <c r="AV827" s="80" t="str">
        <f>HYPERLINK("https://pbs.twimg.com/profile_images/1619161712967434240/ISM2hv8y_normal.png")</f>
        <v>https://pbs.twimg.com/profile_images/1619161712967434240/ISM2hv8y_normal.png</v>
      </c>
      <c r="AW827" s="82" t="s">
        <v>13923</v>
      </c>
      <c r="AX827" s="82" t="s">
        <v>13923</v>
      </c>
      <c r="AY827" s="77"/>
      <c r="AZ827" s="82" t="s">
        <v>17385</v>
      </c>
      <c r="BA827" s="82" t="s">
        <v>17385</v>
      </c>
      <c r="BB827" s="82" t="s">
        <v>17385</v>
      </c>
      <c r="BC827" s="82" t="s">
        <v>13923</v>
      </c>
      <c r="BD827" s="82" t="s">
        <v>17529</v>
      </c>
      <c r="BE827" s="77"/>
      <c r="BF827" s="77"/>
      <c r="BG827" s="77"/>
      <c r="BH827" s="77"/>
      <c r="BI827" s="77"/>
    </row>
    <row r="828" spans="1:61" x14ac:dyDescent="0.25">
      <c r="A828" s="62" t="s">
        <v>395</v>
      </c>
      <c r="B828" s="62" t="s">
        <v>395</v>
      </c>
      <c r="C828" s="63"/>
      <c r="D828" s="64"/>
      <c r="E828" s="65"/>
      <c r="F828" s="66"/>
      <c r="G828" s="63"/>
      <c r="H828" s="67"/>
      <c r="I828" s="68"/>
      <c r="J828" s="68"/>
      <c r="K828" s="32"/>
      <c r="L828" s="75">
        <v>828</v>
      </c>
      <c r="M828" s="75"/>
      <c r="N828" s="70"/>
      <c r="O828" s="77" t="s">
        <v>179</v>
      </c>
      <c r="P828" s="79">
        <v>45166.97934027778</v>
      </c>
      <c r="Q828" s="77" t="s">
        <v>1620</v>
      </c>
      <c r="R828" s="77">
        <v>0</v>
      </c>
      <c r="S828" s="77">
        <v>1</v>
      </c>
      <c r="T828" s="77">
        <v>0</v>
      </c>
      <c r="U828" s="77">
        <v>0</v>
      </c>
      <c r="V828" s="77">
        <v>287</v>
      </c>
      <c r="W828" s="82" t="s">
        <v>5333</v>
      </c>
      <c r="X828" s="80" t="str">
        <f>HYPERLINK("https://www.falkcapital.com.br/mercado/acoes?utm_source=twitter&amp;utm_medium=falkalertas&amp;utm_campaign=fechamentodemercado")</f>
        <v>https://www.falkcapital.com.br/mercado/acoes?utm_source=twitter&amp;utm_medium=falkalertas&amp;utm_campaign=fechamentodemercado</v>
      </c>
      <c r="Y828" s="77" t="s">
        <v>7053</v>
      </c>
      <c r="Z828" s="77"/>
      <c r="AA828" s="77"/>
      <c r="AB828" s="77"/>
      <c r="AC828" s="82" t="s">
        <v>8258</v>
      </c>
      <c r="AD828" s="77" t="s">
        <v>8278</v>
      </c>
      <c r="AE828" s="80" t="str">
        <f>HYPERLINK("https://twitter.com/falkalertas/status/1696304214299836718")</f>
        <v>https://twitter.com/falkalertas/status/1696304214299836718</v>
      </c>
      <c r="AF828" s="79">
        <v>45166.97934027778</v>
      </c>
      <c r="AG828" s="85">
        <v>45166</v>
      </c>
      <c r="AH828" s="82" t="s">
        <v>8985</v>
      </c>
      <c r="AI828" s="77" t="b">
        <v>0</v>
      </c>
      <c r="AJ828" s="77"/>
      <c r="AK828" s="77"/>
      <c r="AL828" s="77"/>
      <c r="AM828" s="77"/>
      <c r="AN828" s="77"/>
      <c r="AO828" s="77"/>
      <c r="AP828" s="77"/>
      <c r="AQ828" s="77"/>
      <c r="AR828" s="77"/>
      <c r="AS828" s="77"/>
      <c r="AT828" s="77"/>
      <c r="AU828" s="77"/>
      <c r="AV828" s="80" t="str">
        <f>HYPERLINK("https://pbs.twimg.com/profile_images/1619161712967434240/ISM2hv8y_normal.png")</f>
        <v>https://pbs.twimg.com/profile_images/1619161712967434240/ISM2hv8y_normal.png</v>
      </c>
      <c r="AW828" s="82" t="s">
        <v>13924</v>
      </c>
      <c r="AX828" s="82" t="s">
        <v>13924</v>
      </c>
      <c r="AY828" s="77"/>
      <c r="AZ828" s="82" t="s">
        <v>17385</v>
      </c>
      <c r="BA828" s="82" t="s">
        <v>17385</v>
      </c>
      <c r="BB828" s="82" t="s">
        <v>17385</v>
      </c>
      <c r="BC828" s="82" t="s">
        <v>13924</v>
      </c>
      <c r="BD828" s="82" t="s">
        <v>17529</v>
      </c>
      <c r="BE828" s="77"/>
      <c r="BF828" s="77"/>
      <c r="BG828" s="77"/>
      <c r="BH828" s="77"/>
      <c r="BI828" s="77"/>
    </row>
    <row r="829" spans="1:61" x14ac:dyDescent="0.25">
      <c r="A829" s="62" t="s">
        <v>395</v>
      </c>
      <c r="B829" s="62" t="s">
        <v>395</v>
      </c>
      <c r="C829" s="63"/>
      <c r="D829" s="64"/>
      <c r="E829" s="65"/>
      <c r="F829" s="66"/>
      <c r="G829" s="63"/>
      <c r="H829" s="67"/>
      <c r="I829" s="68"/>
      <c r="J829" s="68"/>
      <c r="K829" s="32"/>
      <c r="L829" s="75">
        <v>829</v>
      </c>
      <c r="M829" s="75"/>
      <c r="N829" s="70"/>
      <c r="O829" s="77" t="s">
        <v>179</v>
      </c>
      <c r="P829" s="79">
        <v>45166.979328703703</v>
      </c>
      <c r="Q829" s="77" t="s">
        <v>1621</v>
      </c>
      <c r="R829" s="77">
        <v>0</v>
      </c>
      <c r="S829" s="77">
        <v>1</v>
      </c>
      <c r="T829" s="77">
        <v>0</v>
      </c>
      <c r="U829" s="77">
        <v>0</v>
      </c>
      <c r="V829" s="77">
        <v>270</v>
      </c>
      <c r="W829" s="82" t="s">
        <v>5334</v>
      </c>
      <c r="X829" s="80" t="str">
        <f>HYPERLINK("https://www.falkcapital.com.br/mercado/acoes?utm_source=twitter&amp;utm_medium=falkalertas&amp;utm_campaign=fechamentodemercado")</f>
        <v>https://www.falkcapital.com.br/mercado/acoes?utm_source=twitter&amp;utm_medium=falkalertas&amp;utm_campaign=fechamentodemercado</v>
      </c>
      <c r="Y829" s="77" t="s">
        <v>7053</v>
      </c>
      <c r="Z829" s="77"/>
      <c r="AA829" s="77"/>
      <c r="AB829" s="77"/>
      <c r="AC829" s="82" t="s">
        <v>8258</v>
      </c>
      <c r="AD829" s="77" t="s">
        <v>8278</v>
      </c>
      <c r="AE829" s="80" t="str">
        <f>HYPERLINK("https://twitter.com/falkalertas/status/1696304212492079198")</f>
        <v>https://twitter.com/falkalertas/status/1696304212492079198</v>
      </c>
      <c r="AF829" s="79">
        <v>45166.979328703703</v>
      </c>
      <c r="AG829" s="85">
        <v>45166</v>
      </c>
      <c r="AH829" s="82" t="s">
        <v>8986</v>
      </c>
      <c r="AI829" s="77" t="b">
        <v>0</v>
      </c>
      <c r="AJ829" s="77"/>
      <c r="AK829" s="77"/>
      <c r="AL829" s="77"/>
      <c r="AM829" s="77"/>
      <c r="AN829" s="77"/>
      <c r="AO829" s="77"/>
      <c r="AP829" s="77"/>
      <c r="AQ829" s="77"/>
      <c r="AR829" s="77"/>
      <c r="AS829" s="77"/>
      <c r="AT829" s="77"/>
      <c r="AU829" s="77"/>
      <c r="AV829" s="80" t="str">
        <f>HYPERLINK("https://pbs.twimg.com/profile_images/1619161712967434240/ISM2hv8y_normal.png")</f>
        <v>https://pbs.twimg.com/profile_images/1619161712967434240/ISM2hv8y_normal.png</v>
      </c>
      <c r="AW829" s="82" t="s">
        <v>13925</v>
      </c>
      <c r="AX829" s="82" t="s">
        <v>13925</v>
      </c>
      <c r="AY829" s="77"/>
      <c r="AZ829" s="82" t="s">
        <v>17385</v>
      </c>
      <c r="BA829" s="82" t="s">
        <v>17385</v>
      </c>
      <c r="BB829" s="82" t="s">
        <v>17385</v>
      </c>
      <c r="BC829" s="82" t="s">
        <v>13925</v>
      </c>
      <c r="BD829" s="82" t="s">
        <v>17529</v>
      </c>
      <c r="BE829" s="77"/>
      <c r="BF829" s="77"/>
      <c r="BG829" s="77"/>
      <c r="BH829" s="77"/>
      <c r="BI829" s="77"/>
    </row>
    <row r="830" spans="1:61" x14ac:dyDescent="0.25">
      <c r="A830" s="62" t="s">
        <v>395</v>
      </c>
      <c r="B830" s="62" t="s">
        <v>395</v>
      </c>
      <c r="C830" s="63"/>
      <c r="D830" s="64"/>
      <c r="E830" s="65"/>
      <c r="F830" s="66"/>
      <c r="G830" s="63"/>
      <c r="H830" s="67"/>
      <c r="I830" s="68"/>
      <c r="J830" s="68"/>
      <c r="K830" s="32"/>
      <c r="L830" s="75">
        <v>830</v>
      </c>
      <c r="M830" s="75"/>
      <c r="N830" s="70"/>
      <c r="O830" s="77" t="s">
        <v>179</v>
      </c>
      <c r="P830" s="79">
        <v>45149.984780092593</v>
      </c>
      <c r="Q830" s="77" t="s">
        <v>1622</v>
      </c>
      <c r="R830" s="77">
        <v>0</v>
      </c>
      <c r="S830" s="77">
        <v>1</v>
      </c>
      <c r="T830" s="77">
        <v>0</v>
      </c>
      <c r="U830" s="77">
        <v>0</v>
      </c>
      <c r="V830" s="77">
        <v>103</v>
      </c>
      <c r="W830" s="82" t="s">
        <v>5335</v>
      </c>
      <c r="X830" s="80" t="str">
        <f>HYPERLINK("https://www.falkcapital.com.br/mercado/acoes?utm_source=twitter&amp;utm_medium=falkalertas&amp;utm_campaign=fechamentodemercado")</f>
        <v>https://www.falkcapital.com.br/mercado/acoes?utm_source=twitter&amp;utm_medium=falkalertas&amp;utm_campaign=fechamentodemercado</v>
      </c>
      <c r="Y830" s="77" t="s">
        <v>7053</v>
      </c>
      <c r="Z830" s="77"/>
      <c r="AA830" s="77"/>
      <c r="AB830" s="77"/>
      <c r="AC830" s="82" t="s">
        <v>8258</v>
      </c>
      <c r="AD830" s="77" t="s">
        <v>8278</v>
      </c>
      <c r="AE830" s="80" t="str">
        <f>HYPERLINK("https://twitter.com/falkalertas/status/1690145593404882944")</f>
        <v>https://twitter.com/falkalertas/status/1690145593404882944</v>
      </c>
      <c r="AF830" s="79">
        <v>45149.984780092593</v>
      </c>
      <c r="AG830" s="85">
        <v>45149</v>
      </c>
      <c r="AH830" s="82" t="s">
        <v>9014</v>
      </c>
      <c r="AI830" s="77" t="b">
        <v>0</v>
      </c>
      <c r="AJ830" s="77"/>
      <c r="AK830" s="77"/>
      <c r="AL830" s="77"/>
      <c r="AM830" s="77"/>
      <c r="AN830" s="77"/>
      <c r="AO830" s="77"/>
      <c r="AP830" s="77"/>
      <c r="AQ830" s="77"/>
      <c r="AR830" s="77"/>
      <c r="AS830" s="77"/>
      <c r="AT830" s="77"/>
      <c r="AU830" s="77"/>
      <c r="AV830" s="80" t="str">
        <f>HYPERLINK("https://pbs.twimg.com/profile_images/1619161712967434240/ISM2hv8y_normal.png")</f>
        <v>https://pbs.twimg.com/profile_images/1619161712967434240/ISM2hv8y_normal.png</v>
      </c>
      <c r="AW830" s="82" t="s">
        <v>13926</v>
      </c>
      <c r="AX830" s="82" t="s">
        <v>13926</v>
      </c>
      <c r="AY830" s="77"/>
      <c r="AZ830" s="82" t="s">
        <v>17385</v>
      </c>
      <c r="BA830" s="82" t="s">
        <v>17385</v>
      </c>
      <c r="BB830" s="82" t="s">
        <v>17385</v>
      </c>
      <c r="BC830" s="82" t="s">
        <v>13926</v>
      </c>
      <c r="BD830" s="82" t="s">
        <v>17529</v>
      </c>
      <c r="BE830" s="77"/>
      <c r="BF830" s="77"/>
      <c r="BG830" s="77"/>
      <c r="BH830" s="77"/>
      <c r="BI830" s="77"/>
    </row>
    <row r="831" spans="1:61" x14ac:dyDescent="0.25">
      <c r="A831" s="62" t="s">
        <v>395</v>
      </c>
      <c r="B831" s="62" t="s">
        <v>395</v>
      </c>
      <c r="C831" s="63"/>
      <c r="D831" s="64"/>
      <c r="E831" s="65"/>
      <c r="F831" s="66"/>
      <c r="G831" s="63"/>
      <c r="H831" s="67"/>
      <c r="I831" s="68"/>
      <c r="J831" s="68"/>
      <c r="K831" s="32"/>
      <c r="L831" s="75">
        <v>831</v>
      </c>
      <c r="M831" s="75"/>
      <c r="N831" s="70"/>
      <c r="O831" s="77" t="s">
        <v>179</v>
      </c>
      <c r="P831" s="79">
        <v>45148.981307870374</v>
      </c>
      <c r="Q831" s="77" t="s">
        <v>1623</v>
      </c>
      <c r="R831" s="77">
        <v>0</v>
      </c>
      <c r="S831" s="77">
        <v>0</v>
      </c>
      <c r="T831" s="77">
        <v>0</v>
      </c>
      <c r="U831" s="77">
        <v>0</v>
      </c>
      <c r="V831" s="77">
        <v>359</v>
      </c>
      <c r="W831" s="82" t="s">
        <v>5336</v>
      </c>
      <c r="X831" s="80" t="str">
        <f>HYPERLINK("https://www.falkcapital.com.br/mercado/acoes?utm_source=twitter&amp;utm_medium=falkalertas&amp;utm_campaign=fechamentodemercado")</f>
        <v>https://www.falkcapital.com.br/mercado/acoes?utm_source=twitter&amp;utm_medium=falkalertas&amp;utm_campaign=fechamentodemercado</v>
      </c>
      <c r="Y831" s="77" t="s">
        <v>7053</v>
      </c>
      <c r="Z831" s="77"/>
      <c r="AA831" s="77"/>
      <c r="AB831" s="77"/>
      <c r="AC831" s="82" t="s">
        <v>8258</v>
      </c>
      <c r="AD831" s="77" t="s">
        <v>8278</v>
      </c>
      <c r="AE831" s="80" t="str">
        <f>HYPERLINK("https://twitter.com/falkalertas/status/1689781946384109568")</f>
        <v>https://twitter.com/falkalertas/status/1689781946384109568</v>
      </c>
      <c r="AF831" s="79">
        <v>45148.981307870374</v>
      </c>
      <c r="AG831" s="85">
        <v>45148</v>
      </c>
      <c r="AH831" s="82" t="s">
        <v>9015</v>
      </c>
      <c r="AI831" s="77" t="b">
        <v>0</v>
      </c>
      <c r="AJ831" s="77"/>
      <c r="AK831" s="77"/>
      <c r="AL831" s="77"/>
      <c r="AM831" s="77"/>
      <c r="AN831" s="77"/>
      <c r="AO831" s="77"/>
      <c r="AP831" s="77"/>
      <c r="AQ831" s="77"/>
      <c r="AR831" s="77"/>
      <c r="AS831" s="77"/>
      <c r="AT831" s="77"/>
      <c r="AU831" s="77"/>
      <c r="AV831" s="80" t="str">
        <f>HYPERLINK("https://pbs.twimg.com/profile_images/1619161712967434240/ISM2hv8y_normal.png")</f>
        <v>https://pbs.twimg.com/profile_images/1619161712967434240/ISM2hv8y_normal.png</v>
      </c>
      <c r="AW831" s="82" t="s">
        <v>13927</v>
      </c>
      <c r="AX831" s="82" t="s">
        <v>13927</v>
      </c>
      <c r="AY831" s="77"/>
      <c r="AZ831" s="82" t="s">
        <v>17385</v>
      </c>
      <c r="BA831" s="82" t="s">
        <v>17385</v>
      </c>
      <c r="BB831" s="82" t="s">
        <v>17385</v>
      </c>
      <c r="BC831" s="82" t="s">
        <v>13927</v>
      </c>
      <c r="BD831" s="82" t="s">
        <v>17529</v>
      </c>
      <c r="BE831" s="77"/>
      <c r="BF831" s="77"/>
      <c r="BG831" s="77"/>
      <c r="BH831" s="77"/>
      <c r="BI831" s="77"/>
    </row>
    <row r="832" spans="1:61" x14ac:dyDescent="0.25">
      <c r="A832" s="62" t="s">
        <v>395</v>
      </c>
      <c r="B832" s="62" t="s">
        <v>395</v>
      </c>
      <c r="C832" s="63"/>
      <c r="D832" s="64"/>
      <c r="E832" s="65"/>
      <c r="F832" s="66"/>
      <c r="G832" s="63"/>
      <c r="H832" s="67"/>
      <c r="I832" s="68"/>
      <c r="J832" s="68"/>
      <c r="K832" s="32"/>
      <c r="L832" s="75">
        <v>832</v>
      </c>
      <c r="M832" s="75"/>
      <c r="N832" s="70"/>
      <c r="O832" s="77" t="s">
        <v>179</v>
      </c>
      <c r="P832" s="79">
        <v>45148.981168981481</v>
      </c>
      <c r="Q832" s="77" t="s">
        <v>1624</v>
      </c>
      <c r="R832" s="77">
        <v>0</v>
      </c>
      <c r="S832" s="77">
        <v>0</v>
      </c>
      <c r="T832" s="77">
        <v>0</v>
      </c>
      <c r="U832" s="77">
        <v>0</v>
      </c>
      <c r="V832" s="77">
        <v>90</v>
      </c>
      <c r="W832" s="82" t="s">
        <v>5337</v>
      </c>
      <c r="X832" s="80" t="str">
        <f>HYPERLINK("https://www.falkcapital.com.br/mercado/acoes?utm_source=twitter&amp;utm_medium=falkalertas&amp;utm_campaign=fechamentodemercado")</f>
        <v>https://www.falkcapital.com.br/mercado/acoes?utm_source=twitter&amp;utm_medium=falkalertas&amp;utm_campaign=fechamentodemercado</v>
      </c>
      <c r="Y832" s="77" t="s">
        <v>7053</v>
      </c>
      <c r="Z832" s="77"/>
      <c r="AA832" s="77"/>
      <c r="AB832" s="77"/>
      <c r="AC832" s="82" t="s">
        <v>8258</v>
      </c>
      <c r="AD832" s="77" t="s">
        <v>8278</v>
      </c>
      <c r="AE832" s="80" t="str">
        <f>HYPERLINK("https://twitter.com/falkalertas/status/1689781897063272448")</f>
        <v>https://twitter.com/falkalertas/status/1689781897063272448</v>
      </c>
      <c r="AF832" s="79">
        <v>45148.981168981481</v>
      </c>
      <c r="AG832" s="85">
        <v>45148</v>
      </c>
      <c r="AH832" s="82" t="s">
        <v>9016</v>
      </c>
      <c r="AI832" s="77" t="b">
        <v>0</v>
      </c>
      <c r="AJ832" s="77"/>
      <c r="AK832" s="77"/>
      <c r="AL832" s="77"/>
      <c r="AM832" s="77"/>
      <c r="AN832" s="77"/>
      <c r="AO832" s="77"/>
      <c r="AP832" s="77"/>
      <c r="AQ832" s="77"/>
      <c r="AR832" s="77"/>
      <c r="AS832" s="77"/>
      <c r="AT832" s="77"/>
      <c r="AU832" s="77"/>
      <c r="AV832" s="80" t="str">
        <f>HYPERLINK("https://pbs.twimg.com/profile_images/1619161712967434240/ISM2hv8y_normal.png")</f>
        <v>https://pbs.twimg.com/profile_images/1619161712967434240/ISM2hv8y_normal.png</v>
      </c>
      <c r="AW832" s="82" t="s">
        <v>13928</v>
      </c>
      <c r="AX832" s="82" t="s">
        <v>13928</v>
      </c>
      <c r="AY832" s="77"/>
      <c r="AZ832" s="82" t="s">
        <v>17385</v>
      </c>
      <c r="BA832" s="82" t="s">
        <v>17385</v>
      </c>
      <c r="BB832" s="82" t="s">
        <v>17385</v>
      </c>
      <c r="BC832" s="82" t="s">
        <v>13928</v>
      </c>
      <c r="BD832" s="82" t="s">
        <v>17529</v>
      </c>
      <c r="BE832" s="77"/>
      <c r="BF832" s="77"/>
      <c r="BG832" s="77"/>
      <c r="BH832" s="77"/>
      <c r="BI832" s="77"/>
    </row>
    <row r="833" spans="1:61" x14ac:dyDescent="0.25">
      <c r="A833" s="62" t="s">
        <v>395</v>
      </c>
      <c r="B833" s="62" t="s">
        <v>395</v>
      </c>
      <c r="C833" s="63"/>
      <c r="D833" s="64"/>
      <c r="E833" s="65"/>
      <c r="F833" s="66"/>
      <c r="G833" s="63"/>
      <c r="H833" s="67"/>
      <c r="I833" s="68"/>
      <c r="J833" s="68"/>
      <c r="K833" s="32"/>
      <c r="L833" s="75">
        <v>833</v>
      </c>
      <c r="M833" s="75"/>
      <c r="N833" s="70"/>
      <c r="O833" s="77" t="s">
        <v>179</v>
      </c>
      <c r="P833" s="79">
        <v>45057.979363425926</v>
      </c>
      <c r="Q833" s="77" t="s">
        <v>1625</v>
      </c>
      <c r="R833" s="77">
        <v>0</v>
      </c>
      <c r="S833" s="77">
        <v>0</v>
      </c>
      <c r="T833" s="77">
        <v>0</v>
      </c>
      <c r="U833" s="77">
        <v>0</v>
      </c>
      <c r="V833" s="77">
        <v>108</v>
      </c>
      <c r="W833" s="82" t="s">
        <v>5338</v>
      </c>
      <c r="X833" s="80" t="str">
        <f>HYPERLINK("https://www.falkcapital.com.br/mercado/acoes?utm_source=twitter&amp;utm_medium=falkalertas&amp;utm_campaign=fechamentodemercado")</f>
        <v>https://www.falkcapital.com.br/mercado/acoes?utm_source=twitter&amp;utm_medium=falkalertas&amp;utm_campaign=fechamentodemercado</v>
      </c>
      <c r="Y833" s="77" t="s">
        <v>7053</v>
      </c>
      <c r="Z833" s="77"/>
      <c r="AA833" s="77"/>
      <c r="AB833" s="77"/>
      <c r="AC833" s="82" t="s">
        <v>8257</v>
      </c>
      <c r="AD833" s="77" t="s">
        <v>8278</v>
      </c>
      <c r="AE833" s="80" t="str">
        <f>HYPERLINK("https://twitter.com/falkalertas/status/1656803947498164224")</f>
        <v>https://twitter.com/falkalertas/status/1656803947498164224</v>
      </c>
      <c r="AF833" s="79">
        <v>45057.979363425926</v>
      </c>
      <c r="AG833" s="85">
        <v>45057</v>
      </c>
      <c r="AH833" s="82" t="s">
        <v>8995</v>
      </c>
      <c r="AI833" s="77" t="b">
        <v>0</v>
      </c>
      <c r="AJ833" s="77"/>
      <c r="AK833" s="77"/>
      <c r="AL833" s="77"/>
      <c r="AM833" s="77"/>
      <c r="AN833" s="77"/>
      <c r="AO833" s="77"/>
      <c r="AP833" s="77"/>
      <c r="AQ833" s="77"/>
      <c r="AR833" s="77"/>
      <c r="AS833" s="77"/>
      <c r="AT833" s="77"/>
      <c r="AU833" s="77"/>
      <c r="AV833" s="80" t="str">
        <f>HYPERLINK("https://pbs.twimg.com/profile_images/1619161712967434240/ISM2hv8y_normal.png")</f>
        <v>https://pbs.twimg.com/profile_images/1619161712967434240/ISM2hv8y_normal.png</v>
      </c>
      <c r="AW833" s="82" t="s">
        <v>13929</v>
      </c>
      <c r="AX833" s="82" t="s">
        <v>13929</v>
      </c>
      <c r="AY833" s="77"/>
      <c r="AZ833" s="82" t="s">
        <v>17385</v>
      </c>
      <c r="BA833" s="82" t="s">
        <v>17385</v>
      </c>
      <c r="BB833" s="82" t="s">
        <v>17385</v>
      </c>
      <c r="BC833" s="82" t="s">
        <v>13929</v>
      </c>
      <c r="BD833" s="82" t="s">
        <v>17529</v>
      </c>
      <c r="BE833" s="77"/>
      <c r="BF833" s="77"/>
      <c r="BG833" s="77"/>
      <c r="BH833" s="77"/>
      <c r="BI833" s="77"/>
    </row>
    <row r="834" spans="1:61" x14ac:dyDescent="0.25">
      <c r="A834" s="62" t="s">
        <v>395</v>
      </c>
      <c r="B834" s="62" t="s">
        <v>395</v>
      </c>
      <c r="C834" s="63"/>
      <c r="D834" s="64"/>
      <c r="E834" s="65"/>
      <c r="F834" s="66"/>
      <c r="G834" s="63"/>
      <c r="H834" s="67"/>
      <c r="I834" s="68"/>
      <c r="J834" s="68"/>
      <c r="K834" s="32"/>
      <c r="L834" s="75">
        <v>834</v>
      </c>
      <c r="M834" s="75"/>
      <c r="N834" s="70"/>
      <c r="O834" s="77" t="s">
        <v>179</v>
      </c>
      <c r="P834" s="79">
        <v>45057.979363425926</v>
      </c>
      <c r="Q834" s="77" t="s">
        <v>1626</v>
      </c>
      <c r="R834" s="77">
        <v>0</v>
      </c>
      <c r="S834" s="77">
        <v>0</v>
      </c>
      <c r="T834" s="77">
        <v>0</v>
      </c>
      <c r="U834" s="77">
        <v>0</v>
      </c>
      <c r="V834" s="77">
        <v>98</v>
      </c>
      <c r="W834" s="82" t="s">
        <v>5339</v>
      </c>
      <c r="X834" s="80" t="str">
        <f>HYPERLINK("https://www.falkcapital.com.br/mercado/acoes?utm_source=twitter&amp;utm_medium=falkalertas&amp;utm_campaign=fechamentodemercado")</f>
        <v>https://www.falkcapital.com.br/mercado/acoes?utm_source=twitter&amp;utm_medium=falkalertas&amp;utm_campaign=fechamentodemercado</v>
      </c>
      <c r="Y834" s="77" t="s">
        <v>7053</v>
      </c>
      <c r="Z834" s="77"/>
      <c r="AA834" s="77"/>
      <c r="AB834" s="77"/>
      <c r="AC834" s="82" t="s">
        <v>8257</v>
      </c>
      <c r="AD834" s="77" t="s">
        <v>8278</v>
      </c>
      <c r="AE834" s="80" t="str">
        <f>HYPERLINK("https://twitter.com/falkalertas/status/1656803946235678724")</f>
        <v>https://twitter.com/falkalertas/status/1656803946235678724</v>
      </c>
      <c r="AF834" s="79">
        <v>45057.979363425926</v>
      </c>
      <c r="AG834" s="85">
        <v>45057</v>
      </c>
      <c r="AH834" s="82" t="s">
        <v>8995</v>
      </c>
      <c r="AI834" s="77" t="b">
        <v>0</v>
      </c>
      <c r="AJ834" s="77"/>
      <c r="AK834" s="77"/>
      <c r="AL834" s="77"/>
      <c r="AM834" s="77"/>
      <c r="AN834" s="77"/>
      <c r="AO834" s="77"/>
      <c r="AP834" s="77"/>
      <c r="AQ834" s="77"/>
      <c r="AR834" s="77"/>
      <c r="AS834" s="77"/>
      <c r="AT834" s="77"/>
      <c r="AU834" s="77"/>
      <c r="AV834" s="80" t="str">
        <f>HYPERLINK("https://pbs.twimg.com/profile_images/1619161712967434240/ISM2hv8y_normal.png")</f>
        <v>https://pbs.twimg.com/profile_images/1619161712967434240/ISM2hv8y_normal.png</v>
      </c>
      <c r="AW834" s="82" t="s">
        <v>13930</v>
      </c>
      <c r="AX834" s="82" t="s">
        <v>13930</v>
      </c>
      <c r="AY834" s="77"/>
      <c r="AZ834" s="82" t="s">
        <v>17385</v>
      </c>
      <c r="BA834" s="82" t="s">
        <v>17385</v>
      </c>
      <c r="BB834" s="82" t="s">
        <v>17385</v>
      </c>
      <c r="BC834" s="82" t="s">
        <v>13930</v>
      </c>
      <c r="BD834" s="82" t="s">
        <v>17529</v>
      </c>
      <c r="BE834" s="77"/>
      <c r="BF834" s="77"/>
      <c r="BG834" s="77"/>
      <c r="BH834" s="77"/>
      <c r="BI834" s="77"/>
    </row>
    <row r="835" spans="1:61" x14ac:dyDescent="0.25">
      <c r="A835" s="62" t="s">
        <v>395</v>
      </c>
      <c r="B835" s="62" t="s">
        <v>395</v>
      </c>
      <c r="C835" s="63"/>
      <c r="D835" s="64"/>
      <c r="E835" s="65"/>
      <c r="F835" s="66"/>
      <c r="G835" s="63"/>
      <c r="H835" s="67"/>
      <c r="I835" s="68"/>
      <c r="J835" s="68"/>
      <c r="K835" s="32"/>
      <c r="L835" s="75">
        <v>835</v>
      </c>
      <c r="M835" s="75"/>
      <c r="N835" s="70"/>
      <c r="O835" s="77" t="s">
        <v>179</v>
      </c>
      <c r="P835" s="79">
        <v>45056.979363425926</v>
      </c>
      <c r="Q835" s="77" t="s">
        <v>1627</v>
      </c>
      <c r="R835" s="77">
        <v>0</v>
      </c>
      <c r="S835" s="77">
        <v>0</v>
      </c>
      <c r="T835" s="77">
        <v>0</v>
      </c>
      <c r="U835" s="77">
        <v>0</v>
      </c>
      <c r="V835" s="77">
        <v>161</v>
      </c>
      <c r="W835" s="82" t="s">
        <v>5340</v>
      </c>
      <c r="X835" s="80" t="str">
        <f>HYPERLINK("https://www.falkcapital.com.br/mercado/acoes?utm_source=twitter&amp;utm_medium=falkalertas&amp;utm_campaign=fechamentodemercado")</f>
        <v>https://www.falkcapital.com.br/mercado/acoes?utm_source=twitter&amp;utm_medium=falkalertas&amp;utm_campaign=fechamentodemercado</v>
      </c>
      <c r="Y835" s="77" t="s">
        <v>7053</v>
      </c>
      <c r="Z835" s="77"/>
      <c r="AA835" s="77"/>
      <c r="AB835" s="77"/>
      <c r="AC835" s="82" t="s">
        <v>8257</v>
      </c>
      <c r="AD835" s="77" t="s">
        <v>8278</v>
      </c>
      <c r="AE835" s="80" t="str">
        <f>HYPERLINK("https://twitter.com/falkalertas/status/1656441557384404997")</f>
        <v>https://twitter.com/falkalertas/status/1656441557384404997</v>
      </c>
      <c r="AF835" s="79">
        <v>45056.979363425926</v>
      </c>
      <c r="AG835" s="85">
        <v>45056</v>
      </c>
      <c r="AH835" s="82" t="s">
        <v>8995</v>
      </c>
      <c r="AI835" s="77" t="b">
        <v>0</v>
      </c>
      <c r="AJ835" s="77"/>
      <c r="AK835" s="77"/>
      <c r="AL835" s="77"/>
      <c r="AM835" s="77"/>
      <c r="AN835" s="77"/>
      <c r="AO835" s="77"/>
      <c r="AP835" s="77"/>
      <c r="AQ835" s="77"/>
      <c r="AR835" s="77"/>
      <c r="AS835" s="77"/>
      <c r="AT835" s="77"/>
      <c r="AU835" s="77"/>
      <c r="AV835" s="80" t="str">
        <f>HYPERLINK("https://pbs.twimg.com/profile_images/1619161712967434240/ISM2hv8y_normal.png")</f>
        <v>https://pbs.twimg.com/profile_images/1619161712967434240/ISM2hv8y_normal.png</v>
      </c>
      <c r="AW835" s="82" t="s">
        <v>13931</v>
      </c>
      <c r="AX835" s="82" t="s">
        <v>13931</v>
      </c>
      <c r="AY835" s="77"/>
      <c r="AZ835" s="82" t="s">
        <v>17385</v>
      </c>
      <c r="BA835" s="82" t="s">
        <v>17385</v>
      </c>
      <c r="BB835" s="82" t="s">
        <v>17385</v>
      </c>
      <c r="BC835" s="82" t="s">
        <v>13931</v>
      </c>
      <c r="BD835" s="82" t="s">
        <v>17529</v>
      </c>
      <c r="BE835" s="77"/>
      <c r="BF835" s="77"/>
      <c r="BG835" s="77"/>
      <c r="BH835" s="77"/>
      <c r="BI835" s="77"/>
    </row>
    <row r="836" spans="1:61" x14ac:dyDescent="0.25">
      <c r="A836" s="62" t="s">
        <v>395</v>
      </c>
      <c r="B836" s="62" t="s">
        <v>395</v>
      </c>
      <c r="C836" s="63"/>
      <c r="D836" s="64"/>
      <c r="E836" s="65"/>
      <c r="F836" s="66"/>
      <c r="G836" s="63"/>
      <c r="H836" s="67"/>
      <c r="I836" s="68"/>
      <c r="J836" s="68"/>
      <c r="K836" s="32"/>
      <c r="L836" s="75">
        <v>836</v>
      </c>
      <c r="M836" s="75"/>
      <c r="N836" s="70"/>
      <c r="O836" s="77" t="s">
        <v>179</v>
      </c>
      <c r="P836" s="79">
        <v>45056.979351851849</v>
      </c>
      <c r="Q836" s="77" t="s">
        <v>1628</v>
      </c>
      <c r="R836" s="77">
        <v>0</v>
      </c>
      <c r="S836" s="77">
        <v>1</v>
      </c>
      <c r="T836" s="77">
        <v>0</v>
      </c>
      <c r="U836" s="77">
        <v>0</v>
      </c>
      <c r="V836" s="77">
        <v>334</v>
      </c>
      <c r="W836" s="82" t="s">
        <v>5341</v>
      </c>
      <c r="X836" s="80" t="str">
        <f>HYPERLINK("https://www.falkcapital.com.br/mercado/acoes?utm_source=twitter&amp;utm_medium=falkalertas&amp;utm_campaign=fechamentodemercado")</f>
        <v>https://www.falkcapital.com.br/mercado/acoes?utm_source=twitter&amp;utm_medium=falkalertas&amp;utm_campaign=fechamentodemercado</v>
      </c>
      <c r="Y836" s="77" t="s">
        <v>7053</v>
      </c>
      <c r="Z836" s="77"/>
      <c r="AA836" s="77"/>
      <c r="AB836" s="77"/>
      <c r="AC836" s="82" t="s">
        <v>8257</v>
      </c>
      <c r="AD836" s="77" t="s">
        <v>8278</v>
      </c>
      <c r="AE836" s="80" t="str">
        <f>HYPERLINK("https://twitter.com/falkalertas/status/1656441556260249603")</f>
        <v>https://twitter.com/falkalertas/status/1656441556260249603</v>
      </c>
      <c r="AF836" s="79">
        <v>45056.979351851849</v>
      </c>
      <c r="AG836" s="85">
        <v>45056</v>
      </c>
      <c r="AH836" s="82" t="s">
        <v>8982</v>
      </c>
      <c r="AI836" s="77" t="b">
        <v>0</v>
      </c>
      <c r="AJ836" s="77"/>
      <c r="AK836" s="77"/>
      <c r="AL836" s="77"/>
      <c r="AM836" s="77"/>
      <c r="AN836" s="77"/>
      <c r="AO836" s="77"/>
      <c r="AP836" s="77"/>
      <c r="AQ836" s="77"/>
      <c r="AR836" s="77"/>
      <c r="AS836" s="77"/>
      <c r="AT836" s="77"/>
      <c r="AU836" s="77"/>
      <c r="AV836" s="80" t="str">
        <f>HYPERLINK("https://pbs.twimg.com/profile_images/1619161712967434240/ISM2hv8y_normal.png")</f>
        <v>https://pbs.twimg.com/profile_images/1619161712967434240/ISM2hv8y_normal.png</v>
      </c>
      <c r="AW836" s="82" t="s">
        <v>13932</v>
      </c>
      <c r="AX836" s="82" t="s">
        <v>13932</v>
      </c>
      <c r="AY836" s="77"/>
      <c r="AZ836" s="82" t="s">
        <v>17385</v>
      </c>
      <c r="BA836" s="82" t="s">
        <v>17385</v>
      </c>
      <c r="BB836" s="82" t="s">
        <v>17385</v>
      </c>
      <c r="BC836" s="82" t="s">
        <v>13932</v>
      </c>
      <c r="BD836" s="82" t="s">
        <v>17529</v>
      </c>
      <c r="BE836" s="77"/>
      <c r="BF836" s="77"/>
      <c r="BG836" s="77"/>
      <c r="BH836" s="77"/>
      <c r="BI836" s="77"/>
    </row>
    <row r="837" spans="1:61" x14ac:dyDescent="0.25">
      <c r="A837" s="62" t="s">
        <v>395</v>
      </c>
      <c r="B837" s="62" t="s">
        <v>395</v>
      </c>
      <c r="C837" s="63"/>
      <c r="D837" s="64"/>
      <c r="E837" s="65"/>
      <c r="F837" s="66"/>
      <c r="G837" s="63"/>
      <c r="H837" s="67"/>
      <c r="I837" s="68"/>
      <c r="J837" s="68"/>
      <c r="K837" s="32"/>
      <c r="L837" s="75">
        <v>837</v>
      </c>
      <c r="M837" s="75"/>
      <c r="N837" s="70"/>
      <c r="O837" s="77" t="s">
        <v>179</v>
      </c>
      <c r="P837" s="79">
        <v>45055.97929398148</v>
      </c>
      <c r="Q837" s="77" t="s">
        <v>1629</v>
      </c>
      <c r="R837" s="77">
        <v>0</v>
      </c>
      <c r="S837" s="77">
        <v>0</v>
      </c>
      <c r="T837" s="77">
        <v>0</v>
      </c>
      <c r="U837" s="77">
        <v>0</v>
      </c>
      <c r="V837" s="77">
        <v>155</v>
      </c>
      <c r="W837" s="82" t="s">
        <v>5342</v>
      </c>
      <c r="X837" s="80" t="str">
        <f>HYPERLINK("https://www.falkcapital.com.br/mercado/acoes?utm_source=twitter&amp;utm_medium=falkalertas&amp;utm_campaign=fechamentodemercado")</f>
        <v>https://www.falkcapital.com.br/mercado/acoes?utm_source=twitter&amp;utm_medium=falkalertas&amp;utm_campaign=fechamentodemercado</v>
      </c>
      <c r="Y837" s="77" t="s">
        <v>7053</v>
      </c>
      <c r="Z837" s="77"/>
      <c r="AA837" s="77"/>
      <c r="AB837" s="77"/>
      <c r="AC837" s="82" t="s">
        <v>8257</v>
      </c>
      <c r="AD837" s="77" t="s">
        <v>8278</v>
      </c>
      <c r="AE837" s="80" t="str">
        <f>HYPERLINK("https://twitter.com/falkalertas/status/1656079146391355392")</f>
        <v>https://twitter.com/falkalertas/status/1656079146391355392</v>
      </c>
      <c r="AF837" s="79">
        <v>45055.97929398148</v>
      </c>
      <c r="AG837" s="85">
        <v>45055</v>
      </c>
      <c r="AH837" s="82" t="s">
        <v>8980</v>
      </c>
      <c r="AI837" s="77" t="b">
        <v>0</v>
      </c>
      <c r="AJ837" s="77"/>
      <c r="AK837" s="77"/>
      <c r="AL837" s="77"/>
      <c r="AM837" s="77"/>
      <c r="AN837" s="77"/>
      <c r="AO837" s="77"/>
      <c r="AP837" s="77"/>
      <c r="AQ837" s="77"/>
      <c r="AR837" s="77"/>
      <c r="AS837" s="77"/>
      <c r="AT837" s="77"/>
      <c r="AU837" s="77"/>
      <c r="AV837" s="80" t="str">
        <f>HYPERLINK("https://pbs.twimg.com/profile_images/1619161712967434240/ISM2hv8y_normal.png")</f>
        <v>https://pbs.twimg.com/profile_images/1619161712967434240/ISM2hv8y_normal.png</v>
      </c>
      <c r="AW837" s="82" t="s">
        <v>13933</v>
      </c>
      <c r="AX837" s="82" t="s">
        <v>13933</v>
      </c>
      <c r="AY837" s="77"/>
      <c r="AZ837" s="82" t="s">
        <v>17385</v>
      </c>
      <c r="BA837" s="82" t="s">
        <v>17385</v>
      </c>
      <c r="BB837" s="82" t="s">
        <v>17385</v>
      </c>
      <c r="BC837" s="82" t="s">
        <v>13933</v>
      </c>
      <c r="BD837" s="82" t="s">
        <v>17529</v>
      </c>
      <c r="BE837" s="77"/>
      <c r="BF837" s="77"/>
      <c r="BG837" s="77"/>
      <c r="BH837" s="77"/>
      <c r="BI837" s="77"/>
    </row>
    <row r="838" spans="1:61" x14ac:dyDescent="0.25">
      <c r="A838" s="62" t="s">
        <v>395</v>
      </c>
      <c r="B838" s="62" t="s">
        <v>395</v>
      </c>
      <c r="C838" s="63"/>
      <c r="D838" s="64"/>
      <c r="E838" s="65"/>
      <c r="F838" s="66"/>
      <c r="G838" s="63"/>
      <c r="H838" s="67"/>
      <c r="I838" s="68"/>
      <c r="J838" s="68"/>
      <c r="K838" s="32"/>
      <c r="L838" s="75">
        <v>838</v>
      </c>
      <c r="M838" s="75"/>
      <c r="N838" s="70"/>
      <c r="O838" s="77" t="s">
        <v>179</v>
      </c>
      <c r="P838" s="79">
        <v>45055.97929398148</v>
      </c>
      <c r="Q838" s="77" t="s">
        <v>1630</v>
      </c>
      <c r="R838" s="77">
        <v>0</v>
      </c>
      <c r="S838" s="77">
        <v>0</v>
      </c>
      <c r="T838" s="77">
        <v>0</v>
      </c>
      <c r="U838" s="77">
        <v>0</v>
      </c>
      <c r="V838" s="77">
        <v>165</v>
      </c>
      <c r="W838" s="82" t="s">
        <v>5343</v>
      </c>
      <c r="X838" s="80" t="str">
        <f>HYPERLINK("https://www.falkcapital.com.br/mercado/acoes?utm_source=twitter&amp;utm_medium=falkalertas&amp;utm_campaign=fechamentodemercado")</f>
        <v>https://www.falkcapital.com.br/mercado/acoes?utm_source=twitter&amp;utm_medium=falkalertas&amp;utm_campaign=fechamentodemercado</v>
      </c>
      <c r="Y838" s="77" t="s">
        <v>7053</v>
      </c>
      <c r="Z838" s="77"/>
      <c r="AA838" s="77"/>
      <c r="AB838" s="77"/>
      <c r="AC838" s="82" t="s">
        <v>8257</v>
      </c>
      <c r="AD838" s="77" t="s">
        <v>8278</v>
      </c>
      <c r="AE838" s="80" t="str">
        <f>HYPERLINK("https://twitter.com/falkalertas/status/1656079145216929798")</f>
        <v>https://twitter.com/falkalertas/status/1656079145216929798</v>
      </c>
      <c r="AF838" s="79">
        <v>45055.97929398148</v>
      </c>
      <c r="AG838" s="85">
        <v>45055</v>
      </c>
      <c r="AH838" s="82" t="s">
        <v>8980</v>
      </c>
      <c r="AI838" s="77" t="b">
        <v>0</v>
      </c>
      <c r="AJ838" s="77"/>
      <c r="AK838" s="77"/>
      <c r="AL838" s="77"/>
      <c r="AM838" s="77"/>
      <c r="AN838" s="77"/>
      <c r="AO838" s="77"/>
      <c r="AP838" s="77"/>
      <c r="AQ838" s="77"/>
      <c r="AR838" s="77"/>
      <c r="AS838" s="77"/>
      <c r="AT838" s="77"/>
      <c r="AU838" s="77"/>
      <c r="AV838" s="80" t="str">
        <f>HYPERLINK("https://pbs.twimg.com/profile_images/1619161712967434240/ISM2hv8y_normal.png")</f>
        <v>https://pbs.twimg.com/profile_images/1619161712967434240/ISM2hv8y_normal.png</v>
      </c>
      <c r="AW838" s="82" t="s">
        <v>13934</v>
      </c>
      <c r="AX838" s="82" t="s">
        <v>13934</v>
      </c>
      <c r="AY838" s="77"/>
      <c r="AZ838" s="82" t="s">
        <v>17385</v>
      </c>
      <c r="BA838" s="82" t="s">
        <v>17385</v>
      </c>
      <c r="BB838" s="82" t="s">
        <v>17385</v>
      </c>
      <c r="BC838" s="82" t="s">
        <v>13934</v>
      </c>
      <c r="BD838" s="82" t="s">
        <v>17529</v>
      </c>
      <c r="BE838" s="77"/>
      <c r="BF838" s="77"/>
      <c r="BG838" s="77"/>
      <c r="BH838" s="77"/>
      <c r="BI838" s="77"/>
    </row>
    <row r="839" spans="1:61" x14ac:dyDescent="0.25">
      <c r="A839" s="62" t="s">
        <v>395</v>
      </c>
      <c r="B839" s="62" t="s">
        <v>580</v>
      </c>
      <c r="C839" s="63"/>
      <c r="D839" s="64"/>
      <c r="E839" s="65"/>
      <c r="F839" s="66"/>
      <c r="G839" s="63"/>
      <c r="H839" s="67"/>
      <c r="I839" s="68"/>
      <c r="J839" s="68"/>
      <c r="K839" s="32"/>
      <c r="L839" s="75">
        <v>839</v>
      </c>
      <c r="M839" s="75"/>
      <c r="N839" s="70"/>
      <c r="O839" s="77" t="s">
        <v>803</v>
      </c>
      <c r="P839" s="79">
        <v>45195.044803240744</v>
      </c>
      <c r="Q839" s="77" t="s">
        <v>1631</v>
      </c>
      <c r="R839" s="77">
        <v>1</v>
      </c>
      <c r="S839" s="77">
        <v>0</v>
      </c>
      <c r="T839" s="77">
        <v>0</v>
      </c>
      <c r="U839" s="77">
        <v>0</v>
      </c>
      <c r="V839" s="77"/>
      <c r="W839" s="82" t="s">
        <v>5344</v>
      </c>
      <c r="X839" s="77"/>
      <c r="Y839" s="77"/>
      <c r="Z839" s="77" t="s">
        <v>580</v>
      </c>
      <c r="AA839" s="77"/>
      <c r="AB839" s="77"/>
      <c r="AC839" s="82" t="s">
        <v>8232</v>
      </c>
      <c r="AD839" s="77" t="s">
        <v>8278</v>
      </c>
      <c r="AE839" s="80" t="str">
        <f>HYPERLINK("https://twitter.com/falkalertas/status/1706474798434443302")</f>
        <v>https://twitter.com/falkalertas/status/1706474798434443302</v>
      </c>
      <c r="AF839" s="79">
        <v>45195.044803240744</v>
      </c>
      <c r="AG839" s="85">
        <v>45195</v>
      </c>
      <c r="AH839" s="82" t="s">
        <v>9017</v>
      </c>
      <c r="AI839" s="77" t="b">
        <v>0</v>
      </c>
      <c r="AJ839" s="77"/>
      <c r="AK839" s="77"/>
      <c r="AL839" s="77"/>
      <c r="AM839" s="77"/>
      <c r="AN839" s="77"/>
      <c r="AO839" s="77"/>
      <c r="AP839" s="77"/>
      <c r="AQ839" s="77"/>
      <c r="AR839" s="77"/>
      <c r="AS839" s="77"/>
      <c r="AT839" s="77"/>
      <c r="AU839" s="77"/>
      <c r="AV839" s="80" t="str">
        <f>HYPERLINK("https://pbs.twimg.com/profile_images/1619161712967434240/ISM2hv8y_normal.png")</f>
        <v>https://pbs.twimg.com/profile_images/1619161712967434240/ISM2hv8y_normal.png</v>
      </c>
      <c r="AW839" s="82" t="s">
        <v>13935</v>
      </c>
      <c r="AX839" s="82" t="s">
        <v>13935</v>
      </c>
      <c r="AY839" s="77"/>
      <c r="AZ839" s="82" t="s">
        <v>17385</v>
      </c>
      <c r="BA839" s="82" t="s">
        <v>17385</v>
      </c>
      <c r="BB839" s="82" t="s">
        <v>15199</v>
      </c>
      <c r="BC839" s="82" t="s">
        <v>15199</v>
      </c>
      <c r="BD839" s="82" t="s">
        <v>17529</v>
      </c>
      <c r="BE839" s="77"/>
      <c r="BF839" s="77"/>
      <c r="BG839" s="77"/>
      <c r="BH839" s="77"/>
      <c r="BI839" s="77"/>
    </row>
    <row r="840" spans="1:61" x14ac:dyDescent="0.25">
      <c r="A840" s="62" t="s">
        <v>395</v>
      </c>
      <c r="B840" s="62" t="s">
        <v>580</v>
      </c>
      <c r="C840" s="63"/>
      <c r="D840" s="64"/>
      <c r="E840" s="65"/>
      <c r="F840" s="66"/>
      <c r="G840" s="63"/>
      <c r="H840" s="67"/>
      <c r="I840" s="68"/>
      <c r="J840" s="68"/>
      <c r="K840" s="32"/>
      <c r="L840" s="75">
        <v>840</v>
      </c>
      <c r="M840" s="75"/>
      <c r="N840" s="70"/>
      <c r="O840" s="77" t="s">
        <v>803</v>
      </c>
      <c r="P840" s="79">
        <v>45192.007002314815</v>
      </c>
      <c r="Q840" s="77" t="s">
        <v>1632</v>
      </c>
      <c r="R840" s="77">
        <v>1</v>
      </c>
      <c r="S840" s="77">
        <v>0</v>
      </c>
      <c r="T840" s="77">
        <v>0</v>
      </c>
      <c r="U840" s="77">
        <v>0</v>
      </c>
      <c r="V840" s="77"/>
      <c r="W840" s="82" t="s">
        <v>5345</v>
      </c>
      <c r="X840" s="77"/>
      <c r="Y840" s="77"/>
      <c r="Z840" s="77" t="s">
        <v>580</v>
      </c>
      <c r="AA840" s="77"/>
      <c r="AB840" s="77"/>
      <c r="AC840" s="82" t="s">
        <v>8234</v>
      </c>
      <c r="AD840" s="77" t="s">
        <v>8278</v>
      </c>
      <c r="AE840" s="80" t="str">
        <f>HYPERLINK("https://twitter.com/falkalertas/status/1705373936815661391")</f>
        <v>https://twitter.com/falkalertas/status/1705373936815661391</v>
      </c>
      <c r="AF840" s="79">
        <v>45192.007002314815</v>
      </c>
      <c r="AG840" s="85">
        <v>45192</v>
      </c>
      <c r="AH840" s="82" t="s">
        <v>9018</v>
      </c>
      <c r="AI840" s="77" t="b">
        <v>0</v>
      </c>
      <c r="AJ840" s="77"/>
      <c r="AK840" s="77"/>
      <c r="AL840" s="77"/>
      <c r="AM840" s="77"/>
      <c r="AN840" s="77"/>
      <c r="AO840" s="77"/>
      <c r="AP840" s="77"/>
      <c r="AQ840" s="77"/>
      <c r="AR840" s="77"/>
      <c r="AS840" s="77"/>
      <c r="AT840" s="77"/>
      <c r="AU840" s="77"/>
      <c r="AV840" s="80" t="str">
        <f>HYPERLINK("https://pbs.twimg.com/profile_images/1619161712967434240/ISM2hv8y_normal.png")</f>
        <v>https://pbs.twimg.com/profile_images/1619161712967434240/ISM2hv8y_normal.png</v>
      </c>
      <c r="AW840" s="82" t="s">
        <v>13936</v>
      </c>
      <c r="AX840" s="82" t="s">
        <v>13936</v>
      </c>
      <c r="AY840" s="77"/>
      <c r="AZ840" s="82" t="s">
        <v>17385</v>
      </c>
      <c r="BA840" s="82" t="s">
        <v>17385</v>
      </c>
      <c r="BB840" s="82" t="s">
        <v>15200</v>
      </c>
      <c r="BC840" s="82" t="s">
        <v>15200</v>
      </c>
      <c r="BD840" s="82" t="s">
        <v>17529</v>
      </c>
      <c r="BE840" s="77"/>
      <c r="BF840" s="77"/>
      <c r="BG840" s="77"/>
      <c r="BH840" s="77"/>
      <c r="BI840" s="77"/>
    </row>
    <row r="841" spans="1:61" x14ac:dyDescent="0.25">
      <c r="A841" s="62" t="s">
        <v>395</v>
      </c>
      <c r="B841" s="62" t="s">
        <v>580</v>
      </c>
      <c r="C841" s="63"/>
      <c r="D841" s="64"/>
      <c r="E841" s="65"/>
      <c r="F841" s="66"/>
      <c r="G841" s="63"/>
      <c r="H841" s="67"/>
      <c r="I841" s="68"/>
      <c r="J841" s="68"/>
      <c r="K841" s="32"/>
      <c r="L841" s="75">
        <v>841</v>
      </c>
      <c r="M841" s="75"/>
      <c r="N841" s="70"/>
      <c r="O841" s="77" t="s">
        <v>803</v>
      </c>
      <c r="P841" s="79">
        <v>45187.984085648146</v>
      </c>
      <c r="Q841" s="77" t="s">
        <v>1633</v>
      </c>
      <c r="R841" s="77">
        <v>1</v>
      </c>
      <c r="S841" s="77">
        <v>0</v>
      </c>
      <c r="T841" s="77">
        <v>0</v>
      </c>
      <c r="U841" s="77">
        <v>0</v>
      </c>
      <c r="V841" s="77"/>
      <c r="W841" s="82" t="s">
        <v>5346</v>
      </c>
      <c r="X841" s="77"/>
      <c r="Y841" s="77"/>
      <c r="Z841" s="77" t="s">
        <v>580</v>
      </c>
      <c r="AA841" s="77"/>
      <c r="AB841" s="77"/>
      <c r="AC841" s="82" t="s">
        <v>8234</v>
      </c>
      <c r="AD841" s="77" t="s">
        <v>8278</v>
      </c>
      <c r="AE841" s="80" t="str">
        <f>HYPERLINK("https://twitter.com/falkalertas/status/1703916080320675859")</f>
        <v>https://twitter.com/falkalertas/status/1703916080320675859</v>
      </c>
      <c r="AF841" s="79">
        <v>45187.984085648146</v>
      </c>
      <c r="AG841" s="85">
        <v>45187</v>
      </c>
      <c r="AH841" s="82" t="s">
        <v>9019</v>
      </c>
      <c r="AI841" s="77" t="b">
        <v>0</v>
      </c>
      <c r="AJ841" s="77"/>
      <c r="AK841" s="77"/>
      <c r="AL841" s="77"/>
      <c r="AM841" s="77"/>
      <c r="AN841" s="77"/>
      <c r="AO841" s="77"/>
      <c r="AP841" s="77"/>
      <c r="AQ841" s="77"/>
      <c r="AR841" s="77"/>
      <c r="AS841" s="77"/>
      <c r="AT841" s="77"/>
      <c r="AU841" s="77"/>
      <c r="AV841" s="80" t="str">
        <f>HYPERLINK("https://pbs.twimg.com/profile_images/1619161712967434240/ISM2hv8y_normal.png")</f>
        <v>https://pbs.twimg.com/profile_images/1619161712967434240/ISM2hv8y_normal.png</v>
      </c>
      <c r="AW841" s="82" t="s">
        <v>13937</v>
      </c>
      <c r="AX841" s="82" t="s">
        <v>13937</v>
      </c>
      <c r="AY841" s="77"/>
      <c r="AZ841" s="82" t="s">
        <v>17385</v>
      </c>
      <c r="BA841" s="82" t="s">
        <v>17385</v>
      </c>
      <c r="BB841" s="82" t="s">
        <v>15201</v>
      </c>
      <c r="BC841" s="82" t="s">
        <v>15201</v>
      </c>
      <c r="BD841" s="82" t="s">
        <v>17529</v>
      </c>
      <c r="BE841" s="77"/>
      <c r="BF841" s="77"/>
      <c r="BG841" s="77"/>
      <c r="BH841" s="77"/>
      <c r="BI841" s="77"/>
    </row>
    <row r="842" spans="1:61" x14ac:dyDescent="0.25">
      <c r="A842" s="62" t="s">
        <v>395</v>
      </c>
      <c r="B842" s="62" t="s">
        <v>395</v>
      </c>
      <c r="C842" s="63"/>
      <c r="D842" s="64"/>
      <c r="E842" s="65"/>
      <c r="F842" s="66"/>
      <c r="G842" s="63"/>
      <c r="H842" s="67"/>
      <c r="I842" s="68"/>
      <c r="J842" s="68"/>
      <c r="K842" s="32"/>
      <c r="L842" s="75">
        <v>842</v>
      </c>
      <c r="M842" s="75"/>
      <c r="N842" s="70"/>
      <c r="O842" s="77" t="s">
        <v>179</v>
      </c>
      <c r="P842" s="79">
        <v>45160.97991898148</v>
      </c>
      <c r="Q842" s="77" t="s">
        <v>1634</v>
      </c>
      <c r="R842" s="77">
        <v>0</v>
      </c>
      <c r="S842" s="77">
        <v>1</v>
      </c>
      <c r="T842" s="77">
        <v>0</v>
      </c>
      <c r="U842" s="77">
        <v>0</v>
      </c>
      <c r="V842" s="77">
        <v>162</v>
      </c>
      <c r="W842" s="82" t="s">
        <v>5347</v>
      </c>
      <c r="X842" s="80" t="str">
        <f>HYPERLINK("https://www.falkcapital.com.br/mercado/acoes?utm_source=twitter&amp;utm_medium=falkalertas&amp;utm_campaign=fechamentodemercado")</f>
        <v>https://www.falkcapital.com.br/mercado/acoes?utm_source=twitter&amp;utm_medium=falkalertas&amp;utm_campaign=fechamentodemercado</v>
      </c>
      <c r="Y842" s="77" t="s">
        <v>7053</v>
      </c>
      <c r="Z842" s="77"/>
      <c r="AA842" s="77"/>
      <c r="AB842" s="77"/>
      <c r="AC842" s="82" t="s">
        <v>8258</v>
      </c>
      <c r="AD842" s="77" t="s">
        <v>8278</v>
      </c>
      <c r="AE842" s="80" t="str">
        <f>HYPERLINK("https://twitter.com/falkalertas/status/1694130099086381314")</f>
        <v>https://twitter.com/falkalertas/status/1694130099086381314</v>
      </c>
      <c r="AF842" s="79">
        <v>45160.97991898148</v>
      </c>
      <c r="AG842" s="85">
        <v>45160</v>
      </c>
      <c r="AH842" s="82" t="s">
        <v>9020</v>
      </c>
      <c r="AI842" s="77" t="b">
        <v>0</v>
      </c>
      <c r="AJ842" s="77"/>
      <c r="AK842" s="77"/>
      <c r="AL842" s="77"/>
      <c r="AM842" s="77"/>
      <c r="AN842" s="77"/>
      <c r="AO842" s="77"/>
      <c r="AP842" s="77"/>
      <c r="AQ842" s="77"/>
      <c r="AR842" s="77"/>
      <c r="AS842" s="77"/>
      <c r="AT842" s="77"/>
      <c r="AU842" s="77"/>
      <c r="AV842" s="80" t="str">
        <f>HYPERLINK("https://pbs.twimg.com/profile_images/1619161712967434240/ISM2hv8y_normal.png")</f>
        <v>https://pbs.twimg.com/profile_images/1619161712967434240/ISM2hv8y_normal.png</v>
      </c>
      <c r="AW842" s="82" t="s">
        <v>13938</v>
      </c>
      <c r="AX842" s="82" t="s">
        <v>13938</v>
      </c>
      <c r="AY842" s="77"/>
      <c r="AZ842" s="82" t="s">
        <v>17385</v>
      </c>
      <c r="BA842" s="82" t="s">
        <v>17385</v>
      </c>
      <c r="BB842" s="82" t="s">
        <v>17385</v>
      </c>
      <c r="BC842" s="82" t="s">
        <v>13938</v>
      </c>
      <c r="BD842" s="82" t="s">
        <v>17529</v>
      </c>
      <c r="BE842" s="77"/>
      <c r="BF842" s="77"/>
      <c r="BG842" s="77"/>
      <c r="BH842" s="77"/>
      <c r="BI842" s="77"/>
    </row>
    <row r="843" spans="1:61" x14ac:dyDescent="0.25">
      <c r="A843" s="62" t="s">
        <v>395</v>
      </c>
      <c r="B843" s="62" t="s">
        <v>395</v>
      </c>
      <c r="C843" s="63"/>
      <c r="D843" s="64"/>
      <c r="E843" s="65"/>
      <c r="F843" s="66"/>
      <c r="G843" s="63"/>
      <c r="H843" s="67"/>
      <c r="I843" s="68"/>
      <c r="J843" s="68"/>
      <c r="K843" s="32"/>
      <c r="L843" s="75">
        <v>843</v>
      </c>
      <c r="M843" s="75"/>
      <c r="N843" s="70"/>
      <c r="O843" s="77" t="s">
        <v>179</v>
      </c>
      <c r="P843" s="79">
        <v>45160.97991898148</v>
      </c>
      <c r="Q843" s="77" t="s">
        <v>1635</v>
      </c>
      <c r="R843" s="77">
        <v>0</v>
      </c>
      <c r="S843" s="77">
        <v>1</v>
      </c>
      <c r="T843" s="77">
        <v>0</v>
      </c>
      <c r="U843" s="77">
        <v>0</v>
      </c>
      <c r="V843" s="77">
        <v>111</v>
      </c>
      <c r="W843" s="82" t="s">
        <v>5348</v>
      </c>
      <c r="X843" s="80" t="str">
        <f>HYPERLINK("https://www.falkcapital.com.br/mercado/acoes?utm_source=twitter&amp;utm_medium=falkalertas&amp;utm_campaign=fechamentodemercado")</f>
        <v>https://www.falkcapital.com.br/mercado/acoes?utm_source=twitter&amp;utm_medium=falkalertas&amp;utm_campaign=fechamentodemercado</v>
      </c>
      <c r="Y843" s="77" t="s">
        <v>7053</v>
      </c>
      <c r="Z843" s="77"/>
      <c r="AA843" s="77"/>
      <c r="AB843" s="77"/>
      <c r="AC843" s="82" t="s">
        <v>8258</v>
      </c>
      <c r="AD843" s="77" t="s">
        <v>8278</v>
      </c>
      <c r="AE843" s="80" t="str">
        <f>HYPERLINK("https://twitter.com/falkalertas/status/1694130097245106480")</f>
        <v>https://twitter.com/falkalertas/status/1694130097245106480</v>
      </c>
      <c r="AF843" s="79">
        <v>45160.97991898148</v>
      </c>
      <c r="AG843" s="85">
        <v>45160</v>
      </c>
      <c r="AH843" s="82" t="s">
        <v>9020</v>
      </c>
      <c r="AI843" s="77" t="b">
        <v>0</v>
      </c>
      <c r="AJ843" s="77"/>
      <c r="AK843" s="77"/>
      <c r="AL843" s="77"/>
      <c r="AM843" s="77"/>
      <c r="AN843" s="77"/>
      <c r="AO843" s="77"/>
      <c r="AP843" s="77"/>
      <c r="AQ843" s="77"/>
      <c r="AR843" s="77"/>
      <c r="AS843" s="77"/>
      <c r="AT843" s="77"/>
      <c r="AU843" s="77"/>
      <c r="AV843" s="80" t="str">
        <f>HYPERLINK("https://pbs.twimg.com/profile_images/1619161712967434240/ISM2hv8y_normal.png")</f>
        <v>https://pbs.twimg.com/profile_images/1619161712967434240/ISM2hv8y_normal.png</v>
      </c>
      <c r="AW843" s="82" t="s">
        <v>13939</v>
      </c>
      <c r="AX843" s="82" t="s">
        <v>13939</v>
      </c>
      <c r="AY843" s="77"/>
      <c r="AZ843" s="82" t="s">
        <v>17385</v>
      </c>
      <c r="BA843" s="82" t="s">
        <v>17385</v>
      </c>
      <c r="BB843" s="82" t="s">
        <v>17385</v>
      </c>
      <c r="BC843" s="82" t="s">
        <v>13939</v>
      </c>
      <c r="BD843" s="82" t="s">
        <v>17529</v>
      </c>
      <c r="BE843" s="77"/>
      <c r="BF843" s="77"/>
      <c r="BG843" s="77"/>
      <c r="BH843" s="77"/>
      <c r="BI843" s="77"/>
    </row>
    <row r="844" spans="1:61" x14ac:dyDescent="0.25">
      <c r="A844" s="62" t="s">
        <v>395</v>
      </c>
      <c r="B844" s="62" t="s">
        <v>395</v>
      </c>
      <c r="C844" s="63"/>
      <c r="D844" s="64"/>
      <c r="E844" s="65"/>
      <c r="F844" s="66"/>
      <c r="G844" s="63"/>
      <c r="H844" s="67"/>
      <c r="I844" s="68"/>
      <c r="J844" s="68"/>
      <c r="K844" s="32"/>
      <c r="L844" s="75">
        <v>844</v>
      </c>
      <c r="M844" s="75"/>
      <c r="N844" s="70"/>
      <c r="O844" s="77" t="s">
        <v>179</v>
      </c>
      <c r="P844" s="79">
        <v>45153.984803240739</v>
      </c>
      <c r="Q844" s="77" t="s">
        <v>1636</v>
      </c>
      <c r="R844" s="77">
        <v>0</v>
      </c>
      <c r="S844" s="77">
        <v>1</v>
      </c>
      <c r="T844" s="77">
        <v>0</v>
      </c>
      <c r="U844" s="77">
        <v>0</v>
      </c>
      <c r="V844" s="77">
        <v>159</v>
      </c>
      <c r="W844" s="82" t="s">
        <v>5349</v>
      </c>
      <c r="X844" s="80" t="str">
        <f>HYPERLINK("https://www.falkcapital.com.br/mercado/acoes?utm_source=twitter&amp;utm_medium=falkalertas&amp;utm_campaign=fechamentodemercado")</f>
        <v>https://www.falkcapital.com.br/mercado/acoes?utm_source=twitter&amp;utm_medium=falkalertas&amp;utm_campaign=fechamentodemercado</v>
      </c>
      <c r="Y844" s="77" t="s">
        <v>7053</v>
      </c>
      <c r="Z844" s="77"/>
      <c r="AA844" s="77"/>
      <c r="AB844" s="77"/>
      <c r="AC844" s="82" t="s">
        <v>8258</v>
      </c>
      <c r="AD844" s="77" t="s">
        <v>8278</v>
      </c>
      <c r="AE844" s="80" t="str">
        <f>HYPERLINK("https://twitter.com/falkalertas/status/1691595153792725007")</f>
        <v>https://twitter.com/falkalertas/status/1691595153792725007</v>
      </c>
      <c r="AF844" s="79">
        <v>45153.984803240739</v>
      </c>
      <c r="AG844" s="85">
        <v>45153</v>
      </c>
      <c r="AH844" s="82" t="s">
        <v>9021</v>
      </c>
      <c r="AI844" s="77" t="b">
        <v>0</v>
      </c>
      <c r="AJ844" s="77"/>
      <c r="AK844" s="77"/>
      <c r="AL844" s="77"/>
      <c r="AM844" s="77"/>
      <c r="AN844" s="77"/>
      <c r="AO844" s="77"/>
      <c r="AP844" s="77"/>
      <c r="AQ844" s="77"/>
      <c r="AR844" s="77"/>
      <c r="AS844" s="77"/>
      <c r="AT844" s="77"/>
      <c r="AU844" s="77"/>
      <c r="AV844" s="80" t="str">
        <f>HYPERLINK("https://pbs.twimg.com/profile_images/1619161712967434240/ISM2hv8y_normal.png")</f>
        <v>https://pbs.twimg.com/profile_images/1619161712967434240/ISM2hv8y_normal.png</v>
      </c>
      <c r="AW844" s="82" t="s">
        <v>13940</v>
      </c>
      <c r="AX844" s="82" t="s">
        <v>13940</v>
      </c>
      <c r="AY844" s="77"/>
      <c r="AZ844" s="82" t="s">
        <v>17385</v>
      </c>
      <c r="BA844" s="82" t="s">
        <v>17385</v>
      </c>
      <c r="BB844" s="82" t="s">
        <v>17385</v>
      </c>
      <c r="BC844" s="82" t="s">
        <v>13940</v>
      </c>
      <c r="BD844" s="82" t="s">
        <v>17529</v>
      </c>
      <c r="BE844" s="77"/>
      <c r="BF844" s="77"/>
      <c r="BG844" s="77"/>
      <c r="BH844" s="77"/>
      <c r="BI844" s="77"/>
    </row>
    <row r="845" spans="1:61" x14ac:dyDescent="0.25">
      <c r="A845" s="62" t="s">
        <v>395</v>
      </c>
      <c r="B845" s="62" t="s">
        <v>395</v>
      </c>
      <c r="C845" s="63"/>
      <c r="D845" s="64"/>
      <c r="E845" s="65"/>
      <c r="F845" s="66"/>
      <c r="G845" s="63"/>
      <c r="H845" s="67"/>
      <c r="I845" s="68"/>
      <c r="J845" s="68"/>
      <c r="K845" s="32"/>
      <c r="L845" s="75">
        <v>845</v>
      </c>
      <c r="M845" s="75"/>
      <c r="N845" s="70"/>
      <c r="O845" s="77" t="s">
        <v>179</v>
      </c>
      <c r="P845" s="79">
        <v>45153.984803240739</v>
      </c>
      <c r="Q845" s="77" t="s">
        <v>1637</v>
      </c>
      <c r="R845" s="77">
        <v>0</v>
      </c>
      <c r="S845" s="77">
        <v>0</v>
      </c>
      <c r="T845" s="77">
        <v>0</v>
      </c>
      <c r="U845" s="77">
        <v>0</v>
      </c>
      <c r="V845" s="77">
        <v>94</v>
      </c>
      <c r="W845" s="82" t="s">
        <v>5350</v>
      </c>
      <c r="X845" s="80" t="str">
        <f>HYPERLINK("https://www.falkcapital.com.br/mercado/acoes?utm_source=twitter&amp;utm_medium=falkalertas&amp;utm_campaign=fechamentodemercado")</f>
        <v>https://www.falkcapital.com.br/mercado/acoes?utm_source=twitter&amp;utm_medium=falkalertas&amp;utm_campaign=fechamentodemercado</v>
      </c>
      <c r="Y845" s="77" t="s">
        <v>7053</v>
      </c>
      <c r="Z845" s="77"/>
      <c r="AA845" s="77"/>
      <c r="AB845" s="77"/>
      <c r="AC845" s="82" t="s">
        <v>8258</v>
      </c>
      <c r="AD845" s="77" t="s">
        <v>8278</v>
      </c>
      <c r="AE845" s="80" t="str">
        <f>HYPERLINK("https://twitter.com/falkalertas/status/1691595152119234987")</f>
        <v>https://twitter.com/falkalertas/status/1691595152119234987</v>
      </c>
      <c r="AF845" s="79">
        <v>45153.984803240739</v>
      </c>
      <c r="AG845" s="85">
        <v>45153</v>
      </c>
      <c r="AH845" s="82" t="s">
        <v>9021</v>
      </c>
      <c r="AI845" s="77" t="b">
        <v>0</v>
      </c>
      <c r="AJ845" s="77"/>
      <c r="AK845" s="77"/>
      <c r="AL845" s="77"/>
      <c r="AM845" s="77"/>
      <c r="AN845" s="77"/>
      <c r="AO845" s="77"/>
      <c r="AP845" s="77"/>
      <c r="AQ845" s="77"/>
      <c r="AR845" s="77"/>
      <c r="AS845" s="77"/>
      <c r="AT845" s="77"/>
      <c r="AU845" s="77"/>
      <c r="AV845" s="80" t="str">
        <f>HYPERLINK("https://pbs.twimg.com/profile_images/1619161712967434240/ISM2hv8y_normal.png")</f>
        <v>https://pbs.twimg.com/profile_images/1619161712967434240/ISM2hv8y_normal.png</v>
      </c>
      <c r="AW845" s="82" t="s">
        <v>13941</v>
      </c>
      <c r="AX845" s="82" t="s">
        <v>13941</v>
      </c>
      <c r="AY845" s="77"/>
      <c r="AZ845" s="82" t="s">
        <v>17385</v>
      </c>
      <c r="BA845" s="82" t="s">
        <v>17385</v>
      </c>
      <c r="BB845" s="82" t="s">
        <v>17385</v>
      </c>
      <c r="BC845" s="82" t="s">
        <v>13941</v>
      </c>
      <c r="BD845" s="82" t="s">
        <v>17529</v>
      </c>
      <c r="BE845" s="77"/>
      <c r="BF845" s="77"/>
      <c r="BG845" s="77"/>
      <c r="BH845" s="77"/>
      <c r="BI845" s="77"/>
    </row>
    <row r="846" spans="1:61" x14ac:dyDescent="0.25">
      <c r="A846" s="62" t="s">
        <v>395</v>
      </c>
      <c r="B846" s="62" t="s">
        <v>395</v>
      </c>
      <c r="C846" s="63"/>
      <c r="D846" s="64"/>
      <c r="E846" s="65"/>
      <c r="F846" s="66"/>
      <c r="G846" s="63"/>
      <c r="H846" s="67"/>
      <c r="I846" s="68"/>
      <c r="J846" s="68"/>
      <c r="K846" s="32"/>
      <c r="L846" s="75">
        <v>846</v>
      </c>
      <c r="M846" s="75"/>
      <c r="N846" s="70"/>
      <c r="O846" s="77" t="s">
        <v>179</v>
      </c>
      <c r="P846" s="79">
        <v>45079.979363425926</v>
      </c>
      <c r="Q846" s="77" t="s">
        <v>1638</v>
      </c>
      <c r="R846" s="77">
        <v>0</v>
      </c>
      <c r="S846" s="77">
        <v>0</v>
      </c>
      <c r="T846" s="77">
        <v>0</v>
      </c>
      <c r="U846" s="77">
        <v>0</v>
      </c>
      <c r="V846" s="77">
        <v>115</v>
      </c>
      <c r="W846" s="82" t="s">
        <v>5351</v>
      </c>
      <c r="X846" s="80" t="str">
        <f>HYPERLINK("https://www.falkcapital.com.br/mercado/acoes?utm_source=twitter&amp;utm_medium=falkalertas&amp;utm_campaign=fechamentodemercado")</f>
        <v>https://www.falkcapital.com.br/mercado/acoes?utm_source=twitter&amp;utm_medium=falkalertas&amp;utm_campaign=fechamentodemercado</v>
      </c>
      <c r="Y846" s="77" t="s">
        <v>7053</v>
      </c>
      <c r="Z846" s="77"/>
      <c r="AA846" s="77"/>
      <c r="AB846" s="77"/>
      <c r="AC846" s="82" t="s">
        <v>8257</v>
      </c>
      <c r="AD846" s="77" t="s">
        <v>8278</v>
      </c>
      <c r="AE846" s="80" t="str">
        <f>HYPERLINK("https://twitter.com/falkalertas/status/1664776480637833223")</f>
        <v>https://twitter.com/falkalertas/status/1664776480637833223</v>
      </c>
      <c r="AF846" s="79">
        <v>45079.979363425926</v>
      </c>
      <c r="AG846" s="85">
        <v>45079</v>
      </c>
      <c r="AH846" s="82" t="s">
        <v>8995</v>
      </c>
      <c r="AI846" s="77" t="b">
        <v>0</v>
      </c>
      <c r="AJ846" s="77"/>
      <c r="AK846" s="77"/>
      <c r="AL846" s="77"/>
      <c r="AM846" s="77"/>
      <c r="AN846" s="77"/>
      <c r="AO846" s="77"/>
      <c r="AP846" s="77"/>
      <c r="AQ846" s="77"/>
      <c r="AR846" s="77"/>
      <c r="AS846" s="77"/>
      <c r="AT846" s="77"/>
      <c r="AU846" s="77"/>
      <c r="AV846" s="80" t="str">
        <f>HYPERLINK("https://pbs.twimg.com/profile_images/1619161712967434240/ISM2hv8y_normal.png")</f>
        <v>https://pbs.twimg.com/profile_images/1619161712967434240/ISM2hv8y_normal.png</v>
      </c>
      <c r="AW846" s="82" t="s">
        <v>13942</v>
      </c>
      <c r="AX846" s="82" t="s">
        <v>13942</v>
      </c>
      <c r="AY846" s="77"/>
      <c r="AZ846" s="82" t="s">
        <v>17385</v>
      </c>
      <c r="BA846" s="82" t="s">
        <v>17385</v>
      </c>
      <c r="BB846" s="82" t="s">
        <v>17385</v>
      </c>
      <c r="BC846" s="82" t="s">
        <v>13942</v>
      </c>
      <c r="BD846" s="82" t="s">
        <v>17529</v>
      </c>
      <c r="BE846" s="77"/>
      <c r="BF846" s="77"/>
      <c r="BG846" s="77"/>
      <c r="BH846" s="77"/>
      <c r="BI846" s="77"/>
    </row>
    <row r="847" spans="1:61" x14ac:dyDescent="0.25">
      <c r="A847" s="62" t="s">
        <v>395</v>
      </c>
      <c r="B847" s="62" t="s">
        <v>395</v>
      </c>
      <c r="C847" s="63"/>
      <c r="D847" s="64"/>
      <c r="E847" s="65"/>
      <c r="F847" s="66"/>
      <c r="G847" s="63"/>
      <c r="H847" s="67"/>
      <c r="I847" s="68"/>
      <c r="J847" s="68"/>
      <c r="K847" s="32"/>
      <c r="L847" s="75">
        <v>847</v>
      </c>
      <c r="M847" s="75"/>
      <c r="N847" s="70"/>
      <c r="O847" s="77" t="s">
        <v>179</v>
      </c>
      <c r="P847" s="79">
        <v>45079.979363425926</v>
      </c>
      <c r="Q847" s="77" t="s">
        <v>1639</v>
      </c>
      <c r="R847" s="77">
        <v>0</v>
      </c>
      <c r="S847" s="77">
        <v>0</v>
      </c>
      <c r="T847" s="77">
        <v>0</v>
      </c>
      <c r="U847" s="77">
        <v>0</v>
      </c>
      <c r="V847" s="77">
        <v>143</v>
      </c>
      <c r="W847" s="82" t="s">
        <v>5352</v>
      </c>
      <c r="X847" s="80" t="str">
        <f>HYPERLINK("https://www.falkcapital.com.br/mercado/acoes?utm_source=twitter&amp;utm_medium=falkalertas&amp;utm_campaign=fechamentodemercado")</f>
        <v>https://www.falkcapital.com.br/mercado/acoes?utm_source=twitter&amp;utm_medium=falkalertas&amp;utm_campaign=fechamentodemercado</v>
      </c>
      <c r="Y847" s="77" t="s">
        <v>7053</v>
      </c>
      <c r="Z847" s="77"/>
      <c r="AA847" s="77"/>
      <c r="AB847" s="77"/>
      <c r="AC847" s="82" t="s">
        <v>8257</v>
      </c>
      <c r="AD847" s="77" t="s">
        <v>8278</v>
      </c>
      <c r="AE847" s="80" t="str">
        <f>HYPERLINK("https://twitter.com/falkalertas/status/1664776479505358848")</f>
        <v>https://twitter.com/falkalertas/status/1664776479505358848</v>
      </c>
      <c r="AF847" s="79">
        <v>45079.979363425926</v>
      </c>
      <c r="AG847" s="85">
        <v>45079</v>
      </c>
      <c r="AH847" s="82" t="s">
        <v>8995</v>
      </c>
      <c r="AI847" s="77" t="b">
        <v>0</v>
      </c>
      <c r="AJ847" s="77"/>
      <c r="AK847" s="77"/>
      <c r="AL847" s="77"/>
      <c r="AM847" s="77"/>
      <c r="AN847" s="77"/>
      <c r="AO847" s="77"/>
      <c r="AP847" s="77"/>
      <c r="AQ847" s="77"/>
      <c r="AR847" s="77"/>
      <c r="AS847" s="77"/>
      <c r="AT847" s="77"/>
      <c r="AU847" s="77"/>
      <c r="AV847" s="80" t="str">
        <f>HYPERLINK("https://pbs.twimg.com/profile_images/1619161712967434240/ISM2hv8y_normal.png")</f>
        <v>https://pbs.twimg.com/profile_images/1619161712967434240/ISM2hv8y_normal.png</v>
      </c>
      <c r="AW847" s="82" t="s">
        <v>13943</v>
      </c>
      <c r="AX847" s="82" t="s">
        <v>13943</v>
      </c>
      <c r="AY847" s="77"/>
      <c r="AZ847" s="82" t="s">
        <v>17385</v>
      </c>
      <c r="BA847" s="82" t="s">
        <v>17385</v>
      </c>
      <c r="BB847" s="82" t="s">
        <v>17385</v>
      </c>
      <c r="BC847" s="82" t="s">
        <v>13943</v>
      </c>
      <c r="BD847" s="82" t="s">
        <v>17529</v>
      </c>
      <c r="BE847" s="77"/>
      <c r="BF847" s="77"/>
      <c r="BG847" s="77"/>
      <c r="BH847" s="77"/>
      <c r="BI847" s="77"/>
    </row>
    <row r="848" spans="1:61" x14ac:dyDescent="0.25">
      <c r="A848" s="62" t="s">
        <v>395</v>
      </c>
      <c r="B848" s="62" t="s">
        <v>395</v>
      </c>
      <c r="C848" s="63"/>
      <c r="D848" s="64"/>
      <c r="E848" s="65"/>
      <c r="F848" s="66"/>
      <c r="G848" s="63"/>
      <c r="H848" s="67"/>
      <c r="I848" s="68"/>
      <c r="J848" s="68"/>
      <c r="K848" s="32"/>
      <c r="L848" s="75">
        <v>848</v>
      </c>
      <c r="M848" s="75"/>
      <c r="N848" s="70"/>
      <c r="O848" s="77" t="s">
        <v>179</v>
      </c>
      <c r="P848" s="79">
        <v>45063.979317129626</v>
      </c>
      <c r="Q848" s="77" t="s">
        <v>1640</v>
      </c>
      <c r="R848" s="77">
        <v>0</v>
      </c>
      <c r="S848" s="77">
        <v>0</v>
      </c>
      <c r="T848" s="77">
        <v>0</v>
      </c>
      <c r="U848" s="77">
        <v>0</v>
      </c>
      <c r="V848" s="77">
        <v>112</v>
      </c>
      <c r="W848" s="82" t="s">
        <v>5353</v>
      </c>
      <c r="X848" s="80" t="str">
        <f>HYPERLINK("https://www.falkcapital.com.br/mercado/acoes?utm_source=twitter&amp;utm_medium=falkalertas&amp;utm_campaign=fechamentodemercado")</f>
        <v>https://www.falkcapital.com.br/mercado/acoes?utm_source=twitter&amp;utm_medium=falkalertas&amp;utm_campaign=fechamentodemercado</v>
      </c>
      <c r="Y848" s="77" t="s">
        <v>7053</v>
      </c>
      <c r="Z848" s="77"/>
      <c r="AA848" s="77"/>
      <c r="AB848" s="77"/>
      <c r="AC848" s="82" t="s">
        <v>8257</v>
      </c>
      <c r="AD848" s="77" t="s">
        <v>8278</v>
      </c>
      <c r="AE848" s="80" t="str">
        <f>HYPERLINK("https://twitter.com/falkalertas/status/1658978258732347393")</f>
        <v>https://twitter.com/falkalertas/status/1658978258732347393</v>
      </c>
      <c r="AF848" s="79">
        <v>45063.979317129626</v>
      </c>
      <c r="AG848" s="85">
        <v>45063</v>
      </c>
      <c r="AH848" s="82" t="s">
        <v>8987</v>
      </c>
      <c r="AI848" s="77" t="b">
        <v>0</v>
      </c>
      <c r="AJ848" s="77"/>
      <c r="AK848" s="77"/>
      <c r="AL848" s="77"/>
      <c r="AM848" s="77"/>
      <c r="AN848" s="77"/>
      <c r="AO848" s="77"/>
      <c r="AP848" s="77"/>
      <c r="AQ848" s="77"/>
      <c r="AR848" s="77"/>
      <c r="AS848" s="77"/>
      <c r="AT848" s="77"/>
      <c r="AU848" s="77"/>
      <c r="AV848" s="80" t="str">
        <f>HYPERLINK("https://pbs.twimg.com/profile_images/1619161712967434240/ISM2hv8y_normal.png")</f>
        <v>https://pbs.twimg.com/profile_images/1619161712967434240/ISM2hv8y_normal.png</v>
      </c>
      <c r="AW848" s="82" t="s">
        <v>13944</v>
      </c>
      <c r="AX848" s="82" t="s">
        <v>13944</v>
      </c>
      <c r="AY848" s="77"/>
      <c r="AZ848" s="82" t="s">
        <v>17385</v>
      </c>
      <c r="BA848" s="82" t="s">
        <v>17385</v>
      </c>
      <c r="BB848" s="82" t="s">
        <v>17385</v>
      </c>
      <c r="BC848" s="82" t="s">
        <v>13944</v>
      </c>
      <c r="BD848" s="82" t="s">
        <v>17529</v>
      </c>
      <c r="BE848" s="77"/>
      <c r="BF848" s="77"/>
      <c r="BG848" s="77"/>
      <c r="BH848" s="77"/>
      <c r="BI848" s="77"/>
    </row>
    <row r="849" spans="1:61" x14ac:dyDescent="0.25">
      <c r="A849" s="62" t="s">
        <v>395</v>
      </c>
      <c r="B849" s="62" t="s">
        <v>395</v>
      </c>
      <c r="C849" s="63"/>
      <c r="D849" s="64"/>
      <c r="E849" s="65"/>
      <c r="F849" s="66"/>
      <c r="G849" s="63"/>
      <c r="H849" s="67"/>
      <c r="I849" s="68"/>
      <c r="J849" s="68"/>
      <c r="K849" s="32"/>
      <c r="L849" s="75">
        <v>849</v>
      </c>
      <c r="M849" s="75"/>
      <c r="N849" s="70"/>
      <c r="O849" s="77" t="s">
        <v>179</v>
      </c>
      <c r="P849" s="79">
        <v>45063.979317129626</v>
      </c>
      <c r="Q849" s="77" t="s">
        <v>1641</v>
      </c>
      <c r="R849" s="77">
        <v>0</v>
      </c>
      <c r="S849" s="77">
        <v>0</v>
      </c>
      <c r="T849" s="77">
        <v>0</v>
      </c>
      <c r="U849" s="77">
        <v>0</v>
      </c>
      <c r="V849" s="77">
        <v>73</v>
      </c>
      <c r="W849" s="82" t="s">
        <v>5354</v>
      </c>
      <c r="X849" s="80" t="str">
        <f>HYPERLINK("https://www.falkcapital.com.br/mercado/acoes?utm_source=twitter&amp;utm_medium=falkalertas&amp;utm_campaign=fechamentodemercado")</f>
        <v>https://www.falkcapital.com.br/mercado/acoes?utm_source=twitter&amp;utm_medium=falkalertas&amp;utm_campaign=fechamentodemercado</v>
      </c>
      <c r="Y849" s="77" t="s">
        <v>7053</v>
      </c>
      <c r="Z849" s="77"/>
      <c r="AA849" s="77"/>
      <c r="AB849" s="77"/>
      <c r="AC849" s="82" t="s">
        <v>8257</v>
      </c>
      <c r="AD849" s="77" t="s">
        <v>8278</v>
      </c>
      <c r="AE849" s="80" t="str">
        <f>HYPERLINK("https://twitter.com/falkalertas/status/1658978257625030657")</f>
        <v>https://twitter.com/falkalertas/status/1658978257625030657</v>
      </c>
      <c r="AF849" s="79">
        <v>45063.979317129626</v>
      </c>
      <c r="AG849" s="85">
        <v>45063</v>
      </c>
      <c r="AH849" s="82" t="s">
        <v>8987</v>
      </c>
      <c r="AI849" s="77" t="b">
        <v>0</v>
      </c>
      <c r="AJ849" s="77"/>
      <c r="AK849" s="77"/>
      <c r="AL849" s="77"/>
      <c r="AM849" s="77"/>
      <c r="AN849" s="77"/>
      <c r="AO849" s="77"/>
      <c r="AP849" s="77"/>
      <c r="AQ849" s="77"/>
      <c r="AR849" s="77"/>
      <c r="AS849" s="77"/>
      <c r="AT849" s="77"/>
      <c r="AU849" s="77"/>
      <c r="AV849" s="80" t="str">
        <f>HYPERLINK("https://pbs.twimg.com/profile_images/1619161712967434240/ISM2hv8y_normal.png")</f>
        <v>https://pbs.twimg.com/profile_images/1619161712967434240/ISM2hv8y_normal.png</v>
      </c>
      <c r="AW849" s="82" t="s">
        <v>13945</v>
      </c>
      <c r="AX849" s="82" t="s">
        <v>13945</v>
      </c>
      <c r="AY849" s="77"/>
      <c r="AZ849" s="82" t="s">
        <v>17385</v>
      </c>
      <c r="BA849" s="82" t="s">
        <v>17385</v>
      </c>
      <c r="BB849" s="82" t="s">
        <v>17385</v>
      </c>
      <c r="BC849" s="82" t="s">
        <v>13945</v>
      </c>
      <c r="BD849" s="82" t="s">
        <v>17529</v>
      </c>
      <c r="BE849" s="77"/>
      <c r="BF849" s="77"/>
      <c r="BG849" s="77"/>
      <c r="BH849" s="77"/>
      <c r="BI849" s="77"/>
    </row>
    <row r="850" spans="1:61" x14ac:dyDescent="0.25">
      <c r="A850" s="62" t="s">
        <v>395</v>
      </c>
      <c r="B850" s="62" t="s">
        <v>395</v>
      </c>
      <c r="C850" s="63"/>
      <c r="D850" s="64"/>
      <c r="E850" s="65"/>
      <c r="F850" s="66"/>
      <c r="G850" s="63"/>
      <c r="H850" s="67"/>
      <c r="I850" s="68"/>
      <c r="J850" s="68"/>
      <c r="K850" s="32"/>
      <c r="L850" s="75">
        <v>850</v>
      </c>
      <c r="M850" s="75"/>
      <c r="N850" s="70"/>
      <c r="O850" s="77" t="s">
        <v>179</v>
      </c>
      <c r="P850" s="79">
        <v>45062.979398148149</v>
      </c>
      <c r="Q850" s="77" t="s">
        <v>1642</v>
      </c>
      <c r="R850" s="77">
        <v>0</v>
      </c>
      <c r="S850" s="77">
        <v>0</v>
      </c>
      <c r="T850" s="77">
        <v>0</v>
      </c>
      <c r="U850" s="77">
        <v>0</v>
      </c>
      <c r="V850" s="77">
        <v>360</v>
      </c>
      <c r="W850" s="82" t="s">
        <v>5355</v>
      </c>
      <c r="X850" s="80" t="str">
        <f>HYPERLINK("https://www.falkcapital.com.br/mercado/acoes?utm_source=twitter&amp;utm_medium=falkalertas&amp;utm_campaign=fechamentodemercado")</f>
        <v>https://www.falkcapital.com.br/mercado/acoes?utm_source=twitter&amp;utm_medium=falkalertas&amp;utm_campaign=fechamentodemercado</v>
      </c>
      <c r="Y850" s="77" t="s">
        <v>7053</v>
      </c>
      <c r="Z850" s="77"/>
      <c r="AA850" s="77"/>
      <c r="AB850" s="77"/>
      <c r="AC850" s="82" t="s">
        <v>8257</v>
      </c>
      <c r="AD850" s="77" t="s">
        <v>8278</v>
      </c>
      <c r="AE850" s="80" t="str">
        <f>HYPERLINK("https://twitter.com/falkalertas/status/1658615897286746114")</f>
        <v>https://twitter.com/falkalertas/status/1658615897286746114</v>
      </c>
      <c r="AF850" s="79">
        <v>45062.979398148149</v>
      </c>
      <c r="AG850" s="85">
        <v>45062</v>
      </c>
      <c r="AH850" s="82" t="s">
        <v>9022</v>
      </c>
      <c r="AI850" s="77" t="b">
        <v>0</v>
      </c>
      <c r="AJ850" s="77"/>
      <c r="AK850" s="77"/>
      <c r="AL850" s="77"/>
      <c r="AM850" s="77"/>
      <c r="AN850" s="77"/>
      <c r="AO850" s="77"/>
      <c r="AP850" s="77"/>
      <c r="AQ850" s="77"/>
      <c r="AR850" s="77"/>
      <c r="AS850" s="77"/>
      <c r="AT850" s="77"/>
      <c r="AU850" s="77"/>
      <c r="AV850" s="80" t="str">
        <f>HYPERLINK("https://pbs.twimg.com/profile_images/1619161712967434240/ISM2hv8y_normal.png")</f>
        <v>https://pbs.twimg.com/profile_images/1619161712967434240/ISM2hv8y_normal.png</v>
      </c>
      <c r="AW850" s="82" t="s">
        <v>13946</v>
      </c>
      <c r="AX850" s="82" t="s">
        <v>13946</v>
      </c>
      <c r="AY850" s="77"/>
      <c r="AZ850" s="82" t="s">
        <v>17385</v>
      </c>
      <c r="BA850" s="82" t="s">
        <v>17385</v>
      </c>
      <c r="BB850" s="82" t="s">
        <v>17385</v>
      </c>
      <c r="BC850" s="82" t="s">
        <v>13946</v>
      </c>
      <c r="BD850" s="82" t="s">
        <v>17529</v>
      </c>
      <c r="BE850" s="77"/>
      <c r="BF850" s="77"/>
      <c r="BG850" s="77"/>
      <c r="BH850" s="77"/>
      <c r="BI850" s="77"/>
    </row>
    <row r="851" spans="1:61" x14ac:dyDescent="0.25">
      <c r="A851" s="62" t="s">
        <v>395</v>
      </c>
      <c r="B851" s="62" t="s">
        <v>395</v>
      </c>
      <c r="C851" s="63"/>
      <c r="D851" s="64"/>
      <c r="E851" s="65"/>
      <c r="F851" s="66"/>
      <c r="G851" s="63"/>
      <c r="H851" s="67"/>
      <c r="I851" s="68"/>
      <c r="J851" s="68"/>
      <c r="K851" s="32"/>
      <c r="L851" s="75">
        <v>851</v>
      </c>
      <c r="M851" s="75"/>
      <c r="N851" s="70"/>
      <c r="O851" s="77" t="s">
        <v>179</v>
      </c>
      <c r="P851" s="79">
        <v>45062.979386574072</v>
      </c>
      <c r="Q851" s="77" t="s">
        <v>1643</v>
      </c>
      <c r="R851" s="77">
        <v>0</v>
      </c>
      <c r="S851" s="77">
        <v>0</v>
      </c>
      <c r="T851" s="77">
        <v>0</v>
      </c>
      <c r="U851" s="77">
        <v>0</v>
      </c>
      <c r="V851" s="77">
        <v>95</v>
      </c>
      <c r="W851" s="82" t="s">
        <v>5356</v>
      </c>
      <c r="X851" s="80" t="str">
        <f>HYPERLINK("https://www.falkcapital.com.br/mercado/acoes?utm_source=twitter&amp;utm_medium=falkalertas&amp;utm_campaign=fechamentodemercado")</f>
        <v>https://www.falkcapital.com.br/mercado/acoes?utm_source=twitter&amp;utm_medium=falkalertas&amp;utm_campaign=fechamentodemercado</v>
      </c>
      <c r="Y851" s="77" t="s">
        <v>7053</v>
      </c>
      <c r="Z851" s="77"/>
      <c r="AA851" s="77"/>
      <c r="AB851" s="77"/>
      <c r="AC851" s="82" t="s">
        <v>8257</v>
      </c>
      <c r="AD851" s="77" t="s">
        <v>8278</v>
      </c>
      <c r="AE851" s="80" t="str">
        <f>HYPERLINK("https://twitter.com/falkalertas/status/1658615896007376904")</f>
        <v>https://twitter.com/falkalertas/status/1658615896007376904</v>
      </c>
      <c r="AF851" s="79">
        <v>45062.979386574072</v>
      </c>
      <c r="AG851" s="85">
        <v>45062</v>
      </c>
      <c r="AH851" s="82" t="s">
        <v>8978</v>
      </c>
      <c r="AI851" s="77" t="b">
        <v>0</v>
      </c>
      <c r="AJ851" s="77"/>
      <c r="AK851" s="77"/>
      <c r="AL851" s="77"/>
      <c r="AM851" s="77"/>
      <c r="AN851" s="77"/>
      <c r="AO851" s="77"/>
      <c r="AP851" s="77"/>
      <c r="AQ851" s="77"/>
      <c r="AR851" s="77"/>
      <c r="AS851" s="77"/>
      <c r="AT851" s="77"/>
      <c r="AU851" s="77"/>
      <c r="AV851" s="80" t="str">
        <f>HYPERLINK("https://pbs.twimg.com/profile_images/1619161712967434240/ISM2hv8y_normal.png")</f>
        <v>https://pbs.twimg.com/profile_images/1619161712967434240/ISM2hv8y_normal.png</v>
      </c>
      <c r="AW851" s="82" t="s">
        <v>13947</v>
      </c>
      <c r="AX851" s="82" t="s">
        <v>13947</v>
      </c>
      <c r="AY851" s="77"/>
      <c r="AZ851" s="82" t="s">
        <v>17385</v>
      </c>
      <c r="BA851" s="82" t="s">
        <v>17385</v>
      </c>
      <c r="BB851" s="82" t="s">
        <v>17385</v>
      </c>
      <c r="BC851" s="82" t="s">
        <v>13947</v>
      </c>
      <c r="BD851" s="82" t="s">
        <v>17529</v>
      </c>
      <c r="BE851" s="77"/>
      <c r="BF851" s="77"/>
      <c r="BG851" s="77"/>
      <c r="BH851" s="77"/>
      <c r="BI851" s="77"/>
    </row>
    <row r="852" spans="1:61" x14ac:dyDescent="0.25">
      <c r="A852" s="62" t="s">
        <v>395</v>
      </c>
      <c r="B852" s="62" t="s">
        <v>580</v>
      </c>
      <c r="C852" s="63"/>
      <c r="D852" s="64"/>
      <c r="E852" s="65"/>
      <c r="F852" s="66"/>
      <c r="G852" s="63"/>
      <c r="H852" s="67"/>
      <c r="I852" s="68"/>
      <c r="J852" s="68"/>
      <c r="K852" s="32"/>
      <c r="L852" s="75">
        <v>852</v>
      </c>
      <c r="M852" s="75"/>
      <c r="N852" s="70"/>
      <c r="O852" s="77" t="s">
        <v>803</v>
      </c>
      <c r="P852" s="79">
        <v>45197.092349537037</v>
      </c>
      <c r="Q852" s="77" t="s">
        <v>1644</v>
      </c>
      <c r="R852" s="77">
        <v>1</v>
      </c>
      <c r="S852" s="77">
        <v>0</v>
      </c>
      <c r="T852" s="77">
        <v>0</v>
      </c>
      <c r="U852" s="77">
        <v>0</v>
      </c>
      <c r="V852" s="77"/>
      <c r="W852" s="82" t="s">
        <v>5357</v>
      </c>
      <c r="X852" s="77"/>
      <c r="Y852" s="77"/>
      <c r="Z852" s="77" t="s">
        <v>580</v>
      </c>
      <c r="AA852" s="77"/>
      <c r="AB852" s="77"/>
      <c r="AC852" s="82" t="s">
        <v>8234</v>
      </c>
      <c r="AD852" s="77" t="s">
        <v>8278</v>
      </c>
      <c r="AE852" s="80" t="str">
        <f>HYPERLINK("https://twitter.com/falkalertas/status/1707216804991385943")</f>
        <v>https://twitter.com/falkalertas/status/1707216804991385943</v>
      </c>
      <c r="AF852" s="79">
        <v>45197.092349537037</v>
      </c>
      <c r="AG852" s="85">
        <v>45197</v>
      </c>
      <c r="AH852" s="82" t="s">
        <v>9023</v>
      </c>
      <c r="AI852" s="77" t="b">
        <v>0</v>
      </c>
      <c r="AJ852" s="77"/>
      <c r="AK852" s="77"/>
      <c r="AL852" s="77"/>
      <c r="AM852" s="77"/>
      <c r="AN852" s="77"/>
      <c r="AO852" s="77"/>
      <c r="AP852" s="77"/>
      <c r="AQ852" s="77"/>
      <c r="AR852" s="77"/>
      <c r="AS852" s="77"/>
      <c r="AT852" s="77"/>
      <c r="AU852" s="77"/>
      <c r="AV852" s="80" t="str">
        <f>HYPERLINK("https://pbs.twimg.com/profile_images/1619161712967434240/ISM2hv8y_normal.png")</f>
        <v>https://pbs.twimg.com/profile_images/1619161712967434240/ISM2hv8y_normal.png</v>
      </c>
      <c r="AW852" s="82" t="s">
        <v>13948</v>
      </c>
      <c r="AX852" s="82" t="s">
        <v>13948</v>
      </c>
      <c r="AY852" s="77"/>
      <c r="AZ852" s="82" t="s">
        <v>17385</v>
      </c>
      <c r="BA852" s="82" t="s">
        <v>17385</v>
      </c>
      <c r="BB852" s="82" t="s">
        <v>15198</v>
      </c>
      <c r="BC852" s="82" t="s">
        <v>15198</v>
      </c>
      <c r="BD852" s="82" t="s">
        <v>17529</v>
      </c>
      <c r="BE852" s="77"/>
      <c r="BF852" s="77"/>
      <c r="BG852" s="77"/>
      <c r="BH852" s="77"/>
      <c r="BI852" s="77"/>
    </row>
    <row r="853" spans="1:61" x14ac:dyDescent="0.25">
      <c r="A853" s="62" t="s">
        <v>395</v>
      </c>
      <c r="B853" s="62" t="s">
        <v>580</v>
      </c>
      <c r="C853" s="63"/>
      <c r="D853" s="64"/>
      <c r="E853" s="65"/>
      <c r="F853" s="66"/>
      <c r="G853" s="63"/>
      <c r="H853" s="67"/>
      <c r="I853" s="68"/>
      <c r="J853" s="68"/>
      <c r="K853" s="32"/>
      <c r="L853" s="75">
        <v>853</v>
      </c>
      <c r="M853" s="75"/>
      <c r="N853" s="70"/>
      <c r="O853" s="77" t="s">
        <v>803</v>
      </c>
      <c r="P853" s="79">
        <v>45196.77416666667</v>
      </c>
      <c r="Q853" s="77" t="s">
        <v>1645</v>
      </c>
      <c r="R853" s="77">
        <v>1</v>
      </c>
      <c r="S853" s="77">
        <v>0</v>
      </c>
      <c r="T853" s="77">
        <v>0</v>
      </c>
      <c r="U853" s="77">
        <v>0</v>
      </c>
      <c r="V853" s="77"/>
      <c r="W853" s="82" t="s">
        <v>5358</v>
      </c>
      <c r="X853" s="77"/>
      <c r="Y853" s="77"/>
      <c r="Z853" s="77" t="s">
        <v>580</v>
      </c>
      <c r="AA853" s="77"/>
      <c r="AB853" s="77"/>
      <c r="AC853" s="82" t="s">
        <v>8232</v>
      </c>
      <c r="AD853" s="77" t="s">
        <v>8278</v>
      </c>
      <c r="AE853" s="80" t="str">
        <f>HYPERLINK("https://twitter.com/falkalertas/status/1707101498012741745")</f>
        <v>https://twitter.com/falkalertas/status/1707101498012741745</v>
      </c>
      <c r="AF853" s="79">
        <v>45196.77416666667</v>
      </c>
      <c r="AG853" s="85">
        <v>45196</v>
      </c>
      <c r="AH853" s="82" t="s">
        <v>9024</v>
      </c>
      <c r="AI853" s="77" t="b">
        <v>0</v>
      </c>
      <c r="AJ853" s="77"/>
      <c r="AK853" s="77"/>
      <c r="AL853" s="77"/>
      <c r="AM853" s="77"/>
      <c r="AN853" s="77"/>
      <c r="AO853" s="77"/>
      <c r="AP853" s="77"/>
      <c r="AQ853" s="77"/>
      <c r="AR853" s="77"/>
      <c r="AS853" s="77"/>
      <c r="AT853" s="77"/>
      <c r="AU853" s="77"/>
      <c r="AV853" s="80" t="str">
        <f>HYPERLINK("https://pbs.twimg.com/profile_images/1619161712967434240/ISM2hv8y_normal.png")</f>
        <v>https://pbs.twimg.com/profile_images/1619161712967434240/ISM2hv8y_normal.png</v>
      </c>
      <c r="AW853" s="82" t="s">
        <v>13949</v>
      </c>
      <c r="AX853" s="82" t="s">
        <v>13949</v>
      </c>
      <c r="AY853" s="77"/>
      <c r="AZ853" s="82" t="s">
        <v>17385</v>
      </c>
      <c r="BA853" s="82" t="s">
        <v>17385</v>
      </c>
      <c r="BB853" s="82" t="s">
        <v>15190</v>
      </c>
      <c r="BC853" s="82" t="s">
        <v>15190</v>
      </c>
      <c r="BD853" s="82" t="s">
        <v>17529</v>
      </c>
      <c r="BE853" s="77"/>
      <c r="BF853" s="77"/>
      <c r="BG853" s="77"/>
      <c r="BH853" s="77"/>
      <c r="BI853" s="77"/>
    </row>
    <row r="854" spans="1:61" x14ac:dyDescent="0.25">
      <c r="A854" s="62" t="s">
        <v>395</v>
      </c>
      <c r="B854" s="62" t="s">
        <v>580</v>
      </c>
      <c r="C854" s="63"/>
      <c r="D854" s="64"/>
      <c r="E854" s="65"/>
      <c r="F854" s="66"/>
      <c r="G854" s="63"/>
      <c r="H854" s="67"/>
      <c r="I854" s="68"/>
      <c r="J854" s="68"/>
      <c r="K854" s="32"/>
      <c r="L854" s="75">
        <v>854</v>
      </c>
      <c r="M854" s="75"/>
      <c r="N854" s="70"/>
      <c r="O854" s="77" t="s">
        <v>803</v>
      </c>
      <c r="P854" s="79">
        <v>45190.722708333335</v>
      </c>
      <c r="Q854" s="77" t="s">
        <v>1646</v>
      </c>
      <c r="R854" s="77">
        <v>1</v>
      </c>
      <c r="S854" s="77">
        <v>0</v>
      </c>
      <c r="T854" s="77">
        <v>0</v>
      </c>
      <c r="U854" s="77">
        <v>0</v>
      </c>
      <c r="V854" s="77"/>
      <c r="W854" s="82" t="s">
        <v>5359</v>
      </c>
      <c r="X854" s="77"/>
      <c r="Y854" s="77"/>
      <c r="Z854" s="77" t="s">
        <v>580</v>
      </c>
      <c r="AA854" s="77"/>
      <c r="AB854" s="77"/>
      <c r="AC854" s="82" t="s">
        <v>8234</v>
      </c>
      <c r="AD854" s="77" t="s">
        <v>8278</v>
      </c>
      <c r="AE854" s="80" t="str">
        <f>HYPERLINK("https://twitter.com/falkalertas/status/1704908525452075491")</f>
        <v>https://twitter.com/falkalertas/status/1704908525452075491</v>
      </c>
      <c r="AF854" s="79">
        <v>45190.722708333335</v>
      </c>
      <c r="AG854" s="85">
        <v>45190</v>
      </c>
      <c r="AH854" s="82" t="s">
        <v>9025</v>
      </c>
      <c r="AI854" s="77" t="b">
        <v>0</v>
      </c>
      <c r="AJ854" s="77"/>
      <c r="AK854" s="77"/>
      <c r="AL854" s="77"/>
      <c r="AM854" s="77"/>
      <c r="AN854" s="77"/>
      <c r="AO854" s="77"/>
      <c r="AP854" s="77"/>
      <c r="AQ854" s="77"/>
      <c r="AR854" s="77"/>
      <c r="AS854" s="77"/>
      <c r="AT854" s="77"/>
      <c r="AU854" s="77"/>
      <c r="AV854" s="80" t="str">
        <f>HYPERLINK("https://pbs.twimg.com/profile_images/1619161712967434240/ISM2hv8y_normal.png")</f>
        <v>https://pbs.twimg.com/profile_images/1619161712967434240/ISM2hv8y_normal.png</v>
      </c>
      <c r="AW854" s="82" t="s">
        <v>13950</v>
      </c>
      <c r="AX854" s="82" t="s">
        <v>13950</v>
      </c>
      <c r="AY854" s="77"/>
      <c r="AZ854" s="82" t="s">
        <v>17385</v>
      </c>
      <c r="BA854" s="82" t="s">
        <v>17385</v>
      </c>
      <c r="BB854" s="82" t="s">
        <v>15186</v>
      </c>
      <c r="BC854" s="82" t="s">
        <v>15186</v>
      </c>
      <c r="BD854" s="82" t="s">
        <v>17529</v>
      </c>
      <c r="BE854" s="77"/>
      <c r="BF854" s="77"/>
      <c r="BG854" s="77"/>
      <c r="BH854" s="77"/>
      <c r="BI854" s="77"/>
    </row>
    <row r="855" spans="1:61" x14ac:dyDescent="0.25">
      <c r="A855" s="62" t="s">
        <v>395</v>
      </c>
      <c r="B855" s="62" t="s">
        <v>580</v>
      </c>
      <c r="C855" s="63"/>
      <c r="D855" s="64"/>
      <c r="E855" s="65"/>
      <c r="F855" s="66"/>
      <c r="G855" s="63"/>
      <c r="H855" s="67"/>
      <c r="I855" s="68"/>
      <c r="J855" s="68"/>
      <c r="K855" s="32"/>
      <c r="L855" s="75">
        <v>855</v>
      </c>
      <c r="M855" s="75"/>
      <c r="N855" s="70"/>
      <c r="O855" s="77" t="s">
        <v>803</v>
      </c>
      <c r="P855" s="79">
        <v>45190.722662037035</v>
      </c>
      <c r="Q855" s="77" t="s">
        <v>1647</v>
      </c>
      <c r="R855" s="77">
        <v>1</v>
      </c>
      <c r="S855" s="77">
        <v>0</v>
      </c>
      <c r="T855" s="77">
        <v>0</v>
      </c>
      <c r="U855" s="77">
        <v>0</v>
      </c>
      <c r="V855" s="77"/>
      <c r="W855" s="82" t="s">
        <v>5358</v>
      </c>
      <c r="X855" s="77"/>
      <c r="Y855" s="77"/>
      <c r="Z855" s="77" t="s">
        <v>580</v>
      </c>
      <c r="AA855" s="77"/>
      <c r="AB855" s="77"/>
      <c r="AC855" s="82" t="s">
        <v>8234</v>
      </c>
      <c r="AD855" s="77" t="s">
        <v>8278</v>
      </c>
      <c r="AE855" s="80" t="str">
        <f>HYPERLINK("https://twitter.com/falkalertas/status/1704908506921648180")</f>
        <v>https://twitter.com/falkalertas/status/1704908506921648180</v>
      </c>
      <c r="AF855" s="79">
        <v>45190.722662037035</v>
      </c>
      <c r="AG855" s="85">
        <v>45190</v>
      </c>
      <c r="AH855" s="82" t="s">
        <v>9026</v>
      </c>
      <c r="AI855" s="77" t="b">
        <v>0</v>
      </c>
      <c r="AJ855" s="77"/>
      <c r="AK855" s="77"/>
      <c r="AL855" s="77"/>
      <c r="AM855" s="77"/>
      <c r="AN855" s="77"/>
      <c r="AO855" s="77"/>
      <c r="AP855" s="77"/>
      <c r="AQ855" s="77"/>
      <c r="AR855" s="77"/>
      <c r="AS855" s="77"/>
      <c r="AT855" s="77"/>
      <c r="AU855" s="77"/>
      <c r="AV855" s="80" t="str">
        <f>HYPERLINK("https://pbs.twimg.com/profile_images/1619161712967434240/ISM2hv8y_normal.png")</f>
        <v>https://pbs.twimg.com/profile_images/1619161712967434240/ISM2hv8y_normal.png</v>
      </c>
      <c r="AW855" s="82" t="s">
        <v>13951</v>
      </c>
      <c r="AX855" s="82" t="s">
        <v>13951</v>
      </c>
      <c r="AY855" s="77"/>
      <c r="AZ855" s="82" t="s">
        <v>17385</v>
      </c>
      <c r="BA855" s="82" t="s">
        <v>17385</v>
      </c>
      <c r="BB855" s="82" t="s">
        <v>15187</v>
      </c>
      <c r="BC855" s="82" t="s">
        <v>15187</v>
      </c>
      <c r="BD855" s="82" t="s">
        <v>17529</v>
      </c>
      <c r="BE855" s="77"/>
      <c r="BF855" s="77"/>
      <c r="BG855" s="77"/>
      <c r="BH855" s="77"/>
      <c r="BI855" s="77"/>
    </row>
    <row r="856" spans="1:61" x14ac:dyDescent="0.25">
      <c r="A856" s="62" t="s">
        <v>395</v>
      </c>
      <c r="B856" s="62" t="s">
        <v>580</v>
      </c>
      <c r="C856" s="63"/>
      <c r="D856" s="64"/>
      <c r="E856" s="65"/>
      <c r="F856" s="66"/>
      <c r="G856" s="63"/>
      <c r="H856" s="67"/>
      <c r="I856" s="68"/>
      <c r="J856" s="68"/>
      <c r="K856" s="32"/>
      <c r="L856" s="75">
        <v>856</v>
      </c>
      <c r="M856" s="75"/>
      <c r="N856" s="70"/>
      <c r="O856" s="77" t="s">
        <v>803</v>
      </c>
      <c r="P856" s="79">
        <v>45189.778344907405</v>
      </c>
      <c r="Q856" s="77" t="s">
        <v>1648</v>
      </c>
      <c r="R856" s="77">
        <v>1</v>
      </c>
      <c r="S856" s="77">
        <v>0</v>
      </c>
      <c r="T856" s="77">
        <v>0</v>
      </c>
      <c r="U856" s="77">
        <v>0</v>
      </c>
      <c r="V856" s="77"/>
      <c r="W856" s="82" t="s">
        <v>5360</v>
      </c>
      <c r="X856" s="77"/>
      <c r="Y856" s="77"/>
      <c r="Z856" s="77" t="s">
        <v>580</v>
      </c>
      <c r="AA856" s="77"/>
      <c r="AB856" s="77"/>
      <c r="AC856" s="82" t="s">
        <v>8232</v>
      </c>
      <c r="AD856" s="77" t="s">
        <v>8278</v>
      </c>
      <c r="AE856" s="80" t="str">
        <f>HYPERLINK("https://twitter.com/falkalertas/status/1704566297160278299")</f>
        <v>https://twitter.com/falkalertas/status/1704566297160278299</v>
      </c>
      <c r="AF856" s="79">
        <v>45189.778344907405</v>
      </c>
      <c r="AG856" s="85">
        <v>45189</v>
      </c>
      <c r="AH856" s="82" t="s">
        <v>9027</v>
      </c>
      <c r="AI856" s="77" t="b">
        <v>0</v>
      </c>
      <c r="AJ856" s="77"/>
      <c r="AK856" s="77"/>
      <c r="AL856" s="77"/>
      <c r="AM856" s="77"/>
      <c r="AN856" s="77"/>
      <c r="AO856" s="77"/>
      <c r="AP856" s="77"/>
      <c r="AQ856" s="77"/>
      <c r="AR856" s="77"/>
      <c r="AS856" s="77"/>
      <c r="AT856" s="77"/>
      <c r="AU856" s="77"/>
      <c r="AV856" s="80" t="str">
        <f>HYPERLINK("https://pbs.twimg.com/profile_images/1619161712967434240/ISM2hv8y_normal.png")</f>
        <v>https://pbs.twimg.com/profile_images/1619161712967434240/ISM2hv8y_normal.png</v>
      </c>
      <c r="AW856" s="82" t="s">
        <v>13952</v>
      </c>
      <c r="AX856" s="82" t="s">
        <v>13952</v>
      </c>
      <c r="AY856" s="77"/>
      <c r="AZ856" s="82" t="s">
        <v>17385</v>
      </c>
      <c r="BA856" s="82" t="s">
        <v>17385</v>
      </c>
      <c r="BB856" s="82" t="s">
        <v>15188</v>
      </c>
      <c r="BC856" s="82" t="s">
        <v>15188</v>
      </c>
      <c r="BD856" s="82" t="s">
        <v>17529</v>
      </c>
      <c r="BE856" s="77"/>
      <c r="BF856" s="77"/>
      <c r="BG856" s="77"/>
      <c r="BH856" s="77"/>
      <c r="BI856" s="77"/>
    </row>
    <row r="857" spans="1:61" x14ac:dyDescent="0.25">
      <c r="A857" s="62" t="s">
        <v>395</v>
      </c>
      <c r="B857" s="62" t="s">
        <v>580</v>
      </c>
      <c r="C857" s="63"/>
      <c r="D857" s="64"/>
      <c r="E857" s="65"/>
      <c r="F857" s="66"/>
      <c r="G857" s="63"/>
      <c r="H857" s="67"/>
      <c r="I857" s="68"/>
      <c r="J857" s="68"/>
      <c r="K857" s="32"/>
      <c r="L857" s="75">
        <v>857</v>
      </c>
      <c r="M857" s="75"/>
      <c r="N857" s="70"/>
      <c r="O857" s="77" t="s">
        <v>803</v>
      </c>
      <c r="P857" s="79">
        <v>45188.999386574076</v>
      </c>
      <c r="Q857" s="77" t="s">
        <v>1649</v>
      </c>
      <c r="R857" s="77">
        <v>1</v>
      </c>
      <c r="S857" s="77">
        <v>0</v>
      </c>
      <c r="T857" s="77">
        <v>0</v>
      </c>
      <c r="U857" s="77">
        <v>0</v>
      </c>
      <c r="V857" s="77"/>
      <c r="W857" s="82" t="s">
        <v>5360</v>
      </c>
      <c r="X857" s="77"/>
      <c r="Y857" s="77"/>
      <c r="Z857" s="77" t="s">
        <v>580</v>
      </c>
      <c r="AA857" s="77"/>
      <c r="AB857" s="77"/>
      <c r="AC857" s="82" t="s">
        <v>8232</v>
      </c>
      <c r="AD857" s="77" t="s">
        <v>8278</v>
      </c>
      <c r="AE857" s="80" t="str">
        <f>HYPERLINK("https://twitter.com/falkalertas/status/1704284011378487369")</f>
        <v>https://twitter.com/falkalertas/status/1704284011378487369</v>
      </c>
      <c r="AF857" s="79">
        <v>45188.999386574076</v>
      </c>
      <c r="AG857" s="85">
        <v>45188</v>
      </c>
      <c r="AH857" s="82" t="s">
        <v>9028</v>
      </c>
      <c r="AI857" s="77" t="b">
        <v>0</v>
      </c>
      <c r="AJ857" s="77"/>
      <c r="AK857" s="77"/>
      <c r="AL857" s="77"/>
      <c r="AM857" s="77"/>
      <c r="AN857" s="77"/>
      <c r="AO857" s="77"/>
      <c r="AP857" s="77"/>
      <c r="AQ857" s="77"/>
      <c r="AR857" s="77"/>
      <c r="AS857" s="77"/>
      <c r="AT857" s="77"/>
      <c r="AU857" s="77"/>
      <c r="AV857" s="80" t="str">
        <f>HYPERLINK("https://pbs.twimg.com/profile_images/1619161712967434240/ISM2hv8y_normal.png")</f>
        <v>https://pbs.twimg.com/profile_images/1619161712967434240/ISM2hv8y_normal.png</v>
      </c>
      <c r="AW857" s="82" t="s">
        <v>13953</v>
      </c>
      <c r="AX857" s="82" t="s">
        <v>13953</v>
      </c>
      <c r="AY857" s="77"/>
      <c r="AZ857" s="82" t="s">
        <v>17385</v>
      </c>
      <c r="BA857" s="82" t="s">
        <v>17385</v>
      </c>
      <c r="BB857" s="82" t="s">
        <v>15189</v>
      </c>
      <c r="BC857" s="82" t="s">
        <v>15189</v>
      </c>
      <c r="BD857" s="82" t="s">
        <v>17529</v>
      </c>
      <c r="BE857" s="77"/>
      <c r="BF857" s="77"/>
      <c r="BG857" s="77"/>
      <c r="BH857" s="77"/>
      <c r="BI857" s="77"/>
    </row>
    <row r="858" spans="1:61" x14ac:dyDescent="0.25">
      <c r="A858" s="62" t="s">
        <v>395</v>
      </c>
      <c r="B858" s="62" t="s">
        <v>395</v>
      </c>
      <c r="C858" s="63"/>
      <c r="D858" s="64"/>
      <c r="E858" s="65"/>
      <c r="F858" s="66"/>
      <c r="G858" s="63"/>
      <c r="H858" s="67"/>
      <c r="I858" s="68"/>
      <c r="J858" s="68"/>
      <c r="K858" s="32"/>
      <c r="L858" s="75">
        <v>858</v>
      </c>
      <c r="M858" s="75"/>
      <c r="N858" s="70"/>
      <c r="O858" s="77" t="s">
        <v>179</v>
      </c>
      <c r="P858" s="79">
        <v>45162.982395833336</v>
      </c>
      <c r="Q858" s="77" t="s">
        <v>1650</v>
      </c>
      <c r="R858" s="77">
        <v>0</v>
      </c>
      <c r="S858" s="77">
        <v>1</v>
      </c>
      <c r="T858" s="77">
        <v>0</v>
      </c>
      <c r="U858" s="77">
        <v>0</v>
      </c>
      <c r="V858" s="77">
        <v>163</v>
      </c>
      <c r="W858" s="82" t="s">
        <v>5361</v>
      </c>
      <c r="X858" s="80" t="str">
        <f>HYPERLINK("https://www.falkcapital.com.br/mercado/acoes?utm_source=twitter&amp;utm_medium=falkalertas&amp;utm_campaign=fechamentodemercado")</f>
        <v>https://www.falkcapital.com.br/mercado/acoes?utm_source=twitter&amp;utm_medium=falkalertas&amp;utm_campaign=fechamentodemercado</v>
      </c>
      <c r="Y858" s="77" t="s">
        <v>7053</v>
      </c>
      <c r="Z858" s="77"/>
      <c r="AA858" s="77"/>
      <c r="AB858" s="77"/>
      <c r="AC858" s="82" t="s">
        <v>8258</v>
      </c>
      <c r="AD858" s="77" t="s">
        <v>8278</v>
      </c>
      <c r="AE858" s="80" t="str">
        <f>HYPERLINK("https://twitter.com/falkalertas/status/1694855771496833091")</f>
        <v>https://twitter.com/falkalertas/status/1694855771496833091</v>
      </c>
      <c r="AF858" s="79">
        <v>45162.982395833336</v>
      </c>
      <c r="AG858" s="85">
        <v>45162</v>
      </c>
      <c r="AH858" s="82" t="s">
        <v>9029</v>
      </c>
      <c r="AI858" s="77" t="b">
        <v>0</v>
      </c>
      <c r="AJ858" s="77"/>
      <c r="AK858" s="77"/>
      <c r="AL858" s="77"/>
      <c r="AM858" s="77"/>
      <c r="AN858" s="77"/>
      <c r="AO858" s="77"/>
      <c r="AP858" s="77"/>
      <c r="AQ858" s="77"/>
      <c r="AR858" s="77"/>
      <c r="AS858" s="77"/>
      <c r="AT858" s="77"/>
      <c r="AU858" s="77"/>
      <c r="AV858" s="80" t="str">
        <f>HYPERLINK("https://pbs.twimg.com/profile_images/1619161712967434240/ISM2hv8y_normal.png")</f>
        <v>https://pbs.twimg.com/profile_images/1619161712967434240/ISM2hv8y_normal.png</v>
      </c>
      <c r="AW858" s="82" t="s">
        <v>13954</v>
      </c>
      <c r="AX858" s="82" t="s">
        <v>13954</v>
      </c>
      <c r="AY858" s="77"/>
      <c r="AZ858" s="82" t="s">
        <v>17385</v>
      </c>
      <c r="BA858" s="82" t="s">
        <v>17385</v>
      </c>
      <c r="BB858" s="82" t="s">
        <v>17385</v>
      </c>
      <c r="BC858" s="82" t="s">
        <v>13954</v>
      </c>
      <c r="BD858" s="82" t="s">
        <v>17529</v>
      </c>
      <c r="BE858" s="77"/>
      <c r="BF858" s="77"/>
      <c r="BG858" s="77"/>
      <c r="BH858" s="77"/>
      <c r="BI858" s="77"/>
    </row>
    <row r="859" spans="1:61" x14ac:dyDescent="0.25">
      <c r="A859" s="62" t="s">
        <v>395</v>
      </c>
      <c r="B859" s="62" t="s">
        <v>395</v>
      </c>
      <c r="C859" s="63"/>
      <c r="D859" s="64"/>
      <c r="E859" s="65"/>
      <c r="F859" s="66"/>
      <c r="G859" s="63"/>
      <c r="H859" s="67"/>
      <c r="I859" s="68"/>
      <c r="J859" s="68"/>
      <c r="K859" s="32"/>
      <c r="L859" s="75">
        <v>859</v>
      </c>
      <c r="M859" s="75"/>
      <c r="N859" s="70"/>
      <c r="O859" s="77" t="s">
        <v>179</v>
      </c>
      <c r="P859" s="79">
        <v>45162.98238425926</v>
      </c>
      <c r="Q859" s="77" t="s">
        <v>1651</v>
      </c>
      <c r="R859" s="77">
        <v>0</v>
      </c>
      <c r="S859" s="77">
        <v>0</v>
      </c>
      <c r="T859" s="77">
        <v>0</v>
      </c>
      <c r="U859" s="77">
        <v>0</v>
      </c>
      <c r="V859" s="77">
        <v>97</v>
      </c>
      <c r="W859" s="82" t="s">
        <v>5362</v>
      </c>
      <c r="X859" s="80" t="str">
        <f>HYPERLINK("https://www.falkcapital.com.br/mercado/acoes?utm_source=twitter&amp;utm_medium=falkalertas&amp;utm_campaign=fechamentodemercado")</f>
        <v>https://www.falkcapital.com.br/mercado/acoes?utm_source=twitter&amp;utm_medium=falkalertas&amp;utm_campaign=fechamentodemercado</v>
      </c>
      <c r="Y859" s="77" t="s">
        <v>7053</v>
      </c>
      <c r="Z859" s="77"/>
      <c r="AA859" s="77"/>
      <c r="AB859" s="77"/>
      <c r="AC859" s="82" t="s">
        <v>8258</v>
      </c>
      <c r="AD859" s="77" t="s">
        <v>8278</v>
      </c>
      <c r="AE859" s="80" t="str">
        <f>HYPERLINK("https://twitter.com/falkalertas/status/1694855768640504317")</f>
        <v>https://twitter.com/falkalertas/status/1694855768640504317</v>
      </c>
      <c r="AF859" s="79">
        <v>45162.98238425926</v>
      </c>
      <c r="AG859" s="85">
        <v>45162</v>
      </c>
      <c r="AH859" s="82" t="s">
        <v>9030</v>
      </c>
      <c r="AI859" s="77" t="b">
        <v>0</v>
      </c>
      <c r="AJ859" s="77"/>
      <c r="AK859" s="77"/>
      <c r="AL859" s="77"/>
      <c r="AM859" s="77"/>
      <c r="AN859" s="77"/>
      <c r="AO859" s="77"/>
      <c r="AP859" s="77"/>
      <c r="AQ859" s="77"/>
      <c r="AR859" s="77"/>
      <c r="AS859" s="77"/>
      <c r="AT859" s="77"/>
      <c r="AU859" s="77"/>
      <c r="AV859" s="80" t="str">
        <f>HYPERLINK("https://pbs.twimg.com/profile_images/1619161712967434240/ISM2hv8y_normal.png")</f>
        <v>https://pbs.twimg.com/profile_images/1619161712967434240/ISM2hv8y_normal.png</v>
      </c>
      <c r="AW859" s="82" t="s">
        <v>13955</v>
      </c>
      <c r="AX859" s="82" t="s">
        <v>13955</v>
      </c>
      <c r="AY859" s="77"/>
      <c r="AZ859" s="82" t="s">
        <v>17385</v>
      </c>
      <c r="BA859" s="82" t="s">
        <v>17385</v>
      </c>
      <c r="BB859" s="82" t="s">
        <v>17385</v>
      </c>
      <c r="BC859" s="82" t="s">
        <v>13955</v>
      </c>
      <c r="BD859" s="82" t="s">
        <v>17529</v>
      </c>
      <c r="BE859" s="77"/>
      <c r="BF859" s="77"/>
      <c r="BG859" s="77"/>
      <c r="BH859" s="77"/>
      <c r="BI859" s="77"/>
    </row>
    <row r="860" spans="1:61" x14ac:dyDescent="0.25">
      <c r="A860" s="62" t="s">
        <v>395</v>
      </c>
      <c r="B860" s="62" t="s">
        <v>395</v>
      </c>
      <c r="C860" s="63"/>
      <c r="D860" s="64"/>
      <c r="E860" s="65"/>
      <c r="F860" s="66"/>
      <c r="G860" s="63"/>
      <c r="H860" s="67"/>
      <c r="I860" s="68"/>
      <c r="J860" s="68"/>
      <c r="K860" s="32"/>
      <c r="L860" s="75">
        <v>860</v>
      </c>
      <c r="M860" s="75"/>
      <c r="N860" s="70"/>
      <c r="O860" s="77" t="s">
        <v>179</v>
      </c>
      <c r="P860" s="79">
        <v>45161.981226851851</v>
      </c>
      <c r="Q860" s="77" t="s">
        <v>1652</v>
      </c>
      <c r="R860" s="77">
        <v>0</v>
      </c>
      <c r="S860" s="77">
        <v>1</v>
      </c>
      <c r="T860" s="77">
        <v>0</v>
      </c>
      <c r="U860" s="77">
        <v>0</v>
      </c>
      <c r="V860" s="77">
        <v>203</v>
      </c>
      <c r="W860" s="82" t="s">
        <v>5363</v>
      </c>
      <c r="X860" s="80" t="str">
        <f>HYPERLINK("https://www.falkcapital.com.br/mercado/acoes?utm_source=twitter&amp;utm_medium=falkalertas&amp;utm_campaign=fechamentodemercado")</f>
        <v>https://www.falkcapital.com.br/mercado/acoes?utm_source=twitter&amp;utm_medium=falkalertas&amp;utm_campaign=fechamentodemercado</v>
      </c>
      <c r="Y860" s="77" t="s">
        <v>7053</v>
      </c>
      <c r="Z860" s="77"/>
      <c r="AA860" s="77"/>
      <c r="AB860" s="77"/>
      <c r="AC860" s="82" t="s">
        <v>8258</v>
      </c>
      <c r="AD860" s="77" t="s">
        <v>8278</v>
      </c>
      <c r="AE860" s="80" t="str">
        <f>HYPERLINK("https://twitter.com/falkalertas/status/1694492960803442818")</f>
        <v>https://twitter.com/falkalertas/status/1694492960803442818</v>
      </c>
      <c r="AF860" s="79">
        <v>45161.981226851851</v>
      </c>
      <c r="AG860" s="85">
        <v>45161</v>
      </c>
      <c r="AH860" s="82" t="s">
        <v>9031</v>
      </c>
      <c r="AI860" s="77" t="b">
        <v>0</v>
      </c>
      <c r="AJ860" s="77"/>
      <c r="AK860" s="77"/>
      <c r="AL860" s="77"/>
      <c r="AM860" s="77"/>
      <c r="AN860" s="77"/>
      <c r="AO860" s="77"/>
      <c r="AP860" s="77"/>
      <c r="AQ860" s="77"/>
      <c r="AR860" s="77"/>
      <c r="AS860" s="77"/>
      <c r="AT860" s="77"/>
      <c r="AU860" s="77"/>
      <c r="AV860" s="80" t="str">
        <f>HYPERLINK("https://pbs.twimg.com/profile_images/1619161712967434240/ISM2hv8y_normal.png")</f>
        <v>https://pbs.twimg.com/profile_images/1619161712967434240/ISM2hv8y_normal.png</v>
      </c>
      <c r="AW860" s="82" t="s">
        <v>13956</v>
      </c>
      <c r="AX860" s="82" t="s">
        <v>13956</v>
      </c>
      <c r="AY860" s="77"/>
      <c r="AZ860" s="82" t="s">
        <v>17385</v>
      </c>
      <c r="BA860" s="82" t="s">
        <v>17385</v>
      </c>
      <c r="BB860" s="82" t="s">
        <v>17385</v>
      </c>
      <c r="BC860" s="82" t="s">
        <v>13956</v>
      </c>
      <c r="BD860" s="82" t="s">
        <v>17529</v>
      </c>
      <c r="BE860" s="77"/>
      <c r="BF860" s="77"/>
      <c r="BG860" s="77"/>
      <c r="BH860" s="77"/>
      <c r="BI860" s="77"/>
    </row>
    <row r="861" spans="1:61" x14ac:dyDescent="0.25">
      <c r="A861" s="62" t="s">
        <v>395</v>
      </c>
      <c r="B861" s="62" t="s">
        <v>395</v>
      </c>
      <c r="C861" s="63"/>
      <c r="D861" s="64"/>
      <c r="E861" s="65"/>
      <c r="F861" s="66"/>
      <c r="G861" s="63"/>
      <c r="H861" s="67"/>
      <c r="I861" s="68"/>
      <c r="J861" s="68"/>
      <c r="K861" s="32"/>
      <c r="L861" s="75">
        <v>861</v>
      </c>
      <c r="M861" s="75"/>
      <c r="N861" s="70"/>
      <c r="O861" s="77" t="s">
        <v>179</v>
      </c>
      <c r="P861" s="79">
        <v>45161.981226851851</v>
      </c>
      <c r="Q861" s="77" t="s">
        <v>1653</v>
      </c>
      <c r="R861" s="77">
        <v>0</v>
      </c>
      <c r="S861" s="77">
        <v>0</v>
      </c>
      <c r="T861" s="77">
        <v>0</v>
      </c>
      <c r="U861" s="77">
        <v>0</v>
      </c>
      <c r="V861" s="77">
        <v>49</v>
      </c>
      <c r="W861" s="82" t="s">
        <v>5364</v>
      </c>
      <c r="X861" s="80" t="str">
        <f>HYPERLINK("https://www.falkcapital.com.br/mercado/acoes?utm_source=twitter&amp;utm_medium=falkalertas&amp;utm_campaign=fechamentodemercado")</f>
        <v>https://www.falkcapital.com.br/mercado/acoes?utm_source=twitter&amp;utm_medium=falkalertas&amp;utm_campaign=fechamentodemercado</v>
      </c>
      <c r="Y861" s="77" t="s">
        <v>7053</v>
      </c>
      <c r="Z861" s="77"/>
      <c r="AA861" s="77"/>
      <c r="AB861" s="77"/>
      <c r="AC861" s="82" t="s">
        <v>8258</v>
      </c>
      <c r="AD861" s="77" t="s">
        <v>8278</v>
      </c>
      <c r="AE861" s="80" t="str">
        <f>HYPERLINK("https://twitter.com/falkalertas/status/1694492958077145215")</f>
        <v>https://twitter.com/falkalertas/status/1694492958077145215</v>
      </c>
      <c r="AF861" s="79">
        <v>45161.981226851851</v>
      </c>
      <c r="AG861" s="85">
        <v>45161</v>
      </c>
      <c r="AH861" s="82" t="s">
        <v>9031</v>
      </c>
      <c r="AI861" s="77" t="b">
        <v>0</v>
      </c>
      <c r="AJ861" s="77"/>
      <c r="AK861" s="77"/>
      <c r="AL861" s="77"/>
      <c r="AM861" s="77"/>
      <c r="AN861" s="77"/>
      <c r="AO861" s="77"/>
      <c r="AP861" s="77"/>
      <c r="AQ861" s="77"/>
      <c r="AR861" s="77"/>
      <c r="AS861" s="77"/>
      <c r="AT861" s="77"/>
      <c r="AU861" s="77"/>
      <c r="AV861" s="80" t="str">
        <f>HYPERLINK("https://pbs.twimg.com/profile_images/1619161712967434240/ISM2hv8y_normal.png")</f>
        <v>https://pbs.twimg.com/profile_images/1619161712967434240/ISM2hv8y_normal.png</v>
      </c>
      <c r="AW861" s="82" t="s">
        <v>13957</v>
      </c>
      <c r="AX861" s="82" t="s">
        <v>13957</v>
      </c>
      <c r="AY861" s="77"/>
      <c r="AZ861" s="82" t="s">
        <v>17385</v>
      </c>
      <c r="BA861" s="82" t="s">
        <v>17385</v>
      </c>
      <c r="BB861" s="82" t="s">
        <v>17385</v>
      </c>
      <c r="BC861" s="82" t="s">
        <v>13957</v>
      </c>
      <c r="BD861" s="82" t="s">
        <v>17529</v>
      </c>
      <c r="BE861" s="77"/>
      <c r="BF861" s="77"/>
      <c r="BG861" s="77"/>
      <c r="BH861" s="77"/>
      <c r="BI861" s="77"/>
    </row>
    <row r="862" spans="1:61" x14ac:dyDescent="0.25">
      <c r="A862" s="62" t="s">
        <v>395</v>
      </c>
      <c r="B862" s="62" t="s">
        <v>395</v>
      </c>
      <c r="C862" s="63"/>
      <c r="D862" s="64"/>
      <c r="E862" s="65"/>
      <c r="F862" s="66"/>
      <c r="G862" s="63"/>
      <c r="H862" s="67"/>
      <c r="I862" s="68"/>
      <c r="J862" s="68"/>
      <c r="K862" s="32"/>
      <c r="L862" s="75">
        <v>862</v>
      </c>
      <c r="M862" s="75"/>
      <c r="N862" s="70"/>
      <c r="O862" s="77" t="s">
        <v>179</v>
      </c>
      <c r="P862" s="79">
        <v>45154.980891203704</v>
      </c>
      <c r="Q862" s="77" t="s">
        <v>1654</v>
      </c>
      <c r="R862" s="77">
        <v>0</v>
      </c>
      <c r="S862" s="77">
        <v>1</v>
      </c>
      <c r="T862" s="77">
        <v>0</v>
      </c>
      <c r="U862" s="77">
        <v>0</v>
      </c>
      <c r="V862" s="77">
        <v>48</v>
      </c>
      <c r="W862" s="82" t="s">
        <v>5365</v>
      </c>
      <c r="X862" s="80" t="str">
        <f>HYPERLINK("https://www.falkcapital.com.br/mercado/acoes?utm_source=twitter&amp;utm_medium=falkalertas&amp;utm_campaign=fechamentodemercado")</f>
        <v>https://www.falkcapital.com.br/mercado/acoes?utm_source=twitter&amp;utm_medium=falkalertas&amp;utm_campaign=fechamentodemercado</v>
      </c>
      <c r="Y862" s="77" t="s">
        <v>7053</v>
      </c>
      <c r="Z862" s="77"/>
      <c r="AA862" s="77"/>
      <c r="AB862" s="77"/>
      <c r="AC862" s="82" t="s">
        <v>8258</v>
      </c>
      <c r="AD862" s="77" t="s">
        <v>8278</v>
      </c>
      <c r="AE862" s="80" t="str">
        <f>HYPERLINK("https://twitter.com/falkalertas/status/1691956121873846351")</f>
        <v>https://twitter.com/falkalertas/status/1691956121873846351</v>
      </c>
      <c r="AF862" s="79">
        <v>45154.980891203704</v>
      </c>
      <c r="AG862" s="85">
        <v>45154</v>
      </c>
      <c r="AH862" s="82" t="s">
        <v>9032</v>
      </c>
      <c r="AI862" s="77" t="b">
        <v>0</v>
      </c>
      <c r="AJ862" s="77"/>
      <c r="AK862" s="77"/>
      <c r="AL862" s="77"/>
      <c r="AM862" s="77"/>
      <c r="AN862" s="77"/>
      <c r="AO862" s="77"/>
      <c r="AP862" s="77"/>
      <c r="AQ862" s="77"/>
      <c r="AR862" s="77"/>
      <c r="AS862" s="77"/>
      <c r="AT862" s="77"/>
      <c r="AU862" s="77"/>
      <c r="AV862" s="80" t="str">
        <f>HYPERLINK("https://pbs.twimg.com/profile_images/1619161712967434240/ISM2hv8y_normal.png")</f>
        <v>https://pbs.twimg.com/profile_images/1619161712967434240/ISM2hv8y_normal.png</v>
      </c>
      <c r="AW862" s="82" t="s">
        <v>13958</v>
      </c>
      <c r="AX862" s="82" t="s">
        <v>13958</v>
      </c>
      <c r="AY862" s="77"/>
      <c r="AZ862" s="82" t="s">
        <v>17385</v>
      </c>
      <c r="BA862" s="82" t="s">
        <v>17385</v>
      </c>
      <c r="BB862" s="82" t="s">
        <v>17385</v>
      </c>
      <c r="BC862" s="82" t="s">
        <v>13958</v>
      </c>
      <c r="BD862" s="82" t="s">
        <v>17529</v>
      </c>
      <c r="BE862" s="77"/>
      <c r="BF862" s="77"/>
      <c r="BG862" s="77"/>
      <c r="BH862" s="77"/>
      <c r="BI862" s="77"/>
    </row>
    <row r="863" spans="1:61" x14ac:dyDescent="0.25">
      <c r="A863" s="62" t="s">
        <v>395</v>
      </c>
      <c r="B863" s="62" t="s">
        <v>395</v>
      </c>
      <c r="C863" s="63"/>
      <c r="D863" s="64"/>
      <c r="E863" s="65"/>
      <c r="F863" s="66"/>
      <c r="G863" s="63"/>
      <c r="H863" s="67"/>
      <c r="I863" s="68"/>
      <c r="J863" s="68"/>
      <c r="K863" s="32"/>
      <c r="L863" s="75">
        <v>863</v>
      </c>
      <c r="M863" s="75"/>
      <c r="N863" s="70"/>
      <c r="O863" s="77" t="s">
        <v>179</v>
      </c>
      <c r="P863" s="79">
        <v>45154.980879629627</v>
      </c>
      <c r="Q863" s="77" t="s">
        <v>1655</v>
      </c>
      <c r="R863" s="77">
        <v>0</v>
      </c>
      <c r="S863" s="77">
        <v>1</v>
      </c>
      <c r="T863" s="77">
        <v>0</v>
      </c>
      <c r="U863" s="77">
        <v>0</v>
      </c>
      <c r="V863" s="77">
        <v>217</v>
      </c>
      <c r="W863" s="82" t="s">
        <v>5366</v>
      </c>
      <c r="X863" s="80" t="str">
        <f>HYPERLINK("https://www.falkcapital.com.br/mercado/acoes?utm_source=twitter&amp;utm_medium=falkalertas&amp;utm_campaign=fechamentodemercado")</f>
        <v>https://www.falkcapital.com.br/mercado/acoes?utm_source=twitter&amp;utm_medium=falkalertas&amp;utm_campaign=fechamentodemercado</v>
      </c>
      <c r="Y863" s="77" t="s">
        <v>7053</v>
      </c>
      <c r="Z863" s="77"/>
      <c r="AA863" s="77"/>
      <c r="AB863" s="77"/>
      <c r="AC863" s="82" t="s">
        <v>8258</v>
      </c>
      <c r="AD863" s="77" t="s">
        <v>8278</v>
      </c>
      <c r="AE863" s="80" t="str">
        <f>HYPERLINK("https://twitter.com/falkalertas/status/1691956119877410847")</f>
        <v>https://twitter.com/falkalertas/status/1691956119877410847</v>
      </c>
      <c r="AF863" s="79">
        <v>45154.980879629627</v>
      </c>
      <c r="AG863" s="85">
        <v>45154</v>
      </c>
      <c r="AH863" s="82" t="s">
        <v>9033</v>
      </c>
      <c r="AI863" s="77" t="b">
        <v>0</v>
      </c>
      <c r="AJ863" s="77"/>
      <c r="AK863" s="77"/>
      <c r="AL863" s="77"/>
      <c r="AM863" s="77"/>
      <c r="AN863" s="77"/>
      <c r="AO863" s="77"/>
      <c r="AP863" s="77"/>
      <c r="AQ863" s="77"/>
      <c r="AR863" s="77"/>
      <c r="AS863" s="77"/>
      <c r="AT863" s="77"/>
      <c r="AU863" s="77"/>
      <c r="AV863" s="80" t="str">
        <f>HYPERLINK("https://pbs.twimg.com/profile_images/1619161712967434240/ISM2hv8y_normal.png")</f>
        <v>https://pbs.twimg.com/profile_images/1619161712967434240/ISM2hv8y_normal.png</v>
      </c>
      <c r="AW863" s="82" t="s">
        <v>13959</v>
      </c>
      <c r="AX863" s="82" t="s">
        <v>13959</v>
      </c>
      <c r="AY863" s="77"/>
      <c r="AZ863" s="82" t="s">
        <v>17385</v>
      </c>
      <c r="BA863" s="82" t="s">
        <v>17385</v>
      </c>
      <c r="BB863" s="82" t="s">
        <v>17385</v>
      </c>
      <c r="BC863" s="82" t="s">
        <v>13959</v>
      </c>
      <c r="BD863" s="82" t="s">
        <v>17529</v>
      </c>
      <c r="BE863" s="77"/>
      <c r="BF863" s="77"/>
      <c r="BG863" s="77"/>
      <c r="BH863" s="77"/>
      <c r="BI863" s="77"/>
    </row>
    <row r="864" spans="1:61" x14ac:dyDescent="0.25">
      <c r="A864" s="62" t="s">
        <v>395</v>
      </c>
      <c r="B864" s="62" t="s">
        <v>395</v>
      </c>
      <c r="C864" s="63"/>
      <c r="D864" s="64"/>
      <c r="E864" s="65"/>
      <c r="F864" s="66"/>
      <c r="G864" s="63"/>
      <c r="H864" s="67"/>
      <c r="I864" s="68"/>
      <c r="J864" s="68"/>
      <c r="K864" s="32"/>
      <c r="L864" s="75">
        <v>864</v>
      </c>
      <c r="M864" s="75"/>
      <c r="N864" s="70"/>
      <c r="O864" s="77" t="s">
        <v>179</v>
      </c>
      <c r="P864" s="79">
        <v>45082.979409722226</v>
      </c>
      <c r="Q864" s="77" t="s">
        <v>1656</v>
      </c>
      <c r="R864" s="77">
        <v>0</v>
      </c>
      <c r="S864" s="77">
        <v>0</v>
      </c>
      <c r="T864" s="77">
        <v>0</v>
      </c>
      <c r="U864" s="77">
        <v>0</v>
      </c>
      <c r="V864" s="77">
        <v>109</v>
      </c>
      <c r="W864" s="82" t="s">
        <v>5367</v>
      </c>
      <c r="X864" s="80" t="str">
        <f>HYPERLINK("https://www.falkcapital.com.br/mercado/acoes?utm_source=twitter&amp;utm_medium=falkalertas&amp;utm_campaign=fechamentodemercado")</f>
        <v>https://www.falkcapital.com.br/mercado/acoes?utm_source=twitter&amp;utm_medium=falkalertas&amp;utm_campaign=fechamentodemercado</v>
      </c>
      <c r="Y864" s="77" t="s">
        <v>7053</v>
      </c>
      <c r="Z864" s="77"/>
      <c r="AA864" s="77"/>
      <c r="AB864" s="77"/>
      <c r="AC864" s="82" t="s">
        <v>8257</v>
      </c>
      <c r="AD864" s="77" t="s">
        <v>8278</v>
      </c>
      <c r="AE864" s="80" t="str">
        <f>HYPERLINK("https://twitter.com/falkalertas/status/1665863661397721088")</f>
        <v>https://twitter.com/falkalertas/status/1665863661397721088</v>
      </c>
      <c r="AF864" s="79">
        <v>45082.979409722226</v>
      </c>
      <c r="AG864" s="85">
        <v>45082</v>
      </c>
      <c r="AH864" s="82" t="s">
        <v>9034</v>
      </c>
      <c r="AI864" s="77" t="b">
        <v>0</v>
      </c>
      <c r="AJ864" s="77"/>
      <c r="AK864" s="77"/>
      <c r="AL864" s="77"/>
      <c r="AM864" s="77"/>
      <c r="AN864" s="77"/>
      <c r="AO864" s="77"/>
      <c r="AP864" s="77"/>
      <c r="AQ864" s="77"/>
      <c r="AR864" s="77"/>
      <c r="AS864" s="77"/>
      <c r="AT864" s="77"/>
      <c r="AU864" s="77"/>
      <c r="AV864" s="80" t="str">
        <f>HYPERLINK("https://pbs.twimg.com/profile_images/1619161712967434240/ISM2hv8y_normal.png")</f>
        <v>https://pbs.twimg.com/profile_images/1619161712967434240/ISM2hv8y_normal.png</v>
      </c>
      <c r="AW864" s="82" t="s">
        <v>13960</v>
      </c>
      <c r="AX864" s="82" t="s">
        <v>13960</v>
      </c>
      <c r="AY864" s="77"/>
      <c r="AZ864" s="82" t="s">
        <v>17385</v>
      </c>
      <c r="BA864" s="82" t="s">
        <v>17385</v>
      </c>
      <c r="BB864" s="82" t="s">
        <v>17385</v>
      </c>
      <c r="BC864" s="82" t="s">
        <v>13960</v>
      </c>
      <c r="BD864" s="82" t="s">
        <v>17529</v>
      </c>
      <c r="BE864" s="77"/>
      <c r="BF864" s="77"/>
      <c r="BG864" s="77"/>
      <c r="BH864" s="77"/>
      <c r="BI864" s="77"/>
    </row>
    <row r="865" spans="1:61" x14ac:dyDescent="0.25">
      <c r="A865" s="62" t="s">
        <v>395</v>
      </c>
      <c r="B865" s="62" t="s">
        <v>395</v>
      </c>
      <c r="C865" s="63"/>
      <c r="D865" s="64"/>
      <c r="E865" s="65"/>
      <c r="F865" s="66"/>
      <c r="G865" s="63"/>
      <c r="H865" s="67"/>
      <c r="I865" s="68"/>
      <c r="J865" s="68"/>
      <c r="K865" s="32"/>
      <c r="L865" s="75">
        <v>865</v>
      </c>
      <c r="M865" s="75"/>
      <c r="N865" s="70"/>
      <c r="O865" s="77" t="s">
        <v>179</v>
      </c>
      <c r="P865" s="79">
        <v>45082.979409722226</v>
      </c>
      <c r="Q865" s="77" t="s">
        <v>1657</v>
      </c>
      <c r="R865" s="77">
        <v>0</v>
      </c>
      <c r="S865" s="77">
        <v>0</v>
      </c>
      <c r="T865" s="77">
        <v>0</v>
      </c>
      <c r="U865" s="77">
        <v>0</v>
      </c>
      <c r="V865" s="77">
        <v>51</v>
      </c>
      <c r="W865" s="82" t="s">
        <v>5368</v>
      </c>
      <c r="X865" s="80" t="str">
        <f>HYPERLINK("https://www.falkcapital.com.br/mercado/acoes?utm_source=twitter&amp;utm_medium=falkalertas&amp;utm_campaign=fechamentodemercado")</f>
        <v>https://www.falkcapital.com.br/mercado/acoes?utm_source=twitter&amp;utm_medium=falkalertas&amp;utm_campaign=fechamentodemercado</v>
      </c>
      <c r="Y865" s="77" t="s">
        <v>7053</v>
      </c>
      <c r="Z865" s="77"/>
      <c r="AA865" s="77"/>
      <c r="AB865" s="77"/>
      <c r="AC865" s="82" t="s">
        <v>8257</v>
      </c>
      <c r="AD865" s="77" t="s">
        <v>8278</v>
      </c>
      <c r="AE865" s="80" t="str">
        <f>HYPERLINK("https://twitter.com/falkalertas/status/1665863660068036612")</f>
        <v>https://twitter.com/falkalertas/status/1665863660068036612</v>
      </c>
      <c r="AF865" s="79">
        <v>45082.979409722226</v>
      </c>
      <c r="AG865" s="85">
        <v>45082</v>
      </c>
      <c r="AH865" s="82" t="s">
        <v>9034</v>
      </c>
      <c r="AI865" s="77" t="b">
        <v>0</v>
      </c>
      <c r="AJ865" s="77"/>
      <c r="AK865" s="77"/>
      <c r="AL865" s="77"/>
      <c r="AM865" s="77"/>
      <c r="AN865" s="77"/>
      <c r="AO865" s="77"/>
      <c r="AP865" s="77"/>
      <c r="AQ865" s="77"/>
      <c r="AR865" s="77"/>
      <c r="AS865" s="77"/>
      <c r="AT865" s="77"/>
      <c r="AU865" s="77"/>
      <c r="AV865" s="80" t="str">
        <f>HYPERLINK("https://pbs.twimg.com/profile_images/1619161712967434240/ISM2hv8y_normal.png")</f>
        <v>https://pbs.twimg.com/profile_images/1619161712967434240/ISM2hv8y_normal.png</v>
      </c>
      <c r="AW865" s="82" t="s">
        <v>13961</v>
      </c>
      <c r="AX865" s="82" t="s">
        <v>13961</v>
      </c>
      <c r="AY865" s="77"/>
      <c r="AZ865" s="82" t="s">
        <v>17385</v>
      </c>
      <c r="BA865" s="82" t="s">
        <v>17385</v>
      </c>
      <c r="BB865" s="82" t="s">
        <v>17385</v>
      </c>
      <c r="BC865" s="82" t="s">
        <v>13961</v>
      </c>
      <c r="BD865" s="82" t="s">
        <v>17529</v>
      </c>
      <c r="BE865" s="77"/>
      <c r="BF865" s="77"/>
      <c r="BG865" s="77"/>
      <c r="BH865" s="77"/>
      <c r="BI865" s="77"/>
    </row>
    <row r="866" spans="1:61" x14ac:dyDescent="0.25">
      <c r="A866" s="62" t="s">
        <v>395</v>
      </c>
      <c r="B866" s="62" t="s">
        <v>395</v>
      </c>
      <c r="C866" s="63"/>
      <c r="D866" s="64"/>
      <c r="E866" s="65"/>
      <c r="F866" s="66"/>
      <c r="G866" s="63"/>
      <c r="H866" s="67"/>
      <c r="I866" s="68"/>
      <c r="J866" s="68"/>
      <c r="K866" s="32"/>
      <c r="L866" s="75">
        <v>866</v>
      </c>
      <c r="M866" s="75"/>
      <c r="N866" s="70"/>
      <c r="O866" s="77" t="s">
        <v>179</v>
      </c>
      <c r="P866" s="79">
        <v>45065.979305555556</v>
      </c>
      <c r="Q866" s="77" t="s">
        <v>1658</v>
      </c>
      <c r="R866" s="77">
        <v>0</v>
      </c>
      <c r="S866" s="77">
        <v>0</v>
      </c>
      <c r="T866" s="77">
        <v>0</v>
      </c>
      <c r="U866" s="77">
        <v>0</v>
      </c>
      <c r="V866" s="77">
        <v>194</v>
      </c>
      <c r="W866" s="82" t="s">
        <v>5369</v>
      </c>
      <c r="X866" s="80" t="str">
        <f>HYPERLINK("https://www.falkcapital.com.br/mercado/acoes?utm_source=twitter&amp;utm_medium=falkalertas&amp;utm_campaign=fechamentodemercado")</f>
        <v>https://www.falkcapital.com.br/mercado/acoes?utm_source=twitter&amp;utm_medium=falkalertas&amp;utm_campaign=fechamentodemercado</v>
      </c>
      <c r="Y866" s="77" t="s">
        <v>7053</v>
      </c>
      <c r="Z866" s="77"/>
      <c r="AA866" s="77"/>
      <c r="AB866" s="77"/>
      <c r="AC866" s="82" t="s">
        <v>8257</v>
      </c>
      <c r="AD866" s="77" t="s">
        <v>8278</v>
      </c>
      <c r="AE866" s="80" t="str">
        <f>HYPERLINK("https://twitter.com/falkalertas/status/1659703027593256961")</f>
        <v>https://twitter.com/falkalertas/status/1659703027593256961</v>
      </c>
      <c r="AF866" s="79">
        <v>45065.979305555556</v>
      </c>
      <c r="AG866" s="85">
        <v>45065</v>
      </c>
      <c r="AH866" s="82" t="s">
        <v>8977</v>
      </c>
      <c r="AI866" s="77" t="b">
        <v>0</v>
      </c>
      <c r="AJ866" s="77"/>
      <c r="AK866" s="77"/>
      <c r="AL866" s="77"/>
      <c r="AM866" s="77"/>
      <c r="AN866" s="77"/>
      <c r="AO866" s="77"/>
      <c r="AP866" s="77"/>
      <c r="AQ866" s="77"/>
      <c r="AR866" s="77"/>
      <c r="AS866" s="77"/>
      <c r="AT866" s="77"/>
      <c r="AU866" s="77"/>
      <c r="AV866" s="80" t="str">
        <f>HYPERLINK("https://pbs.twimg.com/profile_images/1619161712967434240/ISM2hv8y_normal.png")</f>
        <v>https://pbs.twimg.com/profile_images/1619161712967434240/ISM2hv8y_normal.png</v>
      </c>
      <c r="AW866" s="82" t="s">
        <v>13962</v>
      </c>
      <c r="AX866" s="82" t="s">
        <v>13962</v>
      </c>
      <c r="AY866" s="77"/>
      <c r="AZ866" s="82" t="s">
        <v>17385</v>
      </c>
      <c r="BA866" s="82" t="s">
        <v>17385</v>
      </c>
      <c r="BB866" s="82" t="s">
        <v>17385</v>
      </c>
      <c r="BC866" s="82" t="s">
        <v>13962</v>
      </c>
      <c r="BD866" s="82" t="s">
        <v>17529</v>
      </c>
      <c r="BE866" s="77"/>
      <c r="BF866" s="77"/>
      <c r="BG866" s="77"/>
      <c r="BH866" s="77"/>
      <c r="BI866" s="77"/>
    </row>
    <row r="867" spans="1:61" x14ac:dyDescent="0.25">
      <c r="A867" s="62" t="s">
        <v>395</v>
      </c>
      <c r="B867" s="62" t="s">
        <v>395</v>
      </c>
      <c r="C867" s="63"/>
      <c r="D867" s="64"/>
      <c r="E867" s="65"/>
      <c r="F867" s="66"/>
      <c r="G867" s="63"/>
      <c r="H867" s="67"/>
      <c r="I867" s="68"/>
      <c r="J867" s="68"/>
      <c r="K867" s="32"/>
      <c r="L867" s="75">
        <v>867</v>
      </c>
      <c r="M867" s="75"/>
      <c r="N867" s="70"/>
      <c r="O867" s="77" t="s">
        <v>179</v>
      </c>
      <c r="P867" s="79">
        <v>45065.97929398148</v>
      </c>
      <c r="Q867" s="77" t="s">
        <v>1659</v>
      </c>
      <c r="R867" s="77">
        <v>0</v>
      </c>
      <c r="S867" s="77">
        <v>0</v>
      </c>
      <c r="T867" s="77">
        <v>0</v>
      </c>
      <c r="U867" s="77">
        <v>0</v>
      </c>
      <c r="V867" s="77">
        <v>208</v>
      </c>
      <c r="W867" s="82" t="s">
        <v>5370</v>
      </c>
      <c r="X867" s="80" t="str">
        <f>HYPERLINK("https://www.falkcapital.com.br/mercado/acoes?utm_source=twitter&amp;utm_medium=falkalertas&amp;utm_campaign=fechamentodemercado")</f>
        <v>https://www.falkcapital.com.br/mercado/acoes?utm_source=twitter&amp;utm_medium=falkalertas&amp;utm_campaign=fechamentodemercado</v>
      </c>
      <c r="Y867" s="77" t="s">
        <v>7053</v>
      </c>
      <c r="Z867" s="77"/>
      <c r="AA867" s="77"/>
      <c r="AB867" s="77"/>
      <c r="AC867" s="82" t="s">
        <v>8257</v>
      </c>
      <c r="AD867" s="77" t="s">
        <v>8278</v>
      </c>
      <c r="AE867" s="80" t="str">
        <f>HYPERLINK("https://twitter.com/falkalertas/status/1659703026528010242")</f>
        <v>https://twitter.com/falkalertas/status/1659703026528010242</v>
      </c>
      <c r="AF867" s="79">
        <v>45065.97929398148</v>
      </c>
      <c r="AG867" s="85">
        <v>45065</v>
      </c>
      <c r="AH867" s="82" t="s">
        <v>8980</v>
      </c>
      <c r="AI867" s="77" t="b">
        <v>0</v>
      </c>
      <c r="AJ867" s="77"/>
      <c r="AK867" s="77"/>
      <c r="AL867" s="77"/>
      <c r="AM867" s="77"/>
      <c r="AN867" s="77"/>
      <c r="AO867" s="77"/>
      <c r="AP867" s="77"/>
      <c r="AQ867" s="77"/>
      <c r="AR867" s="77"/>
      <c r="AS867" s="77"/>
      <c r="AT867" s="77"/>
      <c r="AU867" s="77"/>
      <c r="AV867" s="80" t="str">
        <f>HYPERLINK("https://pbs.twimg.com/profile_images/1619161712967434240/ISM2hv8y_normal.png")</f>
        <v>https://pbs.twimg.com/profile_images/1619161712967434240/ISM2hv8y_normal.png</v>
      </c>
      <c r="AW867" s="82" t="s">
        <v>13963</v>
      </c>
      <c r="AX867" s="82" t="s">
        <v>13963</v>
      </c>
      <c r="AY867" s="77"/>
      <c r="AZ867" s="82" t="s">
        <v>17385</v>
      </c>
      <c r="BA867" s="82" t="s">
        <v>17385</v>
      </c>
      <c r="BB867" s="82" t="s">
        <v>17385</v>
      </c>
      <c r="BC867" s="82" t="s">
        <v>13963</v>
      </c>
      <c r="BD867" s="82" t="s">
        <v>17529</v>
      </c>
      <c r="BE867" s="77"/>
      <c r="BF867" s="77"/>
      <c r="BG867" s="77"/>
      <c r="BH867" s="77"/>
      <c r="BI867" s="77"/>
    </row>
    <row r="868" spans="1:61" x14ac:dyDescent="0.25">
      <c r="A868" s="62" t="s">
        <v>396</v>
      </c>
      <c r="B868" s="62" t="s">
        <v>395</v>
      </c>
      <c r="C868" s="63"/>
      <c r="D868" s="64"/>
      <c r="E868" s="65"/>
      <c r="F868" s="66"/>
      <c r="G868" s="63"/>
      <c r="H868" s="67"/>
      <c r="I868" s="68"/>
      <c r="J868" s="68"/>
      <c r="K868" s="32"/>
      <c r="L868" s="75">
        <v>868</v>
      </c>
      <c r="M868" s="75"/>
      <c r="N868" s="70"/>
      <c r="O868" s="77" t="s">
        <v>802</v>
      </c>
      <c r="P868" s="79">
        <v>45170.578634259262</v>
      </c>
      <c r="Q868" s="77" t="s">
        <v>1660</v>
      </c>
      <c r="R868" s="77">
        <v>0</v>
      </c>
      <c r="S868" s="77">
        <v>1</v>
      </c>
      <c r="T868" s="77">
        <v>0</v>
      </c>
      <c r="U868" s="77">
        <v>1</v>
      </c>
      <c r="V868" s="77">
        <v>111</v>
      </c>
      <c r="W868" s="77"/>
      <c r="X868" s="77"/>
      <c r="Y868" s="77"/>
      <c r="Z868" s="77" t="s">
        <v>395</v>
      </c>
      <c r="AA868" s="77"/>
      <c r="AB868" s="77"/>
      <c r="AC868" s="82" t="s">
        <v>8232</v>
      </c>
      <c r="AD868" s="77" t="s">
        <v>8278</v>
      </c>
      <c r="AE868" s="80" t="str">
        <f>HYPERLINK("https://twitter.com/fcardan/status/1697608556122431967")</f>
        <v>https://twitter.com/fcardan/status/1697608556122431967</v>
      </c>
      <c r="AF868" s="79">
        <v>45170.578634259262</v>
      </c>
      <c r="AG868" s="85">
        <v>45170</v>
      </c>
      <c r="AH868" s="82" t="s">
        <v>9035</v>
      </c>
      <c r="AI868" s="77"/>
      <c r="AJ868" s="77"/>
      <c r="AK868" s="77"/>
      <c r="AL868" s="77"/>
      <c r="AM868" s="77"/>
      <c r="AN868" s="77"/>
      <c r="AO868" s="77"/>
      <c r="AP868" s="77"/>
      <c r="AQ868" s="77"/>
      <c r="AR868" s="77"/>
      <c r="AS868" s="77"/>
      <c r="AT868" s="77"/>
      <c r="AU868" s="77"/>
      <c r="AV868" s="80" t="str">
        <f>HYPERLINK("https://pbs.twimg.com/profile_images/1011258673547698176/oKX4wRkt_normal.jpg")</f>
        <v>https://pbs.twimg.com/profile_images/1011258673547698176/oKX4wRkt_normal.jpg</v>
      </c>
      <c r="AW868" s="82" t="s">
        <v>13964</v>
      </c>
      <c r="AX868" s="82" t="s">
        <v>13964</v>
      </c>
      <c r="AY868" s="77"/>
      <c r="AZ868" s="82" t="s">
        <v>17385</v>
      </c>
      <c r="BA868" s="82" t="s">
        <v>17385</v>
      </c>
      <c r="BB868" s="82" t="s">
        <v>17385</v>
      </c>
      <c r="BC868" s="82" t="s">
        <v>13964</v>
      </c>
      <c r="BD868" s="77">
        <v>2147792989</v>
      </c>
      <c r="BE868" s="77"/>
      <c r="BF868" s="77"/>
      <c r="BG868" s="77"/>
      <c r="BH868" s="77"/>
      <c r="BI868" s="77"/>
    </row>
    <row r="869" spans="1:61" x14ac:dyDescent="0.25">
      <c r="A869" s="62" t="s">
        <v>396</v>
      </c>
      <c r="B869" s="62" t="s">
        <v>395</v>
      </c>
      <c r="C869" s="63"/>
      <c r="D869" s="64"/>
      <c r="E869" s="65"/>
      <c r="F869" s="66"/>
      <c r="G869" s="63"/>
      <c r="H869" s="67"/>
      <c r="I869" s="68"/>
      <c r="J869" s="68"/>
      <c r="K869" s="32"/>
      <c r="L869" s="75">
        <v>869</v>
      </c>
      <c r="M869" s="75"/>
      <c r="N869" s="70"/>
      <c r="O869" s="77" t="s">
        <v>804</v>
      </c>
      <c r="P869" s="79">
        <v>45175.92895833333</v>
      </c>
      <c r="Q869" s="77" t="s">
        <v>1661</v>
      </c>
      <c r="R869" s="77">
        <v>0</v>
      </c>
      <c r="S869" s="77">
        <v>2</v>
      </c>
      <c r="T869" s="77">
        <v>0</v>
      </c>
      <c r="U869" s="77">
        <v>0</v>
      </c>
      <c r="V869" s="77">
        <v>77</v>
      </c>
      <c r="W869" s="82" t="s">
        <v>5371</v>
      </c>
      <c r="X869" s="77"/>
      <c r="Y869" s="77"/>
      <c r="Z869" s="77" t="s">
        <v>395</v>
      </c>
      <c r="AA869" s="77" t="s">
        <v>7650</v>
      </c>
      <c r="AB869" s="77" t="s">
        <v>8225</v>
      </c>
      <c r="AC869" s="82" t="s">
        <v>8232</v>
      </c>
      <c r="AD869" s="77" t="s">
        <v>8278</v>
      </c>
      <c r="AE869" s="80" t="str">
        <f>HYPERLINK("https://twitter.com/fcardan/status/1699547448589324524")</f>
        <v>https://twitter.com/fcardan/status/1699547448589324524</v>
      </c>
      <c r="AF869" s="79">
        <v>45175.92895833333</v>
      </c>
      <c r="AG869" s="85">
        <v>45175</v>
      </c>
      <c r="AH869" s="82" t="s">
        <v>9036</v>
      </c>
      <c r="AI869" s="77" t="b">
        <v>0</v>
      </c>
      <c r="AJ869" s="77"/>
      <c r="AK869" s="77"/>
      <c r="AL869" s="77"/>
      <c r="AM869" s="77"/>
      <c r="AN869" s="77"/>
      <c r="AO869" s="77"/>
      <c r="AP869" s="77"/>
      <c r="AQ869" s="77" t="s">
        <v>12535</v>
      </c>
      <c r="AR869" s="77"/>
      <c r="AS869" s="77"/>
      <c r="AT869" s="77"/>
      <c r="AU869" s="77"/>
      <c r="AV869" s="80" t="str">
        <f>HYPERLINK("https://pbs.twimg.com/media/F5YBIbLW0AALth3.png")</f>
        <v>https://pbs.twimg.com/media/F5YBIbLW0AALth3.png</v>
      </c>
      <c r="AW869" s="82" t="s">
        <v>13965</v>
      </c>
      <c r="AX869" s="82" t="s">
        <v>13965</v>
      </c>
      <c r="AY869" s="77"/>
      <c r="AZ869" s="82" t="s">
        <v>17385</v>
      </c>
      <c r="BA869" s="82" t="s">
        <v>13964</v>
      </c>
      <c r="BB869" s="82" t="s">
        <v>17385</v>
      </c>
      <c r="BC869" s="82" t="s">
        <v>13964</v>
      </c>
      <c r="BD869" s="77">
        <v>2147792989</v>
      </c>
      <c r="BE869" s="77"/>
      <c r="BF869" s="77"/>
      <c r="BG869" s="77"/>
      <c r="BH869" s="77"/>
      <c r="BI869" s="77"/>
    </row>
    <row r="870" spans="1:61" x14ac:dyDescent="0.25">
      <c r="A870" s="62" t="s">
        <v>396</v>
      </c>
      <c r="B870" s="62" t="s">
        <v>396</v>
      </c>
      <c r="C870" s="63"/>
      <c r="D870" s="64"/>
      <c r="E870" s="65"/>
      <c r="F870" s="66"/>
      <c r="G870" s="63"/>
      <c r="H870" s="67"/>
      <c r="I870" s="68"/>
      <c r="J870" s="68"/>
      <c r="K870" s="32"/>
      <c r="L870" s="75">
        <v>870</v>
      </c>
      <c r="M870" s="75"/>
      <c r="N870" s="70"/>
      <c r="O870" s="77" t="s">
        <v>801</v>
      </c>
      <c r="P870" s="79">
        <v>45175.92895833333</v>
      </c>
      <c r="Q870" s="77" t="s">
        <v>1661</v>
      </c>
      <c r="R870" s="77">
        <v>0</v>
      </c>
      <c r="S870" s="77">
        <v>2</v>
      </c>
      <c r="T870" s="77">
        <v>0</v>
      </c>
      <c r="U870" s="77">
        <v>0</v>
      </c>
      <c r="V870" s="77">
        <v>77</v>
      </c>
      <c r="W870" s="82" t="s">
        <v>5371</v>
      </c>
      <c r="X870" s="77"/>
      <c r="Y870" s="77"/>
      <c r="Z870" s="77" t="s">
        <v>395</v>
      </c>
      <c r="AA870" s="77" t="s">
        <v>7650</v>
      </c>
      <c r="AB870" s="77" t="s">
        <v>8225</v>
      </c>
      <c r="AC870" s="82" t="s">
        <v>8232</v>
      </c>
      <c r="AD870" s="77" t="s">
        <v>8278</v>
      </c>
      <c r="AE870" s="80" t="str">
        <f>HYPERLINK("https://twitter.com/fcardan/status/1699547448589324524")</f>
        <v>https://twitter.com/fcardan/status/1699547448589324524</v>
      </c>
      <c r="AF870" s="79">
        <v>45175.92895833333</v>
      </c>
      <c r="AG870" s="85">
        <v>45175</v>
      </c>
      <c r="AH870" s="82" t="s">
        <v>9036</v>
      </c>
      <c r="AI870" s="77" t="b">
        <v>0</v>
      </c>
      <c r="AJ870" s="77"/>
      <c r="AK870" s="77"/>
      <c r="AL870" s="77"/>
      <c r="AM870" s="77"/>
      <c r="AN870" s="77"/>
      <c r="AO870" s="77"/>
      <c r="AP870" s="77"/>
      <c r="AQ870" s="77" t="s">
        <v>12535</v>
      </c>
      <c r="AR870" s="77"/>
      <c r="AS870" s="77"/>
      <c r="AT870" s="77"/>
      <c r="AU870" s="77"/>
      <c r="AV870" s="80" t="str">
        <f>HYPERLINK("https://pbs.twimg.com/media/F5YBIbLW0AALth3.png")</f>
        <v>https://pbs.twimg.com/media/F5YBIbLW0AALth3.png</v>
      </c>
      <c r="AW870" s="82" t="s">
        <v>13965</v>
      </c>
      <c r="AX870" s="82" t="s">
        <v>13965</v>
      </c>
      <c r="AY870" s="77"/>
      <c r="AZ870" s="82" t="s">
        <v>17385</v>
      </c>
      <c r="BA870" s="82" t="s">
        <v>13964</v>
      </c>
      <c r="BB870" s="82" t="s">
        <v>17385</v>
      </c>
      <c r="BC870" s="82" t="s">
        <v>13964</v>
      </c>
      <c r="BD870" s="77">
        <v>2147792989</v>
      </c>
      <c r="BE870" s="77"/>
      <c r="BF870" s="77"/>
      <c r="BG870" s="77"/>
      <c r="BH870" s="77"/>
      <c r="BI870" s="77"/>
    </row>
    <row r="871" spans="1:61" x14ac:dyDescent="0.25">
      <c r="A871" s="62" t="s">
        <v>397</v>
      </c>
      <c r="B871" s="62" t="s">
        <v>397</v>
      </c>
      <c r="C871" s="63"/>
      <c r="D871" s="64"/>
      <c r="E871" s="65"/>
      <c r="F871" s="66"/>
      <c r="G871" s="63"/>
      <c r="H871" s="67"/>
      <c r="I871" s="68"/>
      <c r="J871" s="68"/>
      <c r="K871" s="32"/>
      <c r="L871" s="75">
        <v>871</v>
      </c>
      <c r="M871" s="75"/>
      <c r="N871" s="70"/>
      <c r="O871" s="77" t="s">
        <v>179</v>
      </c>
      <c r="P871" s="79">
        <v>45161.912604166668</v>
      </c>
      <c r="Q871" s="77" t="s">
        <v>1662</v>
      </c>
      <c r="R871" s="77">
        <v>4</v>
      </c>
      <c r="S871" s="77">
        <v>0</v>
      </c>
      <c r="T871" s="77">
        <v>0</v>
      </c>
      <c r="U871" s="77">
        <v>0</v>
      </c>
      <c r="V871" s="77">
        <v>13</v>
      </c>
      <c r="W871" s="82" t="s">
        <v>5372</v>
      </c>
      <c r="X871" s="80" t="str">
        <f>HYPERLINK("http://dlvr.it/Sv4snP")</f>
        <v>http://dlvr.it/Sv4snP</v>
      </c>
      <c r="Y871" s="77" t="s">
        <v>7094</v>
      </c>
      <c r="Z871" s="77"/>
      <c r="AA871" s="77"/>
      <c r="AB871" s="77"/>
      <c r="AC871" s="82" t="s">
        <v>7094</v>
      </c>
      <c r="AD871" s="77" t="s">
        <v>8278</v>
      </c>
      <c r="AE871" s="80" t="str">
        <f>HYPERLINK("https://twitter.com/androidfinal/status/1694468092855042172")</f>
        <v>https://twitter.com/androidfinal/status/1694468092855042172</v>
      </c>
      <c r="AF871" s="79">
        <v>45161.912604166668</v>
      </c>
      <c r="AG871" s="85">
        <v>45161</v>
      </c>
      <c r="AH871" s="82" t="s">
        <v>9037</v>
      </c>
      <c r="AI871" s="77" t="b">
        <v>0</v>
      </c>
      <c r="AJ871" s="77"/>
      <c r="AK871" s="77"/>
      <c r="AL871" s="77"/>
      <c r="AM871" s="77"/>
      <c r="AN871" s="77"/>
      <c r="AO871" s="77"/>
      <c r="AP871" s="77"/>
      <c r="AQ871" s="77"/>
      <c r="AR871" s="77"/>
      <c r="AS871" s="77"/>
      <c r="AT871" s="77"/>
      <c r="AU871" s="77"/>
      <c r="AV871" s="80" t="str">
        <f>HYPERLINK("https://pbs.twimg.com/profile_images/1063667496446816256/UrRCc-Eg_normal.jpg")</f>
        <v>https://pbs.twimg.com/profile_images/1063667496446816256/UrRCc-Eg_normal.jpg</v>
      </c>
      <c r="AW871" s="82" t="s">
        <v>13966</v>
      </c>
      <c r="AX871" s="82" t="s">
        <v>13966</v>
      </c>
      <c r="AY871" s="77"/>
      <c r="AZ871" s="82" t="s">
        <v>17385</v>
      </c>
      <c r="BA871" s="82" t="s">
        <v>17385</v>
      </c>
      <c r="BB871" s="82" t="s">
        <v>17385</v>
      </c>
      <c r="BC871" s="82" t="s">
        <v>13966</v>
      </c>
      <c r="BD871" s="82" t="s">
        <v>17530</v>
      </c>
      <c r="BE871" s="77"/>
      <c r="BF871" s="77"/>
      <c r="BG871" s="77"/>
      <c r="BH871" s="77"/>
      <c r="BI871" s="77"/>
    </row>
    <row r="872" spans="1:61" x14ac:dyDescent="0.25">
      <c r="A872" s="62" t="s">
        <v>398</v>
      </c>
      <c r="B872" s="62" t="s">
        <v>731</v>
      </c>
      <c r="C872" s="63"/>
      <c r="D872" s="64"/>
      <c r="E872" s="65"/>
      <c r="F872" s="66"/>
      <c r="G872" s="63"/>
      <c r="H872" s="67"/>
      <c r="I872" s="68"/>
      <c r="J872" s="68"/>
      <c r="K872" s="32"/>
      <c r="L872" s="75">
        <v>872</v>
      </c>
      <c r="M872" s="75"/>
      <c r="N872" s="70"/>
      <c r="O872" s="77" t="s">
        <v>802</v>
      </c>
      <c r="P872" s="79">
        <v>45044.770833333336</v>
      </c>
      <c r="Q872" s="77" t="s">
        <v>1663</v>
      </c>
      <c r="R872" s="77">
        <v>0</v>
      </c>
      <c r="S872" s="77">
        <v>0</v>
      </c>
      <c r="T872" s="77">
        <v>0</v>
      </c>
      <c r="U872" s="77">
        <v>0</v>
      </c>
      <c r="V872" s="77">
        <v>39</v>
      </c>
      <c r="W872" s="82" t="s">
        <v>5373</v>
      </c>
      <c r="X872" s="80" t="str">
        <f>HYPERLINK("https://youtu.be/8LucG-wg_gM")</f>
        <v>https://youtu.be/8LucG-wg_gM</v>
      </c>
      <c r="Y872" s="77" t="s">
        <v>7064</v>
      </c>
      <c r="Z872" s="77" t="s">
        <v>731</v>
      </c>
      <c r="AA872" s="77"/>
      <c r="AB872" s="77"/>
      <c r="AC872" s="82" t="s">
        <v>8232</v>
      </c>
      <c r="AD872" s="77" t="s">
        <v>8278</v>
      </c>
      <c r="AE872" s="80" t="str">
        <f>HYPERLINK("https://twitter.com/urtado_cesar/status/1652017337791332392")</f>
        <v>https://twitter.com/urtado_cesar/status/1652017337791332392</v>
      </c>
      <c r="AF872" s="79">
        <v>45044.770833333336</v>
      </c>
      <c r="AG872" s="85">
        <v>45044</v>
      </c>
      <c r="AH872" s="82" t="s">
        <v>9038</v>
      </c>
      <c r="AI872" s="77" t="b">
        <v>0</v>
      </c>
      <c r="AJ872" s="77"/>
      <c r="AK872" s="77"/>
      <c r="AL872" s="77"/>
      <c r="AM872" s="77"/>
      <c r="AN872" s="77"/>
      <c r="AO872" s="77"/>
      <c r="AP872" s="77"/>
      <c r="AQ872" s="77"/>
      <c r="AR872" s="77"/>
      <c r="AS872" s="77"/>
      <c r="AT872" s="77"/>
      <c r="AU872" s="77"/>
      <c r="AV872" s="80" t="str">
        <f>HYPERLINK("https://pbs.twimg.com/profile_images/1463267535227289606/Pci45gq__normal.jpg")</f>
        <v>https://pbs.twimg.com/profile_images/1463267535227289606/Pci45gq__normal.jpg</v>
      </c>
      <c r="AW872" s="82" t="s">
        <v>13967</v>
      </c>
      <c r="AX872" s="82" t="s">
        <v>13967</v>
      </c>
      <c r="AY872" s="77"/>
      <c r="AZ872" s="82" t="s">
        <v>17385</v>
      </c>
      <c r="BA872" s="82" t="s">
        <v>17385</v>
      </c>
      <c r="BB872" s="82" t="s">
        <v>17385</v>
      </c>
      <c r="BC872" s="82" t="s">
        <v>13967</v>
      </c>
      <c r="BD872" s="82" t="s">
        <v>17531</v>
      </c>
      <c r="BE872" s="77"/>
      <c r="BF872" s="77"/>
      <c r="BG872" s="77"/>
      <c r="BH872" s="77"/>
      <c r="BI872" s="77"/>
    </row>
    <row r="873" spans="1:61" x14ac:dyDescent="0.25">
      <c r="A873" s="62" t="s">
        <v>399</v>
      </c>
      <c r="B873" s="62" t="s">
        <v>399</v>
      </c>
      <c r="C873" s="63"/>
      <c r="D873" s="64"/>
      <c r="E873" s="65"/>
      <c r="F873" s="66"/>
      <c r="G873" s="63"/>
      <c r="H873" s="67"/>
      <c r="I873" s="68"/>
      <c r="J873" s="68"/>
      <c r="K873" s="32"/>
      <c r="L873" s="75">
        <v>873</v>
      </c>
      <c r="M873" s="75"/>
      <c r="N873" s="70"/>
      <c r="O873" s="77" t="s">
        <v>179</v>
      </c>
      <c r="P873" s="79">
        <v>45058.892476851855</v>
      </c>
      <c r="Q873" s="77" t="s">
        <v>1664</v>
      </c>
      <c r="R873" s="77">
        <v>0</v>
      </c>
      <c r="S873" s="77">
        <v>0</v>
      </c>
      <c r="T873" s="77">
        <v>0</v>
      </c>
      <c r="U873" s="77">
        <v>0</v>
      </c>
      <c r="V873" s="77">
        <v>47</v>
      </c>
      <c r="W873" s="82" t="s">
        <v>5374</v>
      </c>
      <c r="X873" s="77"/>
      <c r="Y873" s="77"/>
      <c r="Z873" s="77"/>
      <c r="AA873" s="77"/>
      <c r="AB873" s="77"/>
      <c r="AC873" s="82" t="s">
        <v>8234</v>
      </c>
      <c r="AD873" s="77" t="s">
        <v>8278</v>
      </c>
      <c r="AE873" s="80" t="str">
        <f>HYPERLINK("https://twitter.com/nelsonpeixoto20/status/1657134849692499968")</f>
        <v>https://twitter.com/nelsonpeixoto20/status/1657134849692499968</v>
      </c>
      <c r="AF873" s="79">
        <v>45058.892476851855</v>
      </c>
      <c r="AG873" s="85">
        <v>45058</v>
      </c>
      <c r="AH873" s="82" t="s">
        <v>9039</v>
      </c>
      <c r="AI873" s="77"/>
      <c r="AJ873" s="77"/>
      <c r="AK873" s="77"/>
      <c r="AL873" s="77"/>
      <c r="AM873" s="77"/>
      <c r="AN873" s="77"/>
      <c r="AO873" s="77"/>
      <c r="AP873" s="77"/>
      <c r="AQ873" s="77"/>
      <c r="AR873" s="77"/>
      <c r="AS873" s="77"/>
      <c r="AT873" s="77"/>
      <c r="AU873" s="77"/>
      <c r="AV873" s="80" t="str">
        <f>HYPERLINK("https://pbs.twimg.com/profile_images/786514102860541953/GsHDtnkM_normal.jpg")</f>
        <v>https://pbs.twimg.com/profile_images/786514102860541953/GsHDtnkM_normal.jpg</v>
      </c>
      <c r="AW873" s="82" t="s">
        <v>13968</v>
      </c>
      <c r="AX873" s="82" t="s">
        <v>13968</v>
      </c>
      <c r="AY873" s="77"/>
      <c r="AZ873" s="82" t="s">
        <v>17385</v>
      </c>
      <c r="BA873" s="82" t="s">
        <v>17385</v>
      </c>
      <c r="BB873" s="82" t="s">
        <v>17385</v>
      </c>
      <c r="BC873" s="82" t="s">
        <v>13968</v>
      </c>
      <c r="BD873" s="77">
        <v>1195337472</v>
      </c>
      <c r="BE873" s="77"/>
      <c r="BF873" s="77"/>
      <c r="BG873" s="77"/>
      <c r="BH873" s="77"/>
      <c r="BI873" s="77"/>
    </row>
    <row r="874" spans="1:61" x14ac:dyDescent="0.25">
      <c r="A874" s="62" t="s">
        <v>400</v>
      </c>
      <c r="B874" s="62" t="s">
        <v>400</v>
      </c>
      <c r="C874" s="63"/>
      <c r="D874" s="64"/>
      <c r="E874" s="65"/>
      <c r="F874" s="66"/>
      <c r="G874" s="63"/>
      <c r="H874" s="67"/>
      <c r="I874" s="68"/>
      <c r="J874" s="68"/>
      <c r="K874" s="32"/>
      <c r="L874" s="75">
        <v>874</v>
      </c>
      <c r="M874" s="75"/>
      <c r="N874" s="70"/>
      <c r="O874" s="77" t="s">
        <v>179</v>
      </c>
      <c r="P874" s="79">
        <v>45139.713020833333</v>
      </c>
      <c r="Q874" s="77" t="s">
        <v>1665</v>
      </c>
      <c r="R874" s="77">
        <v>0</v>
      </c>
      <c r="S874" s="77">
        <v>4</v>
      </c>
      <c r="T874" s="77">
        <v>1</v>
      </c>
      <c r="U874" s="77">
        <v>0</v>
      </c>
      <c r="V874" s="77">
        <v>1355</v>
      </c>
      <c r="W874" s="82" t="s">
        <v>5375</v>
      </c>
      <c r="X874" s="77"/>
      <c r="Y874" s="77"/>
      <c r="Z874" s="77"/>
      <c r="AA874" s="77" t="s">
        <v>7651</v>
      </c>
      <c r="AB874" s="77" t="s">
        <v>8227</v>
      </c>
      <c r="AC874" s="82" t="s">
        <v>8232</v>
      </c>
      <c r="AD874" s="77" t="s">
        <v>8278</v>
      </c>
      <c r="AE874" s="80" t="str">
        <f>HYPERLINK("https://twitter.com/mpzae/status/1686423234013548565")</f>
        <v>https://twitter.com/mpzae/status/1686423234013548565</v>
      </c>
      <c r="AF874" s="79">
        <v>45139.713020833333</v>
      </c>
      <c r="AG874" s="85">
        <v>45139</v>
      </c>
      <c r="AH874" s="82" t="s">
        <v>9040</v>
      </c>
      <c r="AI874" s="77" t="b">
        <v>0</v>
      </c>
      <c r="AJ874" s="77"/>
      <c r="AK874" s="77"/>
      <c r="AL874" s="77"/>
      <c r="AM874" s="77"/>
      <c r="AN874" s="77"/>
      <c r="AO874" s="77"/>
      <c r="AP874" s="77"/>
      <c r="AQ874" s="77" t="s">
        <v>12536</v>
      </c>
      <c r="AR874" s="77">
        <v>72605</v>
      </c>
      <c r="AS874" s="77"/>
      <c r="AT874" s="77"/>
      <c r="AU874" s="77"/>
      <c r="AV874" s="80" t="str">
        <f>HYPERLINK("https://pbs.twimg.com/ext_tw_video_thumb/1686421556052873226/pu/img/qba_C2Dj79VGpewA.jpg")</f>
        <v>https://pbs.twimg.com/ext_tw_video_thumb/1686421556052873226/pu/img/qba_C2Dj79VGpewA.jpg</v>
      </c>
      <c r="AW874" s="82" t="s">
        <v>13969</v>
      </c>
      <c r="AX874" s="82" t="s">
        <v>13969</v>
      </c>
      <c r="AY874" s="77"/>
      <c r="AZ874" s="82" t="s">
        <v>17385</v>
      </c>
      <c r="BA874" s="82" t="s">
        <v>17385</v>
      </c>
      <c r="BB874" s="82" t="s">
        <v>17385</v>
      </c>
      <c r="BC874" s="82" t="s">
        <v>13969</v>
      </c>
      <c r="BD874" s="82" t="s">
        <v>17532</v>
      </c>
      <c r="BE874" s="77"/>
      <c r="BF874" s="77"/>
      <c r="BG874" s="77"/>
      <c r="BH874" s="77"/>
      <c r="BI874" s="77"/>
    </row>
    <row r="875" spans="1:61" x14ac:dyDescent="0.25">
      <c r="A875" s="62" t="s">
        <v>401</v>
      </c>
      <c r="B875" s="62" t="s">
        <v>401</v>
      </c>
      <c r="C875" s="63"/>
      <c r="D875" s="64"/>
      <c r="E875" s="65"/>
      <c r="F875" s="66"/>
      <c r="G875" s="63"/>
      <c r="H875" s="67"/>
      <c r="I875" s="68"/>
      <c r="J875" s="68"/>
      <c r="K875" s="32"/>
      <c r="L875" s="75">
        <v>875</v>
      </c>
      <c r="M875" s="75"/>
      <c r="N875" s="70"/>
      <c r="O875" s="77" t="s">
        <v>179</v>
      </c>
      <c r="P875" s="79">
        <v>45149.194513888891</v>
      </c>
      <c r="Q875" s="77" t="s">
        <v>1666</v>
      </c>
      <c r="R875" s="77">
        <v>1</v>
      </c>
      <c r="S875" s="77">
        <v>1</v>
      </c>
      <c r="T875" s="77">
        <v>0</v>
      </c>
      <c r="U875" s="77">
        <v>0</v>
      </c>
      <c r="V875" s="77">
        <v>30</v>
      </c>
      <c r="W875" s="82" t="s">
        <v>5376</v>
      </c>
      <c r="X875" s="77"/>
      <c r="Y875" s="77"/>
      <c r="Z875" s="77"/>
      <c r="AA875" s="77"/>
      <c r="AB875" s="77"/>
      <c r="AC875" s="82" t="s">
        <v>8234</v>
      </c>
      <c r="AD875" s="77" t="s">
        <v>8278</v>
      </c>
      <c r="AE875" s="80" t="str">
        <f>HYPERLINK("https://twitter.com/edivaniobs/status/1689859209335017474")</f>
        <v>https://twitter.com/edivaniobs/status/1689859209335017474</v>
      </c>
      <c r="AF875" s="79">
        <v>45149.194513888891</v>
      </c>
      <c r="AG875" s="85">
        <v>45149</v>
      </c>
      <c r="AH875" s="82" t="s">
        <v>9041</v>
      </c>
      <c r="AI875" s="77"/>
      <c r="AJ875" s="77"/>
      <c r="AK875" s="77"/>
      <c r="AL875" s="77"/>
      <c r="AM875" s="77"/>
      <c r="AN875" s="77"/>
      <c r="AO875" s="77"/>
      <c r="AP875" s="77"/>
      <c r="AQ875" s="77"/>
      <c r="AR875" s="77"/>
      <c r="AS875" s="77"/>
      <c r="AT875" s="77"/>
      <c r="AU875" s="77"/>
      <c r="AV875" s="80" t="str">
        <f>HYPERLINK("https://pbs.twimg.com/profile_images/1226689296125628416/-3reXyCa_normal.jpg")</f>
        <v>https://pbs.twimg.com/profile_images/1226689296125628416/-3reXyCa_normal.jpg</v>
      </c>
      <c r="AW875" s="82" t="s">
        <v>13970</v>
      </c>
      <c r="AX875" s="82" t="s">
        <v>13970</v>
      </c>
      <c r="AY875" s="77"/>
      <c r="AZ875" s="82" t="s">
        <v>17385</v>
      </c>
      <c r="BA875" s="82" t="s">
        <v>17385</v>
      </c>
      <c r="BB875" s="82" t="s">
        <v>17385</v>
      </c>
      <c r="BC875" s="82" t="s">
        <v>13970</v>
      </c>
      <c r="BD875" s="82" t="s">
        <v>17533</v>
      </c>
      <c r="BE875" s="77"/>
      <c r="BF875" s="77"/>
      <c r="BG875" s="77"/>
      <c r="BH875" s="77"/>
      <c r="BI875" s="77"/>
    </row>
    <row r="876" spans="1:61" x14ac:dyDescent="0.25">
      <c r="A876" s="62" t="s">
        <v>402</v>
      </c>
      <c r="B876" s="62" t="s">
        <v>402</v>
      </c>
      <c r="C876" s="63"/>
      <c r="D876" s="64"/>
      <c r="E876" s="65"/>
      <c r="F876" s="66"/>
      <c r="G876" s="63"/>
      <c r="H876" s="67"/>
      <c r="I876" s="68"/>
      <c r="J876" s="68"/>
      <c r="K876" s="32"/>
      <c r="L876" s="75">
        <v>876</v>
      </c>
      <c r="M876" s="75"/>
      <c r="N876" s="70"/>
      <c r="O876" s="77" t="s">
        <v>179</v>
      </c>
      <c r="P876" s="79">
        <v>45134.498761574076</v>
      </c>
      <c r="Q876" s="77" t="s">
        <v>1667</v>
      </c>
      <c r="R876" s="77">
        <v>0</v>
      </c>
      <c r="S876" s="77">
        <v>0</v>
      </c>
      <c r="T876" s="77">
        <v>0</v>
      </c>
      <c r="U876" s="77">
        <v>0</v>
      </c>
      <c r="V876" s="77">
        <v>22</v>
      </c>
      <c r="W876" s="82" t="s">
        <v>5377</v>
      </c>
      <c r="X876" s="77"/>
      <c r="Y876" s="77"/>
      <c r="Z876" s="77"/>
      <c r="AA876" s="77" t="s">
        <v>7652</v>
      </c>
      <c r="AB876" s="77" t="s">
        <v>8225</v>
      </c>
      <c r="AC876" s="82" t="s">
        <v>8233</v>
      </c>
      <c r="AD876" s="77" t="s">
        <v>8278</v>
      </c>
      <c r="AE876" s="80" t="str">
        <f>HYPERLINK("https://twitter.com/edmarbertolo/status/1684533647183953921")</f>
        <v>https://twitter.com/edmarbertolo/status/1684533647183953921</v>
      </c>
      <c r="AF876" s="79">
        <v>45134.498761574076</v>
      </c>
      <c r="AG876" s="85">
        <v>45134</v>
      </c>
      <c r="AH876" s="82" t="s">
        <v>9042</v>
      </c>
      <c r="AI876" s="77" t="b">
        <v>0</v>
      </c>
      <c r="AJ876" s="77"/>
      <c r="AK876" s="77"/>
      <c r="AL876" s="77"/>
      <c r="AM876" s="77"/>
      <c r="AN876" s="77"/>
      <c r="AO876" s="77"/>
      <c r="AP876" s="77"/>
      <c r="AQ876" s="77" t="s">
        <v>12537</v>
      </c>
      <c r="AR876" s="77"/>
      <c r="AS876" s="77"/>
      <c r="AT876" s="77"/>
      <c r="AU876" s="77"/>
      <c r="AV876" s="80" t="str">
        <f>HYPERLINK("https://pbs.twimg.com/media/F2CqbDjWUAAEM9I.jpg")</f>
        <v>https://pbs.twimg.com/media/F2CqbDjWUAAEM9I.jpg</v>
      </c>
      <c r="AW876" s="82" t="s">
        <v>13971</v>
      </c>
      <c r="AX876" s="82" t="s">
        <v>13971</v>
      </c>
      <c r="AY876" s="77"/>
      <c r="AZ876" s="82" t="s">
        <v>17385</v>
      </c>
      <c r="BA876" s="82" t="s">
        <v>17385</v>
      </c>
      <c r="BB876" s="82" t="s">
        <v>17385</v>
      </c>
      <c r="BC876" s="82" t="s">
        <v>13971</v>
      </c>
      <c r="BD876" s="77">
        <v>277177609</v>
      </c>
      <c r="BE876" s="77"/>
      <c r="BF876" s="77"/>
      <c r="BG876" s="77"/>
      <c r="BH876" s="77"/>
      <c r="BI876" s="77"/>
    </row>
    <row r="877" spans="1:61" x14ac:dyDescent="0.25">
      <c r="A877" s="62" t="s">
        <v>403</v>
      </c>
      <c r="B877" s="62" t="s">
        <v>403</v>
      </c>
      <c r="C877" s="63"/>
      <c r="D877" s="64"/>
      <c r="E877" s="65"/>
      <c r="F877" s="66"/>
      <c r="G877" s="63"/>
      <c r="H877" s="67"/>
      <c r="I877" s="68"/>
      <c r="J877" s="68"/>
      <c r="K877" s="32"/>
      <c r="L877" s="75">
        <v>877</v>
      </c>
      <c r="M877" s="75"/>
      <c r="N877" s="70"/>
      <c r="O877" s="77" t="s">
        <v>179</v>
      </c>
      <c r="P877" s="79">
        <v>45076.577638888892</v>
      </c>
      <c r="Q877" s="77" t="s">
        <v>1668</v>
      </c>
      <c r="R877" s="77">
        <v>1</v>
      </c>
      <c r="S877" s="77">
        <v>4</v>
      </c>
      <c r="T877" s="77">
        <v>0</v>
      </c>
      <c r="U877" s="77">
        <v>0</v>
      </c>
      <c r="V877" s="77">
        <v>671</v>
      </c>
      <c r="W877" s="82" t="s">
        <v>5378</v>
      </c>
      <c r="X877" s="80" t="str">
        <f>HYPERLINK("https://mla.bs/da9685c7")</f>
        <v>https://mla.bs/da9685c7</v>
      </c>
      <c r="Y877" s="77" t="s">
        <v>7095</v>
      </c>
      <c r="Z877" s="77"/>
      <c r="AA877" s="77"/>
      <c r="AB877" s="77"/>
      <c r="AC877" s="82" t="s">
        <v>8235</v>
      </c>
      <c r="AD877" s="77" t="s">
        <v>8278</v>
      </c>
      <c r="AE877" s="80" t="str">
        <f>HYPERLINK("https://twitter.com/einvestidor/status/1663543734871687175")</f>
        <v>https://twitter.com/einvestidor/status/1663543734871687175</v>
      </c>
      <c r="AF877" s="79">
        <v>45076.577638888892</v>
      </c>
      <c r="AG877" s="85">
        <v>45076</v>
      </c>
      <c r="AH877" s="82" t="s">
        <v>9043</v>
      </c>
      <c r="AI877" s="77" t="b">
        <v>0</v>
      </c>
      <c r="AJ877" s="77"/>
      <c r="AK877" s="77"/>
      <c r="AL877" s="77"/>
      <c r="AM877" s="77"/>
      <c r="AN877" s="77"/>
      <c r="AO877" s="77"/>
      <c r="AP877" s="77"/>
      <c r="AQ877" s="77"/>
      <c r="AR877" s="77"/>
      <c r="AS877" s="77"/>
      <c r="AT877" s="77"/>
      <c r="AU877" s="77"/>
      <c r="AV877" s="80" t="str">
        <f>HYPERLINK("https://pbs.twimg.com/profile_images/1241147984924082183/gZgx_hL-_normal.jpg")</f>
        <v>https://pbs.twimg.com/profile_images/1241147984924082183/gZgx_hL-_normal.jpg</v>
      </c>
      <c r="AW877" s="82" t="s">
        <v>13972</v>
      </c>
      <c r="AX877" s="82" t="s">
        <v>13972</v>
      </c>
      <c r="AY877" s="77"/>
      <c r="AZ877" s="82" t="s">
        <v>17385</v>
      </c>
      <c r="BA877" s="82" t="s">
        <v>17385</v>
      </c>
      <c r="BB877" s="82" t="s">
        <v>17385</v>
      </c>
      <c r="BC877" s="82" t="s">
        <v>13972</v>
      </c>
      <c r="BD877" s="82" t="s">
        <v>17534</v>
      </c>
      <c r="BE877" s="77"/>
      <c r="BF877" s="77"/>
      <c r="BG877" s="77"/>
      <c r="BH877" s="77"/>
      <c r="BI877" s="77"/>
    </row>
    <row r="878" spans="1:61" x14ac:dyDescent="0.25">
      <c r="A878" s="62" t="s">
        <v>403</v>
      </c>
      <c r="B878" s="62" t="s">
        <v>403</v>
      </c>
      <c r="C878" s="63"/>
      <c r="D878" s="64"/>
      <c r="E878" s="65"/>
      <c r="F878" s="66"/>
      <c r="G878" s="63"/>
      <c r="H878" s="67"/>
      <c r="I878" s="68"/>
      <c r="J878" s="68"/>
      <c r="K878" s="32"/>
      <c r="L878" s="75">
        <v>878</v>
      </c>
      <c r="M878" s="75"/>
      <c r="N878" s="70"/>
      <c r="O878" s="77" t="s">
        <v>179</v>
      </c>
      <c r="P878" s="79">
        <v>45131.569444444445</v>
      </c>
      <c r="Q878" s="77" t="s">
        <v>1669</v>
      </c>
      <c r="R878" s="77">
        <v>0</v>
      </c>
      <c r="S878" s="77">
        <v>0</v>
      </c>
      <c r="T878" s="77">
        <v>0</v>
      </c>
      <c r="U878" s="77">
        <v>0</v>
      </c>
      <c r="V878" s="77">
        <v>627</v>
      </c>
      <c r="W878" s="82" t="s">
        <v>5379</v>
      </c>
      <c r="X878" s="80" t="str">
        <f>HYPERLINK("https://mla.bs/da757770")</f>
        <v>https://mla.bs/da757770</v>
      </c>
      <c r="Y878" s="77" t="s">
        <v>7095</v>
      </c>
      <c r="Z878" s="77"/>
      <c r="AA878" s="77"/>
      <c r="AB878" s="77"/>
      <c r="AC878" s="82" t="s">
        <v>8239</v>
      </c>
      <c r="AD878" s="77" t="s">
        <v>8278</v>
      </c>
      <c r="AE878" s="80" t="str">
        <f>HYPERLINK("https://twitter.com/einvestidor/status/1683472097916653569")</f>
        <v>https://twitter.com/einvestidor/status/1683472097916653569</v>
      </c>
      <c r="AF878" s="79">
        <v>45131.569444444445</v>
      </c>
      <c r="AG878" s="85">
        <v>45131</v>
      </c>
      <c r="AH878" s="82" t="s">
        <v>9044</v>
      </c>
      <c r="AI878" s="77" t="b">
        <v>0</v>
      </c>
      <c r="AJ878" s="77"/>
      <c r="AK878" s="77"/>
      <c r="AL878" s="77"/>
      <c r="AM878" s="77"/>
      <c r="AN878" s="77"/>
      <c r="AO878" s="77"/>
      <c r="AP878" s="77"/>
      <c r="AQ878" s="77"/>
      <c r="AR878" s="77"/>
      <c r="AS878" s="77"/>
      <c r="AT878" s="77"/>
      <c r="AU878" s="77"/>
      <c r="AV878" s="80" t="str">
        <f>HYPERLINK("https://pbs.twimg.com/profile_images/1241147984924082183/gZgx_hL-_normal.jpg")</f>
        <v>https://pbs.twimg.com/profile_images/1241147984924082183/gZgx_hL-_normal.jpg</v>
      </c>
      <c r="AW878" s="82" t="s">
        <v>13973</v>
      </c>
      <c r="AX878" s="82" t="s">
        <v>13973</v>
      </c>
      <c r="AY878" s="77"/>
      <c r="AZ878" s="82" t="s">
        <v>17385</v>
      </c>
      <c r="BA878" s="82" t="s">
        <v>17385</v>
      </c>
      <c r="BB878" s="82" t="s">
        <v>17385</v>
      </c>
      <c r="BC878" s="82" t="s">
        <v>13973</v>
      </c>
      <c r="BD878" s="82" t="s">
        <v>17534</v>
      </c>
      <c r="BE878" s="77"/>
      <c r="BF878" s="77"/>
      <c r="BG878" s="77"/>
      <c r="BH878" s="77"/>
      <c r="BI878" s="77"/>
    </row>
    <row r="879" spans="1:61" x14ac:dyDescent="0.25">
      <c r="A879" s="62" t="s">
        <v>403</v>
      </c>
      <c r="B879" s="62" t="s">
        <v>403</v>
      </c>
      <c r="C879" s="63"/>
      <c r="D879" s="64"/>
      <c r="E879" s="65"/>
      <c r="F879" s="66"/>
      <c r="G879" s="63"/>
      <c r="H879" s="67"/>
      <c r="I879" s="68"/>
      <c r="J879" s="68"/>
      <c r="K879" s="32"/>
      <c r="L879" s="75">
        <v>879</v>
      </c>
      <c r="M879" s="75"/>
      <c r="N879" s="70"/>
      <c r="O879" s="77" t="s">
        <v>179</v>
      </c>
      <c r="P879" s="79">
        <v>45121.000428240739</v>
      </c>
      <c r="Q879" s="77" t="s">
        <v>1670</v>
      </c>
      <c r="R879" s="77">
        <v>0</v>
      </c>
      <c r="S879" s="77">
        <v>5</v>
      </c>
      <c r="T879" s="77">
        <v>0</v>
      </c>
      <c r="U879" s="77">
        <v>0</v>
      </c>
      <c r="V879" s="77">
        <v>858</v>
      </c>
      <c r="W879" s="82" t="s">
        <v>5380</v>
      </c>
      <c r="X879" s="80" t="str">
        <f>HYPERLINK("https://mla.bs/e640ed50")</f>
        <v>https://mla.bs/e640ed50</v>
      </c>
      <c r="Y879" s="77" t="s">
        <v>7095</v>
      </c>
      <c r="Z879" s="77"/>
      <c r="AA879" s="77"/>
      <c r="AB879" s="77"/>
      <c r="AC879" s="82" t="s">
        <v>8235</v>
      </c>
      <c r="AD879" s="77" t="s">
        <v>8278</v>
      </c>
      <c r="AE879" s="80" t="str">
        <f>HYPERLINK("https://twitter.com/einvestidor/status/1679642017750474752")</f>
        <v>https://twitter.com/einvestidor/status/1679642017750474752</v>
      </c>
      <c r="AF879" s="79">
        <v>45121.000428240739</v>
      </c>
      <c r="AG879" s="85">
        <v>45121</v>
      </c>
      <c r="AH879" s="82" t="s">
        <v>9045</v>
      </c>
      <c r="AI879" s="77" t="b">
        <v>0</v>
      </c>
      <c r="AJ879" s="77"/>
      <c r="AK879" s="77"/>
      <c r="AL879" s="77"/>
      <c r="AM879" s="77"/>
      <c r="AN879" s="77"/>
      <c r="AO879" s="77"/>
      <c r="AP879" s="77"/>
      <c r="AQ879" s="77"/>
      <c r="AR879" s="77"/>
      <c r="AS879" s="77"/>
      <c r="AT879" s="77"/>
      <c r="AU879" s="77"/>
      <c r="AV879" s="80" t="str">
        <f>HYPERLINK("https://pbs.twimg.com/profile_images/1241147984924082183/gZgx_hL-_normal.jpg")</f>
        <v>https://pbs.twimg.com/profile_images/1241147984924082183/gZgx_hL-_normal.jpg</v>
      </c>
      <c r="AW879" s="82" t="s">
        <v>13974</v>
      </c>
      <c r="AX879" s="82" t="s">
        <v>13974</v>
      </c>
      <c r="AY879" s="77"/>
      <c r="AZ879" s="82" t="s">
        <v>17385</v>
      </c>
      <c r="BA879" s="82" t="s">
        <v>17385</v>
      </c>
      <c r="BB879" s="82" t="s">
        <v>17385</v>
      </c>
      <c r="BC879" s="82" t="s">
        <v>13974</v>
      </c>
      <c r="BD879" s="82" t="s">
        <v>17534</v>
      </c>
      <c r="BE879" s="77"/>
      <c r="BF879" s="77"/>
      <c r="BG879" s="77"/>
      <c r="BH879" s="77"/>
      <c r="BI879" s="77"/>
    </row>
    <row r="880" spans="1:61" x14ac:dyDescent="0.25">
      <c r="A880" s="62" t="s">
        <v>403</v>
      </c>
      <c r="B880" s="62" t="s">
        <v>403</v>
      </c>
      <c r="C880" s="63"/>
      <c r="D880" s="64"/>
      <c r="E880" s="65"/>
      <c r="F880" s="66"/>
      <c r="G880" s="63"/>
      <c r="H880" s="67"/>
      <c r="I880" s="68"/>
      <c r="J880" s="68"/>
      <c r="K880" s="32"/>
      <c r="L880" s="75">
        <v>880</v>
      </c>
      <c r="M880" s="75"/>
      <c r="N880" s="70"/>
      <c r="O880" s="77" t="s">
        <v>179</v>
      </c>
      <c r="P880" s="79">
        <v>45150.625023148146</v>
      </c>
      <c r="Q880" s="77" t="s">
        <v>1671</v>
      </c>
      <c r="R880" s="77">
        <v>0</v>
      </c>
      <c r="S880" s="77">
        <v>0</v>
      </c>
      <c r="T880" s="77">
        <v>0</v>
      </c>
      <c r="U880" s="77">
        <v>0</v>
      </c>
      <c r="V880" s="77">
        <v>578</v>
      </c>
      <c r="W880" s="82" t="s">
        <v>5381</v>
      </c>
      <c r="X880" s="77"/>
      <c r="Y880" s="77"/>
      <c r="Z880" s="77"/>
      <c r="AA880" s="77" t="s">
        <v>7653</v>
      </c>
      <c r="AB880" s="77" t="s">
        <v>8227</v>
      </c>
      <c r="AC880" s="82" t="s">
        <v>8239</v>
      </c>
      <c r="AD880" s="77" t="s">
        <v>8278</v>
      </c>
      <c r="AE880" s="80" t="str">
        <f>HYPERLINK("https://twitter.com/einvestidor/status/1690377611158171648")</f>
        <v>https://twitter.com/einvestidor/status/1690377611158171648</v>
      </c>
      <c r="AF880" s="79">
        <v>45150.625023148146</v>
      </c>
      <c r="AG880" s="85">
        <v>45150</v>
      </c>
      <c r="AH880" s="82" t="s">
        <v>9046</v>
      </c>
      <c r="AI880" s="77" t="b">
        <v>0</v>
      </c>
      <c r="AJ880" s="77"/>
      <c r="AK880" s="77"/>
      <c r="AL880" s="77"/>
      <c r="AM880" s="77"/>
      <c r="AN880" s="77"/>
      <c r="AO880" s="77"/>
      <c r="AP880" s="77"/>
      <c r="AQ880" s="77" t="s">
        <v>12538</v>
      </c>
      <c r="AR880" s="77">
        <v>75408</v>
      </c>
      <c r="AS880" s="77"/>
      <c r="AT880" s="77"/>
      <c r="AU880" s="77"/>
      <c r="AV880" s="80" t="str">
        <f>HYPERLINK("https://pbs.twimg.com/ext_tw_video_thumb/1690332180394778624/pu/img/_KqGuGpTVZmsuFlY.jpg")</f>
        <v>https://pbs.twimg.com/ext_tw_video_thumb/1690332180394778624/pu/img/_KqGuGpTVZmsuFlY.jpg</v>
      </c>
      <c r="AW880" s="82" t="s">
        <v>13975</v>
      </c>
      <c r="AX880" s="82" t="s">
        <v>13975</v>
      </c>
      <c r="AY880" s="77"/>
      <c r="AZ880" s="82" t="s">
        <v>17385</v>
      </c>
      <c r="BA880" s="82" t="s">
        <v>17385</v>
      </c>
      <c r="BB880" s="82" t="s">
        <v>17385</v>
      </c>
      <c r="BC880" s="82" t="s">
        <v>13975</v>
      </c>
      <c r="BD880" s="82" t="s">
        <v>17534</v>
      </c>
      <c r="BE880" s="77"/>
      <c r="BF880" s="77"/>
      <c r="BG880" s="77"/>
      <c r="BH880" s="77"/>
      <c r="BI880" s="77"/>
    </row>
    <row r="881" spans="1:61" x14ac:dyDescent="0.25">
      <c r="A881" s="62" t="s">
        <v>404</v>
      </c>
      <c r="B881" s="62" t="s">
        <v>403</v>
      </c>
      <c r="C881" s="63"/>
      <c r="D881" s="64"/>
      <c r="E881" s="65"/>
      <c r="F881" s="66"/>
      <c r="G881" s="63"/>
      <c r="H881" s="67"/>
      <c r="I881" s="68"/>
      <c r="J881" s="68"/>
      <c r="K881" s="32"/>
      <c r="L881" s="75">
        <v>881</v>
      </c>
      <c r="M881" s="75"/>
      <c r="N881" s="70"/>
      <c r="O881" s="77" t="s">
        <v>802</v>
      </c>
      <c r="P881" s="79">
        <v>45069.587372685186</v>
      </c>
      <c r="Q881" s="77" t="s">
        <v>1672</v>
      </c>
      <c r="R881" s="77">
        <v>1</v>
      </c>
      <c r="S881" s="77">
        <v>1</v>
      </c>
      <c r="T881" s="77">
        <v>0</v>
      </c>
      <c r="U881" s="77">
        <v>0</v>
      </c>
      <c r="V881" s="77">
        <v>1028</v>
      </c>
      <c r="W881" s="82" t="s">
        <v>5382</v>
      </c>
      <c r="X881" s="77"/>
      <c r="Y881" s="77"/>
      <c r="Z881" s="77" t="s">
        <v>403</v>
      </c>
      <c r="AA881" s="77"/>
      <c r="AB881" s="77"/>
      <c r="AC881" s="82" t="s">
        <v>8232</v>
      </c>
      <c r="AD881" s="77" t="s">
        <v>8278</v>
      </c>
      <c r="AE881" s="80" t="str">
        <f>HYPERLINK("https://twitter.com/trademapapp/status/1661010549772292099")</f>
        <v>https://twitter.com/trademapapp/status/1661010549772292099</v>
      </c>
      <c r="AF881" s="79">
        <v>45069.587372685186</v>
      </c>
      <c r="AG881" s="85">
        <v>45069</v>
      </c>
      <c r="AH881" s="82" t="s">
        <v>9047</v>
      </c>
      <c r="AI881" s="77"/>
      <c r="AJ881" s="77"/>
      <c r="AK881" s="77"/>
      <c r="AL881" s="77"/>
      <c r="AM881" s="77"/>
      <c r="AN881" s="77"/>
      <c r="AO881" s="77"/>
      <c r="AP881" s="77"/>
      <c r="AQ881" s="77"/>
      <c r="AR881" s="77"/>
      <c r="AS881" s="77"/>
      <c r="AT881" s="77"/>
      <c r="AU881" s="77"/>
      <c r="AV881" s="80" t="str">
        <f>HYPERLINK("https://pbs.twimg.com/profile_images/1527256917663485953/N5V3KY89_normal.jpg")</f>
        <v>https://pbs.twimg.com/profile_images/1527256917663485953/N5V3KY89_normal.jpg</v>
      </c>
      <c r="AW881" s="82" t="s">
        <v>13976</v>
      </c>
      <c r="AX881" s="82" t="s">
        <v>13976</v>
      </c>
      <c r="AY881" s="77"/>
      <c r="AZ881" s="82" t="s">
        <v>17385</v>
      </c>
      <c r="BA881" s="82" t="s">
        <v>17385</v>
      </c>
      <c r="BB881" s="82" t="s">
        <v>17385</v>
      </c>
      <c r="BC881" s="82" t="s">
        <v>13976</v>
      </c>
      <c r="BD881" s="82" t="s">
        <v>17535</v>
      </c>
      <c r="BE881" s="77"/>
      <c r="BF881" s="77"/>
      <c r="BG881" s="77"/>
      <c r="BH881" s="77"/>
      <c r="BI881" s="77"/>
    </row>
    <row r="882" spans="1:61" x14ac:dyDescent="0.25">
      <c r="A882" s="62" t="s">
        <v>404</v>
      </c>
      <c r="B882" s="62" t="s">
        <v>404</v>
      </c>
      <c r="C882" s="63"/>
      <c r="D882" s="64"/>
      <c r="E882" s="65"/>
      <c r="F882" s="66"/>
      <c r="G882" s="63"/>
      <c r="H882" s="67"/>
      <c r="I882" s="68"/>
      <c r="J882" s="68"/>
      <c r="K882" s="32"/>
      <c r="L882" s="75">
        <v>882</v>
      </c>
      <c r="M882" s="75"/>
      <c r="N882" s="70"/>
      <c r="O882" s="77" t="s">
        <v>179</v>
      </c>
      <c r="P882" s="79">
        <v>45182.729618055557</v>
      </c>
      <c r="Q882" s="77" t="s">
        <v>1673</v>
      </c>
      <c r="R882" s="77">
        <v>0</v>
      </c>
      <c r="S882" s="77">
        <v>1</v>
      </c>
      <c r="T882" s="77">
        <v>0</v>
      </c>
      <c r="U882" s="77">
        <v>0</v>
      </c>
      <c r="V882" s="77">
        <v>845</v>
      </c>
      <c r="W882" s="82" t="s">
        <v>5383</v>
      </c>
      <c r="X882" s="80" t="str">
        <f>HYPERLINK("https://trademap.com.br/semana-do-cliente-2023?utm_source=twitter&amp;utm_medium=tweet&amp;utm_campaign=semana-do-cliente-2023")</f>
        <v>https://trademap.com.br/semana-do-cliente-2023?utm_source=twitter&amp;utm_medium=tweet&amp;utm_campaign=semana-do-cliente-2023</v>
      </c>
      <c r="Y882" s="77" t="s">
        <v>7053</v>
      </c>
      <c r="Z882" s="77"/>
      <c r="AA882" s="77" t="s">
        <v>7654</v>
      </c>
      <c r="AB882" s="77" t="s">
        <v>8225</v>
      </c>
      <c r="AC882" s="82" t="s">
        <v>8232</v>
      </c>
      <c r="AD882" s="77" t="s">
        <v>8278</v>
      </c>
      <c r="AE882" s="80" t="str">
        <f>HYPERLINK("https://twitter.com/trademapapp/status/1702011927159886016")</f>
        <v>https://twitter.com/trademapapp/status/1702011927159886016</v>
      </c>
      <c r="AF882" s="79">
        <v>45182.729618055557</v>
      </c>
      <c r="AG882" s="85">
        <v>45182</v>
      </c>
      <c r="AH882" s="82" t="s">
        <v>8656</v>
      </c>
      <c r="AI882" s="77" t="b">
        <v>0</v>
      </c>
      <c r="AJ882" s="77"/>
      <c r="AK882" s="77"/>
      <c r="AL882" s="77"/>
      <c r="AM882" s="77"/>
      <c r="AN882" s="77"/>
      <c r="AO882" s="77"/>
      <c r="AP882" s="77"/>
      <c r="AQ882" s="77" t="s">
        <v>12539</v>
      </c>
      <c r="AR882" s="77"/>
      <c r="AS882" s="77"/>
      <c r="AT882" s="77"/>
      <c r="AU882" s="77"/>
      <c r="AV882" s="80" t="str">
        <f>HYPERLINK("https://pbs.twimg.com/media/F57CX_gWAAA7rFb.jpg")</f>
        <v>https://pbs.twimg.com/media/F57CX_gWAAA7rFb.jpg</v>
      </c>
      <c r="AW882" s="82" t="s">
        <v>13977</v>
      </c>
      <c r="AX882" s="82" t="s">
        <v>13977</v>
      </c>
      <c r="AY882" s="77"/>
      <c r="AZ882" s="82" t="s">
        <v>17385</v>
      </c>
      <c r="BA882" s="82" t="s">
        <v>17385</v>
      </c>
      <c r="BB882" s="82" t="s">
        <v>17385</v>
      </c>
      <c r="BC882" s="82" t="s">
        <v>13977</v>
      </c>
      <c r="BD882" s="82" t="s">
        <v>17535</v>
      </c>
      <c r="BE882" s="77"/>
      <c r="BF882" s="77"/>
      <c r="BG882" s="77"/>
      <c r="BH882" s="77"/>
      <c r="BI882" s="77"/>
    </row>
    <row r="883" spans="1:61" x14ac:dyDescent="0.25">
      <c r="A883" s="62" t="s">
        <v>404</v>
      </c>
      <c r="B883" s="62" t="s">
        <v>404</v>
      </c>
      <c r="C883" s="63"/>
      <c r="D883" s="64"/>
      <c r="E883" s="65"/>
      <c r="F883" s="66"/>
      <c r="G883" s="63"/>
      <c r="H883" s="67"/>
      <c r="I883" s="68"/>
      <c r="J883" s="68"/>
      <c r="K883" s="32"/>
      <c r="L883" s="75">
        <v>883</v>
      </c>
      <c r="M883" s="75"/>
      <c r="N883" s="70"/>
      <c r="O883" s="77" t="s">
        <v>179</v>
      </c>
      <c r="P883" s="79">
        <v>45056.594212962962</v>
      </c>
      <c r="Q883" s="77" t="s">
        <v>1674</v>
      </c>
      <c r="R883" s="77">
        <v>0</v>
      </c>
      <c r="S883" s="77">
        <v>2</v>
      </c>
      <c r="T883" s="77">
        <v>0</v>
      </c>
      <c r="U883" s="77">
        <v>0</v>
      </c>
      <c r="V883" s="77">
        <v>812</v>
      </c>
      <c r="W883" s="82" t="s">
        <v>5384</v>
      </c>
      <c r="X883" s="77"/>
      <c r="Y883" s="77"/>
      <c r="Z883" s="77"/>
      <c r="AA883" s="77"/>
      <c r="AB883" s="77"/>
      <c r="AC883" s="82" t="s">
        <v>8232</v>
      </c>
      <c r="AD883" s="77" t="s">
        <v>8278</v>
      </c>
      <c r="AE883" s="80" t="str">
        <f>HYPERLINK("https://twitter.com/trademapapp/status/1656301985761759233")</f>
        <v>https://twitter.com/trademapapp/status/1656301985761759233</v>
      </c>
      <c r="AF883" s="79">
        <v>45056.594212962962</v>
      </c>
      <c r="AG883" s="85">
        <v>45056</v>
      </c>
      <c r="AH883" s="82" t="s">
        <v>9048</v>
      </c>
      <c r="AI883" s="77"/>
      <c r="AJ883" s="77"/>
      <c r="AK883" s="77"/>
      <c r="AL883" s="77"/>
      <c r="AM883" s="77"/>
      <c r="AN883" s="77"/>
      <c r="AO883" s="77"/>
      <c r="AP883" s="77"/>
      <c r="AQ883" s="77"/>
      <c r="AR883" s="77"/>
      <c r="AS883" s="77"/>
      <c r="AT883" s="77"/>
      <c r="AU883" s="77"/>
      <c r="AV883" s="80" t="str">
        <f>HYPERLINK("https://pbs.twimg.com/profile_images/1527256917663485953/N5V3KY89_normal.jpg")</f>
        <v>https://pbs.twimg.com/profile_images/1527256917663485953/N5V3KY89_normal.jpg</v>
      </c>
      <c r="AW883" s="82" t="s">
        <v>13978</v>
      </c>
      <c r="AX883" s="82" t="s">
        <v>13978</v>
      </c>
      <c r="AY883" s="77"/>
      <c r="AZ883" s="82" t="s">
        <v>17385</v>
      </c>
      <c r="BA883" s="82" t="s">
        <v>17385</v>
      </c>
      <c r="BB883" s="82" t="s">
        <v>17385</v>
      </c>
      <c r="BC883" s="82" t="s">
        <v>13978</v>
      </c>
      <c r="BD883" s="82" t="s">
        <v>17535</v>
      </c>
      <c r="BE883" s="77"/>
      <c r="BF883" s="77"/>
      <c r="BG883" s="77"/>
      <c r="BH883" s="77"/>
      <c r="BI883" s="77"/>
    </row>
    <row r="884" spans="1:61" x14ac:dyDescent="0.25">
      <c r="A884" s="62" t="s">
        <v>405</v>
      </c>
      <c r="B884" s="62" t="s">
        <v>405</v>
      </c>
      <c r="C884" s="63"/>
      <c r="D884" s="64"/>
      <c r="E884" s="65"/>
      <c r="F884" s="66"/>
      <c r="G884" s="63"/>
      <c r="H884" s="67"/>
      <c r="I884" s="68"/>
      <c r="J884" s="68"/>
      <c r="K884" s="32"/>
      <c r="L884" s="75">
        <v>884</v>
      </c>
      <c r="M884" s="75"/>
      <c r="N884" s="70"/>
      <c r="O884" s="77" t="s">
        <v>800</v>
      </c>
      <c r="P884" s="79">
        <v>45133.508136574077</v>
      </c>
      <c r="Q884" s="77" t="s">
        <v>1675</v>
      </c>
      <c r="R884" s="77">
        <v>7</v>
      </c>
      <c r="S884" s="77">
        <v>115</v>
      </c>
      <c r="T884" s="77">
        <v>0</v>
      </c>
      <c r="U884" s="77">
        <v>0</v>
      </c>
      <c r="V884" s="77">
        <v>30366</v>
      </c>
      <c r="W884" s="82" t="s">
        <v>5385</v>
      </c>
      <c r="X884" s="80" t="s">
        <v>7001</v>
      </c>
      <c r="Y884" s="77" t="s">
        <v>7096</v>
      </c>
      <c r="Z884" s="77"/>
      <c r="AA884" s="77"/>
      <c r="AB884" s="77"/>
      <c r="AC884" s="82" t="s">
        <v>8232</v>
      </c>
      <c r="AD884" s="77" t="s">
        <v>8278</v>
      </c>
      <c r="AE884" s="80" t="str">
        <f>HYPERLINK("https://twitter.com/brasilsuino/status/1684174656000131073")</f>
        <v>https://twitter.com/brasilsuino/status/1684174656000131073</v>
      </c>
      <c r="AF884" s="79">
        <v>45133.508136574077</v>
      </c>
      <c r="AG884" s="85">
        <v>45133</v>
      </c>
      <c r="AH884" s="82" t="s">
        <v>8701</v>
      </c>
      <c r="AI884" s="77" t="b">
        <v>0</v>
      </c>
      <c r="AJ884" s="77"/>
      <c r="AK884" s="77"/>
      <c r="AL884" s="77"/>
      <c r="AM884" s="77"/>
      <c r="AN884" s="77"/>
      <c r="AO884" s="77"/>
      <c r="AP884" s="77"/>
      <c r="AQ884" s="77"/>
      <c r="AR884" s="77"/>
      <c r="AS884" s="77"/>
      <c r="AT884" s="77"/>
      <c r="AU884" s="77"/>
      <c r="AV884" s="80" t="str">
        <f>HYPERLINK("https://pbs.twimg.com/profile_images/1542827131201376257/4lpaAbBe_normal.jpg")</f>
        <v>https://pbs.twimg.com/profile_images/1542827131201376257/4lpaAbBe_normal.jpg</v>
      </c>
      <c r="AW884" s="82" t="s">
        <v>13979</v>
      </c>
      <c r="AX884" s="82" t="s">
        <v>17171</v>
      </c>
      <c r="AY884" s="82" t="s">
        <v>17345</v>
      </c>
      <c r="AZ884" s="82" t="s">
        <v>17406</v>
      </c>
      <c r="BA884" s="82" t="s">
        <v>17385</v>
      </c>
      <c r="BB884" s="82" t="s">
        <v>17385</v>
      </c>
      <c r="BC884" s="82" t="s">
        <v>17406</v>
      </c>
      <c r="BD884" s="82" t="s">
        <v>17345</v>
      </c>
      <c r="BE884" s="77"/>
      <c r="BF884" s="77"/>
      <c r="BG884" s="77"/>
      <c r="BH884" s="77"/>
      <c r="BI884" s="77"/>
    </row>
    <row r="885" spans="1:61" x14ac:dyDescent="0.25">
      <c r="A885" s="62" t="s">
        <v>406</v>
      </c>
      <c r="B885" s="62" t="s">
        <v>406</v>
      </c>
      <c r="C885" s="63"/>
      <c r="D885" s="64"/>
      <c r="E885" s="65"/>
      <c r="F885" s="66"/>
      <c r="G885" s="63"/>
      <c r="H885" s="67"/>
      <c r="I885" s="68"/>
      <c r="J885" s="68"/>
      <c r="K885" s="32"/>
      <c r="L885" s="75">
        <v>885</v>
      </c>
      <c r="M885" s="75"/>
      <c r="N885" s="70"/>
      <c r="O885" s="77" t="s">
        <v>179</v>
      </c>
      <c r="P885" s="79">
        <v>45080.375011574077</v>
      </c>
      <c r="Q885" s="77" t="s">
        <v>1676</v>
      </c>
      <c r="R885" s="77">
        <v>0</v>
      </c>
      <c r="S885" s="77">
        <v>1</v>
      </c>
      <c r="T885" s="77">
        <v>0</v>
      </c>
      <c r="U885" s="77">
        <v>0</v>
      </c>
      <c r="V885" s="77">
        <v>18</v>
      </c>
      <c r="W885" s="82" t="s">
        <v>5386</v>
      </c>
      <c r="X885" s="77"/>
      <c r="Y885" s="77"/>
      <c r="Z885" s="77"/>
      <c r="AA885" s="77" t="s">
        <v>7655</v>
      </c>
      <c r="AB885" s="77" t="s">
        <v>8225</v>
      </c>
      <c r="AC885" s="82" t="s">
        <v>8232</v>
      </c>
      <c r="AD885" s="77" t="s">
        <v>8278</v>
      </c>
      <c r="AE885" s="80" t="str">
        <f>HYPERLINK("https://twitter.com/simaocassange/status/1664919859782643713")</f>
        <v>https://twitter.com/simaocassange/status/1664919859782643713</v>
      </c>
      <c r="AF885" s="79">
        <v>45080.375011574077</v>
      </c>
      <c r="AG885" s="85">
        <v>45080</v>
      </c>
      <c r="AH885" s="82" t="s">
        <v>9049</v>
      </c>
      <c r="AI885" s="77" t="b">
        <v>0</v>
      </c>
      <c r="AJ885" s="77"/>
      <c r="AK885" s="77"/>
      <c r="AL885" s="77"/>
      <c r="AM885" s="77"/>
      <c r="AN885" s="77"/>
      <c r="AO885" s="77"/>
      <c r="AP885" s="77"/>
      <c r="AQ885" s="77" t="s">
        <v>12540</v>
      </c>
      <c r="AR885" s="77"/>
      <c r="AS885" s="77"/>
      <c r="AT885" s="77"/>
      <c r="AU885" s="77"/>
      <c r="AV885" s="80" t="str">
        <f>HYPERLINK("https://pbs.twimg.com/media/FxjZzt5XwAQl9bJ.jpg")</f>
        <v>https://pbs.twimg.com/media/FxjZzt5XwAQl9bJ.jpg</v>
      </c>
      <c r="AW885" s="82" t="s">
        <v>13980</v>
      </c>
      <c r="AX885" s="82" t="s">
        <v>13980</v>
      </c>
      <c r="AY885" s="77"/>
      <c r="AZ885" s="82" t="s">
        <v>17385</v>
      </c>
      <c r="BA885" s="82" t="s">
        <v>17385</v>
      </c>
      <c r="BB885" s="82" t="s">
        <v>17385</v>
      </c>
      <c r="BC885" s="82" t="s">
        <v>13980</v>
      </c>
      <c r="BD885" s="82" t="s">
        <v>17536</v>
      </c>
      <c r="BE885" s="77"/>
      <c r="BF885" s="77"/>
      <c r="BG885" s="77"/>
      <c r="BH885" s="77"/>
      <c r="BI885" s="77"/>
    </row>
    <row r="886" spans="1:61" x14ac:dyDescent="0.25">
      <c r="A886" s="62" t="s">
        <v>406</v>
      </c>
      <c r="B886" s="62" t="s">
        <v>406</v>
      </c>
      <c r="C886" s="63"/>
      <c r="D886" s="64"/>
      <c r="E886" s="65"/>
      <c r="F886" s="66"/>
      <c r="G886" s="63"/>
      <c r="H886" s="67"/>
      <c r="I886" s="68"/>
      <c r="J886" s="68"/>
      <c r="K886" s="32"/>
      <c r="L886" s="75">
        <v>886</v>
      </c>
      <c r="M886" s="75"/>
      <c r="N886" s="70"/>
      <c r="O886" s="77" t="s">
        <v>179</v>
      </c>
      <c r="P886" s="79">
        <v>45089.334027777775</v>
      </c>
      <c r="Q886" s="77" t="s">
        <v>1677</v>
      </c>
      <c r="R886" s="77">
        <v>0</v>
      </c>
      <c r="S886" s="77">
        <v>1</v>
      </c>
      <c r="T886" s="77">
        <v>0</v>
      </c>
      <c r="U886" s="77">
        <v>0</v>
      </c>
      <c r="V886" s="77">
        <v>13</v>
      </c>
      <c r="W886" s="82" t="s">
        <v>5387</v>
      </c>
      <c r="X886" s="77"/>
      <c r="Y886" s="77"/>
      <c r="Z886" s="77"/>
      <c r="AA886" s="77" t="s">
        <v>7656</v>
      </c>
      <c r="AB886" s="77" t="s">
        <v>8225</v>
      </c>
      <c r="AC886" s="82" t="s">
        <v>8232</v>
      </c>
      <c r="AD886" s="77" t="s">
        <v>8278</v>
      </c>
      <c r="AE886" s="80" t="str">
        <f>HYPERLINK("https://twitter.com/simaocassange/status/1668166495656894470")</f>
        <v>https://twitter.com/simaocassange/status/1668166495656894470</v>
      </c>
      <c r="AF886" s="79">
        <v>45089.334027777775</v>
      </c>
      <c r="AG886" s="85">
        <v>45089</v>
      </c>
      <c r="AH886" s="82" t="s">
        <v>9050</v>
      </c>
      <c r="AI886" s="77" t="b">
        <v>0</v>
      </c>
      <c r="AJ886" s="77"/>
      <c r="AK886" s="77"/>
      <c r="AL886" s="77"/>
      <c r="AM886" s="77"/>
      <c r="AN886" s="77"/>
      <c r="AO886" s="77"/>
      <c r="AP886" s="77"/>
      <c r="AQ886" s="77" t="s">
        <v>12541</v>
      </c>
      <c r="AR886" s="77"/>
      <c r="AS886" s="77"/>
      <c r="AT886" s="77"/>
      <c r="AU886" s="77"/>
      <c r="AV886" s="80" t="str">
        <f>HYPERLINK("https://pbs.twimg.com/media/FyaEEa0aEAECdBF.jpg")</f>
        <v>https://pbs.twimg.com/media/FyaEEa0aEAECdBF.jpg</v>
      </c>
      <c r="AW886" s="82" t="s">
        <v>13981</v>
      </c>
      <c r="AX886" s="82" t="s">
        <v>13981</v>
      </c>
      <c r="AY886" s="77"/>
      <c r="AZ886" s="82" t="s">
        <v>17385</v>
      </c>
      <c r="BA886" s="82" t="s">
        <v>17385</v>
      </c>
      <c r="BB886" s="82" t="s">
        <v>17385</v>
      </c>
      <c r="BC886" s="82" t="s">
        <v>13981</v>
      </c>
      <c r="BD886" s="82" t="s">
        <v>17536</v>
      </c>
      <c r="BE886" s="77"/>
      <c r="BF886" s="77"/>
      <c r="BG886" s="77"/>
      <c r="BH886" s="77"/>
      <c r="BI886" s="77"/>
    </row>
    <row r="887" spans="1:61" x14ac:dyDescent="0.25">
      <c r="A887" s="62" t="s">
        <v>406</v>
      </c>
      <c r="B887" s="62" t="s">
        <v>406</v>
      </c>
      <c r="C887" s="63"/>
      <c r="D887" s="64"/>
      <c r="E887" s="65"/>
      <c r="F887" s="66"/>
      <c r="G887" s="63"/>
      <c r="H887" s="67"/>
      <c r="I887" s="68"/>
      <c r="J887" s="68"/>
      <c r="K887" s="32"/>
      <c r="L887" s="75">
        <v>887</v>
      </c>
      <c r="M887" s="75"/>
      <c r="N887" s="70"/>
      <c r="O887" s="77" t="s">
        <v>179</v>
      </c>
      <c r="P887" s="79">
        <v>45134.375</v>
      </c>
      <c r="Q887" s="77" t="s">
        <v>1678</v>
      </c>
      <c r="R887" s="77">
        <v>0</v>
      </c>
      <c r="S887" s="77">
        <v>1</v>
      </c>
      <c r="T887" s="77">
        <v>0</v>
      </c>
      <c r="U887" s="77">
        <v>0</v>
      </c>
      <c r="V887" s="77">
        <v>19</v>
      </c>
      <c r="W887" s="82" t="s">
        <v>5388</v>
      </c>
      <c r="X887" s="77"/>
      <c r="Y887" s="77"/>
      <c r="Z887" s="77"/>
      <c r="AA887" s="77" t="s">
        <v>7657</v>
      </c>
      <c r="AB887" s="77" t="s">
        <v>8225</v>
      </c>
      <c r="AC887" s="82" t="s">
        <v>8232</v>
      </c>
      <c r="AD887" s="77" t="s">
        <v>8278</v>
      </c>
      <c r="AE887" s="80" t="str">
        <f>HYPERLINK("https://twitter.com/simaocassange/status/1684488797533392897")</f>
        <v>https://twitter.com/simaocassange/status/1684488797533392897</v>
      </c>
      <c r="AF887" s="79">
        <v>45134.375</v>
      </c>
      <c r="AG887" s="85">
        <v>45134</v>
      </c>
      <c r="AH887" s="82" t="s">
        <v>8625</v>
      </c>
      <c r="AI887" s="77" t="b">
        <v>0</v>
      </c>
      <c r="AJ887" s="77"/>
      <c r="AK887" s="77"/>
      <c r="AL887" s="77"/>
      <c r="AM887" s="77"/>
      <c r="AN887" s="77"/>
      <c r="AO887" s="77"/>
      <c r="AP887" s="77"/>
      <c r="AQ887" s="77" t="s">
        <v>12542</v>
      </c>
      <c r="AR887" s="77"/>
      <c r="AS887" s="77"/>
      <c r="AT887" s="77"/>
      <c r="AU887" s="77"/>
      <c r="AV887" s="80" t="str">
        <f>HYPERLINK("https://pbs.twimg.com/media/F1-jGKvaEAASeWF.jpg")</f>
        <v>https://pbs.twimg.com/media/F1-jGKvaEAASeWF.jpg</v>
      </c>
      <c r="AW887" s="82" t="s">
        <v>13982</v>
      </c>
      <c r="AX887" s="82" t="s">
        <v>13982</v>
      </c>
      <c r="AY887" s="77"/>
      <c r="AZ887" s="82" t="s">
        <v>17385</v>
      </c>
      <c r="BA887" s="82" t="s">
        <v>17385</v>
      </c>
      <c r="BB887" s="82" t="s">
        <v>17385</v>
      </c>
      <c r="BC887" s="82" t="s">
        <v>13982</v>
      </c>
      <c r="BD887" s="82" t="s">
        <v>17536</v>
      </c>
      <c r="BE887" s="77"/>
      <c r="BF887" s="77"/>
      <c r="BG887" s="77"/>
      <c r="BH887" s="77"/>
      <c r="BI887" s="77"/>
    </row>
    <row r="888" spans="1:61" x14ac:dyDescent="0.25">
      <c r="A888" s="62" t="s">
        <v>407</v>
      </c>
      <c r="B888" s="62" t="s">
        <v>407</v>
      </c>
      <c r="C888" s="63"/>
      <c r="D888" s="64"/>
      <c r="E888" s="65"/>
      <c r="F888" s="66"/>
      <c r="G888" s="63"/>
      <c r="H888" s="67"/>
      <c r="I888" s="68"/>
      <c r="J888" s="68"/>
      <c r="K888" s="32"/>
      <c r="L888" s="75">
        <v>888</v>
      </c>
      <c r="M888" s="75"/>
      <c r="N888" s="70"/>
      <c r="O888" s="77" t="s">
        <v>179</v>
      </c>
      <c r="P888" s="79">
        <v>45113.804247685184</v>
      </c>
      <c r="Q888" s="77" t="s">
        <v>1679</v>
      </c>
      <c r="R888" s="77">
        <v>0</v>
      </c>
      <c r="S888" s="77">
        <v>0</v>
      </c>
      <c r="T888" s="77">
        <v>0</v>
      </c>
      <c r="U888" s="77">
        <v>0</v>
      </c>
      <c r="V888" s="77">
        <v>51</v>
      </c>
      <c r="W888" s="82" t="s">
        <v>5389</v>
      </c>
      <c r="X888" s="80" t="str">
        <f>HYPERLINK("https://estoaresearch.com/noticias/meta-lanca-concorrente-do-twitter/?utm_source=twitter")</f>
        <v>https://estoaresearch.com/noticias/meta-lanca-concorrente-do-twitter/?utm_source=twitter</v>
      </c>
      <c r="Y888" s="77" t="s">
        <v>7097</v>
      </c>
      <c r="Z888" s="77"/>
      <c r="AA888" s="77"/>
      <c r="AB888" s="77"/>
      <c r="AC888" s="82" t="s">
        <v>8232</v>
      </c>
      <c r="AD888" s="77" t="s">
        <v>8278</v>
      </c>
      <c r="AE888" s="80" t="str">
        <f>HYPERLINK("https://twitter.com/estoaresearch/status/1677034206268997632")</f>
        <v>https://twitter.com/estoaresearch/status/1677034206268997632</v>
      </c>
      <c r="AF888" s="79">
        <v>45113.804247685184</v>
      </c>
      <c r="AG888" s="85">
        <v>45113</v>
      </c>
      <c r="AH888" s="82" t="s">
        <v>9051</v>
      </c>
      <c r="AI888" s="77" t="b">
        <v>0</v>
      </c>
      <c r="AJ888" s="77"/>
      <c r="AK888" s="77"/>
      <c r="AL888" s="77"/>
      <c r="AM888" s="77"/>
      <c r="AN888" s="77"/>
      <c r="AO888" s="77"/>
      <c r="AP888" s="77"/>
      <c r="AQ888" s="77"/>
      <c r="AR888" s="77"/>
      <c r="AS888" s="77"/>
      <c r="AT888" s="77"/>
      <c r="AU888" s="77"/>
      <c r="AV888" s="80" t="str">
        <f>HYPERLINK("https://pbs.twimg.com/profile_images/1452757245675118593/__7461BF_normal.jpg")</f>
        <v>https://pbs.twimg.com/profile_images/1452757245675118593/__7461BF_normal.jpg</v>
      </c>
      <c r="AW888" s="82" t="s">
        <v>13983</v>
      </c>
      <c r="AX888" s="82" t="s">
        <v>13983</v>
      </c>
      <c r="AY888" s="77"/>
      <c r="AZ888" s="82" t="s">
        <v>17385</v>
      </c>
      <c r="BA888" s="82" t="s">
        <v>17385</v>
      </c>
      <c r="BB888" s="82" t="s">
        <v>17385</v>
      </c>
      <c r="BC888" s="82" t="s">
        <v>13983</v>
      </c>
      <c r="BD888" s="82" t="s">
        <v>17537</v>
      </c>
      <c r="BE888" s="77"/>
      <c r="BF888" s="77"/>
      <c r="BG888" s="77"/>
      <c r="BH888" s="77"/>
      <c r="BI888" s="77"/>
    </row>
    <row r="889" spans="1:61" x14ac:dyDescent="0.25">
      <c r="A889" s="62" t="s">
        <v>407</v>
      </c>
      <c r="B889" s="62" t="s">
        <v>407</v>
      </c>
      <c r="C889" s="63"/>
      <c r="D889" s="64"/>
      <c r="E889" s="65"/>
      <c r="F889" s="66"/>
      <c r="G889" s="63"/>
      <c r="H889" s="67"/>
      <c r="I889" s="68"/>
      <c r="J889" s="68"/>
      <c r="K889" s="32"/>
      <c r="L889" s="75">
        <v>889</v>
      </c>
      <c r="M889" s="75"/>
      <c r="N889" s="70"/>
      <c r="O889" s="77" t="s">
        <v>179</v>
      </c>
      <c r="P889" s="79">
        <v>45113.795092592591</v>
      </c>
      <c r="Q889" s="77" t="s">
        <v>1680</v>
      </c>
      <c r="R889" s="77">
        <v>0</v>
      </c>
      <c r="S889" s="77">
        <v>0</v>
      </c>
      <c r="T889" s="77">
        <v>0</v>
      </c>
      <c r="U889" s="77">
        <v>0</v>
      </c>
      <c r="V889" s="77">
        <v>23</v>
      </c>
      <c r="W889" s="82" t="s">
        <v>5390</v>
      </c>
      <c r="X889" s="80" t="str">
        <f>HYPERLINK("https://estoaresearch.com/noticias/acoes-da-mrv-mrve3-recuam/?utm_source=twitter")</f>
        <v>https://estoaresearch.com/noticias/acoes-da-mrv-mrve3-recuam/?utm_source=twitter</v>
      </c>
      <c r="Y889" s="77" t="s">
        <v>7097</v>
      </c>
      <c r="Z889" s="77"/>
      <c r="AA889" s="77"/>
      <c r="AB889" s="77"/>
      <c r="AC889" s="82" t="s">
        <v>8232</v>
      </c>
      <c r="AD889" s="77" t="s">
        <v>8278</v>
      </c>
      <c r="AE889" s="80" t="str">
        <f>HYPERLINK("https://twitter.com/estoaresearch/status/1677030888947822594")</f>
        <v>https://twitter.com/estoaresearch/status/1677030888947822594</v>
      </c>
      <c r="AF889" s="79">
        <v>45113.795092592591</v>
      </c>
      <c r="AG889" s="85">
        <v>45113</v>
      </c>
      <c r="AH889" s="82" t="s">
        <v>9052</v>
      </c>
      <c r="AI889" s="77" t="b">
        <v>0</v>
      </c>
      <c r="AJ889" s="77"/>
      <c r="AK889" s="77"/>
      <c r="AL889" s="77"/>
      <c r="AM889" s="77"/>
      <c r="AN889" s="77"/>
      <c r="AO889" s="77"/>
      <c r="AP889" s="77"/>
      <c r="AQ889" s="77"/>
      <c r="AR889" s="77"/>
      <c r="AS889" s="77"/>
      <c r="AT889" s="77"/>
      <c r="AU889" s="77"/>
      <c r="AV889" s="80" t="str">
        <f>HYPERLINK("https://pbs.twimg.com/profile_images/1452757245675118593/__7461BF_normal.jpg")</f>
        <v>https://pbs.twimg.com/profile_images/1452757245675118593/__7461BF_normal.jpg</v>
      </c>
      <c r="AW889" s="82" t="s">
        <v>13984</v>
      </c>
      <c r="AX889" s="82" t="s">
        <v>13984</v>
      </c>
      <c r="AY889" s="77"/>
      <c r="AZ889" s="82" t="s">
        <v>17385</v>
      </c>
      <c r="BA889" s="82" t="s">
        <v>17385</v>
      </c>
      <c r="BB889" s="82" t="s">
        <v>17385</v>
      </c>
      <c r="BC889" s="82" t="s">
        <v>13984</v>
      </c>
      <c r="BD889" s="82" t="s">
        <v>17537</v>
      </c>
      <c r="BE889" s="77"/>
      <c r="BF889" s="77"/>
      <c r="BG889" s="77"/>
      <c r="BH889" s="77"/>
      <c r="BI889" s="77"/>
    </row>
    <row r="890" spans="1:61" x14ac:dyDescent="0.25">
      <c r="A890" s="62" t="s">
        <v>407</v>
      </c>
      <c r="B890" s="62" t="s">
        <v>407</v>
      </c>
      <c r="C890" s="63"/>
      <c r="D890" s="64"/>
      <c r="E890" s="65"/>
      <c r="F890" s="66"/>
      <c r="G890" s="63"/>
      <c r="H890" s="67"/>
      <c r="I890" s="68"/>
      <c r="J890" s="68"/>
      <c r="K890" s="32"/>
      <c r="L890" s="75">
        <v>890</v>
      </c>
      <c r="M890" s="75"/>
      <c r="N890" s="70"/>
      <c r="O890" s="77" t="s">
        <v>179</v>
      </c>
      <c r="P890" s="79">
        <v>45131.782233796293</v>
      </c>
      <c r="Q890" s="77" t="s">
        <v>1681</v>
      </c>
      <c r="R890" s="77">
        <v>0</v>
      </c>
      <c r="S890" s="77">
        <v>0</v>
      </c>
      <c r="T890" s="77">
        <v>0</v>
      </c>
      <c r="U890" s="77">
        <v>0</v>
      </c>
      <c r="V890" s="77">
        <v>74</v>
      </c>
      <c r="W890" s="82" t="s">
        <v>5391</v>
      </c>
      <c r="X890" s="80" t="str">
        <f>HYPERLINK("https://estoaresearch.com/noticias/acoes-do-irb-desabam-apos-divulgacao-de-prejuizo-liquido-em-maio/?utm_source=twitter")</f>
        <v>https://estoaresearch.com/noticias/acoes-do-irb-desabam-apos-divulgacao-de-prejuizo-liquido-em-maio/?utm_source=twitter</v>
      </c>
      <c r="Y890" s="77" t="s">
        <v>7097</v>
      </c>
      <c r="Z890" s="77"/>
      <c r="AA890" s="77"/>
      <c r="AB890" s="77"/>
      <c r="AC890" s="82" t="s">
        <v>8232</v>
      </c>
      <c r="AD890" s="77" t="s">
        <v>8278</v>
      </c>
      <c r="AE890" s="80" t="str">
        <f>HYPERLINK("https://twitter.com/estoaresearch/status/1683549210614833159")</f>
        <v>https://twitter.com/estoaresearch/status/1683549210614833159</v>
      </c>
      <c r="AF890" s="79">
        <v>45131.782233796293</v>
      </c>
      <c r="AG890" s="85">
        <v>45131</v>
      </c>
      <c r="AH890" s="82" t="s">
        <v>9053</v>
      </c>
      <c r="AI890" s="77" t="b">
        <v>0</v>
      </c>
      <c r="AJ890" s="77"/>
      <c r="AK890" s="77"/>
      <c r="AL890" s="77"/>
      <c r="AM890" s="77"/>
      <c r="AN890" s="77"/>
      <c r="AO890" s="77"/>
      <c r="AP890" s="77"/>
      <c r="AQ890" s="77"/>
      <c r="AR890" s="77"/>
      <c r="AS890" s="77"/>
      <c r="AT890" s="77"/>
      <c r="AU890" s="77"/>
      <c r="AV890" s="80" t="str">
        <f>HYPERLINK("https://pbs.twimg.com/profile_images/1452757245675118593/__7461BF_normal.jpg")</f>
        <v>https://pbs.twimg.com/profile_images/1452757245675118593/__7461BF_normal.jpg</v>
      </c>
      <c r="AW890" s="82" t="s">
        <v>13985</v>
      </c>
      <c r="AX890" s="82" t="s">
        <v>13985</v>
      </c>
      <c r="AY890" s="77"/>
      <c r="AZ890" s="82" t="s">
        <v>17385</v>
      </c>
      <c r="BA890" s="82" t="s">
        <v>17385</v>
      </c>
      <c r="BB890" s="82" t="s">
        <v>17385</v>
      </c>
      <c r="BC890" s="82" t="s">
        <v>13985</v>
      </c>
      <c r="BD890" s="82" t="s">
        <v>17537</v>
      </c>
      <c r="BE890" s="77"/>
      <c r="BF890" s="77"/>
      <c r="BG890" s="77"/>
      <c r="BH890" s="77"/>
      <c r="BI890" s="77"/>
    </row>
    <row r="891" spans="1:61" x14ac:dyDescent="0.25">
      <c r="A891" s="62" t="s">
        <v>407</v>
      </c>
      <c r="B891" s="62" t="s">
        <v>407</v>
      </c>
      <c r="C891" s="63"/>
      <c r="D891" s="64"/>
      <c r="E891" s="65"/>
      <c r="F891" s="66"/>
      <c r="G891" s="63"/>
      <c r="H891" s="67"/>
      <c r="I891" s="68"/>
      <c r="J891" s="68"/>
      <c r="K891" s="32"/>
      <c r="L891" s="75">
        <v>891</v>
      </c>
      <c r="M891" s="75"/>
      <c r="N891" s="70"/>
      <c r="O891" s="77" t="s">
        <v>179</v>
      </c>
      <c r="P891" s="79">
        <v>45128.803946759261</v>
      </c>
      <c r="Q891" s="77" t="s">
        <v>1682</v>
      </c>
      <c r="R891" s="77">
        <v>0</v>
      </c>
      <c r="S891" s="77">
        <v>0</v>
      </c>
      <c r="T891" s="77">
        <v>0</v>
      </c>
      <c r="U891" s="77">
        <v>0</v>
      </c>
      <c r="V891" s="77">
        <v>28</v>
      </c>
      <c r="W891" s="82" t="s">
        <v>5392</v>
      </c>
      <c r="X891" s="80" t="str">
        <f>HYPERLINK("https://estoaresearch.com/noticias/azul-aprova-emissao-de-us-800-milhoes-em-titulos-no-exterior-acoes-decolam/?utm_source=twitter")</f>
        <v>https://estoaresearch.com/noticias/azul-aprova-emissao-de-us-800-milhoes-em-titulos-no-exterior-acoes-decolam/?utm_source=twitter</v>
      </c>
      <c r="Y891" s="77" t="s">
        <v>7097</v>
      </c>
      <c r="Z891" s="77"/>
      <c r="AA891" s="77"/>
      <c r="AB891" s="77"/>
      <c r="AC891" s="82" t="s">
        <v>8232</v>
      </c>
      <c r="AD891" s="77" t="s">
        <v>8278</v>
      </c>
      <c r="AE891" s="80" t="str">
        <f>HYPERLINK("https://twitter.com/estoaresearch/status/1682469916295692289")</f>
        <v>https://twitter.com/estoaresearch/status/1682469916295692289</v>
      </c>
      <c r="AF891" s="79">
        <v>45128.803946759261</v>
      </c>
      <c r="AG891" s="85">
        <v>45128</v>
      </c>
      <c r="AH891" s="82" t="s">
        <v>9054</v>
      </c>
      <c r="AI891" s="77" t="b">
        <v>0</v>
      </c>
      <c r="AJ891" s="77"/>
      <c r="AK891" s="77"/>
      <c r="AL891" s="77"/>
      <c r="AM891" s="77"/>
      <c r="AN891" s="77"/>
      <c r="AO891" s="77"/>
      <c r="AP891" s="77"/>
      <c r="AQ891" s="77"/>
      <c r="AR891" s="77"/>
      <c r="AS891" s="77"/>
      <c r="AT891" s="77"/>
      <c r="AU891" s="77"/>
      <c r="AV891" s="80" t="str">
        <f>HYPERLINK("https://pbs.twimg.com/profile_images/1452757245675118593/__7461BF_normal.jpg")</f>
        <v>https://pbs.twimg.com/profile_images/1452757245675118593/__7461BF_normal.jpg</v>
      </c>
      <c r="AW891" s="82" t="s">
        <v>13986</v>
      </c>
      <c r="AX891" s="82" t="s">
        <v>13986</v>
      </c>
      <c r="AY891" s="77"/>
      <c r="AZ891" s="82" t="s">
        <v>17385</v>
      </c>
      <c r="BA891" s="82" t="s">
        <v>17385</v>
      </c>
      <c r="BB891" s="82" t="s">
        <v>17385</v>
      </c>
      <c r="BC891" s="82" t="s">
        <v>13986</v>
      </c>
      <c r="BD891" s="82" t="s">
        <v>17537</v>
      </c>
      <c r="BE891" s="77"/>
      <c r="BF891" s="77"/>
      <c r="BG891" s="77"/>
      <c r="BH891" s="77"/>
      <c r="BI891" s="77"/>
    </row>
    <row r="892" spans="1:61" x14ac:dyDescent="0.25">
      <c r="A892" s="62" t="s">
        <v>407</v>
      </c>
      <c r="B892" s="62" t="s">
        <v>407</v>
      </c>
      <c r="C892" s="63"/>
      <c r="D892" s="64"/>
      <c r="E892" s="65"/>
      <c r="F892" s="66"/>
      <c r="G892" s="63"/>
      <c r="H892" s="67"/>
      <c r="I892" s="68"/>
      <c r="J892" s="68"/>
      <c r="K892" s="32"/>
      <c r="L892" s="75">
        <v>892</v>
      </c>
      <c r="M892" s="75"/>
      <c r="N892" s="70"/>
      <c r="O892" s="77" t="s">
        <v>179</v>
      </c>
      <c r="P892" s="79">
        <v>45128.774444444447</v>
      </c>
      <c r="Q892" s="77" t="s">
        <v>1683</v>
      </c>
      <c r="R892" s="77">
        <v>0</v>
      </c>
      <c r="S892" s="77">
        <v>1</v>
      </c>
      <c r="T892" s="77">
        <v>0</v>
      </c>
      <c r="U892" s="77">
        <v>0</v>
      </c>
      <c r="V892" s="77">
        <v>82</v>
      </c>
      <c r="W892" s="82" t="s">
        <v>5393</v>
      </c>
      <c r="X892" s="80" t="str">
        <f>HYPERLINK("https://estoaresearch.com/noticias/acoes-da-sinqia-operam-em-alta-de-1486-apos-venda-para-a-evertec/?utm_source=twitter")</f>
        <v>https://estoaresearch.com/noticias/acoes-da-sinqia-operam-em-alta-de-1486-apos-venda-para-a-evertec/?utm_source=twitter</v>
      </c>
      <c r="Y892" s="77" t="s">
        <v>7097</v>
      </c>
      <c r="Z892" s="77"/>
      <c r="AA892" s="77"/>
      <c r="AB892" s="77"/>
      <c r="AC892" s="82" t="s">
        <v>8232</v>
      </c>
      <c r="AD892" s="77" t="s">
        <v>8278</v>
      </c>
      <c r="AE892" s="80" t="str">
        <f>HYPERLINK("https://twitter.com/estoaresearch/status/1682459226285785089")</f>
        <v>https://twitter.com/estoaresearch/status/1682459226285785089</v>
      </c>
      <c r="AF892" s="79">
        <v>45128.774444444447</v>
      </c>
      <c r="AG892" s="85">
        <v>45128</v>
      </c>
      <c r="AH892" s="82" t="s">
        <v>9055</v>
      </c>
      <c r="AI892" s="77" t="b">
        <v>0</v>
      </c>
      <c r="AJ892" s="77"/>
      <c r="AK892" s="77"/>
      <c r="AL892" s="77"/>
      <c r="AM892" s="77"/>
      <c r="AN892" s="77"/>
      <c r="AO892" s="77"/>
      <c r="AP892" s="77"/>
      <c r="AQ892" s="77"/>
      <c r="AR892" s="77"/>
      <c r="AS892" s="77"/>
      <c r="AT892" s="77"/>
      <c r="AU892" s="77"/>
      <c r="AV892" s="80" t="str">
        <f>HYPERLINK("https://pbs.twimg.com/profile_images/1452757245675118593/__7461BF_normal.jpg")</f>
        <v>https://pbs.twimg.com/profile_images/1452757245675118593/__7461BF_normal.jpg</v>
      </c>
      <c r="AW892" s="82" t="s">
        <v>13987</v>
      </c>
      <c r="AX892" s="82" t="s">
        <v>13987</v>
      </c>
      <c r="AY892" s="77"/>
      <c r="AZ892" s="82" t="s">
        <v>17385</v>
      </c>
      <c r="BA892" s="82" t="s">
        <v>17385</v>
      </c>
      <c r="BB892" s="82" t="s">
        <v>17385</v>
      </c>
      <c r="BC892" s="82" t="s">
        <v>13987</v>
      </c>
      <c r="BD892" s="82" t="s">
        <v>17537</v>
      </c>
      <c r="BE892" s="77"/>
      <c r="BF892" s="77"/>
      <c r="BG892" s="77"/>
      <c r="BH892" s="77"/>
      <c r="BI892" s="77"/>
    </row>
    <row r="893" spans="1:61" x14ac:dyDescent="0.25">
      <c r="A893" s="62" t="s">
        <v>407</v>
      </c>
      <c r="B893" s="62" t="s">
        <v>407</v>
      </c>
      <c r="C893" s="63"/>
      <c r="D893" s="64"/>
      <c r="E893" s="65"/>
      <c r="F893" s="66"/>
      <c r="G893" s="63"/>
      <c r="H893" s="67"/>
      <c r="I893" s="68"/>
      <c r="J893" s="68"/>
      <c r="K893" s="32"/>
      <c r="L893" s="75">
        <v>893</v>
      </c>
      <c r="M893" s="75"/>
      <c r="N893" s="70"/>
      <c r="O893" s="77" t="s">
        <v>179</v>
      </c>
      <c r="P893" s="79">
        <v>45121.808171296296</v>
      </c>
      <c r="Q893" s="77" t="s">
        <v>1684</v>
      </c>
      <c r="R893" s="77">
        <v>0</v>
      </c>
      <c r="S893" s="77">
        <v>0</v>
      </c>
      <c r="T893" s="77">
        <v>0</v>
      </c>
      <c r="U893" s="77">
        <v>0</v>
      </c>
      <c r="V893" s="77">
        <v>25</v>
      </c>
      <c r="W893" s="82" t="s">
        <v>5394</v>
      </c>
      <c r="X893" s="80" t="str">
        <f>HYPERLINK("https://estoaresearch.com/noticias/brf-levanta-r-54-bilhoes-em-follow-on-e-acoes-despencam/?utm_source=twitter")</f>
        <v>https://estoaresearch.com/noticias/brf-levanta-r-54-bilhoes-em-follow-on-e-acoes-despencam/?utm_source=twitter</v>
      </c>
      <c r="Y893" s="77" t="s">
        <v>7097</v>
      </c>
      <c r="Z893" s="77"/>
      <c r="AA893" s="77"/>
      <c r="AB893" s="77"/>
      <c r="AC893" s="82" t="s">
        <v>8232</v>
      </c>
      <c r="AD893" s="77" t="s">
        <v>8278</v>
      </c>
      <c r="AE893" s="80" t="str">
        <f>HYPERLINK("https://twitter.com/estoaresearch/status/1679934732593709089")</f>
        <v>https://twitter.com/estoaresearch/status/1679934732593709089</v>
      </c>
      <c r="AF893" s="79">
        <v>45121.808171296296</v>
      </c>
      <c r="AG893" s="85">
        <v>45121</v>
      </c>
      <c r="AH893" s="82" t="s">
        <v>9056</v>
      </c>
      <c r="AI893" s="77" t="b">
        <v>0</v>
      </c>
      <c r="AJ893" s="77"/>
      <c r="AK893" s="77"/>
      <c r="AL893" s="77"/>
      <c r="AM893" s="77"/>
      <c r="AN893" s="77"/>
      <c r="AO893" s="77"/>
      <c r="AP893" s="77"/>
      <c r="AQ893" s="77"/>
      <c r="AR893" s="77"/>
      <c r="AS893" s="77"/>
      <c r="AT893" s="77"/>
      <c r="AU893" s="77"/>
      <c r="AV893" s="80" t="str">
        <f>HYPERLINK("https://pbs.twimg.com/profile_images/1452757245675118593/__7461BF_normal.jpg")</f>
        <v>https://pbs.twimg.com/profile_images/1452757245675118593/__7461BF_normal.jpg</v>
      </c>
      <c r="AW893" s="82" t="s">
        <v>13988</v>
      </c>
      <c r="AX893" s="82" t="s">
        <v>13988</v>
      </c>
      <c r="AY893" s="77"/>
      <c r="AZ893" s="82" t="s">
        <v>17385</v>
      </c>
      <c r="BA893" s="82" t="s">
        <v>17385</v>
      </c>
      <c r="BB893" s="82" t="s">
        <v>17385</v>
      </c>
      <c r="BC893" s="82" t="s">
        <v>13988</v>
      </c>
      <c r="BD893" s="82" t="s">
        <v>17537</v>
      </c>
      <c r="BE893" s="77"/>
      <c r="BF893" s="77"/>
      <c r="BG893" s="77"/>
      <c r="BH893" s="77"/>
      <c r="BI893" s="77"/>
    </row>
    <row r="894" spans="1:61" x14ac:dyDescent="0.25">
      <c r="A894" s="62" t="s">
        <v>407</v>
      </c>
      <c r="B894" s="62" t="s">
        <v>407</v>
      </c>
      <c r="C894" s="63"/>
      <c r="D894" s="64"/>
      <c r="E894" s="65"/>
      <c r="F894" s="66"/>
      <c r="G894" s="63"/>
      <c r="H894" s="67"/>
      <c r="I894" s="68"/>
      <c r="J894" s="68"/>
      <c r="K894" s="32"/>
      <c r="L894" s="75">
        <v>894</v>
      </c>
      <c r="M894" s="75"/>
      <c r="N894" s="70"/>
      <c r="O894" s="77" t="s">
        <v>179</v>
      </c>
      <c r="P894" s="79">
        <v>45120.798888888887</v>
      </c>
      <c r="Q894" s="77" t="s">
        <v>1685</v>
      </c>
      <c r="R894" s="77">
        <v>0</v>
      </c>
      <c r="S894" s="77">
        <v>0</v>
      </c>
      <c r="T894" s="77">
        <v>0</v>
      </c>
      <c r="U894" s="77">
        <v>0</v>
      </c>
      <c r="V894" s="77">
        <v>38</v>
      </c>
      <c r="W894" s="82" t="s">
        <v>5395</v>
      </c>
      <c r="X894" s="80" t="str">
        <f>HYPERLINK("https://estoaresearch.com/noticias/jbs-acoes-disparam-com-anuncio-de-listagem-dupla/?utm_source=twitter")</f>
        <v>https://estoaresearch.com/noticias/jbs-acoes-disparam-com-anuncio-de-listagem-dupla/?utm_source=twitter</v>
      </c>
      <c r="Y894" s="77" t="s">
        <v>7097</v>
      </c>
      <c r="Z894" s="77"/>
      <c r="AA894" s="77"/>
      <c r="AB894" s="77"/>
      <c r="AC894" s="82" t="s">
        <v>8232</v>
      </c>
      <c r="AD894" s="77" t="s">
        <v>8278</v>
      </c>
      <c r="AE894" s="80" t="str">
        <f>HYPERLINK("https://twitter.com/estoaresearch/status/1679568981898805250")</f>
        <v>https://twitter.com/estoaresearch/status/1679568981898805250</v>
      </c>
      <c r="AF894" s="79">
        <v>45120.798888888887</v>
      </c>
      <c r="AG894" s="85">
        <v>45120</v>
      </c>
      <c r="AH894" s="82" t="s">
        <v>9057</v>
      </c>
      <c r="AI894" s="77" t="b">
        <v>0</v>
      </c>
      <c r="AJ894" s="77"/>
      <c r="AK894" s="77"/>
      <c r="AL894" s="77"/>
      <c r="AM894" s="77"/>
      <c r="AN894" s="77"/>
      <c r="AO894" s="77"/>
      <c r="AP894" s="77"/>
      <c r="AQ894" s="77"/>
      <c r="AR894" s="77"/>
      <c r="AS894" s="77"/>
      <c r="AT894" s="77"/>
      <c r="AU894" s="77"/>
      <c r="AV894" s="80" t="str">
        <f>HYPERLINK("https://pbs.twimg.com/profile_images/1452757245675118593/__7461BF_normal.jpg")</f>
        <v>https://pbs.twimg.com/profile_images/1452757245675118593/__7461BF_normal.jpg</v>
      </c>
      <c r="AW894" s="82" t="s">
        <v>13989</v>
      </c>
      <c r="AX894" s="82" t="s">
        <v>13989</v>
      </c>
      <c r="AY894" s="77"/>
      <c r="AZ894" s="82" t="s">
        <v>17385</v>
      </c>
      <c r="BA894" s="82" t="s">
        <v>17385</v>
      </c>
      <c r="BB894" s="82" t="s">
        <v>17385</v>
      </c>
      <c r="BC894" s="82" t="s">
        <v>13989</v>
      </c>
      <c r="BD894" s="82" t="s">
        <v>17537</v>
      </c>
      <c r="BE894" s="77"/>
      <c r="BF894" s="77"/>
      <c r="BG894" s="77"/>
      <c r="BH894" s="77"/>
      <c r="BI894" s="77"/>
    </row>
    <row r="895" spans="1:61" x14ac:dyDescent="0.25">
      <c r="A895" s="62" t="s">
        <v>408</v>
      </c>
      <c r="B895" s="62" t="s">
        <v>408</v>
      </c>
      <c r="C895" s="63"/>
      <c r="D895" s="64"/>
      <c r="E895" s="65"/>
      <c r="F895" s="66"/>
      <c r="G895" s="63"/>
      <c r="H895" s="67"/>
      <c r="I895" s="68"/>
      <c r="J895" s="68"/>
      <c r="K895" s="32"/>
      <c r="L895" s="75">
        <v>895</v>
      </c>
      <c r="M895" s="75"/>
      <c r="N895" s="70"/>
      <c r="O895" s="77" t="s">
        <v>179</v>
      </c>
      <c r="P895" s="79">
        <v>45187.738379629627</v>
      </c>
      <c r="Q895" s="77" t="s">
        <v>1686</v>
      </c>
      <c r="R895" s="77">
        <v>0</v>
      </c>
      <c r="S895" s="77">
        <v>0</v>
      </c>
      <c r="T895" s="77">
        <v>0</v>
      </c>
      <c r="U895" s="77">
        <v>0</v>
      </c>
      <c r="V895" s="77">
        <v>16</v>
      </c>
      <c r="W895" s="82" t="s">
        <v>5396</v>
      </c>
      <c r="X895" s="77"/>
      <c r="Y895" s="77"/>
      <c r="Z895" s="77"/>
      <c r="AA895" s="77" t="s">
        <v>7658</v>
      </c>
      <c r="AB895" s="77" t="s">
        <v>8225</v>
      </c>
      <c r="AC895" s="82" t="s">
        <v>8232</v>
      </c>
      <c r="AD895" s="77" t="s">
        <v>8278</v>
      </c>
      <c r="AE895" s="80" t="str">
        <f>HYPERLINK("https://twitter.com/daniel_bm92/status/1703827041173250323")</f>
        <v>https://twitter.com/daniel_bm92/status/1703827041173250323</v>
      </c>
      <c r="AF895" s="79">
        <v>45187.738379629627</v>
      </c>
      <c r="AG895" s="85">
        <v>45187</v>
      </c>
      <c r="AH895" s="82" t="s">
        <v>9058</v>
      </c>
      <c r="AI895" s="77" t="b">
        <v>0</v>
      </c>
      <c r="AJ895" s="77"/>
      <c r="AK895" s="77"/>
      <c r="AL895" s="77"/>
      <c r="AM895" s="77"/>
      <c r="AN895" s="77"/>
      <c r="AO895" s="77"/>
      <c r="AP895" s="77"/>
      <c r="AQ895" s="77" t="s">
        <v>12543</v>
      </c>
      <c r="AR895" s="77"/>
      <c r="AS895" s="77"/>
      <c r="AT895" s="77"/>
      <c r="AU895" s="77"/>
      <c r="AV895" s="80" t="str">
        <f>HYPERLINK("https://pbs.twimg.com/media/F6U05mbXUAAWhl4.jpg")</f>
        <v>https://pbs.twimg.com/media/F6U05mbXUAAWhl4.jpg</v>
      </c>
      <c r="AW895" s="82" t="s">
        <v>13990</v>
      </c>
      <c r="AX895" s="82" t="s">
        <v>13990</v>
      </c>
      <c r="AY895" s="77"/>
      <c r="AZ895" s="82" t="s">
        <v>17385</v>
      </c>
      <c r="BA895" s="82" t="s">
        <v>17385</v>
      </c>
      <c r="BB895" s="82" t="s">
        <v>17385</v>
      </c>
      <c r="BC895" s="82" t="s">
        <v>13990</v>
      </c>
      <c r="BD895" s="82" t="s">
        <v>17538</v>
      </c>
      <c r="BE895" s="77"/>
      <c r="BF895" s="77"/>
      <c r="BG895" s="77"/>
      <c r="BH895" s="77"/>
      <c r="BI895" s="77"/>
    </row>
    <row r="896" spans="1:61" x14ac:dyDescent="0.25">
      <c r="A896" s="62" t="s">
        <v>409</v>
      </c>
      <c r="B896" s="62" t="s">
        <v>409</v>
      </c>
      <c r="C896" s="63"/>
      <c r="D896" s="64"/>
      <c r="E896" s="65"/>
      <c r="F896" s="66"/>
      <c r="G896" s="63"/>
      <c r="H896" s="67"/>
      <c r="I896" s="68"/>
      <c r="J896" s="68"/>
      <c r="K896" s="32"/>
      <c r="L896" s="75">
        <v>896</v>
      </c>
      <c r="M896" s="75"/>
      <c r="N896" s="70"/>
      <c r="O896" s="77" t="s">
        <v>179</v>
      </c>
      <c r="P896" s="79">
        <v>45123.758206018516</v>
      </c>
      <c r="Q896" s="77" t="s">
        <v>1687</v>
      </c>
      <c r="R896" s="77">
        <v>0</v>
      </c>
      <c r="S896" s="77">
        <v>0</v>
      </c>
      <c r="T896" s="77">
        <v>0</v>
      </c>
      <c r="U896" s="77">
        <v>0</v>
      </c>
      <c r="V896" s="77">
        <v>24</v>
      </c>
      <c r="W896" s="82" t="s">
        <v>5397</v>
      </c>
      <c r="X896" s="80" t="str">
        <f>HYPERLINK("https://youtu.be/a7AykCJFpuQ")</f>
        <v>https://youtu.be/a7AykCJFpuQ</v>
      </c>
      <c r="Y896" s="77" t="s">
        <v>7064</v>
      </c>
      <c r="Z896" s="77"/>
      <c r="AA896" s="77"/>
      <c r="AB896" s="77"/>
      <c r="AC896" s="82" t="s">
        <v>8234</v>
      </c>
      <c r="AD896" s="77" t="s">
        <v>8280</v>
      </c>
      <c r="AE896" s="80" t="str">
        <f>HYPERLINK("https://twitter.com/stelute/status/1680641401560739844")</f>
        <v>https://twitter.com/stelute/status/1680641401560739844</v>
      </c>
      <c r="AF896" s="79">
        <v>45123.758206018516</v>
      </c>
      <c r="AG896" s="85">
        <v>45123</v>
      </c>
      <c r="AH896" s="82" t="s">
        <v>9059</v>
      </c>
      <c r="AI896" s="77" t="b">
        <v>0</v>
      </c>
      <c r="AJ896" s="77"/>
      <c r="AK896" s="77"/>
      <c r="AL896" s="77"/>
      <c r="AM896" s="77"/>
      <c r="AN896" s="77"/>
      <c r="AO896" s="77"/>
      <c r="AP896" s="77"/>
      <c r="AQ896" s="77"/>
      <c r="AR896" s="77"/>
      <c r="AS896" s="77"/>
      <c r="AT896" s="77"/>
      <c r="AU896" s="77"/>
      <c r="AV896" s="80" t="str">
        <f>HYPERLINK("https://pbs.twimg.com/profile_images/593987420/twitter_normal.jpg")</f>
        <v>https://pbs.twimg.com/profile_images/593987420/twitter_normal.jpg</v>
      </c>
      <c r="AW896" s="82" t="s">
        <v>13991</v>
      </c>
      <c r="AX896" s="82" t="s">
        <v>13991</v>
      </c>
      <c r="AY896" s="77"/>
      <c r="AZ896" s="82" t="s">
        <v>17385</v>
      </c>
      <c r="BA896" s="82" t="s">
        <v>17385</v>
      </c>
      <c r="BB896" s="82" t="s">
        <v>17385</v>
      </c>
      <c r="BC896" s="82" t="s">
        <v>13991</v>
      </c>
      <c r="BD896" s="77">
        <v>99585604</v>
      </c>
      <c r="BE896" s="77"/>
      <c r="BF896" s="77"/>
      <c r="BG896" s="77"/>
      <c r="BH896" s="77"/>
      <c r="BI896" s="77"/>
    </row>
    <row r="897" spans="1:61" x14ac:dyDescent="0.25">
      <c r="A897" s="62" t="s">
        <v>410</v>
      </c>
      <c r="B897" s="62" t="s">
        <v>410</v>
      </c>
      <c r="C897" s="63"/>
      <c r="D897" s="64"/>
      <c r="E897" s="65"/>
      <c r="F897" s="66"/>
      <c r="G897" s="63"/>
      <c r="H897" s="67"/>
      <c r="I897" s="68"/>
      <c r="J897" s="68"/>
      <c r="K897" s="32"/>
      <c r="L897" s="75">
        <v>897</v>
      </c>
      <c r="M897" s="75"/>
      <c r="N897" s="70"/>
      <c r="O897" s="77" t="s">
        <v>179</v>
      </c>
      <c r="P897" s="79">
        <v>45119.72457175926</v>
      </c>
      <c r="Q897" s="77" t="s">
        <v>1688</v>
      </c>
      <c r="R897" s="77">
        <v>5</v>
      </c>
      <c r="S897" s="77">
        <v>19</v>
      </c>
      <c r="T897" s="77">
        <v>4</v>
      </c>
      <c r="U897" s="77">
        <v>0</v>
      </c>
      <c r="V897" s="77">
        <v>5361</v>
      </c>
      <c r="W897" s="82" t="s">
        <v>5398</v>
      </c>
      <c r="X897" s="77"/>
      <c r="Y897" s="77"/>
      <c r="Z897" s="77"/>
      <c r="AA897" s="77"/>
      <c r="AB897" s="77"/>
      <c r="AC897" s="82" t="s">
        <v>8233</v>
      </c>
      <c r="AD897" s="77" t="s">
        <v>8278</v>
      </c>
      <c r="AE897" s="80" t="str">
        <f>HYPERLINK("https://twitter.com/cripto_leblon/status/1679179661174095895")</f>
        <v>https://twitter.com/cripto_leblon/status/1679179661174095895</v>
      </c>
      <c r="AF897" s="79">
        <v>45119.72457175926</v>
      </c>
      <c r="AG897" s="85">
        <v>45119</v>
      </c>
      <c r="AH897" s="82" t="s">
        <v>9060</v>
      </c>
      <c r="AI897" s="77"/>
      <c r="AJ897" s="77"/>
      <c r="AK897" s="77"/>
      <c r="AL897" s="77"/>
      <c r="AM897" s="77"/>
      <c r="AN897" s="77"/>
      <c r="AO897" s="77"/>
      <c r="AP897" s="77"/>
      <c r="AQ897" s="77"/>
      <c r="AR897" s="77"/>
      <c r="AS897" s="77"/>
      <c r="AT897" s="77"/>
      <c r="AU897" s="77"/>
      <c r="AV897" s="80" t="str">
        <f>HYPERLINK("https://pbs.twimg.com/profile_images/1652922827811569664/1TVkKQSU_normal.jpg")</f>
        <v>https://pbs.twimg.com/profile_images/1652922827811569664/1TVkKQSU_normal.jpg</v>
      </c>
      <c r="AW897" s="82" t="s">
        <v>13992</v>
      </c>
      <c r="AX897" s="82" t="s">
        <v>13992</v>
      </c>
      <c r="AY897" s="77"/>
      <c r="AZ897" s="82" t="s">
        <v>17385</v>
      </c>
      <c r="BA897" s="82" t="s">
        <v>17385</v>
      </c>
      <c r="BB897" s="82" t="s">
        <v>17385</v>
      </c>
      <c r="BC897" s="82" t="s">
        <v>13992</v>
      </c>
      <c r="BD897" s="82" t="s">
        <v>17539</v>
      </c>
      <c r="BE897" s="77"/>
      <c r="BF897" s="77"/>
      <c r="BG897" s="77"/>
      <c r="BH897" s="77"/>
      <c r="BI897" s="77"/>
    </row>
    <row r="898" spans="1:61" x14ac:dyDescent="0.25">
      <c r="A898" s="62" t="s">
        <v>411</v>
      </c>
      <c r="B898" s="62" t="s">
        <v>411</v>
      </c>
      <c r="C898" s="63"/>
      <c r="D898" s="64"/>
      <c r="E898" s="65"/>
      <c r="F898" s="66"/>
      <c r="G898" s="63"/>
      <c r="H898" s="67"/>
      <c r="I898" s="68"/>
      <c r="J898" s="68"/>
      <c r="K898" s="32"/>
      <c r="L898" s="75">
        <v>898</v>
      </c>
      <c r="M898" s="75"/>
      <c r="N898" s="70"/>
      <c r="O898" s="77" t="s">
        <v>179</v>
      </c>
      <c r="P898" s="79">
        <v>45119.602129629631</v>
      </c>
      <c r="Q898" s="77" t="s">
        <v>1689</v>
      </c>
      <c r="R898" s="77">
        <v>0</v>
      </c>
      <c r="S898" s="77">
        <v>0</v>
      </c>
      <c r="T898" s="77">
        <v>0</v>
      </c>
      <c r="U898" s="77">
        <v>0</v>
      </c>
      <c r="V898" s="77">
        <v>46</v>
      </c>
      <c r="W898" s="82" t="s">
        <v>5399</v>
      </c>
      <c r="X898" s="77"/>
      <c r="Y898" s="77"/>
      <c r="Z898" s="77"/>
      <c r="AA898" s="77" t="s">
        <v>7659</v>
      </c>
      <c r="AB898" s="77" t="s">
        <v>8227</v>
      </c>
      <c r="AC898" s="82" t="s">
        <v>8232</v>
      </c>
      <c r="AD898" s="77" t="s">
        <v>8278</v>
      </c>
      <c r="AE898" s="80" t="str">
        <f>HYPERLINK("https://twitter.com/leomorban/status/1679135288398864386")</f>
        <v>https://twitter.com/leomorban/status/1679135288398864386</v>
      </c>
      <c r="AF898" s="79">
        <v>45119.602129629631</v>
      </c>
      <c r="AG898" s="85">
        <v>45119</v>
      </c>
      <c r="AH898" s="82" t="s">
        <v>9061</v>
      </c>
      <c r="AI898" s="77" t="b">
        <v>0</v>
      </c>
      <c r="AJ898" s="77"/>
      <c r="AK898" s="77"/>
      <c r="AL898" s="77"/>
      <c r="AM898" s="77"/>
      <c r="AN898" s="77"/>
      <c r="AO898" s="77"/>
      <c r="AP898" s="77"/>
      <c r="AQ898" s="77" t="s">
        <v>12544</v>
      </c>
      <c r="AR898" s="77">
        <v>61833</v>
      </c>
      <c r="AS898" s="77"/>
      <c r="AT898" s="77"/>
      <c r="AU898" s="77"/>
      <c r="AV898" s="80" t="str">
        <f>HYPERLINK("https://pbs.twimg.com/ext_tw_video_thumb/1679135139996086272/pu/img/68h3tSb8lBRpCb_F.jpg")</f>
        <v>https://pbs.twimg.com/ext_tw_video_thumb/1679135139996086272/pu/img/68h3tSb8lBRpCb_F.jpg</v>
      </c>
      <c r="AW898" s="82" t="s">
        <v>13993</v>
      </c>
      <c r="AX898" s="82" t="s">
        <v>13993</v>
      </c>
      <c r="AY898" s="77"/>
      <c r="AZ898" s="82" t="s">
        <v>17385</v>
      </c>
      <c r="BA898" s="82" t="s">
        <v>17385</v>
      </c>
      <c r="BB898" s="82" t="s">
        <v>17385</v>
      </c>
      <c r="BC898" s="82" t="s">
        <v>13993</v>
      </c>
      <c r="BD898" s="77">
        <v>307533855</v>
      </c>
      <c r="BE898" s="77"/>
      <c r="BF898" s="77"/>
      <c r="BG898" s="77"/>
      <c r="BH898" s="77"/>
      <c r="BI898" s="77"/>
    </row>
    <row r="899" spans="1:61" x14ac:dyDescent="0.25">
      <c r="A899" s="62" t="s">
        <v>412</v>
      </c>
      <c r="B899" s="62" t="s">
        <v>731</v>
      </c>
      <c r="C899" s="63"/>
      <c r="D899" s="64"/>
      <c r="E899" s="65"/>
      <c r="F899" s="66"/>
      <c r="G899" s="63"/>
      <c r="H899" s="67"/>
      <c r="I899" s="68"/>
      <c r="J899" s="68"/>
      <c r="K899" s="32"/>
      <c r="L899" s="75">
        <v>899</v>
      </c>
      <c r="M899" s="75"/>
      <c r="N899" s="70"/>
      <c r="O899" s="77" t="s">
        <v>802</v>
      </c>
      <c r="P899" s="79">
        <v>45068.846342592595</v>
      </c>
      <c r="Q899" s="77" t="s">
        <v>1690</v>
      </c>
      <c r="R899" s="77">
        <v>0</v>
      </c>
      <c r="S899" s="77">
        <v>0</v>
      </c>
      <c r="T899" s="77">
        <v>0</v>
      </c>
      <c r="U899" s="77">
        <v>0</v>
      </c>
      <c r="V899" s="77">
        <v>89</v>
      </c>
      <c r="W899" s="82" t="s">
        <v>5400</v>
      </c>
      <c r="X899" s="80" t="str">
        <f>HYPERLINK("https://youtu.be/cywtc4gJMQk")</f>
        <v>https://youtu.be/cywtc4gJMQk</v>
      </c>
      <c r="Y899" s="77" t="s">
        <v>7064</v>
      </c>
      <c r="Z899" s="77" t="s">
        <v>731</v>
      </c>
      <c r="AA899" s="77"/>
      <c r="AB899" s="77"/>
      <c r="AC899" s="82" t="s">
        <v>8232</v>
      </c>
      <c r="AD899" s="77" t="s">
        <v>8278</v>
      </c>
      <c r="AE899" s="80" t="str">
        <f>HYPERLINK("https://twitter.com/filosofiadetrad/status/1660742010179932165")</f>
        <v>https://twitter.com/filosofiadetrad/status/1660742010179932165</v>
      </c>
      <c r="AF899" s="79">
        <v>45068.846342592595</v>
      </c>
      <c r="AG899" s="85">
        <v>45068</v>
      </c>
      <c r="AH899" s="82" t="s">
        <v>9062</v>
      </c>
      <c r="AI899" s="77" t="b">
        <v>0</v>
      </c>
      <c r="AJ899" s="77"/>
      <c r="AK899" s="77"/>
      <c r="AL899" s="77"/>
      <c r="AM899" s="77"/>
      <c r="AN899" s="77"/>
      <c r="AO899" s="77"/>
      <c r="AP899" s="77"/>
      <c r="AQ899" s="77"/>
      <c r="AR899" s="77"/>
      <c r="AS899" s="77"/>
      <c r="AT899" s="77"/>
      <c r="AU899" s="77"/>
      <c r="AV899" s="80" t="str">
        <f>HYPERLINK("https://pbs.twimg.com/profile_images/1441000283249709057/y9TABbcK_normal.png")</f>
        <v>https://pbs.twimg.com/profile_images/1441000283249709057/y9TABbcK_normal.png</v>
      </c>
      <c r="AW899" s="82" t="s">
        <v>13994</v>
      </c>
      <c r="AX899" s="82" t="s">
        <v>13994</v>
      </c>
      <c r="AY899" s="77"/>
      <c r="AZ899" s="82" t="s">
        <v>17385</v>
      </c>
      <c r="BA899" s="82" t="s">
        <v>17385</v>
      </c>
      <c r="BB899" s="82" t="s">
        <v>17385</v>
      </c>
      <c r="BC899" s="82" t="s">
        <v>13994</v>
      </c>
      <c r="BD899" s="82" t="s">
        <v>17540</v>
      </c>
      <c r="BE899" s="77"/>
      <c r="BF899" s="77"/>
      <c r="BG899" s="77"/>
      <c r="BH899" s="77"/>
      <c r="BI899" s="77"/>
    </row>
    <row r="900" spans="1:61" x14ac:dyDescent="0.25">
      <c r="A900" s="62" t="s">
        <v>412</v>
      </c>
      <c r="B900" s="62" t="s">
        <v>731</v>
      </c>
      <c r="C900" s="63"/>
      <c r="D900" s="64"/>
      <c r="E900" s="65"/>
      <c r="F900" s="66"/>
      <c r="G900" s="63"/>
      <c r="H900" s="67"/>
      <c r="I900" s="68"/>
      <c r="J900" s="68"/>
      <c r="K900" s="32"/>
      <c r="L900" s="75">
        <v>900</v>
      </c>
      <c r="M900" s="75"/>
      <c r="N900" s="70"/>
      <c r="O900" s="77" t="s">
        <v>802</v>
      </c>
      <c r="P900" s="79">
        <v>45096.608252314814</v>
      </c>
      <c r="Q900" s="77" t="s">
        <v>1691</v>
      </c>
      <c r="R900" s="77">
        <v>0</v>
      </c>
      <c r="S900" s="77">
        <v>0</v>
      </c>
      <c r="T900" s="77">
        <v>0</v>
      </c>
      <c r="U900" s="77">
        <v>0</v>
      </c>
      <c r="V900" s="77">
        <v>75</v>
      </c>
      <c r="W900" s="82" t="s">
        <v>5401</v>
      </c>
      <c r="X900" s="80" t="str">
        <f>HYPERLINK("https://youtu.be/J0mJcb_ZXS4")</f>
        <v>https://youtu.be/J0mJcb_ZXS4</v>
      </c>
      <c r="Y900" s="77" t="s">
        <v>7064</v>
      </c>
      <c r="Z900" s="77" t="s">
        <v>731</v>
      </c>
      <c r="AA900" s="77"/>
      <c r="AB900" s="77"/>
      <c r="AC900" s="82" t="s">
        <v>8232</v>
      </c>
      <c r="AD900" s="77" t="s">
        <v>8278</v>
      </c>
      <c r="AE900" s="80" t="str">
        <f>HYPERLINK("https://twitter.com/filosofiadetrad/status/1670802586717257733")</f>
        <v>https://twitter.com/filosofiadetrad/status/1670802586717257733</v>
      </c>
      <c r="AF900" s="79">
        <v>45096.608252314814</v>
      </c>
      <c r="AG900" s="85">
        <v>45096</v>
      </c>
      <c r="AH900" s="82" t="s">
        <v>9063</v>
      </c>
      <c r="AI900" s="77" t="b">
        <v>0</v>
      </c>
      <c r="AJ900" s="77"/>
      <c r="AK900" s="77"/>
      <c r="AL900" s="77"/>
      <c r="AM900" s="77"/>
      <c r="AN900" s="77"/>
      <c r="AO900" s="77"/>
      <c r="AP900" s="77"/>
      <c r="AQ900" s="77"/>
      <c r="AR900" s="77"/>
      <c r="AS900" s="77"/>
      <c r="AT900" s="77"/>
      <c r="AU900" s="77"/>
      <c r="AV900" s="80" t="str">
        <f>HYPERLINK("https://pbs.twimg.com/profile_images/1441000283249709057/y9TABbcK_normal.png")</f>
        <v>https://pbs.twimg.com/profile_images/1441000283249709057/y9TABbcK_normal.png</v>
      </c>
      <c r="AW900" s="82" t="s">
        <v>13995</v>
      </c>
      <c r="AX900" s="82" t="s">
        <v>13995</v>
      </c>
      <c r="AY900" s="77"/>
      <c r="AZ900" s="82" t="s">
        <v>17385</v>
      </c>
      <c r="BA900" s="82" t="s">
        <v>17385</v>
      </c>
      <c r="BB900" s="82" t="s">
        <v>17385</v>
      </c>
      <c r="BC900" s="82" t="s">
        <v>13995</v>
      </c>
      <c r="BD900" s="82" t="s">
        <v>17540</v>
      </c>
      <c r="BE900" s="77"/>
      <c r="BF900" s="77"/>
      <c r="BG900" s="77"/>
      <c r="BH900" s="77"/>
      <c r="BI900" s="77"/>
    </row>
    <row r="901" spans="1:61" x14ac:dyDescent="0.25">
      <c r="A901" s="62" t="s">
        <v>412</v>
      </c>
      <c r="B901" s="62" t="s">
        <v>731</v>
      </c>
      <c r="C901" s="63"/>
      <c r="D901" s="64"/>
      <c r="E901" s="65"/>
      <c r="F901" s="66"/>
      <c r="G901" s="63"/>
      <c r="H901" s="67"/>
      <c r="I901" s="68"/>
      <c r="J901" s="68"/>
      <c r="K901" s="32"/>
      <c r="L901" s="75">
        <v>901</v>
      </c>
      <c r="M901" s="75"/>
      <c r="N901" s="70"/>
      <c r="O901" s="77" t="s">
        <v>802</v>
      </c>
      <c r="P901" s="79">
        <v>45087.592372685183</v>
      </c>
      <c r="Q901" s="77" t="s">
        <v>1692</v>
      </c>
      <c r="R901" s="77">
        <v>0</v>
      </c>
      <c r="S901" s="77">
        <v>0</v>
      </c>
      <c r="T901" s="77">
        <v>0</v>
      </c>
      <c r="U901" s="77">
        <v>0</v>
      </c>
      <c r="V901" s="77">
        <v>6</v>
      </c>
      <c r="W901" s="82" t="s">
        <v>5402</v>
      </c>
      <c r="X901" s="80" t="str">
        <f>HYPERLINK("https://youtu.be/mo7tLr-tVpU")</f>
        <v>https://youtu.be/mo7tLr-tVpU</v>
      </c>
      <c r="Y901" s="77" t="s">
        <v>7064</v>
      </c>
      <c r="Z901" s="77" t="s">
        <v>731</v>
      </c>
      <c r="AA901" s="77"/>
      <c r="AB901" s="77"/>
      <c r="AC901" s="82" t="s">
        <v>8232</v>
      </c>
      <c r="AD901" s="77" t="s">
        <v>8278</v>
      </c>
      <c r="AE901" s="80" t="str">
        <f>HYPERLINK("https://twitter.com/filosofiadetrad/status/1667535341224357894")</f>
        <v>https://twitter.com/filosofiadetrad/status/1667535341224357894</v>
      </c>
      <c r="AF901" s="79">
        <v>45087.592372685183</v>
      </c>
      <c r="AG901" s="85">
        <v>45087</v>
      </c>
      <c r="AH901" s="82" t="s">
        <v>9064</v>
      </c>
      <c r="AI901" s="77" t="b">
        <v>0</v>
      </c>
      <c r="AJ901" s="77"/>
      <c r="AK901" s="77"/>
      <c r="AL901" s="77"/>
      <c r="AM901" s="77"/>
      <c r="AN901" s="77"/>
      <c r="AO901" s="77"/>
      <c r="AP901" s="77"/>
      <c r="AQ901" s="77"/>
      <c r="AR901" s="77"/>
      <c r="AS901" s="77"/>
      <c r="AT901" s="77"/>
      <c r="AU901" s="77"/>
      <c r="AV901" s="80" t="str">
        <f>HYPERLINK("https://pbs.twimg.com/profile_images/1441000283249709057/y9TABbcK_normal.png")</f>
        <v>https://pbs.twimg.com/profile_images/1441000283249709057/y9TABbcK_normal.png</v>
      </c>
      <c r="AW901" s="82" t="s">
        <v>13996</v>
      </c>
      <c r="AX901" s="82" t="s">
        <v>13996</v>
      </c>
      <c r="AY901" s="77"/>
      <c r="AZ901" s="82" t="s">
        <v>17385</v>
      </c>
      <c r="BA901" s="82" t="s">
        <v>17385</v>
      </c>
      <c r="BB901" s="82" t="s">
        <v>17385</v>
      </c>
      <c r="BC901" s="82" t="s">
        <v>13996</v>
      </c>
      <c r="BD901" s="82" t="s">
        <v>17540</v>
      </c>
      <c r="BE901" s="77"/>
      <c r="BF901" s="77"/>
      <c r="BG901" s="77"/>
      <c r="BH901" s="77"/>
      <c r="BI901" s="77"/>
    </row>
    <row r="902" spans="1:61" x14ac:dyDescent="0.25">
      <c r="A902" s="62" t="s">
        <v>412</v>
      </c>
      <c r="B902" s="62" t="s">
        <v>731</v>
      </c>
      <c r="C902" s="63"/>
      <c r="D902" s="64"/>
      <c r="E902" s="65"/>
      <c r="F902" s="66"/>
      <c r="G902" s="63"/>
      <c r="H902" s="67"/>
      <c r="I902" s="68"/>
      <c r="J902" s="68"/>
      <c r="K902" s="32"/>
      <c r="L902" s="75">
        <v>902</v>
      </c>
      <c r="M902" s="75"/>
      <c r="N902" s="70"/>
      <c r="O902" s="77" t="s">
        <v>802</v>
      </c>
      <c r="P902" s="79">
        <v>45094.599918981483</v>
      </c>
      <c r="Q902" s="77" t="s">
        <v>1693</v>
      </c>
      <c r="R902" s="77">
        <v>0</v>
      </c>
      <c r="S902" s="77">
        <v>0</v>
      </c>
      <c r="T902" s="77">
        <v>0</v>
      </c>
      <c r="U902" s="77">
        <v>0</v>
      </c>
      <c r="V902" s="77">
        <v>95</v>
      </c>
      <c r="W902" s="82" t="s">
        <v>5403</v>
      </c>
      <c r="X902" s="80" t="str">
        <f>HYPERLINK("https://youtu.be/juLi5oFWx3c")</f>
        <v>https://youtu.be/juLi5oFWx3c</v>
      </c>
      <c r="Y902" s="77" t="s">
        <v>7064</v>
      </c>
      <c r="Z902" s="77" t="s">
        <v>731</v>
      </c>
      <c r="AA902" s="77"/>
      <c r="AB902" s="77"/>
      <c r="AC902" s="82" t="s">
        <v>8232</v>
      </c>
      <c r="AD902" s="77" t="s">
        <v>8278</v>
      </c>
      <c r="AE902" s="80" t="str">
        <f>HYPERLINK("https://twitter.com/filosofiadetrad/status/1670074789661212672")</f>
        <v>https://twitter.com/filosofiadetrad/status/1670074789661212672</v>
      </c>
      <c r="AF902" s="79">
        <v>45094.599918981483</v>
      </c>
      <c r="AG902" s="85">
        <v>45094</v>
      </c>
      <c r="AH902" s="82" t="s">
        <v>9065</v>
      </c>
      <c r="AI902" s="77" t="b">
        <v>0</v>
      </c>
      <c r="AJ902" s="77"/>
      <c r="AK902" s="77"/>
      <c r="AL902" s="77"/>
      <c r="AM902" s="77"/>
      <c r="AN902" s="77"/>
      <c r="AO902" s="77"/>
      <c r="AP902" s="77"/>
      <c r="AQ902" s="77"/>
      <c r="AR902" s="77"/>
      <c r="AS902" s="77"/>
      <c r="AT902" s="77"/>
      <c r="AU902" s="77"/>
      <c r="AV902" s="80" t="str">
        <f>HYPERLINK("https://pbs.twimg.com/profile_images/1441000283249709057/y9TABbcK_normal.png")</f>
        <v>https://pbs.twimg.com/profile_images/1441000283249709057/y9TABbcK_normal.png</v>
      </c>
      <c r="AW902" s="82" t="s">
        <v>13997</v>
      </c>
      <c r="AX902" s="82" t="s">
        <v>13997</v>
      </c>
      <c r="AY902" s="77"/>
      <c r="AZ902" s="82" t="s">
        <v>17385</v>
      </c>
      <c r="BA902" s="82" t="s">
        <v>17385</v>
      </c>
      <c r="BB902" s="82" t="s">
        <v>17385</v>
      </c>
      <c r="BC902" s="82" t="s">
        <v>13997</v>
      </c>
      <c r="BD902" s="82" t="s">
        <v>17540</v>
      </c>
      <c r="BE902" s="77"/>
      <c r="BF902" s="77"/>
      <c r="BG902" s="77"/>
      <c r="BH902" s="77"/>
      <c r="BI902" s="77"/>
    </row>
    <row r="903" spans="1:61" x14ac:dyDescent="0.25">
      <c r="A903" s="62" t="s">
        <v>412</v>
      </c>
      <c r="B903" s="62" t="s">
        <v>731</v>
      </c>
      <c r="C903" s="63"/>
      <c r="D903" s="64"/>
      <c r="E903" s="65"/>
      <c r="F903" s="66"/>
      <c r="G903" s="63"/>
      <c r="H903" s="67"/>
      <c r="I903" s="68"/>
      <c r="J903" s="68"/>
      <c r="K903" s="32"/>
      <c r="L903" s="75">
        <v>903</v>
      </c>
      <c r="M903" s="75"/>
      <c r="N903" s="70"/>
      <c r="O903" s="77" t="s">
        <v>802</v>
      </c>
      <c r="P903" s="79">
        <v>45099.69872685185</v>
      </c>
      <c r="Q903" s="77" t="s">
        <v>1694</v>
      </c>
      <c r="R903" s="77">
        <v>0</v>
      </c>
      <c r="S903" s="77">
        <v>0</v>
      </c>
      <c r="T903" s="77">
        <v>0</v>
      </c>
      <c r="U903" s="77">
        <v>0</v>
      </c>
      <c r="V903" s="77">
        <v>11</v>
      </c>
      <c r="W903" s="82" t="s">
        <v>5404</v>
      </c>
      <c r="X903" s="80" t="str">
        <f>HYPERLINK("https://youtu.be/5vqLBQEDjMk")</f>
        <v>https://youtu.be/5vqLBQEDjMk</v>
      </c>
      <c r="Y903" s="77" t="s">
        <v>7064</v>
      </c>
      <c r="Z903" s="77" t="s">
        <v>731</v>
      </c>
      <c r="AA903" s="77"/>
      <c r="AB903" s="77"/>
      <c r="AC903" s="82" t="s">
        <v>8232</v>
      </c>
      <c r="AD903" s="77" t="s">
        <v>8278</v>
      </c>
      <c r="AE903" s="80" t="str">
        <f>HYPERLINK("https://twitter.com/filosofiadetrad/status/1671922538002235417")</f>
        <v>https://twitter.com/filosofiadetrad/status/1671922538002235417</v>
      </c>
      <c r="AF903" s="79">
        <v>45099.69872685185</v>
      </c>
      <c r="AG903" s="85">
        <v>45099</v>
      </c>
      <c r="AH903" s="82" t="s">
        <v>9066</v>
      </c>
      <c r="AI903" s="77" t="b">
        <v>0</v>
      </c>
      <c r="AJ903" s="77"/>
      <c r="AK903" s="77"/>
      <c r="AL903" s="77"/>
      <c r="AM903" s="77"/>
      <c r="AN903" s="77"/>
      <c r="AO903" s="77"/>
      <c r="AP903" s="77"/>
      <c r="AQ903" s="77"/>
      <c r="AR903" s="77"/>
      <c r="AS903" s="77"/>
      <c r="AT903" s="77"/>
      <c r="AU903" s="77"/>
      <c r="AV903" s="80" t="str">
        <f>HYPERLINK("https://pbs.twimg.com/profile_images/1441000283249709057/y9TABbcK_normal.png")</f>
        <v>https://pbs.twimg.com/profile_images/1441000283249709057/y9TABbcK_normal.png</v>
      </c>
      <c r="AW903" s="82" t="s">
        <v>13998</v>
      </c>
      <c r="AX903" s="82" t="s">
        <v>13998</v>
      </c>
      <c r="AY903" s="77"/>
      <c r="AZ903" s="82" t="s">
        <v>17385</v>
      </c>
      <c r="BA903" s="82" t="s">
        <v>17385</v>
      </c>
      <c r="BB903" s="82" t="s">
        <v>17385</v>
      </c>
      <c r="BC903" s="82" t="s">
        <v>13998</v>
      </c>
      <c r="BD903" s="82" t="s">
        <v>17540</v>
      </c>
      <c r="BE903" s="77"/>
      <c r="BF903" s="77"/>
      <c r="BG903" s="77"/>
      <c r="BH903" s="77"/>
      <c r="BI903" s="77"/>
    </row>
    <row r="904" spans="1:61" x14ac:dyDescent="0.25">
      <c r="A904" s="62" t="s">
        <v>412</v>
      </c>
      <c r="B904" s="62" t="s">
        <v>731</v>
      </c>
      <c r="C904" s="63"/>
      <c r="D904" s="64"/>
      <c r="E904" s="65"/>
      <c r="F904" s="66"/>
      <c r="G904" s="63"/>
      <c r="H904" s="67"/>
      <c r="I904" s="68"/>
      <c r="J904" s="68"/>
      <c r="K904" s="32"/>
      <c r="L904" s="75">
        <v>904</v>
      </c>
      <c r="M904" s="75"/>
      <c r="N904" s="70"/>
      <c r="O904" s="77" t="s">
        <v>802</v>
      </c>
      <c r="P904" s="79">
        <v>45194.753032407411</v>
      </c>
      <c r="Q904" s="77" t="s">
        <v>1695</v>
      </c>
      <c r="R904" s="77">
        <v>0</v>
      </c>
      <c r="S904" s="77">
        <v>0</v>
      </c>
      <c r="T904" s="77">
        <v>0</v>
      </c>
      <c r="U904" s="77">
        <v>0</v>
      </c>
      <c r="V904" s="77">
        <v>30</v>
      </c>
      <c r="W904" s="82" t="s">
        <v>5405</v>
      </c>
      <c r="X904" s="80" t="str">
        <f>HYPERLINK("https://youtu.be/D57fEibkDRU?si=9J3sHk6SDalEQH5v")</f>
        <v>https://youtu.be/D57fEibkDRU?si=9J3sHk6SDalEQH5v</v>
      </c>
      <c r="Y904" s="77" t="s">
        <v>7064</v>
      </c>
      <c r="Z904" s="77" t="s">
        <v>731</v>
      </c>
      <c r="AA904" s="77"/>
      <c r="AB904" s="77"/>
      <c r="AC904" s="82" t="s">
        <v>8232</v>
      </c>
      <c r="AD904" s="77" t="s">
        <v>8278</v>
      </c>
      <c r="AE904" s="80" t="str">
        <f>HYPERLINK("https://twitter.com/filosofiadetrad/status/1706369066263293990")</f>
        <v>https://twitter.com/filosofiadetrad/status/1706369066263293990</v>
      </c>
      <c r="AF904" s="79">
        <v>45194.753032407411</v>
      </c>
      <c r="AG904" s="85">
        <v>45194</v>
      </c>
      <c r="AH904" s="82" t="s">
        <v>9067</v>
      </c>
      <c r="AI904" s="77" t="b">
        <v>0</v>
      </c>
      <c r="AJ904" s="77"/>
      <c r="AK904" s="77"/>
      <c r="AL904" s="77"/>
      <c r="AM904" s="77"/>
      <c r="AN904" s="77"/>
      <c r="AO904" s="77"/>
      <c r="AP904" s="77"/>
      <c r="AQ904" s="77"/>
      <c r="AR904" s="77"/>
      <c r="AS904" s="77"/>
      <c r="AT904" s="77"/>
      <c r="AU904" s="77"/>
      <c r="AV904" s="80" t="str">
        <f>HYPERLINK("https://pbs.twimg.com/profile_images/1441000283249709057/y9TABbcK_normal.png")</f>
        <v>https://pbs.twimg.com/profile_images/1441000283249709057/y9TABbcK_normal.png</v>
      </c>
      <c r="AW904" s="82" t="s">
        <v>13999</v>
      </c>
      <c r="AX904" s="82" t="s">
        <v>13999</v>
      </c>
      <c r="AY904" s="77"/>
      <c r="AZ904" s="82" t="s">
        <v>17385</v>
      </c>
      <c r="BA904" s="82" t="s">
        <v>17385</v>
      </c>
      <c r="BB904" s="82" t="s">
        <v>17385</v>
      </c>
      <c r="BC904" s="82" t="s">
        <v>13999</v>
      </c>
      <c r="BD904" s="82" t="s">
        <v>17540</v>
      </c>
      <c r="BE904" s="77"/>
      <c r="BF904" s="77"/>
      <c r="BG904" s="77"/>
      <c r="BH904" s="77"/>
      <c r="BI904" s="77"/>
    </row>
    <row r="905" spans="1:61" x14ac:dyDescent="0.25">
      <c r="A905" s="62" t="s">
        <v>413</v>
      </c>
      <c r="B905" s="62" t="s">
        <v>413</v>
      </c>
      <c r="C905" s="63"/>
      <c r="D905" s="64"/>
      <c r="E905" s="65"/>
      <c r="F905" s="66"/>
      <c r="G905" s="63"/>
      <c r="H905" s="67"/>
      <c r="I905" s="68"/>
      <c r="J905" s="68"/>
      <c r="K905" s="32"/>
      <c r="L905" s="75">
        <v>905</v>
      </c>
      <c r="M905" s="75"/>
      <c r="N905" s="70"/>
      <c r="O905" s="77" t="s">
        <v>179</v>
      </c>
      <c r="P905" s="79">
        <v>45180.578460648147</v>
      </c>
      <c r="Q905" s="77" t="s">
        <v>1696</v>
      </c>
      <c r="R905" s="77">
        <v>0</v>
      </c>
      <c r="S905" s="77">
        <v>0</v>
      </c>
      <c r="T905" s="77">
        <v>0</v>
      </c>
      <c r="U905" s="77">
        <v>0</v>
      </c>
      <c r="V905" s="77">
        <v>25</v>
      </c>
      <c r="W905" s="82" t="s">
        <v>5406</v>
      </c>
      <c r="X905" s="80" t="str">
        <f>HYPERLINK("https://www.meugamer.com/noticia-de-jogos/embracer-planeja-vender-gearbox-como-parte-de-reducao-de-custos/")</f>
        <v>https://www.meugamer.com/noticia-de-jogos/embracer-planeja-vender-gearbox-como-parte-de-reducao-de-custos/</v>
      </c>
      <c r="Y905" s="77" t="s">
        <v>7098</v>
      </c>
      <c r="Z905" s="77"/>
      <c r="AA905" s="77"/>
      <c r="AB905" s="77"/>
      <c r="AC905" s="82" t="s">
        <v>8232</v>
      </c>
      <c r="AD905" s="77" t="s">
        <v>8278</v>
      </c>
      <c r="AE905" s="80" t="str">
        <f>HYPERLINK("https://twitter.com/meugamerbr/status/1701232372182565278")</f>
        <v>https://twitter.com/meugamerbr/status/1701232372182565278</v>
      </c>
      <c r="AF905" s="79">
        <v>45180.578460648147</v>
      </c>
      <c r="AG905" s="85">
        <v>45180</v>
      </c>
      <c r="AH905" s="82" t="s">
        <v>9068</v>
      </c>
      <c r="AI905" s="77" t="b">
        <v>0</v>
      </c>
      <c r="AJ905" s="77"/>
      <c r="AK905" s="77"/>
      <c r="AL905" s="77"/>
      <c r="AM905" s="77"/>
      <c r="AN905" s="77"/>
      <c r="AO905" s="77"/>
      <c r="AP905" s="77"/>
      <c r="AQ905" s="77"/>
      <c r="AR905" s="77"/>
      <c r="AS905" s="77"/>
      <c r="AT905" s="77"/>
      <c r="AU905" s="77"/>
      <c r="AV905" s="80" t="str">
        <f>HYPERLINK("https://pbs.twimg.com/profile_images/1615556497794109440/40Psbejc_normal.png")</f>
        <v>https://pbs.twimg.com/profile_images/1615556497794109440/40Psbejc_normal.png</v>
      </c>
      <c r="AW905" s="82" t="s">
        <v>14000</v>
      </c>
      <c r="AX905" s="82" t="s">
        <v>14000</v>
      </c>
      <c r="AY905" s="77"/>
      <c r="AZ905" s="82" t="s">
        <v>17385</v>
      </c>
      <c r="BA905" s="82" t="s">
        <v>17385</v>
      </c>
      <c r="BB905" s="82" t="s">
        <v>17385</v>
      </c>
      <c r="BC905" s="82" t="s">
        <v>14000</v>
      </c>
      <c r="BD905" s="82" t="s">
        <v>17541</v>
      </c>
      <c r="BE905" s="77"/>
      <c r="BF905" s="77"/>
      <c r="BG905" s="77"/>
      <c r="BH905" s="77"/>
      <c r="BI905" s="77"/>
    </row>
    <row r="906" spans="1:61" x14ac:dyDescent="0.25">
      <c r="A906" s="62" t="s">
        <v>414</v>
      </c>
      <c r="B906" s="62" t="s">
        <v>414</v>
      </c>
      <c r="C906" s="63"/>
      <c r="D906" s="64"/>
      <c r="E906" s="65"/>
      <c r="F906" s="66"/>
      <c r="G906" s="63"/>
      <c r="H906" s="67"/>
      <c r="I906" s="68"/>
      <c r="J906" s="68"/>
      <c r="K906" s="32"/>
      <c r="L906" s="75">
        <v>906</v>
      </c>
      <c r="M906" s="75"/>
      <c r="N906" s="70"/>
      <c r="O906" s="77" t="s">
        <v>179</v>
      </c>
      <c r="P906" s="79">
        <v>45122.542280092595</v>
      </c>
      <c r="Q906" s="77" t="s">
        <v>1697</v>
      </c>
      <c r="R906" s="77">
        <v>1</v>
      </c>
      <c r="S906" s="77">
        <v>0</v>
      </c>
      <c r="T906" s="77">
        <v>0</v>
      </c>
      <c r="U906" s="77">
        <v>0</v>
      </c>
      <c r="V906" s="77">
        <v>66</v>
      </c>
      <c r="W906" s="82" t="s">
        <v>5407</v>
      </c>
      <c r="X906" s="80" t="str">
        <f>HYPERLINK("https://mla.bs/10f0ae79")</f>
        <v>https://mla.bs/10f0ae79</v>
      </c>
      <c r="Y906" s="77" t="s">
        <v>7095</v>
      </c>
      <c r="Z906" s="77"/>
      <c r="AA906" s="77" t="s">
        <v>7660</v>
      </c>
      <c r="AB906" s="77" t="s">
        <v>8225</v>
      </c>
      <c r="AC906" s="82" t="s">
        <v>8235</v>
      </c>
      <c r="AD906" s="77" t="s">
        <v>8278</v>
      </c>
      <c r="AE906" s="80" t="str">
        <f>HYPERLINK("https://twitter.com/revistagc1/status/1680200765627875330")</f>
        <v>https://twitter.com/revistagc1/status/1680200765627875330</v>
      </c>
      <c r="AF906" s="79">
        <v>45122.542280092595</v>
      </c>
      <c r="AG906" s="85">
        <v>45122</v>
      </c>
      <c r="AH906" s="82" t="s">
        <v>9069</v>
      </c>
      <c r="AI906" s="77" t="b">
        <v>0</v>
      </c>
      <c r="AJ906" s="77"/>
      <c r="AK906" s="77"/>
      <c r="AL906" s="77"/>
      <c r="AM906" s="77"/>
      <c r="AN906" s="77"/>
      <c r="AO906" s="77"/>
      <c r="AP906" s="77"/>
      <c r="AQ906" s="77" t="s">
        <v>12545</v>
      </c>
      <c r="AR906" s="77"/>
      <c r="AS906" s="77"/>
      <c r="AT906" s="77"/>
      <c r="AU906" s="77"/>
      <c r="AV906" s="80" t="str">
        <f>HYPERLINK("https://pbs.twimg.com/media/F1FFsUaXsAcxqd4.jpg")</f>
        <v>https://pbs.twimg.com/media/F1FFsUaXsAcxqd4.jpg</v>
      </c>
      <c r="AW906" s="82" t="s">
        <v>14001</v>
      </c>
      <c r="AX906" s="82" t="s">
        <v>14001</v>
      </c>
      <c r="AY906" s="77"/>
      <c r="AZ906" s="82" t="s">
        <v>17385</v>
      </c>
      <c r="BA906" s="82" t="s">
        <v>17385</v>
      </c>
      <c r="BB906" s="82" t="s">
        <v>17385</v>
      </c>
      <c r="BC906" s="82" t="s">
        <v>14001</v>
      </c>
      <c r="BD906" s="82" t="s">
        <v>17542</v>
      </c>
      <c r="BE906" s="77"/>
      <c r="BF906" s="77"/>
      <c r="BG906" s="77"/>
      <c r="BH906" s="77"/>
      <c r="BI906" s="77"/>
    </row>
    <row r="907" spans="1:61" x14ac:dyDescent="0.25">
      <c r="A907" s="62" t="s">
        <v>414</v>
      </c>
      <c r="B907" s="62" t="s">
        <v>414</v>
      </c>
      <c r="C907" s="63"/>
      <c r="D907" s="64"/>
      <c r="E907" s="65"/>
      <c r="F907" s="66"/>
      <c r="G907" s="63"/>
      <c r="H907" s="67"/>
      <c r="I907" s="68"/>
      <c r="J907" s="68"/>
      <c r="K907" s="32"/>
      <c r="L907" s="75">
        <v>907</v>
      </c>
      <c r="M907" s="75"/>
      <c r="N907" s="70"/>
      <c r="O907" s="77" t="s">
        <v>179</v>
      </c>
      <c r="P907" s="79">
        <v>45150.614583333336</v>
      </c>
      <c r="Q907" s="77" t="s">
        <v>1698</v>
      </c>
      <c r="R907" s="77">
        <v>1</v>
      </c>
      <c r="S907" s="77">
        <v>1</v>
      </c>
      <c r="T907" s="77">
        <v>0</v>
      </c>
      <c r="U907" s="77">
        <v>0</v>
      </c>
      <c r="V907" s="77">
        <v>46</v>
      </c>
      <c r="W907" s="82" t="s">
        <v>5408</v>
      </c>
      <c r="X907" s="80" t="str">
        <f>HYPERLINK("https://mla.bs/9478a8cc")</f>
        <v>https://mla.bs/9478a8cc</v>
      </c>
      <c r="Y907" s="77" t="s">
        <v>7095</v>
      </c>
      <c r="Z907" s="77"/>
      <c r="AA907" s="77" t="s">
        <v>7661</v>
      </c>
      <c r="AB907" s="77" t="s">
        <v>8225</v>
      </c>
      <c r="AC907" s="82" t="s">
        <v>8232</v>
      </c>
      <c r="AD907" s="77" t="s">
        <v>8278</v>
      </c>
      <c r="AE907" s="80" t="str">
        <f>HYPERLINK("https://twitter.com/revistagc1/status/1690373825203179520")</f>
        <v>https://twitter.com/revistagc1/status/1690373825203179520</v>
      </c>
      <c r="AF907" s="79">
        <v>45150.614583333336</v>
      </c>
      <c r="AG907" s="85">
        <v>45150</v>
      </c>
      <c r="AH907" s="82" t="s">
        <v>9070</v>
      </c>
      <c r="AI907" s="77" t="b">
        <v>0</v>
      </c>
      <c r="AJ907" s="77"/>
      <c r="AK907" s="77"/>
      <c r="AL907" s="77"/>
      <c r="AM907" s="77"/>
      <c r="AN907" s="77"/>
      <c r="AO907" s="77"/>
      <c r="AP907" s="77"/>
      <c r="AQ907" s="77" t="s">
        <v>12546</v>
      </c>
      <c r="AR907" s="77"/>
      <c r="AS907" s="77"/>
      <c r="AT907" s="77"/>
      <c r="AU907" s="77"/>
      <c r="AV907" s="80" t="str">
        <f>HYPERLINK("https://pbs.twimg.com/media/F22-ITpWEAAiji8.jpg")</f>
        <v>https://pbs.twimg.com/media/F22-ITpWEAAiji8.jpg</v>
      </c>
      <c r="AW907" s="82" t="s">
        <v>14002</v>
      </c>
      <c r="AX907" s="82" t="s">
        <v>14002</v>
      </c>
      <c r="AY907" s="77"/>
      <c r="AZ907" s="82" t="s">
        <v>17385</v>
      </c>
      <c r="BA907" s="82" t="s">
        <v>17385</v>
      </c>
      <c r="BB907" s="82" t="s">
        <v>17385</v>
      </c>
      <c r="BC907" s="82" t="s">
        <v>14002</v>
      </c>
      <c r="BD907" s="82" t="s">
        <v>17542</v>
      </c>
      <c r="BE907" s="77"/>
      <c r="BF907" s="77"/>
      <c r="BG907" s="77"/>
      <c r="BH907" s="77"/>
      <c r="BI907" s="77"/>
    </row>
    <row r="908" spans="1:61" x14ac:dyDescent="0.25">
      <c r="A908" s="62" t="s">
        <v>415</v>
      </c>
      <c r="B908" s="62" t="s">
        <v>758</v>
      </c>
      <c r="C908" s="63"/>
      <c r="D908" s="64"/>
      <c r="E908" s="65"/>
      <c r="F908" s="66"/>
      <c r="G908" s="63"/>
      <c r="H908" s="67"/>
      <c r="I908" s="68"/>
      <c r="J908" s="68"/>
      <c r="K908" s="32"/>
      <c r="L908" s="75">
        <v>908</v>
      </c>
      <c r="M908" s="75"/>
      <c r="N908" s="70"/>
      <c r="O908" s="77" t="s">
        <v>802</v>
      </c>
      <c r="P908" s="79">
        <v>45149.600613425922</v>
      </c>
      <c r="Q908" s="77" t="s">
        <v>1699</v>
      </c>
      <c r="R908" s="77">
        <v>0</v>
      </c>
      <c r="S908" s="77">
        <v>0</v>
      </c>
      <c r="T908" s="77">
        <v>0</v>
      </c>
      <c r="U908" s="77">
        <v>0</v>
      </c>
      <c r="V908" s="77">
        <v>24</v>
      </c>
      <c r="W908" s="82" t="s">
        <v>5409</v>
      </c>
      <c r="X908" s="77"/>
      <c r="Y908" s="77"/>
      <c r="Z908" s="77" t="s">
        <v>758</v>
      </c>
      <c r="AA908" s="77" t="s">
        <v>7662</v>
      </c>
      <c r="AB908" s="77" t="s">
        <v>8225</v>
      </c>
      <c r="AC908" s="82" t="s">
        <v>8234</v>
      </c>
      <c r="AD908" s="77" t="s">
        <v>8278</v>
      </c>
      <c r="AE908" s="80" t="str">
        <f>HYPERLINK("https://twitter.com/jhonata13179362/status/1690006375617708034")</f>
        <v>https://twitter.com/jhonata13179362/status/1690006375617708034</v>
      </c>
      <c r="AF908" s="79">
        <v>45149.600613425922</v>
      </c>
      <c r="AG908" s="85">
        <v>45149</v>
      </c>
      <c r="AH908" s="82" t="s">
        <v>9071</v>
      </c>
      <c r="AI908" s="77" t="b">
        <v>0</v>
      </c>
      <c r="AJ908" s="77"/>
      <c r="AK908" s="77"/>
      <c r="AL908" s="77"/>
      <c r="AM908" s="77"/>
      <c r="AN908" s="77"/>
      <c r="AO908" s="77"/>
      <c r="AP908" s="77"/>
      <c r="AQ908" s="77" t="s">
        <v>12547</v>
      </c>
      <c r="AR908" s="77"/>
      <c r="AS908" s="77"/>
      <c r="AT908" s="77"/>
      <c r="AU908" s="77"/>
      <c r="AV908" s="80" t="str">
        <f>HYPERLINK("https://pbs.twimg.com/media/F3Qb17AWIAAybaG.jpg")</f>
        <v>https://pbs.twimg.com/media/F3Qb17AWIAAybaG.jpg</v>
      </c>
      <c r="AW908" s="82" t="s">
        <v>14003</v>
      </c>
      <c r="AX908" s="82" t="s">
        <v>14003</v>
      </c>
      <c r="AY908" s="77"/>
      <c r="AZ908" s="82" t="s">
        <v>17385</v>
      </c>
      <c r="BA908" s="82" t="s">
        <v>17385</v>
      </c>
      <c r="BB908" s="82" t="s">
        <v>17385</v>
      </c>
      <c r="BC908" s="82" t="s">
        <v>14003</v>
      </c>
      <c r="BD908" s="82" t="s">
        <v>17543</v>
      </c>
      <c r="BE908" s="77"/>
      <c r="BF908" s="77"/>
      <c r="BG908" s="77"/>
      <c r="BH908" s="77"/>
      <c r="BI908" s="77"/>
    </row>
    <row r="909" spans="1:61" x14ac:dyDescent="0.25">
      <c r="A909" s="62" t="s">
        <v>415</v>
      </c>
      <c r="B909" s="62" t="s">
        <v>758</v>
      </c>
      <c r="C909" s="63"/>
      <c r="D909" s="64"/>
      <c r="E909" s="65"/>
      <c r="F909" s="66"/>
      <c r="G909" s="63"/>
      <c r="H909" s="67"/>
      <c r="I909" s="68"/>
      <c r="J909" s="68"/>
      <c r="K909" s="32"/>
      <c r="L909" s="75">
        <v>909</v>
      </c>
      <c r="M909" s="75"/>
      <c r="N909" s="70"/>
      <c r="O909" s="77" t="s">
        <v>802</v>
      </c>
      <c r="P909" s="79">
        <v>45142.614062499997</v>
      </c>
      <c r="Q909" s="77" t="s">
        <v>1700</v>
      </c>
      <c r="R909" s="77">
        <v>0</v>
      </c>
      <c r="S909" s="77">
        <v>0</v>
      </c>
      <c r="T909" s="77">
        <v>0</v>
      </c>
      <c r="U909" s="77">
        <v>0</v>
      </c>
      <c r="V909" s="77">
        <v>24</v>
      </c>
      <c r="W909" s="82" t="s">
        <v>5410</v>
      </c>
      <c r="X909" s="77"/>
      <c r="Y909" s="77"/>
      <c r="Z909" s="77" t="s">
        <v>758</v>
      </c>
      <c r="AA909" s="77" t="s">
        <v>7663</v>
      </c>
      <c r="AB909" s="77" t="s">
        <v>8225</v>
      </c>
      <c r="AC909" s="82" t="s">
        <v>8234</v>
      </c>
      <c r="AD909" s="77" t="s">
        <v>8278</v>
      </c>
      <c r="AE909" s="80" t="str">
        <f>HYPERLINK("https://twitter.com/jhonata13179362/status/1687474535505727488")</f>
        <v>https://twitter.com/jhonata13179362/status/1687474535505727488</v>
      </c>
      <c r="AF909" s="79">
        <v>45142.614062499997</v>
      </c>
      <c r="AG909" s="85">
        <v>45142</v>
      </c>
      <c r="AH909" s="82" t="s">
        <v>9072</v>
      </c>
      <c r="AI909" s="77" t="b">
        <v>0</v>
      </c>
      <c r="AJ909" s="77"/>
      <c r="AK909" s="77"/>
      <c r="AL909" s="77"/>
      <c r="AM909" s="77"/>
      <c r="AN909" s="77"/>
      <c r="AO909" s="77"/>
      <c r="AP909" s="77"/>
      <c r="AQ909" s="77" t="s">
        <v>12548</v>
      </c>
      <c r="AR909" s="77"/>
      <c r="AS909" s="77"/>
      <c r="AT909" s="77"/>
      <c r="AU909" s="77"/>
      <c r="AV909" s="80" t="str">
        <f>HYPERLINK("https://pbs.twimg.com/media/F2sdJZtWwAAf1V3.jpg")</f>
        <v>https://pbs.twimg.com/media/F2sdJZtWwAAf1V3.jpg</v>
      </c>
      <c r="AW909" s="82" t="s">
        <v>14004</v>
      </c>
      <c r="AX909" s="82" t="s">
        <v>14004</v>
      </c>
      <c r="AY909" s="77"/>
      <c r="AZ909" s="82" t="s">
        <v>17385</v>
      </c>
      <c r="BA909" s="82" t="s">
        <v>17385</v>
      </c>
      <c r="BB909" s="82" t="s">
        <v>17385</v>
      </c>
      <c r="BC909" s="82" t="s">
        <v>14004</v>
      </c>
      <c r="BD909" s="82" t="s">
        <v>17543</v>
      </c>
      <c r="BE909" s="77"/>
      <c r="BF909" s="77"/>
      <c r="BG909" s="77"/>
      <c r="BH909" s="77"/>
      <c r="BI909" s="77"/>
    </row>
    <row r="910" spans="1:61" x14ac:dyDescent="0.25">
      <c r="A910" s="62" t="s">
        <v>416</v>
      </c>
      <c r="B910" s="62" t="s">
        <v>416</v>
      </c>
      <c r="C910" s="63"/>
      <c r="D910" s="64"/>
      <c r="E910" s="65"/>
      <c r="F910" s="66"/>
      <c r="G910" s="63"/>
      <c r="H910" s="67"/>
      <c r="I910" s="68"/>
      <c r="J910" s="68"/>
      <c r="K910" s="32"/>
      <c r="L910" s="75">
        <v>910</v>
      </c>
      <c r="M910" s="75"/>
      <c r="N910" s="70"/>
      <c r="O910" s="77" t="s">
        <v>179</v>
      </c>
      <c r="P910" s="79">
        <v>45154.523194444446</v>
      </c>
      <c r="Q910" s="77" t="s">
        <v>1701</v>
      </c>
      <c r="R910" s="77">
        <v>0</v>
      </c>
      <c r="S910" s="77">
        <v>0</v>
      </c>
      <c r="T910" s="77">
        <v>0</v>
      </c>
      <c r="U910" s="77">
        <v>0</v>
      </c>
      <c r="V910" s="77">
        <v>30</v>
      </c>
      <c r="W910" s="82" t="s">
        <v>5411</v>
      </c>
      <c r="X910" s="80" t="str">
        <f>HYPERLINK("https://enfoque.com.br/noticias/16-08-2023/pauta-do-dia-mercados-operam-sem-folego-nesta-manha?k=164182243")</f>
        <v>https://enfoque.com.br/noticias/16-08-2023/pauta-do-dia-mercados-operam-sem-folego-nesta-manha?k=164182243</v>
      </c>
      <c r="Y910" s="77" t="s">
        <v>7053</v>
      </c>
      <c r="Z910" s="77"/>
      <c r="AA910" s="77"/>
      <c r="AB910" s="77"/>
      <c r="AC910" s="82" t="s">
        <v>8232</v>
      </c>
      <c r="AD910" s="77" t="s">
        <v>8278</v>
      </c>
      <c r="AE910" s="80" t="str">
        <f>HYPERLINK("https://twitter.com/enfoqueif/status/1691790261301444693")</f>
        <v>https://twitter.com/enfoqueif/status/1691790261301444693</v>
      </c>
      <c r="AF910" s="79">
        <v>45154.523194444446</v>
      </c>
      <c r="AG910" s="85">
        <v>45154</v>
      </c>
      <c r="AH910" s="82" t="s">
        <v>9073</v>
      </c>
      <c r="AI910" s="77" t="b">
        <v>0</v>
      </c>
      <c r="AJ910" s="77"/>
      <c r="AK910" s="77"/>
      <c r="AL910" s="77"/>
      <c r="AM910" s="77"/>
      <c r="AN910" s="77"/>
      <c r="AO910" s="77"/>
      <c r="AP910" s="77"/>
      <c r="AQ910" s="77"/>
      <c r="AR910" s="77"/>
      <c r="AS910" s="77"/>
      <c r="AT910" s="77"/>
      <c r="AU910" s="77"/>
      <c r="AV910" s="80" t="str">
        <f>HYPERLINK("https://pbs.twimg.com/profile_images/1176490241278054400/s4X9C_ZZ_normal.jpg")</f>
        <v>https://pbs.twimg.com/profile_images/1176490241278054400/s4X9C_ZZ_normal.jpg</v>
      </c>
      <c r="AW910" s="82" t="s">
        <v>14005</v>
      </c>
      <c r="AX910" s="82" t="s">
        <v>14005</v>
      </c>
      <c r="AY910" s="77"/>
      <c r="AZ910" s="82" t="s">
        <v>17385</v>
      </c>
      <c r="BA910" s="82" t="s">
        <v>17385</v>
      </c>
      <c r="BB910" s="82" t="s">
        <v>17385</v>
      </c>
      <c r="BC910" s="82" t="s">
        <v>14005</v>
      </c>
      <c r="BD910" s="77">
        <v>136293095</v>
      </c>
      <c r="BE910" s="77"/>
      <c r="BF910" s="77"/>
      <c r="BG910" s="77"/>
      <c r="BH910" s="77"/>
      <c r="BI910" s="77"/>
    </row>
    <row r="911" spans="1:61" x14ac:dyDescent="0.25">
      <c r="A911" s="62" t="s">
        <v>416</v>
      </c>
      <c r="B911" s="62" t="s">
        <v>416</v>
      </c>
      <c r="C911" s="63"/>
      <c r="D911" s="64"/>
      <c r="E911" s="65"/>
      <c r="F911" s="66"/>
      <c r="G911" s="63"/>
      <c r="H911" s="67"/>
      <c r="I911" s="68"/>
      <c r="J911" s="68"/>
      <c r="K911" s="32"/>
      <c r="L911" s="75">
        <v>911</v>
      </c>
      <c r="M911" s="75"/>
      <c r="N911" s="70"/>
      <c r="O911" s="77" t="s">
        <v>179</v>
      </c>
      <c r="P911" s="79">
        <v>45168.517627314817</v>
      </c>
      <c r="Q911" s="77" t="s">
        <v>1702</v>
      </c>
      <c r="R911" s="77">
        <v>0</v>
      </c>
      <c r="S911" s="77">
        <v>0</v>
      </c>
      <c r="T911" s="77">
        <v>0</v>
      </c>
      <c r="U911" s="77">
        <v>0</v>
      </c>
      <c r="V911" s="77">
        <v>79</v>
      </c>
      <c r="W911" s="82" t="s">
        <v>5412</v>
      </c>
      <c r="X911" s="80" t="str">
        <f>HYPERLINK("https://enfoque.com.br/noticias/30-08-2023/pauta-do-dia-bolsas-operam-em-baixa-a-espera-de-dados-dos-eua?k=164184533")</f>
        <v>https://enfoque.com.br/noticias/30-08-2023/pauta-do-dia-bolsas-operam-em-baixa-a-espera-de-dados-dos-eua?k=164184533</v>
      </c>
      <c r="Y911" s="77" t="s">
        <v>7053</v>
      </c>
      <c r="Z911" s="77"/>
      <c r="AA911" s="77"/>
      <c r="AB911" s="77"/>
      <c r="AC911" s="82" t="s">
        <v>8232</v>
      </c>
      <c r="AD911" s="77" t="s">
        <v>8278</v>
      </c>
      <c r="AE911" s="80" t="str">
        <f>HYPERLINK("https://twitter.com/enfoqueif/status/1696861670998499827")</f>
        <v>https://twitter.com/enfoqueif/status/1696861670998499827</v>
      </c>
      <c r="AF911" s="79">
        <v>45168.517627314817</v>
      </c>
      <c r="AG911" s="85">
        <v>45168</v>
      </c>
      <c r="AH911" s="82" t="s">
        <v>8378</v>
      </c>
      <c r="AI911" s="77" t="b">
        <v>0</v>
      </c>
      <c r="AJ911" s="77"/>
      <c r="AK911" s="77"/>
      <c r="AL911" s="77"/>
      <c r="AM911" s="77"/>
      <c r="AN911" s="77"/>
      <c r="AO911" s="77"/>
      <c r="AP911" s="77"/>
      <c r="AQ911" s="77"/>
      <c r="AR911" s="77"/>
      <c r="AS911" s="77"/>
      <c r="AT911" s="77"/>
      <c r="AU911" s="77"/>
      <c r="AV911" s="80" t="str">
        <f>HYPERLINK("https://pbs.twimg.com/profile_images/1176490241278054400/s4X9C_ZZ_normal.jpg")</f>
        <v>https://pbs.twimg.com/profile_images/1176490241278054400/s4X9C_ZZ_normal.jpg</v>
      </c>
      <c r="AW911" s="82" t="s">
        <v>14006</v>
      </c>
      <c r="AX911" s="82" t="s">
        <v>14006</v>
      </c>
      <c r="AY911" s="77"/>
      <c r="AZ911" s="82" t="s">
        <v>17385</v>
      </c>
      <c r="BA911" s="82" t="s">
        <v>17385</v>
      </c>
      <c r="BB911" s="82" t="s">
        <v>17385</v>
      </c>
      <c r="BC911" s="82" t="s">
        <v>14006</v>
      </c>
      <c r="BD911" s="77">
        <v>136293095</v>
      </c>
      <c r="BE911" s="77"/>
      <c r="BF911" s="77"/>
      <c r="BG911" s="77"/>
      <c r="BH911" s="77"/>
      <c r="BI911" s="77"/>
    </row>
    <row r="912" spans="1:61" x14ac:dyDescent="0.25">
      <c r="A912" s="62" t="s">
        <v>416</v>
      </c>
      <c r="B912" s="62" t="s">
        <v>416</v>
      </c>
      <c r="C912" s="63"/>
      <c r="D912" s="64"/>
      <c r="E912" s="65"/>
      <c r="F912" s="66"/>
      <c r="G912" s="63"/>
      <c r="H912" s="67"/>
      <c r="I912" s="68"/>
      <c r="J912" s="68"/>
      <c r="K912" s="32"/>
      <c r="L912" s="75">
        <v>912</v>
      </c>
      <c r="M912" s="75"/>
      <c r="N912" s="70"/>
      <c r="O912" s="77" t="s">
        <v>179</v>
      </c>
      <c r="P912" s="79">
        <v>45167.504444444443</v>
      </c>
      <c r="Q912" s="77" t="s">
        <v>1703</v>
      </c>
      <c r="R912" s="77">
        <v>0</v>
      </c>
      <c r="S912" s="77">
        <v>0</v>
      </c>
      <c r="T912" s="77">
        <v>0</v>
      </c>
      <c r="U912" s="77">
        <v>0</v>
      </c>
      <c r="V912" s="77">
        <v>75</v>
      </c>
      <c r="W912" s="82" t="s">
        <v>5413</v>
      </c>
      <c r="X912" s="80" t="str">
        <f>HYPERLINK("https://enfoque.com.br/noticias/29-08-2023/pauta-do-dia-bolsas-operam-positivo-com-estimulos-na-china?k=164184300")</f>
        <v>https://enfoque.com.br/noticias/29-08-2023/pauta-do-dia-bolsas-operam-positivo-com-estimulos-na-china?k=164184300</v>
      </c>
      <c r="Y912" s="77" t="s">
        <v>7053</v>
      </c>
      <c r="Z912" s="77"/>
      <c r="AA912" s="77"/>
      <c r="AB912" s="77"/>
      <c r="AC912" s="82" t="s">
        <v>8232</v>
      </c>
      <c r="AD912" s="77" t="s">
        <v>8278</v>
      </c>
      <c r="AE912" s="80" t="str">
        <f>HYPERLINK("https://twitter.com/enfoqueif/status/1696494508173603186")</f>
        <v>https://twitter.com/enfoqueif/status/1696494508173603186</v>
      </c>
      <c r="AF912" s="79">
        <v>45167.504444444443</v>
      </c>
      <c r="AG912" s="85">
        <v>45167</v>
      </c>
      <c r="AH912" s="82" t="s">
        <v>9074</v>
      </c>
      <c r="AI912" s="77" t="b">
        <v>0</v>
      </c>
      <c r="AJ912" s="77"/>
      <c r="AK912" s="77"/>
      <c r="AL912" s="77"/>
      <c r="AM912" s="77"/>
      <c r="AN912" s="77"/>
      <c r="AO912" s="77"/>
      <c r="AP912" s="77"/>
      <c r="AQ912" s="77"/>
      <c r="AR912" s="77"/>
      <c r="AS912" s="77"/>
      <c r="AT912" s="77"/>
      <c r="AU912" s="77"/>
      <c r="AV912" s="80" t="str">
        <f>HYPERLINK("https://pbs.twimg.com/profile_images/1176490241278054400/s4X9C_ZZ_normal.jpg")</f>
        <v>https://pbs.twimg.com/profile_images/1176490241278054400/s4X9C_ZZ_normal.jpg</v>
      </c>
      <c r="AW912" s="82" t="s">
        <v>14007</v>
      </c>
      <c r="AX912" s="82" t="s">
        <v>14007</v>
      </c>
      <c r="AY912" s="77"/>
      <c r="AZ912" s="82" t="s">
        <v>17385</v>
      </c>
      <c r="BA912" s="82" t="s">
        <v>17385</v>
      </c>
      <c r="BB912" s="82" t="s">
        <v>17385</v>
      </c>
      <c r="BC912" s="82" t="s">
        <v>14007</v>
      </c>
      <c r="BD912" s="77">
        <v>136293095</v>
      </c>
      <c r="BE912" s="77"/>
      <c r="BF912" s="77"/>
      <c r="BG912" s="77"/>
      <c r="BH912" s="77"/>
      <c r="BI912" s="77"/>
    </row>
    <row r="913" spans="1:61" x14ac:dyDescent="0.25">
      <c r="A913" s="62" t="s">
        <v>416</v>
      </c>
      <c r="B913" s="62" t="s">
        <v>416</v>
      </c>
      <c r="C913" s="63"/>
      <c r="D913" s="64"/>
      <c r="E913" s="65"/>
      <c r="F913" s="66"/>
      <c r="G913" s="63"/>
      <c r="H913" s="67"/>
      <c r="I913" s="68"/>
      <c r="J913" s="68"/>
      <c r="K913" s="32"/>
      <c r="L913" s="75">
        <v>913</v>
      </c>
      <c r="M913" s="75"/>
      <c r="N913" s="70"/>
      <c r="O913" s="77" t="s">
        <v>179</v>
      </c>
      <c r="P913" s="79">
        <v>45196.504629629628</v>
      </c>
      <c r="Q913" s="77" t="s">
        <v>1704</v>
      </c>
      <c r="R913" s="77">
        <v>0</v>
      </c>
      <c r="S913" s="77">
        <v>0</v>
      </c>
      <c r="T913" s="77">
        <v>0</v>
      </c>
      <c r="U913" s="77">
        <v>0</v>
      </c>
      <c r="V913" s="77">
        <v>26</v>
      </c>
      <c r="W913" s="82" t="s">
        <v>5414</v>
      </c>
      <c r="X913" s="80" t="str">
        <f>HYPERLINK("https://enfoque.com.br/noticias/27-09-2023/cambio-dolar-fechou-a-terca-feira-em-alta-vendido-e-r-4987?k=164189095")</f>
        <v>https://enfoque.com.br/noticias/27-09-2023/cambio-dolar-fechou-a-terca-feira-em-alta-vendido-e-r-4987?k=164189095</v>
      </c>
      <c r="Y913" s="77" t="s">
        <v>7053</v>
      </c>
      <c r="Z913" s="77"/>
      <c r="AA913" s="77"/>
      <c r="AB913" s="77"/>
      <c r="AC913" s="82" t="s">
        <v>8232</v>
      </c>
      <c r="AD913" s="77" t="s">
        <v>8278</v>
      </c>
      <c r="AE913" s="80" t="str">
        <f>HYPERLINK("https://twitter.com/enfoqueif/status/1707003822017499283")</f>
        <v>https://twitter.com/enfoqueif/status/1707003822017499283</v>
      </c>
      <c r="AF913" s="79">
        <v>45196.504629629628</v>
      </c>
      <c r="AG913" s="85">
        <v>45196</v>
      </c>
      <c r="AH913" s="82" t="s">
        <v>9075</v>
      </c>
      <c r="AI913" s="77" t="b">
        <v>0</v>
      </c>
      <c r="AJ913" s="77"/>
      <c r="AK913" s="77"/>
      <c r="AL913" s="77"/>
      <c r="AM913" s="77"/>
      <c r="AN913" s="77"/>
      <c r="AO913" s="77"/>
      <c r="AP913" s="77"/>
      <c r="AQ913" s="77"/>
      <c r="AR913" s="77"/>
      <c r="AS913" s="77"/>
      <c r="AT913" s="77"/>
      <c r="AU913" s="77"/>
      <c r="AV913" s="80" t="str">
        <f>HYPERLINK("https://pbs.twimg.com/profile_images/1176490241278054400/s4X9C_ZZ_normal.jpg")</f>
        <v>https://pbs.twimg.com/profile_images/1176490241278054400/s4X9C_ZZ_normal.jpg</v>
      </c>
      <c r="AW913" s="82" t="s">
        <v>14008</v>
      </c>
      <c r="AX913" s="82" t="s">
        <v>14008</v>
      </c>
      <c r="AY913" s="77"/>
      <c r="AZ913" s="82" t="s">
        <v>17385</v>
      </c>
      <c r="BA913" s="82" t="s">
        <v>17385</v>
      </c>
      <c r="BB913" s="82" t="s">
        <v>17385</v>
      </c>
      <c r="BC913" s="82" t="s">
        <v>14008</v>
      </c>
      <c r="BD913" s="77">
        <v>136293095</v>
      </c>
      <c r="BE913" s="77"/>
      <c r="BF913" s="77"/>
      <c r="BG913" s="77"/>
      <c r="BH913" s="77"/>
      <c r="BI913" s="77"/>
    </row>
    <row r="914" spans="1:61" x14ac:dyDescent="0.25">
      <c r="A914" s="62" t="s">
        <v>416</v>
      </c>
      <c r="B914" s="62" t="s">
        <v>416</v>
      </c>
      <c r="C914" s="63"/>
      <c r="D914" s="64"/>
      <c r="E914" s="65"/>
      <c r="F914" s="66"/>
      <c r="G914" s="63"/>
      <c r="H914" s="67"/>
      <c r="I914" s="68"/>
      <c r="J914" s="68"/>
      <c r="K914" s="32"/>
      <c r="L914" s="75">
        <v>914</v>
      </c>
      <c r="M914" s="75"/>
      <c r="N914" s="70"/>
      <c r="O914" s="77" t="s">
        <v>179</v>
      </c>
      <c r="P914" s="79">
        <v>45162.501932870371</v>
      </c>
      <c r="Q914" s="77" t="s">
        <v>1705</v>
      </c>
      <c r="R914" s="77">
        <v>0</v>
      </c>
      <c r="S914" s="77">
        <v>0</v>
      </c>
      <c r="T914" s="77">
        <v>0</v>
      </c>
      <c r="U914" s="77">
        <v>0</v>
      </c>
      <c r="V914" s="77">
        <v>78</v>
      </c>
      <c r="W914" s="82" t="s">
        <v>5415</v>
      </c>
      <c r="X914" s="80" t="str">
        <f>HYPERLINK("https://enfoque.com.br/noticias/24-08-2023/pauta-do-dia-mercados-globais-operam-em-alta-nesta-manha?k=164183464")</f>
        <v>https://enfoque.com.br/noticias/24-08-2023/pauta-do-dia-mercados-globais-operam-em-alta-nesta-manha?k=164183464</v>
      </c>
      <c r="Y914" s="77" t="s">
        <v>7053</v>
      </c>
      <c r="Z914" s="77"/>
      <c r="AA914" s="77"/>
      <c r="AB914" s="77"/>
      <c r="AC914" s="82" t="s">
        <v>8232</v>
      </c>
      <c r="AD914" s="77" t="s">
        <v>8278</v>
      </c>
      <c r="AE914" s="80" t="str">
        <f>HYPERLINK("https://twitter.com/enfoqueif/status/1694681655544348721")</f>
        <v>https://twitter.com/enfoqueif/status/1694681655544348721</v>
      </c>
      <c r="AF914" s="79">
        <v>45162.501932870371</v>
      </c>
      <c r="AG914" s="85">
        <v>45162</v>
      </c>
      <c r="AH914" s="82" t="s">
        <v>9076</v>
      </c>
      <c r="AI914" s="77" t="b">
        <v>0</v>
      </c>
      <c r="AJ914" s="77"/>
      <c r="AK914" s="77"/>
      <c r="AL914" s="77"/>
      <c r="AM914" s="77"/>
      <c r="AN914" s="77"/>
      <c r="AO914" s="77"/>
      <c r="AP914" s="77"/>
      <c r="AQ914" s="77"/>
      <c r="AR914" s="77"/>
      <c r="AS914" s="77"/>
      <c r="AT914" s="77"/>
      <c r="AU914" s="77"/>
      <c r="AV914" s="80" t="str">
        <f>HYPERLINK("https://pbs.twimg.com/profile_images/1176490241278054400/s4X9C_ZZ_normal.jpg")</f>
        <v>https://pbs.twimg.com/profile_images/1176490241278054400/s4X9C_ZZ_normal.jpg</v>
      </c>
      <c r="AW914" s="82" t="s">
        <v>14009</v>
      </c>
      <c r="AX914" s="82" t="s">
        <v>14009</v>
      </c>
      <c r="AY914" s="77"/>
      <c r="AZ914" s="82" t="s">
        <v>17385</v>
      </c>
      <c r="BA914" s="82" t="s">
        <v>17385</v>
      </c>
      <c r="BB914" s="82" t="s">
        <v>17385</v>
      </c>
      <c r="BC914" s="82" t="s">
        <v>14009</v>
      </c>
      <c r="BD914" s="77">
        <v>136293095</v>
      </c>
      <c r="BE914" s="77"/>
      <c r="BF914" s="77"/>
      <c r="BG914" s="77"/>
      <c r="BH914" s="77"/>
      <c r="BI914" s="77"/>
    </row>
    <row r="915" spans="1:61" x14ac:dyDescent="0.25">
      <c r="A915" s="62" t="s">
        <v>417</v>
      </c>
      <c r="B915" s="62" t="s">
        <v>417</v>
      </c>
      <c r="C915" s="63"/>
      <c r="D915" s="64"/>
      <c r="E915" s="65"/>
      <c r="F915" s="66"/>
      <c r="G915" s="63"/>
      <c r="H915" s="67"/>
      <c r="I915" s="68"/>
      <c r="J915" s="68"/>
      <c r="K915" s="32"/>
      <c r="L915" s="75">
        <v>915</v>
      </c>
      <c r="M915" s="75"/>
      <c r="N915" s="70"/>
      <c r="O915" s="77" t="s">
        <v>179</v>
      </c>
      <c r="P915" s="79">
        <v>45191.723078703704</v>
      </c>
      <c r="Q915" s="77" t="s">
        <v>1706</v>
      </c>
      <c r="R915" s="77">
        <v>0</v>
      </c>
      <c r="S915" s="77">
        <v>0</v>
      </c>
      <c r="T915" s="77">
        <v>0</v>
      </c>
      <c r="U915" s="77">
        <v>0</v>
      </c>
      <c r="V915" s="77">
        <v>54</v>
      </c>
      <c r="W915" s="82" t="s">
        <v>5416</v>
      </c>
      <c r="X915" s="77"/>
      <c r="Y915" s="77"/>
      <c r="Z915" s="77"/>
      <c r="AA915" s="77" t="s">
        <v>7664</v>
      </c>
      <c r="AB915" s="77" t="s">
        <v>8227</v>
      </c>
      <c r="AC915" s="82" t="s">
        <v>8234</v>
      </c>
      <c r="AD915" s="77" t="s">
        <v>8278</v>
      </c>
      <c r="AE915" s="80" t="str">
        <f>HYPERLINK("https://twitter.com/rferreirasbc/status/1705271047203795113")</f>
        <v>https://twitter.com/rferreirasbc/status/1705271047203795113</v>
      </c>
      <c r="AF915" s="79">
        <v>45191.723078703704</v>
      </c>
      <c r="AG915" s="85">
        <v>45191</v>
      </c>
      <c r="AH915" s="82" t="s">
        <v>9077</v>
      </c>
      <c r="AI915" s="77" t="b">
        <v>0</v>
      </c>
      <c r="AJ915" s="77" t="s">
        <v>12002</v>
      </c>
      <c r="AK915" s="77" t="s">
        <v>12007</v>
      </c>
      <c r="AL915" s="77" t="s">
        <v>12010</v>
      </c>
      <c r="AM915" s="77" t="s">
        <v>12021</v>
      </c>
      <c r="AN915" s="77" t="s">
        <v>12034</v>
      </c>
      <c r="AO915" s="77" t="s">
        <v>12047</v>
      </c>
      <c r="AP915" s="77" t="s">
        <v>12051</v>
      </c>
      <c r="AQ915" s="77" t="s">
        <v>12549</v>
      </c>
      <c r="AR915" s="77">
        <v>59966</v>
      </c>
      <c r="AS915" s="77"/>
      <c r="AT915" s="77"/>
      <c r="AU915" s="77"/>
      <c r="AV915" s="80" t="str">
        <f>HYPERLINK("https://pbs.twimg.com/ext_tw_video_thumb/1705270849027051520/pu/img/v1sl3EpZXjnWxMYD.jpg")</f>
        <v>https://pbs.twimg.com/ext_tw_video_thumb/1705270849027051520/pu/img/v1sl3EpZXjnWxMYD.jpg</v>
      </c>
      <c r="AW915" s="82" t="s">
        <v>14010</v>
      </c>
      <c r="AX915" s="82" t="s">
        <v>14010</v>
      </c>
      <c r="AY915" s="77"/>
      <c r="AZ915" s="82" t="s">
        <v>17385</v>
      </c>
      <c r="BA915" s="82" t="s">
        <v>17385</v>
      </c>
      <c r="BB915" s="82" t="s">
        <v>17385</v>
      </c>
      <c r="BC915" s="82" t="s">
        <v>14010</v>
      </c>
      <c r="BD915" s="77">
        <v>17863805</v>
      </c>
      <c r="BE915" s="77"/>
      <c r="BF915" s="77"/>
      <c r="BG915" s="77"/>
      <c r="BH915" s="77"/>
      <c r="BI915" s="77"/>
    </row>
    <row r="916" spans="1:61" x14ac:dyDescent="0.25">
      <c r="A916" s="62" t="s">
        <v>418</v>
      </c>
      <c r="B916" s="62" t="s">
        <v>759</v>
      </c>
      <c r="C916" s="63"/>
      <c r="D916" s="64"/>
      <c r="E916" s="65"/>
      <c r="F916" s="66"/>
      <c r="G916" s="63"/>
      <c r="H916" s="67"/>
      <c r="I916" s="68"/>
      <c r="J916" s="68"/>
      <c r="K916" s="32"/>
      <c r="L916" s="75">
        <v>916</v>
      </c>
      <c r="M916" s="75"/>
      <c r="N916" s="70"/>
      <c r="O916" s="77" t="s">
        <v>802</v>
      </c>
      <c r="P916" s="79">
        <v>45069.708831018521</v>
      </c>
      <c r="Q916" s="77" t="s">
        <v>1707</v>
      </c>
      <c r="R916" s="77">
        <v>0</v>
      </c>
      <c r="S916" s="77">
        <v>1</v>
      </c>
      <c r="T916" s="77">
        <v>0</v>
      </c>
      <c r="U916" s="77">
        <v>0</v>
      </c>
      <c r="V916" s="77">
        <v>70</v>
      </c>
      <c r="W916" s="82" t="s">
        <v>5417</v>
      </c>
      <c r="X916" s="77"/>
      <c r="Y916" s="77"/>
      <c r="Z916" s="77" t="s">
        <v>759</v>
      </c>
      <c r="AA916" s="77"/>
      <c r="AB916" s="77"/>
      <c r="AC916" s="82" t="s">
        <v>8259</v>
      </c>
      <c r="AD916" s="77" t="s">
        <v>8278</v>
      </c>
      <c r="AE916" s="80" t="str">
        <f>HYPERLINK("https://twitter.com/iqoption_pt/status/1661054563032481806")</f>
        <v>https://twitter.com/iqoption_pt/status/1661054563032481806</v>
      </c>
      <c r="AF916" s="79">
        <v>45069.708831018521</v>
      </c>
      <c r="AG916" s="85">
        <v>45069</v>
      </c>
      <c r="AH916" s="82" t="s">
        <v>9078</v>
      </c>
      <c r="AI916" s="77"/>
      <c r="AJ916" s="77"/>
      <c r="AK916" s="77"/>
      <c r="AL916" s="77"/>
      <c r="AM916" s="77"/>
      <c r="AN916" s="77"/>
      <c r="AO916" s="77"/>
      <c r="AP916" s="77"/>
      <c r="AQ916" s="77"/>
      <c r="AR916" s="77"/>
      <c r="AS916" s="77"/>
      <c r="AT916" s="77"/>
      <c r="AU916" s="77"/>
      <c r="AV916" s="80" t="str">
        <f>HYPERLINK("https://pbs.twimg.com/profile_images/1488083579355779074/bLc3qQlo_normal.png")</f>
        <v>https://pbs.twimg.com/profile_images/1488083579355779074/bLc3qQlo_normal.png</v>
      </c>
      <c r="AW916" s="82" t="s">
        <v>14011</v>
      </c>
      <c r="AX916" s="82" t="s">
        <v>14011</v>
      </c>
      <c r="AY916" s="77"/>
      <c r="AZ916" s="82" t="s">
        <v>17385</v>
      </c>
      <c r="BA916" s="82" t="s">
        <v>17385</v>
      </c>
      <c r="BB916" s="82" t="s">
        <v>17385</v>
      </c>
      <c r="BC916" s="82" t="s">
        <v>14011</v>
      </c>
      <c r="BD916" s="82" t="s">
        <v>17544</v>
      </c>
      <c r="BE916" s="77"/>
      <c r="BF916" s="77"/>
      <c r="BG916" s="77"/>
      <c r="BH916" s="77"/>
      <c r="BI916" s="77"/>
    </row>
    <row r="917" spans="1:61" x14ac:dyDescent="0.25">
      <c r="A917" s="62" t="s">
        <v>418</v>
      </c>
      <c r="B917" s="62" t="s">
        <v>760</v>
      </c>
      <c r="C917" s="63"/>
      <c r="D917" s="64"/>
      <c r="E917" s="65"/>
      <c r="F917" s="66"/>
      <c r="G917" s="63"/>
      <c r="H917" s="67"/>
      <c r="I917" s="68"/>
      <c r="J917" s="68"/>
      <c r="K917" s="32"/>
      <c r="L917" s="75">
        <v>917</v>
      </c>
      <c r="M917" s="75"/>
      <c r="N917" s="70"/>
      <c r="O917" s="77" t="s">
        <v>802</v>
      </c>
      <c r="P917" s="79">
        <v>45048.500543981485</v>
      </c>
      <c r="Q917" s="77" t="s">
        <v>1708</v>
      </c>
      <c r="R917" s="77">
        <v>0</v>
      </c>
      <c r="S917" s="77">
        <v>1</v>
      </c>
      <c r="T917" s="77">
        <v>0</v>
      </c>
      <c r="U917" s="77">
        <v>0</v>
      </c>
      <c r="V917" s="77">
        <v>31</v>
      </c>
      <c r="W917" s="82" t="s">
        <v>5418</v>
      </c>
      <c r="X917" s="77"/>
      <c r="Y917" s="77"/>
      <c r="Z917" s="77" t="s">
        <v>760</v>
      </c>
      <c r="AA917" s="77"/>
      <c r="AB917" s="77"/>
      <c r="AC917" s="82" t="s">
        <v>8259</v>
      </c>
      <c r="AD917" s="77" t="s">
        <v>8278</v>
      </c>
      <c r="AE917" s="80" t="str">
        <f>HYPERLINK("https://twitter.com/iqoption_pt/status/1653368936119795712")</f>
        <v>https://twitter.com/iqoption_pt/status/1653368936119795712</v>
      </c>
      <c r="AF917" s="79">
        <v>45048.500543981485</v>
      </c>
      <c r="AG917" s="85">
        <v>45048</v>
      </c>
      <c r="AH917" s="82" t="s">
        <v>9079</v>
      </c>
      <c r="AI917" s="77"/>
      <c r="AJ917" s="77"/>
      <c r="AK917" s="77"/>
      <c r="AL917" s="77"/>
      <c r="AM917" s="77"/>
      <c r="AN917" s="77"/>
      <c r="AO917" s="77"/>
      <c r="AP917" s="77"/>
      <c r="AQ917" s="77"/>
      <c r="AR917" s="77"/>
      <c r="AS917" s="77"/>
      <c r="AT917" s="77"/>
      <c r="AU917" s="77"/>
      <c r="AV917" s="80" t="str">
        <f>HYPERLINK("https://pbs.twimg.com/profile_images/1488083579355779074/bLc3qQlo_normal.png")</f>
        <v>https://pbs.twimg.com/profile_images/1488083579355779074/bLc3qQlo_normal.png</v>
      </c>
      <c r="AW917" s="82" t="s">
        <v>14012</v>
      </c>
      <c r="AX917" s="82" t="s">
        <v>14012</v>
      </c>
      <c r="AY917" s="77"/>
      <c r="AZ917" s="82" t="s">
        <v>17385</v>
      </c>
      <c r="BA917" s="82" t="s">
        <v>17385</v>
      </c>
      <c r="BB917" s="82" t="s">
        <v>17385</v>
      </c>
      <c r="BC917" s="82" t="s">
        <v>14012</v>
      </c>
      <c r="BD917" s="82" t="s">
        <v>17544</v>
      </c>
      <c r="BE917" s="77"/>
      <c r="BF917" s="77"/>
      <c r="BG917" s="77"/>
      <c r="BH917" s="77"/>
      <c r="BI917" s="77"/>
    </row>
    <row r="918" spans="1:61" x14ac:dyDescent="0.25">
      <c r="A918" s="62" t="s">
        <v>418</v>
      </c>
      <c r="B918" s="62" t="s">
        <v>761</v>
      </c>
      <c r="C918" s="63"/>
      <c r="D918" s="64"/>
      <c r="E918" s="65"/>
      <c r="F918" s="66"/>
      <c r="G918" s="63"/>
      <c r="H918" s="67"/>
      <c r="I918" s="68"/>
      <c r="J918" s="68"/>
      <c r="K918" s="32"/>
      <c r="L918" s="75">
        <v>918</v>
      </c>
      <c r="M918" s="75"/>
      <c r="N918" s="70"/>
      <c r="O918" s="77" t="s">
        <v>802</v>
      </c>
      <c r="P918" s="79">
        <v>45065.500694444447</v>
      </c>
      <c r="Q918" s="77" t="s">
        <v>1709</v>
      </c>
      <c r="R918" s="77">
        <v>0</v>
      </c>
      <c r="S918" s="77">
        <v>1</v>
      </c>
      <c r="T918" s="77">
        <v>0</v>
      </c>
      <c r="U918" s="77">
        <v>0</v>
      </c>
      <c r="V918" s="77">
        <v>36</v>
      </c>
      <c r="W918" s="82" t="s">
        <v>5419</v>
      </c>
      <c r="X918" s="77"/>
      <c r="Y918" s="77"/>
      <c r="Z918" s="77" t="s">
        <v>761</v>
      </c>
      <c r="AA918" s="77"/>
      <c r="AB918" s="77"/>
      <c r="AC918" s="82" t="s">
        <v>8259</v>
      </c>
      <c r="AD918" s="77" t="s">
        <v>8278</v>
      </c>
      <c r="AE918" s="80" t="str">
        <f>HYPERLINK("https://twitter.com/iqoption_pt/status/1659529585661296642")</f>
        <v>https://twitter.com/iqoption_pt/status/1659529585661296642</v>
      </c>
      <c r="AF918" s="79">
        <v>45065.500694444447</v>
      </c>
      <c r="AG918" s="85">
        <v>45065</v>
      </c>
      <c r="AH918" s="82" t="s">
        <v>9080</v>
      </c>
      <c r="AI918" s="77"/>
      <c r="AJ918" s="77"/>
      <c r="AK918" s="77"/>
      <c r="AL918" s="77"/>
      <c r="AM918" s="77"/>
      <c r="AN918" s="77"/>
      <c r="AO918" s="77"/>
      <c r="AP918" s="77"/>
      <c r="AQ918" s="77"/>
      <c r="AR918" s="77"/>
      <c r="AS918" s="77"/>
      <c r="AT918" s="77"/>
      <c r="AU918" s="77"/>
      <c r="AV918" s="80" t="str">
        <f>HYPERLINK("https://pbs.twimg.com/profile_images/1488083579355779074/bLc3qQlo_normal.png")</f>
        <v>https://pbs.twimg.com/profile_images/1488083579355779074/bLc3qQlo_normal.png</v>
      </c>
      <c r="AW918" s="82" t="s">
        <v>14013</v>
      </c>
      <c r="AX918" s="82" t="s">
        <v>14013</v>
      </c>
      <c r="AY918" s="77"/>
      <c r="AZ918" s="82" t="s">
        <v>17385</v>
      </c>
      <c r="BA918" s="82" t="s">
        <v>17385</v>
      </c>
      <c r="BB918" s="82" t="s">
        <v>17385</v>
      </c>
      <c r="BC918" s="82" t="s">
        <v>14013</v>
      </c>
      <c r="BD918" s="82" t="s">
        <v>17544</v>
      </c>
      <c r="BE918" s="77"/>
      <c r="BF918" s="77"/>
      <c r="BG918" s="77"/>
      <c r="BH918" s="77"/>
      <c r="BI918" s="77"/>
    </row>
    <row r="919" spans="1:61" x14ac:dyDescent="0.25">
      <c r="A919" s="62" t="s">
        <v>418</v>
      </c>
      <c r="B919" s="62" t="s">
        <v>761</v>
      </c>
      <c r="C919" s="63"/>
      <c r="D919" s="64"/>
      <c r="E919" s="65"/>
      <c r="F919" s="66"/>
      <c r="G919" s="63"/>
      <c r="H919" s="67"/>
      <c r="I919" s="68"/>
      <c r="J919" s="68"/>
      <c r="K919" s="32"/>
      <c r="L919" s="75">
        <v>919</v>
      </c>
      <c r="M919" s="75"/>
      <c r="N919" s="70"/>
      <c r="O919" s="77" t="s">
        <v>802</v>
      </c>
      <c r="P919" s="79">
        <v>45051.584270833337</v>
      </c>
      <c r="Q919" s="77" t="s">
        <v>1710</v>
      </c>
      <c r="R919" s="77">
        <v>0</v>
      </c>
      <c r="S919" s="77">
        <v>0</v>
      </c>
      <c r="T919" s="77">
        <v>0</v>
      </c>
      <c r="U919" s="77">
        <v>0</v>
      </c>
      <c r="V919" s="77">
        <v>23</v>
      </c>
      <c r="W919" s="82" t="s">
        <v>5420</v>
      </c>
      <c r="X919" s="77"/>
      <c r="Y919" s="77"/>
      <c r="Z919" s="77" t="s">
        <v>761</v>
      </c>
      <c r="AA919" s="77"/>
      <c r="AB919" s="77"/>
      <c r="AC919" s="82" t="s">
        <v>8259</v>
      </c>
      <c r="AD919" s="77" t="s">
        <v>8278</v>
      </c>
      <c r="AE919" s="80" t="str">
        <f>HYPERLINK("https://twitter.com/iqoption_pt/status/1654486444914667522")</f>
        <v>https://twitter.com/iqoption_pt/status/1654486444914667522</v>
      </c>
      <c r="AF919" s="79">
        <v>45051.584270833337</v>
      </c>
      <c r="AG919" s="85">
        <v>45051</v>
      </c>
      <c r="AH919" s="82" t="s">
        <v>9081</v>
      </c>
      <c r="AI919" s="77"/>
      <c r="AJ919" s="77"/>
      <c r="AK919" s="77"/>
      <c r="AL919" s="77"/>
      <c r="AM919" s="77"/>
      <c r="AN919" s="77"/>
      <c r="AO919" s="77"/>
      <c r="AP919" s="77"/>
      <c r="AQ919" s="77"/>
      <c r="AR919" s="77"/>
      <c r="AS919" s="77"/>
      <c r="AT919" s="77"/>
      <c r="AU919" s="77"/>
      <c r="AV919" s="80" t="str">
        <f>HYPERLINK("https://pbs.twimg.com/profile_images/1488083579355779074/bLc3qQlo_normal.png")</f>
        <v>https://pbs.twimg.com/profile_images/1488083579355779074/bLc3qQlo_normal.png</v>
      </c>
      <c r="AW919" s="82" t="s">
        <v>14014</v>
      </c>
      <c r="AX919" s="82" t="s">
        <v>14014</v>
      </c>
      <c r="AY919" s="77"/>
      <c r="AZ919" s="82" t="s">
        <v>17385</v>
      </c>
      <c r="BA919" s="82" t="s">
        <v>17385</v>
      </c>
      <c r="BB919" s="82" t="s">
        <v>17385</v>
      </c>
      <c r="BC919" s="82" t="s">
        <v>14014</v>
      </c>
      <c r="BD919" s="82" t="s">
        <v>17544</v>
      </c>
      <c r="BE919" s="77"/>
      <c r="BF919" s="77"/>
      <c r="BG919" s="77"/>
      <c r="BH919" s="77"/>
      <c r="BI919" s="77"/>
    </row>
    <row r="920" spans="1:61" x14ac:dyDescent="0.25">
      <c r="A920" s="62" t="s">
        <v>418</v>
      </c>
      <c r="B920" s="62" t="s">
        <v>761</v>
      </c>
      <c r="C920" s="63"/>
      <c r="D920" s="64"/>
      <c r="E920" s="65"/>
      <c r="F920" s="66"/>
      <c r="G920" s="63"/>
      <c r="H920" s="67"/>
      <c r="I920" s="68"/>
      <c r="J920" s="68"/>
      <c r="K920" s="32"/>
      <c r="L920" s="75">
        <v>920</v>
      </c>
      <c r="M920" s="75"/>
      <c r="N920" s="70"/>
      <c r="O920" s="77" t="s">
        <v>802</v>
      </c>
      <c r="P920" s="79">
        <v>45093.584270833337</v>
      </c>
      <c r="Q920" s="77" t="s">
        <v>1711</v>
      </c>
      <c r="R920" s="77">
        <v>0</v>
      </c>
      <c r="S920" s="77">
        <v>0</v>
      </c>
      <c r="T920" s="77">
        <v>0</v>
      </c>
      <c r="U920" s="77">
        <v>0</v>
      </c>
      <c r="V920" s="77">
        <v>27</v>
      </c>
      <c r="W920" s="82" t="s">
        <v>5421</v>
      </c>
      <c r="X920" s="77"/>
      <c r="Y920" s="77"/>
      <c r="Z920" s="77" t="s">
        <v>761</v>
      </c>
      <c r="AA920" s="77"/>
      <c r="AB920" s="77"/>
      <c r="AC920" s="82" t="s">
        <v>8259</v>
      </c>
      <c r="AD920" s="77" t="s">
        <v>8278</v>
      </c>
      <c r="AE920" s="80" t="str">
        <f>HYPERLINK("https://twitter.com/iqoption_pt/status/1669706733621575682")</f>
        <v>https://twitter.com/iqoption_pt/status/1669706733621575682</v>
      </c>
      <c r="AF920" s="79">
        <v>45093.584270833337</v>
      </c>
      <c r="AG920" s="85">
        <v>45093</v>
      </c>
      <c r="AH920" s="82" t="s">
        <v>9081</v>
      </c>
      <c r="AI920" s="77"/>
      <c r="AJ920" s="77"/>
      <c r="AK920" s="77"/>
      <c r="AL920" s="77"/>
      <c r="AM920" s="77"/>
      <c r="AN920" s="77"/>
      <c r="AO920" s="77"/>
      <c r="AP920" s="77"/>
      <c r="AQ920" s="77"/>
      <c r="AR920" s="77"/>
      <c r="AS920" s="77"/>
      <c r="AT920" s="77"/>
      <c r="AU920" s="77"/>
      <c r="AV920" s="80" t="str">
        <f>HYPERLINK("https://pbs.twimg.com/profile_images/1488083579355779074/bLc3qQlo_normal.png")</f>
        <v>https://pbs.twimg.com/profile_images/1488083579355779074/bLc3qQlo_normal.png</v>
      </c>
      <c r="AW920" s="82" t="s">
        <v>14015</v>
      </c>
      <c r="AX920" s="82" t="s">
        <v>14015</v>
      </c>
      <c r="AY920" s="77"/>
      <c r="AZ920" s="82" t="s">
        <v>17385</v>
      </c>
      <c r="BA920" s="82" t="s">
        <v>17385</v>
      </c>
      <c r="BB920" s="82" t="s">
        <v>17385</v>
      </c>
      <c r="BC920" s="82" t="s">
        <v>14015</v>
      </c>
      <c r="BD920" s="82" t="s">
        <v>17544</v>
      </c>
      <c r="BE920" s="77"/>
      <c r="BF920" s="77"/>
      <c r="BG920" s="77"/>
      <c r="BH920" s="77"/>
      <c r="BI920" s="77"/>
    </row>
    <row r="921" spans="1:61" x14ac:dyDescent="0.25">
      <c r="A921" s="62" t="s">
        <v>418</v>
      </c>
      <c r="B921" s="62" t="s">
        <v>761</v>
      </c>
      <c r="C921" s="63"/>
      <c r="D921" s="64"/>
      <c r="E921" s="65"/>
      <c r="F921" s="66"/>
      <c r="G921" s="63"/>
      <c r="H921" s="67"/>
      <c r="I921" s="68"/>
      <c r="J921" s="68"/>
      <c r="K921" s="32"/>
      <c r="L921" s="75">
        <v>921</v>
      </c>
      <c r="M921" s="75"/>
      <c r="N921" s="70"/>
      <c r="O921" s="77" t="s">
        <v>802</v>
      </c>
      <c r="P921" s="79">
        <v>45055.625555555554</v>
      </c>
      <c r="Q921" s="77" t="s">
        <v>1712</v>
      </c>
      <c r="R921" s="77">
        <v>0</v>
      </c>
      <c r="S921" s="77">
        <v>1</v>
      </c>
      <c r="T921" s="77">
        <v>0</v>
      </c>
      <c r="U921" s="77">
        <v>0</v>
      </c>
      <c r="V921" s="77">
        <v>20</v>
      </c>
      <c r="W921" s="82" t="s">
        <v>5422</v>
      </c>
      <c r="X921" s="77"/>
      <c r="Y921" s="77"/>
      <c r="Z921" s="77" t="s">
        <v>761</v>
      </c>
      <c r="AA921" s="77"/>
      <c r="AB921" s="77"/>
      <c r="AC921" s="82" t="s">
        <v>8259</v>
      </c>
      <c r="AD921" s="77" t="s">
        <v>8278</v>
      </c>
      <c r="AE921" s="80" t="str">
        <f>HYPERLINK("https://twitter.com/iqoption_pt/status/1655950955186360320")</f>
        <v>https://twitter.com/iqoption_pt/status/1655950955186360320</v>
      </c>
      <c r="AF921" s="79">
        <v>45055.625555555554</v>
      </c>
      <c r="AG921" s="85">
        <v>45055</v>
      </c>
      <c r="AH921" s="82" t="s">
        <v>9082</v>
      </c>
      <c r="AI921" s="77"/>
      <c r="AJ921" s="77"/>
      <c r="AK921" s="77"/>
      <c r="AL921" s="77"/>
      <c r="AM921" s="77"/>
      <c r="AN921" s="77"/>
      <c r="AO921" s="77"/>
      <c r="AP921" s="77"/>
      <c r="AQ921" s="77"/>
      <c r="AR921" s="77"/>
      <c r="AS921" s="77"/>
      <c r="AT921" s="77"/>
      <c r="AU921" s="77"/>
      <c r="AV921" s="80" t="str">
        <f>HYPERLINK("https://pbs.twimg.com/profile_images/1488083579355779074/bLc3qQlo_normal.png")</f>
        <v>https://pbs.twimg.com/profile_images/1488083579355779074/bLc3qQlo_normal.png</v>
      </c>
      <c r="AW921" s="82" t="s">
        <v>14016</v>
      </c>
      <c r="AX921" s="82" t="s">
        <v>14016</v>
      </c>
      <c r="AY921" s="77"/>
      <c r="AZ921" s="82" t="s">
        <v>17385</v>
      </c>
      <c r="BA921" s="82" t="s">
        <v>17385</v>
      </c>
      <c r="BB921" s="82" t="s">
        <v>17385</v>
      </c>
      <c r="BC921" s="82" t="s">
        <v>14016</v>
      </c>
      <c r="BD921" s="82" t="s">
        <v>17544</v>
      </c>
      <c r="BE921" s="77"/>
      <c r="BF921" s="77"/>
      <c r="BG921" s="77"/>
      <c r="BH921" s="77"/>
      <c r="BI921" s="77"/>
    </row>
    <row r="922" spans="1:61" x14ac:dyDescent="0.25">
      <c r="A922" s="62" t="s">
        <v>418</v>
      </c>
      <c r="B922" s="62" t="s">
        <v>761</v>
      </c>
      <c r="C922" s="63"/>
      <c r="D922" s="64"/>
      <c r="E922" s="65"/>
      <c r="F922" s="66"/>
      <c r="G922" s="63"/>
      <c r="H922" s="67"/>
      <c r="I922" s="68"/>
      <c r="J922" s="68"/>
      <c r="K922" s="32"/>
      <c r="L922" s="75">
        <v>922</v>
      </c>
      <c r="M922" s="75"/>
      <c r="N922" s="70"/>
      <c r="O922" s="77" t="s">
        <v>802</v>
      </c>
      <c r="P922" s="79">
        <v>45140.667569444442</v>
      </c>
      <c r="Q922" s="77" t="s">
        <v>1713</v>
      </c>
      <c r="R922" s="77">
        <v>0</v>
      </c>
      <c r="S922" s="77">
        <v>0</v>
      </c>
      <c r="T922" s="77">
        <v>0</v>
      </c>
      <c r="U922" s="77">
        <v>0</v>
      </c>
      <c r="V922" s="77">
        <v>158</v>
      </c>
      <c r="W922" s="82" t="s">
        <v>5423</v>
      </c>
      <c r="X922" s="77"/>
      <c r="Y922" s="77"/>
      <c r="Z922" s="77" t="s">
        <v>761</v>
      </c>
      <c r="AA922" s="77"/>
      <c r="AB922" s="77"/>
      <c r="AC922" s="82" t="s">
        <v>8259</v>
      </c>
      <c r="AD922" s="77" t="s">
        <v>8278</v>
      </c>
      <c r="AE922" s="80" t="str">
        <f>HYPERLINK("https://twitter.com/iqoption_pt/status/1686769147378548736")</f>
        <v>https://twitter.com/iqoption_pt/status/1686769147378548736</v>
      </c>
      <c r="AF922" s="79">
        <v>45140.667569444442</v>
      </c>
      <c r="AG922" s="85">
        <v>45140</v>
      </c>
      <c r="AH922" s="82" t="s">
        <v>9083</v>
      </c>
      <c r="AI922" s="77"/>
      <c r="AJ922" s="77"/>
      <c r="AK922" s="77"/>
      <c r="AL922" s="77"/>
      <c r="AM922" s="77"/>
      <c r="AN922" s="77"/>
      <c r="AO922" s="77"/>
      <c r="AP922" s="77"/>
      <c r="AQ922" s="77"/>
      <c r="AR922" s="77"/>
      <c r="AS922" s="77"/>
      <c r="AT922" s="77"/>
      <c r="AU922" s="77"/>
      <c r="AV922" s="80" t="str">
        <f>HYPERLINK("https://pbs.twimg.com/profile_images/1488083579355779074/bLc3qQlo_normal.png")</f>
        <v>https://pbs.twimg.com/profile_images/1488083579355779074/bLc3qQlo_normal.png</v>
      </c>
      <c r="AW922" s="82" t="s">
        <v>14017</v>
      </c>
      <c r="AX922" s="82" t="s">
        <v>14017</v>
      </c>
      <c r="AY922" s="77"/>
      <c r="AZ922" s="82" t="s">
        <v>17385</v>
      </c>
      <c r="BA922" s="82" t="s">
        <v>17385</v>
      </c>
      <c r="BB922" s="82" t="s">
        <v>17385</v>
      </c>
      <c r="BC922" s="82" t="s">
        <v>14017</v>
      </c>
      <c r="BD922" s="82" t="s">
        <v>17544</v>
      </c>
      <c r="BE922" s="77"/>
      <c r="BF922" s="77"/>
      <c r="BG922" s="77"/>
      <c r="BH922" s="77"/>
      <c r="BI922" s="77"/>
    </row>
    <row r="923" spans="1:61" x14ac:dyDescent="0.25">
      <c r="A923" s="62" t="s">
        <v>418</v>
      </c>
      <c r="B923" s="62" t="s">
        <v>761</v>
      </c>
      <c r="C923" s="63"/>
      <c r="D923" s="64"/>
      <c r="E923" s="65"/>
      <c r="F923" s="66"/>
      <c r="G923" s="63"/>
      <c r="H923" s="67"/>
      <c r="I923" s="68"/>
      <c r="J923" s="68"/>
      <c r="K923" s="32"/>
      <c r="L923" s="75">
        <v>923</v>
      </c>
      <c r="M923" s="75"/>
      <c r="N923" s="70"/>
      <c r="O923" s="77" t="s">
        <v>802</v>
      </c>
      <c r="P923" s="79">
        <v>45079.500648148147</v>
      </c>
      <c r="Q923" s="77" t="s">
        <v>1714</v>
      </c>
      <c r="R923" s="77">
        <v>0</v>
      </c>
      <c r="S923" s="77">
        <v>4</v>
      </c>
      <c r="T923" s="77">
        <v>0</v>
      </c>
      <c r="U923" s="77">
        <v>0</v>
      </c>
      <c r="V923" s="77">
        <v>34</v>
      </c>
      <c r="W923" s="82" t="s">
        <v>5424</v>
      </c>
      <c r="X923" s="77"/>
      <c r="Y923" s="77"/>
      <c r="Z923" s="77" t="s">
        <v>761</v>
      </c>
      <c r="AA923" s="77"/>
      <c r="AB923" s="77"/>
      <c r="AC923" s="82" t="s">
        <v>8259</v>
      </c>
      <c r="AD923" s="77" t="s">
        <v>8278</v>
      </c>
      <c r="AE923" s="80" t="str">
        <f>HYPERLINK("https://twitter.com/iqoption_pt/status/1664602998780092416")</f>
        <v>https://twitter.com/iqoption_pt/status/1664602998780092416</v>
      </c>
      <c r="AF923" s="79">
        <v>45079.500648148147</v>
      </c>
      <c r="AG923" s="85">
        <v>45079</v>
      </c>
      <c r="AH923" s="82" t="s">
        <v>9084</v>
      </c>
      <c r="AI923" s="77"/>
      <c r="AJ923" s="77"/>
      <c r="AK923" s="77"/>
      <c r="AL923" s="77"/>
      <c r="AM923" s="77"/>
      <c r="AN923" s="77"/>
      <c r="AO923" s="77"/>
      <c r="AP923" s="77"/>
      <c r="AQ923" s="77"/>
      <c r="AR923" s="77"/>
      <c r="AS923" s="77"/>
      <c r="AT923" s="77"/>
      <c r="AU923" s="77"/>
      <c r="AV923" s="80" t="str">
        <f>HYPERLINK("https://pbs.twimg.com/profile_images/1488083579355779074/bLc3qQlo_normal.png")</f>
        <v>https://pbs.twimg.com/profile_images/1488083579355779074/bLc3qQlo_normal.png</v>
      </c>
      <c r="AW923" s="82" t="s">
        <v>14018</v>
      </c>
      <c r="AX923" s="82" t="s">
        <v>14018</v>
      </c>
      <c r="AY923" s="77"/>
      <c r="AZ923" s="82" t="s">
        <v>17385</v>
      </c>
      <c r="BA923" s="82" t="s">
        <v>17385</v>
      </c>
      <c r="BB923" s="82" t="s">
        <v>17385</v>
      </c>
      <c r="BC923" s="82" t="s">
        <v>14018</v>
      </c>
      <c r="BD923" s="82" t="s">
        <v>17544</v>
      </c>
      <c r="BE923" s="77"/>
      <c r="BF923" s="77"/>
      <c r="BG923" s="77"/>
      <c r="BH923" s="77"/>
      <c r="BI923" s="77"/>
    </row>
    <row r="924" spans="1:61" x14ac:dyDescent="0.25">
      <c r="A924" s="62" t="s">
        <v>418</v>
      </c>
      <c r="B924" s="62" t="s">
        <v>761</v>
      </c>
      <c r="C924" s="63"/>
      <c r="D924" s="64"/>
      <c r="E924" s="65"/>
      <c r="F924" s="66"/>
      <c r="G924" s="63"/>
      <c r="H924" s="67"/>
      <c r="I924" s="68"/>
      <c r="J924" s="68"/>
      <c r="K924" s="32"/>
      <c r="L924" s="75">
        <v>924</v>
      </c>
      <c r="M924" s="75"/>
      <c r="N924" s="70"/>
      <c r="O924" s="77" t="s">
        <v>802</v>
      </c>
      <c r="P924" s="79">
        <v>45058.584201388891</v>
      </c>
      <c r="Q924" s="77" t="s">
        <v>1715</v>
      </c>
      <c r="R924" s="77">
        <v>0</v>
      </c>
      <c r="S924" s="77">
        <v>0</v>
      </c>
      <c r="T924" s="77">
        <v>0</v>
      </c>
      <c r="U924" s="77">
        <v>0</v>
      </c>
      <c r="V924" s="77">
        <v>20</v>
      </c>
      <c r="W924" s="82" t="s">
        <v>5425</v>
      </c>
      <c r="X924" s="77"/>
      <c r="Y924" s="77"/>
      <c r="Z924" s="77" t="s">
        <v>761</v>
      </c>
      <c r="AA924" s="77"/>
      <c r="AB924" s="77"/>
      <c r="AC924" s="82" t="s">
        <v>8259</v>
      </c>
      <c r="AD924" s="77" t="s">
        <v>8278</v>
      </c>
      <c r="AE924" s="80" t="str">
        <f>HYPERLINK("https://twitter.com/iqoption_pt/status/1657023131972665346")</f>
        <v>https://twitter.com/iqoption_pt/status/1657023131972665346</v>
      </c>
      <c r="AF924" s="79">
        <v>45058.584201388891</v>
      </c>
      <c r="AG924" s="85">
        <v>45058</v>
      </c>
      <c r="AH924" s="82" t="s">
        <v>9085</v>
      </c>
      <c r="AI924" s="77"/>
      <c r="AJ924" s="77"/>
      <c r="AK924" s="77"/>
      <c r="AL924" s="77"/>
      <c r="AM924" s="77"/>
      <c r="AN924" s="77"/>
      <c r="AO924" s="77"/>
      <c r="AP924" s="77"/>
      <c r="AQ924" s="77"/>
      <c r="AR924" s="77"/>
      <c r="AS924" s="77"/>
      <c r="AT924" s="77"/>
      <c r="AU924" s="77"/>
      <c r="AV924" s="80" t="str">
        <f>HYPERLINK("https://pbs.twimg.com/profile_images/1488083579355779074/bLc3qQlo_normal.png")</f>
        <v>https://pbs.twimg.com/profile_images/1488083579355779074/bLc3qQlo_normal.png</v>
      </c>
      <c r="AW924" s="82" t="s">
        <v>14019</v>
      </c>
      <c r="AX924" s="82" t="s">
        <v>14019</v>
      </c>
      <c r="AY924" s="77"/>
      <c r="AZ924" s="82" t="s">
        <v>17385</v>
      </c>
      <c r="BA924" s="82" t="s">
        <v>17385</v>
      </c>
      <c r="BB924" s="82" t="s">
        <v>17385</v>
      </c>
      <c r="BC924" s="82" t="s">
        <v>14019</v>
      </c>
      <c r="BD924" s="82" t="s">
        <v>17544</v>
      </c>
      <c r="BE924" s="77"/>
      <c r="BF924" s="77"/>
      <c r="BG924" s="77"/>
      <c r="BH924" s="77"/>
      <c r="BI924" s="77"/>
    </row>
    <row r="925" spans="1:61" x14ac:dyDescent="0.25">
      <c r="A925" s="62" t="s">
        <v>418</v>
      </c>
      <c r="B925" s="62" t="s">
        <v>418</v>
      </c>
      <c r="C925" s="63"/>
      <c r="D925" s="64"/>
      <c r="E925" s="65"/>
      <c r="F925" s="66"/>
      <c r="G925" s="63"/>
      <c r="H925" s="67"/>
      <c r="I925" s="68"/>
      <c r="J925" s="68"/>
      <c r="K925" s="32"/>
      <c r="L925" s="75">
        <v>925</v>
      </c>
      <c r="M925" s="75"/>
      <c r="N925" s="70"/>
      <c r="O925" s="77" t="s">
        <v>179</v>
      </c>
      <c r="P925" s="79">
        <v>45090.667500000003</v>
      </c>
      <c r="Q925" s="77" t="s">
        <v>1716</v>
      </c>
      <c r="R925" s="77">
        <v>0</v>
      </c>
      <c r="S925" s="77">
        <v>2</v>
      </c>
      <c r="T925" s="77">
        <v>0</v>
      </c>
      <c r="U925" s="77">
        <v>0</v>
      </c>
      <c r="V925" s="77">
        <v>51</v>
      </c>
      <c r="W925" s="82" t="s">
        <v>5426</v>
      </c>
      <c r="X925" s="77"/>
      <c r="Y925" s="77"/>
      <c r="Z925" s="77"/>
      <c r="AA925" s="77" t="s">
        <v>7665</v>
      </c>
      <c r="AB925" s="77" t="s">
        <v>8225</v>
      </c>
      <c r="AC925" s="82" t="s">
        <v>8259</v>
      </c>
      <c r="AD925" s="77" t="s">
        <v>8278</v>
      </c>
      <c r="AE925" s="80" t="str">
        <f>HYPERLINK("https://twitter.com/iqoption_pt/status/1668649732825133058")</f>
        <v>https://twitter.com/iqoption_pt/status/1668649732825133058</v>
      </c>
      <c r="AF925" s="79">
        <v>45090.667500000003</v>
      </c>
      <c r="AG925" s="85">
        <v>45090</v>
      </c>
      <c r="AH925" s="82" t="s">
        <v>9086</v>
      </c>
      <c r="AI925" s="77" t="b">
        <v>0</v>
      </c>
      <c r="AJ925" s="77"/>
      <c r="AK925" s="77"/>
      <c r="AL925" s="77"/>
      <c r="AM925" s="77"/>
      <c r="AN925" s="77"/>
      <c r="AO925" s="77"/>
      <c r="AP925" s="77"/>
      <c r="AQ925" s="77" t="s">
        <v>12550</v>
      </c>
      <c r="AR925" s="77"/>
      <c r="AS925" s="77"/>
      <c r="AT925" s="77"/>
      <c r="AU925" s="77"/>
      <c r="AV925" s="80" t="str">
        <f>HYPERLINK("https://pbs.twimg.com/media/Fyg8Fn8WwAItj9W.jpg")</f>
        <v>https://pbs.twimg.com/media/Fyg8Fn8WwAItj9W.jpg</v>
      </c>
      <c r="AW925" s="82" t="s">
        <v>14020</v>
      </c>
      <c r="AX925" s="82" t="s">
        <v>14020</v>
      </c>
      <c r="AY925" s="77"/>
      <c r="AZ925" s="82" t="s">
        <v>17385</v>
      </c>
      <c r="BA925" s="82" t="s">
        <v>17385</v>
      </c>
      <c r="BB925" s="82" t="s">
        <v>17385</v>
      </c>
      <c r="BC925" s="82" t="s">
        <v>14020</v>
      </c>
      <c r="BD925" s="82" t="s">
        <v>17544</v>
      </c>
      <c r="BE925" s="77"/>
      <c r="BF925" s="77"/>
      <c r="BG925" s="77"/>
      <c r="BH925" s="77"/>
      <c r="BI925" s="77"/>
    </row>
    <row r="926" spans="1:61" x14ac:dyDescent="0.25">
      <c r="A926" s="62" t="s">
        <v>418</v>
      </c>
      <c r="B926" s="62" t="s">
        <v>418</v>
      </c>
      <c r="C926" s="63"/>
      <c r="D926" s="64"/>
      <c r="E926" s="65"/>
      <c r="F926" s="66"/>
      <c r="G926" s="63"/>
      <c r="H926" s="67"/>
      <c r="I926" s="68"/>
      <c r="J926" s="68"/>
      <c r="K926" s="32"/>
      <c r="L926" s="75">
        <v>926</v>
      </c>
      <c r="M926" s="75"/>
      <c r="N926" s="70"/>
      <c r="O926" s="77" t="s">
        <v>179</v>
      </c>
      <c r="P926" s="79">
        <v>45090.584155092591</v>
      </c>
      <c r="Q926" s="77" t="s">
        <v>1717</v>
      </c>
      <c r="R926" s="77">
        <v>0</v>
      </c>
      <c r="S926" s="77">
        <v>1</v>
      </c>
      <c r="T926" s="77">
        <v>0</v>
      </c>
      <c r="U926" s="77">
        <v>0</v>
      </c>
      <c r="V926" s="77">
        <v>37</v>
      </c>
      <c r="W926" s="82" t="s">
        <v>5427</v>
      </c>
      <c r="X926" s="77"/>
      <c r="Y926" s="77"/>
      <c r="Z926" s="77"/>
      <c r="AA926" s="77" t="s">
        <v>7666</v>
      </c>
      <c r="AB926" s="77" t="s">
        <v>8225</v>
      </c>
      <c r="AC926" s="82" t="s">
        <v>8259</v>
      </c>
      <c r="AD926" s="77" t="s">
        <v>8278</v>
      </c>
      <c r="AE926" s="80" t="str">
        <f>HYPERLINK("https://twitter.com/iqoption_pt/status/1668619529327644684")</f>
        <v>https://twitter.com/iqoption_pt/status/1668619529327644684</v>
      </c>
      <c r="AF926" s="79">
        <v>45090.584155092591</v>
      </c>
      <c r="AG926" s="85">
        <v>45090</v>
      </c>
      <c r="AH926" s="82" t="s">
        <v>9087</v>
      </c>
      <c r="AI926" s="77" t="b">
        <v>0</v>
      </c>
      <c r="AJ926" s="77"/>
      <c r="AK926" s="77"/>
      <c r="AL926" s="77"/>
      <c r="AM926" s="77"/>
      <c r="AN926" s="77"/>
      <c r="AO926" s="77"/>
      <c r="AP926" s="77"/>
      <c r="AQ926" s="77" t="s">
        <v>12551</v>
      </c>
      <c r="AR926" s="77"/>
      <c r="AS926" s="77"/>
      <c r="AT926" s="77"/>
      <c r="AU926" s="77"/>
      <c r="AV926" s="80" t="str">
        <f>HYPERLINK("https://pbs.twimg.com/media/FyggnpKaQAAO2eY.jpg")</f>
        <v>https://pbs.twimg.com/media/FyggnpKaQAAO2eY.jpg</v>
      </c>
      <c r="AW926" s="82" t="s">
        <v>14021</v>
      </c>
      <c r="AX926" s="82" t="s">
        <v>14021</v>
      </c>
      <c r="AY926" s="77"/>
      <c r="AZ926" s="82" t="s">
        <v>17385</v>
      </c>
      <c r="BA926" s="82" t="s">
        <v>17385</v>
      </c>
      <c r="BB926" s="82" t="s">
        <v>17385</v>
      </c>
      <c r="BC926" s="82" t="s">
        <v>14021</v>
      </c>
      <c r="BD926" s="82" t="s">
        <v>17544</v>
      </c>
      <c r="BE926" s="77"/>
      <c r="BF926" s="77"/>
      <c r="BG926" s="77"/>
      <c r="BH926" s="77"/>
      <c r="BI926" s="77"/>
    </row>
    <row r="927" spans="1:61" x14ac:dyDescent="0.25">
      <c r="A927" s="62" t="s">
        <v>418</v>
      </c>
      <c r="B927" s="62" t="s">
        <v>418</v>
      </c>
      <c r="C927" s="63"/>
      <c r="D927" s="64"/>
      <c r="E927" s="65"/>
      <c r="F927" s="66"/>
      <c r="G927" s="63"/>
      <c r="H927" s="67"/>
      <c r="I927" s="68"/>
      <c r="J927" s="68"/>
      <c r="K927" s="32"/>
      <c r="L927" s="75">
        <v>927</v>
      </c>
      <c r="M927" s="75"/>
      <c r="N927" s="70"/>
      <c r="O927" s="77" t="s">
        <v>179</v>
      </c>
      <c r="P927" s="79">
        <v>45043.625787037039</v>
      </c>
      <c r="Q927" s="77" t="s">
        <v>1718</v>
      </c>
      <c r="R927" s="77">
        <v>0</v>
      </c>
      <c r="S927" s="77">
        <v>1</v>
      </c>
      <c r="T927" s="77">
        <v>0</v>
      </c>
      <c r="U927" s="77">
        <v>0</v>
      </c>
      <c r="V927" s="77">
        <v>9</v>
      </c>
      <c r="W927" s="82" t="s">
        <v>5428</v>
      </c>
      <c r="X927" s="80" t="str">
        <f>HYPERLINK("http://ow.ly/RIla50Nyzy0")</f>
        <v>http://ow.ly/RIla50Nyzy0</v>
      </c>
      <c r="Y927" s="77" t="s">
        <v>7099</v>
      </c>
      <c r="Z927" s="77"/>
      <c r="AA927" s="77"/>
      <c r="AB927" s="77"/>
      <c r="AC927" s="82" t="s">
        <v>8259</v>
      </c>
      <c r="AD927" s="77" t="s">
        <v>8278</v>
      </c>
      <c r="AE927" s="80" t="str">
        <f>HYPERLINK("https://twitter.com/iqoption_pt/status/1651602382998892546")</f>
        <v>https://twitter.com/iqoption_pt/status/1651602382998892546</v>
      </c>
      <c r="AF927" s="79">
        <v>45043.625787037039</v>
      </c>
      <c r="AG927" s="85">
        <v>45043</v>
      </c>
      <c r="AH927" s="82" t="s">
        <v>9088</v>
      </c>
      <c r="AI927" s="77" t="b">
        <v>0</v>
      </c>
      <c r="AJ927" s="77"/>
      <c r="AK927" s="77"/>
      <c r="AL927" s="77"/>
      <c r="AM927" s="77"/>
      <c r="AN927" s="77"/>
      <c r="AO927" s="77"/>
      <c r="AP927" s="77"/>
      <c r="AQ927" s="77"/>
      <c r="AR927" s="77"/>
      <c r="AS927" s="77"/>
      <c r="AT927" s="77"/>
      <c r="AU927" s="77"/>
      <c r="AV927" s="80" t="str">
        <f>HYPERLINK("https://pbs.twimg.com/profile_images/1488083579355779074/bLc3qQlo_normal.png")</f>
        <v>https://pbs.twimg.com/profile_images/1488083579355779074/bLc3qQlo_normal.png</v>
      </c>
      <c r="AW927" s="82" t="s">
        <v>14022</v>
      </c>
      <c r="AX927" s="82" t="s">
        <v>14022</v>
      </c>
      <c r="AY927" s="77"/>
      <c r="AZ927" s="82" t="s">
        <v>17385</v>
      </c>
      <c r="BA927" s="82" t="s">
        <v>17385</v>
      </c>
      <c r="BB927" s="82" t="s">
        <v>17385</v>
      </c>
      <c r="BC927" s="82" t="s">
        <v>14022</v>
      </c>
      <c r="BD927" s="82" t="s">
        <v>17544</v>
      </c>
      <c r="BE927" s="77"/>
      <c r="BF927" s="77"/>
      <c r="BG927" s="77"/>
      <c r="BH927" s="77"/>
      <c r="BI927" s="77"/>
    </row>
    <row r="928" spans="1:61" x14ac:dyDescent="0.25">
      <c r="A928" s="62" t="s">
        <v>418</v>
      </c>
      <c r="B928" s="62" t="s">
        <v>418</v>
      </c>
      <c r="C928" s="63"/>
      <c r="D928" s="64"/>
      <c r="E928" s="65"/>
      <c r="F928" s="66"/>
      <c r="G928" s="63"/>
      <c r="H928" s="67"/>
      <c r="I928" s="68"/>
      <c r="J928" s="68"/>
      <c r="K928" s="32"/>
      <c r="L928" s="75">
        <v>928</v>
      </c>
      <c r="M928" s="75"/>
      <c r="N928" s="70"/>
      <c r="O928" s="77" t="s">
        <v>179</v>
      </c>
      <c r="P928" s="79">
        <v>45097.417118055557</v>
      </c>
      <c r="Q928" s="77" t="s">
        <v>1719</v>
      </c>
      <c r="R928" s="77">
        <v>0</v>
      </c>
      <c r="S928" s="77">
        <v>2</v>
      </c>
      <c r="T928" s="77">
        <v>0</v>
      </c>
      <c r="U928" s="77">
        <v>0</v>
      </c>
      <c r="V928" s="77">
        <v>55</v>
      </c>
      <c r="W928" s="82" t="s">
        <v>5427</v>
      </c>
      <c r="X928" s="77"/>
      <c r="Y928" s="77"/>
      <c r="Z928" s="77"/>
      <c r="AA928" s="77" t="s">
        <v>7667</v>
      </c>
      <c r="AB928" s="77" t="s">
        <v>8225</v>
      </c>
      <c r="AC928" s="82" t="s">
        <v>8259</v>
      </c>
      <c r="AD928" s="77" t="s">
        <v>8278</v>
      </c>
      <c r="AE928" s="80" t="str">
        <f>HYPERLINK("https://twitter.com/iqoption_pt/status/1671095712371687426")</f>
        <v>https://twitter.com/iqoption_pt/status/1671095712371687426</v>
      </c>
      <c r="AF928" s="79">
        <v>45097.417118055557</v>
      </c>
      <c r="AG928" s="85">
        <v>45097</v>
      </c>
      <c r="AH928" s="82" t="s">
        <v>9089</v>
      </c>
      <c r="AI928" s="77" t="b">
        <v>0</v>
      </c>
      <c r="AJ928" s="77"/>
      <c r="AK928" s="77"/>
      <c r="AL928" s="77"/>
      <c r="AM928" s="77"/>
      <c r="AN928" s="77"/>
      <c r="AO928" s="77"/>
      <c r="AP928" s="77"/>
      <c r="AQ928" s="77" t="s">
        <v>12552</v>
      </c>
      <c r="AR928" s="77"/>
      <c r="AS928" s="77"/>
      <c r="AT928" s="77"/>
      <c r="AU928" s="77"/>
      <c r="AV928" s="80" t="str">
        <f>HYPERLINK("https://pbs.twimg.com/media/FzDssdiWcAUnb-i.jpg")</f>
        <v>https://pbs.twimg.com/media/FzDssdiWcAUnb-i.jpg</v>
      </c>
      <c r="AW928" s="82" t="s">
        <v>14023</v>
      </c>
      <c r="AX928" s="82" t="s">
        <v>14023</v>
      </c>
      <c r="AY928" s="77"/>
      <c r="AZ928" s="82" t="s">
        <v>17385</v>
      </c>
      <c r="BA928" s="82" t="s">
        <v>17385</v>
      </c>
      <c r="BB928" s="82" t="s">
        <v>17385</v>
      </c>
      <c r="BC928" s="82" t="s">
        <v>14023</v>
      </c>
      <c r="BD928" s="82" t="s">
        <v>17544</v>
      </c>
      <c r="BE928" s="77"/>
      <c r="BF928" s="77"/>
      <c r="BG928" s="77"/>
      <c r="BH928" s="77"/>
      <c r="BI928" s="77"/>
    </row>
    <row r="929" spans="1:61" x14ac:dyDescent="0.25">
      <c r="A929" s="62" t="s">
        <v>418</v>
      </c>
      <c r="B929" s="62" t="s">
        <v>418</v>
      </c>
      <c r="C929" s="63"/>
      <c r="D929" s="64"/>
      <c r="E929" s="65"/>
      <c r="F929" s="66"/>
      <c r="G929" s="63"/>
      <c r="H929" s="67"/>
      <c r="I929" s="68"/>
      <c r="J929" s="68"/>
      <c r="K929" s="32"/>
      <c r="L929" s="75">
        <v>929</v>
      </c>
      <c r="M929" s="75"/>
      <c r="N929" s="70"/>
      <c r="O929" s="77" t="s">
        <v>179</v>
      </c>
      <c r="P929" s="79">
        <v>45096.584236111114</v>
      </c>
      <c r="Q929" s="77" t="s">
        <v>1720</v>
      </c>
      <c r="R929" s="77">
        <v>0</v>
      </c>
      <c r="S929" s="77">
        <v>1</v>
      </c>
      <c r="T929" s="77">
        <v>0</v>
      </c>
      <c r="U929" s="77">
        <v>0</v>
      </c>
      <c r="V929" s="77">
        <v>22</v>
      </c>
      <c r="W929" s="82" t="s">
        <v>5429</v>
      </c>
      <c r="X929" s="77"/>
      <c r="Y929" s="77"/>
      <c r="Z929" s="77"/>
      <c r="AA929" s="77"/>
      <c r="AB929" s="77"/>
      <c r="AC929" s="82" t="s">
        <v>8259</v>
      </c>
      <c r="AD929" s="77" t="s">
        <v>8278</v>
      </c>
      <c r="AE929" s="80" t="str">
        <f>HYPERLINK("https://twitter.com/iqoption_pt/status/1670793882630586374")</f>
        <v>https://twitter.com/iqoption_pt/status/1670793882630586374</v>
      </c>
      <c r="AF929" s="79">
        <v>45096.584236111114</v>
      </c>
      <c r="AG929" s="85">
        <v>45096</v>
      </c>
      <c r="AH929" s="82" t="s">
        <v>9090</v>
      </c>
      <c r="AI929" s="77"/>
      <c r="AJ929" s="77"/>
      <c r="AK929" s="77"/>
      <c r="AL929" s="77"/>
      <c r="AM929" s="77"/>
      <c r="AN929" s="77"/>
      <c r="AO929" s="77"/>
      <c r="AP929" s="77"/>
      <c r="AQ929" s="77"/>
      <c r="AR929" s="77"/>
      <c r="AS929" s="77"/>
      <c r="AT929" s="77"/>
      <c r="AU929" s="77"/>
      <c r="AV929" s="80" t="str">
        <f>HYPERLINK("https://pbs.twimg.com/profile_images/1488083579355779074/bLc3qQlo_normal.png")</f>
        <v>https://pbs.twimg.com/profile_images/1488083579355779074/bLc3qQlo_normal.png</v>
      </c>
      <c r="AW929" s="82" t="s">
        <v>14024</v>
      </c>
      <c r="AX929" s="82" t="s">
        <v>14024</v>
      </c>
      <c r="AY929" s="77"/>
      <c r="AZ929" s="82" t="s">
        <v>17385</v>
      </c>
      <c r="BA929" s="82" t="s">
        <v>17385</v>
      </c>
      <c r="BB929" s="82" t="s">
        <v>17385</v>
      </c>
      <c r="BC929" s="82" t="s">
        <v>14024</v>
      </c>
      <c r="BD929" s="82" t="s">
        <v>17544</v>
      </c>
      <c r="BE929" s="77"/>
      <c r="BF929" s="77"/>
      <c r="BG929" s="77"/>
      <c r="BH929" s="77"/>
      <c r="BI929" s="77"/>
    </row>
    <row r="930" spans="1:61" x14ac:dyDescent="0.25">
      <c r="A930" s="62" t="s">
        <v>418</v>
      </c>
      <c r="B930" s="62" t="s">
        <v>418</v>
      </c>
      <c r="C930" s="63"/>
      <c r="D930" s="64"/>
      <c r="E930" s="65"/>
      <c r="F930" s="66"/>
      <c r="G930" s="63"/>
      <c r="H930" s="67"/>
      <c r="I930" s="68"/>
      <c r="J930" s="68"/>
      <c r="K930" s="32"/>
      <c r="L930" s="75">
        <v>930</v>
      </c>
      <c r="M930" s="75"/>
      <c r="N930" s="70"/>
      <c r="O930" s="77" t="s">
        <v>179</v>
      </c>
      <c r="P930" s="79">
        <v>45061.481608796297</v>
      </c>
      <c r="Q930" s="77" t="s">
        <v>1721</v>
      </c>
      <c r="R930" s="77">
        <v>0</v>
      </c>
      <c r="S930" s="77">
        <v>0</v>
      </c>
      <c r="T930" s="77">
        <v>1</v>
      </c>
      <c r="U930" s="77">
        <v>0</v>
      </c>
      <c r="V930" s="77">
        <v>27</v>
      </c>
      <c r="W930" s="82" t="s">
        <v>5430</v>
      </c>
      <c r="X930" s="77"/>
      <c r="Y930" s="77"/>
      <c r="Z930" s="77"/>
      <c r="AA930" s="77"/>
      <c r="AB930" s="77"/>
      <c r="AC930" s="82" t="s">
        <v>8233</v>
      </c>
      <c r="AD930" s="77" t="s">
        <v>8278</v>
      </c>
      <c r="AE930" s="80" t="str">
        <f>HYPERLINK("https://twitter.com/iqoption_pt/status/1658073117900644353")</f>
        <v>https://twitter.com/iqoption_pt/status/1658073117900644353</v>
      </c>
      <c r="AF930" s="79">
        <v>45061.481608796297</v>
      </c>
      <c r="AG930" s="85">
        <v>45061</v>
      </c>
      <c r="AH930" s="82" t="s">
        <v>8871</v>
      </c>
      <c r="AI930" s="77" t="b">
        <v>0</v>
      </c>
      <c r="AJ930" s="77"/>
      <c r="AK930" s="77"/>
      <c r="AL930" s="77"/>
      <c r="AM930" s="77"/>
      <c r="AN930" s="77"/>
      <c r="AO930" s="77"/>
      <c r="AP930" s="77"/>
      <c r="AQ930" s="77"/>
      <c r="AR930" s="77"/>
      <c r="AS930" s="77"/>
      <c r="AT930" s="77"/>
      <c r="AU930" s="77"/>
      <c r="AV930" s="80" t="str">
        <f>HYPERLINK("https://pbs.twimg.com/profile_images/1488083579355779074/bLc3qQlo_normal.png")</f>
        <v>https://pbs.twimg.com/profile_images/1488083579355779074/bLc3qQlo_normal.png</v>
      </c>
      <c r="AW930" s="82" t="s">
        <v>14025</v>
      </c>
      <c r="AX930" s="82" t="s">
        <v>14025</v>
      </c>
      <c r="AY930" s="77"/>
      <c r="AZ930" s="82" t="s">
        <v>17385</v>
      </c>
      <c r="BA930" s="82" t="s">
        <v>17385</v>
      </c>
      <c r="BB930" s="82" t="s">
        <v>17385</v>
      </c>
      <c r="BC930" s="82" t="s">
        <v>14025</v>
      </c>
      <c r="BD930" s="82" t="s">
        <v>17544</v>
      </c>
      <c r="BE930" s="77"/>
      <c r="BF930" s="77"/>
      <c r="BG930" s="77"/>
      <c r="BH930" s="77"/>
      <c r="BI930" s="77"/>
    </row>
    <row r="931" spans="1:61" x14ac:dyDescent="0.25">
      <c r="A931" s="62" t="s">
        <v>419</v>
      </c>
      <c r="B931" s="62" t="s">
        <v>419</v>
      </c>
      <c r="C931" s="63"/>
      <c r="D931" s="64"/>
      <c r="E931" s="65"/>
      <c r="F931" s="66"/>
      <c r="G931" s="63"/>
      <c r="H931" s="67"/>
      <c r="I931" s="68"/>
      <c r="J931" s="68"/>
      <c r="K931" s="32"/>
      <c r="L931" s="75">
        <v>931</v>
      </c>
      <c r="M931" s="75"/>
      <c r="N931" s="70"/>
      <c r="O931" s="77" t="s">
        <v>179</v>
      </c>
      <c r="P931" s="79">
        <v>45068.570208333331</v>
      </c>
      <c r="Q931" s="77" t="s">
        <v>1722</v>
      </c>
      <c r="R931" s="77">
        <v>0</v>
      </c>
      <c r="S931" s="77">
        <v>0</v>
      </c>
      <c r="T931" s="77">
        <v>0</v>
      </c>
      <c r="U931" s="77">
        <v>0</v>
      </c>
      <c r="V931" s="77">
        <v>76</v>
      </c>
      <c r="W931" s="82" t="s">
        <v>5431</v>
      </c>
      <c r="X931" s="77"/>
      <c r="Y931" s="77"/>
      <c r="Z931" s="77"/>
      <c r="AA931" s="77" t="s">
        <v>7668</v>
      </c>
      <c r="AB931" s="77" t="s">
        <v>8225</v>
      </c>
      <c r="AC931" s="82" t="s">
        <v>8233</v>
      </c>
      <c r="AD931" s="77" t="s">
        <v>8278</v>
      </c>
      <c r="AE931" s="80" t="str">
        <f>HYPERLINK("https://twitter.com/paulomartinsdev/status/1660641940377829379")</f>
        <v>https://twitter.com/paulomartinsdev/status/1660641940377829379</v>
      </c>
      <c r="AF931" s="79">
        <v>45068.570208333331</v>
      </c>
      <c r="AG931" s="85">
        <v>45068</v>
      </c>
      <c r="AH931" s="82" t="s">
        <v>9091</v>
      </c>
      <c r="AI931" s="77" t="b">
        <v>0</v>
      </c>
      <c r="AJ931" s="77"/>
      <c r="AK931" s="77"/>
      <c r="AL931" s="77"/>
      <c r="AM931" s="77"/>
      <c r="AN931" s="77"/>
      <c r="AO931" s="77"/>
      <c r="AP931" s="77"/>
      <c r="AQ931" s="77" t="s">
        <v>12553</v>
      </c>
      <c r="AR931" s="77"/>
      <c r="AS931" s="77"/>
      <c r="AT931" s="77"/>
      <c r="AU931" s="77"/>
      <c r="AV931" s="80" t="str">
        <f>HYPERLINK("https://pbs.twimg.com/media/FwvJCfDXwAEFVsm.jpg")</f>
        <v>https://pbs.twimg.com/media/FwvJCfDXwAEFVsm.jpg</v>
      </c>
      <c r="AW931" s="82" t="s">
        <v>14026</v>
      </c>
      <c r="AX931" s="82" t="s">
        <v>14026</v>
      </c>
      <c r="AY931" s="77"/>
      <c r="AZ931" s="82" t="s">
        <v>17385</v>
      </c>
      <c r="BA931" s="82" t="s">
        <v>17385</v>
      </c>
      <c r="BB931" s="82" t="s">
        <v>17385</v>
      </c>
      <c r="BC931" s="82" t="s">
        <v>14026</v>
      </c>
      <c r="BD931" s="82" t="s">
        <v>17545</v>
      </c>
      <c r="BE931" s="77"/>
      <c r="BF931" s="77"/>
      <c r="BG931" s="77"/>
      <c r="BH931" s="77"/>
      <c r="BI931" s="77"/>
    </row>
    <row r="932" spans="1:61" x14ac:dyDescent="0.25">
      <c r="A932" s="62" t="s">
        <v>420</v>
      </c>
      <c r="B932" s="62" t="s">
        <v>420</v>
      </c>
      <c r="C932" s="63"/>
      <c r="D932" s="64"/>
      <c r="E932" s="65"/>
      <c r="F932" s="66"/>
      <c r="G932" s="63"/>
      <c r="H932" s="67"/>
      <c r="I932" s="68"/>
      <c r="J932" s="68"/>
      <c r="K932" s="32"/>
      <c r="L932" s="75">
        <v>932</v>
      </c>
      <c r="M932" s="75"/>
      <c r="N932" s="70"/>
      <c r="O932" s="77" t="s">
        <v>179</v>
      </c>
      <c r="P932" s="79">
        <v>45101.733634259261</v>
      </c>
      <c r="Q932" s="77" t="s">
        <v>1723</v>
      </c>
      <c r="R932" s="77">
        <v>0</v>
      </c>
      <c r="S932" s="77">
        <v>0</v>
      </c>
      <c r="T932" s="77">
        <v>0</v>
      </c>
      <c r="U932" s="77">
        <v>0</v>
      </c>
      <c r="V932" s="77">
        <v>40</v>
      </c>
      <c r="W932" s="82" t="s">
        <v>5432</v>
      </c>
      <c r="X932" s="80" t="str">
        <f>HYPERLINK("https://youtu.be/RQiVaTaawiA")</f>
        <v>https://youtu.be/RQiVaTaawiA</v>
      </c>
      <c r="Y932" s="77" t="s">
        <v>7064</v>
      </c>
      <c r="Z932" s="77"/>
      <c r="AA932" s="77"/>
      <c r="AB932" s="77"/>
      <c r="AC932" s="82" t="s">
        <v>8248</v>
      </c>
      <c r="AD932" s="77" t="s">
        <v>8278</v>
      </c>
      <c r="AE932" s="80" t="str">
        <f>HYPERLINK("https://twitter.com/noalvo3/status/1672659962575634432")</f>
        <v>https://twitter.com/noalvo3/status/1672659962575634432</v>
      </c>
      <c r="AF932" s="79">
        <v>45101.733634259261</v>
      </c>
      <c r="AG932" s="85">
        <v>45101</v>
      </c>
      <c r="AH932" s="82" t="s">
        <v>9092</v>
      </c>
      <c r="AI932" s="77" t="b">
        <v>0</v>
      </c>
      <c r="AJ932" s="77"/>
      <c r="AK932" s="77"/>
      <c r="AL932" s="77"/>
      <c r="AM932" s="77"/>
      <c r="AN932" s="77"/>
      <c r="AO932" s="77"/>
      <c r="AP932" s="77"/>
      <c r="AQ932" s="77"/>
      <c r="AR932" s="77"/>
      <c r="AS932" s="77"/>
      <c r="AT932" s="77"/>
      <c r="AU932" s="77"/>
      <c r="AV932" s="80" t="str">
        <f>HYPERLINK("https://pbs.twimg.com/profile_images/1419306919957835777/YkOLJSly_normal.jpg")</f>
        <v>https://pbs.twimg.com/profile_images/1419306919957835777/YkOLJSly_normal.jpg</v>
      </c>
      <c r="AW932" s="82" t="s">
        <v>14027</v>
      </c>
      <c r="AX932" s="82" t="s">
        <v>14027</v>
      </c>
      <c r="AY932" s="77"/>
      <c r="AZ932" s="82" t="s">
        <v>17385</v>
      </c>
      <c r="BA932" s="82" t="s">
        <v>17385</v>
      </c>
      <c r="BB932" s="82" t="s">
        <v>17385</v>
      </c>
      <c r="BC932" s="82" t="s">
        <v>14027</v>
      </c>
      <c r="BD932" s="82" t="s">
        <v>17546</v>
      </c>
      <c r="BE932" s="77"/>
      <c r="BF932" s="77"/>
      <c r="BG932" s="77"/>
      <c r="BH932" s="77"/>
      <c r="BI932" s="77"/>
    </row>
    <row r="933" spans="1:61" x14ac:dyDescent="0.25">
      <c r="A933" s="62" t="s">
        <v>420</v>
      </c>
      <c r="B933" s="62" t="s">
        <v>420</v>
      </c>
      <c r="C933" s="63"/>
      <c r="D933" s="64"/>
      <c r="E933" s="65"/>
      <c r="F933" s="66"/>
      <c r="G933" s="63"/>
      <c r="H933" s="67"/>
      <c r="I933" s="68"/>
      <c r="J933" s="68"/>
      <c r="K933" s="32"/>
      <c r="L933" s="75">
        <v>933</v>
      </c>
      <c r="M933" s="75"/>
      <c r="N933" s="70"/>
      <c r="O933" s="77" t="s">
        <v>179</v>
      </c>
      <c r="P933" s="79">
        <v>45082.417118055557</v>
      </c>
      <c r="Q933" s="77" t="s">
        <v>1724</v>
      </c>
      <c r="R933" s="77">
        <v>0</v>
      </c>
      <c r="S933" s="77">
        <v>0</v>
      </c>
      <c r="T933" s="77">
        <v>0</v>
      </c>
      <c r="U933" s="77">
        <v>0</v>
      </c>
      <c r="V933" s="77">
        <v>43</v>
      </c>
      <c r="W933" s="82" t="s">
        <v>5433</v>
      </c>
      <c r="X933" s="80" t="str">
        <f>HYPERLINK("https://youtu.be/cquqlWz7vJw")</f>
        <v>https://youtu.be/cquqlWz7vJw</v>
      </c>
      <c r="Y933" s="77" t="s">
        <v>7064</v>
      </c>
      <c r="Z933" s="77"/>
      <c r="AA933" s="77"/>
      <c r="AB933" s="77"/>
      <c r="AC933" s="82" t="s">
        <v>8248</v>
      </c>
      <c r="AD933" s="77" t="s">
        <v>8278</v>
      </c>
      <c r="AE933" s="80" t="str">
        <f>HYPERLINK("https://twitter.com/noalvo3/status/1665659892412055553")</f>
        <v>https://twitter.com/noalvo3/status/1665659892412055553</v>
      </c>
      <c r="AF933" s="79">
        <v>45082.417118055557</v>
      </c>
      <c r="AG933" s="85">
        <v>45082</v>
      </c>
      <c r="AH933" s="82" t="s">
        <v>9089</v>
      </c>
      <c r="AI933" s="77" t="b">
        <v>0</v>
      </c>
      <c r="AJ933" s="77"/>
      <c r="AK933" s="77"/>
      <c r="AL933" s="77"/>
      <c r="AM933" s="77"/>
      <c r="AN933" s="77"/>
      <c r="AO933" s="77"/>
      <c r="AP933" s="77"/>
      <c r="AQ933" s="77"/>
      <c r="AR933" s="77"/>
      <c r="AS933" s="77"/>
      <c r="AT933" s="77"/>
      <c r="AU933" s="77"/>
      <c r="AV933" s="80" t="str">
        <f>HYPERLINK("https://pbs.twimg.com/profile_images/1419306919957835777/YkOLJSly_normal.jpg")</f>
        <v>https://pbs.twimg.com/profile_images/1419306919957835777/YkOLJSly_normal.jpg</v>
      </c>
      <c r="AW933" s="82" t="s">
        <v>14028</v>
      </c>
      <c r="AX933" s="82" t="s">
        <v>14028</v>
      </c>
      <c r="AY933" s="77"/>
      <c r="AZ933" s="82" t="s">
        <v>17385</v>
      </c>
      <c r="BA933" s="82" t="s">
        <v>17385</v>
      </c>
      <c r="BB933" s="82" t="s">
        <v>17385</v>
      </c>
      <c r="BC933" s="82" t="s">
        <v>14028</v>
      </c>
      <c r="BD933" s="82" t="s">
        <v>17546</v>
      </c>
      <c r="BE933" s="77"/>
      <c r="BF933" s="77"/>
      <c r="BG933" s="77"/>
      <c r="BH933" s="77"/>
      <c r="BI933" s="77"/>
    </row>
    <row r="934" spans="1:61" x14ac:dyDescent="0.25">
      <c r="A934" s="62" t="s">
        <v>420</v>
      </c>
      <c r="B934" s="62" t="s">
        <v>420</v>
      </c>
      <c r="C934" s="63"/>
      <c r="D934" s="64"/>
      <c r="E934" s="65"/>
      <c r="F934" s="66"/>
      <c r="G934" s="63"/>
      <c r="H934" s="67"/>
      <c r="I934" s="68"/>
      <c r="J934" s="68"/>
      <c r="K934" s="32"/>
      <c r="L934" s="75">
        <v>934</v>
      </c>
      <c r="M934" s="75"/>
      <c r="N934" s="70"/>
      <c r="O934" s="77" t="s">
        <v>179</v>
      </c>
      <c r="P934" s="79">
        <v>45081.71947916667</v>
      </c>
      <c r="Q934" s="77" t="s">
        <v>1725</v>
      </c>
      <c r="R934" s="77">
        <v>0</v>
      </c>
      <c r="S934" s="77">
        <v>0</v>
      </c>
      <c r="T934" s="77">
        <v>0</v>
      </c>
      <c r="U934" s="77">
        <v>0</v>
      </c>
      <c r="V934" s="77">
        <v>46</v>
      </c>
      <c r="W934" s="82" t="s">
        <v>5434</v>
      </c>
      <c r="X934" s="80" t="str">
        <f>HYPERLINK("https://youtu.be/bg1l9C3PX1E")</f>
        <v>https://youtu.be/bg1l9C3PX1E</v>
      </c>
      <c r="Y934" s="77" t="s">
        <v>7064</v>
      </c>
      <c r="Z934" s="77"/>
      <c r="AA934" s="77"/>
      <c r="AB934" s="77"/>
      <c r="AC934" s="82" t="s">
        <v>8248</v>
      </c>
      <c r="AD934" s="77" t="s">
        <v>8278</v>
      </c>
      <c r="AE934" s="80" t="str">
        <f>HYPERLINK("https://twitter.com/noalvo3/status/1665407075344687108")</f>
        <v>https://twitter.com/noalvo3/status/1665407075344687108</v>
      </c>
      <c r="AF934" s="79">
        <v>45081.71947916667</v>
      </c>
      <c r="AG934" s="85">
        <v>45081</v>
      </c>
      <c r="AH934" s="82" t="s">
        <v>9093</v>
      </c>
      <c r="AI934" s="77" t="b">
        <v>0</v>
      </c>
      <c r="AJ934" s="77"/>
      <c r="AK934" s="77"/>
      <c r="AL934" s="77"/>
      <c r="AM934" s="77"/>
      <c r="AN934" s="77"/>
      <c r="AO934" s="77"/>
      <c r="AP934" s="77"/>
      <c r="AQ934" s="77"/>
      <c r="AR934" s="77"/>
      <c r="AS934" s="77"/>
      <c r="AT934" s="77"/>
      <c r="AU934" s="77"/>
      <c r="AV934" s="80" t="str">
        <f>HYPERLINK("https://pbs.twimg.com/profile_images/1419306919957835777/YkOLJSly_normal.jpg")</f>
        <v>https://pbs.twimg.com/profile_images/1419306919957835777/YkOLJSly_normal.jpg</v>
      </c>
      <c r="AW934" s="82" t="s">
        <v>14029</v>
      </c>
      <c r="AX934" s="82" t="s">
        <v>14029</v>
      </c>
      <c r="AY934" s="77"/>
      <c r="AZ934" s="82" t="s">
        <v>17385</v>
      </c>
      <c r="BA934" s="82" t="s">
        <v>17385</v>
      </c>
      <c r="BB934" s="82" t="s">
        <v>17385</v>
      </c>
      <c r="BC934" s="82" t="s">
        <v>14029</v>
      </c>
      <c r="BD934" s="82" t="s">
        <v>17546</v>
      </c>
      <c r="BE934" s="77"/>
      <c r="BF934" s="77"/>
      <c r="BG934" s="77"/>
      <c r="BH934" s="77"/>
      <c r="BI934" s="77"/>
    </row>
    <row r="935" spans="1:61" x14ac:dyDescent="0.25">
      <c r="A935" s="62" t="s">
        <v>420</v>
      </c>
      <c r="B935" s="62" t="s">
        <v>420</v>
      </c>
      <c r="C935" s="63"/>
      <c r="D935" s="64"/>
      <c r="E935" s="65"/>
      <c r="F935" s="66"/>
      <c r="G935" s="63"/>
      <c r="H935" s="67"/>
      <c r="I935" s="68"/>
      <c r="J935" s="68"/>
      <c r="K935" s="32"/>
      <c r="L935" s="75">
        <v>935</v>
      </c>
      <c r="M935" s="75"/>
      <c r="N935" s="70"/>
      <c r="O935" s="77" t="s">
        <v>179</v>
      </c>
      <c r="P935" s="79">
        <v>45064.417719907404</v>
      </c>
      <c r="Q935" s="77" t="s">
        <v>1726</v>
      </c>
      <c r="R935" s="77">
        <v>0</v>
      </c>
      <c r="S935" s="77">
        <v>0</v>
      </c>
      <c r="T935" s="77">
        <v>0</v>
      </c>
      <c r="U935" s="77">
        <v>0</v>
      </c>
      <c r="V935" s="77">
        <v>25</v>
      </c>
      <c r="W935" s="82" t="s">
        <v>5435</v>
      </c>
      <c r="X935" s="80" t="str">
        <f>HYPERLINK("https://youtu.be/QxFyqcsG96g")</f>
        <v>https://youtu.be/QxFyqcsG96g</v>
      </c>
      <c r="Y935" s="77" t="s">
        <v>7064</v>
      </c>
      <c r="Z935" s="77"/>
      <c r="AA935" s="77"/>
      <c r="AB935" s="77"/>
      <c r="AC935" s="82" t="s">
        <v>8248</v>
      </c>
      <c r="AD935" s="77" t="s">
        <v>8278</v>
      </c>
      <c r="AE935" s="80" t="str">
        <f>HYPERLINK("https://twitter.com/noalvo3/status/1659137127064412163")</f>
        <v>https://twitter.com/noalvo3/status/1659137127064412163</v>
      </c>
      <c r="AF935" s="79">
        <v>45064.417719907404</v>
      </c>
      <c r="AG935" s="85">
        <v>45064</v>
      </c>
      <c r="AH935" s="82" t="s">
        <v>9094</v>
      </c>
      <c r="AI935" s="77" t="b">
        <v>0</v>
      </c>
      <c r="AJ935" s="77"/>
      <c r="AK935" s="77"/>
      <c r="AL935" s="77"/>
      <c r="AM935" s="77"/>
      <c r="AN935" s="77"/>
      <c r="AO935" s="77"/>
      <c r="AP935" s="77"/>
      <c r="AQ935" s="77"/>
      <c r="AR935" s="77"/>
      <c r="AS935" s="77"/>
      <c r="AT935" s="77"/>
      <c r="AU935" s="77"/>
      <c r="AV935" s="80" t="str">
        <f>HYPERLINK("https://pbs.twimg.com/profile_images/1419306919957835777/YkOLJSly_normal.jpg")</f>
        <v>https://pbs.twimg.com/profile_images/1419306919957835777/YkOLJSly_normal.jpg</v>
      </c>
      <c r="AW935" s="82" t="s">
        <v>14030</v>
      </c>
      <c r="AX935" s="82" t="s">
        <v>14030</v>
      </c>
      <c r="AY935" s="77"/>
      <c r="AZ935" s="82" t="s">
        <v>17385</v>
      </c>
      <c r="BA935" s="82" t="s">
        <v>17385</v>
      </c>
      <c r="BB935" s="82" t="s">
        <v>17385</v>
      </c>
      <c r="BC935" s="82" t="s">
        <v>14030</v>
      </c>
      <c r="BD935" s="82" t="s">
        <v>17546</v>
      </c>
      <c r="BE935" s="77"/>
      <c r="BF935" s="77"/>
      <c r="BG935" s="77"/>
      <c r="BH935" s="77"/>
      <c r="BI935" s="77"/>
    </row>
    <row r="936" spans="1:61" x14ac:dyDescent="0.25">
      <c r="A936" s="62" t="s">
        <v>420</v>
      </c>
      <c r="B936" s="62" t="s">
        <v>420</v>
      </c>
      <c r="C936" s="63"/>
      <c r="D936" s="64"/>
      <c r="E936" s="65"/>
      <c r="F936" s="66"/>
      <c r="G936" s="63"/>
      <c r="H936" s="67"/>
      <c r="I936" s="68"/>
      <c r="J936" s="68"/>
      <c r="K936" s="32"/>
      <c r="L936" s="75">
        <v>936</v>
      </c>
      <c r="M936" s="75"/>
      <c r="N936" s="70"/>
      <c r="O936" s="77" t="s">
        <v>179</v>
      </c>
      <c r="P936" s="79">
        <v>45063.487118055556</v>
      </c>
      <c r="Q936" s="77" t="s">
        <v>1727</v>
      </c>
      <c r="R936" s="77">
        <v>0</v>
      </c>
      <c r="S936" s="77">
        <v>0</v>
      </c>
      <c r="T936" s="77">
        <v>0</v>
      </c>
      <c r="U936" s="77">
        <v>0</v>
      </c>
      <c r="V936" s="77">
        <v>20</v>
      </c>
      <c r="W936" s="82" t="s">
        <v>5436</v>
      </c>
      <c r="X936" s="80" t="str">
        <f>HYPERLINK("https://youtu.be/5mEFW4bVo9k")</f>
        <v>https://youtu.be/5mEFW4bVo9k</v>
      </c>
      <c r="Y936" s="77" t="s">
        <v>7064</v>
      </c>
      <c r="Z936" s="77"/>
      <c r="AA936" s="77"/>
      <c r="AB936" s="77"/>
      <c r="AC936" s="82" t="s">
        <v>8248</v>
      </c>
      <c r="AD936" s="77" t="s">
        <v>8278</v>
      </c>
      <c r="AE936" s="80" t="str">
        <f>HYPERLINK("https://twitter.com/noalvo3/status/1658799890355437571")</f>
        <v>https://twitter.com/noalvo3/status/1658799890355437571</v>
      </c>
      <c r="AF936" s="79">
        <v>45063.487118055556</v>
      </c>
      <c r="AG936" s="85">
        <v>45063</v>
      </c>
      <c r="AH936" s="82" t="s">
        <v>9095</v>
      </c>
      <c r="AI936" s="77" t="b">
        <v>0</v>
      </c>
      <c r="AJ936" s="77"/>
      <c r="AK936" s="77"/>
      <c r="AL936" s="77"/>
      <c r="AM936" s="77"/>
      <c r="AN936" s="77"/>
      <c r="AO936" s="77"/>
      <c r="AP936" s="77"/>
      <c r="AQ936" s="77"/>
      <c r="AR936" s="77"/>
      <c r="AS936" s="77"/>
      <c r="AT936" s="77"/>
      <c r="AU936" s="77"/>
      <c r="AV936" s="80" t="str">
        <f>HYPERLINK("https://pbs.twimg.com/profile_images/1419306919957835777/YkOLJSly_normal.jpg")</f>
        <v>https://pbs.twimg.com/profile_images/1419306919957835777/YkOLJSly_normal.jpg</v>
      </c>
      <c r="AW936" s="82" t="s">
        <v>14031</v>
      </c>
      <c r="AX936" s="82" t="s">
        <v>14031</v>
      </c>
      <c r="AY936" s="77"/>
      <c r="AZ936" s="82" t="s">
        <v>17385</v>
      </c>
      <c r="BA936" s="82" t="s">
        <v>17385</v>
      </c>
      <c r="BB936" s="82" t="s">
        <v>17385</v>
      </c>
      <c r="BC936" s="82" t="s">
        <v>14031</v>
      </c>
      <c r="BD936" s="82" t="s">
        <v>17546</v>
      </c>
      <c r="BE936" s="77"/>
      <c r="BF936" s="77"/>
      <c r="BG936" s="77"/>
      <c r="BH936" s="77"/>
      <c r="BI936" s="77"/>
    </row>
    <row r="937" spans="1:61" x14ac:dyDescent="0.25">
      <c r="A937" s="62" t="s">
        <v>420</v>
      </c>
      <c r="B937" s="62" t="s">
        <v>420</v>
      </c>
      <c r="C937" s="63"/>
      <c r="D937" s="64"/>
      <c r="E937" s="65"/>
      <c r="F937" s="66"/>
      <c r="G937" s="63"/>
      <c r="H937" s="67"/>
      <c r="I937" s="68"/>
      <c r="J937" s="68"/>
      <c r="K937" s="32"/>
      <c r="L937" s="75">
        <v>937</v>
      </c>
      <c r="M937" s="75"/>
      <c r="N937" s="70"/>
      <c r="O937" s="77" t="s">
        <v>179</v>
      </c>
      <c r="P937" s="79">
        <v>45097.445300925923</v>
      </c>
      <c r="Q937" s="77" t="s">
        <v>1728</v>
      </c>
      <c r="R937" s="77">
        <v>0</v>
      </c>
      <c r="S937" s="77">
        <v>0</v>
      </c>
      <c r="T937" s="77">
        <v>0</v>
      </c>
      <c r="U937" s="77">
        <v>0</v>
      </c>
      <c r="V937" s="77">
        <v>116</v>
      </c>
      <c r="W937" s="82" t="s">
        <v>5437</v>
      </c>
      <c r="X937" s="80" t="str">
        <f>HYPERLINK("https://youtu.be/5U8pGu3qz00")</f>
        <v>https://youtu.be/5U8pGu3qz00</v>
      </c>
      <c r="Y937" s="77" t="s">
        <v>7064</v>
      </c>
      <c r="Z937" s="77"/>
      <c r="AA937" s="77"/>
      <c r="AB937" s="77"/>
      <c r="AC937" s="82" t="s">
        <v>8248</v>
      </c>
      <c r="AD937" s="77" t="s">
        <v>8278</v>
      </c>
      <c r="AE937" s="80" t="str">
        <f>HYPERLINK("https://twitter.com/noalvo3/status/1671105924000301058")</f>
        <v>https://twitter.com/noalvo3/status/1671105924000301058</v>
      </c>
      <c r="AF937" s="79">
        <v>45097.445300925923</v>
      </c>
      <c r="AG937" s="85">
        <v>45097</v>
      </c>
      <c r="AH937" s="82" t="s">
        <v>9096</v>
      </c>
      <c r="AI937" s="77" t="b">
        <v>0</v>
      </c>
      <c r="AJ937" s="77"/>
      <c r="AK937" s="77"/>
      <c r="AL937" s="77"/>
      <c r="AM937" s="77"/>
      <c r="AN937" s="77"/>
      <c r="AO937" s="77"/>
      <c r="AP937" s="77"/>
      <c r="AQ937" s="77"/>
      <c r="AR937" s="77"/>
      <c r="AS937" s="77"/>
      <c r="AT937" s="77"/>
      <c r="AU937" s="77"/>
      <c r="AV937" s="80" t="str">
        <f>HYPERLINK("https://pbs.twimg.com/profile_images/1419306919957835777/YkOLJSly_normal.jpg")</f>
        <v>https://pbs.twimg.com/profile_images/1419306919957835777/YkOLJSly_normal.jpg</v>
      </c>
      <c r="AW937" s="82" t="s">
        <v>14032</v>
      </c>
      <c r="AX937" s="82" t="s">
        <v>14032</v>
      </c>
      <c r="AY937" s="77"/>
      <c r="AZ937" s="82" t="s">
        <v>17385</v>
      </c>
      <c r="BA937" s="82" t="s">
        <v>17385</v>
      </c>
      <c r="BB937" s="82" t="s">
        <v>17385</v>
      </c>
      <c r="BC937" s="82" t="s">
        <v>14032</v>
      </c>
      <c r="BD937" s="82" t="s">
        <v>17546</v>
      </c>
      <c r="BE937" s="77"/>
      <c r="BF937" s="77"/>
      <c r="BG937" s="77"/>
      <c r="BH937" s="77"/>
      <c r="BI937" s="77"/>
    </row>
    <row r="938" spans="1:61" x14ac:dyDescent="0.25">
      <c r="A938" s="62" t="s">
        <v>420</v>
      </c>
      <c r="B938" s="62" t="s">
        <v>420</v>
      </c>
      <c r="C938" s="63"/>
      <c r="D938" s="64"/>
      <c r="E938" s="65"/>
      <c r="F938" s="66"/>
      <c r="G938" s="63"/>
      <c r="H938" s="67"/>
      <c r="I938" s="68"/>
      <c r="J938" s="68"/>
      <c r="K938" s="32"/>
      <c r="L938" s="75">
        <v>938</v>
      </c>
      <c r="M938" s="75"/>
      <c r="N938" s="70"/>
      <c r="O938" s="77" t="s">
        <v>179</v>
      </c>
      <c r="P938" s="79">
        <v>45086.549166666664</v>
      </c>
      <c r="Q938" s="77" t="s">
        <v>1729</v>
      </c>
      <c r="R938" s="77">
        <v>0</v>
      </c>
      <c r="S938" s="77">
        <v>0</v>
      </c>
      <c r="T938" s="77">
        <v>0</v>
      </c>
      <c r="U938" s="77">
        <v>0</v>
      </c>
      <c r="V938" s="77">
        <v>9</v>
      </c>
      <c r="W938" s="82" t="s">
        <v>5438</v>
      </c>
      <c r="X938" s="80" t="str">
        <f>HYPERLINK("https://youtu.be/I-zJWjiRqTM")</f>
        <v>https://youtu.be/I-zJWjiRqTM</v>
      </c>
      <c r="Y938" s="77" t="s">
        <v>7064</v>
      </c>
      <c r="Z938" s="77"/>
      <c r="AA938" s="77"/>
      <c r="AB938" s="77"/>
      <c r="AC938" s="82" t="s">
        <v>8248</v>
      </c>
      <c r="AD938" s="77" t="s">
        <v>8278</v>
      </c>
      <c r="AE938" s="80" t="str">
        <f>HYPERLINK("https://twitter.com/noalvo3/status/1667157297980686342")</f>
        <v>https://twitter.com/noalvo3/status/1667157297980686342</v>
      </c>
      <c r="AF938" s="79">
        <v>45086.549166666664</v>
      </c>
      <c r="AG938" s="85">
        <v>45086</v>
      </c>
      <c r="AH938" s="82" t="s">
        <v>9097</v>
      </c>
      <c r="AI938" s="77" t="b">
        <v>0</v>
      </c>
      <c r="AJ938" s="77"/>
      <c r="AK938" s="77"/>
      <c r="AL938" s="77"/>
      <c r="AM938" s="77"/>
      <c r="AN938" s="77"/>
      <c r="AO938" s="77"/>
      <c r="AP938" s="77"/>
      <c r="AQ938" s="77"/>
      <c r="AR938" s="77"/>
      <c r="AS938" s="77"/>
      <c r="AT938" s="77"/>
      <c r="AU938" s="77"/>
      <c r="AV938" s="80" t="str">
        <f>HYPERLINK("https://pbs.twimg.com/profile_images/1419306919957835777/YkOLJSly_normal.jpg")</f>
        <v>https://pbs.twimg.com/profile_images/1419306919957835777/YkOLJSly_normal.jpg</v>
      </c>
      <c r="AW938" s="82" t="s">
        <v>14033</v>
      </c>
      <c r="AX938" s="82" t="s">
        <v>14033</v>
      </c>
      <c r="AY938" s="77"/>
      <c r="AZ938" s="82" t="s">
        <v>17385</v>
      </c>
      <c r="BA938" s="82" t="s">
        <v>17385</v>
      </c>
      <c r="BB938" s="82" t="s">
        <v>17385</v>
      </c>
      <c r="BC938" s="82" t="s">
        <v>14033</v>
      </c>
      <c r="BD938" s="82" t="s">
        <v>17546</v>
      </c>
      <c r="BE938" s="77"/>
      <c r="BF938" s="77"/>
      <c r="BG938" s="77"/>
      <c r="BH938" s="77"/>
      <c r="BI938" s="77"/>
    </row>
    <row r="939" spans="1:61" x14ac:dyDescent="0.25">
      <c r="A939" s="62" t="s">
        <v>420</v>
      </c>
      <c r="B939" s="62" t="s">
        <v>420</v>
      </c>
      <c r="C939" s="63"/>
      <c r="D939" s="64"/>
      <c r="E939" s="65"/>
      <c r="F939" s="66"/>
      <c r="G939" s="63"/>
      <c r="H939" s="67"/>
      <c r="I939" s="68"/>
      <c r="J939" s="68"/>
      <c r="K939" s="32"/>
      <c r="L939" s="75">
        <v>939</v>
      </c>
      <c r="M939" s="75"/>
      <c r="N939" s="70"/>
      <c r="O939" s="77" t="s">
        <v>179</v>
      </c>
      <c r="P939" s="79">
        <v>45072.434513888889</v>
      </c>
      <c r="Q939" s="77" t="s">
        <v>1730</v>
      </c>
      <c r="R939" s="77">
        <v>0</v>
      </c>
      <c r="S939" s="77">
        <v>0</v>
      </c>
      <c r="T939" s="77">
        <v>0</v>
      </c>
      <c r="U939" s="77">
        <v>0</v>
      </c>
      <c r="V939" s="77">
        <v>19</v>
      </c>
      <c r="W939" s="82" t="s">
        <v>5439</v>
      </c>
      <c r="X939" s="80" t="str">
        <f>HYPERLINK("https://youtu.be/gCBmjI5aUHA")</f>
        <v>https://youtu.be/gCBmjI5aUHA</v>
      </c>
      <c r="Y939" s="77" t="s">
        <v>7064</v>
      </c>
      <c r="Z939" s="77"/>
      <c r="AA939" s="77"/>
      <c r="AB939" s="77"/>
      <c r="AC939" s="82" t="s">
        <v>8248</v>
      </c>
      <c r="AD939" s="77" t="s">
        <v>8278</v>
      </c>
      <c r="AE939" s="80" t="str">
        <f>HYPERLINK("https://twitter.com/noalvo3/status/1662042318872928257")</f>
        <v>https://twitter.com/noalvo3/status/1662042318872928257</v>
      </c>
      <c r="AF939" s="79">
        <v>45072.434513888889</v>
      </c>
      <c r="AG939" s="85">
        <v>45072</v>
      </c>
      <c r="AH939" s="82" t="s">
        <v>9098</v>
      </c>
      <c r="AI939" s="77" t="b">
        <v>0</v>
      </c>
      <c r="AJ939" s="77"/>
      <c r="AK939" s="77"/>
      <c r="AL939" s="77"/>
      <c r="AM939" s="77"/>
      <c r="AN939" s="77"/>
      <c r="AO939" s="77"/>
      <c r="AP939" s="77"/>
      <c r="AQ939" s="77"/>
      <c r="AR939" s="77"/>
      <c r="AS939" s="77"/>
      <c r="AT939" s="77"/>
      <c r="AU939" s="77"/>
      <c r="AV939" s="80" t="str">
        <f>HYPERLINK("https://pbs.twimg.com/profile_images/1419306919957835777/YkOLJSly_normal.jpg")</f>
        <v>https://pbs.twimg.com/profile_images/1419306919957835777/YkOLJSly_normal.jpg</v>
      </c>
      <c r="AW939" s="82" t="s">
        <v>14034</v>
      </c>
      <c r="AX939" s="82" t="s">
        <v>14034</v>
      </c>
      <c r="AY939" s="77"/>
      <c r="AZ939" s="82" t="s">
        <v>17385</v>
      </c>
      <c r="BA939" s="82" t="s">
        <v>17385</v>
      </c>
      <c r="BB939" s="82" t="s">
        <v>17385</v>
      </c>
      <c r="BC939" s="82" t="s">
        <v>14034</v>
      </c>
      <c r="BD939" s="82" t="s">
        <v>17546</v>
      </c>
      <c r="BE939" s="77"/>
      <c r="BF939" s="77"/>
      <c r="BG939" s="77"/>
      <c r="BH939" s="77"/>
      <c r="BI939" s="77"/>
    </row>
    <row r="940" spans="1:61" x14ac:dyDescent="0.25">
      <c r="A940" s="62" t="s">
        <v>420</v>
      </c>
      <c r="B940" s="62" t="s">
        <v>420</v>
      </c>
      <c r="C940" s="63"/>
      <c r="D940" s="64"/>
      <c r="E940" s="65"/>
      <c r="F940" s="66"/>
      <c r="G940" s="63"/>
      <c r="H940" s="67"/>
      <c r="I940" s="68"/>
      <c r="J940" s="68"/>
      <c r="K940" s="32"/>
      <c r="L940" s="75">
        <v>940</v>
      </c>
      <c r="M940" s="75"/>
      <c r="N940" s="70"/>
      <c r="O940" s="77" t="s">
        <v>179</v>
      </c>
      <c r="P940" s="79">
        <v>45071.542129629626</v>
      </c>
      <c r="Q940" s="77" t="s">
        <v>1731</v>
      </c>
      <c r="R940" s="77">
        <v>0</v>
      </c>
      <c r="S940" s="77">
        <v>0</v>
      </c>
      <c r="T940" s="77">
        <v>0</v>
      </c>
      <c r="U940" s="77">
        <v>0</v>
      </c>
      <c r="V940" s="77">
        <v>12</v>
      </c>
      <c r="W940" s="82" t="s">
        <v>5440</v>
      </c>
      <c r="X940" s="80" t="str">
        <f>HYPERLINK("https://youtu.be/M1oUc7a0c04")</f>
        <v>https://youtu.be/M1oUc7a0c04</v>
      </c>
      <c r="Y940" s="77" t="s">
        <v>7064</v>
      </c>
      <c r="Z940" s="77"/>
      <c r="AA940" s="77"/>
      <c r="AB940" s="77"/>
      <c r="AC940" s="82" t="s">
        <v>8248</v>
      </c>
      <c r="AD940" s="77" t="s">
        <v>8278</v>
      </c>
      <c r="AE940" s="80" t="str">
        <f>HYPERLINK("https://twitter.com/noalvo3/status/1661718929788502018")</f>
        <v>https://twitter.com/noalvo3/status/1661718929788502018</v>
      </c>
      <c r="AF940" s="79">
        <v>45071.542129629626</v>
      </c>
      <c r="AG940" s="85">
        <v>45071</v>
      </c>
      <c r="AH940" s="82" t="s">
        <v>8509</v>
      </c>
      <c r="AI940" s="77" t="b">
        <v>0</v>
      </c>
      <c r="AJ940" s="77"/>
      <c r="AK940" s="77"/>
      <c r="AL940" s="77"/>
      <c r="AM940" s="77"/>
      <c r="AN940" s="77"/>
      <c r="AO940" s="77"/>
      <c r="AP940" s="77"/>
      <c r="AQ940" s="77"/>
      <c r="AR940" s="77"/>
      <c r="AS940" s="77"/>
      <c r="AT940" s="77"/>
      <c r="AU940" s="77"/>
      <c r="AV940" s="80" t="str">
        <f>HYPERLINK("https://pbs.twimg.com/profile_images/1419306919957835777/YkOLJSly_normal.jpg")</f>
        <v>https://pbs.twimg.com/profile_images/1419306919957835777/YkOLJSly_normal.jpg</v>
      </c>
      <c r="AW940" s="82" t="s">
        <v>14035</v>
      </c>
      <c r="AX940" s="82" t="s">
        <v>14035</v>
      </c>
      <c r="AY940" s="77"/>
      <c r="AZ940" s="82" t="s">
        <v>17385</v>
      </c>
      <c r="BA940" s="82" t="s">
        <v>17385</v>
      </c>
      <c r="BB940" s="82" t="s">
        <v>17385</v>
      </c>
      <c r="BC940" s="82" t="s">
        <v>14035</v>
      </c>
      <c r="BD940" s="82" t="s">
        <v>17546</v>
      </c>
      <c r="BE940" s="77"/>
      <c r="BF940" s="77"/>
      <c r="BG940" s="77"/>
      <c r="BH940" s="77"/>
      <c r="BI940" s="77"/>
    </row>
    <row r="941" spans="1:61" x14ac:dyDescent="0.25">
      <c r="A941" s="62" t="s">
        <v>420</v>
      </c>
      <c r="B941" s="62" t="s">
        <v>420</v>
      </c>
      <c r="C941" s="63"/>
      <c r="D941" s="64"/>
      <c r="E941" s="65"/>
      <c r="F941" s="66"/>
      <c r="G941" s="63"/>
      <c r="H941" s="67"/>
      <c r="I941" s="68"/>
      <c r="J941" s="68"/>
      <c r="K941" s="32"/>
      <c r="L941" s="75">
        <v>941</v>
      </c>
      <c r="M941" s="75"/>
      <c r="N941" s="70"/>
      <c r="O941" s="77" t="s">
        <v>179</v>
      </c>
      <c r="P941" s="79">
        <v>45054.393217592595</v>
      </c>
      <c r="Q941" s="77" t="s">
        <v>1732</v>
      </c>
      <c r="R941" s="77">
        <v>0</v>
      </c>
      <c r="S941" s="77">
        <v>0</v>
      </c>
      <c r="T941" s="77">
        <v>0</v>
      </c>
      <c r="U941" s="77">
        <v>0</v>
      </c>
      <c r="V941" s="77">
        <v>36</v>
      </c>
      <c r="W941" s="82" t="s">
        <v>5441</v>
      </c>
      <c r="X941" s="80" t="str">
        <f>HYPERLINK("https://youtu.be/rfw7bY9xj9M")</f>
        <v>https://youtu.be/rfw7bY9xj9M</v>
      </c>
      <c r="Y941" s="77" t="s">
        <v>7064</v>
      </c>
      <c r="Z941" s="77"/>
      <c r="AA941" s="77"/>
      <c r="AB941" s="77"/>
      <c r="AC941" s="82" t="s">
        <v>8248</v>
      </c>
      <c r="AD941" s="77" t="s">
        <v>8278</v>
      </c>
      <c r="AE941" s="80" t="str">
        <f>HYPERLINK("https://twitter.com/noalvo3/status/1655504369230520320")</f>
        <v>https://twitter.com/noalvo3/status/1655504369230520320</v>
      </c>
      <c r="AF941" s="79">
        <v>45054.393217592595</v>
      </c>
      <c r="AG941" s="85">
        <v>45054</v>
      </c>
      <c r="AH941" s="82" t="s">
        <v>9099</v>
      </c>
      <c r="AI941" s="77" t="b">
        <v>0</v>
      </c>
      <c r="AJ941" s="77"/>
      <c r="AK941" s="77"/>
      <c r="AL941" s="77"/>
      <c r="AM941" s="77"/>
      <c r="AN941" s="77"/>
      <c r="AO941" s="77"/>
      <c r="AP941" s="77"/>
      <c r="AQ941" s="77"/>
      <c r="AR941" s="77"/>
      <c r="AS941" s="77"/>
      <c r="AT941" s="77"/>
      <c r="AU941" s="77"/>
      <c r="AV941" s="80" t="str">
        <f>HYPERLINK("https://pbs.twimg.com/profile_images/1419306919957835777/YkOLJSly_normal.jpg")</f>
        <v>https://pbs.twimg.com/profile_images/1419306919957835777/YkOLJSly_normal.jpg</v>
      </c>
      <c r="AW941" s="82" t="s">
        <v>14036</v>
      </c>
      <c r="AX941" s="82" t="s">
        <v>14036</v>
      </c>
      <c r="AY941" s="77"/>
      <c r="AZ941" s="82" t="s">
        <v>17385</v>
      </c>
      <c r="BA941" s="82" t="s">
        <v>17385</v>
      </c>
      <c r="BB941" s="82" t="s">
        <v>17385</v>
      </c>
      <c r="BC941" s="82" t="s">
        <v>14036</v>
      </c>
      <c r="BD941" s="82" t="s">
        <v>17546</v>
      </c>
      <c r="BE941" s="77"/>
      <c r="BF941" s="77"/>
      <c r="BG941" s="77"/>
      <c r="BH941" s="77"/>
      <c r="BI941" s="77"/>
    </row>
    <row r="942" spans="1:61" x14ac:dyDescent="0.25">
      <c r="A942" s="62" t="s">
        <v>420</v>
      </c>
      <c r="B942" s="62" t="s">
        <v>420</v>
      </c>
      <c r="C942" s="63"/>
      <c r="D942" s="64"/>
      <c r="E942" s="65"/>
      <c r="F942" s="66"/>
      <c r="G942" s="63"/>
      <c r="H942" s="67"/>
      <c r="I942" s="68"/>
      <c r="J942" s="68"/>
      <c r="K942" s="32"/>
      <c r="L942" s="75">
        <v>942</v>
      </c>
      <c r="M942" s="75"/>
      <c r="N942" s="70"/>
      <c r="O942" s="77" t="s">
        <v>179</v>
      </c>
      <c r="P942" s="79">
        <v>45043.476122685184</v>
      </c>
      <c r="Q942" s="77" t="s">
        <v>1733</v>
      </c>
      <c r="R942" s="77">
        <v>0</v>
      </c>
      <c r="S942" s="77">
        <v>0</v>
      </c>
      <c r="T942" s="77">
        <v>0</v>
      </c>
      <c r="U942" s="77">
        <v>0</v>
      </c>
      <c r="V942" s="77">
        <v>27</v>
      </c>
      <c r="W942" s="82" t="s">
        <v>5442</v>
      </c>
      <c r="X942" s="80" t="str">
        <f>HYPERLINK("https://youtu.be/otc8ru1cxOI")</f>
        <v>https://youtu.be/otc8ru1cxOI</v>
      </c>
      <c r="Y942" s="77" t="s">
        <v>7064</v>
      </c>
      <c r="Z942" s="77"/>
      <c r="AA942" s="77"/>
      <c r="AB942" s="77"/>
      <c r="AC942" s="82" t="s">
        <v>8248</v>
      </c>
      <c r="AD942" s="77" t="s">
        <v>8278</v>
      </c>
      <c r="AE942" s="80" t="str">
        <f>HYPERLINK("https://twitter.com/noalvo3/status/1651548147150123010")</f>
        <v>https://twitter.com/noalvo3/status/1651548147150123010</v>
      </c>
      <c r="AF942" s="79">
        <v>45043.476122685184</v>
      </c>
      <c r="AG942" s="85">
        <v>45043</v>
      </c>
      <c r="AH942" s="82" t="s">
        <v>9100</v>
      </c>
      <c r="AI942" s="77" t="b">
        <v>0</v>
      </c>
      <c r="AJ942" s="77"/>
      <c r="AK942" s="77"/>
      <c r="AL942" s="77"/>
      <c r="AM942" s="77"/>
      <c r="AN942" s="77"/>
      <c r="AO942" s="77"/>
      <c r="AP942" s="77"/>
      <c r="AQ942" s="77"/>
      <c r="AR942" s="77"/>
      <c r="AS942" s="77"/>
      <c r="AT942" s="77"/>
      <c r="AU942" s="77"/>
      <c r="AV942" s="80" t="str">
        <f>HYPERLINK("https://pbs.twimg.com/profile_images/1419306919957835777/YkOLJSly_normal.jpg")</f>
        <v>https://pbs.twimg.com/profile_images/1419306919957835777/YkOLJSly_normal.jpg</v>
      </c>
      <c r="AW942" s="82" t="s">
        <v>14037</v>
      </c>
      <c r="AX942" s="82" t="s">
        <v>14037</v>
      </c>
      <c r="AY942" s="77"/>
      <c r="AZ942" s="82" t="s">
        <v>17385</v>
      </c>
      <c r="BA942" s="82" t="s">
        <v>17385</v>
      </c>
      <c r="BB942" s="82" t="s">
        <v>17385</v>
      </c>
      <c r="BC942" s="82" t="s">
        <v>14037</v>
      </c>
      <c r="BD942" s="82" t="s">
        <v>17546</v>
      </c>
      <c r="BE942" s="77"/>
      <c r="BF942" s="77"/>
      <c r="BG942" s="77"/>
      <c r="BH942" s="77"/>
      <c r="BI942" s="77"/>
    </row>
    <row r="943" spans="1:61" x14ac:dyDescent="0.25">
      <c r="A943" s="62" t="s">
        <v>420</v>
      </c>
      <c r="B943" s="62" t="s">
        <v>420</v>
      </c>
      <c r="C943" s="63"/>
      <c r="D943" s="64"/>
      <c r="E943" s="65"/>
      <c r="F943" s="66"/>
      <c r="G943" s="63"/>
      <c r="H943" s="67"/>
      <c r="I943" s="68"/>
      <c r="J943" s="68"/>
      <c r="K943" s="32"/>
      <c r="L943" s="75">
        <v>943</v>
      </c>
      <c r="M943" s="75"/>
      <c r="N943" s="70"/>
      <c r="O943" s="77" t="s">
        <v>179</v>
      </c>
      <c r="P943" s="79">
        <v>45043.435787037037</v>
      </c>
      <c r="Q943" s="77" t="s">
        <v>1734</v>
      </c>
      <c r="R943" s="77">
        <v>0</v>
      </c>
      <c r="S943" s="77">
        <v>0</v>
      </c>
      <c r="T943" s="77">
        <v>0</v>
      </c>
      <c r="U943" s="77">
        <v>0</v>
      </c>
      <c r="V943" s="77">
        <v>13</v>
      </c>
      <c r="W943" s="82" t="s">
        <v>5436</v>
      </c>
      <c r="X943" s="80" t="str">
        <f>HYPERLINK("https://youtu.be/j1b_xyp0vHg")</f>
        <v>https://youtu.be/j1b_xyp0vHg</v>
      </c>
      <c r="Y943" s="77" t="s">
        <v>7064</v>
      </c>
      <c r="Z943" s="77"/>
      <c r="AA943" s="77"/>
      <c r="AB943" s="77"/>
      <c r="AC943" s="82" t="s">
        <v>8248</v>
      </c>
      <c r="AD943" s="77" t="s">
        <v>8278</v>
      </c>
      <c r="AE943" s="80" t="str">
        <f>HYPERLINK("https://twitter.com/noalvo3/status/1651533531133165570")</f>
        <v>https://twitter.com/noalvo3/status/1651533531133165570</v>
      </c>
      <c r="AF943" s="79">
        <v>45043.435787037037</v>
      </c>
      <c r="AG943" s="85">
        <v>45043</v>
      </c>
      <c r="AH943" s="82" t="s">
        <v>9101</v>
      </c>
      <c r="AI943" s="77" t="b">
        <v>0</v>
      </c>
      <c r="AJ943" s="77"/>
      <c r="AK943" s="77"/>
      <c r="AL943" s="77"/>
      <c r="AM943" s="77"/>
      <c r="AN943" s="77"/>
      <c r="AO943" s="77"/>
      <c r="AP943" s="77"/>
      <c r="AQ943" s="77"/>
      <c r="AR943" s="77"/>
      <c r="AS943" s="77"/>
      <c r="AT943" s="77"/>
      <c r="AU943" s="77"/>
      <c r="AV943" s="80" t="str">
        <f>HYPERLINK("https://pbs.twimg.com/profile_images/1419306919957835777/YkOLJSly_normal.jpg")</f>
        <v>https://pbs.twimg.com/profile_images/1419306919957835777/YkOLJSly_normal.jpg</v>
      </c>
      <c r="AW943" s="82" t="s">
        <v>14038</v>
      </c>
      <c r="AX943" s="82" t="s">
        <v>14038</v>
      </c>
      <c r="AY943" s="77"/>
      <c r="AZ943" s="82" t="s">
        <v>17385</v>
      </c>
      <c r="BA943" s="82" t="s">
        <v>17385</v>
      </c>
      <c r="BB943" s="82" t="s">
        <v>17385</v>
      </c>
      <c r="BC943" s="82" t="s">
        <v>14038</v>
      </c>
      <c r="BD943" s="82" t="s">
        <v>17546</v>
      </c>
      <c r="BE943" s="77"/>
      <c r="BF943" s="77"/>
      <c r="BG943" s="77"/>
      <c r="BH943" s="77"/>
      <c r="BI943" s="77"/>
    </row>
    <row r="944" spans="1:61" x14ac:dyDescent="0.25">
      <c r="A944" s="62" t="s">
        <v>420</v>
      </c>
      <c r="B944" s="62" t="s">
        <v>420</v>
      </c>
      <c r="C944" s="63"/>
      <c r="D944" s="64"/>
      <c r="E944" s="65"/>
      <c r="F944" s="66"/>
      <c r="G944" s="63"/>
      <c r="H944" s="67"/>
      <c r="I944" s="68"/>
      <c r="J944" s="68"/>
      <c r="K944" s="32"/>
      <c r="L944" s="75">
        <v>944</v>
      </c>
      <c r="M944" s="75"/>
      <c r="N944" s="70"/>
      <c r="O944" s="77" t="s">
        <v>179</v>
      </c>
      <c r="P944" s="79">
        <v>45096.50712962963</v>
      </c>
      <c r="Q944" s="77" t="s">
        <v>1735</v>
      </c>
      <c r="R944" s="77">
        <v>0</v>
      </c>
      <c r="S944" s="77">
        <v>0</v>
      </c>
      <c r="T944" s="77">
        <v>0</v>
      </c>
      <c r="U944" s="77">
        <v>0</v>
      </c>
      <c r="V944" s="77">
        <v>74</v>
      </c>
      <c r="W944" s="82" t="s">
        <v>5443</v>
      </c>
      <c r="X944" s="80" t="str">
        <f>HYPERLINK("https://youtu.be/Sg33McaXgSM")</f>
        <v>https://youtu.be/Sg33McaXgSM</v>
      </c>
      <c r="Y944" s="77" t="s">
        <v>7064</v>
      </c>
      <c r="Z944" s="77"/>
      <c r="AA944" s="77"/>
      <c r="AB944" s="77"/>
      <c r="AC944" s="82" t="s">
        <v>8248</v>
      </c>
      <c r="AD944" s="77" t="s">
        <v>8278</v>
      </c>
      <c r="AE944" s="80" t="str">
        <f>HYPERLINK("https://twitter.com/noalvo3/status/1670765941368471553")</f>
        <v>https://twitter.com/noalvo3/status/1670765941368471553</v>
      </c>
      <c r="AF944" s="79">
        <v>45096.50712962963</v>
      </c>
      <c r="AG944" s="85">
        <v>45096</v>
      </c>
      <c r="AH944" s="82" t="s">
        <v>9102</v>
      </c>
      <c r="AI944" s="77" t="b">
        <v>0</v>
      </c>
      <c r="AJ944" s="77"/>
      <c r="AK944" s="77"/>
      <c r="AL944" s="77"/>
      <c r="AM944" s="77"/>
      <c r="AN944" s="77"/>
      <c r="AO944" s="77"/>
      <c r="AP944" s="77"/>
      <c r="AQ944" s="77"/>
      <c r="AR944" s="77"/>
      <c r="AS944" s="77"/>
      <c r="AT944" s="77"/>
      <c r="AU944" s="77"/>
      <c r="AV944" s="80" t="str">
        <f>HYPERLINK("https://pbs.twimg.com/profile_images/1419306919957835777/YkOLJSly_normal.jpg")</f>
        <v>https://pbs.twimg.com/profile_images/1419306919957835777/YkOLJSly_normal.jpg</v>
      </c>
      <c r="AW944" s="82" t="s">
        <v>14039</v>
      </c>
      <c r="AX944" s="82" t="s">
        <v>14039</v>
      </c>
      <c r="AY944" s="77"/>
      <c r="AZ944" s="82" t="s">
        <v>17385</v>
      </c>
      <c r="BA944" s="82" t="s">
        <v>17385</v>
      </c>
      <c r="BB944" s="82" t="s">
        <v>17385</v>
      </c>
      <c r="BC944" s="82" t="s">
        <v>14039</v>
      </c>
      <c r="BD944" s="82" t="s">
        <v>17546</v>
      </c>
      <c r="BE944" s="77"/>
      <c r="BF944" s="77"/>
      <c r="BG944" s="77"/>
      <c r="BH944" s="77"/>
      <c r="BI944" s="77"/>
    </row>
    <row r="945" spans="1:61" x14ac:dyDescent="0.25">
      <c r="A945" s="62" t="s">
        <v>420</v>
      </c>
      <c r="B945" s="62" t="s">
        <v>420</v>
      </c>
      <c r="C945" s="63"/>
      <c r="D945" s="64"/>
      <c r="E945" s="65"/>
      <c r="F945" s="66"/>
      <c r="G945" s="63"/>
      <c r="H945" s="67"/>
      <c r="I945" s="68"/>
      <c r="J945" s="68"/>
      <c r="K945" s="32"/>
      <c r="L945" s="75">
        <v>945</v>
      </c>
      <c r="M945" s="75"/>
      <c r="N945" s="70"/>
      <c r="O945" s="77" t="s">
        <v>179</v>
      </c>
      <c r="P945" s="79">
        <v>45089.410578703704</v>
      </c>
      <c r="Q945" s="77" t="s">
        <v>1736</v>
      </c>
      <c r="R945" s="77">
        <v>0</v>
      </c>
      <c r="S945" s="77">
        <v>0</v>
      </c>
      <c r="T945" s="77">
        <v>0</v>
      </c>
      <c r="U945" s="77">
        <v>0</v>
      </c>
      <c r="V945" s="77">
        <v>62</v>
      </c>
      <c r="W945" s="82" t="s">
        <v>5444</v>
      </c>
      <c r="X945" s="80" t="str">
        <f>HYPERLINK("https://youtu.be/fkeGdG_KZ9Q")</f>
        <v>https://youtu.be/fkeGdG_KZ9Q</v>
      </c>
      <c r="Y945" s="77" t="s">
        <v>7064</v>
      </c>
      <c r="Z945" s="77"/>
      <c r="AA945" s="77"/>
      <c r="AB945" s="77"/>
      <c r="AC945" s="82" t="s">
        <v>8248</v>
      </c>
      <c r="AD945" s="77" t="s">
        <v>8278</v>
      </c>
      <c r="AE945" s="80" t="str">
        <f>HYPERLINK("https://twitter.com/noalvo3/status/1668194237928570881")</f>
        <v>https://twitter.com/noalvo3/status/1668194237928570881</v>
      </c>
      <c r="AF945" s="79">
        <v>45089.410578703704</v>
      </c>
      <c r="AG945" s="85">
        <v>45089</v>
      </c>
      <c r="AH945" s="82" t="s">
        <v>9103</v>
      </c>
      <c r="AI945" s="77" t="b">
        <v>0</v>
      </c>
      <c r="AJ945" s="77"/>
      <c r="AK945" s="77"/>
      <c r="AL945" s="77"/>
      <c r="AM945" s="77"/>
      <c r="AN945" s="77"/>
      <c r="AO945" s="77"/>
      <c r="AP945" s="77"/>
      <c r="AQ945" s="77"/>
      <c r="AR945" s="77"/>
      <c r="AS945" s="77"/>
      <c r="AT945" s="77"/>
      <c r="AU945" s="77"/>
      <c r="AV945" s="80" t="str">
        <f>HYPERLINK("https://pbs.twimg.com/profile_images/1419306919957835777/YkOLJSly_normal.jpg")</f>
        <v>https://pbs.twimg.com/profile_images/1419306919957835777/YkOLJSly_normal.jpg</v>
      </c>
      <c r="AW945" s="82" t="s">
        <v>14040</v>
      </c>
      <c r="AX945" s="82" t="s">
        <v>14040</v>
      </c>
      <c r="AY945" s="77"/>
      <c r="AZ945" s="82" t="s">
        <v>17385</v>
      </c>
      <c r="BA945" s="82" t="s">
        <v>17385</v>
      </c>
      <c r="BB945" s="82" t="s">
        <v>17385</v>
      </c>
      <c r="BC945" s="82" t="s">
        <v>14040</v>
      </c>
      <c r="BD945" s="82" t="s">
        <v>17546</v>
      </c>
      <c r="BE945" s="77"/>
      <c r="BF945" s="77"/>
      <c r="BG945" s="77"/>
      <c r="BH945" s="77"/>
      <c r="BI945" s="77"/>
    </row>
    <row r="946" spans="1:61" x14ac:dyDescent="0.25">
      <c r="A946" s="62" t="s">
        <v>420</v>
      </c>
      <c r="B946" s="62" t="s">
        <v>420</v>
      </c>
      <c r="C946" s="63"/>
      <c r="D946" s="64"/>
      <c r="E946" s="65"/>
      <c r="F946" s="66"/>
      <c r="G946" s="63"/>
      <c r="H946" s="67"/>
      <c r="I946" s="68"/>
      <c r="J946" s="68"/>
      <c r="K946" s="32"/>
      <c r="L946" s="75">
        <v>946</v>
      </c>
      <c r="M946" s="75"/>
      <c r="N946" s="70"/>
      <c r="O946" s="77" t="s">
        <v>179</v>
      </c>
      <c r="P946" s="79">
        <v>45088.736331018517</v>
      </c>
      <c r="Q946" s="77" t="s">
        <v>1737</v>
      </c>
      <c r="R946" s="77">
        <v>0</v>
      </c>
      <c r="S946" s="77">
        <v>0</v>
      </c>
      <c r="T946" s="77">
        <v>0</v>
      </c>
      <c r="U946" s="77">
        <v>0</v>
      </c>
      <c r="V946" s="77">
        <v>50</v>
      </c>
      <c r="W946" s="82" t="s">
        <v>5432</v>
      </c>
      <c r="X946" s="80" t="str">
        <f>HYPERLINK("https://youtu.be/RDuL08TRRa0")</f>
        <v>https://youtu.be/RDuL08TRRa0</v>
      </c>
      <c r="Y946" s="77" t="s">
        <v>7064</v>
      </c>
      <c r="Z946" s="77"/>
      <c r="AA946" s="77"/>
      <c r="AB946" s="77"/>
      <c r="AC946" s="82" t="s">
        <v>8248</v>
      </c>
      <c r="AD946" s="77" t="s">
        <v>8278</v>
      </c>
      <c r="AE946" s="80" t="str">
        <f>HYPERLINK("https://twitter.com/noalvo3/status/1667949896983273473")</f>
        <v>https://twitter.com/noalvo3/status/1667949896983273473</v>
      </c>
      <c r="AF946" s="79">
        <v>45088.736331018517</v>
      </c>
      <c r="AG946" s="85">
        <v>45088</v>
      </c>
      <c r="AH946" s="82" t="s">
        <v>9104</v>
      </c>
      <c r="AI946" s="77" t="b">
        <v>0</v>
      </c>
      <c r="AJ946" s="77"/>
      <c r="AK946" s="77"/>
      <c r="AL946" s="77"/>
      <c r="AM946" s="77"/>
      <c r="AN946" s="77"/>
      <c r="AO946" s="77"/>
      <c r="AP946" s="77"/>
      <c r="AQ946" s="77"/>
      <c r="AR946" s="77"/>
      <c r="AS946" s="77"/>
      <c r="AT946" s="77"/>
      <c r="AU946" s="77"/>
      <c r="AV946" s="80" t="str">
        <f>HYPERLINK("https://pbs.twimg.com/profile_images/1419306919957835777/YkOLJSly_normal.jpg")</f>
        <v>https://pbs.twimg.com/profile_images/1419306919957835777/YkOLJSly_normal.jpg</v>
      </c>
      <c r="AW946" s="82" t="s">
        <v>14041</v>
      </c>
      <c r="AX946" s="82" t="s">
        <v>14041</v>
      </c>
      <c r="AY946" s="77"/>
      <c r="AZ946" s="82" t="s">
        <v>17385</v>
      </c>
      <c r="BA946" s="82" t="s">
        <v>17385</v>
      </c>
      <c r="BB946" s="82" t="s">
        <v>17385</v>
      </c>
      <c r="BC946" s="82" t="s">
        <v>14041</v>
      </c>
      <c r="BD946" s="82" t="s">
        <v>17546</v>
      </c>
      <c r="BE946" s="77"/>
      <c r="BF946" s="77"/>
      <c r="BG946" s="77"/>
      <c r="BH946" s="77"/>
      <c r="BI946" s="77"/>
    </row>
    <row r="947" spans="1:61" x14ac:dyDescent="0.25">
      <c r="A947" s="62" t="s">
        <v>420</v>
      </c>
      <c r="B947" s="62" t="s">
        <v>420</v>
      </c>
      <c r="C947" s="63"/>
      <c r="D947" s="64"/>
      <c r="E947" s="65"/>
      <c r="F947" s="66"/>
      <c r="G947" s="63"/>
      <c r="H947" s="67"/>
      <c r="I947" s="68"/>
      <c r="J947" s="68"/>
      <c r="K947" s="32"/>
      <c r="L947" s="75">
        <v>947</v>
      </c>
      <c r="M947" s="75"/>
      <c r="N947" s="70"/>
      <c r="O947" s="77" t="s">
        <v>179</v>
      </c>
      <c r="P947" s="79">
        <v>45078.410231481481</v>
      </c>
      <c r="Q947" s="77" t="s">
        <v>1738</v>
      </c>
      <c r="R947" s="77">
        <v>0</v>
      </c>
      <c r="S947" s="77">
        <v>0</v>
      </c>
      <c r="T947" s="77">
        <v>0</v>
      </c>
      <c r="U947" s="77">
        <v>0</v>
      </c>
      <c r="V947" s="77">
        <v>83</v>
      </c>
      <c r="W947" s="82" t="s">
        <v>5445</v>
      </c>
      <c r="X947" s="80" t="str">
        <f>HYPERLINK("https://youtu.be/syP6pDY3j0Q")</f>
        <v>https://youtu.be/syP6pDY3j0Q</v>
      </c>
      <c r="Y947" s="77" t="s">
        <v>7064</v>
      </c>
      <c r="Z947" s="77"/>
      <c r="AA947" s="77"/>
      <c r="AB947" s="77"/>
      <c r="AC947" s="82" t="s">
        <v>8248</v>
      </c>
      <c r="AD947" s="77" t="s">
        <v>8278</v>
      </c>
      <c r="AE947" s="80" t="str">
        <f>HYPERLINK("https://twitter.com/noalvo3/status/1664207846236463105")</f>
        <v>https://twitter.com/noalvo3/status/1664207846236463105</v>
      </c>
      <c r="AF947" s="79">
        <v>45078.410231481481</v>
      </c>
      <c r="AG947" s="85">
        <v>45078</v>
      </c>
      <c r="AH947" s="82" t="s">
        <v>9105</v>
      </c>
      <c r="AI947" s="77" t="b">
        <v>0</v>
      </c>
      <c r="AJ947" s="77"/>
      <c r="AK947" s="77"/>
      <c r="AL947" s="77"/>
      <c r="AM947" s="77"/>
      <c r="AN947" s="77"/>
      <c r="AO947" s="77"/>
      <c r="AP947" s="77"/>
      <c r="AQ947" s="77"/>
      <c r="AR947" s="77"/>
      <c r="AS947" s="77"/>
      <c r="AT947" s="77"/>
      <c r="AU947" s="77"/>
      <c r="AV947" s="80" t="str">
        <f>HYPERLINK("https://pbs.twimg.com/profile_images/1419306919957835777/YkOLJSly_normal.jpg")</f>
        <v>https://pbs.twimg.com/profile_images/1419306919957835777/YkOLJSly_normal.jpg</v>
      </c>
      <c r="AW947" s="82" t="s">
        <v>14042</v>
      </c>
      <c r="AX947" s="82" t="s">
        <v>14042</v>
      </c>
      <c r="AY947" s="77"/>
      <c r="AZ947" s="82" t="s">
        <v>17385</v>
      </c>
      <c r="BA947" s="82" t="s">
        <v>17385</v>
      </c>
      <c r="BB947" s="82" t="s">
        <v>17385</v>
      </c>
      <c r="BC947" s="82" t="s">
        <v>14042</v>
      </c>
      <c r="BD947" s="82" t="s">
        <v>17546</v>
      </c>
      <c r="BE947" s="77"/>
      <c r="BF947" s="77"/>
      <c r="BG947" s="77"/>
      <c r="BH947" s="77"/>
      <c r="BI947" s="77"/>
    </row>
    <row r="948" spans="1:61" x14ac:dyDescent="0.25">
      <c r="A948" s="62" t="s">
        <v>420</v>
      </c>
      <c r="B948" s="62" t="s">
        <v>420</v>
      </c>
      <c r="C948" s="63"/>
      <c r="D948" s="64"/>
      <c r="E948" s="65"/>
      <c r="F948" s="66"/>
      <c r="G948" s="63"/>
      <c r="H948" s="67"/>
      <c r="I948" s="68"/>
      <c r="J948" s="68"/>
      <c r="K948" s="32"/>
      <c r="L948" s="75">
        <v>948</v>
      </c>
      <c r="M948" s="75"/>
      <c r="N948" s="70"/>
      <c r="O948" s="77" t="s">
        <v>179</v>
      </c>
      <c r="P948" s="79">
        <v>45062.522175925929</v>
      </c>
      <c r="Q948" s="77" t="s">
        <v>1739</v>
      </c>
      <c r="R948" s="77">
        <v>0</v>
      </c>
      <c r="S948" s="77">
        <v>0</v>
      </c>
      <c r="T948" s="77">
        <v>0</v>
      </c>
      <c r="U948" s="77">
        <v>0</v>
      </c>
      <c r="V948" s="77">
        <v>73</v>
      </c>
      <c r="W948" s="82" t="s">
        <v>5446</v>
      </c>
      <c r="X948" s="80" t="str">
        <f>HYPERLINK("https://youtu.be/J5GeXkoWLZ8")</f>
        <v>https://youtu.be/J5GeXkoWLZ8</v>
      </c>
      <c r="Y948" s="77" t="s">
        <v>7064</v>
      </c>
      <c r="Z948" s="77"/>
      <c r="AA948" s="77"/>
      <c r="AB948" s="77"/>
      <c r="AC948" s="82" t="s">
        <v>8248</v>
      </c>
      <c r="AD948" s="77" t="s">
        <v>8278</v>
      </c>
      <c r="AE948" s="80" t="str">
        <f>HYPERLINK("https://twitter.com/noalvo3/status/1658450207309176835")</f>
        <v>https://twitter.com/noalvo3/status/1658450207309176835</v>
      </c>
      <c r="AF948" s="79">
        <v>45062.522175925929</v>
      </c>
      <c r="AG948" s="85">
        <v>45062</v>
      </c>
      <c r="AH948" s="82" t="s">
        <v>9106</v>
      </c>
      <c r="AI948" s="77" t="b">
        <v>0</v>
      </c>
      <c r="AJ948" s="77"/>
      <c r="AK948" s="77"/>
      <c r="AL948" s="77"/>
      <c r="AM948" s="77"/>
      <c r="AN948" s="77"/>
      <c r="AO948" s="77"/>
      <c r="AP948" s="77"/>
      <c r="AQ948" s="77"/>
      <c r="AR948" s="77"/>
      <c r="AS948" s="77"/>
      <c r="AT948" s="77"/>
      <c r="AU948" s="77"/>
      <c r="AV948" s="80" t="str">
        <f>HYPERLINK("https://pbs.twimg.com/profile_images/1419306919957835777/YkOLJSly_normal.jpg")</f>
        <v>https://pbs.twimg.com/profile_images/1419306919957835777/YkOLJSly_normal.jpg</v>
      </c>
      <c r="AW948" s="82" t="s">
        <v>14043</v>
      </c>
      <c r="AX948" s="82" t="s">
        <v>14043</v>
      </c>
      <c r="AY948" s="77"/>
      <c r="AZ948" s="82" t="s">
        <v>17385</v>
      </c>
      <c r="BA948" s="82" t="s">
        <v>17385</v>
      </c>
      <c r="BB948" s="82" t="s">
        <v>17385</v>
      </c>
      <c r="BC948" s="82" t="s">
        <v>14043</v>
      </c>
      <c r="BD948" s="82" t="s">
        <v>17546</v>
      </c>
      <c r="BE948" s="77"/>
      <c r="BF948" s="77"/>
      <c r="BG948" s="77"/>
      <c r="BH948" s="77"/>
      <c r="BI948" s="77"/>
    </row>
    <row r="949" spans="1:61" x14ac:dyDescent="0.25">
      <c r="A949" s="62" t="s">
        <v>420</v>
      </c>
      <c r="B949" s="62" t="s">
        <v>420</v>
      </c>
      <c r="C949" s="63"/>
      <c r="D949" s="64"/>
      <c r="E949" s="65"/>
      <c r="F949" s="66"/>
      <c r="G949" s="63"/>
      <c r="H949" s="67"/>
      <c r="I949" s="68"/>
      <c r="J949" s="68"/>
      <c r="K949" s="32"/>
      <c r="L949" s="75">
        <v>949</v>
      </c>
      <c r="M949" s="75"/>
      <c r="N949" s="70"/>
      <c r="O949" s="77" t="s">
        <v>179</v>
      </c>
      <c r="P949" s="79">
        <v>45100.448414351849</v>
      </c>
      <c r="Q949" s="77" t="s">
        <v>1740</v>
      </c>
      <c r="R949" s="77">
        <v>0</v>
      </c>
      <c r="S949" s="77">
        <v>0</v>
      </c>
      <c r="T949" s="77">
        <v>0</v>
      </c>
      <c r="U949" s="77">
        <v>0</v>
      </c>
      <c r="V949" s="77">
        <v>23</v>
      </c>
      <c r="W949" s="82" t="s">
        <v>5447</v>
      </c>
      <c r="X949" s="80" t="str">
        <f>HYPERLINK("https://youtu.be/FC3KuOIsdxo")</f>
        <v>https://youtu.be/FC3KuOIsdxo</v>
      </c>
      <c r="Y949" s="77" t="s">
        <v>7064</v>
      </c>
      <c r="Z949" s="77"/>
      <c r="AA949" s="77"/>
      <c r="AB949" s="77"/>
      <c r="AC949" s="82" t="s">
        <v>8248</v>
      </c>
      <c r="AD949" s="77" t="s">
        <v>8278</v>
      </c>
      <c r="AE949" s="80" t="str">
        <f>HYPERLINK("https://twitter.com/noalvo3/status/1672194214266908672")</f>
        <v>https://twitter.com/noalvo3/status/1672194214266908672</v>
      </c>
      <c r="AF949" s="79">
        <v>45100.448414351849</v>
      </c>
      <c r="AG949" s="85">
        <v>45100</v>
      </c>
      <c r="AH949" s="82" t="s">
        <v>9107</v>
      </c>
      <c r="AI949" s="77" t="b">
        <v>0</v>
      </c>
      <c r="AJ949" s="77"/>
      <c r="AK949" s="77"/>
      <c r="AL949" s="77"/>
      <c r="AM949" s="77"/>
      <c r="AN949" s="77"/>
      <c r="AO949" s="77"/>
      <c r="AP949" s="77"/>
      <c r="AQ949" s="77"/>
      <c r="AR949" s="77"/>
      <c r="AS949" s="77"/>
      <c r="AT949" s="77"/>
      <c r="AU949" s="77"/>
      <c r="AV949" s="80" t="str">
        <f>HYPERLINK("https://pbs.twimg.com/profile_images/1419306919957835777/YkOLJSly_normal.jpg")</f>
        <v>https://pbs.twimg.com/profile_images/1419306919957835777/YkOLJSly_normal.jpg</v>
      </c>
      <c r="AW949" s="82" t="s">
        <v>14044</v>
      </c>
      <c r="AX949" s="82" t="s">
        <v>14044</v>
      </c>
      <c r="AY949" s="77"/>
      <c r="AZ949" s="82" t="s">
        <v>17385</v>
      </c>
      <c r="BA949" s="82" t="s">
        <v>17385</v>
      </c>
      <c r="BB949" s="82" t="s">
        <v>17385</v>
      </c>
      <c r="BC949" s="82" t="s">
        <v>14044</v>
      </c>
      <c r="BD949" s="82" t="s">
        <v>17546</v>
      </c>
      <c r="BE949" s="77"/>
      <c r="BF949" s="77"/>
      <c r="BG949" s="77"/>
      <c r="BH949" s="77"/>
      <c r="BI949" s="77"/>
    </row>
    <row r="950" spans="1:61" x14ac:dyDescent="0.25">
      <c r="A950" s="62" t="s">
        <v>420</v>
      </c>
      <c r="B950" s="62" t="s">
        <v>420</v>
      </c>
      <c r="C950" s="63"/>
      <c r="D950" s="64"/>
      <c r="E950" s="65"/>
      <c r="F950" s="66"/>
      <c r="G950" s="63"/>
      <c r="H950" s="67"/>
      <c r="I950" s="68"/>
      <c r="J950" s="68"/>
      <c r="K950" s="32"/>
      <c r="L950" s="75">
        <v>950</v>
      </c>
      <c r="M950" s="75"/>
      <c r="N950" s="70"/>
      <c r="O950" s="77" t="s">
        <v>179</v>
      </c>
      <c r="P950" s="79">
        <v>45099.403460648151</v>
      </c>
      <c r="Q950" s="77" t="s">
        <v>1741</v>
      </c>
      <c r="R950" s="77">
        <v>0</v>
      </c>
      <c r="S950" s="77">
        <v>0</v>
      </c>
      <c r="T950" s="77">
        <v>0</v>
      </c>
      <c r="U950" s="77">
        <v>0</v>
      </c>
      <c r="V950" s="77">
        <v>43</v>
      </c>
      <c r="W950" s="82" t="s">
        <v>5443</v>
      </c>
      <c r="X950" s="80" t="str">
        <f>HYPERLINK("https://youtu.be/e1AJ2O7Nb2g")</f>
        <v>https://youtu.be/e1AJ2O7Nb2g</v>
      </c>
      <c r="Y950" s="77" t="s">
        <v>7064</v>
      </c>
      <c r="Z950" s="77"/>
      <c r="AA950" s="77"/>
      <c r="AB950" s="77"/>
      <c r="AC950" s="82" t="s">
        <v>8248</v>
      </c>
      <c r="AD950" s="77" t="s">
        <v>8278</v>
      </c>
      <c r="AE950" s="80" t="str">
        <f>HYPERLINK("https://twitter.com/noalvo3/status/1671815537389707264")</f>
        <v>https://twitter.com/noalvo3/status/1671815537389707264</v>
      </c>
      <c r="AF950" s="79">
        <v>45099.403460648151</v>
      </c>
      <c r="AG950" s="85">
        <v>45099</v>
      </c>
      <c r="AH950" s="82" t="s">
        <v>9108</v>
      </c>
      <c r="AI950" s="77" t="b">
        <v>0</v>
      </c>
      <c r="AJ950" s="77"/>
      <c r="AK950" s="77"/>
      <c r="AL950" s="77"/>
      <c r="AM950" s="77"/>
      <c r="AN950" s="77"/>
      <c r="AO950" s="77"/>
      <c r="AP950" s="77"/>
      <c r="AQ950" s="77"/>
      <c r="AR950" s="77"/>
      <c r="AS950" s="77"/>
      <c r="AT950" s="77"/>
      <c r="AU950" s="77"/>
      <c r="AV950" s="80" t="str">
        <f>HYPERLINK("https://pbs.twimg.com/profile_images/1419306919957835777/YkOLJSly_normal.jpg")</f>
        <v>https://pbs.twimg.com/profile_images/1419306919957835777/YkOLJSly_normal.jpg</v>
      </c>
      <c r="AW950" s="82" t="s">
        <v>14045</v>
      </c>
      <c r="AX950" s="82" t="s">
        <v>14045</v>
      </c>
      <c r="AY950" s="77"/>
      <c r="AZ950" s="82" t="s">
        <v>17385</v>
      </c>
      <c r="BA950" s="82" t="s">
        <v>17385</v>
      </c>
      <c r="BB950" s="82" t="s">
        <v>17385</v>
      </c>
      <c r="BC950" s="82" t="s">
        <v>14045</v>
      </c>
      <c r="BD950" s="82" t="s">
        <v>17546</v>
      </c>
      <c r="BE950" s="77"/>
      <c r="BF950" s="77"/>
      <c r="BG950" s="77"/>
      <c r="BH950" s="77"/>
      <c r="BI950" s="77"/>
    </row>
    <row r="951" spans="1:61" x14ac:dyDescent="0.25">
      <c r="A951" s="62" t="s">
        <v>420</v>
      </c>
      <c r="B951" s="62" t="s">
        <v>420</v>
      </c>
      <c r="C951" s="63"/>
      <c r="D951" s="64"/>
      <c r="E951" s="65"/>
      <c r="F951" s="66"/>
      <c r="G951" s="63"/>
      <c r="H951" s="67"/>
      <c r="I951" s="68"/>
      <c r="J951" s="68"/>
      <c r="K951" s="32"/>
      <c r="L951" s="75">
        <v>951</v>
      </c>
      <c r="M951" s="75"/>
      <c r="N951" s="70"/>
      <c r="O951" s="77" t="s">
        <v>179</v>
      </c>
      <c r="P951" s="79">
        <v>45061.417314814818</v>
      </c>
      <c r="Q951" s="77" t="s">
        <v>1742</v>
      </c>
      <c r="R951" s="77">
        <v>0</v>
      </c>
      <c r="S951" s="77">
        <v>0</v>
      </c>
      <c r="T951" s="77">
        <v>0</v>
      </c>
      <c r="U951" s="77">
        <v>0</v>
      </c>
      <c r="V951" s="77">
        <v>58</v>
      </c>
      <c r="W951" s="82" t="s">
        <v>5448</v>
      </c>
      <c r="X951" s="80" t="str">
        <f>HYPERLINK("https://youtu.be/Y8WP03a9uz0")</f>
        <v>https://youtu.be/Y8WP03a9uz0</v>
      </c>
      <c r="Y951" s="77" t="s">
        <v>7064</v>
      </c>
      <c r="Z951" s="77"/>
      <c r="AA951" s="77"/>
      <c r="AB951" s="77"/>
      <c r="AC951" s="82" t="s">
        <v>8248</v>
      </c>
      <c r="AD951" s="77" t="s">
        <v>8278</v>
      </c>
      <c r="AE951" s="80" t="str">
        <f>HYPERLINK("https://twitter.com/noalvo3/status/1658049820739928064")</f>
        <v>https://twitter.com/noalvo3/status/1658049820739928064</v>
      </c>
      <c r="AF951" s="79">
        <v>45061.417314814818</v>
      </c>
      <c r="AG951" s="85">
        <v>45061</v>
      </c>
      <c r="AH951" s="82" t="s">
        <v>9109</v>
      </c>
      <c r="AI951" s="77" t="b">
        <v>0</v>
      </c>
      <c r="AJ951" s="77"/>
      <c r="AK951" s="77"/>
      <c r="AL951" s="77"/>
      <c r="AM951" s="77"/>
      <c r="AN951" s="77"/>
      <c r="AO951" s="77"/>
      <c r="AP951" s="77"/>
      <c r="AQ951" s="77"/>
      <c r="AR951" s="77"/>
      <c r="AS951" s="77"/>
      <c r="AT951" s="77"/>
      <c r="AU951" s="77"/>
      <c r="AV951" s="80" t="str">
        <f>HYPERLINK("https://pbs.twimg.com/profile_images/1419306919957835777/YkOLJSly_normal.jpg")</f>
        <v>https://pbs.twimg.com/profile_images/1419306919957835777/YkOLJSly_normal.jpg</v>
      </c>
      <c r="AW951" s="82" t="s">
        <v>14046</v>
      </c>
      <c r="AX951" s="82" t="s">
        <v>14046</v>
      </c>
      <c r="AY951" s="77"/>
      <c r="AZ951" s="82" t="s">
        <v>17385</v>
      </c>
      <c r="BA951" s="82" t="s">
        <v>17385</v>
      </c>
      <c r="BB951" s="82" t="s">
        <v>17385</v>
      </c>
      <c r="BC951" s="82" t="s">
        <v>14046</v>
      </c>
      <c r="BD951" s="82" t="s">
        <v>17546</v>
      </c>
      <c r="BE951" s="77"/>
      <c r="BF951" s="77"/>
      <c r="BG951" s="77"/>
      <c r="BH951" s="77"/>
      <c r="BI951" s="77"/>
    </row>
    <row r="952" spans="1:61" x14ac:dyDescent="0.25">
      <c r="A952" s="62" t="s">
        <v>420</v>
      </c>
      <c r="B952" s="62" t="s">
        <v>420</v>
      </c>
      <c r="C952" s="63"/>
      <c r="D952" s="64"/>
      <c r="E952" s="65"/>
      <c r="F952" s="66"/>
      <c r="G952" s="63"/>
      <c r="H952" s="67"/>
      <c r="I952" s="68"/>
      <c r="J952" s="68"/>
      <c r="K952" s="32"/>
      <c r="L952" s="75">
        <v>952</v>
      </c>
      <c r="M952" s="75"/>
      <c r="N952" s="70"/>
      <c r="O952" s="77" t="s">
        <v>179</v>
      </c>
      <c r="P952" s="79">
        <v>45118.025104166663</v>
      </c>
      <c r="Q952" s="77" t="s">
        <v>1743</v>
      </c>
      <c r="R952" s="77">
        <v>0</v>
      </c>
      <c r="S952" s="77">
        <v>1</v>
      </c>
      <c r="T952" s="77">
        <v>0</v>
      </c>
      <c r="U952" s="77">
        <v>0</v>
      </c>
      <c r="V952" s="77">
        <v>110</v>
      </c>
      <c r="W952" s="82" t="s">
        <v>5449</v>
      </c>
      <c r="X952" s="80" t="str">
        <f>HYPERLINK("https://youtu.be/bPgAIaka4kg")</f>
        <v>https://youtu.be/bPgAIaka4kg</v>
      </c>
      <c r="Y952" s="77" t="s">
        <v>7064</v>
      </c>
      <c r="Z952" s="77"/>
      <c r="AA952" s="77"/>
      <c r="AB952" s="77"/>
      <c r="AC952" s="82" t="s">
        <v>8248</v>
      </c>
      <c r="AD952" s="77" t="s">
        <v>8281</v>
      </c>
      <c r="AE952" s="80" t="str">
        <f>HYPERLINK("https://twitter.com/noalvo3/status/1678563796489469953")</f>
        <v>https://twitter.com/noalvo3/status/1678563796489469953</v>
      </c>
      <c r="AF952" s="79">
        <v>45118.025104166663</v>
      </c>
      <c r="AG952" s="85">
        <v>45118</v>
      </c>
      <c r="AH952" s="82" t="s">
        <v>9110</v>
      </c>
      <c r="AI952" s="77" t="b">
        <v>0</v>
      </c>
      <c r="AJ952" s="77"/>
      <c r="AK952" s="77"/>
      <c r="AL952" s="77"/>
      <c r="AM952" s="77"/>
      <c r="AN952" s="77"/>
      <c r="AO952" s="77"/>
      <c r="AP952" s="77"/>
      <c r="AQ952" s="77"/>
      <c r="AR952" s="77"/>
      <c r="AS952" s="77"/>
      <c r="AT952" s="77"/>
      <c r="AU952" s="77"/>
      <c r="AV952" s="80" t="str">
        <f>HYPERLINK("https://pbs.twimg.com/profile_images/1419306919957835777/YkOLJSly_normal.jpg")</f>
        <v>https://pbs.twimg.com/profile_images/1419306919957835777/YkOLJSly_normal.jpg</v>
      </c>
      <c r="AW952" s="82" t="s">
        <v>14047</v>
      </c>
      <c r="AX952" s="82" t="s">
        <v>14047</v>
      </c>
      <c r="AY952" s="77"/>
      <c r="AZ952" s="82" t="s">
        <v>17385</v>
      </c>
      <c r="BA952" s="82" t="s">
        <v>17385</v>
      </c>
      <c r="BB952" s="82" t="s">
        <v>17385</v>
      </c>
      <c r="BC952" s="82" t="s">
        <v>14047</v>
      </c>
      <c r="BD952" s="82" t="s">
        <v>17546</v>
      </c>
      <c r="BE952" s="77"/>
      <c r="BF952" s="77"/>
      <c r="BG952" s="77"/>
      <c r="BH952" s="77"/>
      <c r="BI952" s="77"/>
    </row>
    <row r="953" spans="1:61" x14ac:dyDescent="0.25">
      <c r="A953" s="62" t="s">
        <v>420</v>
      </c>
      <c r="B953" s="62" t="s">
        <v>420</v>
      </c>
      <c r="C953" s="63"/>
      <c r="D953" s="64"/>
      <c r="E953" s="65"/>
      <c r="F953" s="66"/>
      <c r="G953" s="63"/>
      <c r="H953" s="67"/>
      <c r="I953" s="68"/>
      <c r="J953" s="68"/>
      <c r="K953" s="32"/>
      <c r="L953" s="75">
        <v>953</v>
      </c>
      <c r="M953" s="75"/>
      <c r="N953" s="70"/>
      <c r="O953" s="77" t="s">
        <v>179</v>
      </c>
      <c r="P953" s="79">
        <v>45117.493518518517</v>
      </c>
      <c r="Q953" s="77" t="s">
        <v>1744</v>
      </c>
      <c r="R953" s="77">
        <v>0</v>
      </c>
      <c r="S953" s="77">
        <v>0</v>
      </c>
      <c r="T953" s="77">
        <v>0</v>
      </c>
      <c r="U953" s="77">
        <v>0</v>
      </c>
      <c r="V953" s="77">
        <v>35</v>
      </c>
      <c r="W953" s="82" t="s">
        <v>5450</v>
      </c>
      <c r="X953" s="80" t="str">
        <f>HYPERLINK("https://youtu.be/9QTrGlLaIu0")</f>
        <v>https://youtu.be/9QTrGlLaIu0</v>
      </c>
      <c r="Y953" s="77" t="s">
        <v>7064</v>
      </c>
      <c r="Z953" s="77"/>
      <c r="AA953" s="77"/>
      <c r="AB953" s="77"/>
      <c r="AC953" s="82" t="s">
        <v>8248</v>
      </c>
      <c r="AD953" s="77" t="s">
        <v>8278</v>
      </c>
      <c r="AE953" s="80" t="str">
        <f>HYPERLINK("https://twitter.com/noalvo3/status/1678371154304589824")</f>
        <v>https://twitter.com/noalvo3/status/1678371154304589824</v>
      </c>
      <c r="AF953" s="79">
        <v>45117.493518518517</v>
      </c>
      <c r="AG953" s="85">
        <v>45117</v>
      </c>
      <c r="AH953" s="82" t="s">
        <v>9111</v>
      </c>
      <c r="AI953" s="77" t="b">
        <v>0</v>
      </c>
      <c r="AJ953" s="77"/>
      <c r="AK953" s="77"/>
      <c r="AL953" s="77"/>
      <c r="AM953" s="77"/>
      <c r="AN953" s="77"/>
      <c r="AO953" s="77"/>
      <c r="AP953" s="77"/>
      <c r="AQ953" s="77"/>
      <c r="AR953" s="77"/>
      <c r="AS953" s="77"/>
      <c r="AT953" s="77"/>
      <c r="AU953" s="77"/>
      <c r="AV953" s="80" t="str">
        <f>HYPERLINK("https://pbs.twimg.com/profile_images/1419306919957835777/YkOLJSly_normal.jpg")</f>
        <v>https://pbs.twimg.com/profile_images/1419306919957835777/YkOLJSly_normal.jpg</v>
      </c>
      <c r="AW953" s="82" t="s">
        <v>14048</v>
      </c>
      <c r="AX953" s="82" t="s">
        <v>14048</v>
      </c>
      <c r="AY953" s="77"/>
      <c r="AZ953" s="82" t="s">
        <v>17385</v>
      </c>
      <c r="BA953" s="82" t="s">
        <v>17385</v>
      </c>
      <c r="BB953" s="82" t="s">
        <v>17385</v>
      </c>
      <c r="BC953" s="82" t="s">
        <v>14048</v>
      </c>
      <c r="BD953" s="82" t="s">
        <v>17546</v>
      </c>
      <c r="BE953" s="77"/>
      <c r="BF953" s="77"/>
      <c r="BG953" s="77"/>
      <c r="BH953" s="77"/>
      <c r="BI953" s="77"/>
    </row>
    <row r="954" spans="1:61" x14ac:dyDescent="0.25">
      <c r="A954" s="62" t="s">
        <v>420</v>
      </c>
      <c r="B954" s="62" t="s">
        <v>420</v>
      </c>
      <c r="C954" s="63"/>
      <c r="D954" s="64"/>
      <c r="E954" s="65"/>
      <c r="F954" s="66"/>
      <c r="G954" s="63"/>
      <c r="H954" s="67"/>
      <c r="I954" s="68"/>
      <c r="J954" s="68"/>
      <c r="K954" s="32"/>
      <c r="L954" s="75">
        <v>954</v>
      </c>
      <c r="M954" s="75"/>
      <c r="N954" s="70"/>
      <c r="O954" s="77" t="s">
        <v>179</v>
      </c>
      <c r="P954" s="79">
        <v>45093.40353009259</v>
      </c>
      <c r="Q954" s="77" t="s">
        <v>1745</v>
      </c>
      <c r="R954" s="77">
        <v>0</v>
      </c>
      <c r="S954" s="77">
        <v>0</v>
      </c>
      <c r="T954" s="77">
        <v>0</v>
      </c>
      <c r="U954" s="77">
        <v>0</v>
      </c>
      <c r="V954" s="77">
        <v>31</v>
      </c>
      <c r="W954" s="82" t="s">
        <v>5451</v>
      </c>
      <c r="X954" s="80" t="str">
        <f>HYPERLINK("https://youtu.be/y6hB2YugMW0")</f>
        <v>https://youtu.be/y6hB2YugMW0</v>
      </c>
      <c r="Y954" s="77" t="s">
        <v>7064</v>
      </c>
      <c r="Z954" s="77"/>
      <c r="AA954" s="77"/>
      <c r="AB954" s="77"/>
      <c r="AC954" s="82" t="s">
        <v>8248</v>
      </c>
      <c r="AD954" s="77" t="s">
        <v>8278</v>
      </c>
      <c r="AE954" s="80" t="str">
        <f>HYPERLINK("https://twitter.com/noalvo3/status/1669641235588325376")</f>
        <v>https://twitter.com/noalvo3/status/1669641235588325376</v>
      </c>
      <c r="AF954" s="79">
        <v>45093.40353009259</v>
      </c>
      <c r="AG954" s="85">
        <v>45093</v>
      </c>
      <c r="AH954" s="82" t="s">
        <v>9112</v>
      </c>
      <c r="AI954" s="77" t="b">
        <v>0</v>
      </c>
      <c r="AJ954" s="77"/>
      <c r="AK954" s="77"/>
      <c r="AL954" s="77"/>
      <c r="AM954" s="77"/>
      <c r="AN954" s="77"/>
      <c r="AO954" s="77"/>
      <c r="AP954" s="77"/>
      <c r="AQ954" s="77"/>
      <c r="AR954" s="77"/>
      <c r="AS954" s="77"/>
      <c r="AT954" s="77"/>
      <c r="AU954" s="77"/>
      <c r="AV954" s="80" t="str">
        <f>HYPERLINK("https://pbs.twimg.com/profile_images/1419306919957835777/YkOLJSly_normal.jpg")</f>
        <v>https://pbs.twimg.com/profile_images/1419306919957835777/YkOLJSly_normal.jpg</v>
      </c>
      <c r="AW954" s="82" t="s">
        <v>14049</v>
      </c>
      <c r="AX954" s="82" t="s">
        <v>14049</v>
      </c>
      <c r="AY954" s="77"/>
      <c r="AZ954" s="82" t="s">
        <v>17385</v>
      </c>
      <c r="BA954" s="82" t="s">
        <v>17385</v>
      </c>
      <c r="BB954" s="82" t="s">
        <v>17385</v>
      </c>
      <c r="BC954" s="82" t="s">
        <v>14049</v>
      </c>
      <c r="BD954" s="82" t="s">
        <v>17546</v>
      </c>
      <c r="BE954" s="77"/>
      <c r="BF954" s="77"/>
      <c r="BG954" s="77"/>
      <c r="BH954" s="77"/>
      <c r="BI954" s="77"/>
    </row>
    <row r="955" spans="1:61" x14ac:dyDescent="0.25">
      <c r="A955" s="62" t="s">
        <v>420</v>
      </c>
      <c r="B955" s="62" t="s">
        <v>420</v>
      </c>
      <c r="C955" s="63"/>
      <c r="D955" s="64"/>
      <c r="E955" s="65"/>
      <c r="F955" s="66"/>
      <c r="G955" s="63"/>
      <c r="H955" s="67"/>
      <c r="I955" s="68"/>
      <c r="J955" s="68"/>
      <c r="K955" s="32"/>
      <c r="L955" s="75">
        <v>955</v>
      </c>
      <c r="M955" s="75"/>
      <c r="N955" s="70"/>
      <c r="O955" s="77" t="s">
        <v>179</v>
      </c>
      <c r="P955" s="79">
        <v>45091.454918981479</v>
      </c>
      <c r="Q955" s="77" t="s">
        <v>1746</v>
      </c>
      <c r="R955" s="77">
        <v>0</v>
      </c>
      <c r="S955" s="77">
        <v>0</v>
      </c>
      <c r="T955" s="77">
        <v>0</v>
      </c>
      <c r="U955" s="77">
        <v>0</v>
      </c>
      <c r="V955" s="77">
        <v>26</v>
      </c>
      <c r="W955" s="82" t="s">
        <v>5452</v>
      </c>
      <c r="X955" s="80" t="str">
        <f>HYPERLINK("https://youtu.be/ZMXv4e7YD3g")</f>
        <v>https://youtu.be/ZMXv4e7YD3g</v>
      </c>
      <c r="Y955" s="77" t="s">
        <v>7064</v>
      </c>
      <c r="Z955" s="77"/>
      <c r="AA955" s="77"/>
      <c r="AB955" s="77"/>
      <c r="AC955" s="82" t="s">
        <v>8248</v>
      </c>
      <c r="AD955" s="77" t="s">
        <v>8278</v>
      </c>
      <c r="AE955" s="80" t="str">
        <f>HYPERLINK("https://twitter.com/noalvo3/status/1668935083607113728")</f>
        <v>https://twitter.com/noalvo3/status/1668935083607113728</v>
      </c>
      <c r="AF955" s="79">
        <v>45091.454918981479</v>
      </c>
      <c r="AG955" s="85">
        <v>45091</v>
      </c>
      <c r="AH955" s="82" t="s">
        <v>9113</v>
      </c>
      <c r="AI955" s="77" t="b">
        <v>0</v>
      </c>
      <c r="AJ955" s="77"/>
      <c r="AK955" s="77"/>
      <c r="AL955" s="77"/>
      <c r="AM955" s="77"/>
      <c r="AN955" s="77"/>
      <c r="AO955" s="77"/>
      <c r="AP955" s="77"/>
      <c r="AQ955" s="77"/>
      <c r="AR955" s="77"/>
      <c r="AS955" s="77"/>
      <c r="AT955" s="77"/>
      <c r="AU955" s="77"/>
      <c r="AV955" s="80" t="str">
        <f>HYPERLINK("https://pbs.twimg.com/profile_images/1419306919957835777/YkOLJSly_normal.jpg")</f>
        <v>https://pbs.twimg.com/profile_images/1419306919957835777/YkOLJSly_normal.jpg</v>
      </c>
      <c r="AW955" s="82" t="s">
        <v>14050</v>
      </c>
      <c r="AX955" s="82" t="s">
        <v>14050</v>
      </c>
      <c r="AY955" s="77"/>
      <c r="AZ955" s="82" t="s">
        <v>17385</v>
      </c>
      <c r="BA955" s="82" t="s">
        <v>17385</v>
      </c>
      <c r="BB955" s="82" t="s">
        <v>17385</v>
      </c>
      <c r="BC955" s="82" t="s">
        <v>14050</v>
      </c>
      <c r="BD955" s="82" t="s">
        <v>17546</v>
      </c>
      <c r="BE955" s="77"/>
      <c r="BF955" s="77"/>
      <c r="BG955" s="77"/>
      <c r="BH955" s="77"/>
      <c r="BI955" s="77"/>
    </row>
    <row r="956" spans="1:61" x14ac:dyDescent="0.25">
      <c r="A956" s="62" t="s">
        <v>420</v>
      </c>
      <c r="B956" s="62" t="s">
        <v>420</v>
      </c>
      <c r="C956" s="63"/>
      <c r="D956" s="64"/>
      <c r="E956" s="65"/>
      <c r="F956" s="66"/>
      <c r="G956" s="63"/>
      <c r="H956" s="67"/>
      <c r="I956" s="68"/>
      <c r="J956" s="68"/>
      <c r="K956" s="32"/>
      <c r="L956" s="75">
        <v>956</v>
      </c>
      <c r="M956" s="75"/>
      <c r="N956" s="70"/>
      <c r="O956" s="77" t="s">
        <v>179</v>
      </c>
      <c r="P956" s="79">
        <v>45056.460856481484</v>
      </c>
      <c r="Q956" s="77" t="s">
        <v>1747</v>
      </c>
      <c r="R956" s="77">
        <v>0</v>
      </c>
      <c r="S956" s="77">
        <v>0</v>
      </c>
      <c r="T956" s="77">
        <v>0</v>
      </c>
      <c r="U956" s="77">
        <v>0</v>
      </c>
      <c r="V956" s="77">
        <v>14</v>
      </c>
      <c r="W956" s="82" t="s">
        <v>5436</v>
      </c>
      <c r="X956" s="80" t="str">
        <f>HYPERLINK("https://youtu.be/RfT_XoEhlUg")</f>
        <v>https://youtu.be/RfT_XoEhlUg</v>
      </c>
      <c r="Y956" s="77" t="s">
        <v>7064</v>
      </c>
      <c r="Z956" s="77"/>
      <c r="AA956" s="77"/>
      <c r="AB956" s="77"/>
      <c r="AC956" s="82" t="s">
        <v>8248</v>
      </c>
      <c r="AD956" s="77" t="s">
        <v>8278</v>
      </c>
      <c r="AE956" s="80" t="str">
        <f>HYPERLINK("https://twitter.com/noalvo3/status/1656253658407878660")</f>
        <v>https://twitter.com/noalvo3/status/1656253658407878660</v>
      </c>
      <c r="AF956" s="79">
        <v>45056.460856481484</v>
      </c>
      <c r="AG956" s="85">
        <v>45056</v>
      </c>
      <c r="AH956" s="82" t="s">
        <v>9114</v>
      </c>
      <c r="AI956" s="77" t="b">
        <v>0</v>
      </c>
      <c r="AJ956" s="77"/>
      <c r="AK956" s="77"/>
      <c r="AL956" s="77"/>
      <c r="AM956" s="77"/>
      <c r="AN956" s="77"/>
      <c r="AO956" s="77"/>
      <c r="AP956" s="77"/>
      <c r="AQ956" s="77"/>
      <c r="AR956" s="77"/>
      <c r="AS956" s="77"/>
      <c r="AT956" s="77"/>
      <c r="AU956" s="77"/>
      <c r="AV956" s="80" t="str">
        <f>HYPERLINK("https://pbs.twimg.com/profile_images/1419306919957835777/YkOLJSly_normal.jpg")</f>
        <v>https://pbs.twimg.com/profile_images/1419306919957835777/YkOLJSly_normal.jpg</v>
      </c>
      <c r="AW956" s="82" t="s">
        <v>14051</v>
      </c>
      <c r="AX956" s="82" t="s">
        <v>14051</v>
      </c>
      <c r="AY956" s="77"/>
      <c r="AZ956" s="82" t="s">
        <v>17385</v>
      </c>
      <c r="BA956" s="82" t="s">
        <v>17385</v>
      </c>
      <c r="BB956" s="82" t="s">
        <v>17385</v>
      </c>
      <c r="BC956" s="82" t="s">
        <v>14051</v>
      </c>
      <c r="BD956" s="82" t="s">
        <v>17546</v>
      </c>
      <c r="BE956" s="77"/>
      <c r="BF956" s="77"/>
      <c r="BG956" s="77"/>
      <c r="BH956" s="77"/>
      <c r="BI956" s="77"/>
    </row>
    <row r="957" spans="1:61" x14ac:dyDescent="0.25">
      <c r="A957" s="62" t="s">
        <v>420</v>
      </c>
      <c r="B957" s="62" t="s">
        <v>420</v>
      </c>
      <c r="C957" s="63"/>
      <c r="D957" s="64"/>
      <c r="E957" s="65"/>
      <c r="F957" s="66"/>
      <c r="G957" s="63"/>
      <c r="H957" s="67"/>
      <c r="I957" s="68"/>
      <c r="J957" s="68"/>
      <c r="K957" s="32"/>
      <c r="L957" s="75">
        <v>957</v>
      </c>
      <c r="M957" s="75"/>
      <c r="N957" s="70"/>
      <c r="O957" s="77" t="s">
        <v>179</v>
      </c>
      <c r="P957" s="79">
        <v>45114.473113425927</v>
      </c>
      <c r="Q957" s="77" t="s">
        <v>1748</v>
      </c>
      <c r="R957" s="77">
        <v>0</v>
      </c>
      <c r="S957" s="77">
        <v>0</v>
      </c>
      <c r="T957" s="77">
        <v>0</v>
      </c>
      <c r="U957" s="77">
        <v>0</v>
      </c>
      <c r="V957" s="77">
        <v>156</v>
      </c>
      <c r="W957" s="82" t="s">
        <v>5453</v>
      </c>
      <c r="X957" s="80" t="str">
        <f>HYPERLINK("https://youtu.be/goq3rlogB2Q")</f>
        <v>https://youtu.be/goq3rlogB2Q</v>
      </c>
      <c r="Y957" s="77" t="s">
        <v>7064</v>
      </c>
      <c r="Z957" s="77"/>
      <c r="AA957" s="77"/>
      <c r="AB957" s="77"/>
      <c r="AC957" s="82" t="s">
        <v>8248</v>
      </c>
      <c r="AD957" s="77" t="s">
        <v>8278</v>
      </c>
      <c r="AE957" s="80" t="str">
        <f>HYPERLINK("https://twitter.com/noalvo3/status/1677276597861113858")</f>
        <v>https://twitter.com/noalvo3/status/1677276597861113858</v>
      </c>
      <c r="AF957" s="79">
        <v>45114.473113425927</v>
      </c>
      <c r="AG957" s="85">
        <v>45114</v>
      </c>
      <c r="AH957" s="82" t="s">
        <v>9115</v>
      </c>
      <c r="AI957" s="77" t="b">
        <v>0</v>
      </c>
      <c r="AJ957" s="77"/>
      <c r="AK957" s="77"/>
      <c r="AL957" s="77"/>
      <c r="AM957" s="77"/>
      <c r="AN957" s="77"/>
      <c r="AO957" s="77"/>
      <c r="AP957" s="77"/>
      <c r="AQ957" s="77"/>
      <c r="AR957" s="77"/>
      <c r="AS957" s="77"/>
      <c r="AT957" s="77"/>
      <c r="AU957" s="77"/>
      <c r="AV957" s="80" t="str">
        <f>HYPERLINK("https://pbs.twimg.com/profile_images/1419306919957835777/YkOLJSly_normal.jpg")</f>
        <v>https://pbs.twimg.com/profile_images/1419306919957835777/YkOLJSly_normal.jpg</v>
      </c>
      <c r="AW957" s="82" t="s">
        <v>14052</v>
      </c>
      <c r="AX957" s="82" t="s">
        <v>14052</v>
      </c>
      <c r="AY957" s="77"/>
      <c r="AZ957" s="82" t="s">
        <v>17385</v>
      </c>
      <c r="BA957" s="82" t="s">
        <v>17385</v>
      </c>
      <c r="BB957" s="82" t="s">
        <v>17385</v>
      </c>
      <c r="BC957" s="82" t="s">
        <v>14052</v>
      </c>
      <c r="BD957" s="82" t="s">
        <v>17546</v>
      </c>
      <c r="BE957" s="77"/>
      <c r="BF957" s="77"/>
      <c r="BG957" s="77"/>
      <c r="BH957" s="77"/>
      <c r="BI957" s="77"/>
    </row>
    <row r="958" spans="1:61" x14ac:dyDescent="0.25">
      <c r="A958" s="62" t="s">
        <v>420</v>
      </c>
      <c r="B958" s="62" t="s">
        <v>420</v>
      </c>
      <c r="C958" s="63"/>
      <c r="D958" s="64"/>
      <c r="E958" s="65"/>
      <c r="F958" s="66"/>
      <c r="G958" s="63"/>
      <c r="H958" s="67"/>
      <c r="I958" s="68"/>
      <c r="J958" s="68"/>
      <c r="K958" s="32"/>
      <c r="L958" s="75">
        <v>958</v>
      </c>
      <c r="M958" s="75"/>
      <c r="N958" s="70"/>
      <c r="O958" s="77" t="s">
        <v>179</v>
      </c>
      <c r="P958" s="79">
        <v>45090.469895833332</v>
      </c>
      <c r="Q958" s="77" t="s">
        <v>1749</v>
      </c>
      <c r="R958" s="77">
        <v>0</v>
      </c>
      <c r="S958" s="77">
        <v>0</v>
      </c>
      <c r="T958" s="77">
        <v>0</v>
      </c>
      <c r="U958" s="77">
        <v>0</v>
      </c>
      <c r="V958" s="77">
        <v>22</v>
      </c>
      <c r="W958" s="82" t="s">
        <v>5454</v>
      </c>
      <c r="X958" s="80" t="str">
        <f>HYPERLINK("https://youtu.be/Ivkf7BJM-Qg")</f>
        <v>https://youtu.be/Ivkf7BJM-Qg</v>
      </c>
      <c r="Y958" s="77" t="s">
        <v>7064</v>
      </c>
      <c r="Z958" s="77"/>
      <c r="AA958" s="77"/>
      <c r="AB958" s="77"/>
      <c r="AC958" s="82" t="s">
        <v>8248</v>
      </c>
      <c r="AD958" s="77" t="s">
        <v>8278</v>
      </c>
      <c r="AE958" s="80" t="str">
        <f>HYPERLINK("https://twitter.com/noalvo3/status/1668578119794536448")</f>
        <v>https://twitter.com/noalvo3/status/1668578119794536448</v>
      </c>
      <c r="AF958" s="79">
        <v>45090.469895833332</v>
      </c>
      <c r="AG958" s="85">
        <v>45090</v>
      </c>
      <c r="AH958" s="82" t="s">
        <v>9116</v>
      </c>
      <c r="AI958" s="77" t="b">
        <v>0</v>
      </c>
      <c r="AJ958" s="77"/>
      <c r="AK958" s="77"/>
      <c r="AL958" s="77"/>
      <c r="AM958" s="77"/>
      <c r="AN958" s="77"/>
      <c r="AO958" s="77"/>
      <c r="AP958" s="77"/>
      <c r="AQ958" s="77"/>
      <c r="AR958" s="77"/>
      <c r="AS958" s="77"/>
      <c r="AT958" s="77"/>
      <c r="AU958" s="77"/>
      <c r="AV958" s="80" t="str">
        <f>HYPERLINK("https://pbs.twimg.com/profile_images/1419306919957835777/YkOLJSly_normal.jpg")</f>
        <v>https://pbs.twimg.com/profile_images/1419306919957835777/YkOLJSly_normal.jpg</v>
      </c>
      <c r="AW958" s="82" t="s">
        <v>14053</v>
      </c>
      <c r="AX958" s="82" t="s">
        <v>14053</v>
      </c>
      <c r="AY958" s="77"/>
      <c r="AZ958" s="82" t="s">
        <v>17385</v>
      </c>
      <c r="BA958" s="82" t="s">
        <v>17385</v>
      </c>
      <c r="BB958" s="82" t="s">
        <v>17385</v>
      </c>
      <c r="BC958" s="82" t="s">
        <v>14053</v>
      </c>
      <c r="BD958" s="82" t="s">
        <v>17546</v>
      </c>
      <c r="BE958" s="77"/>
      <c r="BF958" s="77"/>
      <c r="BG958" s="77"/>
      <c r="BH958" s="77"/>
      <c r="BI958" s="77"/>
    </row>
    <row r="959" spans="1:61" x14ac:dyDescent="0.25">
      <c r="A959" s="62" t="s">
        <v>420</v>
      </c>
      <c r="B959" s="62" t="s">
        <v>420</v>
      </c>
      <c r="C959" s="63"/>
      <c r="D959" s="64"/>
      <c r="E959" s="65"/>
      <c r="F959" s="66"/>
      <c r="G959" s="63"/>
      <c r="H959" s="67"/>
      <c r="I959" s="68"/>
      <c r="J959" s="68"/>
      <c r="K959" s="32"/>
      <c r="L959" s="75">
        <v>959</v>
      </c>
      <c r="M959" s="75"/>
      <c r="N959" s="70"/>
      <c r="O959" s="77" t="s">
        <v>179</v>
      </c>
      <c r="P959" s="79">
        <v>45090.437951388885</v>
      </c>
      <c r="Q959" s="77" t="s">
        <v>1750</v>
      </c>
      <c r="R959" s="77">
        <v>0</v>
      </c>
      <c r="S959" s="77">
        <v>0</v>
      </c>
      <c r="T959" s="77">
        <v>0</v>
      </c>
      <c r="U959" s="77">
        <v>0</v>
      </c>
      <c r="V959" s="77">
        <v>123</v>
      </c>
      <c r="W959" s="82" t="s">
        <v>5455</v>
      </c>
      <c r="X959" s="80" t="str">
        <f>HYPERLINK("https://youtu.be/tqLZ_-IlxHw")</f>
        <v>https://youtu.be/tqLZ_-IlxHw</v>
      </c>
      <c r="Y959" s="77" t="s">
        <v>7064</v>
      </c>
      <c r="Z959" s="77"/>
      <c r="AA959" s="77"/>
      <c r="AB959" s="77"/>
      <c r="AC959" s="82" t="s">
        <v>8248</v>
      </c>
      <c r="AD959" s="77" t="s">
        <v>8278</v>
      </c>
      <c r="AE959" s="80" t="str">
        <f>HYPERLINK("https://twitter.com/noalvo3/status/1668566547269394434")</f>
        <v>https://twitter.com/noalvo3/status/1668566547269394434</v>
      </c>
      <c r="AF959" s="79">
        <v>45090.437951388885</v>
      </c>
      <c r="AG959" s="85">
        <v>45090</v>
      </c>
      <c r="AH959" s="82" t="s">
        <v>9117</v>
      </c>
      <c r="AI959" s="77" t="b">
        <v>0</v>
      </c>
      <c r="AJ959" s="77"/>
      <c r="AK959" s="77"/>
      <c r="AL959" s="77"/>
      <c r="AM959" s="77"/>
      <c r="AN959" s="77"/>
      <c r="AO959" s="77"/>
      <c r="AP959" s="77"/>
      <c r="AQ959" s="77"/>
      <c r="AR959" s="77"/>
      <c r="AS959" s="77"/>
      <c r="AT959" s="77"/>
      <c r="AU959" s="77"/>
      <c r="AV959" s="80" t="str">
        <f>HYPERLINK("https://pbs.twimg.com/profile_images/1419306919957835777/YkOLJSly_normal.jpg")</f>
        <v>https://pbs.twimg.com/profile_images/1419306919957835777/YkOLJSly_normal.jpg</v>
      </c>
      <c r="AW959" s="82" t="s">
        <v>14054</v>
      </c>
      <c r="AX959" s="82" t="s">
        <v>14054</v>
      </c>
      <c r="AY959" s="77"/>
      <c r="AZ959" s="82" t="s">
        <v>17385</v>
      </c>
      <c r="BA959" s="82" t="s">
        <v>17385</v>
      </c>
      <c r="BB959" s="82" t="s">
        <v>17385</v>
      </c>
      <c r="BC959" s="82" t="s">
        <v>14054</v>
      </c>
      <c r="BD959" s="82" t="s">
        <v>17546</v>
      </c>
      <c r="BE959" s="77"/>
      <c r="BF959" s="77"/>
      <c r="BG959" s="77"/>
      <c r="BH959" s="77"/>
      <c r="BI959" s="77"/>
    </row>
    <row r="960" spans="1:61" x14ac:dyDescent="0.25">
      <c r="A960" s="62" t="s">
        <v>420</v>
      </c>
      <c r="B960" s="62" t="s">
        <v>420</v>
      </c>
      <c r="C960" s="63"/>
      <c r="D960" s="64"/>
      <c r="E960" s="65"/>
      <c r="F960" s="66"/>
      <c r="G960" s="63"/>
      <c r="H960" s="67"/>
      <c r="I960" s="68"/>
      <c r="J960" s="68"/>
      <c r="K960" s="32"/>
      <c r="L960" s="75">
        <v>960</v>
      </c>
      <c r="M960" s="75"/>
      <c r="N960" s="70"/>
      <c r="O960" s="77" t="s">
        <v>179</v>
      </c>
      <c r="P960" s="79">
        <v>45077.468969907408</v>
      </c>
      <c r="Q960" s="77" t="s">
        <v>1751</v>
      </c>
      <c r="R960" s="77">
        <v>0</v>
      </c>
      <c r="S960" s="77">
        <v>0</v>
      </c>
      <c r="T960" s="77">
        <v>0</v>
      </c>
      <c r="U960" s="77">
        <v>0</v>
      </c>
      <c r="V960" s="77">
        <v>101</v>
      </c>
      <c r="W960" s="82" t="s">
        <v>5456</v>
      </c>
      <c r="X960" s="80" t="str">
        <f>HYPERLINK("https://youtu.be/miaCbwLth6A")</f>
        <v>https://youtu.be/miaCbwLth6A</v>
      </c>
      <c r="Y960" s="77" t="s">
        <v>7064</v>
      </c>
      <c r="Z960" s="77"/>
      <c r="AA960" s="77"/>
      <c r="AB960" s="77"/>
      <c r="AC960" s="82" t="s">
        <v>8248</v>
      </c>
      <c r="AD960" s="77" t="s">
        <v>8278</v>
      </c>
      <c r="AE960" s="80" t="str">
        <f>HYPERLINK("https://twitter.com/noalvo3/status/1663866742240681985")</f>
        <v>https://twitter.com/noalvo3/status/1663866742240681985</v>
      </c>
      <c r="AF960" s="79">
        <v>45077.468969907408</v>
      </c>
      <c r="AG960" s="85">
        <v>45077</v>
      </c>
      <c r="AH960" s="82" t="s">
        <v>9118</v>
      </c>
      <c r="AI960" s="77" t="b">
        <v>0</v>
      </c>
      <c r="AJ960" s="77"/>
      <c r="AK960" s="77"/>
      <c r="AL960" s="77"/>
      <c r="AM960" s="77"/>
      <c r="AN960" s="77"/>
      <c r="AO960" s="77"/>
      <c r="AP960" s="77"/>
      <c r="AQ960" s="77"/>
      <c r="AR960" s="77"/>
      <c r="AS960" s="77"/>
      <c r="AT960" s="77"/>
      <c r="AU960" s="77"/>
      <c r="AV960" s="80" t="str">
        <f>HYPERLINK("https://pbs.twimg.com/profile_images/1419306919957835777/YkOLJSly_normal.jpg")</f>
        <v>https://pbs.twimg.com/profile_images/1419306919957835777/YkOLJSly_normal.jpg</v>
      </c>
      <c r="AW960" s="82" t="s">
        <v>14055</v>
      </c>
      <c r="AX960" s="82" t="s">
        <v>14055</v>
      </c>
      <c r="AY960" s="77"/>
      <c r="AZ960" s="82" t="s">
        <v>17385</v>
      </c>
      <c r="BA960" s="82" t="s">
        <v>17385</v>
      </c>
      <c r="BB960" s="82" t="s">
        <v>17385</v>
      </c>
      <c r="BC960" s="82" t="s">
        <v>14055</v>
      </c>
      <c r="BD960" s="82" t="s">
        <v>17546</v>
      </c>
      <c r="BE960" s="77"/>
      <c r="BF960" s="77"/>
      <c r="BG960" s="77"/>
      <c r="BH960" s="77"/>
      <c r="BI960" s="77"/>
    </row>
    <row r="961" spans="1:61" x14ac:dyDescent="0.25">
      <c r="A961" s="62" t="s">
        <v>420</v>
      </c>
      <c r="B961" s="62" t="s">
        <v>420</v>
      </c>
      <c r="C961" s="63"/>
      <c r="D961" s="64"/>
      <c r="E961" s="65"/>
      <c r="F961" s="66"/>
      <c r="G961" s="63"/>
      <c r="H961" s="67"/>
      <c r="I961" s="68"/>
      <c r="J961" s="68"/>
      <c r="K961" s="32"/>
      <c r="L961" s="75">
        <v>961</v>
      </c>
      <c r="M961" s="75"/>
      <c r="N961" s="70"/>
      <c r="O961" s="77" t="s">
        <v>179</v>
      </c>
      <c r="P961" s="79">
        <v>45076.531331018516</v>
      </c>
      <c r="Q961" s="77" t="s">
        <v>1752</v>
      </c>
      <c r="R961" s="77">
        <v>0</v>
      </c>
      <c r="S961" s="77">
        <v>0</v>
      </c>
      <c r="T961" s="77">
        <v>0</v>
      </c>
      <c r="U961" s="77">
        <v>0</v>
      </c>
      <c r="V961" s="77">
        <v>116</v>
      </c>
      <c r="W961" s="82" t="s">
        <v>5456</v>
      </c>
      <c r="X961" s="80" t="str">
        <f>HYPERLINK("https://youtu.be/JfLU1xt4z9g")</f>
        <v>https://youtu.be/JfLU1xt4z9g</v>
      </c>
      <c r="Y961" s="77" t="s">
        <v>7064</v>
      </c>
      <c r="Z961" s="77"/>
      <c r="AA961" s="77"/>
      <c r="AB961" s="77"/>
      <c r="AC961" s="82" t="s">
        <v>8248</v>
      </c>
      <c r="AD961" s="77" t="s">
        <v>8278</v>
      </c>
      <c r="AE961" s="80" t="str">
        <f>HYPERLINK("https://twitter.com/noalvo3/status/1663526954211987464")</f>
        <v>https://twitter.com/noalvo3/status/1663526954211987464</v>
      </c>
      <c r="AF961" s="79">
        <v>45076.531331018516</v>
      </c>
      <c r="AG961" s="85">
        <v>45076</v>
      </c>
      <c r="AH961" s="82" t="s">
        <v>9119</v>
      </c>
      <c r="AI961" s="77" t="b">
        <v>0</v>
      </c>
      <c r="AJ961" s="77"/>
      <c r="AK961" s="77"/>
      <c r="AL961" s="77"/>
      <c r="AM961" s="77"/>
      <c r="AN961" s="77"/>
      <c r="AO961" s="77"/>
      <c r="AP961" s="77"/>
      <c r="AQ961" s="77"/>
      <c r="AR961" s="77"/>
      <c r="AS961" s="77"/>
      <c r="AT961" s="77"/>
      <c r="AU961" s="77"/>
      <c r="AV961" s="80" t="str">
        <f>HYPERLINK("https://pbs.twimg.com/profile_images/1419306919957835777/YkOLJSly_normal.jpg")</f>
        <v>https://pbs.twimg.com/profile_images/1419306919957835777/YkOLJSly_normal.jpg</v>
      </c>
      <c r="AW961" s="82" t="s">
        <v>14056</v>
      </c>
      <c r="AX961" s="82" t="s">
        <v>14056</v>
      </c>
      <c r="AY961" s="77"/>
      <c r="AZ961" s="82" t="s">
        <v>17385</v>
      </c>
      <c r="BA961" s="82" t="s">
        <v>17385</v>
      </c>
      <c r="BB961" s="82" t="s">
        <v>17385</v>
      </c>
      <c r="BC961" s="82" t="s">
        <v>14056</v>
      </c>
      <c r="BD961" s="82" t="s">
        <v>17546</v>
      </c>
      <c r="BE961" s="77"/>
      <c r="BF961" s="77"/>
      <c r="BG961" s="77"/>
      <c r="BH961" s="77"/>
      <c r="BI961" s="77"/>
    </row>
    <row r="962" spans="1:61" x14ac:dyDescent="0.25">
      <c r="A962" s="62" t="s">
        <v>420</v>
      </c>
      <c r="B962" s="62" t="s">
        <v>420</v>
      </c>
      <c r="C962" s="63"/>
      <c r="D962" s="64"/>
      <c r="E962" s="65"/>
      <c r="F962" s="66"/>
      <c r="G962" s="63"/>
      <c r="H962" s="67"/>
      <c r="I962" s="68"/>
      <c r="J962" s="68"/>
      <c r="K962" s="32"/>
      <c r="L962" s="75">
        <v>962</v>
      </c>
      <c r="M962" s="75"/>
      <c r="N962" s="70"/>
      <c r="O962" s="77" t="s">
        <v>179</v>
      </c>
      <c r="P962" s="79">
        <v>45075.465370370373</v>
      </c>
      <c r="Q962" s="77" t="s">
        <v>1753</v>
      </c>
      <c r="R962" s="77">
        <v>0</v>
      </c>
      <c r="S962" s="77">
        <v>0</v>
      </c>
      <c r="T962" s="77">
        <v>0</v>
      </c>
      <c r="U962" s="77">
        <v>0</v>
      </c>
      <c r="V962" s="77">
        <v>21</v>
      </c>
      <c r="W962" s="82" t="s">
        <v>5457</v>
      </c>
      <c r="X962" s="80" t="str">
        <f>HYPERLINK("https://youtu.be/ngbEPanrONk")</f>
        <v>https://youtu.be/ngbEPanrONk</v>
      </c>
      <c r="Y962" s="77" t="s">
        <v>7064</v>
      </c>
      <c r="Z962" s="77"/>
      <c r="AA962" s="77"/>
      <c r="AB962" s="77"/>
      <c r="AC962" s="82" t="s">
        <v>8248</v>
      </c>
      <c r="AD962" s="77" t="s">
        <v>8278</v>
      </c>
      <c r="AE962" s="80" t="str">
        <f>HYPERLINK("https://twitter.com/noalvo3/status/1663140662135365635")</f>
        <v>https://twitter.com/noalvo3/status/1663140662135365635</v>
      </c>
      <c r="AF962" s="79">
        <v>45075.465370370373</v>
      </c>
      <c r="AG962" s="85">
        <v>45075</v>
      </c>
      <c r="AH962" s="82" t="s">
        <v>9120</v>
      </c>
      <c r="AI962" s="77" t="b">
        <v>0</v>
      </c>
      <c r="AJ962" s="77"/>
      <c r="AK962" s="77"/>
      <c r="AL962" s="77"/>
      <c r="AM962" s="77"/>
      <c r="AN962" s="77"/>
      <c r="AO962" s="77"/>
      <c r="AP962" s="77"/>
      <c r="AQ962" s="77"/>
      <c r="AR962" s="77"/>
      <c r="AS962" s="77"/>
      <c r="AT962" s="77"/>
      <c r="AU962" s="77"/>
      <c r="AV962" s="80" t="str">
        <f>HYPERLINK("https://pbs.twimg.com/profile_images/1419306919957835777/YkOLJSly_normal.jpg")</f>
        <v>https://pbs.twimg.com/profile_images/1419306919957835777/YkOLJSly_normal.jpg</v>
      </c>
      <c r="AW962" s="82" t="s">
        <v>14057</v>
      </c>
      <c r="AX962" s="82" t="s">
        <v>14057</v>
      </c>
      <c r="AY962" s="77"/>
      <c r="AZ962" s="82" t="s">
        <v>17385</v>
      </c>
      <c r="BA962" s="82" t="s">
        <v>17385</v>
      </c>
      <c r="BB962" s="82" t="s">
        <v>17385</v>
      </c>
      <c r="BC962" s="82" t="s">
        <v>14057</v>
      </c>
      <c r="BD962" s="82" t="s">
        <v>17546</v>
      </c>
      <c r="BE962" s="77"/>
      <c r="BF962" s="77"/>
      <c r="BG962" s="77"/>
      <c r="BH962" s="77"/>
      <c r="BI962" s="77"/>
    </row>
    <row r="963" spans="1:61" x14ac:dyDescent="0.25">
      <c r="A963" s="62" t="s">
        <v>420</v>
      </c>
      <c r="B963" s="62" t="s">
        <v>420</v>
      </c>
      <c r="C963" s="63"/>
      <c r="D963" s="64"/>
      <c r="E963" s="65"/>
      <c r="F963" s="66"/>
      <c r="G963" s="63"/>
      <c r="H963" s="67"/>
      <c r="I963" s="68"/>
      <c r="J963" s="68"/>
      <c r="K963" s="32"/>
      <c r="L963" s="75">
        <v>963</v>
      </c>
      <c r="M963" s="75"/>
      <c r="N963" s="70"/>
      <c r="O963" s="77" t="s">
        <v>179</v>
      </c>
      <c r="P963" s="79">
        <v>45045.504699074074</v>
      </c>
      <c r="Q963" s="77" t="s">
        <v>1754</v>
      </c>
      <c r="R963" s="77">
        <v>0</v>
      </c>
      <c r="S963" s="77">
        <v>0</v>
      </c>
      <c r="T963" s="77">
        <v>0</v>
      </c>
      <c r="U963" s="77">
        <v>0</v>
      </c>
      <c r="V963" s="77">
        <v>31</v>
      </c>
      <c r="W963" s="82" t="s">
        <v>5458</v>
      </c>
      <c r="X963" s="80" t="str">
        <f>HYPERLINK("https://youtu.be/4UQ4JtRjQ1c")</f>
        <v>https://youtu.be/4UQ4JtRjQ1c</v>
      </c>
      <c r="Y963" s="77" t="s">
        <v>7064</v>
      </c>
      <c r="Z963" s="77"/>
      <c r="AA963" s="77"/>
      <c r="AB963" s="77"/>
      <c r="AC963" s="82" t="s">
        <v>8248</v>
      </c>
      <c r="AD963" s="77" t="s">
        <v>8278</v>
      </c>
      <c r="AE963" s="80" t="str">
        <f>HYPERLINK("https://twitter.com/noalvo3/status/1652283280861822982")</f>
        <v>https://twitter.com/noalvo3/status/1652283280861822982</v>
      </c>
      <c r="AF963" s="79">
        <v>45045.504699074074</v>
      </c>
      <c r="AG963" s="85">
        <v>45045</v>
      </c>
      <c r="AH963" s="82" t="s">
        <v>9121</v>
      </c>
      <c r="AI963" s="77" t="b">
        <v>0</v>
      </c>
      <c r="AJ963" s="77"/>
      <c r="AK963" s="77"/>
      <c r="AL963" s="77"/>
      <c r="AM963" s="77"/>
      <c r="AN963" s="77"/>
      <c r="AO963" s="77"/>
      <c r="AP963" s="77"/>
      <c r="AQ963" s="77"/>
      <c r="AR963" s="77"/>
      <c r="AS963" s="77"/>
      <c r="AT963" s="77"/>
      <c r="AU963" s="77"/>
      <c r="AV963" s="80" t="str">
        <f>HYPERLINK("https://pbs.twimg.com/profile_images/1419306919957835777/YkOLJSly_normal.jpg")</f>
        <v>https://pbs.twimg.com/profile_images/1419306919957835777/YkOLJSly_normal.jpg</v>
      </c>
      <c r="AW963" s="82" t="s">
        <v>14058</v>
      </c>
      <c r="AX963" s="82" t="s">
        <v>14058</v>
      </c>
      <c r="AY963" s="77"/>
      <c r="AZ963" s="82" t="s">
        <v>17385</v>
      </c>
      <c r="BA963" s="82" t="s">
        <v>17385</v>
      </c>
      <c r="BB963" s="82" t="s">
        <v>17385</v>
      </c>
      <c r="BC963" s="82" t="s">
        <v>14058</v>
      </c>
      <c r="BD963" s="82" t="s">
        <v>17546</v>
      </c>
      <c r="BE963" s="77"/>
      <c r="BF963" s="77"/>
      <c r="BG963" s="77"/>
      <c r="BH963" s="77"/>
      <c r="BI963" s="77"/>
    </row>
    <row r="964" spans="1:61" x14ac:dyDescent="0.25">
      <c r="A964" s="62" t="s">
        <v>420</v>
      </c>
      <c r="B964" s="62" t="s">
        <v>420</v>
      </c>
      <c r="C964" s="63"/>
      <c r="D964" s="64"/>
      <c r="E964" s="65"/>
      <c r="F964" s="66"/>
      <c r="G964" s="63"/>
      <c r="H964" s="67"/>
      <c r="I964" s="68"/>
      <c r="J964" s="68"/>
      <c r="K964" s="32"/>
      <c r="L964" s="75">
        <v>964</v>
      </c>
      <c r="M964" s="75"/>
      <c r="N964" s="70"/>
      <c r="O964" s="77" t="s">
        <v>179</v>
      </c>
      <c r="P964" s="79">
        <v>45044.40828703704</v>
      </c>
      <c r="Q964" s="77" t="s">
        <v>1755</v>
      </c>
      <c r="R964" s="77">
        <v>0</v>
      </c>
      <c r="S964" s="77">
        <v>0</v>
      </c>
      <c r="T964" s="77">
        <v>0</v>
      </c>
      <c r="U964" s="77">
        <v>0</v>
      </c>
      <c r="V964" s="77">
        <v>28</v>
      </c>
      <c r="W964" s="82" t="s">
        <v>5436</v>
      </c>
      <c r="X964" s="80" t="str">
        <f>HYPERLINK("https://youtu.be/7c1YUQILNEk")</f>
        <v>https://youtu.be/7c1YUQILNEk</v>
      </c>
      <c r="Y964" s="77" t="s">
        <v>7064</v>
      </c>
      <c r="Z964" s="77"/>
      <c r="AA964" s="77"/>
      <c r="AB964" s="77"/>
      <c r="AC964" s="82" t="s">
        <v>8248</v>
      </c>
      <c r="AD964" s="77" t="s">
        <v>8278</v>
      </c>
      <c r="AE964" s="80" t="str">
        <f>HYPERLINK("https://twitter.com/noalvo3/status/1651885953911255040")</f>
        <v>https://twitter.com/noalvo3/status/1651885953911255040</v>
      </c>
      <c r="AF964" s="79">
        <v>45044.40828703704</v>
      </c>
      <c r="AG964" s="85">
        <v>45044</v>
      </c>
      <c r="AH964" s="82" t="s">
        <v>9122</v>
      </c>
      <c r="AI964" s="77" t="b">
        <v>0</v>
      </c>
      <c r="AJ964" s="77"/>
      <c r="AK964" s="77"/>
      <c r="AL964" s="77"/>
      <c r="AM964" s="77"/>
      <c r="AN964" s="77"/>
      <c r="AO964" s="77"/>
      <c r="AP964" s="77"/>
      <c r="AQ964" s="77"/>
      <c r="AR964" s="77"/>
      <c r="AS964" s="77"/>
      <c r="AT964" s="77"/>
      <c r="AU964" s="77"/>
      <c r="AV964" s="80" t="str">
        <f>HYPERLINK("https://pbs.twimg.com/profile_images/1419306919957835777/YkOLJSly_normal.jpg")</f>
        <v>https://pbs.twimg.com/profile_images/1419306919957835777/YkOLJSly_normal.jpg</v>
      </c>
      <c r="AW964" s="82" t="s">
        <v>14059</v>
      </c>
      <c r="AX964" s="82" t="s">
        <v>14059</v>
      </c>
      <c r="AY964" s="77"/>
      <c r="AZ964" s="82" t="s">
        <v>17385</v>
      </c>
      <c r="BA964" s="82" t="s">
        <v>17385</v>
      </c>
      <c r="BB964" s="82" t="s">
        <v>17385</v>
      </c>
      <c r="BC964" s="82" t="s">
        <v>14059</v>
      </c>
      <c r="BD964" s="82" t="s">
        <v>17546</v>
      </c>
      <c r="BE964" s="77"/>
      <c r="BF964" s="77"/>
      <c r="BG964" s="77"/>
      <c r="BH964" s="77"/>
      <c r="BI964" s="77"/>
    </row>
    <row r="965" spans="1:61" x14ac:dyDescent="0.25">
      <c r="A965" s="62" t="s">
        <v>420</v>
      </c>
      <c r="B965" s="62" t="s">
        <v>420</v>
      </c>
      <c r="C965" s="63"/>
      <c r="D965" s="64"/>
      <c r="E965" s="65"/>
      <c r="F965" s="66"/>
      <c r="G965" s="63"/>
      <c r="H965" s="67"/>
      <c r="I965" s="68"/>
      <c r="J965" s="68"/>
      <c r="K965" s="32"/>
      <c r="L965" s="75">
        <v>965</v>
      </c>
      <c r="M965" s="75"/>
      <c r="N965" s="70"/>
      <c r="O965" s="77" t="s">
        <v>179</v>
      </c>
      <c r="P965" s="79">
        <v>45134.900636574072</v>
      </c>
      <c r="Q965" s="77" t="s">
        <v>1756</v>
      </c>
      <c r="R965" s="77">
        <v>0</v>
      </c>
      <c r="S965" s="77">
        <v>0</v>
      </c>
      <c r="T965" s="77">
        <v>0</v>
      </c>
      <c r="U965" s="77">
        <v>0</v>
      </c>
      <c r="V965" s="77">
        <v>88</v>
      </c>
      <c r="W965" s="82" t="s">
        <v>5459</v>
      </c>
      <c r="X965" s="80" t="str">
        <f>HYPERLINK("https://youtu.be/A9KHhSlY2Fs")</f>
        <v>https://youtu.be/A9KHhSlY2Fs</v>
      </c>
      <c r="Y965" s="77" t="s">
        <v>7064</v>
      </c>
      <c r="Z965" s="77"/>
      <c r="AA965" s="77"/>
      <c r="AB965" s="77"/>
      <c r="AC965" s="82" t="s">
        <v>8248</v>
      </c>
      <c r="AD965" s="77" t="s">
        <v>8278</v>
      </c>
      <c r="AE965" s="80" t="str">
        <f>HYPERLINK("https://twitter.com/noalvo3/status/1684679282105237504")</f>
        <v>https://twitter.com/noalvo3/status/1684679282105237504</v>
      </c>
      <c r="AF965" s="79">
        <v>45134.900636574072</v>
      </c>
      <c r="AG965" s="85">
        <v>45134</v>
      </c>
      <c r="AH965" s="82" t="s">
        <v>9123</v>
      </c>
      <c r="AI965" s="77" t="b">
        <v>0</v>
      </c>
      <c r="AJ965" s="77"/>
      <c r="AK965" s="77"/>
      <c r="AL965" s="77"/>
      <c r="AM965" s="77"/>
      <c r="AN965" s="77"/>
      <c r="AO965" s="77"/>
      <c r="AP965" s="77"/>
      <c r="AQ965" s="77"/>
      <c r="AR965" s="77"/>
      <c r="AS965" s="77"/>
      <c r="AT965" s="77"/>
      <c r="AU965" s="77"/>
      <c r="AV965" s="80" t="str">
        <f>HYPERLINK("https://pbs.twimg.com/profile_images/1419306919957835777/YkOLJSly_normal.jpg")</f>
        <v>https://pbs.twimg.com/profile_images/1419306919957835777/YkOLJSly_normal.jpg</v>
      </c>
      <c r="AW965" s="82" t="s">
        <v>14060</v>
      </c>
      <c r="AX965" s="82" t="s">
        <v>14060</v>
      </c>
      <c r="AY965" s="77"/>
      <c r="AZ965" s="82" t="s">
        <v>17385</v>
      </c>
      <c r="BA965" s="82" t="s">
        <v>17385</v>
      </c>
      <c r="BB965" s="82" t="s">
        <v>17385</v>
      </c>
      <c r="BC965" s="82" t="s">
        <v>14060</v>
      </c>
      <c r="BD965" s="82" t="s">
        <v>17546</v>
      </c>
      <c r="BE965" s="77"/>
      <c r="BF965" s="77"/>
      <c r="BG965" s="77"/>
      <c r="BH965" s="77"/>
      <c r="BI965" s="77"/>
    </row>
    <row r="966" spans="1:61" x14ac:dyDescent="0.25">
      <c r="A966" s="62" t="s">
        <v>420</v>
      </c>
      <c r="B966" s="62" t="s">
        <v>420</v>
      </c>
      <c r="C966" s="63"/>
      <c r="D966" s="64"/>
      <c r="E966" s="65"/>
      <c r="F966" s="66"/>
      <c r="G966" s="63"/>
      <c r="H966" s="67"/>
      <c r="I966" s="68"/>
      <c r="J966" s="68"/>
      <c r="K966" s="32"/>
      <c r="L966" s="75">
        <v>966</v>
      </c>
      <c r="M966" s="75"/>
      <c r="N966" s="70"/>
      <c r="O966" s="77" t="s">
        <v>179</v>
      </c>
      <c r="P966" s="79">
        <v>45083.410532407404</v>
      </c>
      <c r="Q966" s="77" t="s">
        <v>1757</v>
      </c>
      <c r="R966" s="77">
        <v>0</v>
      </c>
      <c r="S966" s="77">
        <v>0</v>
      </c>
      <c r="T966" s="77">
        <v>0</v>
      </c>
      <c r="U966" s="77">
        <v>0</v>
      </c>
      <c r="V966" s="77">
        <v>29</v>
      </c>
      <c r="W966" s="82" t="s">
        <v>5460</v>
      </c>
      <c r="X966" s="80" t="str">
        <f>HYPERLINK("https://youtu.be/ndYlMiX5TMc")</f>
        <v>https://youtu.be/ndYlMiX5TMc</v>
      </c>
      <c r="Y966" s="77" t="s">
        <v>7064</v>
      </c>
      <c r="Z966" s="77"/>
      <c r="AA966" s="77"/>
      <c r="AB966" s="77"/>
      <c r="AC966" s="82" t="s">
        <v>8248</v>
      </c>
      <c r="AD966" s="77" t="s">
        <v>8278</v>
      </c>
      <c r="AE966" s="80" t="str">
        <f>HYPERLINK("https://twitter.com/noalvo3/status/1666019893232168962")</f>
        <v>https://twitter.com/noalvo3/status/1666019893232168962</v>
      </c>
      <c r="AF966" s="79">
        <v>45083.410532407404</v>
      </c>
      <c r="AG966" s="85">
        <v>45083</v>
      </c>
      <c r="AH966" s="82" t="s">
        <v>9124</v>
      </c>
      <c r="AI966" s="77" t="b">
        <v>0</v>
      </c>
      <c r="AJ966" s="77"/>
      <c r="AK966" s="77"/>
      <c r="AL966" s="77"/>
      <c r="AM966" s="77"/>
      <c r="AN966" s="77"/>
      <c r="AO966" s="77"/>
      <c r="AP966" s="77"/>
      <c r="AQ966" s="77"/>
      <c r="AR966" s="77"/>
      <c r="AS966" s="77"/>
      <c r="AT966" s="77"/>
      <c r="AU966" s="77"/>
      <c r="AV966" s="80" t="str">
        <f>HYPERLINK("https://pbs.twimg.com/profile_images/1419306919957835777/YkOLJSly_normal.jpg")</f>
        <v>https://pbs.twimg.com/profile_images/1419306919957835777/YkOLJSly_normal.jpg</v>
      </c>
      <c r="AW966" s="82" t="s">
        <v>14061</v>
      </c>
      <c r="AX966" s="82" t="s">
        <v>14061</v>
      </c>
      <c r="AY966" s="77"/>
      <c r="AZ966" s="82" t="s">
        <v>17385</v>
      </c>
      <c r="BA966" s="82" t="s">
        <v>17385</v>
      </c>
      <c r="BB966" s="82" t="s">
        <v>17385</v>
      </c>
      <c r="BC966" s="82" t="s">
        <v>14061</v>
      </c>
      <c r="BD966" s="82" t="s">
        <v>17546</v>
      </c>
      <c r="BE966" s="77"/>
      <c r="BF966" s="77"/>
      <c r="BG966" s="77"/>
      <c r="BH966" s="77"/>
      <c r="BI966" s="77"/>
    </row>
    <row r="967" spans="1:61" x14ac:dyDescent="0.25">
      <c r="A967" s="62" t="s">
        <v>420</v>
      </c>
      <c r="B967" s="62" t="s">
        <v>420</v>
      </c>
      <c r="C967" s="63"/>
      <c r="D967" s="64"/>
      <c r="E967" s="65"/>
      <c r="F967" s="66"/>
      <c r="G967" s="63"/>
      <c r="H967" s="67"/>
      <c r="I967" s="68"/>
      <c r="J967" s="68"/>
      <c r="K967" s="32"/>
      <c r="L967" s="75">
        <v>967</v>
      </c>
      <c r="M967" s="75"/>
      <c r="N967" s="70"/>
      <c r="O967" s="77" t="s">
        <v>179</v>
      </c>
      <c r="P967" s="79">
        <v>45068.413472222222</v>
      </c>
      <c r="Q967" s="77" t="s">
        <v>1758</v>
      </c>
      <c r="R967" s="77">
        <v>0</v>
      </c>
      <c r="S967" s="77">
        <v>0</v>
      </c>
      <c r="T967" s="77">
        <v>0</v>
      </c>
      <c r="U967" s="77">
        <v>0</v>
      </c>
      <c r="V967" s="77">
        <v>20</v>
      </c>
      <c r="W967" s="82" t="s">
        <v>5461</v>
      </c>
      <c r="X967" s="80" t="str">
        <f>HYPERLINK("https://youtu.be/Q7byA_0FmtU")</f>
        <v>https://youtu.be/Q7byA_0FmtU</v>
      </c>
      <c r="Y967" s="77" t="s">
        <v>7064</v>
      </c>
      <c r="Z967" s="77"/>
      <c r="AA967" s="77"/>
      <c r="AB967" s="77"/>
      <c r="AC967" s="82" t="s">
        <v>8248</v>
      </c>
      <c r="AD967" s="77" t="s">
        <v>8278</v>
      </c>
      <c r="AE967" s="80" t="str">
        <f>HYPERLINK("https://twitter.com/noalvo3/status/1660585141750702080")</f>
        <v>https://twitter.com/noalvo3/status/1660585141750702080</v>
      </c>
      <c r="AF967" s="79">
        <v>45068.413472222222</v>
      </c>
      <c r="AG967" s="85">
        <v>45068</v>
      </c>
      <c r="AH967" s="82" t="s">
        <v>9125</v>
      </c>
      <c r="AI967" s="77" t="b">
        <v>0</v>
      </c>
      <c r="AJ967" s="77"/>
      <c r="AK967" s="77"/>
      <c r="AL967" s="77"/>
      <c r="AM967" s="77"/>
      <c r="AN967" s="77"/>
      <c r="AO967" s="77"/>
      <c r="AP967" s="77"/>
      <c r="AQ967" s="77"/>
      <c r="AR967" s="77"/>
      <c r="AS967" s="77"/>
      <c r="AT967" s="77"/>
      <c r="AU967" s="77"/>
      <c r="AV967" s="80" t="str">
        <f>HYPERLINK("https://pbs.twimg.com/profile_images/1419306919957835777/YkOLJSly_normal.jpg")</f>
        <v>https://pbs.twimg.com/profile_images/1419306919957835777/YkOLJSly_normal.jpg</v>
      </c>
      <c r="AW967" s="82" t="s">
        <v>14062</v>
      </c>
      <c r="AX967" s="82" t="s">
        <v>14062</v>
      </c>
      <c r="AY967" s="77"/>
      <c r="AZ967" s="82" t="s">
        <v>17385</v>
      </c>
      <c r="BA967" s="82" t="s">
        <v>17385</v>
      </c>
      <c r="BB967" s="82" t="s">
        <v>17385</v>
      </c>
      <c r="BC967" s="82" t="s">
        <v>14062</v>
      </c>
      <c r="BD967" s="82" t="s">
        <v>17546</v>
      </c>
      <c r="BE967" s="77"/>
      <c r="BF967" s="77"/>
      <c r="BG967" s="77"/>
      <c r="BH967" s="77"/>
      <c r="BI967" s="77"/>
    </row>
    <row r="968" spans="1:61" x14ac:dyDescent="0.25">
      <c r="A968" s="62" t="s">
        <v>420</v>
      </c>
      <c r="B968" s="62" t="s">
        <v>420</v>
      </c>
      <c r="C968" s="63"/>
      <c r="D968" s="64"/>
      <c r="E968" s="65"/>
      <c r="F968" s="66"/>
      <c r="G968" s="63"/>
      <c r="H968" s="67"/>
      <c r="I968" s="68"/>
      <c r="J968" s="68"/>
      <c r="K968" s="32"/>
      <c r="L968" s="75">
        <v>968</v>
      </c>
      <c r="M968" s="75"/>
      <c r="N968" s="70"/>
      <c r="O968" s="77" t="s">
        <v>179</v>
      </c>
      <c r="P968" s="79">
        <v>45065.521249999998</v>
      </c>
      <c r="Q968" s="77" t="s">
        <v>1759</v>
      </c>
      <c r="R968" s="77">
        <v>0</v>
      </c>
      <c r="S968" s="77">
        <v>0</v>
      </c>
      <c r="T968" s="77">
        <v>0</v>
      </c>
      <c r="U968" s="77">
        <v>0</v>
      </c>
      <c r="V968" s="77">
        <v>27</v>
      </c>
      <c r="W968" s="82" t="s">
        <v>5439</v>
      </c>
      <c r="X968" s="80" t="str">
        <f>HYPERLINK("https://youtu.be/H4wEV_H1hh4")</f>
        <v>https://youtu.be/H4wEV_H1hh4</v>
      </c>
      <c r="Y968" s="77" t="s">
        <v>7064</v>
      </c>
      <c r="Z968" s="77"/>
      <c r="AA968" s="77"/>
      <c r="AB968" s="77"/>
      <c r="AC968" s="82" t="s">
        <v>8248</v>
      </c>
      <c r="AD968" s="77" t="s">
        <v>8278</v>
      </c>
      <c r="AE968" s="80" t="str">
        <f>HYPERLINK("https://twitter.com/noalvo3/status/1659537036242571267")</f>
        <v>https://twitter.com/noalvo3/status/1659537036242571267</v>
      </c>
      <c r="AF968" s="79">
        <v>45065.521249999998</v>
      </c>
      <c r="AG968" s="85">
        <v>45065</v>
      </c>
      <c r="AH968" s="82" t="s">
        <v>9126</v>
      </c>
      <c r="AI968" s="77" t="b">
        <v>0</v>
      </c>
      <c r="AJ968" s="77"/>
      <c r="AK968" s="77"/>
      <c r="AL968" s="77"/>
      <c r="AM968" s="77"/>
      <c r="AN968" s="77"/>
      <c r="AO968" s="77"/>
      <c r="AP968" s="77"/>
      <c r="AQ968" s="77"/>
      <c r="AR968" s="77"/>
      <c r="AS968" s="77"/>
      <c r="AT968" s="77"/>
      <c r="AU968" s="77"/>
      <c r="AV968" s="80" t="str">
        <f>HYPERLINK("https://pbs.twimg.com/profile_images/1419306919957835777/YkOLJSly_normal.jpg")</f>
        <v>https://pbs.twimg.com/profile_images/1419306919957835777/YkOLJSly_normal.jpg</v>
      </c>
      <c r="AW968" s="82" t="s">
        <v>14063</v>
      </c>
      <c r="AX968" s="82" t="s">
        <v>14063</v>
      </c>
      <c r="AY968" s="77"/>
      <c r="AZ968" s="82" t="s">
        <v>17385</v>
      </c>
      <c r="BA968" s="82" t="s">
        <v>17385</v>
      </c>
      <c r="BB968" s="82" t="s">
        <v>17385</v>
      </c>
      <c r="BC968" s="82" t="s">
        <v>14063</v>
      </c>
      <c r="BD968" s="82" t="s">
        <v>17546</v>
      </c>
      <c r="BE968" s="77"/>
      <c r="BF968" s="77"/>
      <c r="BG968" s="77"/>
      <c r="BH968" s="77"/>
      <c r="BI968" s="77"/>
    </row>
    <row r="969" spans="1:61" x14ac:dyDescent="0.25">
      <c r="A969" s="62" t="s">
        <v>420</v>
      </c>
      <c r="B969" s="62" t="s">
        <v>420</v>
      </c>
      <c r="C969" s="63"/>
      <c r="D969" s="64"/>
      <c r="E969" s="65"/>
      <c r="F969" s="66"/>
      <c r="G969" s="63"/>
      <c r="H969" s="67"/>
      <c r="I969" s="68"/>
      <c r="J969" s="68"/>
      <c r="K969" s="32"/>
      <c r="L969" s="75">
        <v>969</v>
      </c>
      <c r="M969" s="75"/>
      <c r="N969" s="70"/>
      <c r="O969" s="77" t="s">
        <v>179</v>
      </c>
      <c r="P969" s="79">
        <v>45147.827627314815</v>
      </c>
      <c r="Q969" s="77" t="s">
        <v>1760</v>
      </c>
      <c r="R969" s="77">
        <v>0</v>
      </c>
      <c r="S969" s="77">
        <v>0</v>
      </c>
      <c r="T969" s="77">
        <v>0</v>
      </c>
      <c r="U969" s="77">
        <v>0</v>
      </c>
      <c r="V969" s="77">
        <v>49</v>
      </c>
      <c r="W969" s="82" t="s">
        <v>5462</v>
      </c>
      <c r="X969" s="80" t="str">
        <f>HYPERLINK("https://youtu.be/UQmwx5axCdE")</f>
        <v>https://youtu.be/UQmwx5axCdE</v>
      </c>
      <c r="Y969" s="77" t="s">
        <v>7064</v>
      </c>
      <c r="Z969" s="77"/>
      <c r="AA969" s="77"/>
      <c r="AB969" s="77"/>
      <c r="AC969" s="82" t="s">
        <v>8248</v>
      </c>
      <c r="AD969" s="77" t="s">
        <v>8278</v>
      </c>
      <c r="AE969" s="80" t="str">
        <f>HYPERLINK("https://twitter.com/noalvo3/status/1689363866554138624")</f>
        <v>https://twitter.com/noalvo3/status/1689363866554138624</v>
      </c>
      <c r="AF969" s="79">
        <v>45147.827627314815</v>
      </c>
      <c r="AG969" s="85">
        <v>45147</v>
      </c>
      <c r="AH969" s="82" t="s">
        <v>9127</v>
      </c>
      <c r="AI969" s="77" t="b">
        <v>0</v>
      </c>
      <c r="AJ969" s="77"/>
      <c r="AK969" s="77"/>
      <c r="AL969" s="77"/>
      <c r="AM969" s="77"/>
      <c r="AN969" s="77"/>
      <c r="AO969" s="77"/>
      <c r="AP969" s="77"/>
      <c r="AQ969" s="77"/>
      <c r="AR969" s="77"/>
      <c r="AS969" s="77"/>
      <c r="AT969" s="77"/>
      <c r="AU969" s="77"/>
      <c r="AV969" s="80" t="str">
        <f>HYPERLINK("https://pbs.twimg.com/profile_images/1419306919957835777/YkOLJSly_normal.jpg")</f>
        <v>https://pbs.twimg.com/profile_images/1419306919957835777/YkOLJSly_normal.jpg</v>
      </c>
      <c r="AW969" s="82" t="s">
        <v>14064</v>
      </c>
      <c r="AX969" s="82" t="s">
        <v>14064</v>
      </c>
      <c r="AY969" s="77"/>
      <c r="AZ969" s="82" t="s">
        <v>17385</v>
      </c>
      <c r="BA969" s="82" t="s">
        <v>17385</v>
      </c>
      <c r="BB969" s="82" t="s">
        <v>17385</v>
      </c>
      <c r="BC969" s="82" t="s">
        <v>14064</v>
      </c>
      <c r="BD969" s="82" t="s">
        <v>17546</v>
      </c>
      <c r="BE969" s="77"/>
      <c r="BF969" s="77"/>
      <c r="BG969" s="77"/>
      <c r="BH969" s="77"/>
      <c r="BI969" s="77"/>
    </row>
    <row r="970" spans="1:61" x14ac:dyDescent="0.25">
      <c r="A970" s="62" t="s">
        <v>420</v>
      </c>
      <c r="B970" s="62" t="s">
        <v>420</v>
      </c>
      <c r="C970" s="63"/>
      <c r="D970" s="64"/>
      <c r="E970" s="65"/>
      <c r="F970" s="66"/>
      <c r="G970" s="63"/>
      <c r="H970" s="67"/>
      <c r="I970" s="68"/>
      <c r="J970" s="68"/>
      <c r="K970" s="32"/>
      <c r="L970" s="75">
        <v>970</v>
      </c>
      <c r="M970" s="75"/>
      <c r="N970" s="70"/>
      <c r="O970" s="77" t="s">
        <v>179</v>
      </c>
      <c r="P970" s="79">
        <v>45085.490219907406</v>
      </c>
      <c r="Q970" s="77" t="s">
        <v>1761</v>
      </c>
      <c r="R970" s="77">
        <v>0</v>
      </c>
      <c r="S970" s="77">
        <v>0</v>
      </c>
      <c r="T970" s="77">
        <v>0</v>
      </c>
      <c r="U970" s="77">
        <v>0</v>
      </c>
      <c r="V970" s="77">
        <v>15</v>
      </c>
      <c r="W970" s="82" t="s">
        <v>5433</v>
      </c>
      <c r="X970" s="80" t="str">
        <f>HYPERLINK("https://youtu.be/8ES_a3oFu88")</f>
        <v>https://youtu.be/8ES_a3oFu88</v>
      </c>
      <c r="Y970" s="77" t="s">
        <v>7064</v>
      </c>
      <c r="Z970" s="77"/>
      <c r="AA970" s="77"/>
      <c r="AB970" s="77"/>
      <c r="AC970" s="82" t="s">
        <v>8248</v>
      </c>
      <c r="AD970" s="77" t="s">
        <v>8278</v>
      </c>
      <c r="AE970" s="80" t="str">
        <f>HYPERLINK("https://twitter.com/noalvo3/status/1666773546582802433")</f>
        <v>https://twitter.com/noalvo3/status/1666773546582802433</v>
      </c>
      <c r="AF970" s="79">
        <v>45085.490219907406</v>
      </c>
      <c r="AG970" s="85">
        <v>45085</v>
      </c>
      <c r="AH970" s="82" t="s">
        <v>9128</v>
      </c>
      <c r="AI970" s="77" t="b">
        <v>0</v>
      </c>
      <c r="AJ970" s="77"/>
      <c r="AK970" s="77"/>
      <c r="AL970" s="77"/>
      <c r="AM970" s="77"/>
      <c r="AN970" s="77"/>
      <c r="AO970" s="77"/>
      <c r="AP970" s="77"/>
      <c r="AQ970" s="77"/>
      <c r="AR970" s="77"/>
      <c r="AS970" s="77"/>
      <c r="AT970" s="77"/>
      <c r="AU970" s="77"/>
      <c r="AV970" s="80" t="str">
        <f>HYPERLINK("https://pbs.twimg.com/profile_images/1419306919957835777/YkOLJSly_normal.jpg")</f>
        <v>https://pbs.twimg.com/profile_images/1419306919957835777/YkOLJSly_normal.jpg</v>
      </c>
      <c r="AW970" s="82" t="s">
        <v>14065</v>
      </c>
      <c r="AX970" s="82" t="s">
        <v>14065</v>
      </c>
      <c r="AY970" s="77"/>
      <c r="AZ970" s="82" t="s">
        <v>17385</v>
      </c>
      <c r="BA970" s="82" t="s">
        <v>17385</v>
      </c>
      <c r="BB970" s="82" t="s">
        <v>17385</v>
      </c>
      <c r="BC970" s="82" t="s">
        <v>14065</v>
      </c>
      <c r="BD970" s="82" t="s">
        <v>17546</v>
      </c>
      <c r="BE970" s="77"/>
      <c r="BF970" s="77"/>
      <c r="BG970" s="77"/>
      <c r="BH970" s="77"/>
      <c r="BI970" s="77"/>
    </row>
    <row r="971" spans="1:61" x14ac:dyDescent="0.25">
      <c r="A971" s="62" t="s">
        <v>420</v>
      </c>
      <c r="B971" s="62" t="s">
        <v>420</v>
      </c>
      <c r="C971" s="63"/>
      <c r="D971" s="64"/>
      <c r="E971" s="65"/>
      <c r="F971" s="66"/>
      <c r="G971" s="63"/>
      <c r="H971" s="67"/>
      <c r="I971" s="68"/>
      <c r="J971" s="68"/>
      <c r="K971" s="32"/>
      <c r="L971" s="75">
        <v>971</v>
      </c>
      <c r="M971" s="75"/>
      <c r="N971" s="70"/>
      <c r="O971" s="77" t="s">
        <v>179</v>
      </c>
      <c r="P971" s="79">
        <v>45084.399675925924</v>
      </c>
      <c r="Q971" s="77" t="s">
        <v>1762</v>
      </c>
      <c r="R971" s="77">
        <v>0</v>
      </c>
      <c r="S971" s="77">
        <v>0</v>
      </c>
      <c r="T971" s="77">
        <v>0</v>
      </c>
      <c r="U971" s="77">
        <v>0</v>
      </c>
      <c r="V971" s="77">
        <v>34</v>
      </c>
      <c r="W971" s="82" t="s">
        <v>5463</v>
      </c>
      <c r="X971" s="80" t="str">
        <f>HYPERLINK("https://youtu.be/aqhMAOnp9dM")</f>
        <v>https://youtu.be/aqhMAOnp9dM</v>
      </c>
      <c r="Y971" s="77" t="s">
        <v>7064</v>
      </c>
      <c r="Z971" s="77"/>
      <c r="AA971" s="77"/>
      <c r="AB971" s="77"/>
      <c r="AC971" s="82" t="s">
        <v>8248</v>
      </c>
      <c r="AD971" s="77" t="s">
        <v>8278</v>
      </c>
      <c r="AE971" s="80" t="str">
        <f>HYPERLINK("https://twitter.com/noalvo3/status/1666378346240901121")</f>
        <v>https://twitter.com/noalvo3/status/1666378346240901121</v>
      </c>
      <c r="AF971" s="79">
        <v>45084.399675925924</v>
      </c>
      <c r="AG971" s="85">
        <v>45084</v>
      </c>
      <c r="AH971" s="82" t="s">
        <v>9129</v>
      </c>
      <c r="AI971" s="77" t="b">
        <v>0</v>
      </c>
      <c r="AJ971" s="77"/>
      <c r="AK971" s="77"/>
      <c r="AL971" s="77"/>
      <c r="AM971" s="77"/>
      <c r="AN971" s="77"/>
      <c r="AO971" s="77"/>
      <c r="AP971" s="77"/>
      <c r="AQ971" s="77"/>
      <c r="AR971" s="77"/>
      <c r="AS971" s="77"/>
      <c r="AT971" s="77"/>
      <c r="AU971" s="77"/>
      <c r="AV971" s="80" t="str">
        <f>HYPERLINK("https://pbs.twimg.com/profile_images/1419306919957835777/YkOLJSly_normal.jpg")</f>
        <v>https://pbs.twimg.com/profile_images/1419306919957835777/YkOLJSly_normal.jpg</v>
      </c>
      <c r="AW971" s="82" t="s">
        <v>14066</v>
      </c>
      <c r="AX971" s="82" t="s">
        <v>14066</v>
      </c>
      <c r="AY971" s="77"/>
      <c r="AZ971" s="82" t="s">
        <v>17385</v>
      </c>
      <c r="BA971" s="82" t="s">
        <v>17385</v>
      </c>
      <c r="BB971" s="82" t="s">
        <v>17385</v>
      </c>
      <c r="BC971" s="82" t="s">
        <v>14066</v>
      </c>
      <c r="BD971" s="82" t="s">
        <v>17546</v>
      </c>
      <c r="BE971" s="77"/>
      <c r="BF971" s="77"/>
      <c r="BG971" s="77"/>
      <c r="BH971" s="77"/>
      <c r="BI971" s="77"/>
    </row>
    <row r="972" spans="1:61" x14ac:dyDescent="0.25">
      <c r="A972" s="62" t="s">
        <v>421</v>
      </c>
      <c r="B972" s="62" t="s">
        <v>421</v>
      </c>
      <c r="C972" s="63"/>
      <c r="D972" s="64"/>
      <c r="E972" s="65"/>
      <c r="F972" s="66"/>
      <c r="G972" s="63"/>
      <c r="H972" s="67"/>
      <c r="I972" s="68"/>
      <c r="J972" s="68"/>
      <c r="K972" s="32"/>
      <c r="L972" s="75">
        <v>972</v>
      </c>
      <c r="M972" s="75"/>
      <c r="N972" s="70"/>
      <c r="O972" s="77" t="s">
        <v>179</v>
      </c>
      <c r="P972" s="79">
        <v>45082.044814814813</v>
      </c>
      <c r="Q972" s="77" t="s">
        <v>1763</v>
      </c>
      <c r="R972" s="77">
        <v>0</v>
      </c>
      <c r="S972" s="77">
        <v>0</v>
      </c>
      <c r="T972" s="77">
        <v>0</v>
      </c>
      <c r="U972" s="77">
        <v>0</v>
      </c>
      <c r="V972" s="77">
        <v>28</v>
      </c>
      <c r="W972" s="82" t="s">
        <v>5464</v>
      </c>
      <c r="X972" s="77"/>
      <c r="Y972" s="77"/>
      <c r="Z972" s="77"/>
      <c r="AA972" s="77" t="s">
        <v>7669</v>
      </c>
      <c r="AB972" s="77" t="s">
        <v>8227</v>
      </c>
      <c r="AC972" s="82" t="s">
        <v>8233</v>
      </c>
      <c r="AD972" s="77" t="s">
        <v>8278</v>
      </c>
      <c r="AE972" s="80" t="str">
        <f>HYPERLINK("https://twitter.com/georgestmattos/status/1665524976370298884")</f>
        <v>https://twitter.com/georgestmattos/status/1665524976370298884</v>
      </c>
      <c r="AF972" s="79">
        <v>45082.044814814813</v>
      </c>
      <c r="AG972" s="85">
        <v>45082</v>
      </c>
      <c r="AH972" s="82" t="s">
        <v>9130</v>
      </c>
      <c r="AI972" s="77" t="b">
        <v>0</v>
      </c>
      <c r="AJ972" s="77"/>
      <c r="AK972" s="77"/>
      <c r="AL972" s="77"/>
      <c r="AM972" s="77"/>
      <c r="AN972" s="77"/>
      <c r="AO972" s="77"/>
      <c r="AP972" s="77"/>
      <c r="AQ972" s="77" t="s">
        <v>12554</v>
      </c>
      <c r="AR972" s="77">
        <v>53366</v>
      </c>
      <c r="AS972" s="77"/>
      <c r="AT972" s="77"/>
      <c r="AU972" s="77"/>
      <c r="AV972" s="80" t="str">
        <f>HYPERLINK("https://pbs.twimg.com/ext_tw_video_thumb/1665524877078544387/pu/img/h25JLHEHZlceiP2V.jpg")</f>
        <v>https://pbs.twimg.com/ext_tw_video_thumb/1665524877078544387/pu/img/h25JLHEHZlceiP2V.jpg</v>
      </c>
      <c r="AW972" s="82" t="s">
        <v>14067</v>
      </c>
      <c r="AX972" s="82" t="s">
        <v>14067</v>
      </c>
      <c r="AY972" s="77"/>
      <c r="AZ972" s="82" t="s">
        <v>17385</v>
      </c>
      <c r="BA972" s="82" t="s">
        <v>17385</v>
      </c>
      <c r="BB972" s="82" t="s">
        <v>17385</v>
      </c>
      <c r="BC972" s="82" t="s">
        <v>14067</v>
      </c>
      <c r="BD972" s="82" t="s">
        <v>17547</v>
      </c>
      <c r="BE972" s="77"/>
      <c r="BF972" s="77"/>
      <c r="BG972" s="77"/>
      <c r="BH972" s="77"/>
      <c r="BI972" s="77"/>
    </row>
    <row r="973" spans="1:61" x14ac:dyDescent="0.25">
      <c r="A973" s="62" t="s">
        <v>422</v>
      </c>
      <c r="B973" s="62" t="s">
        <v>762</v>
      </c>
      <c r="C973" s="63"/>
      <c r="D973" s="64"/>
      <c r="E973" s="65"/>
      <c r="F973" s="66"/>
      <c r="G973" s="63"/>
      <c r="H973" s="67"/>
      <c r="I973" s="68"/>
      <c r="J973" s="68"/>
      <c r="K973" s="32"/>
      <c r="L973" s="75">
        <v>973</v>
      </c>
      <c r="M973" s="75"/>
      <c r="N973" s="70"/>
      <c r="O973" s="77" t="s">
        <v>802</v>
      </c>
      <c r="P973" s="79">
        <v>45139.591516203705</v>
      </c>
      <c r="Q973" s="77" t="s">
        <v>1764</v>
      </c>
      <c r="R973" s="77">
        <v>2</v>
      </c>
      <c r="S973" s="77">
        <v>9</v>
      </c>
      <c r="T973" s="77">
        <v>1</v>
      </c>
      <c r="U973" s="77">
        <v>0</v>
      </c>
      <c r="V973" s="77">
        <v>1493</v>
      </c>
      <c r="W973" s="82" t="s">
        <v>5465</v>
      </c>
      <c r="X973" s="77"/>
      <c r="Y973" s="77"/>
      <c r="Z973" s="77" t="s">
        <v>762</v>
      </c>
      <c r="AA973" s="77" t="s">
        <v>7670</v>
      </c>
      <c r="AB973" s="77" t="s">
        <v>8227</v>
      </c>
      <c r="AC973" s="82" t="s">
        <v>8232</v>
      </c>
      <c r="AD973" s="77" t="s">
        <v>8278</v>
      </c>
      <c r="AE973" s="80" t="str">
        <f>HYPERLINK("https://twitter.com/genialinveste/status/1686379202013257728")</f>
        <v>https://twitter.com/genialinveste/status/1686379202013257728</v>
      </c>
      <c r="AF973" s="79">
        <v>45139.591516203705</v>
      </c>
      <c r="AG973" s="85">
        <v>45139</v>
      </c>
      <c r="AH973" s="82" t="s">
        <v>9131</v>
      </c>
      <c r="AI973" s="77" t="b">
        <v>0</v>
      </c>
      <c r="AJ973" s="77"/>
      <c r="AK973" s="77"/>
      <c r="AL973" s="77"/>
      <c r="AM973" s="77"/>
      <c r="AN973" s="77"/>
      <c r="AO973" s="77"/>
      <c r="AP973" s="77"/>
      <c r="AQ973" s="77" t="s">
        <v>12555</v>
      </c>
      <c r="AR973" s="77">
        <v>51013</v>
      </c>
      <c r="AS973" s="77"/>
      <c r="AT973" s="77"/>
      <c r="AU973" s="77"/>
      <c r="AV973" s="80" t="str">
        <f>HYPERLINK("https://pbs.twimg.com/ext_tw_video_thumb/1686378463954120704/pu/img/MJ4zgV6pS2xJD9iu.jpg")</f>
        <v>https://pbs.twimg.com/ext_tw_video_thumb/1686378463954120704/pu/img/MJ4zgV6pS2xJD9iu.jpg</v>
      </c>
      <c r="AW973" s="82" t="s">
        <v>14068</v>
      </c>
      <c r="AX973" s="82" t="s">
        <v>14068</v>
      </c>
      <c r="AY973" s="77"/>
      <c r="AZ973" s="82" t="s">
        <v>17385</v>
      </c>
      <c r="BA973" s="82" t="s">
        <v>17385</v>
      </c>
      <c r="BB973" s="82" t="s">
        <v>17385</v>
      </c>
      <c r="BC973" s="82" t="s">
        <v>14068</v>
      </c>
      <c r="BD973" s="77">
        <v>3353280789</v>
      </c>
      <c r="BE973" s="77"/>
      <c r="BF973" s="77"/>
      <c r="BG973" s="77"/>
      <c r="BH973" s="77"/>
      <c r="BI973" s="77"/>
    </row>
    <row r="974" spans="1:61" x14ac:dyDescent="0.25">
      <c r="A974" s="62" t="s">
        <v>422</v>
      </c>
      <c r="B974" s="62" t="s">
        <v>762</v>
      </c>
      <c r="C974" s="63"/>
      <c r="D974" s="64"/>
      <c r="E974" s="65"/>
      <c r="F974" s="66"/>
      <c r="G974" s="63"/>
      <c r="H974" s="67"/>
      <c r="I974" s="68"/>
      <c r="J974" s="68"/>
      <c r="K974" s="32"/>
      <c r="L974" s="75">
        <v>974</v>
      </c>
      <c r="M974" s="75"/>
      <c r="N974" s="70"/>
      <c r="O974" s="77" t="s">
        <v>802</v>
      </c>
      <c r="P974" s="79">
        <v>45140.859456018516</v>
      </c>
      <c r="Q974" s="77" t="s">
        <v>1765</v>
      </c>
      <c r="R974" s="77">
        <v>1</v>
      </c>
      <c r="S974" s="77">
        <v>8</v>
      </c>
      <c r="T974" s="77">
        <v>0</v>
      </c>
      <c r="U974" s="77">
        <v>0</v>
      </c>
      <c r="V974" s="77">
        <v>1512</v>
      </c>
      <c r="W974" s="82" t="s">
        <v>4835</v>
      </c>
      <c r="X974" s="77"/>
      <c r="Y974" s="77"/>
      <c r="Z974" s="77" t="s">
        <v>762</v>
      </c>
      <c r="AA974" s="77" t="s">
        <v>7671</v>
      </c>
      <c r="AB974" s="77" t="s">
        <v>8227</v>
      </c>
      <c r="AC974" s="82" t="s">
        <v>8232</v>
      </c>
      <c r="AD974" s="77" t="s">
        <v>8278</v>
      </c>
      <c r="AE974" s="80" t="str">
        <f>HYPERLINK("https://twitter.com/genialinveste/status/1686838684866297857")</f>
        <v>https://twitter.com/genialinveste/status/1686838684866297857</v>
      </c>
      <c r="AF974" s="79">
        <v>45140.859456018516</v>
      </c>
      <c r="AG974" s="85">
        <v>45140</v>
      </c>
      <c r="AH974" s="82" t="s">
        <v>9132</v>
      </c>
      <c r="AI974" s="77" t="b">
        <v>0</v>
      </c>
      <c r="AJ974" s="77"/>
      <c r="AK974" s="77"/>
      <c r="AL974" s="77"/>
      <c r="AM974" s="77"/>
      <c r="AN974" s="77"/>
      <c r="AO974" s="77"/>
      <c r="AP974" s="77"/>
      <c r="AQ974" s="77" t="s">
        <v>12556</v>
      </c>
      <c r="AR974" s="77">
        <v>51618</v>
      </c>
      <c r="AS974" s="77"/>
      <c r="AT974" s="77"/>
      <c r="AU974" s="77"/>
      <c r="AV974" s="80" t="str">
        <f>HYPERLINK("https://pbs.twimg.com/ext_tw_video_thumb/1686837478840246272/pu/img/-7BEUjMdCQpmOy2k.jpg")</f>
        <v>https://pbs.twimg.com/ext_tw_video_thumb/1686837478840246272/pu/img/-7BEUjMdCQpmOy2k.jpg</v>
      </c>
      <c r="AW974" s="82" t="s">
        <v>14069</v>
      </c>
      <c r="AX974" s="82" t="s">
        <v>14069</v>
      </c>
      <c r="AY974" s="77"/>
      <c r="AZ974" s="82" t="s">
        <v>17385</v>
      </c>
      <c r="BA974" s="82" t="s">
        <v>17385</v>
      </c>
      <c r="BB974" s="82" t="s">
        <v>17385</v>
      </c>
      <c r="BC974" s="82" t="s">
        <v>14069</v>
      </c>
      <c r="BD974" s="77">
        <v>3353280789</v>
      </c>
      <c r="BE974" s="77"/>
      <c r="BF974" s="77"/>
      <c r="BG974" s="77"/>
      <c r="BH974" s="77"/>
      <c r="BI974" s="77"/>
    </row>
    <row r="975" spans="1:61" x14ac:dyDescent="0.25">
      <c r="A975" s="62" t="s">
        <v>422</v>
      </c>
      <c r="B975" s="62" t="s">
        <v>763</v>
      </c>
      <c r="C975" s="63"/>
      <c r="D975" s="64"/>
      <c r="E975" s="65"/>
      <c r="F975" s="66"/>
      <c r="G975" s="63"/>
      <c r="H975" s="67"/>
      <c r="I975" s="68"/>
      <c r="J975" s="68"/>
      <c r="K975" s="32"/>
      <c r="L975" s="75">
        <v>975</v>
      </c>
      <c r="M975" s="75"/>
      <c r="N975" s="70"/>
      <c r="O975" s="77" t="s">
        <v>802</v>
      </c>
      <c r="P975" s="79">
        <v>45161.623171296298</v>
      </c>
      <c r="Q975" s="77" t="s">
        <v>1766</v>
      </c>
      <c r="R975" s="77">
        <v>1</v>
      </c>
      <c r="S975" s="77">
        <v>14</v>
      </c>
      <c r="T975" s="77">
        <v>0</v>
      </c>
      <c r="U975" s="77">
        <v>0</v>
      </c>
      <c r="V975" s="77">
        <v>1176</v>
      </c>
      <c r="W975" s="82" t="s">
        <v>5466</v>
      </c>
      <c r="X975" s="77"/>
      <c r="Y975" s="77"/>
      <c r="Z975" s="77" t="s">
        <v>763</v>
      </c>
      <c r="AA975" s="77" t="s">
        <v>7672</v>
      </c>
      <c r="AB975" s="77" t="s">
        <v>8227</v>
      </c>
      <c r="AC975" s="82" t="s">
        <v>8232</v>
      </c>
      <c r="AD975" s="77" t="s">
        <v>8278</v>
      </c>
      <c r="AE975" s="80" t="str">
        <f>HYPERLINK("https://twitter.com/genialinveste/status/1694363204497911942")</f>
        <v>https://twitter.com/genialinveste/status/1694363204497911942</v>
      </c>
      <c r="AF975" s="79">
        <v>45161.623171296298</v>
      </c>
      <c r="AG975" s="85">
        <v>45161</v>
      </c>
      <c r="AH975" s="82" t="s">
        <v>9133</v>
      </c>
      <c r="AI975" s="77" t="b">
        <v>0</v>
      </c>
      <c r="AJ975" s="77"/>
      <c r="AK975" s="77"/>
      <c r="AL975" s="77"/>
      <c r="AM975" s="77"/>
      <c r="AN975" s="77"/>
      <c r="AO975" s="77"/>
      <c r="AP975" s="77"/>
      <c r="AQ975" s="77" t="s">
        <v>12557</v>
      </c>
      <c r="AR975" s="77">
        <v>54821</v>
      </c>
      <c r="AS975" s="77"/>
      <c r="AT975" s="77"/>
      <c r="AU975" s="77"/>
      <c r="AV975" s="80" t="str">
        <f>HYPERLINK("https://pbs.twimg.com/ext_tw_video_thumb/1694362778432077824/pu/img/k9IhhGgMbtKaBCME.jpg")</f>
        <v>https://pbs.twimg.com/ext_tw_video_thumb/1694362778432077824/pu/img/k9IhhGgMbtKaBCME.jpg</v>
      </c>
      <c r="AW975" s="82" t="s">
        <v>14070</v>
      </c>
      <c r="AX975" s="82" t="s">
        <v>14070</v>
      </c>
      <c r="AY975" s="77"/>
      <c r="AZ975" s="82" t="s">
        <v>17385</v>
      </c>
      <c r="BA975" s="82" t="s">
        <v>17385</v>
      </c>
      <c r="BB975" s="82" t="s">
        <v>17385</v>
      </c>
      <c r="BC975" s="82" t="s">
        <v>14070</v>
      </c>
      <c r="BD975" s="77">
        <v>3353280789</v>
      </c>
      <c r="BE975" s="77"/>
      <c r="BF975" s="77"/>
      <c r="BG975" s="77"/>
      <c r="BH975" s="77"/>
      <c r="BI975" s="77"/>
    </row>
    <row r="976" spans="1:61" x14ac:dyDescent="0.25">
      <c r="A976" s="62" t="s">
        <v>422</v>
      </c>
      <c r="B976" s="62" t="s">
        <v>422</v>
      </c>
      <c r="C976" s="63"/>
      <c r="D976" s="64"/>
      <c r="E976" s="65"/>
      <c r="F976" s="66"/>
      <c r="G976" s="63"/>
      <c r="H976" s="67"/>
      <c r="I976" s="68"/>
      <c r="J976" s="68"/>
      <c r="K976" s="32"/>
      <c r="L976" s="75">
        <v>976</v>
      </c>
      <c r="M976" s="75"/>
      <c r="N976" s="70"/>
      <c r="O976" s="77" t="s">
        <v>179</v>
      </c>
      <c r="P976" s="79">
        <v>45119.615543981483</v>
      </c>
      <c r="Q976" s="77" t="s">
        <v>1767</v>
      </c>
      <c r="R976" s="77">
        <v>0</v>
      </c>
      <c r="S976" s="77">
        <v>0</v>
      </c>
      <c r="T976" s="77">
        <v>0</v>
      </c>
      <c r="U976" s="77">
        <v>0</v>
      </c>
      <c r="V976" s="77">
        <v>352</v>
      </c>
      <c r="W976" s="82" t="s">
        <v>5467</v>
      </c>
      <c r="X976" s="77" t="s">
        <v>7039</v>
      </c>
      <c r="Y976" s="77" t="s">
        <v>7100</v>
      </c>
      <c r="Z976" s="77"/>
      <c r="AA976" s="77" t="s">
        <v>7673</v>
      </c>
      <c r="AB976" s="77" t="s">
        <v>8227</v>
      </c>
      <c r="AC976" s="82" t="s">
        <v>8233</v>
      </c>
      <c r="AD976" s="77" t="s">
        <v>8278</v>
      </c>
      <c r="AE976" s="80" t="str">
        <f>HYPERLINK("https://twitter.com/genialinveste/status/1679140150826225664")</f>
        <v>https://twitter.com/genialinveste/status/1679140150826225664</v>
      </c>
      <c r="AF976" s="79">
        <v>45119.615543981483</v>
      </c>
      <c r="AG976" s="85">
        <v>45119</v>
      </c>
      <c r="AH976" s="82" t="s">
        <v>9134</v>
      </c>
      <c r="AI976" s="77" t="b">
        <v>0</v>
      </c>
      <c r="AJ976" s="77" t="s">
        <v>11994</v>
      </c>
      <c r="AK976" s="77" t="s">
        <v>12007</v>
      </c>
      <c r="AL976" s="77" t="s">
        <v>12010</v>
      </c>
      <c r="AM976" s="77" t="s">
        <v>12014</v>
      </c>
      <c r="AN976" s="77" t="s">
        <v>12026</v>
      </c>
      <c r="AO976" s="77" t="s">
        <v>12040</v>
      </c>
      <c r="AP976" s="77" t="s">
        <v>12051</v>
      </c>
      <c r="AQ976" s="77" t="s">
        <v>12558</v>
      </c>
      <c r="AR976" s="77">
        <v>14966</v>
      </c>
      <c r="AS976" s="77"/>
      <c r="AT976" s="77"/>
      <c r="AU976" s="77"/>
      <c r="AV976" s="80" t="str">
        <f>HYPERLINK("https://pbs.twimg.com/amplify_video_thumb/1679140044647415809/img/xDXW1fWFsBUTDXnd.jpg")</f>
        <v>https://pbs.twimg.com/amplify_video_thumb/1679140044647415809/img/xDXW1fWFsBUTDXnd.jpg</v>
      </c>
      <c r="AW976" s="82" t="s">
        <v>14071</v>
      </c>
      <c r="AX976" s="82" t="s">
        <v>14071</v>
      </c>
      <c r="AY976" s="77"/>
      <c r="AZ976" s="82" t="s">
        <v>17385</v>
      </c>
      <c r="BA976" s="82" t="s">
        <v>17385</v>
      </c>
      <c r="BB976" s="82" t="s">
        <v>17385</v>
      </c>
      <c r="BC976" s="82" t="s">
        <v>14071</v>
      </c>
      <c r="BD976" s="77">
        <v>3353280789</v>
      </c>
      <c r="BE976" s="77"/>
      <c r="BF976" s="77"/>
      <c r="BG976" s="77"/>
      <c r="BH976" s="77"/>
      <c r="BI976" s="77"/>
    </row>
    <row r="977" spans="1:61" x14ac:dyDescent="0.25">
      <c r="A977" s="62" t="s">
        <v>422</v>
      </c>
      <c r="B977" s="62" t="s">
        <v>422</v>
      </c>
      <c r="C977" s="63"/>
      <c r="D977" s="64"/>
      <c r="E977" s="65"/>
      <c r="F977" s="66"/>
      <c r="G977" s="63"/>
      <c r="H977" s="67"/>
      <c r="I977" s="68"/>
      <c r="J977" s="68"/>
      <c r="K977" s="32"/>
      <c r="L977" s="75">
        <v>977</v>
      </c>
      <c r="M977" s="75"/>
      <c r="N977" s="70"/>
      <c r="O977" s="77" t="s">
        <v>179</v>
      </c>
      <c r="P977" s="79">
        <v>45149.757106481484</v>
      </c>
      <c r="Q977" s="77" t="s">
        <v>1768</v>
      </c>
      <c r="R977" s="77">
        <v>0</v>
      </c>
      <c r="S977" s="77">
        <v>0</v>
      </c>
      <c r="T977" s="77">
        <v>0</v>
      </c>
      <c r="U977" s="77">
        <v>0</v>
      </c>
      <c r="V977" s="77">
        <v>297</v>
      </c>
      <c r="W977" s="82" t="s">
        <v>5468</v>
      </c>
      <c r="X977" s="80" t="str">
        <f>HYPERLINK("https://youtu.be/SvoEb-8GdNc")</f>
        <v>https://youtu.be/SvoEb-8GdNc</v>
      </c>
      <c r="Y977" s="77" t="s">
        <v>7064</v>
      </c>
      <c r="Z977" s="77"/>
      <c r="AA977" s="77" t="s">
        <v>7674</v>
      </c>
      <c r="AB977" s="77" t="s">
        <v>8227</v>
      </c>
      <c r="AC977" s="82" t="s">
        <v>8232</v>
      </c>
      <c r="AD977" s="77" t="s">
        <v>8278</v>
      </c>
      <c r="AE977" s="80" t="str">
        <f>HYPERLINK("https://twitter.com/genialinveste/status/1690063088031002625")</f>
        <v>https://twitter.com/genialinveste/status/1690063088031002625</v>
      </c>
      <c r="AF977" s="79">
        <v>45149.757106481484</v>
      </c>
      <c r="AG977" s="85">
        <v>45149</v>
      </c>
      <c r="AH977" s="82" t="s">
        <v>9135</v>
      </c>
      <c r="AI977" s="77" t="b">
        <v>0</v>
      </c>
      <c r="AJ977" s="77"/>
      <c r="AK977" s="77"/>
      <c r="AL977" s="77"/>
      <c r="AM977" s="77"/>
      <c r="AN977" s="77"/>
      <c r="AO977" s="77"/>
      <c r="AP977" s="77"/>
      <c r="AQ977" s="77" t="s">
        <v>12559</v>
      </c>
      <c r="AR977" s="77">
        <v>44977</v>
      </c>
      <c r="AS977" s="77"/>
      <c r="AT977" s="77"/>
      <c r="AU977" s="77"/>
      <c r="AV977" s="80" t="str">
        <f>HYPERLINK("https://pbs.twimg.com/ext_tw_video_thumb/1690061423370551296/pu/img/dDwXP-YG1UZQmJYU.jpg")</f>
        <v>https://pbs.twimg.com/ext_tw_video_thumb/1690061423370551296/pu/img/dDwXP-YG1UZQmJYU.jpg</v>
      </c>
      <c r="AW977" s="82" t="s">
        <v>14072</v>
      </c>
      <c r="AX977" s="82" t="s">
        <v>14072</v>
      </c>
      <c r="AY977" s="77"/>
      <c r="AZ977" s="82" t="s">
        <v>17385</v>
      </c>
      <c r="BA977" s="82" t="s">
        <v>17385</v>
      </c>
      <c r="BB977" s="82" t="s">
        <v>17385</v>
      </c>
      <c r="BC977" s="82" t="s">
        <v>14072</v>
      </c>
      <c r="BD977" s="77">
        <v>3353280789</v>
      </c>
      <c r="BE977" s="77"/>
      <c r="BF977" s="77"/>
      <c r="BG977" s="77"/>
      <c r="BH977" s="77"/>
      <c r="BI977" s="77"/>
    </row>
    <row r="978" spans="1:61" x14ac:dyDescent="0.25">
      <c r="A978" s="62" t="s">
        <v>422</v>
      </c>
      <c r="B978" s="62" t="s">
        <v>422</v>
      </c>
      <c r="C978" s="63"/>
      <c r="D978" s="64"/>
      <c r="E978" s="65"/>
      <c r="F978" s="66"/>
      <c r="G978" s="63"/>
      <c r="H978" s="67"/>
      <c r="I978" s="68"/>
      <c r="J978" s="68"/>
      <c r="K978" s="32"/>
      <c r="L978" s="75">
        <v>978</v>
      </c>
      <c r="M978" s="75"/>
      <c r="N978" s="70"/>
      <c r="O978" s="77" t="s">
        <v>179</v>
      </c>
      <c r="P978" s="79">
        <v>45170.940347222226</v>
      </c>
      <c r="Q978" s="77" t="s">
        <v>1769</v>
      </c>
      <c r="R978" s="77">
        <v>0</v>
      </c>
      <c r="S978" s="77">
        <v>4</v>
      </c>
      <c r="T978" s="77">
        <v>0</v>
      </c>
      <c r="U978" s="77">
        <v>0</v>
      </c>
      <c r="V978" s="77">
        <v>399</v>
      </c>
      <c r="W978" s="82" t="s">
        <v>5469</v>
      </c>
      <c r="X978" s="80" t="str">
        <f>HYPERLINK("https://analisa.genialinvestimentos.com.br/")</f>
        <v>https://analisa.genialinvestimentos.com.br/</v>
      </c>
      <c r="Y978" s="77" t="s">
        <v>7053</v>
      </c>
      <c r="Z978" s="77"/>
      <c r="AA978" s="77" t="s">
        <v>7675</v>
      </c>
      <c r="AB978" s="77" t="s">
        <v>8225</v>
      </c>
      <c r="AC978" s="82" t="s">
        <v>8233</v>
      </c>
      <c r="AD978" s="77" t="s">
        <v>8278</v>
      </c>
      <c r="AE978" s="80" t="str">
        <f>HYPERLINK("https://twitter.com/genialinveste/status/1697739635458203779")</f>
        <v>https://twitter.com/genialinveste/status/1697739635458203779</v>
      </c>
      <c r="AF978" s="79">
        <v>45170.940347222226</v>
      </c>
      <c r="AG978" s="85">
        <v>45170</v>
      </c>
      <c r="AH978" s="82" t="s">
        <v>9136</v>
      </c>
      <c r="AI978" s="77" t="b">
        <v>0</v>
      </c>
      <c r="AJ978" s="77"/>
      <c r="AK978" s="77"/>
      <c r="AL978" s="77"/>
      <c r="AM978" s="77"/>
      <c r="AN978" s="77"/>
      <c r="AO978" s="77"/>
      <c r="AP978" s="77"/>
      <c r="AQ978" s="77" t="s">
        <v>12560</v>
      </c>
      <c r="AR978" s="77"/>
      <c r="AS978" s="77"/>
      <c r="AT978" s="77"/>
      <c r="AU978" s="77"/>
      <c r="AV978" s="80" t="str">
        <f>HYPERLINK("https://pbs.twimg.com/media/F4-VMs5WwAAAEJ6.jpg")</f>
        <v>https://pbs.twimg.com/media/F4-VMs5WwAAAEJ6.jpg</v>
      </c>
      <c r="AW978" s="82" t="s">
        <v>14073</v>
      </c>
      <c r="AX978" s="82" t="s">
        <v>14073</v>
      </c>
      <c r="AY978" s="77"/>
      <c r="AZ978" s="82" t="s">
        <v>17385</v>
      </c>
      <c r="BA978" s="82" t="s">
        <v>17385</v>
      </c>
      <c r="BB978" s="82" t="s">
        <v>17385</v>
      </c>
      <c r="BC978" s="82" t="s">
        <v>14073</v>
      </c>
      <c r="BD978" s="77">
        <v>3353280789</v>
      </c>
      <c r="BE978" s="77"/>
      <c r="BF978" s="77"/>
      <c r="BG978" s="77"/>
      <c r="BH978" s="77"/>
      <c r="BI978" s="77"/>
    </row>
    <row r="979" spans="1:61" x14ac:dyDescent="0.25">
      <c r="A979" s="62" t="s">
        <v>423</v>
      </c>
      <c r="B979" s="62" t="s">
        <v>423</v>
      </c>
      <c r="C979" s="63"/>
      <c r="D979" s="64"/>
      <c r="E979" s="65"/>
      <c r="F979" s="66"/>
      <c r="G979" s="63"/>
      <c r="H979" s="67"/>
      <c r="I979" s="68"/>
      <c r="J979" s="68"/>
      <c r="K979" s="32"/>
      <c r="L979" s="75">
        <v>979</v>
      </c>
      <c r="M979" s="75"/>
      <c r="N979" s="70"/>
      <c r="O979" s="77" t="s">
        <v>179</v>
      </c>
      <c r="P979" s="79">
        <v>45088.234085648146</v>
      </c>
      <c r="Q979" s="77" t="s">
        <v>1770</v>
      </c>
      <c r="R979" s="77">
        <v>0</v>
      </c>
      <c r="S979" s="77">
        <v>0</v>
      </c>
      <c r="T979" s="77">
        <v>0</v>
      </c>
      <c r="U979" s="77">
        <v>0</v>
      </c>
      <c r="V979" s="77">
        <v>2</v>
      </c>
      <c r="W979" s="82" t="s">
        <v>5470</v>
      </c>
      <c r="X979" s="80" t="str">
        <f>HYPERLINK("https://invistafinancas.com.br/como-investir-na-bolsa-de-valores/")</f>
        <v>https://invistafinancas.com.br/como-investir-na-bolsa-de-valores/</v>
      </c>
      <c r="Y979" s="77" t="s">
        <v>7053</v>
      </c>
      <c r="Z979" s="77"/>
      <c r="AA979" s="77"/>
      <c r="AB979" s="77"/>
      <c r="AC979" s="82" t="s">
        <v>8260</v>
      </c>
      <c r="AD979" s="77" t="s">
        <v>8278</v>
      </c>
      <c r="AE979" s="80" t="str">
        <f>HYPERLINK("https://twitter.com/invistafinancas/status/1667767891557482498")</f>
        <v>https://twitter.com/invistafinancas/status/1667767891557482498</v>
      </c>
      <c r="AF979" s="79">
        <v>45088.234085648146</v>
      </c>
      <c r="AG979" s="85">
        <v>45088</v>
      </c>
      <c r="AH979" s="82" t="s">
        <v>9137</v>
      </c>
      <c r="AI979" s="77" t="b">
        <v>0</v>
      </c>
      <c r="AJ979" s="77"/>
      <c r="AK979" s="77"/>
      <c r="AL979" s="77"/>
      <c r="AM979" s="77"/>
      <c r="AN979" s="77"/>
      <c r="AO979" s="77"/>
      <c r="AP979" s="77"/>
      <c r="AQ979" s="77"/>
      <c r="AR979" s="77"/>
      <c r="AS979" s="77"/>
      <c r="AT979" s="77"/>
      <c r="AU979" s="77"/>
      <c r="AV979" s="80" t="str">
        <f>HYPERLINK("https://pbs.twimg.com/profile_images/1662255358281232384/VCpgqGrM_normal.jpg")</f>
        <v>https://pbs.twimg.com/profile_images/1662255358281232384/VCpgqGrM_normal.jpg</v>
      </c>
      <c r="AW979" s="82" t="s">
        <v>14074</v>
      </c>
      <c r="AX979" s="82" t="s">
        <v>14074</v>
      </c>
      <c r="AY979" s="77"/>
      <c r="AZ979" s="82" t="s">
        <v>17385</v>
      </c>
      <c r="BA979" s="82" t="s">
        <v>17385</v>
      </c>
      <c r="BB979" s="82" t="s">
        <v>17385</v>
      </c>
      <c r="BC979" s="82" t="s">
        <v>14074</v>
      </c>
      <c r="BD979" s="82" t="s">
        <v>17548</v>
      </c>
      <c r="BE979" s="77"/>
      <c r="BF979" s="77"/>
      <c r="BG979" s="77"/>
      <c r="BH979" s="77"/>
      <c r="BI979" s="77"/>
    </row>
    <row r="980" spans="1:61" x14ac:dyDescent="0.25">
      <c r="A980" s="62" t="s">
        <v>423</v>
      </c>
      <c r="B980" s="62" t="s">
        <v>423</v>
      </c>
      <c r="C980" s="63"/>
      <c r="D980" s="64"/>
      <c r="E980" s="65"/>
      <c r="F980" s="66"/>
      <c r="G980" s="63"/>
      <c r="H980" s="67"/>
      <c r="I980" s="68"/>
      <c r="J980" s="68"/>
      <c r="K980" s="32"/>
      <c r="L980" s="75">
        <v>980</v>
      </c>
      <c r="M980" s="75"/>
      <c r="N980" s="70"/>
      <c r="O980" s="77" t="s">
        <v>179</v>
      </c>
      <c r="P980" s="79">
        <v>45196.31318287037</v>
      </c>
      <c r="Q980" s="77" t="s">
        <v>1771</v>
      </c>
      <c r="R980" s="77">
        <v>0</v>
      </c>
      <c r="S980" s="77">
        <v>0</v>
      </c>
      <c r="T980" s="77">
        <v>0</v>
      </c>
      <c r="U980" s="77">
        <v>0</v>
      </c>
      <c r="V980" s="77">
        <v>10</v>
      </c>
      <c r="W980" s="82" t="s">
        <v>5471</v>
      </c>
      <c r="X980" s="80" t="str">
        <f>HYPERLINK("https://invistafinancas.com.br/acoes/acoes-o-que-e-como-comprar-onde-comprar-e-mais/")</f>
        <v>https://invistafinancas.com.br/acoes/acoes-o-que-e-como-comprar-onde-comprar-e-mais/</v>
      </c>
      <c r="Y980" s="77" t="s">
        <v>7053</v>
      </c>
      <c r="Z980" s="77"/>
      <c r="AA980" s="77"/>
      <c r="AB980" s="77"/>
      <c r="AC980" s="82" t="s">
        <v>8260</v>
      </c>
      <c r="AD980" s="77" t="s">
        <v>8278</v>
      </c>
      <c r="AE980" s="80" t="str">
        <f>HYPERLINK("https://twitter.com/invistafinancas/status/1706934444085358703")</f>
        <v>https://twitter.com/invistafinancas/status/1706934444085358703</v>
      </c>
      <c r="AF980" s="79">
        <v>45196.31318287037</v>
      </c>
      <c r="AG980" s="85">
        <v>45196</v>
      </c>
      <c r="AH980" s="82" t="s">
        <v>9138</v>
      </c>
      <c r="AI980" s="77" t="b">
        <v>0</v>
      </c>
      <c r="AJ980" s="77"/>
      <c r="AK980" s="77"/>
      <c r="AL980" s="77"/>
      <c r="AM980" s="77"/>
      <c r="AN980" s="77"/>
      <c r="AO980" s="77"/>
      <c r="AP980" s="77"/>
      <c r="AQ980" s="77"/>
      <c r="AR980" s="77"/>
      <c r="AS980" s="77"/>
      <c r="AT980" s="77"/>
      <c r="AU980" s="77"/>
      <c r="AV980" s="80" t="str">
        <f>HYPERLINK("https://pbs.twimg.com/profile_images/1662255358281232384/VCpgqGrM_normal.jpg")</f>
        <v>https://pbs.twimg.com/profile_images/1662255358281232384/VCpgqGrM_normal.jpg</v>
      </c>
      <c r="AW980" s="82" t="s">
        <v>14075</v>
      </c>
      <c r="AX980" s="82" t="s">
        <v>14075</v>
      </c>
      <c r="AY980" s="77"/>
      <c r="AZ980" s="82" t="s">
        <v>17385</v>
      </c>
      <c r="BA980" s="82" t="s">
        <v>17385</v>
      </c>
      <c r="BB980" s="82" t="s">
        <v>17385</v>
      </c>
      <c r="BC980" s="82" t="s">
        <v>14075</v>
      </c>
      <c r="BD980" s="82" t="s">
        <v>17548</v>
      </c>
      <c r="BE980" s="77"/>
      <c r="BF980" s="77"/>
      <c r="BG980" s="77"/>
      <c r="BH980" s="77"/>
      <c r="BI980" s="77"/>
    </row>
    <row r="981" spans="1:61" x14ac:dyDescent="0.25">
      <c r="A981" s="62" t="s">
        <v>424</v>
      </c>
      <c r="B981" s="62" t="s">
        <v>424</v>
      </c>
      <c r="C981" s="63"/>
      <c r="D981" s="64"/>
      <c r="E981" s="65"/>
      <c r="F981" s="66"/>
      <c r="G981" s="63"/>
      <c r="H981" s="67"/>
      <c r="I981" s="68"/>
      <c r="J981" s="68"/>
      <c r="K981" s="32"/>
      <c r="L981" s="75">
        <v>981</v>
      </c>
      <c r="M981" s="75"/>
      <c r="N981" s="70"/>
      <c r="O981" s="77" t="s">
        <v>179</v>
      </c>
      <c r="P981" s="79">
        <v>45138.852129629631</v>
      </c>
      <c r="Q981" s="77" t="s">
        <v>1772</v>
      </c>
      <c r="R981" s="77">
        <v>0</v>
      </c>
      <c r="S981" s="77">
        <v>0</v>
      </c>
      <c r="T981" s="77">
        <v>2</v>
      </c>
      <c r="U981" s="77">
        <v>0</v>
      </c>
      <c r="V981" s="77">
        <v>373</v>
      </c>
      <c r="W981" s="82" t="s">
        <v>5472</v>
      </c>
      <c r="X981" s="80" t="str">
        <f>HYPERLINK("https://br.cointelegraph.com/news/opportunities-and-comparison-of-bitcoin-exposed-stocks-identifying-strong-names-in-the-market")</f>
        <v>https://br.cointelegraph.com/news/opportunities-and-comparison-of-bitcoin-exposed-stocks-identifying-strong-names-in-the-market</v>
      </c>
      <c r="Y981" s="77" t="s">
        <v>7101</v>
      </c>
      <c r="Z981" s="77"/>
      <c r="AA981" s="77"/>
      <c r="AB981" s="77"/>
      <c r="AC981" s="82" t="s">
        <v>7094</v>
      </c>
      <c r="AD981" s="77" t="s">
        <v>8278</v>
      </c>
      <c r="AE981" s="80" t="str">
        <f>HYPERLINK("https://twitter.com/brcointelegraph/status/1686111255373963264")</f>
        <v>https://twitter.com/brcointelegraph/status/1686111255373963264</v>
      </c>
      <c r="AF981" s="79">
        <v>45138.852129629631</v>
      </c>
      <c r="AG981" s="85">
        <v>45138</v>
      </c>
      <c r="AH981" s="82" t="s">
        <v>9139</v>
      </c>
      <c r="AI981" s="77" t="b">
        <v>0</v>
      </c>
      <c r="AJ981" s="77"/>
      <c r="AK981" s="77"/>
      <c r="AL981" s="77"/>
      <c r="AM981" s="77"/>
      <c r="AN981" s="77"/>
      <c r="AO981" s="77"/>
      <c r="AP981" s="77"/>
      <c r="AQ981" s="77"/>
      <c r="AR981" s="77"/>
      <c r="AS981" s="77"/>
      <c r="AT981" s="77"/>
      <c r="AU981" s="77"/>
      <c r="AV981" s="80" t="str">
        <f>HYPERLINK("https://pbs.twimg.com/profile_images/1324374202254807040/YzIrsvCU_normal.jpg")</f>
        <v>https://pbs.twimg.com/profile_images/1324374202254807040/YzIrsvCU_normal.jpg</v>
      </c>
      <c r="AW981" s="82" t="s">
        <v>14076</v>
      </c>
      <c r="AX981" s="82" t="s">
        <v>14076</v>
      </c>
      <c r="AY981" s="77"/>
      <c r="AZ981" s="82" t="s">
        <v>17385</v>
      </c>
      <c r="BA981" s="82" t="s">
        <v>17385</v>
      </c>
      <c r="BB981" s="82" t="s">
        <v>17385</v>
      </c>
      <c r="BC981" s="82" t="s">
        <v>14076</v>
      </c>
      <c r="BD981" s="82" t="s">
        <v>17549</v>
      </c>
      <c r="BE981" s="77"/>
      <c r="BF981" s="77"/>
      <c r="BG981" s="77"/>
      <c r="BH981" s="77"/>
      <c r="BI981" s="77"/>
    </row>
    <row r="982" spans="1:61" x14ac:dyDescent="0.25">
      <c r="A982" s="62" t="s">
        <v>425</v>
      </c>
      <c r="B982" s="62" t="s">
        <v>425</v>
      </c>
      <c r="C982" s="63"/>
      <c r="D982" s="64"/>
      <c r="E982" s="65"/>
      <c r="F982" s="66"/>
      <c r="G982" s="63"/>
      <c r="H982" s="67"/>
      <c r="I982" s="68"/>
      <c r="J982" s="68"/>
      <c r="K982" s="32"/>
      <c r="L982" s="75">
        <v>982</v>
      </c>
      <c r="M982" s="75"/>
      <c r="N982" s="70"/>
      <c r="O982" s="77" t="s">
        <v>179</v>
      </c>
      <c r="P982" s="79">
        <v>45139.740624999999</v>
      </c>
      <c r="Q982" s="77" t="s">
        <v>1773</v>
      </c>
      <c r="R982" s="77">
        <v>0</v>
      </c>
      <c r="S982" s="77">
        <v>0</v>
      </c>
      <c r="T982" s="77">
        <v>0</v>
      </c>
      <c r="U982" s="77">
        <v>0</v>
      </c>
      <c r="V982" s="77">
        <v>192</v>
      </c>
      <c r="W982" s="82" t="s">
        <v>5473</v>
      </c>
      <c r="X982" s="80" t="str">
        <f>HYPERLINK("https://www.seudinheiro.com/2023/empresas/gasolina-petrobras-presidente-lula-prates-rens/")</f>
        <v>https://www.seudinheiro.com/2023/empresas/gasolina-petrobras-presidente-lula-prates-rens/</v>
      </c>
      <c r="Y982" s="77" t="s">
        <v>7102</v>
      </c>
      <c r="Z982" s="77"/>
      <c r="AA982" s="77"/>
      <c r="AB982" s="77"/>
      <c r="AC982" s="82" t="s">
        <v>8255</v>
      </c>
      <c r="AD982" s="77" t="s">
        <v>8278</v>
      </c>
      <c r="AE982" s="80" t="str">
        <f>HYPERLINK("https://twitter.com/seu_dinheiro_br/status/1686433236166070281")</f>
        <v>https://twitter.com/seu_dinheiro_br/status/1686433236166070281</v>
      </c>
      <c r="AF982" s="79">
        <v>45139.740624999999</v>
      </c>
      <c r="AG982" s="85">
        <v>45139</v>
      </c>
      <c r="AH982" s="82" t="s">
        <v>9140</v>
      </c>
      <c r="AI982" s="77" t="b">
        <v>0</v>
      </c>
      <c r="AJ982" s="77"/>
      <c r="AK982" s="77"/>
      <c r="AL982" s="77"/>
      <c r="AM982" s="77"/>
      <c r="AN982" s="77"/>
      <c r="AO982" s="77"/>
      <c r="AP982" s="77"/>
      <c r="AQ982" s="77"/>
      <c r="AR982" s="77"/>
      <c r="AS982" s="77"/>
      <c r="AT982" s="77"/>
      <c r="AU982" s="77"/>
      <c r="AV982" s="80" t="str">
        <f>HYPERLINK("https://pbs.twimg.com/profile_images/1041725334431952896/uaPtkYSp_normal.jpg")</f>
        <v>https://pbs.twimg.com/profile_images/1041725334431952896/uaPtkYSp_normal.jpg</v>
      </c>
      <c r="AW982" s="82" t="s">
        <v>14077</v>
      </c>
      <c r="AX982" s="82" t="s">
        <v>14077</v>
      </c>
      <c r="AY982" s="77"/>
      <c r="AZ982" s="82" t="s">
        <v>17385</v>
      </c>
      <c r="BA982" s="82" t="s">
        <v>17385</v>
      </c>
      <c r="BB982" s="82" t="s">
        <v>17385</v>
      </c>
      <c r="BC982" s="82" t="s">
        <v>14077</v>
      </c>
      <c r="BD982" s="82" t="s">
        <v>17550</v>
      </c>
      <c r="BE982" s="77"/>
      <c r="BF982" s="77"/>
      <c r="BG982" s="77"/>
      <c r="BH982" s="77"/>
      <c r="BI982" s="77"/>
    </row>
    <row r="983" spans="1:61" x14ac:dyDescent="0.25">
      <c r="A983" s="62" t="s">
        <v>425</v>
      </c>
      <c r="B983" s="62" t="s">
        <v>425</v>
      </c>
      <c r="C983" s="63"/>
      <c r="D983" s="64"/>
      <c r="E983" s="65"/>
      <c r="F983" s="66"/>
      <c r="G983" s="63"/>
      <c r="H983" s="67"/>
      <c r="I983" s="68"/>
      <c r="J983" s="68"/>
      <c r="K983" s="32"/>
      <c r="L983" s="75">
        <v>983</v>
      </c>
      <c r="M983" s="75"/>
      <c r="N983" s="70"/>
      <c r="O983" s="77" t="s">
        <v>179</v>
      </c>
      <c r="P983" s="79">
        <v>45139.603807870371</v>
      </c>
      <c r="Q983" s="77" t="s">
        <v>1774</v>
      </c>
      <c r="R983" s="77">
        <v>0</v>
      </c>
      <c r="S983" s="77">
        <v>0</v>
      </c>
      <c r="T983" s="77">
        <v>0</v>
      </c>
      <c r="U983" s="77">
        <v>0</v>
      </c>
      <c r="V983" s="77">
        <v>196</v>
      </c>
      <c r="W983" s="82" t="s">
        <v>5474</v>
      </c>
      <c r="X983" s="80" t="str">
        <f>HYPERLINK("https://www.seudinheiro.com/2023/bolsa-dolar/ibovespa-deve-contar-com-uma-nova-acao-a-partir-de-setembro-saiba-quem-e-a-estreante-na-elite-da-b3-vamos-vamo3-vinp/")</f>
        <v>https://www.seudinheiro.com/2023/bolsa-dolar/ibovespa-deve-contar-com-uma-nova-acao-a-partir-de-setembro-saiba-quem-e-a-estreante-na-elite-da-b3-vamos-vamo3-vinp/</v>
      </c>
      <c r="Y983" s="77" t="s">
        <v>7102</v>
      </c>
      <c r="Z983" s="77"/>
      <c r="AA983" s="77"/>
      <c r="AB983" s="77"/>
      <c r="AC983" s="82" t="s">
        <v>8255</v>
      </c>
      <c r="AD983" s="77" t="s">
        <v>8278</v>
      </c>
      <c r="AE983" s="80" t="str">
        <f>HYPERLINK("https://twitter.com/seu_dinheiro_br/status/1686383655403565056")</f>
        <v>https://twitter.com/seu_dinheiro_br/status/1686383655403565056</v>
      </c>
      <c r="AF983" s="79">
        <v>45139.603807870371</v>
      </c>
      <c r="AG983" s="85">
        <v>45139</v>
      </c>
      <c r="AH983" s="82" t="s">
        <v>9141</v>
      </c>
      <c r="AI983" s="77" t="b">
        <v>0</v>
      </c>
      <c r="AJ983" s="77"/>
      <c r="AK983" s="77"/>
      <c r="AL983" s="77"/>
      <c r="AM983" s="77"/>
      <c r="AN983" s="77"/>
      <c r="AO983" s="77"/>
      <c r="AP983" s="77"/>
      <c r="AQ983" s="77"/>
      <c r="AR983" s="77"/>
      <c r="AS983" s="77"/>
      <c r="AT983" s="77"/>
      <c r="AU983" s="77"/>
      <c r="AV983" s="80" t="str">
        <f>HYPERLINK("https://pbs.twimg.com/profile_images/1041725334431952896/uaPtkYSp_normal.jpg")</f>
        <v>https://pbs.twimg.com/profile_images/1041725334431952896/uaPtkYSp_normal.jpg</v>
      </c>
      <c r="AW983" s="82" t="s">
        <v>14078</v>
      </c>
      <c r="AX983" s="82" t="s">
        <v>14078</v>
      </c>
      <c r="AY983" s="77"/>
      <c r="AZ983" s="82" t="s">
        <v>17385</v>
      </c>
      <c r="BA983" s="82" t="s">
        <v>17385</v>
      </c>
      <c r="BB983" s="82" t="s">
        <v>17385</v>
      </c>
      <c r="BC983" s="82" t="s">
        <v>14078</v>
      </c>
      <c r="BD983" s="82" t="s">
        <v>17550</v>
      </c>
      <c r="BE983" s="77"/>
      <c r="BF983" s="77"/>
      <c r="BG983" s="77"/>
      <c r="BH983" s="77"/>
      <c r="BI983" s="77"/>
    </row>
    <row r="984" spans="1:61" x14ac:dyDescent="0.25">
      <c r="A984" s="62" t="s">
        <v>425</v>
      </c>
      <c r="B984" s="62" t="s">
        <v>425</v>
      </c>
      <c r="C984" s="63"/>
      <c r="D984" s="64"/>
      <c r="E984" s="65"/>
      <c r="F984" s="66"/>
      <c r="G984" s="63"/>
      <c r="H984" s="67"/>
      <c r="I984" s="68"/>
      <c r="J984" s="68"/>
      <c r="K984" s="32"/>
      <c r="L984" s="75">
        <v>984</v>
      </c>
      <c r="M984" s="75"/>
      <c r="N984" s="70"/>
      <c r="O984" s="77" t="s">
        <v>179</v>
      </c>
      <c r="P984" s="79">
        <v>45139.57671296296</v>
      </c>
      <c r="Q984" s="77" t="s">
        <v>1775</v>
      </c>
      <c r="R984" s="77">
        <v>0</v>
      </c>
      <c r="S984" s="77">
        <v>0</v>
      </c>
      <c r="T984" s="77">
        <v>0</v>
      </c>
      <c r="U984" s="77">
        <v>0</v>
      </c>
      <c r="V984" s="77">
        <v>220</v>
      </c>
      <c r="W984" s="82" t="s">
        <v>5475</v>
      </c>
      <c r="X984" s="80" t="str">
        <f>HYPERLINK("https://www.seudinheiro.com/2023/empresas/mudanca-de-ceo-trackefield-tfco4-julw/")</f>
        <v>https://www.seudinheiro.com/2023/empresas/mudanca-de-ceo-trackefield-tfco4-julw/</v>
      </c>
      <c r="Y984" s="77" t="s">
        <v>7102</v>
      </c>
      <c r="Z984" s="77"/>
      <c r="AA984" s="77"/>
      <c r="AB984" s="77"/>
      <c r="AC984" s="82" t="s">
        <v>8255</v>
      </c>
      <c r="AD984" s="77" t="s">
        <v>8278</v>
      </c>
      <c r="AE984" s="80" t="str">
        <f>HYPERLINK("https://twitter.com/seu_dinheiro_br/status/1686373837250646016")</f>
        <v>https://twitter.com/seu_dinheiro_br/status/1686373837250646016</v>
      </c>
      <c r="AF984" s="79">
        <v>45139.57671296296</v>
      </c>
      <c r="AG984" s="85">
        <v>45139</v>
      </c>
      <c r="AH984" s="82" t="s">
        <v>9142</v>
      </c>
      <c r="AI984" s="77" t="b">
        <v>0</v>
      </c>
      <c r="AJ984" s="77"/>
      <c r="AK984" s="77"/>
      <c r="AL984" s="77"/>
      <c r="AM984" s="77"/>
      <c r="AN984" s="77"/>
      <c r="AO984" s="77"/>
      <c r="AP984" s="77"/>
      <c r="AQ984" s="77"/>
      <c r="AR984" s="77"/>
      <c r="AS984" s="77"/>
      <c r="AT984" s="77"/>
      <c r="AU984" s="77"/>
      <c r="AV984" s="80" t="str">
        <f>HYPERLINK("https://pbs.twimg.com/profile_images/1041725334431952896/uaPtkYSp_normal.jpg")</f>
        <v>https://pbs.twimg.com/profile_images/1041725334431952896/uaPtkYSp_normal.jpg</v>
      </c>
      <c r="AW984" s="82" t="s">
        <v>14079</v>
      </c>
      <c r="AX984" s="82" t="s">
        <v>14079</v>
      </c>
      <c r="AY984" s="77"/>
      <c r="AZ984" s="82" t="s">
        <v>17385</v>
      </c>
      <c r="BA984" s="82" t="s">
        <v>17385</v>
      </c>
      <c r="BB984" s="82" t="s">
        <v>17385</v>
      </c>
      <c r="BC984" s="82" t="s">
        <v>14079</v>
      </c>
      <c r="BD984" s="82" t="s">
        <v>17550</v>
      </c>
      <c r="BE984" s="77"/>
      <c r="BF984" s="77"/>
      <c r="BG984" s="77"/>
      <c r="BH984" s="77"/>
      <c r="BI984" s="77"/>
    </row>
    <row r="985" spans="1:61" x14ac:dyDescent="0.25">
      <c r="A985" s="62" t="s">
        <v>425</v>
      </c>
      <c r="B985" s="62" t="s">
        <v>425</v>
      </c>
      <c r="C985" s="63"/>
      <c r="D985" s="64"/>
      <c r="E985" s="65"/>
      <c r="F985" s="66"/>
      <c r="G985" s="63"/>
      <c r="H985" s="67"/>
      <c r="I985" s="68"/>
      <c r="J985" s="68"/>
      <c r="K985" s="32"/>
      <c r="L985" s="75">
        <v>985</v>
      </c>
      <c r="M985" s="75"/>
      <c r="N985" s="70"/>
      <c r="O985" s="77" t="s">
        <v>179</v>
      </c>
      <c r="P985" s="79">
        <v>45137.679409722223</v>
      </c>
      <c r="Q985" s="77" t="s">
        <v>1776</v>
      </c>
      <c r="R985" s="77">
        <v>0</v>
      </c>
      <c r="S985" s="77">
        <v>0</v>
      </c>
      <c r="T985" s="77">
        <v>0</v>
      </c>
      <c r="U985" s="77">
        <v>0</v>
      </c>
      <c r="V985" s="77">
        <v>271</v>
      </c>
      <c r="W985" s="82" t="s">
        <v>5476</v>
      </c>
      <c r="X985" s="80" t="str">
        <f>HYPERLINK("https://production-ecs.seudinheiro.com/2023/empresas/inteligencia-artificial-que-nada-o-que-esta-por-tras-da-alta-de-10-das-acoes-da-dona-do-google-nesta-semana-ccgg/")</f>
        <v>https://production-ecs.seudinheiro.com/2023/empresas/inteligencia-artificial-que-nada-o-que-esta-por-tras-da-alta-de-10-das-acoes-da-dona-do-google-nesta-semana-ccgg/</v>
      </c>
      <c r="Y985" s="77" t="s">
        <v>7102</v>
      </c>
      <c r="Z985" s="77"/>
      <c r="AA985" s="77"/>
      <c r="AB985" s="77"/>
      <c r="AC985" s="82" t="s">
        <v>8255</v>
      </c>
      <c r="AD985" s="77" t="s">
        <v>8278</v>
      </c>
      <c r="AE985" s="80" t="str">
        <f>HYPERLINK("https://twitter.com/seu_dinheiro_br/status/1685686276152807425")</f>
        <v>https://twitter.com/seu_dinheiro_br/status/1685686276152807425</v>
      </c>
      <c r="AF985" s="79">
        <v>45137.679409722223</v>
      </c>
      <c r="AG985" s="85">
        <v>45137</v>
      </c>
      <c r="AH985" s="82" t="s">
        <v>9143</v>
      </c>
      <c r="AI985" s="77" t="b">
        <v>0</v>
      </c>
      <c r="AJ985" s="77"/>
      <c r="AK985" s="77"/>
      <c r="AL985" s="77"/>
      <c r="AM985" s="77"/>
      <c r="AN985" s="77"/>
      <c r="AO985" s="77"/>
      <c r="AP985" s="77"/>
      <c r="AQ985" s="77"/>
      <c r="AR985" s="77"/>
      <c r="AS985" s="77"/>
      <c r="AT985" s="77"/>
      <c r="AU985" s="77"/>
      <c r="AV985" s="80" t="str">
        <f>HYPERLINK("https://pbs.twimg.com/profile_images/1041725334431952896/uaPtkYSp_normal.jpg")</f>
        <v>https://pbs.twimg.com/profile_images/1041725334431952896/uaPtkYSp_normal.jpg</v>
      </c>
      <c r="AW985" s="82" t="s">
        <v>14080</v>
      </c>
      <c r="AX985" s="82" t="s">
        <v>14080</v>
      </c>
      <c r="AY985" s="77"/>
      <c r="AZ985" s="82" t="s">
        <v>17385</v>
      </c>
      <c r="BA985" s="82" t="s">
        <v>17385</v>
      </c>
      <c r="BB985" s="82" t="s">
        <v>17385</v>
      </c>
      <c r="BC985" s="82" t="s">
        <v>14080</v>
      </c>
      <c r="BD985" s="82" t="s">
        <v>17550</v>
      </c>
      <c r="BE985" s="77"/>
      <c r="BF985" s="77"/>
      <c r="BG985" s="77"/>
      <c r="BH985" s="77"/>
      <c r="BI985" s="77"/>
    </row>
    <row r="986" spans="1:61" x14ac:dyDescent="0.25">
      <c r="A986" s="62" t="s">
        <v>425</v>
      </c>
      <c r="B986" s="62" t="s">
        <v>425</v>
      </c>
      <c r="C986" s="63"/>
      <c r="D986" s="64"/>
      <c r="E986" s="65"/>
      <c r="F986" s="66"/>
      <c r="G986" s="63"/>
      <c r="H986" s="67"/>
      <c r="I986" s="68"/>
      <c r="J986" s="68"/>
      <c r="K986" s="32"/>
      <c r="L986" s="75">
        <v>986</v>
      </c>
      <c r="M986" s="75"/>
      <c r="N986" s="70"/>
      <c r="O986" s="77" t="s">
        <v>179</v>
      </c>
      <c r="P986" s="79">
        <v>45121.777870370373</v>
      </c>
      <c r="Q986" s="77" t="s">
        <v>1777</v>
      </c>
      <c r="R986" s="77">
        <v>0</v>
      </c>
      <c r="S986" s="77">
        <v>2</v>
      </c>
      <c r="T986" s="77">
        <v>1</v>
      </c>
      <c r="U986" s="77">
        <v>0</v>
      </c>
      <c r="V986" s="77">
        <v>286</v>
      </c>
      <c r="W986" s="82" t="s">
        <v>5477</v>
      </c>
      <c r="X986" s="80" t="str">
        <f>HYPERLINK("https://www.seudinheiro.com/2023/bolsa-dolar/nem-petrobras-nem-vale-fator-escala-fundo-com-small-caps-e-acoes-de-segunda-linha-e-ve-ciclo-longo-de-alta-da-bolsa-vinp/")</f>
        <v>https://www.seudinheiro.com/2023/bolsa-dolar/nem-petrobras-nem-vale-fator-escala-fundo-com-small-caps-e-acoes-de-segunda-linha-e-ve-ciclo-longo-de-alta-da-bolsa-vinp/</v>
      </c>
      <c r="Y986" s="77" t="s">
        <v>7102</v>
      </c>
      <c r="Z986" s="77"/>
      <c r="AA986" s="77"/>
      <c r="AB986" s="77"/>
      <c r="AC986" s="82" t="s">
        <v>8255</v>
      </c>
      <c r="AD986" s="77" t="s">
        <v>8278</v>
      </c>
      <c r="AE986" s="80" t="str">
        <f>HYPERLINK("https://twitter.com/seu_dinheiro_br/status/1679923751713132544")</f>
        <v>https://twitter.com/seu_dinheiro_br/status/1679923751713132544</v>
      </c>
      <c r="AF986" s="79">
        <v>45121.777870370373</v>
      </c>
      <c r="AG986" s="85">
        <v>45121</v>
      </c>
      <c r="AH986" s="82" t="s">
        <v>9144</v>
      </c>
      <c r="AI986" s="77" t="b">
        <v>0</v>
      </c>
      <c r="AJ986" s="77"/>
      <c r="AK986" s="77"/>
      <c r="AL986" s="77"/>
      <c r="AM986" s="77"/>
      <c r="AN986" s="77"/>
      <c r="AO986" s="77"/>
      <c r="AP986" s="77"/>
      <c r="AQ986" s="77"/>
      <c r="AR986" s="77"/>
      <c r="AS986" s="77"/>
      <c r="AT986" s="77"/>
      <c r="AU986" s="77"/>
      <c r="AV986" s="80" t="str">
        <f>HYPERLINK("https://pbs.twimg.com/profile_images/1041725334431952896/uaPtkYSp_normal.jpg")</f>
        <v>https://pbs.twimg.com/profile_images/1041725334431952896/uaPtkYSp_normal.jpg</v>
      </c>
      <c r="AW986" s="82" t="s">
        <v>14081</v>
      </c>
      <c r="AX986" s="82" t="s">
        <v>14081</v>
      </c>
      <c r="AY986" s="77"/>
      <c r="AZ986" s="82" t="s">
        <v>17385</v>
      </c>
      <c r="BA986" s="82" t="s">
        <v>17385</v>
      </c>
      <c r="BB986" s="82" t="s">
        <v>17385</v>
      </c>
      <c r="BC986" s="82" t="s">
        <v>14081</v>
      </c>
      <c r="BD986" s="82" t="s">
        <v>17550</v>
      </c>
      <c r="BE986" s="77"/>
      <c r="BF986" s="77"/>
      <c r="BG986" s="77"/>
      <c r="BH986" s="77"/>
      <c r="BI986" s="77"/>
    </row>
    <row r="987" spans="1:61" x14ac:dyDescent="0.25">
      <c r="A987" s="62" t="s">
        <v>425</v>
      </c>
      <c r="B987" s="62" t="s">
        <v>425</v>
      </c>
      <c r="C987" s="63"/>
      <c r="D987" s="64"/>
      <c r="E987" s="65"/>
      <c r="F987" s="66"/>
      <c r="G987" s="63"/>
      <c r="H987" s="67"/>
      <c r="I987" s="68"/>
      <c r="J987" s="68"/>
      <c r="K987" s="32"/>
      <c r="L987" s="75">
        <v>987</v>
      </c>
      <c r="M987" s="75"/>
      <c r="N987" s="70"/>
      <c r="O987" s="77" t="s">
        <v>179</v>
      </c>
      <c r="P987" s="79">
        <v>45121.751909722225</v>
      </c>
      <c r="Q987" s="77" t="s">
        <v>1778</v>
      </c>
      <c r="R987" s="77">
        <v>0</v>
      </c>
      <c r="S987" s="77">
        <v>3</v>
      </c>
      <c r="T987" s="77">
        <v>0</v>
      </c>
      <c r="U987" s="77">
        <v>0</v>
      </c>
      <c r="V987" s="77">
        <v>402</v>
      </c>
      <c r="W987" s="82" t="s">
        <v>5478</v>
      </c>
      <c r="X987" s="80" t="str">
        <f>HYPERLINK("https://www.seudinheiro.com/2023/empresas/netflix-se-arrependeu-da-cobranca-do-ponto-extra-guerra-do-streaming-miql/")</f>
        <v>https://www.seudinheiro.com/2023/empresas/netflix-se-arrependeu-da-cobranca-do-ponto-extra-guerra-do-streaming-miql/</v>
      </c>
      <c r="Y987" s="77" t="s">
        <v>7102</v>
      </c>
      <c r="Z987" s="77"/>
      <c r="AA987" s="77"/>
      <c r="AB987" s="77"/>
      <c r="AC987" s="82" t="s">
        <v>8255</v>
      </c>
      <c r="AD987" s="77" t="s">
        <v>8278</v>
      </c>
      <c r="AE987" s="80" t="str">
        <f>HYPERLINK("https://twitter.com/seu_dinheiro_br/status/1679914343708913664")</f>
        <v>https://twitter.com/seu_dinheiro_br/status/1679914343708913664</v>
      </c>
      <c r="AF987" s="79">
        <v>45121.751909722225</v>
      </c>
      <c r="AG987" s="85">
        <v>45121</v>
      </c>
      <c r="AH987" s="82" t="s">
        <v>9145</v>
      </c>
      <c r="AI987" s="77" t="b">
        <v>0</v>
      </c>
      <c r="AJ987" s="77"/>
      <c r="AK987" s="77"/>
      <c r="AL987" s="77"/>
      <c r="AM987" s="77"/>
      <c r="AN987" s="77"/>
      <c r="AO987" s="77"/>
      <c r="AP987" s="77"/>
      <c r="AQ987" s="77"/>
      <c r="AR987" s="77"/>
      <c r="AS987" s="77"/>
      <c r="AT987" s="77"/>
      <c r="AU987" s="77"/>
      <c r="AV987" s="80" t="str">
        <f>HYPERLINK("https://pbs.twimg.com/profile_images/1041725334431952896/uaPtkYSp_normal.jpg")</f>
        <v>https://pbs.twimg.com/profile_images/1041725334431952896/uaPtkYSp_normal.jpg</v>
      </c>
      <c r="AW987" s="82" t="s">
        <v>14082</v>
      </c>
      <c r="AX987" s="82" t="s">
        <v>14082</v>
      </c>
      <c r="AY987" s="77"/>
      <c r="AZ987" s="82" t="s">
        <v>17385</v>
      </c>
      <c r="BA987" s="82" t="s">
        <v>17385</v>
      </c>
      <c r="BB987" s="82" t="s">
        <v>17385</v>
      </c>
      <c r="BC987" s="82" t="s">
        <v>14082</v>
      </c>
      <c r="BD987" s="82" t="s">
        <v>17550</v>
      </c>
      <c r="BE987" s="77"/>
      <c r="BF987" s="77"/>
      <c r="BG987" s="77"/>
      <c r="BH987" s="77"/>
      <c r="BI987" s="77"/>
    </row>
    <row r="988" spans="1:61" x14ac:dyDescent="0.25">
      <c r="A988" s="62" t="s">
        <v>425</v>
      </c>
      <c r="B988" s="62" t="s">
        <v>425</v>
      </c>
      <c r="C988" s="63"/>
      <c r="D988" s="64"/>
      <c r="E988" s="65"/>
      <c r="F988" s="66"/>
      <c r="G988" s="63"/>
      <c r="H988" s="67"/>
      <c r="I988" s="68"/>
      <c r="J988" s="68"/>
      <c r="K988" s="32"/>
      <c r="L988" s="75">
        <v>988</v>
      </c>
      <c r="M988" s="75"/>
      <c r="N988" s="70"/>
      <c r="O988" s="77" t="s">
        <v>179</v>
      </c>
      <c r="P988" s="79">
        <v>45121.700844907406</v>
      </c>
      <c r="Q988" s="77" t="s">
        <v>1779</v>
      </c>
      <c r="R988" s="77">
        <v>0</v>
      </c>
      <c r="S988" s="77">
        <v>0</v>
      </c>
      <c r="T988" s="77">
        <v>0</v>
      </c>
      <c r="U988" s="77">
        <v>0</v>
      </c>
      <c r="V988" s="77">
        <v>190</v>
      </c>
      <c r="W988" s="82" t="s">
        <v>5479</v>
      </c>
      <c r="X988" s="80" t="str">
        <f>HYPERLINK("https://www.seudinheiro.com/2023/empresas/a-acao-esquecida-que-dispara-15-hoje-apos-o-btg-apontar-valor-escondido-e-potencial-de-alta-de-mais-de-150-ccgg/")</f>
        <v>https://www.seudinheiro.com/2023/empresas/a-acao-esquecida-que-dispara-15-hoje-apos-o-btg-apontar-valor-escondido-e-potencial-de-alta-de-mais-de-150-ccgg/</v>
      </c>
      <c r="Y988" s="77" t="s">
        <v>7102</v>
      </c>
      <c r="Z988" s="77"/>
      <c r="AA988" s="77"/>
      <c r="AB988" s="77"/>
      <c r="AC988" s="82" t="s">
        <v>8255</v>
      </c>
      <c r="AD988" s="77" t="s">
        <v>8278</v>
      </c>
      <c r="AE988" s="80" t="str">
        <f>HYPERLINK("https://twitter.com/seu_dinheiro_br/status/1679895838883999744")</f>
        <v>https://twitter.com/seu_dinheiro_br/status/1679895838883999744</v>
      </c>
      <c r="AF988" s="79">
        <v>45121.700844907406</v>
      </c>
      <c r="AG988" s="85">
        <v>45121</v>
      </c>
      <c r="AH988" s="82" t="s">
        <v>9146</v>
      </c>
      <c r="AI988" s="77" t="b">
        <v>0</v>
      </c>
      <c r="AJ988" s="77"/>
      <c r="AK988" s="77"/>
      <c r="AL988" s="77"/>
      <c r="AM988" s="77"/>
      <c r="AN988" s="77"/>
      <c r="AO988" s="77"/>
      <c r="AP988" s="77"/>
      <c r="AQ988" s="77"/>
      <c r="AR988" s="77"/>
      <c r="AS988" s="77"/>
      <c r="AT988" s="77"/>
      <c r="AU988" s="77"/>
      <c r="AV988" s="80" t="str">
        <f>HYPERLINK("https://pbs.twimg.com/profile_images/1041725334431952896/uaPtkYSp_normal.jpg")</f>
        <v>https://pbs.twimg.com/profile_images/1041725334431952896/uaPtkYSp_normal.jpg</v>
      </c>
      <c r="AW988" s="82" t="s">
        <v>14083</v>
      </c>
      <c r="AX988" s="82" t="s">
        <v>14083</v>
      </c>
      <c r="AY988" s="77"/>
      <c r="AZ988" s="82" t="s">
        <v>17385</v>
      </c>
      <c r="BA988" s="82" t="s">
        <v>17385</v>
      </c>
      <c r="BB988" s="82" t="s">
        <v>17385</v>
      </c>
      <c r="BC988" s="82" t="s">
        <v>14083</v>
      </c>
      <c r="BD988" s="82" t="s">
        <v>17550</v>
      </c>
      <c r="BE988" s="77"/>
      <c r="BF988" s="77"/>
      <c r="BG988" s="77"/>
      <c r="BH988" s="77"/>
      <c r="BI988" s="77"/>
    </row>
    <row r="989" spans="1:61" x14ac:dyDescent="0.25">
      <c r="A989" s="62" t="s">
        <v>425</v>
      </c>
      <c r="B989" s="62" t="s">
        <v>425</v>
      </c>
      <c r="C989" s="63"/>
      <c r="D989" s="64"/>
      <c r="E989" s="65"/>
      <c r="F989" s="66"/>
      <c r="G989" s="63"/>
      <c r="H989" s="67"/>
      <c r="I989" s="68"/>
      <c r="J989" s="68"/>
      <c r="K989" s="32"/>
      <c r="L989" s="75">
        <v>989</v>
      </c>
      <c r="M989" s="75"/>
      <c r="N989" s="70"/>
      <c r="O989" s="77" t="s">
        <v>179</v>
      </c>
      <c r="P989" s="79">
        <v>45121.450891203705</v>
      </c>
      <c r="Q989" s="77" t="s">
        <v>1780</v>
      </c>
      <c r="R989" s="77">
        <v>0</v>
      </c>
      <c r="S989" s="77">
        <v>1</v>
      </c>
      <c r="T989" s="77">
        <v>0</v>
      </c>
      <c r="U989" s="77">
        <v>0</v>
      </c>
      <c r="V989" s="77">
        <v>308</v>
      </c>
      <c r="W989" s="82" t="s">
        <v>5475</v>
      </c>
      <c r="X989" s="80" t="str">
        <f>HYPERLINK("https://www.seudinheiro.com/2023/colunistas/day-trade-na-b3-acao-da-usiminas-usim5-fundos-imobiliarios-14-07-miql/")</f>
        <v>https://www.seudinheiro.com/2023/colunistas/day-trade-na-b3-acao-da-usiminas-usim5-fundos-imobiliarios-14-07-miql/</v>
      </c>
      <c r="Y989" s="77" t="s">
        <v>7102</v>
      </c>
      <c r="Z989" s="77"/>
      <c r="AA989" s="77"/>
      <c r="AB989" s="77"/>
      <c r="AC989" s="82" t="s">
        <v>8255</v>
      </c>
      <c r="AD989" s="77" t="s">
        <v>8278</v>
      </c>
      <c r="AE989" s="80" t="str">
        <f>HYPERLINK("https://twitter.com/seu_dinheiro_br/status/1679805259269406721")</f>
        <v>https://twitter.com/seu_dinheiro_br/status/1679805259269406721</v>
      </c>
      <c r="AF989" s="79">
        <v>45121.450891203705</v>
      </c>
      <c r="AG989" s="85">
        <v>45121</v>
      </c>
      <c r="AH989" s="82" t="s">
        <v>9147</v>
      </c>
      <c r="AI989" s="77" t="b">
        <v>0</v>
      </c>
      <c r="AJ989" s="77"/>
      <c r="AK989" s="77"/>
      <c r="AL989" s="77"/>
      <c r="AM989" s="77"/>
      <c r="AN989" s="77"/>
      <c r="AO989" s="77"/>
      <c r="AP989" s="77"/>
      <c r="AQ989" s="77"/>
      <c r="AR989" s="77"/>
      <c r="AS989" s="77"/>
      <c r="AT989" s="77"/>
      <c r="AU989" s="77"/>
      <c r="AV989" s="80" t="str">
        <f>HYPERLINK("https://pbs.twimg.com/profile_images/1041725334431952896/uaPtkYSp_normal.jpg")</f>
        <v>https://pbs.twimg.com/profile_images/1041725334431952896/uaPtkYSp_normal.jpg</v>
      </c>
      <c r="AW989" s="82" t="s">
        <v>14084</v>
      </c>
      <c r="AX989" s="82" t="s">
        <v>14084</v>
      </c>
      <c r="AY989" s="77"/>
      <c r="AZ989" s="82" t="s">
        <v>17385</v>
      </c>
      <c r="BA989" s="82" t="s">
        <v>17385</v>
      </c>
      <c r="BB989" s="82" t="s">
        <v>17385</v>
      </c>
      <c r="BC989" s="82" t="s">
        <v>14084</v>
      </c>
      <c r="BD989" s="82" t="s">
        <v>17550</v>
      </c>
      <c r="BE989" s="77"/>
      <c r="BF989" s="77"/>
      <c r="BG989" s="77"/>
      <c r="BH989" s="77"/>
      <c r="BI989" s="77"/>
    </row>
    <row r="990" spans="1:61" x14ac:dyDescent="0.25">
      <c r="A990" s="62" t="s">
        <v>425</v>
      </c>
      <c r="B990" s="62" t="s">
        <v>425</v>
      </c>
      <c r="C990" s="63"/>
      <c r="D990" s="64"/>
      <c r="E990" s="65"/>
      <c r="F990" s="66"/>
      <c r="G990" s="63"/>
      <c r="H990" s="67"/>
      <c r="I990" s="68"/>
      <c r="J990" s="68"/>
      <c r="K990" s="32"/>
      <c r="L990" s="75">
        <v>990</v>
      </c>
      <c r="M990" s="75"/>
      <c r="N990" s="70"/>
      <c r="O990" s="77" t="s">
        <v>179</v>
      </c>
      <c r="P990" s="79">
        <v>45121.397743055553</v>
      </c>
      <c r="Q990" s="77" t="s">
        <v>1781</v>
      </c>
      <c r="R990" s="77">
        <v>0</v>
      </c>
      <c r="S990" s="77">
        <v>2</v>
      </c>
      <c r="T990" s="77">
        <v>0</v>
      </c>
      <c r="U990" s="77">
        <v>0</v>
      </c>
      <c r="V990" s="77">
        <v>356</v>
      </c>
      <c r="W990" s="82" t="s">
        <v>5480</v>
      </c>
      <c r="X990" s="80" t="str">
        <f>HYPERLINK("https://www.seudinheiro.com/2023/empresas/oferta-de-acoes-bilionaria-follow-on-brf-brfsa3-marfrig-mrfg3-lvit-rsgp/")</f>
        <v>https://www.seudinheiro.com/2023/empresas/oferta-de-acoes-bilionaria-follow-on-brf-brfsa3-marfrig-mrfg3-lvit-rsgp/</v>
      </c>
      <c r="Y990" s="77" t="s">
        <v>7102</v>
      </c>
      <c r="Z990" s="77"/>
      <c r="AA990" s="77"/>
      <c r="AB990" s="77"/>
      <c r="AC990" s="82" t="s">
        <v>8255</v>
      </c>
      <c r="AD990" s="77" t="s">
        <v>8278</v>
      </c>
      <c r="AE990" s="80" t="str">
        <f>HYPERLINK("https://twitter.com/seu_dinheiro_br/status/1679785997096087553")</f>
        <v>https://twitter.com/seu_dinheiro_br/status/1679785997096087553</v>
      </c>
      <c r="AF990" s="79">
        <v>45121.397743055553</v>
      </c>
      <c r="AG990" s="85">
        <v>45121</v>
      </c>
      <c r="AH990" s="82" t="s">
        <v>9148</v>
      </c>
      <c r="AI990" s="77" t="b">
        <v>0</v>
      </c>
      <c r="AJ990" s="77"/>
      <c r="AK990" s="77"/>
      <c r="AL990" s="77"/>
      <c r="AM990" s="77"/>
      <c r="AN990" s="77"/>
      <c r="AO990" s="77"/>
      <c r="AP990" s="77"/>
      <c r="AQ990" s="77"/>
      <c r="AR990" s="77"/>
      <c r="AS990" s="77"/>
      <c r="AT990" s="77"/>
      <c r="AU990" s="77"/>
      <c r="AV990" s="80" t="str">
        <f>HYPERLINK("https://pbs.twimg.com/profile_images/1041725334431952896/uaPtkYSp_normal.jpg")</f>
        <v>https://pbs.twimg.com/profile_images/1041725334431952896/uaPtkYSp_normal.jpg</v>
      </c>
      <c r="AW990" s="82" t="s">
        <v>14085</v>
      </c>
      <c r="AX990" s="82" t="s">
        <v>14085</v>
      </c>
      <c r="AY990" s="77"/>
      <c r="AZ990" s="82" t="s">
        <v>17385</v>
      </c>
      <c r="BA990" s="82" t="s">
        <v>17385</v>
      </c>
      <c r="BB990" s="82" t="s">
        <v>17385</v>
      </c>
      <c r="BC990" s="82" t="s">
        <v>14085</v>
      </c>
      <c r="BD990" s="82" t="s">
        <v>17550</v>
      </c>
      <c r="BE990" s="77"/>
      <c r="BF990" s="77"/>
      <c r="BG990" s="77"/>
      <c r="BH990" s="77"/>
      <c r="BI990" s="77"/>
    </row>
    <row r="991" spans="1:61" x14ac:dyDescent="0.25">
      <c r="A991" s="62" t="s">
        <v>425</v>
      </c>
      <c r="B991" s="62" t="s">
        <v>425</v>
      </c>
      <c r="C991" s="63"/>
      <c r="D991" s="64"/>
      <c r="E991" s="65"/>
      <c r="F991" s="66"/>
      <c r="G991" s="63"/>
      <c r="H991" s="67"/>
      <c r="I991" s="68"/>
      <c r="J991" s="68"/>
      <c r="K991" s="32"/>
      <c r="L991" s="75">
        <v>991</v>
      </c>
      <c r="M991" s="75"/>
      <c r="N991" s="70"/>
      <c r="O991" s="77" t="s">
        <v>179</v>
      </c>
      <c r="P991" s="79">
        <v>45121.386886574073</v>
      </c>
      <c r="Q991" s="77" t="s">
        <v>1782</v>
      </c>
      <c r="R991" s="77">
        <v>0</v>
      </c>
      <c r="S991" s="77">
        <v>0</v>
      </c>
      <c r="T991" s="77">
        <v>0</v>
      </c>
      <c r="U991" s="77">
        <v>0</v>
      </c>
      <c r="V991" s="77">
        <v>309</v>
      </c>
      <c r="W991" s="82" t="s">
        <v>5481</v>
      </c>
      <c r="X991" s="80" t="str">
        <f>HYPERLINK("https://www.seudinheiro.com/2023/colunistas/o-erro-que-a-maioria-das-pessoas-comete-ao-tentar-escolher-a-hora-certa-para-investir-na-bolsa-vinp/")</f>
        <v>https://www.seudinheiro.com/2023/colunistas/o-erro-que-a-maioria-das-pessoas-comete-ao-tentar-escolher-a-hora-certa-para-investir-na-bolsa-vinp/</v>
      </c>
      <c r="Y991" s="77" t="s">
        <v>7102</v>
      </c>
      <c r="Z991" s="77"/>
      <c r="AA991" s="77"/>
      <c r="AB991" s="77"/>
      <c r="AC991" s="82" t="s">
        <v>8255</v>
      </c>
      <c r="AD991" s="77" t="s">
        <v>8278</v>
      </c>
      <c r="AE991" s="80" t="str">
        <f>HYPERLINK("https://twitter.com/seu_dinheiro_br/status/1679782062587355136")</f>
        <v>https://twitter.com/seu_dinheiro_br/status/1679782062587355136</v>
      </c>
      <c r="AF991" s="79">
        <v>45121.386886574073</v>
      </c>
      <c r="AG991" s="85">
        <v>45121</v>
      </c>
      <c r="AH991" s="82" t="s">
        <v>9149</v>
      </c>
      <c r="AI991" s="77" t="b">
        <v>0</v>
      </c>
      <c r="AJ991" s="77"/>
      <c r="AK991" s="77"/>
      <c r="AL991" s="77"/>
      <c r="AM991" s="77"/>
      <c r="AN991" s="77"/>
      <c r="AO991" s="77"/>
      <c r="AP991" s="77"/>
      <c r="AQ991" s="77"/>
      <c r="AR991" s="77"/>
      <c r="AS991" s="77"/>
      <c r="AT991" s="77"/>
      <c r="AU991" s="77"/>
      <c r="AV991" s="80" t="str">
        <f>HYPERLINK("https://pbs.twimg.com/profile_images/1041725334431952896/uaPtkYSp_normal.jpg")</f>
        <v>https://pbs.twimg.com/profile_images/1041725334431952896/uaPtkYSp_normal.jpg</v>
      </c>
      <c r="AW991" s="82" t="s">
        <v>14086</v>
      </c>
      <c r="AX991" s="82" t="s">
        <v>14086</v>
      </c>
      <c r="AY991" s="77"/>
      <c r="AZ991" s="82" t="s">
        <v>17385</v>
      </c>
      <c r="BA991" s="82" t="s">
        <v>17385</v>
      </c>
      <c r="BB991" s="82" t="s">
        <v>17385</v>
      </c>
      <c r="BC991" s="82" t="s">
        <v>14086</v>
      </c>
      <c r="BD991" s="82" t="s">
        <v>17550</v>
      </c>
      <c r="BE991" s="77"/>
      <c r="BF991" s="77"/>
      <c r="BG991" s="77"/>
      <c r="BH991" s="77"/>
      <c r="BI991" s="77"/>
    </row>
    <row r="992" spans="1:61" x14ac:dyDescent="0.25">
      <c r="A992" s="62" t="s">
        <v>425</v>
      </c>
      <c r="B992" s="62" t="s">
        <v>425</v>
      </c>
      <c r="C992" s="63"/>
      <c r="D992" s="64"/>
      <c r="E992" s="65"/>
      <c r="F992" s="66"/>
      <c r="G992" s="63"/>
      <c r="H992" s="67"/>
      <c r="I992" s="68"/>
      <c r="J992" s="68"/>
      <c r="K992" s="32"/>
      <c r="L992" s="75">
        <v>992</v>
      </c>
      <c r="M992" s="75"/>
      <c r="N992" s="70"/>
      <c r="O992" s="77" t="s">
        <v>179</v>
      </c>
      <c r="P992" s="79">
        <v>45120.715358796297</v>
      </c>
      <c r="Q992" s="77" t="s">
        <v>1783</v>
      </c>
      <c r="R992" s="77">
        <v>0</v>
      </c>
      <c r="S992" s="77">
        <v>1</v>
      </c>
      <c r="T992" s="77">
        <v>0</v>
      </c>
      <c r="U992" s="77">
        <v>0</v>
      </c>
      <c r="V992" s="77">
        <v>351</v>
      </c>
      <c r="W992" s="82" t="s">
        <v>5479</v>
      </c>
      <c r="X992" s="80" t="str">
        <f>HYPERLINK("https://www.seudinheiro.com/2023/empresas/petrobras-petr4-ou-vale-vale3-btg-recomenda-comprar-apenas-uma-delas-descubra-qual-e-a-melhor-opcao-ccgg/")</f>
        <v>https://www.seudinheiro.com/2023/empresas/petrobras-petr4-ou-vale-vale3-btg-recomenda-comprar-apenas-uma-delas-descubra-qual-e-a-melhor-opcao-ccgg/</v>
      </c>
      <c r="Y992" s="77" t="s">
        <v>7102</v>
      </c>
      <c r="Z992" s="77"/>
      <c r="AA992" s="77"/>
      <c r="AB992" s="77"/>
      <c r="AC992" s="82" t="s">
        <v>8255</v>
      </c>
      <c r="AD992" s="77" t="s">
        <v>8278</v>
      </c>
      <c r="AE992" s="80" t="str">
        <f>HYPERLINK("https://twitter.com/seu_dinheiro_br/status/1679538709421514752")</f>
        <v>https://twitter.com/seu_dinheiro_br/status/1679538709421514752</v>
      </c>
      <c r="AF992" s="79">
        <v>45120.715358796297</v>
      </c>
      <c r="AG992" s="85">
        <v>45120</v>
      </c>
      <c r="AH992" s="82" t="s">
        <v>9150</v>
      </c>
      <c r="AI992" s="77" t="b">
        <v>0</v>
      </c>
      <c r="AJ992" s="77"/>
      <c r="AK992" s="77"/>
      <c r="AL992" s="77"/>
      <c r="AM992" s="77"/>
      <c r="AN992" s="77"/>
      <c r="AO992" s="77"/>
      <c r="AP992" s="77"/>
      <c r="AQ992" s="77"/>
      <c r="AR992" s="77"/>
      <c r="AS992" s="77"/>
      <c r="AT992" s="77"/>
      <c r="AU992" s="77"/>
      <c r="AV992" s="80" t="str">
        <f>HYPERLINK("https://pbs.twimg.com/profile_images/1041725334431952896/uaPtkYSp_normal.jpg")</f>
        <v>https://pbs.twimg.com/profile_images/1041725334431952896/uaPtkYSp_normal.jpg</v>
      </c>
      <c r="AW992" s="82" t="s">
        <v>14087</v>
      </c>
      <c r="AX992" s="82" t="s">
        <v>14087</v>
      </c>
      <c r="AY992" s="77"/>
      <c r="AZ992" s="82" t="s">
        <v>17385</v>
      </c>
      <c r="BA992" s="82" t="s">
        <v>17385</v>
      </c>
      <c r="BB992" s="82" t="s">
        <v>17385</v>
      </c>
      <c r="BC992" s="82" t="s">
        <v>14087</v>
      </c>
      <c r="BD992" s="82" t="s">
        <v>17550</v>
      </c>
      <c r="BE992" s="77"/>
      <c r="BF992" s="77"/>
      <c r="BG992" s="77"/>
      <c r="BH992" s="77"/>
      <c r="BI992" s="77"/>
    </row>
    <row r="993" spans="1:61" x14ac:dyDescent="0.25">
      <c r="A993" s="62" t="s">
        <v>425</v>
      </c>
      <c r="B993" s="62" t="s">
        <v>425</v>
      </c>
      <c r="C993" s="63"/>
      <c r="D993" s="64"/>
      <c r="E993" s="65"/>
      <c r="F993" s="66"/>
      <c r="G993" s="63"/>
      <c r="H993" s="67"/>
      <c r="I993" s="68"/>
      <c r="J993" s="68"/>
      <c r="K993" s="32"/>
      <c r="L993" s="75">
        <v>993</v>
      </c>
      <c r="M993" s="75"/>
      <c r="N993" s="70"/>
      <c r="O993" s="77" t="s">
        <v>179</v>
      </c>
      <c r="P993" s="79">
        <v>45111.723553240743</v>
      </c>
      <c r="Q993" s="77" t="s">
        <v>1784</v>
      </c>
      <c r="R993" s="77">
        <v>0</v>
      </c>
      <c r="S993" s="77">
        <v>1</v>
      </c>
      <c r="T993" s="77">
        <v>0</v>
      </c>
      <c r="U993" s="77">
        <v>0</v>
      </c>
      <c r="V993" s="77">
        <v>215</v>
      </c>
      <c r="W993" s="82" t="s">
        <v>5482</v>
      </c>
      <c r="X993" s="80" t="str">
        <f>HYPERLINK("https://www.seudinheiro.com/2023/colunistas/sera-que-o-preco-de-uma-acao-importa-tanto-miql/")</f>
        <v>https://www.seudinheiro.com/2023/colunistas/sera-que-o-preco-de-uma-acao-importa-tanto-miql/</v>
      </c>
      <c r="Y993" s="77" t="s">
        <v>7102</v>
      </c>
      <c r="Z993" s="77"/>
      <c r="AA993" s="77"/>
      <c r="AB993" s="77"/>
      <c r="AC993" s="82" t="s">
        <v>8255</v>
      </c>
      <c r="AD993" s="77" t="s">
        <v>8278</v>
      </c>
      <c r="AE993" s="80" t="str">
        <f>HYPERLINK("https://twitter.com/seu_dinheiro_br/status/1676280189817331720")</f>
        <v>https://twitter.com/seu_dinheiro_br/status/1676280189817331720</v>
      </c>
      <c r="AF993" s="79">
        <v>45111.723553240743</v>
      </c>
      <c r="AG993" s="85">
        <v>45111</v>
      </c>
      <c r="AH993" s="82" t="s">
        <v>9151</v>
      </c>
      <c r="AI993" s="77" t="b">
        <v>0</v>
      </c>
      <c r="AJ993" s="77"/>
      <c r="AK993" s="77"/>
      <c r="AL993" s="77"/>
      <c r="AM993" s="77"/>
      <c r="AN993" s="77"/>
      <c r="AO993" s="77"/>
      <c r="AP993" s="77"/>
      <c r="AQ993" s="77"/>
      <c r="AR993" s="77"/>
      <c r="AS993" s="77"/>
      <c r="AT993" s="77"/>
      <c r="AU993" s="77"/>
      <c r="AV993" s="80" t="str">
        <f>HYPERLINK("https://pbs.twimg.com/profile_images/1041725334431952896/uaPtkYSp_normal.jpg")</f>
        <v>https://pbs.twimg.com/profile_images/1041725334431952896/uaPtkYSp_normal.jpg</v>
      </c>
      <c r="AW993" s="82" t="s">
        <v>14088</v>
      </c>
      <c r="AX993" s="82" t="s">
        <v>14088</v>
      </c>
      <c r="AY993" s="77"/>
      <c r="AZ993" s="82" t="s">
        <v>17385</v>
      </c>
      <c r="BA993" s="82" t="s">
        <v>17385</v>
      </c>
      <c r="BB993" s="82" t="s">
        <v>17385</v>
      </c>
      <c r="BC993" s="82" t="s">
        <v>14088</v>
      </c>
      <c r="BD993" s="82" t="s">
        <v>17550</v>
      </c>
      <c r="BE993" s="77"/>
      <c r="BF993" s="77"/>
      <c r="BG993" s="77"/>
      <c r="BH993" s="77"/>
      <c r="BI993" s="77"/>
    </row>
    <row r="994" spans="1:61" x14ac:dyDescent="0.25">
      <c r="A994" s="62" t="s">
        <v>425</v>
      </c>
      <c r="B994" s="62" t="s">
        <v>425</v>
      </c>
      <c r="C994" s="63"/>
      <c r="D994" s="64"/>
      <c r="E994" s="65"/>
      <c r="F994" s="66"/>
      <c r="G994" s="63"/>
      <c r="H994" s="67"/>
      <c r="I994" s="68"/>
      <c r="J994" s="68"/>
      <c r="K994" s="32"/>
      <c r="L994" s="75">
        <v>994</v>
      </c>
      <c r="M994" s="75"/>
      <c r="N994" s="70"/>
      <c r="O994" s="77" t="s">
        <v>179</v>
      </c>
      <c r="P994" s="79">
        <v>45111.592604166668</v>
      </c>
      <c r="Q994" s="77" t="s">
        <v>1785</v>
      </c>
      <c r="R994" s="77">
        <v>0</v>
      </c>
      <c r="S994" s="77">
        <v>3</v>
      </c>
      <c r="T994" s="77">
        <v>0</v>
      </c>
      <c r="U994" s="77">
        <v>0</v>
      </c>
      <c r="V994" s="77">
        <v>463</v>
      </c>
      <c r="W994" s="82" t="s">
        <v>5483</v>
      </c>
      <c r="X994" s="80" t="str">
        <f>HYPERLINK("https://www.seudinheiro.com/2023/bolsa-dolar/marfrig-mrfg3-amplia-presenca-na-brf-brfs3-com-oferta-de-acoes-bilionaria-vem-fusao-por-ai-vinp/")</f>
        <v>https://www.seudinheiro.com/2023/bolsa-dolar/marfrig-mrfg3-amplia-presenca-na-brf-brfs3-com-oferta-de-acoes-bilionaria-vem-fusao-por-ai-vinp/</v>
      </c>
      <c r="Y994" s="77" t="s">
        <v>7102</v>
      </c>
      <c r="Z994" s="77"/>
      <c r="AA994" s="77"/>
      <c r="AB994" s="77"/>
      <c r="AC994" s="82" t="s">
        <v>8255</v>
      </c>
      <c r="AD994" s="77" t="s">
        <v>8278</v>
      </c>
      <c r="AE994" s="80" t="str">
        <f>HYPERLINK("https://twitter.com/seu_dinheiro_br/status/1676232735810101249")</f>
        <v>https://twitter.com/seu_dinheiro_br/status/1676232735810101249</v>
      </c>
      <c r="AF994" s="79">
        <v>45111.592604166668</v>
      </c>
      <c r="AG994" s="85">
        <v>45111</v>
      </c>
      <c r="AH994" s="82" t="s">
        <v>9152</v>
      </c>
      <c r="AI994" s="77" t="b">
        <v>0</v>
      </c>
      <c r="AJ994" s="77"/>
      <c r="AK994" s="77"/>
      <c r="AL994" s="77"/>
      <c r="AM994" s="77"/>
      <c r="AN994" s="77"/>
      <c r="AO994" s="77"/>
      <c r="AP994" s="77"/>
      <c r="AQ994" s="77"/>
      <c r="AR994" s="77"/>
      <c r="AS994" s="77"/>
      <c r="AT994" s="77"/>
      <c r="AU994" s="77"/>
      <c r="AV994" s="80" t="str">
        <f>HYPERLINK("https://pbs.twimg.com/profile_images/1041725334431952896/uaPtkYSp_normal.jpg")</f>
        <v>https://pbs.twimg.com/profile_images/1041725334431952896/uaPtkYSp_normal.jpg</v>
      </c>
      <c r="AW994" s="82" t="s">
        <v>14089</v>
      </c>
      <c r="AX994" s="82" t="s">
        <v>14089</v>
      </c>
      <c r="AY994" s="77"/>
      <c r="AZ994" s="82" t="s">
        <v>17385</v>
      </c>
      <c r="BA994" s="82" t="s">
        <v>17385</v>
      </c>
      <c r="BB994" s="82" t="s">
        <v>17385</v>
      </c>
      <c r="BC994" s="82" t="s">
        <v>14089</v>
      </c>
      <c r="BD994" s="82" t="s">
        <v>17550</v>
      </c>
      <c r="BE994" s="77"/>
      <c r="BF994" s="77"/>
      <c r="BG994" s="77"/>
      <c r="BH994" s="77"/>
      <c r="BI994" s="77"/>
    </row>
    <row r="995" spans="1:61" x14ac:dyDescent="0.25">
      <c r="A995" s="62" t="s">
        <v>425</v>
      </c>
      <c r="B995" s="62" t="s">
        <v>425</v>
      </c>
      <c r="C995" s="63"/>
      <c r="D995" s="64"/>
      <c r="E995" s="65"/>
      <c r="F995" s="66"/>
      <c r="G995" s="63"/>
      <c r="H995" s="67"/>
      <c r="I995" s="68"/>
      <c r="J995" s="68"/>
      <c r="K995" s="32"/>
      <c r="L995" s="75">
        <v>995</v>
      </c>
      <c r="M995" s="75"/>
      <c r="N995" s="70"/>
      <c r="O995" s="77" t="s">
        <v>179</v>
      </c>
      <c r="P995" s="79">
        <v>45111.550706018519</v>
      </c>
      <c r="Q995" s="77" t="s">
        <v>1786</v>
      </c>
      <c r="R995" s="77">
        <v>0</v>
      </c>
      <c r="S995" s="77">
        <v>0</v>
      </c>
      <c r="T995" s="77">
        <v>0</v>
      </c>
      <c r="U995" s="77">
        <v>0</v>
      </c>
      <c r="V995" s="77">
        <v>187</v>
      </c>
      <c r="W995" s="82" t="s">
        <v>5475</v>
      </c>
      <c r="X995" s="80" t="str">
        <f>HYPERLINK("https://www.seudinheiro.com/2023/empresas/mrv-mrve3-previa-operacional-oferta-de-acoes-miql-lvit/")</f>
        <v>https://www.seudinheiro.com/2023/empresas/mrv-mrve3-previa-operacional-oferta-de-acoes-miql-lvit/</v>
      </c>
      <c r="Y995" s="77" t="s">
        <v>7102</v>
      </c>
      <c r="Z995" s="77"/>
      <c r="AA995" s="77"/>
      <c r="AB995" s="77"/>
      <c r="AC995" s="82" t="s">
        <v>8255</v>
      </c>
      <c r="AD995" s="77" t="s">
        <v>8278</v>
      </c>
      <c r="AE995" s="80" t="str">
        <f>HYPERLINK("https://twitter.com/seu_dinheiro_br/status/1676217551028715521")</f>
        <v>https://twitter.com/seu_dinheiro_br/status/1676217551028715521</v>
      </c>
      <c r="AF995" s="79">
        <v>45111.550706018519</v>
      </c>
      <c r="AG995" s="85">
        <v>45111</v>
      </c>
      <c r="AH995" s="82" t="s">
        <v>9153</v>
      </c>
      <c r="AI995" s="77" t="b">
        <v>0</v>
      </c>
      <c r="AJ995" s="77"/>
      <c r="AK995" s="77"/>
      <c r="AL995" s="77"/>
      <c r="AM995" s="77"/>
      <c r="AN995" s="77"/>
      <c r="AO995" s="77"/>
      <c r="AP995" s="77"/>
      <c r="AQ995" s="77"/>
      <c r="AR995" s="77"/>
      <c r="AS995" s="77"/>
      <c r="AT995" s="77"/>
      <c r="AU995" s="77"/>
      <c r="AV995" s="80" t="str">
        <f>HYPERLINK("https://pbs.twimg.com/profile_images/1041725334431952896/uaPtkYSp_normal.jpg")</f>
        <v>https://pbs.twimg.com/profile_images/1041725334431952896/uaPtkYSp_normal.jpg</v>
      </c>
      <c r="AW995" s="82" t="s">
        <v>14090</v>
      </c>
      <c r="AX995" s="82" t="s">
        <v>14090</v>
      </c>
      <c r="AY995" s="77"/>
      <c r="AZ995" s="82" t="s">
        <v>17385</v>
      </c>
      <c r="BA995" s="82" t="s">
        <v>17385</v>
      </c>
      <c r="BB995" s="82" t="s">
        <v>17385</v>
      </c>
      <c r="BC995" s="82" t="s">
        <v>14090</v>
      </c>
      <c r="BD995" s="82" t="s">
        <v>17550</v>
      </c>
      <c r="BE995" s="77"/>
      <c r="BF995" s="77"/>
      <c r="BG995" s="77"/>
      <c r="BH995" s="77"/>
      <c r="BI995" s="77"/>
    </row>
    <row r="996" spans="1:61" x14ac:dyDescent="0.25">
      <c r="A996" s="62" t="s">
        <v>425</v>
      </c>
      <c r="B996" s="62" t="s">
        <v>425</v>
      </c>
      <c r="C996" s="63"/>
      <c r="D996" s="64"/>
      <c r="E996" s="65"/>
      <c r="F996" s="66"/>
      <c r="G996" s="63"/>
      <c r="H996" s="67"/>
      <c r="I996" s="68"/>
      <c r="J996" s="68"/>
      <c r="K996" s="32"/>
      <c r="L996" s="75">
        <v>996</v>
      </c>
      <c r="M996" s="75"/>
      <c r="N996" s="70"/>
      <c r="O996" s="77" t="s">
        <v>179</v>
      </c>
      <c r="P996" s="79">
        <v>45096.466736111113</v>
      </c>
      <c r="Q996" s="77" t="s">
        <v>1787</v>
      </c>
      <c r="R996" s="77">
        <v>0</v>
      </c>
      <c r="S996" s="77">
        <v>0</v>
      </c>
      <c r="T996" s="77">
        <v>0</v>
      </c>
      <c r="U996" s="77">
        <v>0</v>
      </c>
      <c r="V996" s="77">
        <v>343</v>
      </c>
      <c r="W996" s="82" t="s">
        <v>5474</v>
      </c>
      <c r="X996" s="80" t="str">
        <f>HYPERLINK("https://www.seudinheiro.com/2023/colunistas/day-trade-na-b3-como-lucrar-com-acoes-da-hidrovias-do-brasil-hbsa3-19-06-miql/")</f>
        <v>https://www.seudinheiro.com/2023/colunistas/day-trade-na-b3-como-lucrar-com-acoes-da-hidrovias-do-brasil-hbsa3-19-06-miql/</v>
      </c>
      <c r="Y996" s="77" t="s">
        <v>7102</v>
      </c>
      <c r="Z996" s="77"/>
      <c r="AA996" s="77"/>
      <c r="AB996" s="77"/>
      <c r="AC996" s="82" t="s">
        <v>8255</v>
      </c>
      <c r="AD996" s="77" t="s">
        <v>8278</v>
      </c>
      <c r="AE996" s="80" t="str">
        <f>HYPERLINK("https://twitter.com/seu_dinheiro_br/status/1670751302379266051")</f>
        <v>https://twitter.com/seu_dinheiro_br/status/1670751302379266051</v>
      </c>
      <c r="AF996" s="79">
        <v>45096.466736111113</v>
      </c>
      <c r="AG996" s="85">
        <v>45096</v>
      </c>
      <c r="AH996" s="82" t="s">
        <v>9154</v>
      </c>
      <c r="AI996" s="77" t="b">
        <v>0</v>
      </c>
      <c r="AJ996" s="77"/>
      <c r="AK996" s="77"/>
      <c r="AL996" s="77"/>
      <c r="AM996" s="77"/>
      <c r="AN996" s="77"/>
      <c r="AO996" s="77"/>
      <c r="AP996" s="77"/>
      <c r="AQ996" s="77"/>
      <c r="AR996" s="77"/>
      <c r="AS996" s="77"/>
      <c r="AT996" s="77"/>
      <c r="AU996" s="77"/>
      <c r="AV996" s="80" t="str">
        <f>HYPERLINK("https://pbs.twimg.com/profile_images/1041725334431952896/uaPtkYSp_normal.jpg")</f>
        <v>https://pbs.twimg.com/profile_images/1041725334431952896/uaPtkYSp_normal.jpg</v>
      </c>
      <c r="AW996" s="82" t="s">
        <v>14091</v>
      </c>
      <c r="AX996" s="82" t="s">
        <v>14091</v>
      </c>
      <c r="AY996" s="77"/>
      <c r="AZ996" s="82" t="s">
        <v>17385</v>
      </c>
      <c r="BA996" s="82" t="s">
        <v>17385</v>
      </c>
      <c r="BB996" s="82" t="s">
        <v>17385</v>
      </c>
      <c r="BC996" s="82" t="s">
        <v>14091</v>
      </c>
      <c r="BD996" s="82" t="s">
        <v>17550</v>
      </c>
      <c r="BE996" s="77"/>
      <c r="BF996" s="77"/>
      <c r="BG996" s="77"/>
      <c r="BH996" s="77"/>
      <c r="BI996" s="77"/>
    </row>
    <row r="997" spans="1:61" x14ac:dyDescent="0.25">
      <c r="A997" s="62" t="s">
        <v>425</v>
      </c>
      <c r="B997" s="62" t="s">
        <v>425</v>
      </c>
      <c r="C997" s="63"/>
      <c r="D997" s="64"/>
      <c r="E997" s="65"/>
      <c r="F997" s="66"/>
      <c r="G997" s="63"/>
      <c r="H997" s="67"/>
      <c r="I997" s="68"/>
      <c r="J997" s="68"/>
      <c r="K997" s="32"/>
      <c r="L997" s="75">
        <v>997</v>
      </c>
      <c r="M997" s="75"/>
      <c r="N997" s="70"/>
      <c r="O997" s="77" t="s">
        <v>179</v>
      </c>
      <c r="P997" s="79">
        <v>45089.522268518522</v>
      </c>
      <c r="Q997" s="77" t="s">
        <v>1788</v>
      </c>
      <c r="R997" s="77">
        <v>0</v>
      </c>
      <c r="S997" s="77">
        <v>1</v>
      </c>
      <c r="T997" s="77">
        <v>0</v>
      </c>
      <c r="U997" s="77">
        <v>0</v>
      </c>
      <c r="V997" s="77">
        <v>294</v>
      </c>
      <c r="W997" s="82" t="s">
        <v>5484</v>
      </c>
      <c r="X997" s="80" t="str">
        <f>HYPERLINK("https://www.seudinheiro.com/2023/empresas/succession-george-soros-imperio-bilhoes-filho-mais-novo-alexander-soros-miql/")</f>
        <v>https://www.seudinheiro.com/2023/empresas/succession-george-soros-imperio-bilhoes-filho-mais-novo-alexander-soros-miql/</v>
      </c>
      <c r="Y997" s="77" t="s">
        <v>7102</v>
      </c>
      <c r="Z997" s="77"/>
      <c r="AA997" s="77"/>
      <c r="AB997" s="77"/>
      <c r="AC997" s="82" t="s">
        <v>8255</v>
      </c>
      <c r="AD997" s="77" t="s">
        <v>8278</v>
      </c>
      <c r="AE997" s="80" t="str">
        <f>HYPERLINK("https://twitter.com/seu_dinheiro_br/status/1668234713536790528")</f>
        <v>https://twitter.com/seu_dinheiro_br/status/1668234713536790528</v>
      </c>
      <c r="AF997" s="79">
        <v>45089.522268518522</v>
      </c>
      <c r="AG997" s="85">
        <v>45089</v>
      </c>
      <c r="AH997" s="82" t="s">
        <v>9155</v>
      </c>
      <c r="AI997" s="77" t="b">
        <v>0</v>
      </c>
      <c r="AJ997" s="77"/>
      <c r="AK997" s="77"/>
      <c r="AL997" s="77"/>
      <c r="AM997" s="77"/>
      <c r="AN997" s="77"/>
      <c r="AO997" s="77"/>
      <c r="AP997" s="77"/>
      <c r="AQ997" s="77"/>
      <c r="AR997" s="77"/>
      <c r="AS997" s="77"/>
      <c r="AT997" s="77"/>
      <c r="AU997" s="77"/>
      <c r="AV997" s="80" t="str">
        <f>HYPERLINK("https://pbs.twimg.com/profile_images/1041725334431952896/uaPtkYSp_normal.jpg")</f>
        <v>https://pbs.twimg.com/profile_images/1041725334431952896/uaPtkYSp_normal.jpg</v>
      </c>
      <c r="AW997" s="82" t="s">
        <v>14092</v>
      </c>
      <c r="AX997" s="82" t="s">
        <v>14092</v>
      </c>
      <c r="AY997" s="77"/>
      <c r="AZ997" s="82" t="s">
        <v>17385</v>
      </c>
      <c r="BA997" s="82" t="s">
        <v>17385</v>
      </c>
      <c r="BB997" s="82" t="s">
        <v>17385</v>
      </c>
      <c r="BC997" s="82" t="s">
        <v>14092</v>
      </c>
      <c r="BD997" s="82" t="s">
        <v>17550</v>
      </c>
      <c r="BE997" s="77"/>
      <c r="BF997" s="77"/>
      <c r="BG997" s="77"/>
      <c r="BH997" s="77"/>
      <c r="BI997" s="77"/>
    </row>
    <row r="998" spans="1:61" x14ac:dyDescent="0.25">
      <c r="A998" s="62" t="s">
        <v>425</v>
      </c>
      <c r="B998" s="62" t="s">
        <v>425</v>
      </c>
      <c r="C998" s="63"/>
      <c r="D998" s="64"/>
      <c r="E998" s="65"/>
      <c r="F998" s="66"/>
      <c r="G998" s="63"/>
      <c r="H998" s="67"/>
      <c r="I998" s="68"/>
      <c r="J998" s="68"/>
      <c r="K998" s="32"/>
      <c r="L998" s="75">
        <v>998</v>
      </c>
      <c r="M998" s="75"/>
      <c r="N998" s="70"/>
      <c r="O998" s="77" t="s">
        <v>179</v>
      </c>
      <c r="P998" s="79">
        <v>45089.46539351852</v>
      </c>
      <c r="Q998" s="77" t="s">
        <v>1789</v>
      </c>
      <c r="R998" s="77">
        <v>1</v>
      </c>
      <c r="S998" s="77">
        <v>2</v>
      </c>
      <c r="T998" s="77">
        <v>0</v>
      </c>
      <c r="U998" s="77">
        <v>0</v>
      </c>
      <c r="V998" s="77">
        <v>570</v>
      </c>
      <c r="W998" s="82" t="s">
        <v>5474</v>
      </c>
      <c r="X998" s="80" t="str">
        <f>HYPERLINK("https://www.seudinheiro.com/2023/colunistas/day-trade-na-b3-saiba-como-lucrar-com-acoes-da-neoenergia-neoe3-12-06-miql/")</f>
        <v>https://www.seudinheiro.com/2023/colunistas/day-trade-na-b3-saiba-como-lucrar-com-acoes-da-neoenergia-neoe3-12-06-miql/</v>
      </c>
      <c r="Y998" s="77" t="s">
        <v>7102</v>
      </c>
      <c r="Z998" s="77"/>
      <c r="AA998" s="77"/>
      <c r="AB998" s="77"/>
      <c r="AC998" s="82" t="s">
        <v>8255</v>
      </c>
      <c r="AD998" s="77" t="s">
        <v>8278</v>
      </c>
      <c r="AE998" s="80" t="str">
        <f>HYPERLINK("https://twitter.com/seu_dinheiro_br/status/1668214104023093250")</f>
        <v>https://twitter.com/seu_dinheiro_br/status/1668214104023093250</v>
      </c>
      <c r="AF998" s="79">
        <v>45089.46539351852</v>
      </c>
      <c r="AG998" s="85">
        <v>45089</v>
      </c>
      <c r="AH998" s="82" t="s">
        <v>9156</v>
      </c>
      <c r="AI998" s="77" t="b">
        <v>0</v>
      </c>
      <c r="AJ998" s="77"/>
      <c r="AK998" s="77"/>
      <c r="AL998" s="77"/>
      <c r="AM998" s="77"/>
      <c r="AN998" s="77"/>
      <c r="AO998" s="77"/>
      <c r="AP998" s="77"/>
      <c r="AQ998" s="77"/>
      <c r="AR998" s="77"/>
      <c r="AS998" s="77"/>
      <c r="AT998" s="77"/>
      <c r="AU998" s="77"/>
      <c r="AV998" s="80" t="str">
        <f>HYPERLINK("https://pbs.twimg.com/profile_images/1041725334431952896/uaPtkYSp_normal.jpg")</f>
        <v>https://pbs.twimg.com/profile_images/1041725334431952896/uaPtkYSp_normal.jpg</v>
      </c>
      <c r="AW998" s="82" t="s">
        <v>14093</v>
      </c>
      <c r="AX998" s="82" t="s">
        <v>14093</v>
      </c>
      <c r="AY998" s="77"/>
      <c r="AZ998" s="82" t="s">
        <v>17385</v>
      </c>
      <c r="BA998" s="82" t="s">
        <v>17385</v>
      </c>
      <c r="BB998" s="82" t="s">
        <v>17385</v>
      </c>
      <c r="BC998" s="82" t="s">
        <v>14093</v>
      </c>
      <c r="BD998" s="82" t="s">
        <v>17550</v>
      </c>
      <c r="BE998" s="77"/>
      <c r="BF998" s="77"/>
      <c r="BG998" s="77"/>
      <c r="BH998" s="77"/>
      <c r="BI998" s="77"/>
    </row>
    <row r="999" spans="1:61" x14ac:dyDescent="0.25">
      <c r="A999" s="62" t="s">
        <v>425</v>
      </c>
      <c r="B999" s="62" t="s">
        <v>425</v>
      </c>
      <c r="C999" s="63"/>
      <c r="D999" s="64"/>
      <c r="E999" s="65"/>
      <c r="F999" s="66"/>
      <c r="G999" s="63"/>
      <c r="H999" s="67"/>
      <c r="I999" s="68"/>
      <c r="J999" s="68"/>
      <c r="K999" s="32"/>
      <c r="L999" s="75">
        <v>999</v>
      </c>
      <c r="M999" s="75"/>
      <c r="N999" s="70"/>
      <c r="O999" s="77" t="s">
        <v>179</v>
      </c>
      <c r="P999" s="79">
        <v>45078.716597222221</v>
      </c>
      <c r="Q999" s="77" t="s">
        <v>1790</v>
      </c>
      <c r="R999" s="77">
        <v>0</v>
      </c>
      <c r="S999" s="77">
        <v>1</v>
      </c>
      <c r="T999" s="77">
        <v>0</v>
      </c>
      <c r="U999" s="77">
        <v>0</v>
      </c>
      <c r="V999" s="77">
        <v>311</v>
      </c>
      <c r="W999" s="82" t="s">
        <v>5485</v>
      </c>
      <c r="X999" s="80" t="str">
        <f>HYPERLINK("https://www.seudinheiro.com/2023/empresas/corrida-dos-shoppings-jp-morgan-aliansce-sonae-also3-mult3-igti3-acao-favorita-miql/")</f>
        <v>https://www.seudinheiro.com/2023/empresas/corrida-dos-shoppings-jp-morgan-aliansce-sonae-also3-mult3-igti3-acao-favorita-miql/</v>
      </c>
      <c r="Y999" s="77" t="s">
        <v>7102</v>
      </c>
      <c r="Z999" s="77"/>
      <c r="AA999" s="77"/>
      <c r="AB999" s="77"/>
      <c r="AC999" s="82" t="s">
        <v>8255</v>
      </c>
      <c r="AD999" s="77" t="s">
        <v>8278</v>
      </c>
      <c r="AE999" s="80" t="str">
        <f>HYPERLINK("https://twitter.com/seu_dinheiro_br/status/1664318867223592967")</f>
        <v>https://twitter.com/seu_dinheiro_br/status/1664318867223592967</v>
      </c>
      <c r="AF999" s="79">
        <v>45078.716597222221</v>
      </c>
      <c r="AG999" s="85">
        <v>45078</v>
      </c>
      <c r="AH999" s="82" t="s">
        <v>9157</v>
      </c>
      <c r="AI999" s="77" t="b">
        <v>0</v>
      </c>
      <c r="AJ999" s="77"/>
      <c r="AK999" s="77"/>
      <c r="AL999" s="77"/>
      <c r="AM999" s="77"/>
      <c r="AN999" s="77"/>
      <c r="AO999" s="77"/>
      <c r="AP999" s="77"/>
      <c r="AQ999" s="77"/>
      <c r="AR999" s="77"/>
      <c r="AS999" s="77"/>
      <c r="AT999" s="77"/>
      <c r="AU999" s="77"/>
      <c r="AV999" s="80" t="str">
        <f>HYPERLINK("https://pbs.twimg.com/profile_images/1041725334431952896/uaPtkYSp_normal.jpg")</f>
        <v>https://pbs.twimg.com/profile_images/1041725334431952896/uaPtkYSp_normal.jpg</v>
      </c>
      <c r="AW999" s="82" t="s">
        <v>14094</v>
      </c>
      <c r="AX999" s="82" t="s">
        <v>14094</v>
      </c>
      <c r="AY999" s="77"/>
      <c r="AZ999" s="82" t="s">
        <v>17385</v>
      </c>
      <c r="BA999" s="82" t="s">
        <v>17385</v>
      </c>
      <c r="BB999" s="82" t="s">
        <v>17385</v>
      </c>
      <c r="BC999" s="82" t="s">
        <v>14094</v>
      </c>
      <c r="BD999" s="82" t="s">
        <v>17550</v>
      </c>
      <c r="BE999" s="77"/>
      <c r="BF999" s="77"/>
      <c r="BG999" s="77"/>
      <c r="BH999" s="77"/>
      <c r="BI999" s="77"/>
    </row>
    <row r="1000" spans="1:61" x14ac:dyDescent="0.25">
      <c r="A1000" s="62" t="s">
        <v>425</v>
      </c>
      <c r="B1000" s="62" t="s">
        <v>425</v>
      </c>
      <c r="C1000" s="63"/>
      <c r="D1000" s="64"/>
      <c r="E1000" s="65"/>
      <c r="F1000" s="66"/>
      <c r="G1000" s="63"/>
      <c r="H1000" s="67"/>
      <c r="I1000" s="68"/>
      <c r="J1000" s="68"/>
      <c r="K1000" s="32"/>
      <c r="L1000" s="75">
        <v>1000</v>
      </c>
      <c r="M1000" s="75"/>
      <c r="N1000" s="70"/>
      <c r="O1000" s="77" t="s">
        <v>179</v>
      </c>
      <c r="P1000" s="79">
        <v>45078.626446759263</v>
      </c>
      <c r="Q1000" s="77" t="s">
        <v>1791</v>
      </c>
      <c r="R1000" s="77">
        <v>0</v>
      </c>
      <c r="S1000" s="77">
        <v>0</v>
      </c>
      <c r="T1000" s="77">
        <v>0</v>
      </c>
      <c r="U1000" s="77">
        <v>0</v>
      </c>
      <c r="V1000" s="77">
        <v>182</v>
      </c>
      <c r="W1000" s="82" t="s">
        <v>5478</v>
      </c>
      <c r="X1000" s="80" t="str">
        <f>HYPERLINK("https://www.seudinheiro.com/2023/empresas/globo-e-disney-se-unem-para-produzir-filmes-brasileiros-miql/")</f>
        <v>https://www.seudinheiro.com/2023/empresas/globo-e-disney-se-unem-para-produzir-filmes-brasileiros-miql/</v>
      </c>
      <c r="Y1000" s="77" t="s">
        <v>7102</v>
      </c>
      <c r="Z1000" s="77"/>
      <c r="AA1000" s="77"/>
      <c r="AB1000" s="77"/>
      <c r="AC1000" s="82" t="s">
        <v>8255</v>
      </c>
      <c r="AD1000" s="77" t="s">
        <v>8278</v>
      </c>
      <c r="AE1000" s="80" t="str">
        <f>HYPERLINK("https://twitter.com/seu_dinheiro_br/status/1664286200939831300")</f>
        <v>https://twitter.com/seu_dinheiro_br/status/1664286200939831300</v>
      </c>
      <c r="AF1000" s="79">
        <v>45078.626446759263</v>
      </c>
      <c r="AG1000" s="85">
        <v>45078</v>
      </c>
      <c r="AH1000" s="82" t="s">
        <v>9158</v>
      </c>
      <c r="AI1000" s="77" t="b">
        <v>0</v>
      </c>
      <c r="AJ1000" s="77"/>
      <c r="AK1000" s="77"/>
      <c r="AL1000" s="77"/>
      <c r="AM1000" s="77"/>
      <c r="AN1000" s="77"/>
      <c r="AO1000" s="77"/>
      <c r="AP1000" s="77"/>
      <c r="AQ1000" s="77"/>
      <c r="AR1000" s="77"/>
      <c r="AS1000" s="77"/>
      <c r="AT1000" s="77"/>
      <c r="AU1000" s="77"/>
      <c r="AV1000" s="80" t="str">
        <f>HYPERLINK("https://pbs.twimg.com/profile_images/1041725334431952896/uaPtkYSp_normal.jpg")</f>
        <v>https://pbs.twimg.com/profile_images/1041725334431952896/uaPtkYSp_normal.jpg</v>
      </c>
      <c r="AW1000" s="82" t="s">
        <v>14095</v>
      </c>
      <c r="AX1000" s="82" t="s">
        <v>14095</v>
      </c>
      <c r="AY1000" s="77"/>
      <c r="AZ1000" s="82" t="s">
        <v>17385</v>
      </c>
      <c r="BA1000" s="82" t="s">
        <v>17385</v>
      </c>
      <c r="BB1000" s="82" t="s">
        <v>17385</v>
      </c>
      <c r="BC1000" s="82" t="s">
        <v>14095</v>
      </c>
      <c r="BD1000" s="82" t="s">
        <v>17550</v>
      </c>
      <c r="BE1000" s="77"/>
      <c r="BF1000" s="77"/>
      <c r="BG1000" s="77"/>
      <c r="BH1000" s="77"/>
      <c r="BI1000" s="77"/>
    </row>
    <row r="1001" spans="1:61" x14ac:dyDescent="0.25">
      <c r="A1001" s="62" t="s">
        <v>425</v>
      </c>
      <c r="B1001" s="62" t="s">
        <v>425</v>
      </c>
      <c r="C1001" s="63"/>
      <c r="D1001" s="64"/>
      <c r="E1001" s="65"/>
      <c r="F1001" s="66"/>
      <c r="G1001" s="63"/>
      <c r="H1001" s="67"/>
      <c r="I1001" s="68"/>
      <c r="J1001" s="68"/>
      <c r="K1001" s="32"/>
      <c r="L1001" s="75">
        <v>1001</v>
      </c>
      <c r="M1001" s="75"/>
      <c r="N1001" s="70"/>
      <c r="O1001" s="77" t="s">
        <v>179</v>
      </c>
      <c r="P1001" s="79">
        <v>45078.595752314817</v>
      </c>
      <c r="Q1001" s="77" t="s">
        <v>1792</v>
      </c>
      <c r="R1001" s="77">
        <v>0</v>
      </c>
      <c r="S1001" s="77">
        <v>2</v>
      </c>
      <c r="T1001" s="77">
        <v>0</v>
      </c>
      <c r="U1001" s="77">
        <v>0</v>
      </c>
      <c r="V1001" s="77">
        <v>235</v>
      </c>
      <c r="W1001" s="82" t="s">
        <v>5486</v>
      </c>
      <c r="X1001" s="80" t="str">
        <f>HYPERLINK("https://www.seudinheiro.com/2023/empresas/vale-vale3-samarco-acordo-dividas-recuperacao-judicial-acnn/")</f>
        <v>https://www.seudinheiro.com/2023/empresas/vale-vale3-samarco-acordo-dividas-recuperacao-judicial-acnn/</v>
      </c>
      <c r="Y1001" s="77" t="s">
        <v>7102</v>
      </c>
      <c r="Z1001" s="77"/>
      <c r="AA1001" s="77"/>
      <c r="AB1001" s="77"/>
      <c r="AC1001" s="82" t="s">
        <v>8255</v>
      </c>
      <c r="AD1001" s="77" t="s">
        <v>8278</v>
      </c>
      <c r="AE1001" s="80" t="str">
        <f>HYPERLINK("https://twitter.com/seu_dinheiro_br/status/1664275076106293259")</f>
        <v>https://twitter.com/seu_dinheiro_br/status/1664275076106293259</v>
      </c>
      <c r="AF1001" s="79">
        <v>45078.595752314817</v>
      </c>
      <c r="AG1001" s="85">
        <v>45078</v>
      </c>
      <c r="AH1001" s="82" t="s">
        <v>9159</v>
      </c>
      <c r="AI1001" s="77" t="b">
        <v>0</v>
      </c>
      <c r="AJ1001" s="77"/>
      <c r="AK1001" s="77"/>
      <c r="AL1001" s="77"/>
      <c r="AM1001" s="77"/>
      <c r="AN1001" s="77"/>
      <c r="AO1001" s="77"/>
      <c r="AP1001" s="77"/>
      <c r="AQ1001" s="77"/>
      <c r="AR1001" s="77"/>
      <c r="AS1001" s="77"/>
      <c r="AT1001" s="77"/>
      <c r="AU1001" s="77"/>
      <c r="AV1001" s="80" t="str">
        <f>HYPERLINK("https://pbs.twimg.com/profile_images/1041725334431952896/uaPtkYSp_normal.jpg")</f>
        <v>https://pbs.twimg.com/profile_images/1041725334431952896/uaPtkYSp_normal.jpg</v>
      </c>
      <c r="AW1001" s="82" t="s">
        <v>14096</v>
      </c>
      <c r="AX1001" s="82" t="s">
        <v>14096</v>
      </c>
      <c r="AY1001" s="77"/>
      <c r="AZ1001" s="82" t="s">
        <v>17385</v>
      </c>
      <c r="BA1001" s="82" t="s">
        <v>17385</v>
      </c>
      <c r="BB1001" s="82" t="s">
        <v>17385</v>
      </c>
      <c r="BC1001" s="82" t="s">
        <v>14096</v>
      </c>
      <c r="BD1001" s="82" t="s">
        <v>17550</v>
      </c>
      <c r="BE1001" s="77"/>
      <c r="BF1001" s="77"/>
      <c r="BG1001" s="77"/>
      <c r="BH1001" s="77"/>
      <c r="BI1001" s="77"/>
    </row>
    <row r="1002" spans="1:61" x14ac:dyDescent="0.25">
      <c r="A1002" s="62" t="s">
        <v>425</v>
      </c>
      <c r="B1002" s="62" t="s">
        <v>425</v>
      </c>
      <c r="C1002" s="63"/>
      <c r="D1002" s="64"/>
      <c r="E1002" s="65"/>
      <c r="F1002" s="66"/>
      <c r="G1002" s="63"/>
      <c r="H1002" s="67"/>
      <c r="I1002" s="68"/>
      <c r="J1002" s="68"/>
      <c r="K1002" s="32"/>
      <c r="L1002" s="75">
        <v>1002</v>
      </c>
      <c r="M1002" s="75"/>
      <c r="N1002" s="70"/>
      <c r="O1002" s="77" t="s">
        <v>179</v>
      </c>
      <c r="P1002" s="79">
        <v>45078.54314814815</v>
      </c>
      <c r="Q1002" s="77" t="s">
        <v>1793</v>
      </c>
      <c r="R1002" s="77">
        <v>0</v>
      </c>
      <c r="S1002" s="77">
        <v>2</v>
      </c>
      <c r="T1002" s="77">
        <v>0</v>
      </c>
      <c r="U1002" s="77">
        <v>0</v>
      </c>
      <c r="V1002" s="77">
        <v>191</v>
      </c>
      <c r="W1002" s="82" t="s">
        <v>5474</v>
      </c>
      <c r="X1002" s="80" t="str">
        <f>HYPERLINK("https://www.seudinheiro.com/2023/colunistas/economia-da-china-em-apuros-e-yuan-sem-forcas-para-substituir-o-dolar-miql/")</f>
        <v>https://www.seudinheiro.com/2023/colunistas/economia-da-china-em-apuros-e-yuan-sem-forcas-para-substituir-o-dolar-miql/</v>
      </c>
      <c r="Y1002" s="77" t="s">
        <v>7102</v>
      </c>
      <c r="Z1002" s="77"/>
      <c r="AA1002" s="77"/>
      <c r="AB1002" s="77"/>
      <c r="AC1002" s="82" t="s">
        <v>8255</v>
      </c>
      <c r="AD1002" s="77" t="s">
        <v>8278</v>
      </c>
      <c r="AE1002" s="80" t="str">
        <f>HYPERLINK("https://twitter.com/seu_dinheiro_br/status/1664256011828355072")</f>
        <v>https://twitter.com/seu_dinheiro_br/status/1664256011828355072</v>
      </c>
      <c r="AF1002" s="79">
        <v>45078.54314814815</v>
      </c>
      <c r="AG1002" s="85">
        <v>45078</v>
      </c>
      <c r="AH1002" s="82" t="s">
        <v>9160</v>
      </c>
      <c r="AI1002" s="77" t="b">
        <v>0</v>
      </c>
      <c r="AJ1002" s="77"/>
      <c r="AK1002" s="77"/>
      <c r="AL1002" s="77"/>
      <c r="AM1002" s="77"/>
      <c r="AN1002" s="77"/>
      <c r="AO1002" s="77"/>
      <c r="AP1002" s="77"/>
      <c r="AQ1002" s="77"/>
      <c r="AR1002" s="77"/>
      <c r="AS1002" s="77"/>
      <c r="AT1002" s="77"/>
      <c r="AU1002" s="77"/>
      <c r="AV1002" s="80" t="str">
        <f>HYPERLINK("https://pbs.twimg.com/profile_images/1041725334431952896/uaPtkYSp_normal.jpg")</f>
        <v>https://pbs.twimg.com/profile_images/1041725334431952896/uaPtkYSp_normal.jpg</v>
      </c>
      <c r="AW1002" s="82" t="s">
        <v>14097</v>
      </c>
      <c r="AX1002" s="82" t="s">
        <v>14097</v>
      </c>
      <c r="AY1002" s="77"/>
      <c r="AZ1002" s="82" t="s">
        <v>17385</v>
      </c>
      <c r="BA1002" s="82" t="s">
        <v>17385</v>
      </c>
      <c r="BB1002" s="82" t="s">
        <v>17385</v>
      </c>
      <c r="BC1002" s="82" t="s">
        <v>14097</v>
      </c>
      <c r="BD1002" s="82" t="s">
        <v>17550</v>
      </c>
      <c r="BE1002" s="77"/>
      <c r="BF1002" s="77"/>
      <c r="BG1002" s="77"/>
      <c r="BH1002" s="77"/>
      <c r="BI1002" s="77"/>
    </row>
    <row r="1003" spans="1:61" x14ac:dyDescent="0.25">
      <c r="A1003" s="62" t="s">
        <v>425</v>
      </c>
      <c r="B1003" s="62" t="s">
        <v>425</v>
      </c>
      <c r="C1003" s="63"/>
      <c r="D1003" s="64"/>
      <c r="E1003" s="65"/>
      <c r="F1003" s="66"/>
      <c r="G1003" s="63"/>
      <c r="H1003" s="67"/>
      <c r="I1003" s="68"/>
      <c r="J1003" s="68"/>
      <c r="K1003" s="32"/>
      <c r="L1003" s="75">
        <v>1003</v>
      </c>
      <c r="M1003" s="75"/>
      <c r="N1003" s="70"/>
      <c r="O1003" s="77" t="s">
        <v>179</v>
      </c>
      <c r="P1003" s="79">
        <v>45074.632754629631</v>
      </c>
      <c r="Q1003" s="77" t="s">
        <v>1794</v>
      </c>
      <c r="R1003" s="77">
        <v>1</v>
      </c>
      <c r="S1003" s="77">
        <v>3</v>
      </c>
      <c r="T1003" s="77">
        <v>0</v>
      </c>
      <c r="U1003" s="77">
        <v>0</v>
      </c>
      <c r="V1003" s="77">
        <v>338</v>
      </c>
      <c r="W1003" s="82" t="s">
        <v>5487</v>
      </c>
      <c r="X1003" s="80" t="str">
        <f>HYPERLINK("https://www.seudinheiro.com/2023/empresas/nvidia-clube-do-trilao-tecnologia-rens/")</f>
        <v>https://www.seudinheiro.com/2023/empresas/nvidia-clube-do-trilao-tecnologia-rens/</v>
      </c>
      <c r="Y1003" s="77" t="s">
        <v>7102</v>
      </c>
      <c r="Z1003" s="77"/>
      <c r="AA1003" s="77"/>
      <c r="AB1003" s="77"/>
      <c r="AC1003" s="82" t="s">
        <v>8255</v>
      </c>
      <c r="AD1003" s="77" t="s">
        <v>8278</v>
      </c>
      <c r="AE1003" s="80" t="str">
        <f>HYPERLINK("https://twitter.com/seu_dinheiro_br/status/1662838935653953537")</f>
        <v>https://twitter.com/seu_dinheiro_br/status/1662838935653953537</v>
      </c>
      <c r="AF1003" s="79">
        <v>45074.632754629631</v>
      </c>
      <c r="AG1003" s="85">
        <v>45074</v>
      </c>
      <c r="AH1003" s="82" t="s">
        <v>9161</v>
      </c>
      <c r="AI1003" s="77" t="b">
        <v>0</v>
      </c>
      <c r="AJ1003" s="77"/>
      <c r="AK1003" s="77"/>
      <c r="AL1003" s="77"/>
      <c r="AM1003" s="77"/>
      <c r="AN1003" s="77"/>
      <c r="AO1003" s="77"/>
      <c r="AP1003" s="77"/>
      <c r="AQ1003" s="77"/>
      <c r="AR1003" s="77"/>
      <c r="AS1003" s="77"/>
      <c r="AT1003" s="77"/>
      <c r="AU1003" s="77"/>
      <c r="AV1003" s="80" t="str">
        <f>HYPERLINK("https://pbs.twimg.com/profile_images/1041725334431952896/uaPtkYSp_normal.jpg")</f>
        <v>https://pbs.twimg.com/profile_images/1041725334431952896/uaPtkYSp_normal.jpg</v>
      </c>
      <c r="AW1003" s="82" t="s">
        <v>14098</v>
      </c>
      <c r="AX1003" s="82" t="s">
        <v>14098</v>
      </c>
      <c r="AY1003" s="77"/>
      <c r="AZ1003" s="82" t="s">
        <v>17385</v>
      </c>
      <c r="BA1003" s="82" t="s">
        <v>17385</v>
      </c>
      <c r="BB1003" s="82" t="s">
        <v>17385</v>
      </c>
      <c r="BC1003" s="82" t="s">
        <v>14098</v>
      </c>
      <c r="BD1003" s="82" t="s">
        <v>17550</v>
      </c>
      <c r="BE1003" s="77"/>
      <c r="BF1003" s="77"/>
      <c r="BG1003" s="77"/>
      <c r="BH1003" s="77"/>
      <c r="BI1003" s="77"/>
    </row>
    <row r="1004" spans="1:61" x14ac:dyDescent="0.25">
      <c r="A1004" s="62" t="s">
        <v>425</v>
      </c>
      <c r="B1004" s="62" t="s">
        <v>425</v>
      </c>
      <c r="C1004" s="63"/>
      <c r="D1004" s="64"/>
      <c r="E1004" s="65"/>
      <c r="F1004" s="66"/>
      <c r="G1004" s="63"/>
      <c r="H1004" s="67"/>
      <c r="I1004" s="68"/>
      <c r="J1004" s="68"/>
      <c r="K1004" s="32"/>
      <c r="L1004" s="75">
        <v>1004</v>
      </c>
      <c r="M1004" s="75"/>
      <c r="N1004" s="70"/>
      <c r="O1004" s="77" t="s">
        <v>179</v>
      </c>
      <c r="P1004" s="79">
        <v>45155.551400462966</v>
      </c>
      <c r="Q1004" s="77" t="s">
        <v>1795</v>
      </c>
      <c r="R1004" s="77">
        <v>0</v>
      </c>
      <c r="S1004" s="77">
        <v>0</v>
      </c>
      <c r="T1004" s="77">
        <v>0</v>
      </c>
      <c r="U1004" s="77">
        <v>0</v>
      </c>
      <c r="V1004" s="77">
        <v>148</v>
      </c>
      <c r="W1004" s="82" t="s">
        <v>5474</v>
      </c>
      <c r="X1004" s="80" t="str">
        <f>HYPERLINK("https://www.seudinheiro.com/2023/colunistas/as-ex-small-caps-da-bolsa-quais-acoes-vao-multiplicar-de-valor-daqui-para-frente-miql/")</f>
        <v>https://www.seudinheiro.com/2023/colunistas/as-ex-small-caps-da-bolsa-quais-acoes-vao-multiplicar-de-valor-daqui-para-frente-miql/</v>
      </c>
      <c r="Y1004" s="77" t="s">
        <v>7102</v>
      </c>
      <c r="Z1004" s="77"/>
      <c r="AA1004" s="77"/>
      <c r="AB1004" s="77"/>
      <c r="AC1004" s="82" t="s">
        <v>8255</v>
      </c>
      <c r="AD1004" s="77" t="s">
        <v>8278</v>
      </c>
      <c r="AE1004" s="80" t="str">
        <f>HYPERLINK("https://twitter.com/seu_dinheiro_br/status/1692162870937551323")</f>
        <v>https://twitter.com/seu_dinheiro_br/status/1692162870937551323</v>
      </c>
      <c r="AF1004" s="79">
        <v>45155.551400462966</v>
      </c>
      <c r="AG1004" s="85">
        <v>45155</v>
      </c>
      <c r="AH1004" s="82" t="s">
        <v>9162</v>
      </c>
      <c r="AI1004" s="77" t="b">
        <v>0</v>
      </c>
      <c r="AJ1004" s="77"/>
      <c r="AK1004" s="77"/>
      <c r="AL1004" s="77"/>
      <c r="AM1004" s="77"/>
      <c r="AN1004" s="77"/>
      <c r="AO1004" s="77"/>
      <c r="AP1004" s="77"/>
      <c r="AQ1004" s="77"/>
      <c r="AR1004" s="77"/>
      <c r="AS1004" s="77"/>
      <c r="AT1004" s="77"/>
      <c r="AU1004" s="77"/>
      <c r="AV1004" s="80" t="str">
        <f>HYPERLINK("https://pbs.twimg.com/profile_images/1041725334431952896/uaPtkYSp_normal.jpg")</f>
        <v>https://pbs.twimg.com/profile_images/1041725334431952896/uaPtkYSp_normal.jpg</v>
      </c>
      <c r="AW1004" s="82" t="s">
        <v>14099</v>
      </c>
      <c r="AX1004" s="82" t="s">
        <v>14099</v>
      </c>
      <c r="AY1004" s="77"/>
      <c r="AZ1004" s="82" t="s">
        <v>17385</v>
      </c>
      <c r="BA1004" s="82" t="s">
        <v>17385</v>
      </c>
      <c r="BB1004" s="82" t="s">
        <v>17385</v>
      </c>
      <c r="BC1004" s="82" t="s">
        <v>14099</v>
      </c>
      <c r="BD1004" s="82" t="s">
        <v>17550</v>
      </c>
      <c r="BE1004" s="77"/>
      <c r="BF1004" s="77"/>
      <c r="BG1004" s="77"/>
      <c r="BH1004" s="77"/>
      <c r="BI1004" s="77"/>
    </row>
    <row r="1005" spans="1:61" x14ac:dyDescent="0.25">
      <c r="A1005" s="62" t="s">
        <v>425</v>
      </c>
      <c r="B1005" s="62" t="s">
        <v>425</v>
      </c>
      <c r="C1005" s="63"/>
      <c r="D1005" s="64"/>
      <c r="E1005" s="65"/>
      <c r="F1005" s="66"/>
      <c r="G1005" s="63"/>
      <c r="H1005" s="67"/>
      <c r="I1005" s="68"/>
      <c r="J1005" s="68"/>
      <c r="K1005" s="32"/>
      <c r="L1005" s="75">
        <v>1005</v>
      </c>
      <c r="M1005" s="75"/>
      <c r="N1005" s="70"/>
      <c r="O1005" s="77" t="s">
        <v>179</v>
      </c>
      <c r="P1005" s="79">
        <v>45155.519409722219</v>
      </c>
      <c r="Q1005" s="77" t="s">
        <v>1796</v>
      </c>
      <c r="R1005" s="77">
        <v>0</v>
      </c>
      <c r="S1005" s="77">
        <v>0</v>
      </c>
      <c r="T1005" s="77">
        <v>0</v>
      </c>
      <c r="U1005" s="77">
        <v>0</v>
      </c>
      <c r="V1005" s="77">
        <v>203</v>
      </c>
      <c r="W1005" s="82" t="s">
        <v>5488</v>
      </c>
      <c r="X1005" s="80" t="str">
        <f>HYPERLINK("https://www.seudinheiro.com/2023/empresas/ceo-do-nubank-vende-quase-r-1-bilhao-em-acoes-do-banco-digital-miql/")</f>
        <v>https://www.seudinheiro.com/2023/empresas/ceo-do-nubank-vende-quase-r-1-bilhao-em-acoes-do-banco-digital-miql/</v>
      </c>
      <c r="Y1005" s="77" t="s">
        <v>7102</v>
      </c>
      <c r="Z1005" s="77"/>
      <c r="AA1005" s="77"/>
      <c r="AB1005" s="77"/>
      <c r="AC1005" s="82" t="s">
        <v>8255</v>
      </c>
      <c r="AD1005" s="77" t="s">
        <v>8278</v>
      </c>
      <c r="AE1005" s="80" t="str">
        <f>HYPERLINK("https://twitter.com/seu_dinheiro_br/status/1692151274790064216")</f>
        <v>https://twitter.com/seu_dinheiro_br/status/1692151274790064216</v>
      </c>
      <c r="AF1005" s="79">
        <v>45155.519409722219</v>
      </c>
      <c r="AG1005" s="85">
        <v>45155</v>
      </c>
      <c r="AH1005" s="82" t="s">
        <v>9163</v>
      </c>
      <c r="AI1005" s="77" t="b">
        <v>0</v>
      </c>
      <c r="AJ1005" s="77"/>
      <c r="AK1005" s="77"/>
      <c r="AL1005" s="77"/>
      <c r="AM1005" s="77"/>
      <c r="AN1005" s="77"/>
      <c r="AO1005" s="77"/>
      <c r="AP1005" s="77"/>
      <c r="AQ1005" s="77"/>
      <c r="AR1005" s="77"/>
      <c r="AS1005" s="77"/>
      <c r="AT1005" s="77"/>
      <c r="AU1005" s="77"/>
      <c r="AV1005" s="80" t="str">
        <f>HYPERLINK("https://pbs.twimg.com/profile_images/1041725334431952896/uaPtkYSp_normal.jpg")</f>
        <v>https://pbs.twimg.com/profile_images/1041725334431952896/uaPtkYSp_normal.jpg</v>
      </c>
      <c r="AW1005" s="82" t="s">
        <v>14100</v>
      </c>
      <c r="AX1005" s="82" t="s">
        <v>14100</v>
      </c>
      <c r="AY1005" s="77"/>
      <c r="AZ1005" s="82" t="s">
        <v>17385</v>
      </c>
      <c r="BA1005" s="82" t="s">
        <v>17385</v>
      </c>
      <c r="BB1005" s="82" t="s">
        <v>17385</v>
      </c>
      <c r="BC1005" s="82" t="s">
        <v>14100</v>
      </c>
      <c r="BD1005" s="82" t="s">
        <v>17550</v>
      </c>
      <c r="BE1005" s="77"/>
      <c r="BF1005" s="77"/>
      <c r="BG1005" s="77"/>
      <c r="BH1005" s="77"/>
      <c r="BI1005" s="77"/>
    </row>
    <row r="1006" spans="1:61" x14ac:dyDescent="0.25">
      <c r="A1006" s="62" t="s">
        <v>425</v>
      </c>
      <c r="B1006" s="62" t="s">
        <v>425</v>
      </c>
      <c r="C1006" s="63"/>
      <c r="D1006" s="64"/>
      <c r="E1006" s="65"/>
      <c r="F1006" s="66"/>
      <c r="G1006" s="63"/>
      <c r="H1006" s="67"/>
      <c r="I1006" s="68"/>
      <c r="J1006" s="68"/>
      <c r="K1006" s="32"/>
      <c r="L1006" s="75">
        <v>1006</v>
      </c>
      <c r="M1006" s="75"/>
      <c r="N1006" s="70"/>
      <c r="O1006" s="77" t="s">
        <v>179</v>
      </c>
      <c r="P1006" s="79">
        <v>45152.880833333336</v>
      </c>
      <c r="Q1006" s="77" t="s">
        <v>1797</v>
      </c>
      <c r="R1006" s="77">
        <v>0</v>
      </c>
      <c r="S1006" s="77">
        <v>1</v>
      </c>
      <c r="T1006" s="77">
        <v>0</v>
      </c>
      <c r="U1006" s="77">
        <v>0</v>
      </c>
      <c r="V1006" s="77">
        <v>312</v>
      </c>
      <c r="W1006" s="82" t="s">
        <v>5489</v>
      </c>
      <c r="X1006" s="80" t="str">
        <f>HYPERLINK("https://www.seudinheiro.com/2023/empresas/clearsale-clsa3-entrevista-2t23/")</f>
        <v>https://www.seudinheiro.com/2023/empresas/clearsale-clsa3-entrevista-2t23/</v>
      </c>
      <c r="Y1006" s="77" t="s">
        <v>7102</v>
      </c>
      <c r="Z1006" s="77"/>
      <c r="AA1006" s="77"/>
      <c r="AB1006" s="77"/>
      <c r="AC1006" s="82" t="s">
        <v>8255</v>
      </c>
      <c r="AD1006" s="77" t="s">
        <v>8278</v>
      </c>
      <c r="AE1006" s="80" t="str">
        <f>HYPERLINK("https://twitter.com/seu_dinheiro_br/status/1691195089710706688")</f>
        <v>https://twitter.com/seu_dinheiro_br/status/1691195089710706688</v>
      </c>
      <c r="AF1006" s="79">
        <v>45152.880833333336</v>
      </c>
      <c r="AG1006" s="85">
        <v>45152</v>
      </c>
      <c r="AH1006" s="82" t="s">
        <v>9164</v>
      </c>
      <c r="AI1006" s="77" t="b">
        <v>0</v>
      </c>
      <c r="AJ1006" s="77"/>
      <c r="AK1006" s="77"/>
      <c r="AL1006" s="77"/>
      <c r="AM1006" s="77"/>
      <c r="AN1006" s="77"/>
      <c r="AO1006" s="77"/>
      <c r="AP1006" s="77"/>
      <c r="AQ1006" s="77"/>
      <c r="AR1006" s="77"/>
      <c r="AS1006" s="77"/>
      <c r="AT1006" s="77"/>
      <c r="AU1006" s="77"/>
      <c r="AV1006" s="80" t="str">
        <f>HYPERLINK("https://pbs.twimg.com/profile_images/1041725334431952896/uaPtkYSp_normal.jpg")</f>
        <v>https://pbs.twimg.com/profile_images/1041725334431952896/uaPtkYSp_normal.jpg</v>
      </c>
      <c r="AW1006" s="82" t="s">
        <v>14101</v>
      </c>
      <c r="AX1006" s="82" t="s">
        <v>14101</v>
      </c>
      <c r="AY1006" s="77"/>
      <c r="AZ1006" s="82" t="s">
        <v>17385</v>
      </c>
      <c r="BA1006" s="82" t="s">
        <v>17385</v>
      </c>
      <c r="BB1006" s="82" t="s">
        <v>17385</v>
      </c>
      <c r="BC1006" s="82" t="s">
        <v>14101</v>
      </c>
      <c r="BD1006" s="82" t="s">
        <v>17550</v>
      </c>
      <c r="BE1006" s="77"/>
      <c r="BF1006" s="77"/>
      <c r="BG1006" s="77"/>
      <c r="BH1006" s="77"/>
      <c r="BI1006" s="77"/>
    </row>
    <row r="1007" spans="1:61" x14ac:dyDescent="0.25">
      <c r="A1007" s="62" t="s">
        <v>425</v>
      </c>
      <c r="B1007" s="62" t="s">
        <v>425</v>
      </c>
      <c r="C1007" s="63"/>
      <c r="D1007" s="64"/>
      <c r="E1007" s="65"/>
      <c r="F1007" s="66"/>
      <c r="G1007" s="63"/>
      <c r="H1007" s="67"/>
      <c r="I1007" s="68"/>
      <c r="J1007" s="68"/>
      <c r="K1007" s="32"/>
      <c r="L1007" s="75">
        <v>1007</v>
      </c>
      <c r="M1007" s="75"/>
      <c r="N1007" s="70"/>
      <c r="O1007" s="77" t="s">
        <v>179</v>
      </c>
      <c r="P1007" s="79">
        <v>45148.691365740742</v>
      </c>
      <c r="Q1007" s="77" t="s">
        <v>1798</v>
      </c>
      <c r="R1007" s="77">
        <v>0</v>
      </c>
      <c r="S1007" s="77">
        <v>1</v>
      </c>
      <c r="T1007" s="77">
        <v>0</v>
      </c>
      <c r="U1007" s="77">
        <v>0</v>
      </c>
      <c r="V1007" s="77">
        <v>218</v>
      </c>
      <c r="W1007" s="82" t="s">
        <v>5490</v>
      </c>
      <c r="X1007" s="80" t="str">
        <f>HYPERLINK("https://www.seudinheiro.com/2023/empresas/dividendos-da-petrobras-ameacados-citi-rebaixa-a-estatal-e-corta-preco-alvo-das-adrs-saiba-por-que-o-banco-americano-esta-mais-pessimista-ccgg/")</f>
        <v>https://www.seudinheiro.com/2023/empresas/dividendos-da-petrobras-ameacados-citi-rebaixa-a-estatal-e-corta-preco-alvo-das-adrs-saiba-por-que-o-banco-americano-esta-mais-pessimista-ccgg/</v>
      </c>
      <c r="Y1007" s="77" t="s">
        <v>7102</v>
      </c>
      <c r="Z1007" s="77"/>
      <c r="AA1007" s="77"/>
      <c r="AB1007" s="77"/>
      <c r="AC1007" s="82" t="s">
        <v>8255</v>
      </c>
      <c r="AD1007" s="77" t="s">
        <v>8278</v>
      </c>
      <c r="AE1007" s="80" t="str">
        <f>HYPERLINK("https://twitter.com/seu_dinheiro_br/status/1689676876195799042")</f>
        <v>https://twitter.com/seu_dinheiro_br/status/1689676876195799042</v>
      </c>
      <c r="AF1007" s="79">
        <v>45148.691365740742</v>
      </c>
      <c r="AG1007" s="85">
        <v>45148</v>
      </c>
      <c r="AH1007" s="82" t="s">
        <v>9165</v>
      </c>
      <c r="AI1007" s="77" t="b">
        <v>0</v>
      </c>
      <c r="AJ1007" s="77"/>
      <c r="AK1007" s="77"/>
      <c r="AL1007" s="77"/>
      <c r="AM1007" s="77"/>
      <c r="AN1007" s="77"/>
      <c r="AO1007" s="77"/>
      <c r="AP1007" s="77"/>
      <c r="AQ1007" s="77"/>
      <c r="AR1007" s="77"/>
      <c r="AS1007" s="77"/>
      <c r="AT1007" s="77"/>
      <c r="AU1007" s="77"/>
      <c r="AV1007" s="80" t="str">
        <f>HYPERLINK("https://pbs.twimg.com/profile_images/1041725334431952896/uaPtkYSp_normal.jpg")</f>
        <v>https://pbs.twimg.com/profile_images/1041725334431952896/uaPtkYSp_normal.jpg</v>
      </c>
      <c r="AW1007" s="82" t="s">
        <v>14102</v>
      </c>
      <c r="AX1007" s="82" t="s">
        <v>14102</v>
      </c>
      <c r="AY1007" s="77"/>
      <c r="AZ1007" s="82" t="s">
        <v>17385</v>
      </c>
      <c r="BA1007" s="82" t="s">
        <v>17385</v>
      </c>
      <c r="BB1007" s="82" t="s">
        <v>17385</v>
      </c>
      <c r="BC1007" s="82" t="s">
        <v>14102</v>
      </c>
      <c r="BD1007" s="82" t="s">
        <v>17550</v>
      </c>
      <c r="BE1007" s="77"/>
      <c r="BF1007" s="77"/>
      <c r="BG1007" s="77"/>
      <c r="BH1007" s="77"/>
      <c r="BI1007" s="77"/>
    </row>
    <row r="1008" spans="1:61" x14ac:dyDescent="0.25">
      <c r="A1008" s="62" t="s">
        <v>425</v>
      </c>
      <c r="B1008" s="62" t="s">
        <v>425</v>
      </c>
      <c r="C1008" s="63"/>
      <c r="D1008" s="64"/>
      <c r="E1008" s="65"/>
      <c r="F1008" s="66"/>
      <c r="G1008" s="63"/>
      <c r="H1008" s="67"/>
      <c r="I1008" s="68"/>
      <c r="J1008" s="68"/>
      <c r="K1008" s="32"/>
      <c r="L1008" s="75">
        <v>1008</v>
      </c>
      <c r="M1008" s="75"/>
      <c r="N1008" s="70"/>
      <c r="O1008" s="77" t="s">
        <v>179</v>
      </c>
      <c r="P1008" s="79">
        <v>45142.851643518516</v>
      </c>
      <c r="Q1008" s="77" t="s">
        <v>1799</v>
      </c>
      <c r="R1008" s="77">
        <v>0</v>
      </c>
      <c r="S1008" s="77">
        <v>0</v>
      </c>
      <c r="T1008" s="77">
        <v>0</v>
      </c>
      <c r="U1008" s="77">
        <v>0</v>
      </c>
      <c r="V1008" s="77">
        <v>220</v>
      </c>
      <c r="W1008" s="82" t="s">
        <v>5491</v>
      </c>
      <c r="X1008" s="80" t="str">
        <f>HYPERLINK("https://www.seudinheiro.com/2023/empresas/brf-brfs3-acao-sobe-forte-lidera-os-ganhos-do-ibovespa-e-tem-espaco-para-avancar-mais-e-hora-de-comprar-ccgg/")</f>
        <v>https://www.seudinheiro.com/2023/empresas/brf-brfs3-acao-sobe-forte-lidera-os-ganhos-do-ibovespa-e-tem-espaco-para-avancar-mais-e-hora-de-comprar-ccgg/</v>
      </c>
      <c r="Y1008" s="77" t="s">
        <v>7102</v>
      </c>
      <c r="Z1008" s="77"/>
      <c r="AA1008" s="77"/>
      <c r="AB1008" s="77"/>
      <c r="AC1008" s="82" t="s">
        <v>8255</v>
      </c>
      <c r="AD1008" s="77" t="s">
        <v>8278</v>
      </c>
      <c r="AE1008" s="80" t="str">
        <f>HYPERLINK("https://twitter.com/seu_dinheiro_br/status/1687560631434584064")</f>
        <v>https://twitter.com/seu_dinheiro_br/status/1687560631434584064</v>
      </c>
      <c r="AF1008" s="79">
        <v>45142.851643518516</v>
      </c>
      <c r="AG1008" s="85">
        <v>45142</v>
      </c>
      <c r="AH1008" s="82" t="s">
        <v>9166</v>
      </c>
      <c r="AI1008" s="77" t="b">
        <v>0</v>
      </c>
      <c r="AJ1008" s="77"/>
      <c r="AK1008" s="77"/>
      <c r="AL1008" s="77"/>
      <c r="AM1008" s="77"/>
      <c r="AN1008" s="77"/>
      <c r="AO1008" s="77"/>
      <c r="AP1008" s="77"/>
      <c r="AQ1008" s="77"/>
      <c r="AR1008" s="77"/>
      <c r="AS1008" s="77"/>
      <c r="AT1008" s="77"/>
      <c r="AU1008" s="77"/>
      <c r="AV1008" s="80" t="str">
        <f>HYPERLINK("https://pbs.twimg.com/profile_images/1041725334431952896/uaPtkYSp_normal.jpg")</f>
        <v>https://pbs.twimg.com/profile_images/1041725334431952896/uaPtkYSp_normal.jpg</v>
      </c>
      <c r="AW1008" s="82" t="s">
        <v>14103</v>
      </c>
      <c r="AX1008" s="82" t="s">
        <v>14103</v>
      </c>
      <c r="AY1008" s="77"/>
      <c r="AZ1008" s="82" t="s">
        <v>17385</v>
      </c>
      <c r="BA1008" s="82" t="s">
        <v>17385</v>
      </c>
      <c r="BB1008" s="82" t="s">
        <v>17385</v>
      </c>
      <c r="BC1008" s="82" t="s">
        <v>14103</v>
      </c>
      <c r="BD1008" s="82" t="s">
        <v>17550</v>
      </c>
      <c r="BE1008" s="77"/>
      <c r="BF1008" s="77"/>
      <c r="BG1008" s="77"/>
      <c r="BH1008" s="77"/>
      <c r="BI1008" s="77"/>
    </row>
    <row r="1009" spans="1:61" x14ac:dyDescent="0.25">
      <c r="A1009" s="62" t="s">
        <v>425</v>
      </c>
      <c r="B1009" s="62" t="s">
        <v>425</v>
      </c>
      <c r="C1009" s="63"/>
      <c r="D1009" s="64"/>
      <c r="E1009" s="65"/>
      <c r="F1009" s="66"/>
      <c r="G1009" s="63"/>
      <c r="H1009" s="67"/>
      <c r="I1009" s="68"/>
      <c r="J1009" s="68"/>
      <c r="K1009" s="32"/>
      <c r="L1009" s="75">
        <v>1009</v>
      </c>
      <c r="M1009" s="75"/>
      <c r="N1009" s="70"/>
      <c r="O1009" s="77" t="s">
        <v>179</v>
      </c>
      <c r="P1009" s="79">
        <v>45142.698148148149</v>
      </c>
      <c r="Q1009" s="77" t="s">
        <v>1800</v>
      </c>
      <c r="R1009" s="77">
        <v>0</v>
      </c>
      <c r="S1009" s="77">
        <v>1</v>
      </c>
      <c r="T1009" s="77">
        <v>0</v>
      </c>
      <c r="U1009" s="77">
        <v>0</v>
      </c>
      <c r="V1009" s="77">
        <v>271</v>
      </c>
      <c r="W1009" s="82" t="s">
        <v>5492</v>
      </c>
      <c r="X1009" s="80" t="str">
        <f>HYPERLINK("https://www.seudinheiro.com/2023/empresas/bradesco-bbdc4-acoes-do-banco-caem-forte-na-b3-apos-balanco-saiba-o-que-desagradou-ccgg/")</f>
        <v>https://www.seudinheiro.com/2023/empresas/bradesco-bbdc4-acoes-do-banco-caem-forte-na-b3-apos-balanco-saiba-o-que-desagradou-ccgg/</v>
      </c>
      <c r="Y1009" s="77" t="s">
        <v>7102</v>
      </c>
      <c r="Z1009" s="77"/>
      <c r="AA1009" s="77"/>
      <c r="AB1009" s="77"/>
      <c r="AC1009" s="82" t="s">
        <v>8255</v>
      </c>
      <c r="AD1009" s="77" t="s">
        <v>8278</v>
      </c>
      <c r="AE1009" s="80" t="str">
        <f>HYPERLINK("https://twitter.com/seu_dinheiro_br/status/1687505008026165262")</f>
        <v>https://twitter.com/seu_dinheiro_br/status/1687505008026165262</v>
      </c>
      <c r="AF1009" s="79">
        <v>45142.698148148149</v>
      </c>
      <c r="AG1009" s="85">
        <v>45142</v>
      </c>
      <c r="AH1009" s="82" t="s">
        <v>9167</v>
      </c>
      <c r="AI1009" s="77" t="b">
        <v>0</v>
      </c>
      <c r="AJ1009" s="77"/>
      <c r="AK1009" s="77"/>
      <c r="AL1009" s="77"/>
      <c r="AM1009" s="77"/>
      <c r="AN1009" s="77"/>
      <c r="AO1009" s="77"/>
      <c r="AP1009" s="77"/>
      <c r="AQ1009" s="77"/>
      <c r="AR1009" s="77"/>
      <c r="AS1009" s="77"/>
      <c r="AT1009" s="77"/>
      <c r="AU1009" s="77"/>
      <c r="AV1009" s="80" t="str">
        <f>HYPERLINK("https://pbs.twimg.com/profile_images/1041725334431952896/uaPtkYSp_normal.jpg")</f>
        <v>https://pbs.twimg.com/profile_images/1041725334431952896/uaPtkYSp_normal.jpg</v>
      </c>
      <c r="AW1009" s="82" t="s">
        <v>14104</v>
      </c>
      <c r="AX1009" s="82" t="s">
        <v>14104</v>
      </c>
      <c r="AY1009" s="77"/>
      <c r="AZ1009" s="82" t="s">
        <v>17385</v>
      </c>
      <c r="BA1009" s="82" t="s">
        <v>17385</v>
      </c>
      <c r="BB1009" s="82" t="s">
        <v>17385</v>
      </c>
      <c r="BC1009" s="82" t="s">
        <v>14104</v>
      </c>
      <c r="BD1009" s="82" t="s">
        <v>17550</v>
      </c>
      <c r="BE1009" s="77"/>
      <c r="BF1009" s="77"/>
      <c r="BG1009" s="77"/>
      <c r="BH1009" s="77"/>
      <c r="BI1009" s="77"/>
    </row>
    <row r="1010" spans="1:61" x14ac:dyDescent="0.25">
      <c r="A1010" s="62" t="s">
        <v>425</v>
      </c>
      <c r="B1010" s="62" t="s">
        <v>425</v>
      </c>
      <c r="C1010" s="63"/>
      <c r="D1010" s="64"/>
      <c r="E1010" s="65"/>
      <c r="F1010" s="66"/>
      <c r="G1010" s="63"/>
      <c r="H1010" s="67"/>
      <c r="I1010" s="68"/>
      <c r="J1010" s="68"/>
      <c r="K1010" s="32"/>
      <c r="L1010" s="75">
        <v>1010</v>
      </c>
      <c r="M1010" s="75"/>
      <c r="N1010" s="70"/>
      <c r="O1010" s="77" t="s">
        <v>179</v>
      </c>
      <c r="P1010" s="79">
        <v>45139.478263888886</v>
      </c>
      <c r="Q1010" s="77" t="s">
        <v>1801</v>
      </c>
      <c r="R1010" s="77">
        <v>0</v>
      </c>
      <c r="S1010" s="77">
        <v>1</v>
      </c>
      <c r="T1010" s="77">
        <v>0</v>
      </c>
      <c r="U1010" s="77">
        <v>0</v>
      </c>
      <c r="V1010" s="77">
        <v>202</v>
      </c>
      <c r="W1010" s="82" t="s">
        <v>5475</v>
      </c>
      <c r="X1010" s="80" t="str">
        <f>HYPERLINK("https://www.seudinheiro.com/2023/colunistas/day-trade-na-b3-acao-minerva-foods-beef3-01-08-rens/")</f>
        <v>https://www.seudinheiro.com/2023/colunistas/day-trade-na-b3-acao-minerva-foods-beef3-01-08-rens/</v>
      </c>
      <c r="Y1010" s="77" t="s">
        <v>7102</v>
      </c>
      <c r="Z1010" s="77"/>
      <c r="AA1010" s="77"/>
      <c r="AB1010" s="77"/>
      <c r="AC1010" s="82" t="s">
        <v>8255</v>
      </c>
      <c r="AD1010" s="77" t="s">
        <v>8278</v>
      </c>
      <c r="AE1010" s="80" t="str">
        <f>HYPERLINK("https://twitter.com/seu_dinheiro_br/status/1686338157522939904")</f>
        <v>https://twitter.com/seu_dinheiro_br/status/1686338157522939904</v>
      </c>
      <c r="AF1010" s="79">
        <v>45139.478263888886</v>
      </c>
      <c r="AG1010" s="85">
        <v>45139</v>
      </c>
      <c r="AH1010" s="82" t="s">
        <v>9168</v>
      </c>
      <c r="AI1010" s="77" t="b">
        <v>0</v>
      </c>
      <c r="AJ1010" s="77"/>
      <c r="AK1010" s="77"/>
      <c r="AL1010" s="77"/>
      <c r="AM1010" s="77"/>
      <c r="AN1010" s="77"/>
      <c r="AO1010" s="77"/>
      <c r="AP1010" s="77"/>
      <c r="AQ1010" s="77"/>
      <c r="AR1010" s="77"/>
      <c r="AS1010" s="77"/>
      <c r="AT1010" s="77"/>
      <c r="AU1010" s="77"/>
      <c r="AV1010" s="80" t="str">
        <f>HYPERLINK("https://pbs.twimg.com/profile_images/1041725334431952896/uaPtkYSp_normal.jpg")</f>
        <v>https://pbs.twimg.com/profile_images/1041725334431952896/uaPtkYSp_normal.jpg</v>
      </c>
      <c r="AW1010" s="82" t="s">
        <v>14105</v>
      </c>
      <c r="AX1010" s="82" t="s">
        <v>14105</v>
      </c>
      <c r="AY1010" s="77"/>
      <c r="AZ1010" s="82" t="s">
        <v>17385</v>
      </c>
      <c r="BA1010" s="82" t="s">
        <v>17385</v>
      </c>
      <c r="BB1010" s="82" t="s">
        <v>17385</v>
      </c>
      <c r="BC1010" s="82" t="s">
        <v>14105</v>
      </c>
      <c r="BD1010" s="82" t="s">
        <v>17550</v>
      </c>
      <c r="BE1010" s="77"/>
      <c r="BF1010" s="77"/>
      <c r="BG1010" s="77"/>
      <c r="BH1010" s="77"/>
      <c r="BI1010" s="77"/>
    </row>
    <row r="1011" spans="1:61" x14ac:dyDescent="0.25">
      <c r="A1011" s="62" t="s">
        <v>425</v>
      </c>
      <c r="B1011" s="62" t="s">
        <v>425</v>
      </c>
      <c r="C1011" s="63"/>
      <c r="D1011" s="64"/>
      <c r="E1011" s="65"/>
      <c r="F1011" s="66"/>
      <c r="G1011" s="63"/>
      <c r="H1011" s="67"/>
      <c r="I1011" s="68"/>
      <c r="J1011" s="68"/>
      <c r="K1011" s="32"/>
      <c r="L1011" s="75">
        <v>1011</v>
      </c>
      <c r="M1011" s="75"/>
      <c r="N1011" s="70"/>
      <c r="O1011" s="77" t="s">
        <v>179</v>
      </c>
      <c r="P1011" s="79">
        <v>45139.464930555558</v>
      </c>
      <c r="Q1011" s="77" t="s">
        <v>1802</v>
      </c>
      <c r="R1011" s="77">
        <v>0</v>
      </c>
      <c r="S1011" s="77">
        <v>0</v>
      </c>
      <c r="T1011" s="77">
        <v>1</v>
      </c>
      <c r="U1011" s="77">
        <v>1</v>
      </c>
      <c r="V1011" s="77">
        <v>260</v>
      </c>
      <c r="W1011" s="82" t="s">
        <v>5474</v>
      </c>
      <c r="X1011" s="80" t="str">
        <f>HYPERLINK("https://www.seudinheiro.com/2023/empresas/sabesp-sbsp3-como-o-governo-de-tarcisio-de-freitas-quer-evitar-o-risco-eletrobras-na-privatizacao-vinp/")</f>
        <v>https://www.seudinheiro.com/2023/empresas/sabesp-sbsp3-como-o-governo-de-tarcisio-de-freitas-quer-evitar-o-risco-eletrobras-na-privatizacao-vinp/</v>
      </c>
      <c r="Y1011" s="77" t="s">
        <v>7102</v>
      </c>
      <c r="Z1011" s="77"/>
      <c r="AA1011" s="77"/>
      <c r="AB1011" s="77"/>
      <c r="AC1011" s="82" t="s">
        <v>8255</v>
      </c>
      <c r="AD1011" s="77" t="s">
        <v>8278</v>
      </c>
      <c r="AE1011" s="80" t="str">
        <f>HYPERLINK("https://twitter.com/seu_dinheiro_br/status/1686333329363050496")</f>
        <v>https://twitter.com/seu_dinheiro_br/status/1686333329363050496</v>
      </c>
      <c r="AF1011" s="79">
        <v>45139.464930555558</v>
      </c>
      <c r="AG1011" s="85">
        <v>45139</v>
      </c>
      <c r="AH1011" s="82" t="s">
        <v>9169</v>
      </c>
      <c r="AI1011" s="77" t="b">
        <v>0</v>
      </c>
      <c r="AJ1011" s="77"/>
      <c r="AK1011" s="77"/>
      <c r="AL1011" s="77"/>
      <c r="AM1011" s="77"/>
      <c r="AN1011" s="77"/>
      <c r="AO1011" s="77"/>
      <c r="AP1011" s="77"/>
      <c r="AQ1011" s="77"/>
      <c r="AR1011" s="77"/>
      <c r="AS1011" s="77"/>
      <c r="AT1011" s="77"/>
      <c r="AU1011" s="77"/>
      <c r="AV1011" s="80" t="str">
        <f>HYPERLINK("https://pbs.twimg.com/profile_images/1041725334431952896/uaPtkYSp_normal.jpg")</f>
        <v>https://pbs.twimg.com/profile_images/1041725334431952896/uaPtkYSp_normal.jpg</v>
      </c>
      <c r="AW1011" s="82" t="s">
        <v>14106</v>
      </c>
      <c r="AX1011" s="82" t="s">
        <v>14106</v>
      </c>
      <c r="AY1011" s="77"/>
      <c r="AZ1011" s="82" t="s">
        <v>17385</v>
      </c>
      <c r="BA1011" s="82" t="s">
        <v>17385</v>
      </c>
      <c r="BB1011" s="82" t="s">
        <v>17385</v>
      </c>
      <c r="BC1011" s="82" t="s">
        <v>14106</v>
      </c>
      <c r="BD1011" s="82" t="s">
        <v>17550</v>
      </c>
      <c r="BE1011" s="77"/>
      <c r="BF1011" s="77"/>
      <c r="BG1011" s="77"/>
      <c r="BH1011" s="77"/>
      <c r="BI1011" s="77"/>
    </row>
    <row r="1012" spans="1:61" x14ac:dyDescent="0.25">
      <c r="A1012" s="62" t="s">
        <v>425</v>
      </c>
      <c r="B1012" s="62" t="s">
        <v>425</v>
      </c>
      <c r="C1012" s="63"/>
      <c r="D1012" s="64"/>
      <c r="E1012" s="65"/>
      <c r="F1012" s="66"/>
      <c r="G1012" s="63"/>
      <c r="H1012" s="67"/>
      <c r="I1012" s="68"/>
      <c r="J1012" s="68"/>
      <c r="K1012" s="32"/>
      <c r="L1012" s="75">
        <v>1012</v>
      </c>
      <c r="M1012" s="75"/>
      <c r="N1012" s="70"/>
      <c r="O1012" s="77" t="s">
        <v>179</v>
      </c>
      <c r="P1012" s="79">
        <v>45128.465451388889</v>
      </c>
      <c r="Q1012" s="77" t="s">
        <v>1803</v>
      </c>
      <c r="R1012" s="77">
        <v>0</v>
      </c>
      <c r="S1012" s="77">
        <v>1</v>
      </c>
      <c r="T1012" s="77">
        <v>0</v>
      </c>
      <c r="U1012" s="77">
        <v>0</v>
      </c>
      <c r="V1012" s="77">
        <v>296</v>
      </c>
      <c r="W1012" s="82" t="s">
        <v>5475</v>
      </c>
      <c r="X1012" s="80" t="str">
        <f>HYPERLINK("https://www.seudinheiro.com/2023/colunistas/day-trade-na-b3-acao-cyrela-cyre3-lavvi-lavv3-18-07-rens/")</f>
        <v>https://www.seudinheiro.com/2023/colunistas/day-trade-na-b3-acao-cyrela-cyre3-lavvi-lavv3-18-07-rens/</v>
      </c>
      <c r="Y1012" s="77" t="s">
        <v>7102</v>
      </c>
      <c r="Z1012" s="77"/>
      <c r="AA1012" s="77"/>
      <c r="AB1012" s="77"/>
      <c r="AC1012" s="82" t="s">
        <v>8255</v>
      </c>
      <c r="AD1012" s="77" t="s">
        <v>8278</v>
      </c>
      <c r="AE1012" s="80" t="str">
        <f>HYPERLINK("https://twitter.com/seu_dinheiro_br/status/1682347251295989761")</f>
        <v>https://twitter.com/seu_dinheiro_br/status/1682347251295989761</v>
      </c>
      <c r="AF1012" s="79">
        <v>45128.465451388889</v>
      </c>
      <c r="AG1012" s="85">
        <v>45128</v>
      </c>
      <c r="AH1012" s="82" t="s">
        <v>9170</v>
      </c>
      <c r="AI1012" s="77" t="b">
        <v>0</v>
      </c>
      <c r="AJ1012" s="77"/>
      <c r="AK1012" s="77"/>
      <c r="AL1012" s="77"/>
      <c r="AM1012" s="77"/>
      <c r="AN1012" s="77"/>
      <c r="AO1012" s="77"/>
      <c r="AP1012" s="77"/>
      <c r="AQ1012" s="77"/>
      <c r="AR1012" s="77"/>
      <c r="AS1012" s="77"/>
      <c r="AT1012" s="77"/>
      <c r="AU1012" s="77"/>
      <c r="AV1012" s="80" t="str">
        <f>HYPERLINK("https://pbs.twimg.com/profile_images/1041725334431952896/uaPtkYSp_normal.jpg")</f>
        <v>https://pbs.twimg.com/profile_images/1041725334431952896/uaPtkYSp_normal.jpg</v>
      </c>
      <c r="AW1012" s="82" t="s">
        <v>14107</v>
      </c>
      <c r="AX1012" s="82" t="s">
        <v>14107</v>
      </c>
      <c r="AY1012" s="77"/>
      <c r="AZ1012" s="82" t="s">
        <v>17385</v>
      </c>
      <c r="BA1012" s="82" t="s">
        <v>17385</v>
      </c>
      <c r="BB1012" s="82" t="s">
        <v>17385</v>
      </c>
      <c r="BC1012" s="82" t="s">
        <v>14107</v>
      </c>
      <c r="BD1012" s="82" t="s">
        <v>17550</v>
      </c>
      <c r="BE1012" s="77"/>
      <c r="BF1012" s="77"/>
      <c r="BG1012" s="77"/>
      <c r="BH1012" s="77"/>
      <c r="BI1012" s="77"/>
    </row>
    <row r="1013" spans="1:61" x14ac:dyDescent="0.25">
      <c r="A1013" s="62" t="s">
        <v>425</v>
      </c>
      <c r="B1013" s="62" t="s">
        <v>425</v>
      </c>
      <c r="C1013" s="63"/>
      <c r="D1013" s="64"/>
      <c r="E1013" s="65"/>
      <c r="F1013" s="66"/>
      <c r="G1013" s="63"/>
      <c r="H1013" s="67"/>
      <c r="I1013" s="68"/>
      <c r="J1013" s="68"/>
      <c r="K1013" s="32"/>
      <c r="L1013" s="75">
        <v>1013</v>
      </c>
      <c r="M1013" s="75"/>
      <c r="N1013" s="70"/>
      <c r="O1013" s="77" t="s">
        <v>179</v>
      </c>
      <c r="P1013" s="79">
        <v>45128.383460648147</v>
      </c>
      <c r="Q1013" s="77" t="s">
        <v>1804</v>
      </c>
      <c r="R1013" s="77">
        <v>0</v>
      </c>
      <c r="S1013" s="77">
        <v>2</v>
      </c>
      <c r="T1013" s="77">
        <v>0</v>
      </c>
      <c r="U1013" s="77">
        <v>0</v>
      </c>
      <c r="V1013" s="77">
        <v>330</v>
      </c>
      <c r="W1013" s="82" t="s">
        <v>5493</v>
      </c>
      <c r="X1013" s="80" t="str">
        <f>HYPERLINK("https://www.seudinheiro.com/2023/colunistas/os-dividendos-da-petrobras-vao-cair-ainda-vale-a-pena-ccgg/")</f>
        <v>https://www.seudinheiro.com/2023/colunistas/os-dividendos-da-petrobras-vao-cair-ainda-vale-a-pena-ccgg/</v>
      </c>
      <c r="Y1013" s="77" t="s">
        <v>7102</v>
      </c>
      <c r="Z1013" s="77"/>
      <c r="AA1013" s="77"/>
      <c r="AB1013" s="77"/>
      <c r="AC1013" s="82" t="s">
        <v>8255</v>
      </c>
      <c r="AD1013" s="77" t="s">
        <v>8278</v>
      </c>
      <c r="AE1013" s="80" t="str">
        <f>HYPERLINK("https://twitter.com/seu_dinheiro_br/status/1682317536753229829")</f>
        <v>https://twitter.com/seu_dinheiro_br/status/1682317536753229829</v>
      </c>
      <c r="AF1013" s="79">
        <v>45128.383460648147</v>
      </c>
      <c r="AG1013" s="85">
        <v>45128</v>
      </c>
      <c r="AH1013" s="82" t="s">
        <v>9171</v>
      </c>
      <c r="AI1013" s="77" t="b">
        <v>0</v>
      </c>
      <c r="AJ1013" s="77"/>
      <c r="AK1013" s="77"/>
      <c r="AL1013" s="77"/>
      <c r="AM1013" s="77"/>
      <c r="AN1013" s="77"/>
      <c r="AO1013" s="77"/>
      <c r="AP1013" s="77"/>
      <c r="AQ1013" s="77"/>
      <c r="AR1013" s="77"/>
      <c r="AS1013" s="77"/>
      <c r="AT1013" s="77"/>
      <c r="AU1013" s="77"/>
      <c r="AV1013" s="80" t="str">
        <f>HYPERLINK("https://pbs.twimg.com/profile_images/1041725334431952896/uaPtkYSp_normal.jpg")</f>
        <v>https://pbs.twimg.com/profile_images/1041725334431952896/uaPtkYSp_normal.jpg</v>
      </c>
      <c r="AW1013" s="82" t="s">
        <v>14108</v>
      </c>
      <c r="AX1013" s="82" t="s">
        <v>14108</v>
      </c>
      <c r="AY1013" s="77"/>
      <c r="AZ1013" s="82" t="s">
        <v>17385</v>
      </c>
      <c r="BA1013" s="82" t="s">
        <v>17385</v>
      </c>
      <c r="BB1013" s="82" t="s">
        <v>17385</v>
      </c>
      <c r="BC1013" s="82" t="s">
        <v>14108</v>
      </c>
      <c r="BD1013" s="82" t="s">
        <v>17550</v>
      </c>
      <c r="BE1013" s="77"/>
      <c r="BF1013" s="77"/>
      <c r="BG1013" s="77"/>
      <c r="BH1013" s="77"/>
      <c r="BI1013" s="77"/>
    </row>
    <row r="1014" spans="1:61" x14ac:dyDescent="0.25">
      <c r="A1014" s="62" t="s">
        <v>425</v>
      </c>
      <c r="B1014" s="62" t="s">
        <v>425</v>
      </c>
      <c r="C1014" s="63"/>
      <c r="D1014" s="64"/>
      <c r="E1014" s="65"/>
      <c r="F1014" s="66"/>
      <c r="G1014" s="63"/>
      <c r="H1014" s="67"/>
      <c r="I1014" s="68"/>
      <c r="J1014" s="68"/>
      <c r="K1014" s="32"/>
      <c r="L1014" s="75">
        <v>1014</v>
      </c>
      <c r="M1014" s="75"/>
      <c r="N1014" s="70"/>
      <c r="O1014" s="77" t="s">
        <v>179</v>
      </c>
      <c r="P1014" s="79">
        <v>45127.673645833333</v>
      </c>
      <c r="Q1014" s="77" t="s">
        <v>1805</v>
      </c>
      <c r="R1014" s="77">
        <v>1</v>
      </c>
      <c r="S1014" s="77">
        <v>0</v>
      </c>
      <c r="T1014" s="77">
        <v>0</v>
      </c>
      <c r="U1014" s="77">
        <v>0</v>
      </c>
      <c r="V1014" s="77">
        <v>243</v>
      </c>
      <c r="W1014" s="82" t="s">
        <v>5486</v>
      </c>
      <c r="X1014" s="80" t="str">
        <f>HYPERLINK("https://www.seudinheiro.com/2023/empresas/cheiro-de-coisa-boa-no-ar-natura-ntco3-lidera-altas-do-ibovespa-apos-este-analista-elevar-preco-alvo-ccgg/")</f>
        <v>https://www.seudinheiro.com/2023/empresas/cheiro-de-coisa-boa-no-ar-natura-ntco3-lidera-altas-do-ibovespa-apos-este-analista-elevar-preco-alvo-ccgg/</v>
      </c>
      <c r="Y1014" s="77" t="s">
        <v>7102</v>
      </c>
      <c r="Z1014" s="77"/>
      <c r="AA1014" s="77"/>
      <c r="AB1014" s="77"/>
      <c r="AC1014" s="82" t="s">
        <v>8255</v>
      </c>
      <c r="AD1014" s="77" t="s">
        <v>8278</v>
      </c>
      <c r="AE1014" s="80" t="str">
        <f>HYPERLINK("https://twitter.com/seu_dinheiro_br/status/1682060307366117381")</f>
        <v>https://twitter.com/seu_dinheiro_br/status/1682060307366117381</v>
      </c>
      <c r="AF1014" s="79">
        <v>45127.673645833333</v>
      </c>
      <c r="AG1014" s="85">
        <v>45127</v>
      </c>
      <c r="AH1014" s="82" t="s">
        <v>9172</v>
      </c>
      <c r="AI1014" s="77" t="b">
        <v>0</v>
      </c>
      <c r="AJ1014" s="77"/>
      <c r="AK1014" s="77"/>
      <c r="AL1014" s="77"/>
      <c r="AM1014" s="77"/>
      <c r="AN1014" s="77"/>
      <c r="AO1014" s="77"/>
      <c r="AP1014" s="77"/>
      <c r="AQ1014" s="77"/>
      <c r="AR1014" s="77"/>
      <c r="AS1014" s="77"/>
      <c r="AT1014" s="77"/>
      <c r="AU1014" s="77"/>
      <c r="AV1014" s="80" t="str">
        <f>HYPERLINK("https://pbs.twimg.com/profile_images/1041725334431952896/uaPtkYSp_normal.jpg")</f>
        <v>https://pbs.twimg.com/profile_images/1041725334431952896/uaPtkYSp_normal.jpg</v>
      </c>
      <c r="AW1014" s="82" t="s">
        <v>14109</v>
      </c>
      <c r="AX1014" s="82" t="s">
        <v>14109</v>
      </c>
      <c r="AY1014" s="77"/>
      <c r="AZ1014" s="82" t="s">
        <v>17385</v>
      </c>
      <c r="BA1014" s="82" t="s">
        <v>17385</v>
      </c>
      <c r="BB1014" s="82" t="s">
        <v>17385</v>
      </c>
      <c r="BC1014" s="82" t="s">
        <v>14109</v>
      </c>
      <c r="BD1014" s="82" t="s">
        <v>17550</v>
      </c>
      <c r="BE1014" s="77"/>
      <c r="BF1014" s="77"/>
      <c r="BG1014" s="77"/>
      <c r="BH1014" s="77"/>
      <c r="BI1014" s="77"/>
    </row>
    <row r="1015" spans="1:61" x14ac:dyDescent="0.25">
      <c r="A1015" s="62" t="s">
        <v>425</v>
      </c>
      <c r="B1015" s="62" t="s">
        <v>425</v>
      </c>
      <c r="C1015" s="63"/>
      <c r="D1015" s="64"/>
      <c r="E1015" s="65"/>
      <c r="F1015" s="66"/>
      <c r="G1015" s="63"/>
      <c r="H1015" s="67"/>
      <c r="I1015" s="68"/>
      <c r="J1015" s="68"/>
      <c r="K1015" s="32"/>
      <c r="L1015" s="75">
        <v>1015</v>
      </c>
      <c r="M1015" s="75"/>
      <c r="N1015" s="70"/>
      <c r="O1015" s="77" t="s">
        <v>179</v>
      </c>
      <c r="P1015" s="79">
        <v>45127.482476851852</v>
      </c>
      <c r="Q1015" s="77" t="s">
        <v>1806</v>
      </c>
      <c r="R1015" s="77">
        <v>0</v>
      </c>
      <c r="S1015" s="77">
        <v>1</v>
      </c>
      <c r="T1015" s="77">
        <v>0</v>
      </c>
      <c r="U1015" s="77">
        <v>0</v>
      </c>
      <c r="V1015" s="77">
        <v>279</v>
      </c>
      <c r="W1015" s="82" t="s">
        <v>5475</v>
      </c>
      <c r="X1015" s="80" t="str">
        <f>HYPERLINK("https://www.seudinheiro.com/2023/colunistas/day-trade-na-b3-acaoenergisa-engi11-equatorial-eqtl3-18-07-rens/")</f>
        <v>https://www.seudinheiro.com/2023/colunistas/day-trade-na-b3-acaoenergisa-engi11-equatorial-eqtl3-18-07-rens/</v>
      </c>
      <c r="Y1015" s="77" t="s">
        <v>7102</v>
      </c>
      <c r="Z1015" s="77"/>
      <c r="AA1015" s="77"/>
      <c r="AB1015" s="77"/>
      <c r="AC1015" s="82" t="s">
        <v>8255</v>
      </c>
      <c r="AD1015" s="77" t="s">
        <v>8278</v>
      </c>
      <c r="AE1015" s="80" t="str">
        <f>HYPERLINK("https://twitter.com/seu_dinheiro_br/status/1681991029728194560")</f>
        <v>https://twitter.com/seu_dinheiro_br/status/1681991029728194560</v>
      </c>
      <c r="AF1015" s="79">
        <v>45127.482476851852</v>
      </c>
      <c r="AG1015" s="85">
        <v>45127</v>
      </c>
      <c r="AH1015" s="82" t="s">
        <v>9173</v>
      </c>
      <c r="AI1015" s="77" t="b">
        <v>0</v>
      </c>
      <c r="AJ1015" s="77"/>
      <c r="AK1015" s="77"/>
      <c r="AL1015" s="77"/>
      <c r="AM1015" s="77"/>
      <c r="AN1015" s="77"/>
      <c r="AO1015" s="77"/>
      <c r="AP1015" s="77"/>
      <c r="AQ1015" s="77"/>
      <c r="AR1015" s="77"/>
      <c r="AS1015" s="77"/>
      <c r="AT1015" s="77"/>
      <c r="AU1015" s="77"/>
      <c r="AV1015" s="80" t="str">
        <f>HYPERLINK("https://pbs.twimg.com/profile_images/1041725334431952896/uaPtkYSp_normal.jpg")</f>
        <v>https://pbs.twimg.com/profile_images/1041725334431952896/uaPtkYSp_normal.jpg</v>
      </c>
      <c r="AW1015" s="82" t="s">
        <v>14110</v>
      </c>
      <c r="AX1015" s="82" t="s">
        <v>14110</v>
      </c>
      <c r="AY1015" s="77"/>
      <c r="AZ1015" s="82" t="s">
        <v>17385</v>
      </c>
      <c r="BA1015" s="82" t="s">
        <v>17385</v>
      </c>
      <c r="BB1015" s="82" t="s">
        <v>17385</v>
      </c>
      <c r="BC1015" s="82" t="s">
        <v>14110</v>
      </c>
      <c r="BD1015" s="82" t="s">
        <v>17550</v>
      </c>
      <c r="BE1015" s="77"/>
      <c r="BF1015" s="77"/>
      <c r="BG1015" s="77"/>
      <c r="BH1015" s="77"/>
      <c r="BI1015" s="77"/>
    </row>
    <row r="1016" spans="1:61" x14ac:dyDescent="0.25">
      <c r="A1016" s="62" t="s">
        <v>425</v>
      </c>
      <c r="B1016" s="62" t="s">
        <v>425</v>
      </c>
      <c r="C1016" s="63"/>
      <c r="D1016" s="64"/>
      <c r="E1016" s="65"/>
      <c r="F1016" s="66"/>
      <c r="G1016" s="63"/>
      <c r="H1016" s="67"/>
      <c r="I1016" s="68"/>
      <c r="J1016" s="68"/>
      <c r="K1016" s="32"/>
      <c r="L1016" s="75">
        <v>1016</v>
      </c>
      <c r="M1016" s="75"/>
      <c r="N1016" s="70"/>
      <c r="O1016" s="77" t="s">
        <v>179</v>
      </c>
      <c r="P1016" s="79">
        <v>45126.961180555554</v>
      </c>
      <c r="Q1016" s="77" t="s">
        <v>1807</v>
      </c>
      <c r="R1016" s="77">
        <v>0</v>
      </c>
      <c r="S1016" s="77">
        <v>0</v>
      </c>
      <c r="T1016" s="77">
        <v>0</v>
      </c>
      <c r="U1016" s="77">
        <v>0</v>
      </c>
      <c r="V1016" s="77">
        <v>349</v>
      </c>
      <c r="W1016" s="82" t="s">
        <v>5494</v>
      </c>
      <c r="X1016" s="80" t="str">
        <f>HYPERLINK("https://www.seudinheiro.com/2023/colunistas/beleza-para-alem-do-obvio-bolsa-vvka/")</f>
        <v>https://www.seudinheiro.com/2023/colunistas/beleza-para-alem-do-obvio-bolsa-vvka/</v>
      </c>
      <c r="Y1016" s="77" t="s">
        <v>7102</v>
      </c>
      <c r="Z1016" s="77"/>
      <c r="AA1016" s="77"/>
      <c r="AB1016" s="77"/>
      <c r="AC1016" s="82" t="s">
        <v>8255</v>
      </c>
      <c r="AD1016" s="77" t="s">
        <v>8278</v>
      </c>
      <c r="AE1016" s="80" t="str">
        <f>HYPERLINK("https://twitter.com/seu_dinheiro_br/status/1681802118473084928")</f>
        <v>https://twitter.com/seu_dinheiro_br/status/1681802118473084928</v>
      </c>
      <c r="AF1016" s="79">
        <v>45126.961180555554</v>
      </c>
      <c r="AG1016" s="85">
        <v>45126</v>
      </c>
      <c r="AH1016" s="82" t="s">
        <v>8884</v>
      </c>
      <c r="AI1016" s="77" t="b">
        <v>0</v>
      </c>
      <c r="AJ1016" s="77"/>
      <c r="AK1016" s="77"/>
      <c r="AL1016" s="77"/>
      <c r="AM1016" s="77"/>
      <c r="AN1016" s="77"/>
      <c r="AO1016" s="77"/>
      <c r="AP1016" s="77"/>
      <c r="AQ1016" s="77"/>
      <c r="AR1016" s="77"/>
      <c r="AS1016" s="77"/>
      <c r="AT1016" s="77"/>
      <c r="AU1016" s="77"/>
      <c r="AV1016" s="80" t="str">
        <f>HYPERLINK("https://pbs.twimg.com/profile_images/1041725334431952896/uaPtkYSp_normal.jpg")</f>
        <v>https://pbs.twimg.com/profile_images/1041725334431952896/uaPtkYSp_normal.jpg</v>
      </c>
      <c r="AW1016" s="82" t="s">
        <v>14111</v>
      </c>
      <c r="AX1016" s="82" t="s">
        <v>14111</v>
      </c>
      <c r="AY1016" s="77"/>
      <c r="AZ1016" s="82" t="s">
        <v>17385</v>
      </c>
      <c r="BA1016" s="82" t="s">
        <v>17385</v>
      </c>
      <c r="BB1016" s="82" t="s">
        <v>17385</v>
      </c>
      <c r="BC1016" s="82" t="s">
        <v>14111</v>
      </c>
      <c r="BD1016" s="82" t="s">
        <v>17550</v>
      </c>
      <c r="BE1016" s="77"/>
      <c r="BF1016" s="77"/>
      <c r="BG1016" s="77"/>
      <c r="BH1016" s="77"/>
      <c r="BI1016" s="77"/>
    </row>
    <row r="1017" spans="1:61" x14ac:dyDescent="0.25">
      <c r="A1017" s="62" t="s">
        <v>425</v>
      </c>
      <c r="B1017" s="62" t="s">
        <v>425</v>
      </c>
      <c r="C1017" s="63"/>
      <c r="D1017" s="64"/>
      <c r="E1017" s="65"/>
      <c r="F1017" s="66"/>
      <c r="G1017" s="63"/>
      <c r="H1017" s="67"/>
      <c r="I1017" s="68"/>
      <c r="J1017" s="68"/>
      <c r="K1017" s="32"/>
      <c r="L1017" s="75">
        <v>1017</v>
      </c>
      <c r="M1017" s="75"/>
      <c r="N1017" s="70"/>
      <c r="O1017" s="77" t="s">
        <v>179</v>
      </c>
      <c r="P1017" s="79">
        <v>45120.525127314817</v>
      </c>
      <c r="Q1017" s="77" t="s">
        <v>1808</v>
      </c>
      <c r="R1017" s="77">
        <v>0</v>
      </c>
      <c r="S1017" s="77">
        <v>1</v>
      </c>
      <c r="T1017" s="77">
        <v>0</v>
      </c>
      <c r="U1017" s="77">
        <v>0</v>
      </c>
      <c r="V1017" s="77">
        <v>201</v>
      </c>
      <c r="W1017" s="82" t="s">
        <v>5495</v>
      </c>
      <c r="X1017" s="80" t="str">
        <f>HYPERLINK("https://www.seudinheiro.com/2023/empresas/braskem-brkm5-veja-como-estao-as-ofertas-pela-participacao-da-novonor-na-petroquimica-vinp/")</f>
        <v>https://www.seudinheiro.com/2023/empresas/braskem-brkm5-veja-como-estao-as-ofertas-pela-participacao-da-novonor-na-petroquimica-vinp/</v>
      </c>
      <c r="Y1017" s="77" t="s">
        <v>7102</v>
      </c>
      <c r="Z1017" s="77"/>
      <c r="AA1017" s="77"/>
      <c r="AB1017" s="77"/>
      <c r="AC1017" s="82" t="s">
        <v>8255</v>
      </c>
      <c r="AD1017" s="77" t="s">
        <v>8278</v>
      </c>
      <c r="AE1017" s="80" t="str">
        <f>HYPERLINK("https://twitter.com/seu_dinheiro_br/status/1679469771576823811")</f>
        <v>https://twitter.com/seu_dinheiro_br/status/1679469771576823811</v>
      </c>
      <c r="AF1017" s="79">
        <v>45120.525127314817</v>
      </c>
      <c r="AG1017" s="85">
        <v>45120</v>
      </c>
      <c r="AH1017" s="82" t="s">
        <v>9174</v>
      </c>
      <c r="AI1017" s="77" t="b">
        <v>0</v>
      </c>
      <c r="AJ1017" s="77"/>
      <c r="AK1017" s="77"/>
      <c r="AL1017" s="77"/>
      <c r="AM1017" s="77"/>
      <c r="AN1017" s="77"/>
      <c r="AO1017" s="77"/>
      <c r="AP1017" s="77"/>
      <c r="AQ1017" s="77"/>
      <c r="AR1017" s="77"/>
      <c r="AS1017" s="77"/>
      <c r="AT1017" s="77"/>
      <c r="AU1017" s="77"/>
      <c r="AV1017" s="80" t="str">
        <f>HYPERLINK("https://pbs.twimg.com/profile_images/1041725334431952896/uaPtkYSp_normal.jpg")</f>
        <v>https://pbs.twimg.com/profile_images/1041725334431952896/uaPtkYSp_normal.jpg</v>
      </c>
      <c r="AW1017" s="82" t="s">
        <v>14112</v>
      </c>
      <c r="AX1017" s="82" t="s">
        <v>14112</v>
      </c>
      <c r="AY1017" s="77"/>
      <c r="AZ1017" s="82" t="s">
        <v>17385</v>
      </c>
      <c r="BA1017" s="82" t="s">
        <v>17385</v>
      </c>
      <c r="BB1017" s="82" t="s">
        <v>17385</v>
      </c>
      <c r="BC1017" s="82" t="s">
        <v>14112</v>
      </c>
      <c r="BD1017" s="82" t="s">
        <v>17550</v>
      </c>
      <c r="BE1017" s="77"/>
      <c r="BF1017" s="77"/>
      <c r="BG1017" s="77"/>
      <c r="BH1017" s="77"/>
      <c r="BI1017" s="77"/>
    </row>
    <row r="1018" spans="1:61" x14ac:dyDescent="0.25">
      <c r="A1018" s="62" t="s">
        <v>425</v>
      </c>
      <c r="B1018" s="62" t="s">
        <v>425</v>
      </c>
      <c r="C1018" s="63"/>
      <c r="D1018" s="64"/>
      <c r="E1018" s="65"/>
      <c r="F1018" s="66"/>
      <c r="G1018" s="63"/>
      <c r="H1018" s="67"/>
      <c r="I1018" s="68"/>
      <c r="J1018" s="68"/>
      <c r="K1018" s="32"/>
      <c r="L1018" s="75">
        <v>1018</v>
      </c>
      <c r="M1018" s="75"/>
      <c r="N1018" s="70"/>
      <c r="O1018" s="77" t="s">
        <v>179</v>
      </c>
      <c r="P1018" s="79">
        <v>45120.436736111114</v>
      </c>
      <c r="Q1018" s="77" t="s">
        <v>1809</v>
      </c>
      <c r="R1018" s="77">
        <v>0</v>
      </c>
      <c r="S1018" s="77">
        <v>0</v>
      </c>
      <c r="T1018" s="77">
        <v>0</v>
      </c>
      <c r="U1018" s="77">
        <v>0</v>
      </c>
      <c r="V1018" s="77">
        <v>296</v>
      </c>
      <c r="W1018" s="82" t="s">
        <v>5475</v>
      </c>
      <c r="X1018" s="80" t="str">
        <f>HYPERLINK("https://www.seudinheiro.com/2023/colunistas/day-trade-na-b3-como-lucrar-com-acoes-da-petrorio-prio-prio3-13-07-miql/")</f>
        <v>https://www.seudinheiro.com/2023/colunistas/day-trade-na-b3-como-lucrar-com-acoes-da-petrorio-prio-prio3-13-07-miql/</v>
      </c>
      <c r="Y1018" s="77" t="s">
        <v>7102</v>
      </c>
      <c r="Z1018" s="77"/>
      <c r="AA1018" s="77"/>
      <c r="AB1018" s="77"/>
      <c r="AC1018" s="82" t="s">
        <v>8255</v>
      </c>
      <c r="AD1018" s="77" t="s">
        <v>8278</v>
      </c>
      <c r="AE1018" s="80" t="str">
        <f>HYPERLINK("https://twitter.com/seu_dinheiro_br/status/1679437739375177728")</f>
        <v>https://twitter.com/seu_dinheiro_br/status/1679437739375177728</v>
      </c>
      <c r="AF1018" s="79">
        <v>45120.436736111114</v>
      </c>
      <c r="AG1018" s="85">
        <v>45120</v>
      </c>
      <c r="AH1018" s="82" t="s">
        <v>9175</v>
      </c>
      <c r="AI1018" s="77" t="b">
        <v>0</v>
      </c>
      <c r="AJ1018" s="77"/>
      <c r="AK1018" s="77"/>
      <c r="AL1018" s="77"/>
      <c r="AM1018" s="77"/>
      <c r="AN1018" s="77"/>
      <c r="AO1018" s="77"/>
      <c r="AP1018" s="77"/>
      <c r="AQ1018" s="77"/>
      <c r="AR1018" s="77"/>
      <c r="AS1018" s="77"/>
      <c r="AT1018" s="77"/>
      <c r="AU1018" s="77"/>
      <c r="AV1018" s="80" t="str">
        <f>HYPERLINK("https://pbs.twimg.com/profile_images/1041725334431952896/uaPtkYSp_normal.jpg")</f>
        <v>https://pbs.twimg.com/profile_images/1041725334431952896/uaPtkYSp_normal.jpg</v>
      </c>
      <c r="AW1018" s="82" t="s">
        <v>14113</v>
      </c>
      <c r="AX1018" s="82" t="s">
        <v>14113</v>
      </c>
      <c r="AY1018" s="77"/>
      <c r="AZ1018" s="82" t="s">
        <v>17385</v>
      </c>
      <c r="BA1018" s="82" t="s">
        <v>17385</v>
      </c>
      <c r="BB1018" s="82" t="s">
        <v>17385</v>
      </c>
      <c r="BC1018" s="82" t="s">
        <v>14113</v>
      </c>
      <c r="BD1018" s="82" t="s">
        <v>17550</v>
      </c>
      <c r="BE1018" s="77"/>
      <c r="BF1018" s="77"/>
      <c r="BG1018" s="77"/>
      <c r="BH1018" s="77"/>
      <c r="BI1018" s="77"/>
    </row>
    <row r="1019" spans="1:61" x14ac:dyDescent="0.25">
      <c r="A1019" s="62" t="s">
        <v>425</v>
      </c>
      <c r="B1019" s="62" t="s">
        <v>425</v>
      </c>
      <c r="C1019" s="63"/>
      <c r="D1019" s="64"/>
      <c r="E1019" s="65"/>
      <c r="F1019" s="66"/>
      <c r="G1019" s="63"/>
      <c r="H1019" s="67"/>
      <c r="I1019" s="68"/>
      <c r="J1019" s="68"/>
      <c r="K1019" s="32"/>
      <c r="L1019" s="75">
        <v>1019</v>
      </c>
      <c r="M1019" s="75"/>
      <c r="N1019" s="70"/>
      <c r="O1019" s="77" t="s">
        <v>179</v>
      </c>
      <c r="P1019" s="79">
        <v>45120.415983796294</v>
      </c>
      <c r="Q1019" s="77" t="s">
        <v>1810</v>
      </c>
      <c r="R1019" s="77">
        <v>0</v>
      </c>
      <c r="S1019" s="77">
        <v>1</v>
      </c>
      <c r="T1019" s="77">
        <v>0</v>
      </c>
      <c r="U1019" s="77">
        <v>1</v>
      </c>
      <c r="V1019" s="77">
        <v>752</v>
      </c>
      <c r="W1019" s="82" t="s">
        <v>5496</v>
      </c>
      <c r="X1019" s="80" t="str">
        <f>HYPERLINK("https://www.seudinheiro.com/2023/bolsa-dolar/onde-investir-as-melhores-acoes-e-setores-para-quem-quer-apostar-nos-eua-na-europa-ou-na-asia-no-2s23-ccgg/")</f>
        <v>https://www.seudinheiro.com/2023/bolsa-dolar/onde-investir-as-melhores-acoes-e-setores-para-quem-quer-apostar-nos-eua-na-europa-ou-na-asia-no-2s23-ccgg/</v>
      </c>
      <c r="Y1019" s="77" t="s">
        <v>7102</v>
      </c>
      <c r="Z1019" s="77"/>
      <c r="AA1019" s="77"/>
      <c r="AB1019" s="77"/>
      <c r="AC1019" s="82" t="s">
        <v>8255</v>
      </c>
      <c r="AD1019" s="77" t="s">
        <v>8278</v>
      </c>
      <c r="AE1019" s="80" t="str">
        <f>HYPERLINK("https://twitter.com/seu_dinheiro_br/status/1679430220967731201")</f>
        <v>https://twitter.com/seu_dinheiro_br/status/1679430220967731201</v>
      </c>
      <c r="AF1019" s="79">
        <v>45120.415983796294</v>
      </c>
      <c r="AG1019" s="85">
        <v>45120</v>
      </c>
      <c r="AH1019" s="82" t="s">
        <v>9176</v>
      </c>
      <c r="AI1019" s="77" t="b">
        <v>0</v>
      </c>
      <c r="AJ1019" s="77"/>
      <c r="AK1019" s="77"/>
      <c r="AL1019" s="77"/>
      <c r="AM1019" s="77"/>
      <c r="AN1019" s="77"/>
      <c r="AO1019" s="77"/>
      <c r="AP1019" s="77"/>
      <c r="AQ1019" s="77"/>
      <c r="AR1019" s="77"/>
      <c r="AS1019" s="77"/>
      <c r="AT1019" s="77"/>
      <c r="AU1019" s="77"/>
      <c r="AV1019" s="80" t="str">
        <f>HYPERLINK("https://pbs.twimg.com/profile_images/1041725334431952896/uaPtkYSp_normal.jpg")</f>
        <v>https://pbs.twimg.com/profile_images/1041725334431952896/uaPtkYSp_normal.jpg</v>
      </c>
      <c r="AW1019" s="82" t="s">
        <v>14114</v>
      </c>
      <c r="AX1019" s="82" t="s">
        <v>14114</v>
      </c>
      <c r="AY1019" s="77"/>
      <c r="AZ1019" s="82" t="s">
        <v>17385</v>
      </c>
      <c r="BA1019" s="82" t="s">
        <v>17385</v>
      </c>
      <c r="BB1019" s="82" t="s">
        <v>17385</v>
      </c>
      <c r="BC1019" s="82" t="s">
        <v>14114</v>
      </c>
      <c r="BD1019" s="82" t="s">
        <v>17550</v>
      </c>
      <c r="BE1019" s="77"/>
      <c r="BF1019" s="77"/>
      <c r="BG1019" s="77"/>
      <c r="BH1019" s="77"/>
      <c r="BI1019" s="77"/>
    </row>
    <row r="1020" spans="1:61" x14ac:dyDescent="0.25">
      <c r="A1020" s="62" t="s">
        <v>425</v>
      </c>
      <c r="B1020" s="62" t="s">
        <v>425</v>
      </c>
      <c r="C1020" s="63"/>
      <c r="D1020" s="64"/>
      <c r="E1020" s="65"/>
      <c r="F1020" s="66"/>
      <c r="G1020" s="63"/>
      <c r="H1020" s="67"/>
      <c r="I1020" s="68"/>
      <c r="J1020" s="68"/>
      <c r="K1020" s="32"/>
      <c r="L1020" s="75">
        <v>1020</v>
      </c>
      <c r="M1020" s="75"/>
      <c r="N1020" s="70"/>
      <c r="O1020" s="77" t="s">
        <v>179</v>
      </c>
      <c r="P1020" s="79">
        <v>45119.69871527778</v>
      </c>
      <c r="Q1020" s="77" t="s">
        <v>1811</v>
      </c>
      <c r="R1020" s="77">
        <v>0</v>
      </c>
      <c r="S1020" s="77">
        <v>0</v>
      </c>
      <c r="T1020" s="77">
        <v>0</v>
      </c>
      <c r="U1020" s="77">
        <v>0</v>
      </c>
      <c r="V1020" s="77">
        <v>213</v>
      </c>
      <c r="W1020" s="82" t="s">
        <v>5497</v>
      </c>
      <c r="X1020" s="80" t="str">
        <f>HYPERLINK("https://www.seudinheiro.com/2023/empresas/hypera-o-que-este-analista-viu-para-elevar-o-preco-alvo-de-hype3-acoes-estiveram-entre-as-maiores-alta-do-ibovespa-hoje-ccgg/")</f>
        <v>https://www.seudinheiro.com/2023/empresas/hypera-o-que-este-analista-viu-para-elevar-o-preco-alvo-de-hype3-acoes-estiveram-entre-as-maiores-alta-do-ibovespa-hoje-ccgg/</v>
      </c>
      <c r="Y1020" s="77" t="s">
        <v>7102</v>
      </c>
      <c r="Z1020" s="77"/>
      <c r="AA1020" s="77"/>
      <c r="AB1020" s="77"/>
      <c r="AC1020" s="82" t="s">
        <v>8255</v>
      </c>
      <c r="AD1020" s="77" t="s">
        <v>8278</v>
      </c>
      <c r="AE1020" s="80" t="str">
        <f>HYPERLINK("https://twitter.com/seu_dinheiro_br/status/1679170289073262592")</f>
        <v>https://twitter.com/seu_dinheiro_br/status/1679170289073262592</v>
      </c>
      <c r="AF1020" s="79">
        <v>45119.69871527778</v>
      </c>
      <c r="AG1020" s="85">
        <v>45119</v>
      </c>
      <c r="AH1020" s="82" t="s">
        <v>9177</v>
      </c>
      <c r="AI1020" s="77" t="b">
        <v>0</v>
      </c>
      <c r="AJ1020" s="77"/>
      <c r="AK1020" s="77"/>
      <c r="AL1020" s="77"/>
      <c r="AM1020" s="77"/>
      <c r="AN1020" s="77"/>
      <c r="AO1020" s="77"/>
      <c r="AP1020" s="77"/>
      <c r="AQ1020" s="77"/>
      <c r="AR1020" s="77"/>
      <c r="AS1020" s="77"/>
      <c r="AT1020" s="77"/>
      <c r="AU1020" s="77"/>
      <c r="AV1020" s="80" t="str">
        <f>HYPERLINK("https://pbs.twimg.com/profile_images/1041725334431952896/uaPtkYSp_normal.jpg")</f>
        <v>https://pbs.twimg.com/profile_images/1041725334431952896/uaPtkYSp_normal.jpg</v>
      </c>
      <c r="AW1020" s="82" t="s">
        <v>14115</v>
      </c>
      <c r="AX1020" s="82" t="s">
        <v>14115</v>
      </c>
      <c r="AY1020" s="77"/>
      <c r="AZ1020" s="82" t="s">
        <v>17385</v>
      </c>
      <c r="BA1020" s="82" t="s">
        <v>17385</v>
      </c>
      <c r="BB1020" s="82" t="s">
        <v>17385</v>
      </c>
      <c r="BC1020" s="82" t="s">
        <v>14115</v>
      </c>
      <c r="BD1020" s="82" t="s">
        <v>17550</v>
      </c>
      <c r="BE1020" s="77"/>
      <c r="BF1020" s="77"/>
      <c r="BG1020" s="77"/>
      <c r="BH1020" s="77"/>
      <c r="BI1020" s="77"/>
    </row>
    <row r="1021" spans="1:61" x14ac:dyDescent="0.25">
      <c r="A1021" s="62" t="s">
        <v>425</v>
      </c>
      <c r="B1021" s="62" t="s">
        <v>425</v>
      </c>
      <c r="C1021" s="63"/>
      <c r="D1021" s="64"/>
      <c r="E1021" s="65"/>
      <c r="F1021" s="66"/>
      <c r="G1021" s="63"/>
      <c r="H1021" s="67"/>
      <c r="I1021" s="68"/>
      <c r="J1021" s="68"/>
      <c r="K1021" s="32"/>
      <c r="L1021" s="75">
        <v>1021</v>
      </c>
      <c r="M1021" s="75"/>
      <c r="N1021" s="70"/>
      <c r="O1021" s="77" t="s">
        <v>179</v>
      </c>
      <c r="P1021" s="79">
        <v>45119.497303240743</v>
      </c>
      <c r="Q1021" s="77" t="s">
        <v>1812</v>
      </c>
      <c r="R1021" s="77">
        <v>0</v>
      </c>
      <c r="S1021" s="77">
        <v>0</v>
      </c>
      <c r="T1021" s="77">
        <v>0</v>
      </c>
      <c r="U1021" s="77">
        <v>0</v>
      </c>
      <c r="V1021" s="77">
        <v>316</v>
      </c>
      <c r="W1021" s="82" t="s">
        <v>5498</v>
      </c>
      <c r="X1021" s="80" t="str">
        <f>HYPERLINK("https://www.seudinheiro.com/2023/bolsa-dolar/jbs-jbss3-dupla-listagem-de-acoes-ny-e-bdrs-na-b3-vinp/")</f>
        <v>https://www.seudinheiro.com/2023/bolsa-dolar/jbs-jbss3-dupla-listagem-de-acoes-ny-e-bdrs-na-b3-vinp/</v>
      </c>
      <c r="Y1021" s="77" t="s">
        <v>7102</v>
      </c>
      <c r="Z1021" s="77"/>
      <c r="AA1021" s="77"/>
      <c r="AB1021" s="77"/>
      <c r="AC1021" s="82" t="s">
        <v>8255</v>
      </c>
      <c r="AD1021" s="77" t="s">
        <v>8278</v>
      </c>
      <c r="AE1021" s="80" t="str">
        <f>HYPERLINK("https://twitter.com/seu_dinheiro_br/status/1679097302286323712")</f>
        <v>https://twitter.com/seu_dinheiro_br/status/1679097302286323712</v>
      </c>
      <c r="AF1021" s="79">
        <v>45119.497303240743</v>
      </c>
      <c r="AG1021" s="85">
        <v>45119</v>
      </c>
      <c r="AH1021" s="82" t="s">
        <v>9178</v>
      </c>
      <c r="AI1021" s="77" t="b">
        <v>0</v>
      </c>
      <c r="AJ1021" s="77"/>
      <c r="AK1021" s="77"/>
      <c r="AL1021" s="77"/>
      <c r="AM1021" s="77"/>
      <c r="AN1021" s="77"/>
      <c r="AO1021" s="77"/>
      <c r="AP1021" s="77"/>
      <c r="AQ1021" s="77"/>
      <c r="AR1021" s="77"/>
      <c r="AS1021" s="77"/>
      <c r="AT1021" s="77"/>
      <c r="AU1021" s="77"/>
      <c r="AV1021" s="80" t="str">
        <f>HYPERLINK("https://pbs.twimg.com/profile_images/1041725334431952896/uaPtkYSp_normal.jpg")</f>
        <v>https://pbs.twimg.com/profile_images/1041725334431952896/uaPtkYSp_normal.jpg</v>
      </c>
      <c r="AW1021" s="82" t="s">
        <v>14116</v>
      </c>
      <c r="AX1021" s="82" t="s">
        <v>14116</v>
      </c>
      <c r="AY1021" s="77"/>
      <c r="AZ1021" s="82" t="s">
        <v>17385</v>
      </c>
      <c r="BA1021" s="82" t="s">
        <v>17385</v>
      </c>
      <c r="BB1021" s="82" t="s">
        <v>17385</v>
      </c>
      <c r="BC1021" s="82" t="s">
        <v>14116</v>
      </c>
      <c r="BD1021" s="82" t="s">
        <v>17550</v>
      </c>
      <c r="BE1021" s="77"/>
      <c r="BF1021" s="77"/>
      <c r="BG1021" s="77"/>
      <c r="BH1021" s="77"/>
      <c r="BI1021" s="77"/>
    </row>
    <row r="1022" spans="1:61" x14ac:dyDescent="0.25">
      <c r="A1022" s="62" t="s">
        <v>425</v>
      </c>
      <c r="B1022" s="62" t="s">
        <v>425</v>
      </c>
      <c r="C1022" s="63"/>
      <c r="D1022" s="64"/>
      <c r="E1022" s="65"/>
      <c r="F1022" s="66"/>
      <c r="G1022" s="63"/>
      <c r="H1022" s="67"/>
      <c r="I1022" s="68"/>
      <c r="J1022" s="68"/>
      <c r="K1022" s="32"/>
      <c r="L1022" s="75">
        <v>1022</v>
      </c>
      <c r="M1022" s="75"/>
      <c r="N1022" s="70"/>
      <c r="O1022" s="77" t="s">
        <v>179</v>
      </c>
      <c r="P1022" s="79">
        <v>45111.433148148149</v>
      </c>
      <c r="Q1022" s="77" t="s">
        <v>1813</v>
      </c>
      <c r="R1022" s="77">
        <v>0</v>
      </c>
      <c r="S1022" s="77">
        <v>1</v>
      </c>
      <c r="T1022" s="77">
        <v>0</v>
      </c>
      <c r="U1022" s="77">
        <v>0</v>
      </c>
      <c r="V1022" s="77">
        <v>294</v>
      </c>
      <c r="W1022" s="82" t="s">
        <v>5474</v>
      </c>
      <c r="X1022" s="80" t="str">
        <f>HYPERLINK("https://www.seudinheiro.com/2023/colunistas/day-trade-na-b3-como-lucrar-com-acoes-da-oncoclinicas-do-brasil-onco3-04-07-miql/")</f>
        <v>https://www.seudinheiro.com/2023/colunistas/day-trade-na-b3-como-lucrar-com-acoes-da-oncoclinicas-do-brasil-onco3-04-07-miql/</v>
      </c>
      <c r="Y1022" s="77" t="s">
        <v>7102</v>
      </c>
      <c r="Z1022" s="77"/>
      <c r="AA1022" s="77"/>
      <c r="AB1022" s="77"/>
      <c r="AC1022" s="82" t="s">
        <v>8255</v>
      </c>
      <c r="AD1022" s="77" t="s">
        <v>8278</v>
      </c>
      <c r="AE1022" s="80" t="str">
        <f>HYPERLINK("https://twitter.com/seu_dinheiro_br/status/1676174949294174208")</f>
        <v>https://twitter.com/seu_dinheiro_br/status/1676174949294174208</v>
      </c>
      <c r="AF1022" s="79">
        <v>45111.433148148149</v>
      </c>
      <c r="AG1022" s="85">
        <v>45111</v>
      </c>
      <c r="AH1022" s="82" t="s">
        <v>9179</v>
      </c>
      <c r="AI1022" s="77" t="b">
        <v>0</v>
      </c>
      <c r="AJ1022" s="77"/>
      <c r="AK1022" s="77"/>
      <c r="AL1022" s="77"/>
      <c r="AM1022" s="77"/>
      <c r="AN1022" s="77"/>
      <c r="AO1022" s="77"/>
      <c r="AP1022" s="77"/>
      <c r="AQ1022" s="77"/>
      <c r="AR1022" s="77"/>
      <c r="AS1022" s="77"/>
      <c r="AT1022" s="77"/>
      <c r="AU1022" s="77"/>
      <c r="AV1022" s="80" t="str">
        <f>HYPERLINK("https://pbs.twimg.com/profile_images/1041725334431952896/uaPtkYSp_normal.jpg")</f>
        <v>https://pbs.twimg.com/profile_images/1041725334431952896/uaPtkYSp_normal.jpg</v>
      </c>
      <c r="AW1022" s="82" t="s">
        <v>14117</v>
      </c>
      <c r="AX1022" s="82" t="s">
        <v>14117</v>
      </c>
      <c r="AY1022" s="77"/>
      <c r="AZ1022" s="82" t="s">
        <v>17385</v>
      </c>
      <c r="BA1022" s="82" t="s">
        <v>17385</v>
      </c>
      <c r="BB1022" s="82" t="s">
        <v>17385</v>
      </c>
      <c r="BC1022" s="82" t="s">
        <v>14117</v>
      </c>
      <c r="BD1022" s="82" t="s">
        <v>17550</v>
      </c>
      <c r="BE1022" s="77"/>
      <c r="BF1022" s="77"/>
      <c r="BG1022" s="77"/>
      <c r="BH1022" s="77"/>
      <c r="BI1022" s="77"/>
    </row>
    <row r="1023" spans="1:61" x14ac:dyDescent="0.25">
      <c r="A1023" s="62" t="s">
        <v>425</v>
      </c>
      <c r="B1023" s="62" t="s">
        <v>425</v>
      </c>
      <c r="C1023" s="63"/>
      <c r="D1023" s="64"/>
      <c r="E1023" s="65"/>
      <c r="F1023" s="66"/>
      <c r="G1023" s="63"/>
      <c r="H1023" s="67"/>
      <c r="I1023" s="68"/>
      <c r="J1023" s="68"/>
      <c r="K1023" s="32"/>
      <c r="L1023" s="75">
        <v>1023</v>
      </c>
      <c r="M1023" s="75"/>
      <c r="N1023" s="70"/>
      <c r="O1023" s="77" t="s">
        <v>179</v>
      </c>
      <c r="P1023" s="79">
        <v>45110.864652777775</v>
      </c>
      <c r="Q1023" s="77" t="s">
        <v>1814</v>
      </c>
      <c r="R1023" s="77">
        <v>0</v>
      </c>
      <c r="S1023" s="77">
        <v>1</v>
      </c>
      <c r="T1023" s="77">
        <v>0</v>
      </c>
      <c r="U1023" s="77">
        <v>0</v>
      </c>
      <c r="V1023" s="77">
        <v>284</v>
      </c>
      <c r="W1023" s="82" t="s">
        <v>5499</v>
      </c>
      <c r="X1023" s="80" t="str">
        <f>HYPERLINK("https://www.seudinheiro.com/2023/empresas/investidor-de-dividendos-empiricus-lista-as-cinco-melhores-pagadoras-de-proventos-para-o-mes-de-julho-ccgg/")</f>
        <v>https://www.seudinheiro.com/2023/empresas/investidor-de-dividendos-empiricus-lista-as-cinco-melhores-pagadoras-de-proventos-para-o-mes-de-julho-ccgg/</v>
      </c>
      <c r="Y1023" s="77" t="s">
        <v>7102</v>
      </c>
      <c r="Z1023" s="77"/>
      <c r="AA1023" s="77"/>
      <c r="AB1023" s="77"/>
      <c r="AC1023" s="82" t="s">
        <v>8255</v>
      </c>
      <c r="AD1023" s="77" t="s">
        <v>8278</v>
      </c>
      <c r="AE1023" s="80" t="str">
        <f>HYPERLINK("https://twitter.com/seu_dinheiro_br/status/1675968935466811392")</f>
        <v>https://twitter.com/seu_dinheiro_br/status/1675968935466811392</v>
      </c>
      <c r="AF1023" s="79">
        <v>45110.864652777775</v>
      </c>
      <c r="AG1023" s="85">
        <v>45110</v>
      </c>
      <c r="AH1023" s="82" t="s">
        <v>8558</v>
      </c>
      <c r="AI1023" s="77" t="b">
        <v>0</v>
      </c>
      <c r="AJ1023" s="77"/>
      <c r="AK1023" s="77"/>
      <c r="AL1023" s="77"/>
      <c r="AM1023" s="77"/>
      <c r="AN1023" s="77"/>
      <c r="AO1023" s="77"/>
      <c r="AP1023" s="77"/>
      <c r="AQ1023" s="77"/>
      <c r="AR1023" s="77"/>
      <c r="AS1023" s="77"/>
      <c r="AT1023" s="77"/>
      <c r="AU1023" s="77"/>
      <c r="AV1023" s="80" t="str">
        <f>HYPERLINK("https://pbs.twimg.com/profile_images/1041725334431952896/uaPtkYSp_normal.jpg")</f>
        <v>https://pbs.twimg.com/profile_images/1041725334431952896/uaPtkYSp_normal.jpg</v>
      </c>
      <c r="AW1023" s="82" t="s">
        <v>14118</v>
      </c>
      <c r="AX1023" s="82" t="s">
        <v>14118</v>
      </c>
      <c r="AY1023" s="77"/>
      <c r="AZ1023" s="82" t="s">
        <v>17385</v>
      </c>
      <c r="BA1023" s="82" t="s">
        <v>17385</v>
      </c>
      <c r="BB1023" s="82" t="s">
        <v>17385</v>
      </c>
      <c r="BC1023" s="82" t="s">
        <v>14118</v>
      </c>
      <c r="BD1023" s="82" t="s">
        <v>17550</v>
      </c>
      <c r="BE1023" s="77"/>
      <c r="BF1023" s="77"/>
      <c r="BG1023" s="77"/>
      <c r="BH1023" s="77"/>
      <c r="BI1023" s="77"/>
    </row>
    <row r="1024" spans="1:61" x14ac:dyDescent="0.25">
      <c r="A1024" s="62" t="s">
        <v>425</v>
      </c>
      <c r="B1024" s="62" t="s">
        <v>425</v>
      </c>
      <c r="C1024" s="63"/>
      <c r="D1024" s="64"/>
      <c r="E1024" s="65"/>
      <c r="F1024" s="66"/>
      <c r="G1024" s="63"/>
      <c r="H1024" s="67"/>
      <c r="I1024" s="68"/>
      <c r="J1024" s="68"/>
      <c r="K1024" s="32"/>
      <c r="L1024" s="75">
        <v>1024</v>
      </c>
      <c r="M1024" s="75"/>
      <c r="N1024" s="70"/>
      <c r="O1024" s="77" t="s">
        <v>179</v>
      </c>
      <c r="P1024" s="79">
        <v>45110.686157407406</v>
      </c>
      <c r="Q1024" s="77" t="s">
        <v>1815</v>
      </c>
      <c r="R1024" s="77">
        <v>0</v>
      </c>
      <c r="S1024" s="77">
        <v>1</v>
      </c>
      <c r="T1024" s="77">
        <v>0</v>
      </c>
      <c r="U1024" s="77">
        <v>0</v>
      </c>
      <c r="V1024" s="77">
        <v>288</v>
      </c>
      <c r="W1024" s="82" t="s">
        <v>5486</v>
      </c>
      <c r="X1024" s="80" t="str">
        <f>HYPERLINK("https://www.seudinheiro.com/2023/empresas/selic-ajudou-por-que-o-br-partners-brbi11-e-o-queridinho-do-itau-bba-entre-as-small-caps-ccgg/")</f>
        <v>https://www.seudinheiro.com/2023/empresas/selic-ajudou-por-que-o-br-partners-brbi11-e-o-queridinho-do-itau-bba-entre-as-small-caps-ccgg/</v>
      </c>
      <c r="Y1024" s="77" t="s">
        <v>7102</v>
      </c>
      <c r="Z1024" s="77"/>
      <c r="AA1024" s="77"/>
      <c r="AB1024" s="77"/>
      <c r="AC1024" s="82" t="s">
        <v>8255</v>
      </c>
      <c r="AD1024" s="77" t="s">
        <v>8278</v>
      </c>
      <c r="AE1024" s="80" t="str">
        <f>HYPERLINK("https://twitter.com/seu_dinheiro_br/status/1675904248280756230")</f>
        <v>https://twitter.com/seu_dinheiro_br/status/1675904248280756230</v>
      </c>
      <c r="AF1024" s="79">
        <v>45110.686157407406</v>
      </c>
      <c r="AG1024" s="85">
        <v>45110</v>
      </c>
      <c r="AH1024" s="82" t="s">
        <v>9180</v>
      </c>
      <c r="AI1024" s="77" t="b">
        <v>0</v>
      </c>
      <c r="AJ1024" s="77"/>
      <c r="AK1024" s="77"/>
      <c r="AL1024" s="77"/>
      <c r="AM1024" s="77"/>
      <c r="AN1024" s="77"/>
      <c r="AO1024" s="77"/>
      <c r="AP1024" s="77"/>
      <c r="AQ1024" s="77"/>
      <c r="AR1024" s="77"/>
      <c r="AS1024" s="77"/>
      <c r="AT1024" s="77"/>
      <c r="AU1024" s="77"/>
      <c r="AV1024" s="80" t="str">
        <f>HYPERLINK("https://pbs.twimg.com/profile_images/1041725334431952896/uaPtkYSp_normal.jpg")</f>
        <v>https://pbs.twimg.com/profile_images/1041725334431952896/uaPtkYSp_normal.jpg</v>
      </c>
      <c r="AW1024" s="82" t="s">
        <v>14119</v>
      </c>
      <c r="AX1024" s="82" t="s">
        <v>14119</v>
      </c>
      <c r="AY1024" s="77"/>
      <c r="AZ1024" s="82" t="s">
        <v>17385</v>
      </c>
      <c r="BA1024" s="82" t="s">
        <v>17385</v>
      </c>
      <c r="BB1024" s="82" t="s">
        <v>17385</v>
      </c>
      <c r="BC1024" s="82" t="s">
        <v>14119</v>
      </c>
      <c r="BD1024" s="82" t="s">
        <v>17550</v>
      </c>
      <c r="BE1024" s="77"/>
      <c r="BF1024" s="77"/>
      <c r="BG1024" s="77"/>
      <c r="BH1024" s="77"/>
      <c r="BI1024" s="77"/>
    </row>
    <row r="1025" spans="1:61" x14ac:dyDescent="0.25">
      <c r="A1025" s="62" t="s">
        <v>425</v>
      </c>
      <c r="B1025" s="62" t="s">
        <v>425</v>
      </c>
      <c r="C1025" s="63"/>
      <c r="D1025" s="64"/>
      <c r="E1025" s="65"/>
      <c r="F1025" s="66"/>
      <c r="G1025" s="63"/>
      <c r="H1025" s="67"/>
      <c r="I1025" s="68"/>
      <c r="J1025" s="68"/>
      <c r="K1025" s="32"/>
      <c r="L1025" s="75">
        <v>1025</v>
      </c>
      <c r="M1025" s="75"/>
      <c r="N1025" s="70"/>
      <c r="O1025" s="77" t="s">
        <v>179</v>
      </c>
      <c r="P1025" s="79">
        <v>45110.428877314815</v>
      </c>
      <c r="Q1025" s="77" t="s">
        <v>1816</v>
      </c>
      <c r="R1025" s="77">
        <v>0</v>
      </c>
      <c r="S1025" s="77">
        <v>0</v>
      </c>
      <c r="T1025" s="77">
        <v>0</v>
      </c>
      <c r="U1025" s="77">
        <v>0</v>
      </c>
      <c r="V1025" s="77">
        <v>346</v>
      </c>
      <c r="W1025" s="82" t="s">
        <v>5474</v>
      </c>
      <c r="X1025" s="80" t="str">
        <f>HYPERLINK("https://www.seudinheiro.com/2023/colunistas/day-trade-na-b3-saiba-como-lucrar-com-acoes-da-suzano-suzb3-03-07-miql/")</f>
        <v>https://www.seudinheiro.com/2023/colunistas/day-trade-na-b3-saiba-como-lucrar-com-acoes-da-suzano-suzb3-03-07-miql/</v>
      </c>
      <c r="Y1025" s="77" t="s">
        <v>7102</v>
      </c>
      <c r="Z1025" s="77"/>
      <c r="AA1025" s="77"/>
      <c r="AB1025" s="77"/>
      <c r="AC1025" s="82" t="s">
        <v>8255</v>
      </c>
      <c r="AD1025" s="77" t="s">
        <v>8278</v>
      </c>
      <c r="AE1025" s="80" t="str">
        <f>HYPERLINK("https://twitter.com/seu_dinheiro_br/status/1675811013361270784")</f>
        <v>https://twitter.com/seu_dinheiro_br/status/1675811013361270784</v>
      </c>
      <c r="AF1025" s="79">
        <v>45110.428877314815</v>
      </c>
      <c r="AG1025" s="85">
        <v>45110</v>
      </c>
      <c r="AH1025" s="82" t="s">
        <v>9181</v>
      </c>
      <c r="AI1025" s="77" t="b">
        <v>0</v>
      </c>
      <c r="AJ1025" s="77"/>
      <c r="AK1025" s="77"/>
      <c r="AL1025" s="77"/>
      <c r="AM1025" s="77"/>
      <c r="AN1025" s="77"/>
      <c r="AO1025" s="77"/>
      <c r="AP1025" s="77"/>
      <c r="AQ1025" s="77"/>
      <c r="AR1025" s="77"/>
      <c r="AS1025" s="77"/>
      <c r="AT1025" s="77"/>
      <c r="AU1025" s="77"/>
      <c r="AV1025" s="80" t="str">
        <f>HYPERLINK("https://pbs.twimg.com/profile_images/1041725334431952896/uaPtkYSp_normal.jpg")</f>
        <v>https://pbs.twimg.com/profile_images/1041725334431952896/uaPtkYSp_normal.jpg</v>
      </c>
      <c r="AW1025" s="82" t="s">
        <v>14120</v>
      </c>
      <c r="AX1025" s="82" t="s">
        <v>14120</v>
      </c>
      <c r="AY1025" s="77"/>
      <c r="AZ1025" s="82" t="s">
        <v>17385</v>
      </c>
      <c r="BA1025" s="82" t="s">
        <v>17385</v>
      </c>
      <c r="BB1025" s="82" t="s">
        <v>17385</v>
      </c>
      <c r="BC1025" s="82" t="s">
        <v>14120</v>
      </c>
      <c r="BD1025" s="82" t="s">
        <v>17550</v>
      </c>
      <c r="BE1025" s="77"/>
      <c r="BF1025" s="77"/>
      <c r="BG1025" s="77"/>
      <c r="BH1025" s="77"/>
      <c r="BI1025" s="77"/>
    </row>
    <row r="1026" spans="1:61" x14ac:dyDescent="0.25">
      <c r="A1026" s="62" t="s">
        <v>425</v>
      </c>
      <c r="B1026" s="62" t="s">
        <v>425</v>
      </c>
      <c r="C1026" s="63"/>
      <c r="D1026" s="64"/>
      <c r="E1026" s="65"/>
      <c r="F1026" s="66"/>
      <c r="G1026" s="63"/>
      <c r="H1026" s="67"/>
      <c r="I1026" s="68"/>
      <c r="J1026" s="68"/>
      <c r="K1026" s="32"/>
      <c r="L1026" s="75">
        <v>1026</v>
      </c>
      <c r="M1026" s="75"/>
      <c r="N1026" s="70"/>
      <c r="O1026" s="77" t="s">
        <v>179</v>
      </c>
      <c r="P1026" s="79">
        <v>45097.628379629627</v>
      </c>
      <c r="Q1026" s="77" t="s">
        <v>1817</v>
      </c>
      <c r="R1026" s="77">
        <v>1</v>
      </c>
      <c r="S1026" s="77">
        <v>4</v>
      </c>
      <c r="T1026" s="77">
        <v>0</v>
      </c>
      <c r="U1026" s="77">
        <v>0</v>
      </c>
      <c r="V1026" s="77">
        <v>339</v>
      </c>
      <c r="W1026" s="82" t="s">
        <v>5500</v>
      </c>
      <c r="X1026" s="80" t="str">
        <f>HYPERLINK("https://www.seudinheiro.com/2023/empresas/acao-da-cosan-csan3-5-motivos-para-comprar-os-papeis-bofa-miql/")</f>
        <v>https://www.seudinheiro.com/2023/empresas/acao-da-cosan-csan3-5-motivos-para-comprar-os-papeis-bofa-miql/</v>
      </c>
      <c r="Y1026" s="77" t="s">
        <v>7102</v>
      </c>
      <c r="Z1026" s="77"/>
      <c r="AA1026" s="77"/>
      <c r="AB1026" s="77"/>
      <c r="AC1026" s="82" t="s">
        <v>8255</v>
      </c>
      <c r="AD1026" s="77" t="s">
        <v>8278</v>
      </c>
      <c r="AE1026" s="80" t="str">
        <f>HYPERLINK("https://twitter.com/seu_dinheiro_br/status/1671172270448955393")</f>
        <v>https://twitter.com/seu_dinheiro_br/status/1671172270448955393</v>
      </c>
      <c r="AF1026" s="79">
        <v>45097.628379629627</v>
      </c>
      <c r="AG1026" s="85">
        <v>45097</v>
      </c>
      <c r="AH1026" s="82" t="s">
        <v>9182</v>
      </c>
      <c r="AI1026" s="77" t="b">
        <v>0</v>
      </c>
      <c r="AJ1026" s="77"/>
      <c r="AK1026" s="77"/>
      <c r="AL1026" s="77"/>
      <c r="AM1026" s="77"/>
      <c r="AN1026" s="77"/>
      <c r="AO1026" s="77"/>
      <c r="AP1026" s="77"/>
      <c r="AQ1026" s="77"/>
      <c r="AR1026" s="77"/>
      <c r="AS1026" s="77"/>
      <c r="AT1026" s="77"/>
      <c r="AU1026" s="77"/>
      <c r="AV1026" s="80" t="str">
        <f>HYPERLINK("https://pbs.twimg.com/profile_images/1041725334431952896/uaPtkYSp_normal.jpg")</f>
        <v>https://pbs.twimg.com/profile_images/1041725334431952896/uaPtkYSp_normal.jpg</v>
      </c>
      <c r="AW1026" s="82" t="s">
        <v>14121</v>
      </c>
      <c r="AX1026" s="82" t="s">
        <v>14121</v>
      </c>
      <c r="AY1026" s="77"/>
      <c r="AZ1026" s="82" t="s">
        <v>17385</v>
      </c>
      <c r="BA1026" s="82" t="s">
        <v>17385</v>
      </c>
      <c r="BB1026" s="82" t="s">
        <v>17385</v>
      </c>
      <c r="BC1026" s="82" t="s">
        <v>14121</v>
      </c>
      <c r="BD1026" s="82" t="s">
        <v>17550</v>
      </c>
      <c r="BE1026" s="77"/>
      <c r="BF1026" s="77"/>
      <c r="BG1026" s="77"/>
      <c r="BH1026" s="77"/>
      <c r="BI1026" s="77"/>
    </row>
    <row r="1027" spans="1:61" x14ac:dyDescent="0.25">
      <c r="A1027" s="62" t="s">
        <v>425</v>
      </c>
      <c r="B1027" s="62" t="s">
        <v>425</v>
      </c>
      <c r="C1027" s="63"/>
      <c r="D1027" s="64"/>
      <c r="E1027" s="65"/>
      <c r="F1027" s="66"/>
      <c r="G1027" s="63"/>
      <c r="H1027" s="67"/>
      <c r="I1027" s="68"/>
      <c r="J1027" s="68"/>
      <c r="K1027" s="32"/>
      <c r="L1027" s="75">
        <v>1027</v>
      </c>
      <c r="M1027" s="75"/>
      <c r="N1027" s="70"/>
      <c r="O1027" s="77" t="s">
        <v>179</v>
      </c>
      <c r="P1027" s="79">
        <v>45097.52140046296</v>
      </c>
      <c r="Q1027" s="77" t="s">
        <v>1818</v>
      </c>
      <c r="R1027" s="77">
        <v>0</v>
      </c>
      <c r="S1027" s="77">
        <v>3</v>
      </c>
      <c r="T1027" s="77">
        <v>0</v>
      </c>
      <c r="U1027" s="77">
        <v>0</v>
      </c>
      <c r="V1027" s="77">
        <v>258</v>
      </c>
      <c r="W1027" s="82" t="s">
        <v>5501</v>
      </c>
      <c r="X1027" s="80" t="str">
        <f>HYPERLINK("https://www.seudinheiro.com/2023/empresas/carros-voadores-nos-ceus-do-brasil-empresa-da-embraer-fecha-carta-de-intencoes-para-mais-70-evtol-vinp/")</f>
        <v>https://www.seudinheiro.com/2023/empresas/carros-voadores-nos-ceus-do-brasil-empresa-da-embraer-fecha-carta-de-intencoes-para-mais-70-evtol-vinp/</v>
      </c>
      <c r="Y1027" s="77" t="s">
        <v>7102</v>
      </c>
      <c r="Z1027" s="77"/>
      <c r="AA1027" s="77"/>
      <c r="AB1027" s="77"/>
      <c r="AC1027" s="82" t="s">
        <v>8255</v>
      </c>
      <c r="AD1027" s="77" t="s">
        <v>8278</v>
      </c>
      <c r="AE1027" s="80" t="str">
        <f>HYPERLINK("https://twitter.com/seu_dinheiro_br/status/1671133502350188546")</f>
        <v>https://twitter.com/seu_dinheiro_br/status/1671133502350188546</v>
      </c>
      <c r="AF1027" s="79">
        <v>45097.52140046296</v>
      </c>
      <c r="AG1027" s="85">
        <v>45097</v>
      </c>
      <c r="AH1027" s="82" t="s">
        <v>9183</v>
      </c>
      <c r="AI1027" s="77" t="b">
        <v>0</v>
      </c>
      <c r="AJ1027" s="77"/>
      <c r="AK1027" s="77"/>
      <c r="AL1027" s="77"/>
      <c r="AM1027" s="77"/>
      <c r="AN1027" s="77"/>
      <c r="AO1027" s="77"/>
      <c r="AP1027" s="77"/>
      <c r="AQ1027" s="77"/>
      <c r="AR1027" s="77"/>
      <c r="AS1027" s="77"/>
      <c r="AT1027" s="77"/>
      <c r="AU1027" s="77"/>
      <c r="AV1027" s="80" t="str">
        <f>HYPERLINK("https://pbs.twimg.com/profile_images/1041725334431952896/uaPtkYSp_normal.jpg")</f>
        <v>https://pbs.twimg.com/profile_images/1041725334431952896/uaPtkYSp_normal.jpg</v>
      </c>
      <c r="AW1027" s="82" t="s">
        <v>14122</v>
      </c>
      <c r="AX1027" s="82" t="s">
        <v>14122</v>
      </c>
      <c r="AY1027" s="77"/>
      <c r="AZ1027" s="82" t="s">
        <v>17385</v>
      </c>
      <c r="BA1027" s="82" t="s">
        <v>17385</v>
      </c>
      <c r="BB1027" s="82" t="s">
        <v>17385</v>
      </c>
      <c r="BC1027" s="82" t="s">
        <v>14122</v>
      </c>
      <c r="BD1027" s="82" t="s">
        <v>17550</v>
      </c>
      <c r="BE1027" s="77"/>
      <c r="BF1027" s="77"/>
      <c r="BG1027" s="77"/>
      <c r="BH1027" s="77"/>
      <c r="BI1027" s="77"/>
    </row>
    <row r="1028" spans="1:61" x14ac:dyDescent="0.25">
      <c r="A1028" s="62" t="s">
        <v>425</v>
      </c>
      <c r="B1028" s="62" t="s">
        <v>425</v>
      </c>
      <c r="C1028" s="63"/>
      <c r="D1028" s="64"/>
      <c r="E1028" s="65"/>
      <c r="F1028" s="66"/>
      <c r="G1028" s="63"/>
      <c r="H1028" s="67"/>
      <c r="I1028" s="68"/>
      <c r="J1028" s="68"/>
      <c r="K1028" s="32"/>
      <c r="L1028" s="75">
        <v>1028</v>
      </c>
      <c r="M1028" s="75"/>
      <c r="N1028" s="70"/>
      <c r="O1028" s="77" t="s">
        <v>179</v>
      </c>
      <c r="P1028" s="79">
        <v>45097.465960648151</v>
      </c>
      <c r="Q1028" s="77" t="s">
        <v>1819</v>
      </c>
      <c r="R1028" s="77">
        <v>2</v>
      </c>
      <c r="S1028" s="77">
        <v>2</v>
      </c>
      <c r="T1028" s="77">
        <v>0</v>
      </c>
      <c r="U1028" s="77">
        <v>0</v>
      </c>
      <c r="V1028" s="77">
        <v>448</v>
      </c>
      <c r="W1028" s="82" t="s">
        <v>5502</v>
      </c>
      <c r="X1028" s="80" t="str">
        <f>HYPERLINK("https://www.seudinheiro.com/2023/colunistas/day-trade-na-b3-como-lucrar-com-acoes-da-brasilagro-agro3-20-06-miql/")</f>
        <v>https://www.seudinheiro.com/2023/colunistas/day-trade-na-b3-como-lucrar-com-acoes-da-brasilagro-agro3-20-06-miql/</v>
      </c>
      <c r="Y1028" s="77" t="s">
        <v>7102</v>
      </c>
      <c r="Z1028" s="77"/>
      <c r="AA1028" s="77"/>
      <c r="AB1028" s="77"/>
      <c r="AC1028" s="82" t="s">
        <v>8255</v>
      </c>
      <c r="AD1028" s="77" t="s">
        <v>8278</v>
      </c>
      <c r="AE1028" s="80" t="str">
        <f>HYPERLINK("https://twitter.com/seu_dinheiro_br/status/1671113409905999873")</f>
        <v>https://twitter.com/seu_dinheiro_br/status/1671113409905999873</v>
      </c>
      <c r="AF1028" s="79">
        <v>45097.465960648151</v>
      </c>
      <c r="AG1028" s="85">
        <v>45097</v>
      </c>
      <c r="AH1028" s="82" t="s">
        <v>9184</v>
      </c>
      <c r="AI1028" s="77" t="b">
        <v>0</v>
      </c>
      <c r="AJ1028" s="77"/>
      <c r="AK1028" s="77"/>
      <c r="AL1028" s="77"/>
      <c r="AM1028" s="77"/>
      <c r="AN1028" s="77"/>
      <c r="AO1028" s="77"/>
      <c r="AP1028" s="77"/>
      <c r="AQ1028" s="77"/>
      <c r="AR1028" s="77"/>
      <c r="AS1028" s="77"/>
      <c r="AT1028" s="77"/>
      <c r="AU1028" s="77"/>
      <c r="AV1028" s="80" t="str">
        <f>HYPERLINK("https://pbs.twimg.com/profile_images/1041725334431952896/uaPtkYSp_normal.jpg")</f>
        <v>https://pbs.twimg.com/profile_images/1041725334431952896/uaPtkYSp_normal.jpg</v>
      </c>
      <c r="AW1028" s="82" t="s">
        <v>14123</v>
      </c>
      <c r="AX1028" s="82" t="s">
        <v>14123</v>
      </c>
      <c r="AY1028" s="77"/>
      <c r="AZ1028" s="82" t="s">
        <v>17385</v>
      </c>
      <c r="BA1028" s="82" t="s">
        <v>17385</v>
      </c>
      <c r="BB1028" s="82" t="s">
        <v>17385</v>
      </c>
      <c r="BC1028" s="82" t="s">
        <v>14123</v>
      </c>
      <c r="BD1028" s="82" t="s">
        <v>17550</v>
      </c>
      <c r="BE1028" s="77"/>
      <c r="BF1028" s="77"/>
      <c r="BG1028" s="77"/>
      <c r="BH1028" s="77"/>
      <c r="BI1028" s="77"/>
    </row>
    <row r="1029" spans="1:61" x14ac:dyDescent="0.25">
      <c r="A1029" s="62" t="s">
        <v>425</v>
      </c>
      <c r="B1029" s="62" t="s">
        <v>425</v>
      </c>
      <c r="C1029" s="63"/>
      <c r="D1029" s="64"/>
      <c r="E1029" s="65"/>
      <c r="F1029" s="66"/>
      <c r="G1029" s="63"/>
      <c r="H1029" s="67"/>
      <c r="I1029" s="68"/>
      <c r="J1029" s="68"/>
      <c r="K1029" s="32"/>
      <c r="L1029" s="75">
        <v>1029</v>
      </c>
      <c r="M1029" s="75"/>
      <c r="N1029" s="70"/>
      <c r="O1029" s="77" t="s">
        <v>179</v>
      </c>
      <c r="P1029" s="79">
        <v>45096.933506944442</v>
      </c>
      <c r="Q1029" s="77" t="s">
        <v>1820</v>
      </c>
      <c r="R1029" s="77">
        <v>0</v>
      </c>
      <c r="S1029" s="77">
        <v>2</v>
      </c>
      <c r="T1029" s="77">
        <v>0</v>
      </c>
      <c r="U1029" s="77">
        <v>0</v>
      </c>
      <c r="V1029" s="77">
        <v>378</v>
      </c>
      <c r="W1029" s="82" t="s">
        <v>5503</v>
      </c>
      <c r="X1029" s="80" t="str">
        <f>HYPERLINK("https://www.seudinheiro.com/2023/empresas/jbs-pagara-r-22-bilhoes-em-dividendos-na-proxima-semana-e-itausa-aprova-distribuicao-de-jcp-lvit/")</f>
        <v>https://www.seudinheiro.com/2023/empresas/jbs-pagara-r-22-bilhoes-em-dividendos-na-proxima-semana-e-itausa-aprova-distribuicao-de-jcp-lvit/</v>
      </c>
      <c r="Y1029" s="77" t="s">
        <v>7102</v>
      </c>
      <c r="Z1029" s="77"/>
      <c r="AA1029" s="77"/>
      <c r="AB1029" s="77"/>
      <c r="AC1029" s="82" t="s">
        <v>8255</v>
      </c>
      <c r="AD1029" s="77" t="s">
        <v>8278</v>
      </c>
      <c r="AE1029" s="80" t="str">
        <f>HYPERLINK("https://twitter.com/seu_dinheiro_br/status/1670920456755453952")</f>
        <v>https://twitter.com/seu_dinheiro_br/status/1670920456755453952</v>
      </c>
      <c r="AF1029" s="79">
        <v>45096.933506944442</v>
      </c>
      <c r="AG1029" s="85">
        <v>45096</v>
      </c>
      <c r="AH1029" s="82" t="s">
        <v>9185</v>
      </c>
      <c r="AI1029" s="77" t="b">
        <v>0</v>
      </c>
      <c r="AJ1029" s="77"/>
      <c r="AK1029" s="77"/>
      <c r="AL1029" s="77"/>
      <c r="AM1029" s="77"/>
      <c r="AN1029" s="77"/>
      <c r="AO1029" s="77"/>
      <c r="AP1029" s="77"/>
      <c r="AQ1029" s="77"/>
      <c r="AR1029" s="77"/>
      <c r="AS1029" s="77"/>
      <c r="AT1029" s="77"/>
      <c r="AU1029" s="77"/>
      <c r="AV1029" s="80" t="str">
        <f>HYPERLINK("https://pbs.twimg.com/profile_images/1041725334431952896/uaPtkYSp_normal.jpg")</f>
        <v>https://pbs.twimg.com/profile_images/1041725334431952896/uaPtkYSp_normal.jpg</v>
      </c>
      <c r="AW1029" s="82" t="s">
        <v>14124</v>
      </c>
      <c r="AX1029" s="82" t="s">
        <v>14124</v>
      </c>
      <c r="AY1029" s="77"/>
      <c r="AZ1029" s="82" t="s">
        <v>17385</v>
      </c>
      <c r="BA1029" s="82" t="s">
        <v>17385</v>
      </c>
      <c r="BB1029" s="82" t="s">
        <v>17385</v>
      </c>
      <c r="BC1029" s="82" t="s">
        <v>14124</v>
      </c>
      <c r="BD1029" s="82" t="s">
        <v>17550</v>
      </c>
      <c r="BE1029" s="77"/>
      <c r="BF1029" s="77"/>
      <c r="BG1029" s="77"/>
      <c r="BH1029" s="77"/>
      <c r="BI1029" s="77"/>
    </row>
    <row r="1030" spans="1:61" x14ac:dyDescent="0.25">
      <c r="A1030" s="62" t="s">
        <v>425</v>
      </c>
      <c r="B1030" s="62" t="s">
        <v>425</v>
      </c>
      <c r="C1030" s="63"/>
      <c r="D1030" s="64"/>
      <c r="E1030" s="65"/>
      <c r="F1030" s="66"/>
      <c r="G1030" s="63"/>
      <c r="H1030" s="67"/>
      <c r="I1030" s="68"/>
      <c r="J1030" s="68"/>
      <c r="K1030" s="32"/>
      <c r="L1030" s="75">
        <v>1030</v>
      </c>
      <c r="M1030" s="75"/>
      <c r="N1030" s="70"/>
      <c r="O1030" s="77" t="s">
        <v>179</v>
      </c>
      <c r="P1030" s="79">
        <v>45096.913275462961</v>
      </c>
      <c r="Q1030" s="77" t="s">
        <v>1821</v>
      </c>
      <c r="R1030" s="77">
        <v>0</v>
      </c>
      <c r="S1030" s="77">
        <v>1</v>
      </c>
      <c r="T1030" s="77">
        <v>0</v>
      </c>
      <c r="U1030" s="77">
        <v>0</v>
      </c>
      <c r="V1030" s="77">
        <v>326</v>
      </c>
      <c r="W1030" s="82" t="s">
        <v>5504</v>
      </c>
      <c r="X1030" s="80" t="str">
        <f>HYPERLINK("https://www.seudinheiro.com/2023/colunistas/felipe-miranda-oi-sumido-a-morte-e-a-ressurreicao-do-financial-deepening-ccgg/")</f>
        <v>https://www.seudinheiro.com/2023/colunistas/felipe-miranda-oi-sumido-a-morte-e-a-ressurreicao-do-financial-deepening-ccgg/</v>
      </c>
      <c r="Y1030" s="77" t="s">
        <v>7102</v>
      </c>
      <c r="Z1030" s="77"/>
      <c r="AA1030" s="77"/>
      <c r="AB1030" s="77"/>
      <c r="AC1030" s="82" t="s">
        <v>8255</v>
      </c>
      <c r="AD1030" s="77" t="s">
        <v>8278</v>
      </c>
      <c r="AE1030" s="80" t="str">
        <f>HYPERLINK("https://twitter.com/seu_dinheiro_br/status/1670913124914921474")</f>
        <v>https://twitter.com/seu_dinheiro_br/status/1670913124914921474</v>
      </c>
      <c r="AF1030" s="79">
        <v>45096.913275462961</v>
      </c>
      <c r="AG1030" s="85">
        <v>45096</v>
      </c>
      <c r="AH1030" s="82" t="s">
        <v>8327</v>
      </c>
      <c r="AI1030" s="77" t="b">
        <v>0</v>
      </c>
      <c r="AJ1030" s="77"/>
      <c r="AK1030" s="77"/>
      <c r="AL1030" s="77"/>
      <c r="AM1030" s="77"/>
      <c r="AN1030" s="77"/>
      <c r="AO1030" s="77"/>
      <c r="AP1030" s="77"/>
      <c r="AQ1030" s="77"/>
      <c r="AR1030" s="77"/>
      <c r="AS1030" s="77"/>
      <c r="AT1030" s="77"/>
      <c r="AU1030" s="77"/>
      <c r="AV1030" s="80" t="str">
        <f>HYPERLINK("https://pbs.twimg.com/profile_images/1041725334431952896/uaPtkYSp_normal.jpg")</f>
        <v>https://pbs.twimg.com/profile_images/1041725334431952896/uaPtkYSp_normal.jpg</v>
      </c>
      <c r="AW1030" s="82" t="s">
        <v>14125</v>
      </c>
      <c r="AX1030" s="82" t="s">
        <v>14125</v>
      </c>
      <c r="AY1030" s="77"/>
      <c r="AZ1030" s="82" t="s">
        <v>17385</v>
      </c>
      <c r="BA1030" s="82" t="s">
        <v>17385</v>
      </c>
      <c r="BB1030" s="82" t="s">
        <v>17385</v>
      </c>
      <c r="BC1030" s="82" t="s">
        <v>14125</v>
      </c>
      <c r="BD1030" s="82" t="s">
        <v>17550</v>
      </c>
      <c r="BE1030" s="77"/>
      <c r="BF1030" s="77"/>
      <c r="BG1030" s="77"/>
      <c r="BH1030" s="77"/>
      <c r="BI1030" s="77"/>
    </row>
    <row r="1031" spans="1:61" x14ac:dyDescent="0.25">
      <c r="A1031" s="62" t="s">
        <v>425</v>
      </c>
      <c r="B1031" s="62" t="s">
        <v>425</v>
      </c>
      <c r="C1031" s="63"/>
      <c r="D1031" s="64"/>
      <c r="E1031" s="65"/>
      <c r="F1031" s="66"/>
      <c r="G1031" s="63"/>
      <c r="H1031" s="67"/>
      <c r="I1031" s="68"/>
      <c r="J1031" s="68"/>
      <c r="K1031" s="32"/>
      <c r="L1031" s="75">
        <v>1031</v>
      </c>
      <c r="M1031" s="75"/>
      <c r="N1031" s="70"/>
      <c r="O1031" s="77" t="s">
        <v>179</v>
      </c>
      <c r="P1031" s="79">
        <v>45096.867442129631</v>
      </c>
      <c r="Q1031" s="77" t="s">
        <v>1822</v>
      </c>
      <c r="R1031" s="77">
        <v>0</v>
      </c>
      <c r="S1031" s="77">
        <v>0</v>
      </c>
      <c r="T1031" s="77">
        <v>1</v>
      </c>
      <c r="U1031" s="77">
        <v>0</v>
      </c>
      <c r="V1031" s="77">
        <v>393</v>
      </c>
      <c r="W1031" s="82" t="s">
        <v>5505</v>
      </c>
      <c r="X1031" s="80" t="str">
        <f>HYPERLINK("https://www.seudinheiro.com/2023/internacional/multiplicando-bilhoes-como-o-chatgpt-esta-deixando-os-ricacos-com-mais-dinheiro-ainda-ccgg/")</f>
        <v>https://www.seudinheiro.com/2023/internacional/multiplicando-bilhoes-como-o-chatgpt-esta-deixando-os-ricacos-com-mais-dinheiro-ainda-ccgg/</v>
      </c>
      <c r="Y1031" s="77" t="s">
        <v>7102</v>
      </c>
      <c r="Z1031" s="77"/>
      <c r="AA1031" s="77"/>
      <c r="AB1031" s="77"/>
      <c r="AC1031" s="82" t="s">
        <v>8255</v>
      </c>
      <c r="AD1031" s="77" t="s">
        <v>8278</v>
      </c>
      <c r="AE1031" s="80" t="str">
        <f>HYPERLINK("https://twitter.com/seu_dinheiro_br/status/1670896514388852739")</f>
        <v>https://twitter.com/seu_dinheiro_br/status/1670896514388852739</v>
      </c>
      <c r="AF1031" s="79">
        <v>45096.867442129631</v>
      </c>
      <c r="AG1031" s="85">
        <v>45096</v>
      </c>
      <c r="AH1031" s="82" t="s">
        <v>9186</v>
      </c>
      <c r="AI1031" s="77" t="b">
        <v>0</v>
      </c>
      <c r="AJ1031" s="77"/>
      <c r="AK1031" s="77"/>
      <c r="AL1031" s="77"/>
      <c r="AM1031" s="77"/>
      <c r="AN1031" s="77"/>
      <c r="AO1031" s="77"/>
      <c r="AP1031" s="77"/>
      <c r="AQ1031" s="77"/>
      <c r="AR1031" s="77"/>
      <c r="AS1031" s="77"/>
      <c r="AT1031" s="77"/>
      <c r="AU1031" s="77"/>
      <c r="AV1031" s="80" t="str">
        <f>HYPERLINK("https://pbs.twimg.com/profile_images/1041725334431952896/uaPtkYSp_normal.jpg")</f>
        <v>https://pbs.twimg.com/profile_images/1041725334431952896/uaPtkYSp_normal.jpg</v>
      </c>
      <c r="AW1031" s="82" t="s">
        <v>14126</v>
      </c>
      <c r="AX1031" s="82" t="s">
        <v>14126</v>
      </c>
      <c r="AY1031" s="77"/>
      <c r="AZ1031" s="82" t="s">
        <v>17385</v>
      </c>
      <c r="BA1031" s="82" t="s">
        <v>17385</v>
      </c>
      <c r="BB1031" s="82" t="s">
        <v>17385</v>
      </c>
      <c r="BC1031" s="82" t="s">
        <v>14126</v>
      </c>
      <c r="BD1031" s="82" t="s">
        <v>17550</v>
      </c>
      <c r="BE1031" s="77"/>
      <c r="BF1031" s="77"/>
      <c r="BG1031" s="77"/>
      <c r="BH1031" s="77"/>
      <c r="BI1031" s="77"/>
    </row>
    <row r="1032" spans="1:61" x14ac:dyDescent="0.25">
      <c r="A1032" s="62" t="s">
        <v>425</v>
      </c>
      <c r="B1032" s="62" t="s">
        <v>425</v>
      </c>
      <c r="C1032" s="63"/>
      <c r="D1032" s="64"/>
      <c r="E1032" s="65"/>
      <c r="F1032" s="66"/>
      <c r="G1032" s="63"/>
      <c r="H1032" s="67"/>
      <c r="I1032" s="68"/>
      <c r="J1032" s="68"/>
      <c r="K1032" s="32"/>
      <c r="L1032" s="75">
        <v>1032</v>
      </c>
      <c r="M1032" s="75"/>
      <c r="N1032" s="70"/>
      <c r="O1032" s="77" t="s">
        <v>179</v>
      </c>
      <c r="P1032" s="79">
        <v>45086.637685185182</v>
      </c>
      <c r="Q1032" s="77" t="s">
        <v>1823</v>
      </c>
      <c r="R1032" s="77">
        <v>0</v>
      </c>
      <c r="S1032" s="77">
        <v>1</v>
      </c>
      <c r="T1032" s="77">
        <v>0</v>
      </c>
      <c r="U1032" s="77">
        <v>0</v>
      </c>
      <c r="V1032" s="77">
        <v>241</v>
      </c>
      <c r="W1032" s="82" t="s">
        <v>5506</v>
      </c>
      <c r="X1032" s="80" t="str">
        <f>HYPERLINK("https://www.seudinheiro.com/2023/criptomoedas/corrida-com-barreira-bitcoin-btc-sobe-mas-tem-dificuldade-de-manter-o-patamar-dos-us-27-mil-confira-o-que-vem-por-ai-ccgg/")</f>
        <v>https://www.seudinheiro.com/2023/criptomoedas/corrida-com-barreira-bitcoin-btc-sobe-mas-tem-dificuldade-de-manter-o-patamar-dos-us-27-mil-confira-o-que-vem-por-ai-ccgg/</v>
      </c>
      <c r="Y1032" s="77" t="s">
        <v>7102</v>
      </c>
      <c r="Z1032" s="77"/>
      <c r="AA1032" s="77"/>
      <c r="AB1032" s="77"/>
      <c r="AC1032" s="82" t="s">
        <v>8255</v>
      </c>
      <c r="AD1032" s="77" t="s">
        <v>8278</v>
      </c>
      <c r="AE1032" s="80" t="str">
        <f>HYPERLINK("https://twitter.com/seu_dinheiro_br/status/1667189374746783744")</f>
        <v>https://twitter.com/seu_dinheiro_br/status/1667189374746783744</v>
      </c>
      <c r="AF1032" s="79">
        <v>45086.637685185182</v>
      </c>
      <c r="AG1032" s="85">
        <v>45086</v>
      </c>
      <c r="AH1032" s="82" t="s">
        <v>9187</v>
      </c>
      <c r="AI1032" s="77" t="b">
        <v>0</v>
      </c>
      <c r="AJ1032" s="77"/>
      <c r="AK1032" s="77"/>
      <c r="AL1032" s="77"/>
      <c r="AM1032" s="77"/>
      <c r="AN1032" s="77"/>
      <c r="AO1032" s="77"/>
      <c r="AP1032" s="77"/>
      <c r="AQ1032" s="77"/>
      <c r="AR1032" s="77"/>
      <c r="AS1032" s="77"/>
      <c r="AT1032" s="77"/>
      <c r="AU1032" s="77"/>
      <c r="AV1032" s="80" t="str">
        <f>HYPERLINK("https://pbs.twimg.com/profile_images/1041725334431952896/uaPtkYSp_normal.jpg")</f>
        <v>https://pbs.twimg.com/profile_images/1041725334431952896/uaPtkYSp_normal.jpg</v>
      </c>
      <c r="AW1032" s="82" t="s">
        <v>14127</v>
      </c>
      <c r="AX1032" s="82" t="s">
        <v>14127</v>
      </c>
      <c r="AY1032" s="77"/>
      <c r="AZ1032" s="82" t="s">
        <v>17385</v>
      </c>
      <c r="BA1032" s="82" t="s">
        <v>17385</v>
      </c>
      <c r="BB1032" s="82" t="s">
        <v>17385</v>
      </c>
      <c r="BC1032" s="82" t="s">
        <v>14127</v>
      </c>
      <c r="BD1032" s="82" t="s">
        <v>17550</v>
      </c>
      <c r="BE1032" s="77"/>
      <c r="BF1032" s="77"/>
      <c r="BG1032" s="77"/>
      <c r="BH1032" s="77"/>
      <c r="BI1032" s="77"/>
    </row>
    <row r="1033" spans="1:61" x14ac:dyDescent="0.25">
      <c r="A1033" s="62" t="s">
        <v>425</v>
      </c>
      <c r="B1033" s="62" t="s">
        <v>425</v>
      </c>
      <c r="C1033" s="63"/>
      <c r="D1033" s="64"/>
      <c r="E1033" s="65"/>
      <c r="F1033" s="66"/>
      <c r="G1033" s="63"/>
      <c r="H1033" s="67"/>
      <c r="I1033" s="68"/>
      <c r="J1033" s="68"/>
      <c r="K1033" s="32"/>
      <c r="L1033" s="75">
        <v>1033</v>
      </c>
      <c r="M1033" s="75"/>
      <c r="N1033" s="70"/>
      <c r="O1033" s="77" t="s">
        <v>179</v>
      </c>
      <c r="P1033" s="79">
        <v>45086.586481481485</v>
      </c>
      <c r="Q1033" s="77" t="s">
        <v>1824</v>
      </c>
      <c r="R1033" s="77">
        <v>0</v>
      </c>
      <c r="S1033" s="77">
        <v>3</v>
      </c>
      <c r="T1033" s="77">
        <v>0</v>
      </c>
      <c r="U1033" s="77">
        <v>0</v>
      </c>
      <c r="V1033" s="77">
        <v>522</v>
      </c>
      <c r="W1033" s="82" t="s">
        <v>5507</v>
      </c>
      <c r="X1033" s="80" t="str">
        <f>HYPERLINK("https://www.seudinheiro.com/2023/bolsa-dolar/destaques-da-bolsa-3r-petroleum-rrrp3-magazine-luiza-mglu3-e-via-viia3-de-olho-na-selic-vinp/")</f>
        <v>https://www.seudinheiro.com/2023/bolsa-dolar/destaques-da-bolsa-3r-petroleum-rrrp3-magazine-luiza-mglu3-e-via-viia3-de-olho-na-selic-vinp/</v>
      </c>
      <c r="Y1033" s="77" t="s">
        <v>7102</v>
      </c>
      <c r="Z1033" s="77"/>
      <c r="AA1033" s="77"/>
      <c r="AB1033" s="77"/>
      <c r="AC1033" s="82" t="s">
        <v>8255</v>
      </c>
      <c r="AD1033" s="77" t="s">
        <v>8278</v>
      </c>
      <c r="AE1033" s="80" t="str">
        <f>HYPERLINK("https://twitter.com/seu_dinheiro_br/status/1667170817661194243")</f>
        <v>https://twitter.com/seu_dinheiro_br/status/1667170817661194243</v>
      </c>
      <c r="AF1033" s="79">
        <v>45086.586481481485</v>
      </c>
      <c r="AG1033" s="85">
        <v>45086</v>
      </c>
      <c r="AH1033" s="82" t="s">
        <v>9188</v>
      </c>
      <c r="AI1033" s="77" t="b">
        <v>0</v>
      </c>
      <c r="AJ1033" s="77"/>
      <c r="AK1033" s="77"/>
      <c r="AL1033" s="77"/>
      <c r="AM1033" s="77"/>
      <c r="AN1033" s="77"/>
      <c r="AO1033" s="77"/>
      <c r="AP1033" s="77"/>
      <c r="AQ1033" s="77"/>
      <c r="AR1033" s="77"/>
      <c r="AS1033" s="77"/>
      <c r="AT1033" s="77"/>
      <c r="AU1033" s="77"/>
      <c r="AV1033" s="80" t="str">
        <f>HYPERLINK("https://pbs.twimg.com/profile_images/1041725334431952896/uaPtkYSp_normal.jpg")</f>
        <v>https://pbs.twimg.com/profile_images/1041725334431952896/uaPtkYSp_normal.jpg</v>
      </c>
      <c r="AW1033" s="82" t="s">
        <v>14128</v>
      </c>
      <c r="AX1033" s="82" t="s">
        <v>14128</v>
      </c>
      <c r="AY1033" s="77"/>
      <c r="AZ1033" s="82" t="s">
        <v>17385</v>
      </c>
      <c r="BA1033" s="82" t="s">
        <v>17385</v>
      </c>
      <c r="BB1033" s="82" t="s">
        <v>17385</v>
      </c>
      <c r="BC1033" s="82" t="s">
        <v>14128</v>
      </c>
      <c r="BD1033" s="82" t="s">
        <v>17550</v>
      </c>
      <c r="BE1033" s="77"/>
      <c r="BF1033" s="77"/>
      <c r="BG1033" s="77"/>
      <c r="BH1033" s="77"/>
      <c r="BI1033" s="77"/>
    </row>
    <row r="1034" spans="1:61" x14ac:dyDescent="0.25">
      <c r="A1034" s="62" t="s">
        <v>425</v>
      </c>
      <c r="B1034" s="62" t="s">
        <v>425</v>
      </c>
      <c r="C1034" s="63"/>
      <c r="D1034" s="64"/>
      <c r="E1034" s="65"/>
      <c r="F1034" s="66"/>
      <c r="G1034" s="63"/>
      <c r="H1034" s="67"/>
      <c r="I1034" s="68"/>
      <c r="J1034" s="68"/>
      <c r="K1034" s="32"/>
      <c r="L1034" s="75">
        <v>1034</v>
      </c>
      <c r="M1034" s="75"/>
      <c r="N1034" s="70"/>
      <c r="O1034" s="77" t="s">
        <v>179</v>
      </c>
      <c r="P1034" s="79">
        <v>45086.517835648148</v>
      </c>
      <c r="Q1034" s="77" t="s">
        <v>1825</v>
      </c>
      <c r="R1034" s="77">
        <v>0</v>
      </c>
      <c r="S1034" s="77">
        <v>1</v>
      </c>
      <c r="T1034" s="77">
        <v>0</v>
      </c>
      <c r="U1034" s="77">
        <v>0</v>
      </c>
      <c r="V1034" s="77">
        <v>351</v>
      </c>
      <c r="W1034" s="82" t="s">
        <v>5508</v>
      </c>
      <c r="X1034" s="80" t="str">
        <f>HYPERLINK("https://www.seudinheiro.com/2023/bolsa-dolar/cvc-cvcb3-oferece-pacote-para-atrair-investidores-em-oferta-de-acoes-vinp/")</f>
        <v>https://www.seudinheiro.com/2023/bolsa-dolar/cvc-cvcb3-oferece-pacote-para-atrair-investidores-em-oferta-de-acoes-vinp/</v>
      </c>
      <c r="Y1034" s="77" t="s">
        <v>7102</v>
      </c>
      <c r="Z1034" s="77"/>
      <c r="AA1034" s="77"/>
      <c r="AB1034" s="77"/>
      <c r="AC1034" s="82" t="s">
        <v>8255</v>
      </c>
      <c r="AD1034" s="77" t="s">
        <v>8278</v>
      </c>
      <c r="AE1034" s="80" t="str">
        <f>HYPERLINK("https://twitter.com/seu_dinheiro_br/status/1667145944104574976")</f>
        <v>https://twitter.com/seu_dinheiro_br/status/1667145944104574976</v>
      </c>
      <c r="AF1034" s="79">
        <v>45086.517835648148</v>
      </c>
      <c r="AG1034" s="85">
        <v>45086</v>
      </c>
      <c r="AH1034" s="82" t="s">
        <v>9189</v>
      </c>
      <c r="AI1034" s="77" t="b">
        <v>0</v>
      </c>
      <c r="AJ1034" s="77"/>
      <c r="AK1034" s="77"/>
      <c r="AL1034" s="77"/>
      <c r="AM1034" s="77"/>
      <c r="AN1034" s="77"/>
      <c r="AO1034" s="77"/>
      <c r="AP1034" s="77"/>
      <c r="AQ1034" s="77"/>
      <c r="AR1034" s="77"/>
      <c r="AS1034" s="77"/>
      <c r="AT1034" s="77"/>
      <c r="AU1034" s="77"/>
      <c r="AV1034" s="80" t="str">
        <f>HYPERLINK("https://pbs.twimg.com/profile_images/1041725334431952896/uaPtkYSp_normal.jpg")</f>
        <v>https://pbs.twimg.com/profile_images/1041725334431952896/uaPtkYSp_normal.jpg</v>
      </c>
      <c r="AW1034" s="82" t="s">
        <v>14129</v>
      </c>
      <c r="AX1034" s="82" t="s">
        <v>14129</v>
      </c>
      <c r="AY1034" s="77"/>
      <c r="AZ1034" s="82" t="s">
        <v>17385</v>
      </c>
      <c r="BA1034" s="82" t="s">
        <v>17385</v>
      </c>
      <c r="BB1034" s="82" t="s">
        <v>17385</v>
      </c>
      <c r="BC1034" s="82" t="s">
        <v>14129</v>
      </c>
      <c r="BD1034" s="82" t="s">
        <v>17550</v>
      </c>
      <c r="BE1034" s="77"/>
      <c r="BF1034" s="77"/>
      <c r="BG1034" s="77"/>
      <c r="BH1034" s="77"/>
      <c r="BI1034" s="77"/>
    </row>
    <row r="1035" spans="1:61" x14ac:dyDescent="0.25">
      <c r="A1035" s="62" t="s">
        <v>425</v>
      </c>
      <c r="B1035" s="62" t="s">
        <v>425</v>
      </c>
      <c r="C1035" s="63"/>
      <c r="D1035" s="64"/>
      <c r="E1035" s="65"/>
      <c r="F1035" s="66"/>
      <c r="G1035" s="63"/>
      <c r="H1035" s="67"/>
      <c r="I1035" s="68"/>
      <c r="J1035" s="68"/>
      <c r="K1035" s="32"/>
      <c r="L1035" s="75">
        <v>1035</v>
      </c>
      <c r="M1035" s="75"/>
      <c r="N1035" s="70"/>
      <c r="O1035" s="77" t="s">
        <v>179</v>
      </c>
      <c r="P1035" s="79">
        <v>45086.491284722222</v>
      </c>
      <c r="Q1035" s="77" t="s">
        <v>1826</v>
      </c>
      <c r="R1035" s="77">
        <v>0</v>
      </c>
      <c r="S1035" s="77">
        <v>2</v>
      </c>
      <c r="T1035" s="77">
        <v>0</v>
      </c>
      <c r="U1035" s="77">
        <v>0</v>
      </c>
      <c r="V1035" s="77">
        <v>537</v>
      </c>
      <c r="W1035" s="82" t="s">
        <v>5475</v>
      </c>
      <c r="X1035" s="80" t="str">
        <f>HYPERLINK("https://www.seudinheiro.com/2023/colunistas/bull-market-b3-investimento-itau-demissoes-nubank-destaques-do-dia-miql-vinp/")</f>
        <v>https://www.seudinheiro.com/2023/colunistas/bull-market-b3-investimento-itau-demissoes-nubank-destaques-do-dia-miql-vinp/</v>
      </c>
      <c r="Y1035" s="77" t="s">
        <v>7102</v>
      </c>
      <c r="Z1035" s="77"/>
      <c r="AA1035" s="77"/>
      <c r="AB1035" s="77"/>
      <c r="AC1035" s="82" t="s">
        <v>8255</v>
      </c>
      <c r="AD1035" s="77" t="s">
        <v>8278</v>
      </c>
      <c r="AE1035" s="80" t="str">
        <f>HYPERLINK("https://twitter.com/seu_dinheiro_br/status/1667136319426904065")</f>
        <v>https://twitter.com/seu_dinheiro_br/status/1667136319426904065</v>
      </c>
      <c r="AF1035" s="79">
        <v>45086.491284722222</v>
      </c>
      <c r="AG1035" s="85">
        <v>45086</v>
      </c>
      <c r="AH1035" s="82" t="s">
        <v>9190</v>
      </c>
      <c r="AI1035" s="77" t="b">
        <v>0</v>
      </c>
      <c r="AJ1035" s="77"/>
      <c r="AK1035" s="77"/>
      <c r="AL1035" s="77"/>
      <c r="AM1035" s="77"/>
      <c r="AN1035" s="77"/>
      <c r="AO1035" s="77"/>
      <c r="AP1035" s="77"/>
      <c r="AQ1035" s="77"/>
      <c r="AR1035" s="77"/>
      <c r="AS1035" s="77"/>
      <c r="AT1035" s="77"/>
      <c r="AU1035" s="77"/>
      <c r="AV1035" s="80" t="str">
        <f>HYPERLINK("https://pbs.twimg.com/profile_images/1041725334431952896/uaPtkYSp_normal.jpg")</f>
        <v>https://pbs.twimg.com/profile_images/1041725334431952896/uaPtkYSp_normal.jpg</v>
      </c>
      <c r="AW1035" s="82" t="s">
        <v>14130</v>
      </c>
      <c r="AX1035" s="82" t="s">
        <v>14130</v>
      </c>
      <c r="AY1035" s="77"/>
      <c r="AZ1035" s="82" t="s">
        <v>17385</v>
      </c>
      <c r="BA1035" s="82" t="s">
        <v>17385</v>
      </c>
      <c r="BB1035" s="82" t="s">
        <v>17385</v>
      </c>
      <c r="BC1035" s="82" t="s">
        <v>14130</v>
      </c>
      <c r="BD1035" s="82" t="s">
        <v>17550</v>
      </c>
      <c r="BE1035" s="77"/>
      <c r="BF1035" s="77"/>
      <c r="BG1035" s="77"/>
      <c r="BH1035" s="77"/>
      <c r="BI1035" s="77"/>
    </row>
    <row r="1036" spans="1:61" x14ac:dyDescent="0.25">
      <c r="A1036" s="62" t="s">
        <v>425</v>
      </c>
      <c r="B1036" s="62" t="s">
        <v>425</v>
      </c>
      <c r="C1036" s="63"/>
      <c r="D1036" s="64"/>
      <c r="E1036" s="65"/>
      <c r="F1036" s="66"/>
      <c r="G1036" s="63"/>
      <c r="H1036" s="67"/>
      <c r="I1036" s="68"/>
      <c r="J1036" s="68"/>
      <c r="K1036" s="32"/>
      <c r="L1036" s="75">
        <v>1036</v>
      </c>
      <c r="M1036" s="75"/>
      <c r="N1036" s="70"/>
      <c r="O1036" s="77" t="s">
        <v>179</v>
      </c>
      <c r="P1036" s="79">
        <v>45086.474606481483</v>
      </c>
      <c r="Q1036" s="77" t="s">
        <v>1827</v>
      </c>
      <c r="R1036" s="77">
        <v>1</v>
      </c>
      <c r="S1036" s="77">
        <v>1</v>
      </c>
      <c r="T1036" s="77">
        <v>0</v>
      </c>
      <c r="U1036" s="77">
        <v>0</v>
      </c>
      <c r="V1036" s="77">
        <v>379</v>
      </c>
      <c r="W1036" s="82" t="s">
        <v>5474</v>
      </c>
      <c r="X1036" s="80" t="str">
        <f>HYPERLINK("https://www.seudinheiro.com/2023/colunistas/day-trade-na-b3-saiba-como-lucrar-com-acoes-da-eneva-enev3-09-06-miql/")</f>
        <v>https://www.seudinheiro.com/2023/colunistas/day-trade-na-b3-saiba-como-lucrar-com-acoes-da-eneva-enev3-09-06-miql/</v>
      </c>
      <c r="Y1036" s="77" t="s">
        <v>7102</v>
      </c>
      <c r="Z1036" s="77"/>
      <c r="AA1036" s="77"/>
      <c r="AB1036" s="77"/>
      <c r="AC1036" s="82" t="s">
        <v>8255</v>
      </c>
      <c r="AD1036" s="77" t="s">
        <v>8278</v>
      </c>
      <c r="AE1036" s="80" t="str">
        <f>HYPERLINK("https://twitter.com/seu_dinheiro_br/status/1667130276311363586")</f>
        <v>https://twitter.com/seu_dinheiro_br/status/1667130276311363586</v>
      </c>
      <c r="AF1036" s="79">
        <v>45086.474606481483</v>
      </c>
      <c r="AG1036" s="85">
        <v>45086</v>
      </c>
      <c r="AH1036" s="82" t="s">
        <v>9191</v>
      </c>
      <c r="AI1036" s="77" t="b">
        <v>0</v>
      </c>
      <c r="AJ1036" s="77"/>
      <c r="AK1036" s="77"/>
      <c r="AL1036" s="77"/>
      <c r="AM1036" s="77"/>
      <c r="AN1036" s="77"/>
      <c r="AO1036" s="77"/>
      <c r="AP1036" s="77"/>
      <c r="AQ1036" s="77"/>
      <c r="AR1036" s="77"/>
      <c r="AS1036" s="77"/>
      <c r="AT1036" s="77"/>
      <c r="AU1036" s="77"/>
      <c r="AV1036" s="80" t="str">
        <f>HYPERLINK("https://pbs.twimg.com/profile_images/1041725334431952896/uaPtkYSp_normal.jpg")</f>
        <v>https://pbs.twimg.com/profile_images/1041725334431952896/uaPtkYSp_normal.jpg</v>
      </c>
      <c r="AW1036" s="82" t="s">
        <v>14131</v>
      </c>
      <c r="AX1036" s="82" t="s">
        <v>14131</v>
      </c>
      <c r="AY1036" s="77"/>
      <c r="AZ1036" s="82" t="s">
        <v>17385</v>
      </c>
      <c r="BA1036" s="82" t="s">
        <v>17385</v>
      </c>
      <c r="BB1036" s="82" t="s">
        <v>17385</v>
      </c>
      <c r="BC1036" s="82" t="s">
        <v>14131</v>
      </c>
      <c r="BD1036" s="82" t="s">
        <v>17550</v>
      </c>
      <c r="BE1036" s="77"/>
      <c r="BF1036" s="77"/>
      <c r="BG1036" s="77"/>
      <c r="BH1036" s="77"/>
      <c r="BI1036" s="77"/>
    </row>
    <row r="1037" spans="1:61" x14ac:dyDescent="0.25">
      <c r="A1037" s="62" t="s">
        <v>425</v>
      </c>
      <c r="B1037" s="62" t="s">
        <v>425</v>
      </c>
      <c r="C1037" s="63"/>
      <c r="D1037" s="64"/>
      <c r="E1037" s="65"/>
      <c r="F1037" s="66"/>
      <c r="G1037" s="63"/>
      <c r="H1037" s="67"/>
      <c r="I1037" s="68"/>
      <c r="J1037" s="68"/>
      <c r="K1037" s="32"/>
      <c r="L1037" s="75">
        <v>1037</v>
      </c>
      <c r="M1037" s="75"/>
      <c r="N1037" s="70"/>
      <c r="O1037" s="77" t="s">
        <v>179</v>
      </c>
      <c r="P1037" s="79">
        <v>45086.377858796295</v>
      </c>
      <c r="Q1037" s="77" t="s">
        <v>1828</v>
      </c>
      <c r="R1037" s="77">
        <v>0</v>
      </c>
      <c r="S1037" s="77">
        <v>0</v>
      </c>
      <c r="T1037" s="77">
        <v>0</v>
      </c>
      <c r="U1037" s="77">
        <v>0</v>
      </c>
      <c r="V1037" s="77">
        <v>371</v>
      </c>
      <c r="W1037" s="82" t="s">
        <v>5509</v>
      </c>
      <c r="X1037" s="80" t="str">
        <f>HYPERLINK("https://assets.seudinheiro.com/2023/colunistas/as-microcaps-voaram-em-maio-e-isso-pode-ser-apenas-o-comeco-ccgg/")</f>
        <v>https://assets.seudinheiro.com/2023/colunistas/as-microcaps-voaram-em-maio-e-isso-pode-ser-apenas-o-comeco-ccgg/</v>
      </c>
      <c r="Y1037" s="77" t="s">
        <v>7102</v>
      </c>
      <c r="Z1037" s="77"/>
      <c r="AA1037" s="77"/>
      <c r="AB1037" s="77"/>
      <c r="AC1037" s="82" t="s">
        <v>8255</v>
      </c>
      <c r="AD1037" s="77" t="s">
        <v>8278</v>
      </c>
      <c r="AE1037" s="80" t="str">
        <f>HYPERLINK("https://twitter.com/seu_dinheiro_br/status/1667095215373529088")</f>
        <v>https://twitter.com/seu_dinheiro_br/status/1667095215373529088</v>
      </c>
      <c r="AF1037" s="79">
        <v>45086.377858796295</v>
      </c>
      <c r="AG1037" s="85">
        <v>45086</v>
      </c>
      <c r="AH1037" s="82" t="s">
        <v>9192</v>
      </c>
      <c r="AI1037" s="77" t="b">
        <v>0</v>
      </c>
      <c r="AJ1037" s="77"/>
      <c r="AK1037" s="77"/>
      <c r="AL1037" s="77"/>
      <c r="AM1037" s="77"/>
      <c r="AN1037" s="77"/>
      <c r="AO1037" s="77"/>
      <c r="AP1037" s="77"/>
      <c r="AQ1037" s="77"/>
      <c r="AR1037" s="77"/>
      <c r="AS1037" s="77"/>
      <c r="AT1037" s="77"/>
      <c r="AU1037" s="77"/>
      <c r="AV1037" s="80" t="str">
        <f>HYPERLINK("https://pbs.twimg.com/profile_images/1041725334431952896/uaPtkYSp_normal.jpg")</f>
        <v>https://pbs.twimg.com/profile_images/1041725334431952896/uaPtkYSp_normal.jpg</v>
      </c>
      <c r="AW1037" s="82" t="s">
        <v>14132</v>
      </c>
      <c r="AX1037" s="82" t="s">
        <v>14132</v>
      </c>
      <c r="AY1037" s="77"/>
      <c r="AZ1037" s="82" t="s">
        <v>17385</v>
      </c>
      <c r="BA1037" s="82" t="s">
        <v>17385</v>
      </c>
      <c r="BB1037" s="82" t="s">
        <v>17385</v>
      </c>
      <c r="BC1037" s="82" t="s">
        <v>14132</v>
      </c>
      <c r="BD1037" s="82" t="s">
        <v>17550</v>
      </c>
      <c r="BE1037" s="77"/>
      <c r="BF1037" s="77"/>
      <c r="BG1037" s="77"/>
      <c r="BH1037" s="77"/>
      <c r="BI1037" s="77"/>
    </row>
    <row r="1038" spans="1:61" x14ac:dyDescent="0.25">
      <c r="A1038" s="62" t="s">
        <v>425</v>
      </c>
      <c r="B1038" s="62" t="s">
        <v>425</v>
      </c>
      <c r="C1038" s="63"/>
      <c r="D1038" s="64"/>
      <c r="E1038" s="65"/>
      <c r="F1038" s="66"/>
      <c r="G1038" s="63"/>
      <c r="H1038" s="67"/>
      <c r="I1038" s="68"/>
      <c r="J1038" s="68"/>
      <c r="K1038" s="32"/>
      <c r="L1038" s="75">
        <v>1038</v>
      </c>
      <c r="M1038" s="75"/>
      <c r="N1038" s="70"/>
      <c r="O1038" s="77" t="s">
        <v>179</v>
      </c>
      <c r="P1038" s="79">
        <v>45072.467187499999</v>
      </c>
      <c r="Q1038" s="77" t="s">
        <v>1829</v>
      </c>
      <c r="R1038" s="77">
        <v>0</v>
      </c>
      <c r="S1038" s="77">
        <v>2</v>
      </c>
      <c r="T1038" s="77">
        <v>0</v>
      </c>
      <c r="U1038" s="77">
        <v>0</v>
      </c>
      <c r="V1038" s="77">
        <v>667</v>
      </c>
      <c r="W1038" s="82" t="s">
        <v>5474</v>
      </c>
      <c r="X1038" s="80" t="str">
        <f>HYPERLINK("https://www.seudinheiro.com/2023/colunistas/day-trade-na-b3-como-lucrar-com-acoes-da-positivo-posi3-26-05-miql/")</f>
        <v>https://www.seudinheiro.com/2023/colunistas/day-trade-na-b3-como-lucrar-com-acoes-da-positivo-posi3-26-05-miql/</v>
      </c>
      <c r="Y1038" s="77" t="s">
        <v>7102</v>
      </c>
      <c r="Z1038" s="77"/>
      <c r="AA1038" s="77"/>
      <c r="AB1038" s="77"/>
      <c r="AC1038" s="82" t="s">
        <v>8255</v>
      </c>
      <c r="AD1038" s="77" t="s">
        <v>8278</v>
      </c>
      <c r="AE1038" s="80" t="str">
        <f>HYPERLINK("https://twitter.com/seu_dinheiro_br/status/1662054159355461633")</f>
        <v>https://twitter.com/seu_dinheiro_br/status/1662054159355461633</v>
      </c>
      <c r="AF1038" s="79">
        <v>45072.467187499999</v>
      </c>
      <c r="AG1038" s="85">
        <v>45072</v>
      </c>
      <c r="AH1038" s="82" t="s">
        <v>9193</v>
      </c>
      <c r="AI1038" s="77" t="b">
        <v>0</v>
      </c>
      <c r="AJ1038" s="77"/>
      <c r="AK1038" s="77"/>
      <c r="AL1038" s="77"/>
      <c r="AM1038" s="77"/>
      <c r="AN1038" s="77"/>
      <c r="AO1038" s="77"/>
      <c r="AP1038" s="77"/>
      <c r="AQ1038" s="77"/>
      <c r="AR1038" s="77"/>
      <c r="AS1038" s="77"/>
      <c r="AT1038" s="77"/>
      <c r="AU1038" s="77"/>
      <c r="AV1038" s="80" t="str">
        <f>HYPERLINK("https://pbs.twimg.com/profile_images/1041725334431952896/uaPtkYSp_normal.jpg")</f>
        <v>https://pbs.twimg.com/profile_images/1041725334431952896/uaPtkYSp_normal.jpg</v>
      </c>
      <c r="AW1038" s="82" t="s">
        <v>14133</v>
      </c>
      <c r="AX1038" s="82" t="s">
        <v>14133</v>
      </c>
      <c r="AY1038" s="77"/>
      <c r="AZ1038" s="82" t="s">
        <v>17385</v>
      </c>
      <c r="BA1038" s="82" t="s">
        <v>17385</v>
      </c>
      <c r="BB1038" s="82" t="s">
        <v>17385</v>
      </c>
      <c r="BC1038" s="82" t="s">
        <v>14133</v>
      </c>
      <c r="BD1038" s="82" t="s">
        <v>17550</v>
      </c>
      <c r="BE1038" s="77"/>
      <c r="BF1038" s="77"/>
      <c r="BG1038" s="77"/>
      <c r="BH1038" s="77"/>
      <c r="BI1038" s="77"/>
    </row>
    <row r="1039" spans="1:61" x14ac:dyDescent="0.25">
      <c r="A1039" s="62" t="s">
        <v>425</v>
      </c>
      <c r="B1039" s="62" t="s">
        <v>425</v>
      </c>
      <c r="C1039" s="63"/>
      <c r="D1039" s="64"/>
      <c r="E1039" s="65"/>
      <c r="F1039" s="66"/>
      <c r="G1039" s="63"/>
      <c r="H1039" s="67"/>
      <c r="I1039" s="68"/>
      <c r="J1039" s="68"/>
      <c r="K1039" s="32"/>
      <c r="L1039" s="75">
        <v>1039</v>
      </c>
      <c r="M1039" s="75"/>
      <c r="N1039" s="70"/>
      <c r="O1039" s="77" t="s">
        <v>179</v>
      </c>
      <c r="P1039" s="79">
        <v>45072.408425925925</v>
      </c>
      <c r="Q1039" s="77" t="s">
        <v>1830</v>
      </c>
      <c r="R1039" s="77">
        <v>0</v>
      </c>
      <c r="S1039" s="77">
        <v>1</v>
      </c>
      <c r="T1039" s="77">
        <v>0</v>
      </c>
      <c r="U1039" s="77">
        <v>1</v>
      </c>
      <c r="V1039" s="77">
        <v>490</v>
      </c>
      <c r="W1039" s="82" t="s">
        <v>5510</v>
      </c>
      <c r="X1039" s="80" t="str">
        <f>HYPERLINK("https://www.seudinheiro.com/2023/empresas/vale-vale3-perde-mais-25-valor-mercado-no-ano-deixa-lista-maiores-pagadoras-dividendos-o-que-esperar-acoes-acnn/")</f>
        <v>https://www.seudinheiro.com/2023/empresas/vale-vale3-perde-mais-25-valor-mercado-no-ano-deixa-lista-maiores-pagadoras-dividendos-o-que-esperar-acoes-acnn/</v>
      </c>
      <c r="Y1039" s="77" t="s">
        <v>7102</v>
      </c>
      <c r="Z1039" s="77"/>
      <c r="AA1039" s="77"/>
      <c r="AB1039" s="77"/>
      <c r="AC1039" s="82" t="s">
        <v>8255</v>
      </c>
      <c r="AD1039" s="77" t="s">
        <v>8278</v>
      </c>
      <c r="AE1039" s="80" t="str">
        <f>HYPERLINK("https://twitter.com/seu_dinheiro_br/status/1662032863473160192")</f>
        <v>https://twitter.com/seu_dinheiro_br/status/1662032863473160192</v>
      </c>
      <c r="AF1039" s="79">
        <v>45072.408425925925</v>
      </c>
      <c r="AG1039" s="85">
        <v>45072</v>
      </c>
      <c r="AH1039" s="82" t="s">
        <v>9194</v>
      </c>
      <c r="AI1039" s="77" t="b">
        <v>0</v>
      </c>
      <c r="AJ1039" s="77"/>
      <c r="AK1039" s="77"/>
      <c r="AL1039" s="77"/>
      <c r="AM1039" s="77"/>
      <c r="AN1039" s="77"/>
      <c r="AO1039" s="77"/>
      <c r="AP1039" s="77"/>
      <c r="AQ1039" s="77"/>
      <c r="AR1039" s="77"/>
      <c r="AS1039" s="77"/>
      <c r="AT1039" s="77"/>
      <c r="AU1039" s="77"/>
      <c r="AV1039" s="80" t="str">
        <f>HYPERLINK("https://pbs.twimg.com/profile_images/1041725334431952896/uaPtkYSp_normal.jpg")</f>
        <v>https://pbs.twimg.com/profile_images/1041725334431952896/uaPtkYSp_normal.jpg</v>
      </c>
      <c r="AW1039" s="82" t="s">
        <v>14134</v>
      </c>
      <c r="AX1039" s="82" t="s">
        <v>14134</v>
      </c>
      <c r="AY1039" s="77"/>
      <c r="AZ1039" s="82" t="s">
        <v>17385</v>
      </c>
      <c r="BA1039" s="82" t="s">
        <v>17385</v>
      </c>
      <c r="BB1039" s="82" t="s">
        <v>17385</v>
      </c>
      <c r="BC1039" s="82" t="s">
        <v>14134</v>
      </c>
      <c r="BD1039" s="82" t="s">
        <v>17550</v>
      </c>
      <c r="BE1039" s="77"/>
      <c r="BF1039" s="77"/>
      <c r="BG1039" s="77"/>
      <c r="BH1039" s="77"/>
      <c r="BI1039" s="77"/>
    </row>
    <row r="1040" spans="1:61" x14ac:dyDescent="0.25">
      <c r="A1040" s="62" t="s">
        <v>425</v>
      </c>
      <c r="B1040" s="62" t="s">
        <v>425</v>
      </c>
      <c r="C1040" s="63"/>
      <c r="D1040" s="64"/>
      <c r="E1040" s="65"/>
      <c r="F1040" s="66"/>
      <c r="G1040" s="63"/>
      <c r="H1040" s="67"/>
      <c r="I1040" s="68"/>
      <c r="J1040" s="68"/>
      <c r="K1040" s="32"/>
      <c r="L1040" s="75">
        <v>1040</v>
      </c>
      <c r="M1040" s="75"/>
      <c r="N1040" s="70"/>
      <c r="O1040" s="77" t="s">
        <v>179</v>
      </c>
      <c r="P1040" s="79">
        <v>45072.383414351854</v>
      </c>
      <c r="Q1040" s="77" t="s">
        <v>1831</v>
      </c>
      <c r="R1040" s="77">
        <v>0</v>
      </c>
      <c r="S1040" s="77">
        <v>2</v>
      </c>
      <c r="T1040" s="77">
        <v>0</v>
      </c>
      <c r="U1040" s="77">
        <v>0</v>
      </c>
      <c r="V1040" s="77">
        <v>408</v>
      </c>
      <c r="W1040" s="82" t="s">
        <v>5511</v>
      </c>
      <c r="X1040" s="80" t="str">
        <f>HYPERLINK("https://www.seudinheiro.com/2023/colunistas/bolsa-fuja-fortes-emocoes-cvc-cvcb3-tedio-vvka/")</f>
        <v>https://www.seudinheiro.com/2023/colunistas/bolsa-fuja-fortes-emocoes-cvc-cvcb3-tedio-vvka/</v>
      </c>
      <c r="Y1040" s="77" t="s">
        <v>7102</v>
      </c>
      <c r="Z1040" s="77"/>
      <c r="AA1040" s="77"/>
      <c r="AB1040" s="77"/>
      <c r="AC1040" s="82" t="s">
        <v>8255</v>
      </c>
      <c r="AD1040" s="77" t="s">
        <v>8278</v>
      </c>
      <c r="AE1040" s="80" t="str">
        <f>HYPERLINK("https://twitter.com/seu_dinheiro_br/status/1662023798701400064")</f>
        <v>https://twitter.com/seu_dinheiro_br/status/1662023798701400064</v>
      </c>
      <c r="AF1040" s="79">
        <v>45072.383414351854</v>
      </c>
      <c r="AG1040" s="85">
        <v>45072</v>
      </c>
      <c r="AH1040" s="82" t="s">
        <v>9195</v>
      </c>
      <c r="AI1040" s="77" t="b">
        <v>0</v>
      </c>
      <c r="AJ1040" s="77"/>
      <c r="AK1040" s="77"/>
      <c r="AL1040" s="77"/>
      <c r="AM1040" s="77"/>
      <c r="AN1040" s="77"/>
      <c r="AO1040" s="77"/>
      <c r="AP1040" s="77"/>
      <c r="AQ1040" s="77"/>
      <c r="AR1040" s="77"/>
      <c r="AS1040" s="77"/>
      <c r="AT1040" s="77"/>
      <c r="AU1040" s="77"/>
      <c r="AV1040" s="80" t="str">
        <f>HYPERLINK("https://pbs.twimg.com/profile_images/1041725334431952896/uaPtkYSp_normal.jpg")</f>
        <v>https://pbs.twimg.com/profile_images/1041725334431952896/uaPtkYSp_normal.jpg</v>
      </c>
      <c r="AW1040" s="82" t="s">
        <v>14135</v>
      </c>
      <c r="AX1040" s="82" t="s">
        <v>14135</v>
      </c>
      <c r="AY1040" s="77"/>
      <c r="AZ1040" s="82" t="s">
        <v>17385</v>
      </c>
      <c r="BA1040" s="82" t="s">
        <v>17385</v>
      </c>
      <c r="BB1040" s="82" t="s">
        <v>17385</v>
      </c>
      <c r="BC1040" s="82" t="s">
        <v>14135</v>
      </c>
      <c r="BD1040" s="82" t="s">
        <v>17550</v>
      </c>
      <c r="BE1040" s="77"/>
      <c r="BF1040" s="77"/>
      <c r="BG1040" s="77"/>
      <c r="BH1040" s="77"/>
      <c r="BI1040" s="77"/>
    </row>
    <row r="1041" spans="1:61" x14ac:dyDescent="0.25">
      <c r="A1041" s="62" t="s">
        <v>425</v>
      </c>
      <c r="B1041" s="62" t="s">
        <v>425</v>
      </c>
      <c r="C1041" s="63"/>
      <c r="D1041" s="64"/>
      <c r="E1041" s="65"/>
      <c r="F1041" s="66"/>
      <c r="G1041" s="63"/>
      <c r="H1041" s="67"/>
      <c r="I1041" s="68"/>
      <c r="J1041" s="68"/>
      <c r="K1041" s="32"/>
      <c r="L1041" s="75">
        <v>1041</v>
      </c>
      <c r="M1041" s="75"/>
      <c r="N1041" s="70"/>
      <c r="O1041" s="77" t="s">
        <v>179</v>
      </c>
      <c r="P1041" s="79">
        <v>45071.942199074074</v>
      </c>
      <c r="Q1041" s="77" t="s">
        <v>1832</v>
      </c>
      <c r="R1041" s="77">
        <v>0</v>
      </c>
      <c r="S1041" s="77">
        <v>0</v>
      </c>
      <c r="T1041" s="77">
        <v>0</v>
      </c>
      <c r="U1041" s="77">
        <v>0</v>
      </c>
      <c r="V1041" s="77">
        <v>291</v>
      </c>
      <c r="W1041" s="82" t="s">
        <v>5512</v>
      </c>
      <c r="X1041" s="80" t="str">
        <f>HYPERLINK("https://www.seudinheiro.com/2023/empresas/cvc-cvcb3-elege-ex-diretor-financeiro-da-even-para-cargo-de-cfo-lvit/")</f>
        <v>https://www.seudinheiro.com/2023/empresas/cvc-cvcb3-elege-ex-diretor-financeiro-da-even-para-cargo-de-cfo-lvit/</v>
      </c>
      <c r="Y1041" s="77" t="s">
        <v>7102</v>
      </c>
      <c r="Z1041" s="77"/>
      <c r="AA1041" s="77"/>
      <c r="AB1041" s="77"/>
      <c r="AC1041" s="82" t="s">
        <v>8255</v>
      </c>
      <c r="AD1041" s="77" t="s">
        <v>8278</v>
      </c>
      <c r="AE1041" s="80" t="str">
        <f>HYPERLINK("https://twitter.com/seu_dinheiro_br/status/1661863909165342720")</f>
        <v>https://twitter.com/seu_dinheiro_br/status/1661863909165342720</v>
      </c>
      <c r="AF1041" s="79">
        <v>45071.942199074074</v>
      </c>
      <c r="AG1041" s="85">
        <v>45071</v>
      </c>
      <c r="AH1041" s="82" t="s">
        <v>9196</v>
      </c>
      <c r="AI1041" s="77" t="b">
        <v>0</v>
      </c>
      <c r="AJ1041" s="77"/>
      <c r="AK1041" s="77"/>
      <c r="AL1041" s="77"/>
      <c r="AM1041" s="77"/>
      <c r="AN1041" s="77"/>
      <c r="AO1041" s="77"/>
      <c r="AP1041" s="77"/>
      <c r="AQ1041" s="77"/>
      <c r="AR1041" s="77"/>
      <c r="AS1041" s="77"/>
      <c r="AT1041" s="77"/>
      <c r="AU1041" s="77"/>
      <c r="AV1041" s="80" t="str">
        <f>HYPERLINK("https://pbs.twimg.com/profile_images/1041725334431952896/uaPtkYSp_normal.jpg")</f>
        <v>https://pbs.twimg.com/profile_images/1041725334431952896/uaPtkYSp_normal.jpg</v>
      </c>
      <c r="AW1041" s="82" t="s">
        <v>14136</v>
      </c>
      <c r="AX1041" s="82" t="s">
        <v>14136</v>
      </c>
      <c r="AY1041" s="77"/>
      <c r="AZ1041" s="82" t="s">
        <v>17385</v>
      </c>
      <c r="BA1041" s="82" t="s">
        <v>17385</v>
      </c>
      <c r="BB1041" s="82" t="s">
        <v>17385</v>
      </c>
      <c r="BC1041" s="82" t="s">
        <v>14136</v>
      </c>
      <c r="BD1041" s="82" t="s">
        <v>17550</v>
      </c>
      <c r="BE1041" s="77"/>
      <c r="BF1041" s="77"/>
      <c r="BG1041" s="77"/>
      <c r="BH1041" s="77"/>
      <c r="BI1041" s="77"/>
    </row>
    <row r="1042" spans="1:61" x14ac:dyDescent="0.25">
      <c r="A1042" s="62" t="s">
        <v>425</v>
      </c>
      <c r="B1042" s="62" t="s">
        <v>425</v>
      </c>
      <c r="C1042" s="63"/>
      <c r="D1042" s="64"/>
      <c r="E1042" s="65"/>
      <c r="F1042" s="66"/>
      <c r="G1042" s="63"/>
      <c r="H1042" s="67"/>
      <c r="I1042" s="68"/>
      <c r="J1042" s="68"/>
      <c r="K1042" s="32"/>
      <c r="L1042" s="75">
        <v>1042</v>
      </c>
      <c r="M1042" s="75"/>
      <c r="N1042" s="70"/>
      <c r="O1042" s="77" t="s">
        <v>179</v>
      </c>
      <c r="P1042" s="79">
        <v>45071.525891203702</v>
      </c>
      <c r="Q1042" s="77" t="s">
        <v>1833</v>
      </c>
      <c r="R1042" s="77">
        <v>0</v>
      </c>
      <c r="S1042" s="77">
        <v>2</v>
      </c>
      <c r="T1042" s="77">
        <v>0</v>
      </c>
      <c r="U1042" s="77">
        <v>0</v>
      </c>
      <c r="V1042" s="77">
        <v>276</v>
      </c>
      <c r="W1042" s="82" t="s">
        <v>5507</v>
      </c>
      <c r="X1042" s="80" t="str">
        <f>HYPERLINK("https://www.seudinheiro.com/2023/empresas/3r-petroleum-rrrp3-levanta-836-milhoes-aumento-capital-vinp-acnn/")</f>
        <v>https://www.seudinheiro.com/2023/empresas/3r-petroleum-rrrp3-levanta-836-milhoes-aumento-capital-vinp-acnn/</v>
      </c>
      <c r="Y1042" s="77" t="s">
        <v>7102</v>
      </c>
      <c r="Z1042" s="77"/>
      <c r="AA1042" s="77"/>
      <c r="AB1042" s="77"/>
      <c r="AC1042" s="82" t="s">
        <v>8255</v>
      </c>
      <c r="AD1042" s="77" t="s">
        <v>8278</v>
      </c>
      <c r="AE1042" s="80" t="str">
        <f>HYPERLINK("https://twitter.com/seu_dinheiro_br/status/1661713045272264705")</f>
        <v>https://twitter.com/seu_dinheiro_br/status/1661713045272264705</v>
      </c>
      <c r="AF1042" s="79">
        <v>45071.525891203702</v>
      </c>
      <c r="AG1042" s="85">
        <v>45071</v>
      </c>
      <c r="AH1042" s="82" t="s">
        <v>9197</v>
      </c>
      <c r="AI1042" s="77" t="b">
        <v>0</v>
      </c>
      <c r="AJ1042" s="77"/>
      <c r="AK1042" s="77"/>
      <c r="AL1042" s="77"/>
      <c r="AM1042" s="77"/>
      <c r="AN1042" s="77"/>
      <c r="AO1042" s="77"/>
      <c r="AP1042" s="77"/>
      <c r="AQ1042" s="77"/>
      <c r="AR1042" s="77"/>
      <c r="AS1042" s="77"/>
      <c r="AT1042" s="77"/>
      <c r="AU1042" s="77"/>
      <c r="AV1042" s="80" t="str">
        <f>HYPERLINK("https://pbs.twimg.com/profile_images/1041725334431952896/uaPtkYSp_normal.jpg")</f>
        <v>https://pbs.twimg.com/profile_images/1041725334431952896/uaPtkYSp_normal.jpg</v>
      </c>
      <c r="AW1042" s="82" t="s">
        <v>14137</v>
      </c>
      <c r="AX1042" s="82" t="s">
        <v>14137</v>
      </c>
      <c r="AY1042" s="77"/>
      <c r="AZ1042" s="82" t="s">
        <v>17385</v>
      </c>
      <c r="BA1042" s="82" t="s">
        <v>17385</v>
      </c>
      <c r="BB1042" s="82" t="s">
        <v>17385</v>
      </c>
      <c r="BC1042" s="82" t="s">
        <v>14137</v>
      </c>
      <c r="BD1042" s="82" t="s">
        <v>17550</v>
      </c>
      <c r="BE1042" s="77"/>
      <c r="BF1042" s="77"/>
      <c r="BG1042" s="77"/>
      <c r="BH1042" s="77"/>
      <c r="BI1042" s="77"/>
    </row>
    <row r="1043" spans="1:61" x14ac:dyDescent="0.25">
      <c r="A1043" s="62" t="s">
        <v>425</v>
      </c>
      <c r="B1043" s="62" t="s">
        <v>425</v>
      </c>
      <c r="C1043" s="63"/>
      <c r="D1043" s="64"/>
      <c r="E1043" s="65"/>
      <c r="F1043" s="66"/>
      <c r="G1043" s="63"/>
      <c r="H1043" s="67"/>
      <c r="I1043" s="68"/>
      <c r="J1043" s="68"/>
      <c r="K1043" s="32"/>
      <c r="L1043" s="75">
        <v>1043</v>
      </c>
      <c r="M1043" s="75"/>
      <c r="N1043" s="70"/>
      <c r="O1043" s="77" t="s">
        <v>179</v>
      </c>
      <c r="P1043" s="79">
        <v>45071.511828703704</v>
      </c>
      <c r="Q1043" s="77" t="s">
        <v>1834</v>
      </c>
      <c r="R1043" s="77">
        <v>0</v>
      </c>
      <c r="S1043" s="77">
        <v>3</v>
      </c>
      <c r="T1043" s="77">
        <v>0</v>
      </c>
      <c r="U1043" s="77">
        <v>0</v>
      </c>
      <c r="V1043" s="77">
        <v>240</v>
      </c>
      <c r="W1043" s="82" t="s">
        <v>5486</v>
      </c>
      <c r="X1043" s="80" t="str">
        <f>HYPERLINK("https://www.seudinheiro.com/2023/bolsa-dolar/smart-fit-smft3-maior-acionista-vai-reduzir-participacao-em-uma-oferta-de-acoes-na-b3-vinp/")</f>
        <v>https://www.seudinheiro.com/2023/bolsa-dolar/smart-fit-smft3-maior-acionista-vai-reduzir-participacao-em-uma-oferta-de-acoes-na-b3-vinp/</v>
      </c>
      <c r="Y1043" s="77" t="s">
        <v>7102</v>
      </c>
      <c r="Z1043" s="77"/>
      <c r="AA1043" s="77"/>
      <c r="AB1043" s="77"/>
      <c r="AC1043" s="82" t="s">
        <v>8255</v>
      </c>
      <c r="AD1043" s="77" t="s">
        <v>8278</v>
      </c>
      <c r="AE1043" s="80" t="str">
        <f>HYPERLINK("https://twitter.com/seu_dinheiro_br/status/1661707948794556416")</f>
        <v>https://twitter.com/seu_dinheiro_br/status/1661707948794556416</v>
      </c>
      <c r="AF1043" s="79">
        <v>45071.511828703704</v>
      </c>
      <c r="AG1043" s="85">
        <v>45071</v>
      </c>
      <c r="AH1043" s="82" t="s">
        <v>9198</v>
      </c>
      <c r="AI1043" s="77" t="b">
        <v>0</v>
      </c>
      <c r="AJ1043" s="77"/>
      <c r="AK1043" s="77"/>
      <c r="AL1043" s="77"/>
      <c r="AM1043" s="77"/>
      <c r="AN1043" s="77"/>
      <c r="AO1043" s="77"/>
      <c r="AP1043" s="77"/>
      <c r="AQ1043" s="77"/>
      <c r="AR1043" s="77"/>
      <c r="AS1043" s="77"/>
      <c r="AT1043" s="77"/>
      <c r="AU1043" s="77"/>
      <c r="AV1043" s="80" t="str">
        <f>HYPERLINK("https://pbs.twimg.com/profile_images/1041725334431952896/uaPtkYSp_normal.jpg")</f>
        <v>https://pbs.twimg.com/profile_images/1041725334431952896/uaPtkYSp_normal.jpg</v>
      </c>
      <c r="AW1043" s="82" t="s">
        <v>14138</v>
      </c>
      <c r="AX1043" s="82" t="s">
        <v>14138</v>
      </c>
      <c r="AY1043" s="77"/>
      <c r="AZ1043" s="82" t="s">
        <v>17385</v>
      </c>
      <c r="BA1043" s="82" t="s">
        <v>17385</v>
      </c>
      <c r="BB1043" s="82" t="s">
        <v>17385</v>
      </c>
      <c r="BC1043" s="82" t="s">
        <v>14138</v>
      </c>
      <c r="BD1043" s="82" t="s">
        <v>17550</v>
      </c>
      <c r="BE1043" s="77"/>
      <c r="BF1043" s="77"/>
      <c r="BG1043" s="77"/>
      <c r="BH1043" s="77"/>
      <c r="BI1043" s="77"/>
    </row>
    <row r="1044" spans="1:61" x14ac:dyDescent="0.25">
      <c r="A1044" s="62" t="s">
        <v>425</v>
      </c>
      <c r="B1044" s="62" t="s">
        <v>425</v>
      </c>
      <c r="C1044" s="63"/>
      <c r="D1044" s="64"/>
      <c r="E1044" s="65"/>
      <c r="F1044" s="66"/>
      <c r="G1044" s="63"/>
      <c r="H1044" s="67"/>
      <c r="I1044" s="68"/>
      <c r="J1044" s="68"/>
      <c r="K1044" s="32"/>
      <c r="L1044" s="75">
        <v>1044</v>
      </c>
      <c r="M1044" s="75"/>
      <c r="N1044" s="70"/>
      <c r="O1044" s="77" t="s">
        <v>179</v>
      </c>
      <c r="P1044" s="79">
        <v>45071.467881944445</v>
      </c>
      <c r="Q1044" s="77" t="s">
        <v>1835</v>
      </c>
      <c r="R1044" s="77">
        <v>1</v>
      </c>
      <c r="S1044" s="77">
        <v>3</v>
      </c>
      <c r="T1044" s="77">
        <v>0</v>
      </c>
      <c r="U1044" s="77">
        <v>0</v>
      </c>
      <c r="V1044" s="77">
        <v>322</v>
      </c>
      <c r="W1044" s="82" t="s">
        <v>5474</v>
      </c>
      <c r="X1044" s="80" t="str">
        <f>HYPERLINK("https://www.seudinheiro.com/2023/colunistas/day-trade-na-b3-como-lucrar-com-acoes-da-jhsf-jhsf3-25-05-miql/")</f>
        <v>https://www.seudinheiro.com/2023/colunistas/day-trade-na-b3-como-lucrar-com-acoes-da-jhsf-jhsf3-25-05-miql/</v>
      </c>
      <c r="Y1044" s="77" t="s">
        <v>7102</v>
      </c>
      <c r="Z1044" s="77"/>
      <c r="AA1044" s="77"/>
      <c r="AB1044" s="77"/>
      <c r="AC1044" s="82" t="s">
        <v>8255</v>
      </c>
      <c r="AD1044" s="77" t="s">
        <v>8278</v>
      </c>
      <c r="AE1044" s="80" t="str">
        <f>HYPERLINK("https://twitter.com/seu_dinheiro_br/status/1661692023533862915")</f>
        <v>https://twitter.com/seu_dinheiro_br/status/1661692023533862915</v>
      </c>
      <c r="AF1044" s="79">
        <v>45071.467881944445</v>
      </c>
      <c r="AG1044" s="85">
        <v>45071</v>
      </c>
      <c r="AH1044" s="82" t="s">
        <v>9199</v>
      </c>
      <c r="AI1044" s="77" t="b">
        <v>0</v>
      </c>
      <c r="AJ1044" s="77"/>
      <c r="AK1044" s="77"/>
      <c r="AL1044" s="77"/>
      <c r="AM1044" s="77"/>
      <c r="AN1044" s="77"/>
      <c r="AO1044" s="77"/>
      <c r="AP1044" s="77"/>
      <c r="AQ1044" s="77"/>
      <c r="AR1044" s="77"/>
      <c r="AS1044" s="77"/>
      <c r="AT1044" s="77"/>
      <c r="AU1044" s="77"/>
      <c r="AV1044" s="80" t="str">
        <f>HYPERLINK("https://pbs.twimg.com/profile_images/1041725334431952896/uaPtkYSp_normal.jpg")</f>
        <v>https://pbs.twimg.com/profile_images/1041725334431952896/uaPtkYSp_normal.jpg</v>
      </c>
      <c r="AW1044" s="82" t="s">
        <v>14139</v>
      </c>
      <c r="AX1044" s="82" t="s">
        <v>14139</v>
      </c>
      <c r="AY1044" s="77"/>
      <c r="AZ1044" s="82" t="s">
        <v>17385</v>
      </c>
      <c r="BA1044" s="82" t="s">
        <v>17385</v>
      </c>
      <c r="BB1044" s="82" t="s">
        <v>17385</v>
      </c>
      <c r="BC1044" s="82" t="s">
        <v>14139</v>
      </c>
      <c r="BD1044" s="82" t="s">
        <v>17550</v>
      </c>
      <c r="BE1044" s="77"/>
      <c r="BF1044" s="77"/>
      <c r="BG1044" s="77"/>
      <c r="BH1044" s="77"/>
      <c r="BI1044" s="77"/>
    </row>
    <row r="1045" spans="1:61" x14ac:dyDescent="0.25">
      <c r="A1045" s="62" t="s">
        <v>425</v>
      </c>
      <c r="B1045" s="62" t="s">
        <v>425</v>
      </c>
      <c r="C1045" s="63"/>
      <c r="D1045" s="64"/>
      <c r="E1045" s="65"/>
      <c r="F1045" s="66"/>
      <c r="G1045" s="63"/>
      <c r="H1045" s="67"/>
      <c r="I1045" s="68"/>
      <c r="J1045" s="68"/>
      <c r="K1045" s="32"/>
      <c r="L1045" s="75">
        <v>1045</v>
      </c>
      <c r="M1045" s="75"/>
      <c r="N1045" s="70"/>
      <c r="O1045" s="77" t="s">
        <v>179</v>
      </c>
      <c r="P1045" s="79">
        <v>45071.395046296297</v>
      </c>
      <c r="Q1045" s="77" t="s">
        <v>1836</v>
      </c>
      <c r="R1045" s="77">
        <v>0</v>
      </c>
      <c r="S1045" s="77">
        <v>3</v>
      </c>
      <c r="T1045" s="77">
        <v>1</v>
      </c>
      <c r="U1045" s="77">
        <v>0</v>
      </c>
      <c r="V1045" s="77">
        <v>360</v>
      </c>
      <c r="W1045" s="82" t="s">
        <v>5513</v>
      </c>
      <c r="X1045" s="80" t="str">
        <f>HYPERLINK("https://assets.seudinheiro.com/2023/colunistas/as-acoes-que-podem-sair-do-marasmo-no-embalo-do-chatgpt-e-da-inteligencia-artificial/")</f>
        <v>https://assets.seudinheiro.com/2023/colunistas/as-acoes-que-podem-sair-do-marasmo-no-embalo-do-chatgpt-e-da-inteligencia-artificial/</v>
      </c>
      <c r="Y1045" s="77" t="s">
        <v>7102</v>
      </c>
      <c r="Z1045" s="77"/>
      <c r="AA1045" s="77"/>
      <c r="AB1045" s="77"/>
      <c r="AC1045" s="82" t="s">
        <v>8255</v>
      </c>
      <c r="AD1045" s="77" t="s">
        <v>8278</v>
      </c>
      <c r="AE1045" s="80" t="str">
        <f>HYPERLINK("https://twitter.com/seu_dinheiro_br/status/1661665627096985601")</f>
        <v>https://twitter.com/seu_dinheiro_br/status/1661665627096985601</v>
      </c>
      <c r="AF1045" s="79">
        <v>45071.395046296297</v>
      </c>
      <c r="AG1045" s="85">
        <v>45071</v>
      </c>
      <c r="AH1045" s="82" t="s">
        <v>9200</v>
      </c>
      <c r="AI1045" s="77" t="b">
        <v>0</v>
      </c>
      <c r="AJ1045" s="77"/>
      <c r="AK1045" s="77"/>
      <c r="AL1045" s="77"/>
      <c r="AM1045" s="77"/>
      <c r="AN1045" s="77"/>
      <c r="AO1045" s="77"/>
      <c r="AP1045" s="77"/>
      <c r="AQ1045" s="77"/>
      <c r="AR1045" s="77"/>
      <c r="AS1045" s="77"/>
      <c r="AT1045" s="77"/>
      <c r="AU1045" s="77"/>
      <c r="AV1045" s="80" t="str">
        <f>HYPERLINK("https://pbs.twimg.com/profile_images/1041725334431952896/uaPtkYSp_normal.jpg")</f>
        <v>https://pbs.twimg.com/profile_images/1041725334431952896/uaPtkYSp_normal.jpg</v>
      </c>
      <c r="AW1045" s="82" t="s">
        <v>14140</v>
      </c>
      <c r="AX1045" s="82" t="s">
        <v>14140</v>
      </c>
      <c r="AY1045" s="77"/>
      <c r="AZ1045" s="82" t="s">
        <v>17385</v>
      </c>
      <c r="BA1045" s="82" t="s">
        <v>17385</v>
      </c>
      <c r="BB1045" s="82" t="s">
        <v>17385</v>
      </c>
      <c r="BC1045" s="82" t="s">
        <v>14140</v>
      </c>
      <c r="BD1045" s="82" t="s">
        <v>17550</v>
      </c>
      <c r="BE1045" s="77"/>
      <c r="BF1045" s="77"/>
      <c r="BG1045" s="77"/>
      <c r="BH1045" s="77"/>
      <c r="BI1045" s="77"/>
    </row>
    <row r="1046" spans="1:61" x14ac:dyDescent="0.25">
      <c r="A1046" s="62" t="s">
        <v>425</v>
      </c>
      <c r="B1046" s="62" t="s">
        <v>425</v>
      </c>
      <c r="C1046" s="63"/>
      <c r="D1046" s="64"/>
      <c r="E1046" s="65"/>
      <c r="F1046" s="66"/>
      <c r="G1046" s="63"/>
      <c r="H1046" s="67"/>
      <c r="I1046" s="68"/>
      <c r="J1046" s="68"/>
      <c r="K1046" s="32"/>
      <c r="L1046" s="75">
        <v>1046</v>
      </c>
      <c r="M1046" s="75"/>
      <c r="N1046" s="70"/>
      <c r="O1046" s="77" t="s">
        <v>179</v>
      </c>
      <c r="P1046" s="79">
        <v>45070.948946759258</v>
      </c>
      <c r="Q1046" s="77" t="s">
        <v>1837</v>
      </c>
      <c r="R1046" s="77">
        <v>0</v>
      </c>
      <c r="S1046" s="77">
        <v>0</v>
      </c>
      <c r="T1046" s="77">
        <v>0</v>
      </c>
      <c r="U1046" s="77">
        <v>0</v>
      </c>
      <c r="V1046" s="77">
        <v>378</v>
      </c>
      <c r="W1046" s="82" t="s">
        <v>5514</v>
      </c>
      <c r="X1046" s="80" t="str">
        <f>HYPERLINK("https://www.seudinheiro.com/2023/empresas/em-meio-a-processo-de-reestruturacao-de-dividas-cvc-cvcb3-perde-mais-um-executivo-dessa-vez-o-ceo-jsmn/")</f>
        <v>https://www.seudinheiro.com/2023/empresas/em-meio-a-processo-de-reestruturacao-de-dividas-cvc-cvcb3-perde-mais-um-executivo-dessa-vez-o-ceo-jsmn/</v>
      </c>
      <c r="Y1046" s="77" t="s">
        <v>7102</v>
      </c>
      <c r="Z1046" s="77"/>
      <c r="AA1046" s="77"/>
      <c r="AB1046" s="77"/>
      <c r="AC1046" s="82" t="s">
        <v>8255</v>
      </c>
      <c r="AD1046" s="77" t="s">
        <v>8278</v>
      </c>
      <c r="AE1046" s="80" t="str">
        <f>HYPERLINK("https://twitter.com/seu_dinheiro_br/status/1661503965995868160")</f>
        <v>https://twitter.com/seu_dinheiro_br/status/1661503965995868160</v>
      </c>
      <c r="AF1046" s="79">
        <v>45070.948946759258</v>
      </c>
      <c r="AG1046" s="85">
        <v>45070</v>
      </c>
      <c r="AH1046" s="82" t="s">
        <v>9201</v>
      </c>
      <c r="AI1046" s="77" t="b">
        <v>0</v>
      </c>
      <c r="AJ1046" s="77"/>
      <c r="AK1046" s="77"/>
      <c r="AL1046" s="77"/>
      <c r="AM1046" s="77"/>
      <c r="AN1046" s="77"/>
      <c r="AO1046" s="77"/>
      <c r="AP1046" s="77"/>
      <c r="AQ1046" s="77"/>
      <c r="AR1046" s="77"/>
      <c r="AS1046" s="77"/>
      <c r="AT1046" s="77"/>
      <c r="AU1046" s="77"/>
      <c r="AV1046" s="80" t="str">
        <f>HYPERLINK("https://pbs.twimg.com/profile_images/1041725334431952896/uaPtkYSp_normal.jpg")</f>
        <v>https://pbs.twimg.com/profile_images/1041725334431952896/uaPtkYSp_normal.jpg</v>
      </c>
      <c r="AW1046" s="82" t="s">
        <v>14141</v>
      </c>
      <c r="AX1046" s="82" t="s">
        <v>14141</v>
      </c>
      <c r="AY1046" s="77"/>
      <c r="AZ1046" s="82" t="s">
        <v>17385</v>
      </c>
      <c r="BA1046" s="82" t="s">
        <v>17385</v>
      </c>
      <c r="BB1046" s="82" t="s">
        <v>17385</v>
      </c>
      <c r="BC1046" s="82" t="s">
        <v>14141</v>
      </c>
      <c r="BD1046" s="82" t="s">
        <v>17550</v>
      </c>
      <c r="BE1046" s="77"/>
      <c r="BF1046" s="77"/>
      <c r="BG1046" s="77"/>
      <c r="BH1046" s="77"/>
      <c r="BI1046" s="77"/>
    </row>
    <row r="1047" spans="1:61" x14ac:dyDescent="0.25">
      <c r="A1047" s="62" t="s">
        <v>425</v>
      </c>
      <c r="B1047" s="62" t="s">
        <v>425</v>
      </c>
      <c r="C1047" s="63"/>
      <c r="D1047" s="64"/>
      <c r="E1047" s="65"/>
      <c r="F1047" s="66"/>
      <c r="G1047" s="63"/>
      <c r="H1047" s="67"/>
      <c r="I1047" s="68"/>
      <c r="J1047" s="68"/>
      <c r="K1047" s="32"/>
      <c r="L1047" s="75">
        <v>1047</v>
      </c>
      <c r="M1047" s="75"/>
      <c r="N1047" s="70"/>
      <c r="O1047" s="77" t="s">
        <v>179</v>
      </c>
      <c r="P1047" s="79">
        <v>45171.80982638889</v>
      </c>
      <c r="Q1047" s="77" t="s">
        <v>1838</v>
      </c>
      <c r="R1047" s="77">
        <v>0</v>
      </c>
      <c r="S1047" s="77">
        <v>0</v>
      </c>
      <c r="T1047" s="77">
        <v>2</v>
      </c>
      <c r="U1047" s="77">
        <v>0</v>
      </c>
      <c r="V1047" s="77">
        <v>315</v>
      </c>
      <c r="W1047" s="82" t="s">
        <v>5515</v>
      </c>
      <c r="X1047" s="80" t="str">
        <f>HYPERLINK("https://www.seudinheiro.com/2023/empresas/farmaceutica-novo-nordisk-ultrapassa-lvmh-de-bernard-arnault-e-se-torna-a-empresa-mais-valiosa-da-europa-ainda-que-por-pouco-tempo-lils/")</f>
        <v>https://www.seudinheiro.com/2023/empresas/farmaceutica-novo-nordisk-ultrapassa-lvmh-de-bernard-arnault-e-se-torna-a-empresa-mais-valiosa-da-europa-ainda-que-por-pouco-tempo-lils/</v>
      </c>
      <c r="Y1047" s="77" t="s">
        <v>7102</v>
      </c>
      <c r="Z1047" s="77"/>
      <c r="AA1047" s="77"/>
      <c r="AB1047" s="77"/>
      <c r="AC1047" s="82" t="s">
        <v>8255</v>
      </c>
      <c r="AD1047" s="77" t="s">
        <v>8278</v>
      </c>
      <c r="AE1047" s="80" t="str">
        <f>HYPERLINK("https://twitter.com/seu_dinheiro_br/status/1698054725717922038")</f>
        <v>https://twitter.com/seu_dinheiro_br/status/1698054725717922038</v>
      </c>
      <c r="AF1047" s="79">
        <v>45171.80982638889</v>
      </c>
      <c r="AG1047" s="85">
        <v>45171</v>
      </c>
      <c r="AH1047" s="82" t="s">
        <v>9202</v>
      </c>
      <c r="AI1047" s="77" t="b">
        <v>0</v>
      </c>
      <c r="AJ1047" s="77"/>
      <c r="AK1047" s="77"/>
      <c r="AL1047" s="77"/>
      <c r="AM1047" s="77"/>
      <c r="AN1047" s="77"/>
      <c r="AO1047" s="77"/>
      <c r="AP1047" s="77"/>
      <c r="AQ1047" s="77"/>
      <c r="AR1047" s="77"/>
      <c r="AS1047" s="77"/>
      <c r="AT1047" s="77"/>
      <c r="AU1047" s="77"/>
      <c r="AV1047" s="80" t="str">
        <f>HYPERLINK("https://pbs.twimg.com/profile_images/1041725334431952896/uaPtkYSp_normal.jpg")</f>
        <v>https://pbs.twimg.com/profile_images/1041725334431952896/uaPtkYSp_normal.jpg</v>
      </c>
      <c r="AW1047" s="82" t="s">
        <v>14142</v>
      </c>
      <c r="AX1047" s="82" t="s">
        <v>14142</v>
      </c>
      <c r="AY1047" s="77"/>
      <c r="AZ1047" s="82" t="s">
        <v>17385</v>
      </c>
      <c r="BA1047" s="82" t="s">
        <v>17385</v>
      </c>
      <c r="BB1047" s="82" t="s">
        <v>17385</v>
      </c>
      <c r="BC1047" s="82" t="s">
        <v>14142</v>
      </c>
      <c r="BD1047" s="82" t="s">
        <v>17550</v>
      </c>
      <c r="BE1047" s="77"/>
      <c r="BF1047" s="77"/>
      <c r="BG1047" s="77"/>
      <c r="BH1047" s="77"/>
      <c r="BI1047" s="77"/>
    </row>
    <row r="1048" spans="1:61" x14ac:dyDescent="0.25">
      <c r="A1048" s="62" t="s">
        <v>425</v>
      </c>
      <c r="B1048" s="62" t="s">
        <v>425</v>
      </c>
      <c r="C1048" s="63"/>
      <c r="D1048" s="64"/>
      <c r="E1048" s="65"/>
      <c r="F1048" s="66"/>
      <c r="G1048" s="63"/>
      <c r="H1048" s="67"/>
      <c r="I1048" s="68"/>
      <c r="J1048" s="68"/>
      <c r="K1048" s="32"/>
      <c r="L1048" s="75">
        <v>1048</v>
      </c>
      <c r="M1048" s="75"/>
      <c r="N1048" s="70"/>
      <c r="O1048" s="77" t="s">
        <v>179</v>
      </c>
      <c r="P1048" s="79">
        <v>45171.508819444447</v>
      </c>
      <c r="Q1048" s="77" t="s">
        <v>1839</v>
      </c>
      <c r="R1048" s="77">
        <v>0</v>
      </c>
      <c r="S1048" s="77">
        <v>1</v>
      </c>
      <c r="T1048" s="77">
        <v>1</v>
      </c>
      <c r="U1048" s="77">
        <v>0</v>
      </c>
      <c r="V1048" s="77">
        <v>349</v>
      </c>
      <c r="W1048" s="82" t="s">
        <v>5516</v>
      </c>
      <c r="X1048" s="80" t="str">
        <f>HYPERLINK("https://www.seudinheiro.com/2023/bolsa-dolar/cvc-cvcb3-recuperacao-judicial-123-milhas-minerva-beef3-destaque-bolsa-ibovespa-lils/")</f>
        <v>https://www.seudinheiro.com/2023/bolsa-dolar/cvc-cvcb3-recuperacao-judicial-123-milhas-minerva-beef3-destaque-bolsa-ibovespa-lils/</v>
      </c>
      <c r="Y1048" s="77" t="s">
        <v>7102</v>
      </c>
      <c r="Z1048" s="77"/>
      <c r="AA1048" s="77"/>
      <c r="AB1048" s="77"/>
      <c r="AC1048" s="82" t="s">
        <v>8255</v>
      </c>
      <c r="AD1048" s="77" t="s">
        <v>8278</v>
      </c>
      <c r="AE1048" s="80" t="str">
        <f>HYPERLINK("https://twitter.com/seu_dinheiro_br/status/1697945646035038334")</f>
        <v>https://twitter.com/seu_dinheiro_br/status/1697945646035038334</v>
      </c>
      <c r="AF1048" s="79">
        <v>45171.508819444447</v>
      </c>
      <c r="AG1048" s="85">
        <v>45171</v>
      </c>
      <c r="AH1048" s="82" t="s">
        <v>9203</v>
      </c>
      <c r="AI1048" s="77" t="b">
        <v>0</v>
      </c>
      <c r="AJ1048" s="77"/>
      <c r="AK1048" s="77"/>
      <c r="AL1048" s="77"/>
      <c r="AM1048" s="77"/>
      <c r="AN1048" s="77"/>
      <c r="AO1048" s="77"/>
      <c r="AP1048" s="77"/>
      <c r="AQ1048" s="77"/>
      <c r="AR1048" s="77"/>
      <c r="AS1048" s="77"/>
      <c r="AT1048" s="77"/>
      <c r="AU1048" s="77"/>
      <c r="AV1048" s="80" t="str">
        <f>HYPERLINK("https://pbs.twimg.com/profile_images/1041725334431952896/uaPtkYSp_normal.jpg")</f>
        <v>https://pbs.twimg.com/profile_images/1041725334431952896/uaPtkYSp_normal.jpg</v>
      </c>
      <c r="AW1048" s="82" t="s">
        <v>14143</v>
      </c>
      <c r="AX1048" s="82" t="s">
        <v>14143</v>
      </c>
      <c r="AY1048" s="77"/>
      <c r="AZ1048" s="82" t="s">
        <v>17385</v>
      </c>
      <c r="BA1048" s="82" t="s">
        <v>17385</v>
      </c>
      <c r="BB1048" s="82" t="s">
        <v>17385</v>
      </c>
      <c r="BC1048" s="82" t="s">
        <v>14143</v>
      </c>
      <c r="BD1048" s="82" t="s">
        <v>17550</v>
      </c>
      <c r="BE1048" s="77"/>
      <c r="BF1048" s="77"/>
      <c r="BG1048" s="77"/>
      <c r="BH1048" s="77"/>
      <c r="BI1048" s="77"/>
    </row>
    <row r="1049" spans="1:61" x14ac:dyDescent="0.25">
      <c r="A1049" s="62" t="s">
        <v>425</v>
      </c>
      <c r="B1049" s="62" t="s">
        <v>425</v>
      </c>
      <c r="C1049" s="63"/>
      <c r="D1049" s="64"/>
      <c r="E1049" s="65"/>
      <c r="F1049" s="66"/>
      <c r="G1049" s="63"/>
      <c r="H1049" s="67"/>
      <c r="I1049" s="68"/>
      <c r="J1049" s="68"/>
      <c r="K1049" s="32"/>
      <c r="L1049" s="75">
        <v>1049</v>
      </c>
      <c r="M1049" s="75"/>
      <c r="N1049" s="70"/>
      <c r="O1049" s="77" t="s">
        <v>179</v>
      </c>
      <c r="P1049" s="79">
        <v>45169.519097222219</v>
      </c>
      <c r="Q1049" s="77" t="s">
        <v>1840</v>
      </c>
      <c r="R1049" s="77">
        <v>0</v>
      </c>
      <c r="S1049" s="77">
        <v>0</v>
      </c>
      <c r="T1049" s="77">
        <v>0</v>
      </c>
      <c r="U1049" s="77">
        <v>0</v>
      </c>
      <c r="V1049" s="77">
        <v>346</v>
      </c>
      <c r="W1049" s="82" t="s">
        <v>5474</v>
      </c>
      <c r="X1049" s="80" t="str">
        <f>HYPERLINK("https://www.seudinheiro.com/2023/empresas/via-viia3-contrata-bancos-para-captar-r-1-bilhao-em-oferta-na-b3-vinp/")</f>
        <v>https://www.seudinheiro.com/2023/empresas/via-viia3-contrata-bancos-para-captar-r-1-bilhao-em-oferta-na-b3-vinp/</v>
      </c>
      <c r="Y1049" s="77" t="s">
        <v>7102</v>
      </c>
      <c r="Z1049" s="77"/>
      <c r="AA1049" s="77"/>
      <c r="AB1049" s="77"/>
      <c r="AC1049" s="82" t="s">
        <v>8255</v>
      </c>
      <c r="AD1049" s="77" t="s">
        <v>8278</v>
      </c>
      <c r="AE1049" s="80" t="str">
        <f>HYPERLINK("https://twitter.com/seu_dinheiro_br/status/1697224592337543229")</f>
        <v>https://twitter.com/seu_dinheiro_br/status/1697224592337543229</v>
      </c>
      <c r="AF1049" s="79">
        <v>45169.519097222219</v>
      </c>
      <c r="AG1049" s="85">
        <v>45169</v>
      </c>
      <c r="AH1049" s="82" t="s">
        <v>9204</v>
      </c>
      <c r="AI1049" s="77" t="b">
        <v>0</v>
      </c>
      <c r="AJ1049" s="77"/>
      <c r="AK1049" s="77"/>
      <c r="AL1049" s="77"/>
      <c r="AM1049" s="77"/>
      <c r="AN1049" s="77"/>
      <c r="AO1049" s="77"/>
      <c r="AP1049" s="77"/>
      <c r="AQ1049" s="77"/>
      <c r="AR1049" s="77"/>
      <c r="AS1049" s="77"/>
      <c r="AT1049" s="77"/>
      <c r="AU1049" s="77"/>
      <c r="AV1049" s="80" t="str">
        <f>HYPERLINK("https://pbs.twimg.com/profile_images/1041725334431952896/uaPtkYSp_normal.jpg")</f>
        <v>https://pbs.twimg.com/profile_images/1041725334431952896/uaPtkYSp_normal.jpg</v>
      </c>
      <c r="AW1049" s="82" t="s">
        <v>14144</v>
      </c>
      <c r="AX1049" s="82" t="s">
        <v>14144</v>
      </c>
      <c r="AY1049" s="77"/>
      <c r="AZ1049" s="82" t="s">
        <v>17385</v>
      </c>
      <c r="BA1049" s="82" t="s">
        <v>17385</v>
      </c>
      <c r="BB1049" s="82" t="s">
        <v>17385</v>
      </c>
      <c r="BC1049" s="82" t="s">
        <v>14144</v>
      </c>
      <c r="BD1049" s="82" t="s">
        <v>17550</v>
      </c>
      <c r="BE1049" s="77"/>
      <c r="BF1049" s="77"/>
      <c r="BG1049" s="77"/>
      <c r="BH1049" s="77"/>
      <c r="BI1049" s="77"/>
    </row>
    <row r="1050" spans="1:61" x14ac:dyDescent="0.25">
      <c r="A1050" s="62" t="s">
        <v>425</v>
      </c>
      <c r="B1050" s="62" t="s">
        <v>425</v>
      </c>
      <c r="C1050" s="63"/>
      <c r="D1050" s="64"/>
      <c r="E1050" s="65"/>
      <c r="F1050" s="66"/>
      <c r="G1050" s="63"/>
      <c r="H1050" s="67"/>
      <c r="I1050" s="68"/>
      <c r="J1050" s="68"/>
      <c r="K1050" s="32"/>
      <c r="L1050" s="75">
        <v>1050</v>
      </c>
      <c r="M1050" s="75"/>
      <c r="N1050" s="70"/>
      <c r="O1050" s="77" t="s">
        <v>179</v>
      </c>
      <c r="P1050" s="79">
        <v>45169.443796296298</v>
      </c>
      <c r="Q1050" s="77" t="s">
        <v>1841</v>
      </c>
      <c r="R1050" s="77">
        <v>0</v>
      </c>
      <c r="S1050" s="77">
        <v>5</v>
      </c>
      <c r="T1050" s="77">
        <v>0</v>
      </c>
      <c r="U1050" s="77">
        <v>0</v>
      </c>
      <c r="V1050" s="77">
        <v>520</v>
      </c>
      <c r="W1050" s="82" t="s">
        <v>5517</v>
      </c>
      <c r="X1050" s="80" t="str">
        <f>HYPERLINK("https://www.seudinheiro.com/2023/colunistas/day-trade-na-b3-como-lucrar-com-acao-do-bb-seguridade-bbse3-hoje-31-08-miql/")</f>
        <v>https://www.seudinheiro.com/2023/colunistas/day-trade-na-b3-como-lucrar-com-acao-do-bb-seguridade-bbse3-hoje-31-08-miql/</v>
      </c>
      <c r="Y1050" s="77" t="s">
        <v>7102</v>
      </c>
      <c r="Z1050" s="77"/>
      <c r="AA1050" s="77"/>
      <c r="AB1050" s="77"/>
      <c r="AC1050" s="82" t="s">
        <v>8255</v>
      </c>
      <c r="AD1050" s="77" t="s">
        <v>8278</v>
      </c>
      <c r="AE1050" s="80" t="str">
        <f>HYPERLINK("https://twitter.com/seu_dinheiro_br/status/1697197305043050839")</f>
        <v>https://twitter.com/seu_dinheiro_br/status/1697197305043050839</v>
      </c>
      <c r="AF1050" s="79">
        <v>45169.443796296298</v>
      </c>
      <c r="AG1050" s="85">
        <v>45169</v>
      </c>
      <c r="AH1050" s="82" t="s">
        <v>9205</v>
      </c>
      <c r="AI1050" s="77" t="b">
        <v>0</v>
      </c>
      <c r="AJ1050" s="77"/>
      <c r="AK1050" s="77"/>
      <c r="AL1050" s="77"/>
      <c r="AM1050" s="77"/>
      <c r="AN1050" s="77"/>
      <c r="AO1050" s="77"/>
      <c r="AP1050" s="77"/>
      <c r="AQ1050" s="77"/>
      <c r="AR1050" s="77"/>
      <c r="AS1050" s="77"/>
      <c r="AT1050" s="77"/>
      <c r="AU1050" s="77"/>
      <c r="AV1050" s="80" t="str">
        <f>HYPERLINK("https://pbs.twimg.com/profile_images/1041725334431952896/uaPtkYSp_normal.jpg")</f>
        <v>https://pbs.twimg.com/profile_images/1041725334431952896/uaPtkYSp_normal.jpg</v>
      </c>
      <c r="AW1050" s="82" t="s">
        <v>14145</v>
      </c>
      <c r="AX1050" s="82" t="s">
        <v>14145</v>
      </c>
      <c r="AY1050" s="77"/>
      <c r="AZ1050" s="82" t="s">
        <v>17385</v>
      </c>
      <c r="BA1050" s="82" t="s">
        <v>17385</v>
      </c>
      <c r="BB1050" s="82" t="s">
        <v>17385</v>
      </c>
      <c r="BC1050" s="82" t="s">
        <v>14145</v>
      </c>
      <c r="BD1050" s="82" t="s">
        <v>17550</v>
      </c>
      <c r="BE1050" s="77"/>
      <c r="BF1050" s="77"/>
      <c r="BG1050" s="77"/>
      <c r="BH1050" s="77"/>
      <c r="BI1050" s="77"/>
    </row>
    <row r="1051" spans="1:61" x14ac:dyDescent="0.25">
      <c r="A1051" s="62" t="s">
        <v>425</v>
      </c>
      <c r="B1051" s="62" t="s">
        <v>425</v>
      </c>
      <c r="C1051" s="63"/>
      <c r="D1051" s="64"/>
      <c r="E1051" s="65"/>
      <c r="F1051" s="66"/>
      <c r="G1051" s="63"/>
      <c r="H1051" s="67"/>
      <c r="I1051" s="68"/>
      <c r="J1051" s="68"/>
      <c r="K1051" s="32"/>
      <c r="L1051" s="75">
        <v>1051</v>
      </c>
      <c r="M1051" s="75"/>
      <c r="N1051" s="70"/>
      <c r="O1051" s="77" t="s">
        <v>179</v>
      </c>
      <c r="P1051" s="79">
        <v>45160.564039351855</v>
      </c>
      <c r="Q1051" s="77" t="s">
        <v>1842</v>
      </c>
      <c r="R1051" s="77">
        <v>0</v>
      </c>
      <c r="S1051" s="77">
        <v>0</v>
      </c>
      <c r="T1051" s="77">
        <v>0</v>
      </c>
      <c r="U1051" s="77">
        <v>0</v>
      </c>
      <c r="V1051" s="77">
        <v>230</v>
      </c>
      <c r="W1051" s="82" t="s">
        <v>5518</v>
      </c>
      <c r="X1051" s="80" t="str">
        <f>HYPERLINK("https://www.seudinheiro.com/2023/bolsa-dolar/nubank-acoes-analistas-itau-bba-vinp/")</f>
        <v>https://www.seudinheiro.com/2023/bolsa-dolar/nubank-acoes-analistas-itau-bba-vinp/</v>
      </c>
      <c r="Y1051" s="77" t="s">
        <v>7102</v>
      </c>
      <c r="Z1051" s="77"/>
      <c r="AA1051" s="77"/>
      <c r="AB1051" s="77"/>
      <c r="AC1051" s="82" t="s">
        <v>8255</v>
      </c>
      <c r="AD1051" s="77" t="s">
        <v>8278</v>
      </c>
      <c r="AE1051" s="80" t="str">
        <f>HYPERLINK("https://twitter.com/seu_dinheiro_br/status/1693979386611962309")</f>
        <v>https://twitter.com/seu_dinheiro_br/status/1693979386611962309</v>
      </c>
      <c r="AF1051" s="79">
        <v>45160.564039351855</v>
      </c>
      <c r="AG1051" s="85">
        <v>45160</v>
      </c>
      <c r="AH1051" s="82" t="s">
        <v>9206</v>
      </c>
      <c r="AI1051" s="77" t="b">
        <v>0</v>
      </c>
      <c r="AJ1051" s="77"/>
      <c r="AK1051" s="77"/>
      <c r="AL1051" s="77"/>
      <c r="AM1051" s="77"/>
      <c r="AN1051" s="77"/>
      <c r="AO1051" s="77"/>
      <c r="AP1051" s="77"/>
      <c r="AQ1051" s="77"/>
      <c r="AR1051" s="77"/>
      <c r="AS1051" s="77"/>
      <c r="AT1051" s="77"/>
      <c r="AU1051" s="77"/>
      <c r="AV1051" s="80" t="str">
        <f>HYPERLINK("https://pbs.twimg.com/profile_images/1041725334431952896/uaPtkYSp_normal.jpg")</f>
        <v>https://pbs.twimg.com/profile_images/1041725334431952896/uaPtkYSp_normal.jpg</v>
      </c>
      <c r="AW1051" s="82" t="s">
        <v>14146</v>
      </c>
      <c r="AX1051" s="82" t="s">
        <v>14146</v>
      </c>
      <c r="AY1051" s="77"/>
      <c r="AZ1051" s="82" t="s">
        <v>17385</v>
      </c>
      <c r="BA1051" s="82" t="s">
        <v>17385</v>
      </c>
      <c r="BB1051" s="82" t="s">
        <v>17385</v>
      </c>
      <c r="BC1051" s="82" t="s">
        <v>14146</v>
      </c>
      <c r="BD1051" s="82" t="s">
        <v>17550</v>
      </c>
      <c r="BE1051" s="77"/>
      <c r="BF1051" s="77"/>
      <c r="BG1051" s="77"/>
      <c r="BH1051" s="77"/>
      <c r="BI1051" s="77"/>
    </row>
    <row r="1052" spans="1:61" x14ac:dyDescent="0.25">
      <c r="A1052" s="62" t="s">
        <v>425</v>
      </c>
      <c r="B1052" s="62" t="s">
        <v>425</v>
      </c>
      <c r="C1052" s="63"/>
      <c r="D1052" s="64"/>
      <c r="E1052" s="65"/>
      <c r="F1052" s="66"/>
      <c r="G1052" s="63"/>
      <c r="H1052" s="67"/>
      <c r="I1052" s="68"/>
      <c r="J1052" s="68"/>
      <c r="K1052" s="32"/>
      <c r="L1052" s="75">
        <v>1052</v>
      </c>
      <c r="M1052" s="75"/>
      <c r="N1052" s="70"/>
      <c r="O1052" s="77" t="s">
        <v>179</v>
      </c>
      <c r="P1052" s="79">
        <v>45160.520243055558</v>
      </c>
      <c r="Q1052" s="77" t="s">
        <v>1843</v>
      </c>
      <c r="R1052" s="77">
        <v>0</v>
      </c>
      <c r="S1052" s="77">
        <v>0</v>
      </c>
      <c r="T1052" s="77">
        <v>0</v>
      </c>
      <c r="U1052" s="77">
        <v>0</v>
      </c>
      <c r="V1052" s="77">
        <v>249</v>
      </c>
      <c r="W1052" s="82" t="s">
        <v>5519</v>
      </c>
      <c r="X1052" s="80" t="str">
        <f>HYPERLINK("https://www.seudinheiro.com/2023/empresas/cemig-cmig4-e-copasa-csmg3-entram-na-fila-da-privatizacao-miql/")</f>
        <v>https://www.seudinheiro.com/2023/empresas/cemig-cmig4-e-copasa-csmg3-entram-na-fila-da-privatizacao-miql/</v>
      </c>
      <c r="Y1052" s="77" t="s">
        <v>7102</v>
      </c>
      <c r="Z1052" s="77"/>
      <c r="AA1052" s="77"/>
      <c r="AB1052" s="77"/>
      <c r="AC1052" s="82" t="s">
        <v>8255</v>
      </c>
      <c r="AD1052" s="77" t="s">
        <v>8278</v>
      </c>
      <c r="AE1052" s="80" t="str">
        <f>HYPERLINK("https://twitter.com/seu_dinheiro_br/status/1693963517706006850")</f>
        <v>https://twitter.com/seu_dinheiro_br/status/1693963517706006850</v>
      </c>
      <c r="AF1052" s="79">
        <v>45160.520243055558</v>
      </c>
      <c r="AG1052" s="85">
        <v>45160</v>
      </c>
      <c r="AH1052" s="82" t="s">
        <v>9207</v>
      </c>
      <c r="AI1052" s="77" t="b">
        <v>0</v>
      </c>
      <c r="AJ1052" s="77"/>
      <c r="AK1052" s="77"/>
      <c r="AL1052" s="77"/>
      <c r="AM1052" s="77"/>
      <c r="AN1052" s="77"/>
      <c r="AO1052" s="77"/>
      <c r="AP1052" s="77"/>
      <c r="AQ1052" s="77"/>
      <c r="AR1052" s="77"/>
      <c r="AS1052" s="77"/>
      <c r="AT1052" s="77"/>
      <c r="AU1052" s="77"/>
      <c r="AV1052" s="80" t="str">
        <f>HYPERLINK("https://pbs.twimg.com/profile_images/1041725334431952896/uaPtkYSp_normal.jpg")</f>
        <v>https://pbs.twimg.com/profile_images/1041725334431952896/uaPtkYSp_normal.jpg</v>
      </c>
      <c r="AW1052" s="82" t="s">
        <v>14147</v>
      </c>
      <c r="AX1052" s="82" t="s">
        <v>14147</v>
      </c>
      <c r="AY1052" s="77"/>
      <c r="AZ1052" s="82" t="s">
        <v>17385</v>
      </c>
      <c r="BA1052" s="82" t="s">
        <v>17385</v>
      </c>
      <c r="BB1052" s="82" t="s">
        <v>17385</v>
      </c>
      <c r="BC1052" s="82" t="s">
        <v>14147</v>
      </c>
      <c r="BD1052" s="82" t="s">
        <v>17550</v>
      </c>
      <c r="BE1052" s="77"/>
      <c r="BF1052" s="77"/>
      <c r="BG1052" s="77"/>
      <c r="BH1052" s="77"/>
      <c r="BI1052" s="77"/>
    </row>
    <row r="1053" spans="1:61" x14ac:dyDescent="0.25">
      <c r="A1053" s="62" t="s">
        <v>425</v>
      </c>
      <c r="B1053" s="62" t="s">
        <v>425</v>
      </c>
      <c r="C1053" s="63"/>
      <c r="D1053" s="64"/>
      <c r="E1053" s="65"/>
      <c r="F1053" s="66"/>
      <c r="G1053" s="63"/>
      <c r="H1053" s="67"/>
      <c r="I1053" s="68"/>
      <c r="J1053" s="68"/>
      <c r="K1053" s="32"/>
      <c r="L1053" s="75">
        <v>1053</v>
      </c>
      <c r="M1053" s="75"/>
      <c r="N1053" s="70"/>
      <c r="O1053" s="77" t="s">
        <v>179</v>
      </c>
      <c r="P1053" s="79">
        <v>45160.440046296295</v>
      </c>
      <c r="Q1053" s="77" t="s">
        <v>1844</v>
      </c>
      <c r="R1053" s="77">
        <v>0</v>
      </c>
      <c r="S1053" s="77">
        <v>1</v>
      </c>
      <c r="T1053" s="77">
        <v>0</v>
      </c>
      <c r="U1053" s="77">
        <v>0</v>
      </c>
      <c r="V1053" s="77">
        <v>370</v>
      </c>
      <c r="W1053" s="82" t="s">
        <v>5475</v>
      </c>
      <c r="X1053" s="80" t="str">
        <f>HYPERLINK("https://www.seudinheiro.com/2023/colunistas/day-trade-na-b3-como-lucrar-com-acao-da-cemig-cmig4-hoje-22-08-miql/")</f>
        <v>https://www.seudinheiro.com/2023/colunistas/day-trade-na-b3-como-lucrar-com-acao-da-cemig-cmig4-hoje-22-08-miql/</v>
      </c>
      <c r="Y1053" s="77" t="s">
        <v>7102</v>
      </c>
      <c r="Z1053" s="77"/>
      <c r="AA1053" s="77"/>
      <c r="AB1053" s="77"/>
      <c r="AC1053" s="82" t="s">
        <v>8255</v>
      </c>
      <c r="AD1053" s="77" t="s">
        <v>8278</v>
      </c>
      <c r="AE1053" s="80" t="str">
        <f>HYPERLINK("https://twitter.com/seu_dinheiro_br/status/1693934454459236372")</f>
        <v>https://twitter.com/seu_dinheiro_br/status/1693934454459236372</v>
      </c>
      <c r="AF1053" s="79">
        <v>45160.440046296295</v>
      </c>
      <c r="AG1053" s="85">
        <v>45160</v>
      </c>
      <c r="AH1053" s="82" t="s">
        <v>9208</v>
      </c>
      <c r="AI1053" s="77" t="b">
        <v>0</v>
      </c>
      <c r="AJ1053" s="77"/>
      <c r="AK1053" s="77"/>
      <c r="AL1053" s="77"/>
      <c r="AM1053" s="77"/>
      <c r="AN1053" s="77"/>
      <c r="AO1053" s="77"/>
      <c r="AP1053" s="77"/>
      <c r="AQ1053" s="77"/>
      <c r="AR1053" s="77"/>
      <c r="AS1053" s="77"/>
      <c r="AT1053" s="77"/>
      <c r="AU1053" s="77"/>
      <c r="AV1053" s="80" t="str">
        <f>HYPERLINK("https://pbs.twimg.com/profile_images/1041725334431952896/uaPtkYSp_normal.jpg")</f>
        <v>https://pbs.twimg.com/profile_images/1041725334431952896/uaPtkYSp_normal.jpg</v>
      </c>
      <c r="AW1053" s="82" t="s">
        <v>14148</v>
      </c>
      <c r="AX1053" s="82" t="s">
        <v>14148</v>
      </c>
      <c r="AY1053" s="77"/>
      <c r="AZ1053" s="82" t="s">
        <v>17385</v>
      </c>
      <c r="BA1053" s="82" t="s">
        <v>17385</v>
      </c>
      <c r="BB1053" s="82" t="s">
        <v>17385</v>
      </c>
      <c r="BC1053" s="82" t="s">
        <v>14148</v>
      </c>
      <c r="BD1053" s="82" t="s">
        <v>17550</v>
      </c>
      <c r="BE1053" s="77"/>
      <c r="BF1053" s="77"/>
      <c r="BG1053" s="77"/>
      <c r="BH1053" s="77"/>
      <c r="BI1053" s="77"/>
    </row>
    <row r="1054" spans="1:61" x14ac:dyDescent="0.25">
      <c r="A1054" s="62" t="s">
        <v>425</v>
      </c>
      <c r="B1054" s="62" t="s">
        <v>425</v>
      </c>
      <c r="C1054" s="63"/>
      <c r="D1054" s="64"/>
      <c r="E1054" s="65"/>
      <c r="F1054" s="66"/>
      <c r="G1054" s="63"/>
      <c r="H1054" s="67"/>
      <c r="I1054" s="68"/>
      <c r="J1054" s="68"/>
      <c r="K1054" s="32"/>
      <c r="L1054" s="75">
        <v>1054</v>
      </c>
      <c r="M1054" s="75"/>
      <c r="N1054" s="70"/>
      <c r="O1054" s="77" t="s">
        <v>179</v>
      </c>
      <c r="P1054" s="79">
        <v>45159.740127314813</v>
      </c>
      <c r="Q1054" s="77" t="s">
        <v>1845</v>
      </c>
      <c r="R1054" s="77">
        <v>0</v>
      </c>
      <c r="S1054" s="77">
        <v>1</v>
      </c>
      <c r="T1054" s="77">
        <v>0</v>
      </c>
      <c r="U1054" s="77">
        <v>0</v>
      </c>
      <c r="V1054" s="77">
        <v>260</v>
      </c>
      <c r="W1054" s="82" t="s">
        <v>5486</v>
      </c>
      <c r="X1054" s="80" t="str">
        <f>HYPERLINK("https://www.seudinheiro.com/2023/empresas/banco-americano-prefere-outra-acao-e-rebaixa-a-porto-pssa3-cai-3-na-b3-ccgg/")</f>
        <v>https://www.seudinheiro.com/2023/empresas/banco-americano-prefere-outra-acao-e-rebaixa-a-porto-pssa3-cai-3-na-b3-ccgg/</v>
      </c>
      <c r="Y1054" s="77" t="s">
        <v>7102</v>
      </c>
      <c r="Z1054" s="77"/>
      <c r="AA1054" s="77"/>
      <c r="AB1054" s="77"/>
      <c r="AC1054" s="82" t="s">
        <v>8255</v>
      </c>
      <c r="AD1054" s="77" t="s">
        <v>8278</v>
      </c>
      <c r="AE1054" s="80" t="str">
        <f>HYPERLINK("https://twitter.com/seu_dinheiro_br/status/1693680813798281374")</f>
        <v>https://twitter.com/seu_dinheiro_br/status/1693680813798281374</v>
      </c>
      <c r="AF1054" s="79">
        <v>45159.740127314813</v>
      </c>
      <c r="AG1054" s="85">
        <v>45159</v>
      </c>
      <c r="AH1054" s="82" t="s">
        <v>9209</v>
      </c>
      <c r="AI1054" s="77" t="b">
        <v>0</v>
      </c>
      <c r="AJ1054" s="77"/>
      <c r="AK1054" s="77"/>
      <c r="AL1054" s="77"/>
      <c r="AM1054" s="77"/>
      <c r="AN1054" s="77"/>
      <c r="AO1054" s="77"/>
      <c r="AP1054" s="77"/>
      <c r="AQ1054" s="77"/>
      <c r="AR1054" s="77"/>
      <c r="AS1054" s="77"/>
      <c r="AT1054" s="77"/>
      <c r="AU1054" s="77"/>
      <c r="AV1054" s="80" t="str">
        <f>HYPERLINK("https://pbs.twimg.com/profile_images/1041725334431952896/uaPtkYSp_normal.jpg")</f>
        <v>https://pbs.twimg.com/profile_images/1041725334431952896/uaPtkYSp_normal.jpg</v>
      </c>
      <c r="AW1054" s="82" t="s">
        <v>14149</v>
      </c>
      <c r="AX1054" s="82" t="s">
        <v>14149</v>
      </c>
      <c r="AY1054" s="77"/>
      <c r="AZ1054" s="82" t="s">
        <v>17385</v>
      </c>
      <c r="BA1054" s="82" t="s">
        <v>17385</v>
      </c>
      <c r="BB1054" s="82" t="s">
        <v>17385</v>
      </c>
      <c r="BC1054" s="82" t="s">
        <v>14149</v>
      </c>
      <c r="BD1054" s="82" t="s">
        <v>17550</v>
      </c>
      <c r="BE1054" s="77"/>
      <c r="BF1054" s="77"/>
      <c r="BG1054" s="77"/>
      <c r="BH1054" s="77"/>
      <c r="BI1054" s="77"/>
    </row>
    <row r="1055" spans="1:61" x14ac:dyDescent="0.25">
      <c r="A1055" s="62" t="s">
        <v>425</v>
      </c>
      <c r="B1055" s="62" t="s">
        <v>425</v>
      </c>
      <c r="C1055" s="63"/>
      <c r="D1055" s="64"/>
      <c r="E1055" s="65"/>
      <c r="F1055" s="66"/>
      <c r="G1055" s="63"/>
      <c r="H1055" s="67"/>
      <c r="I1055" s="68"/>
      <c r="J1055" s="68"/>
      <c r="K1055" s="32"/>
      <c r="L1055" s="75">
        <v>1055</v>
      </c>
      <c r="M1055" s="75"/>
      <c r="N1055" s="70"/>
      <c r="O1055" s="77" t="s">
        <v>179</v>
      </c>
      <c r="P1055" s="79">
        <v>45159.648611111108</v>
      </c>
      <c r="Q1055" s="77" t="s">
        <v>1846</v>
      </c>
      <c r="R1055" s="77">
        <v>2</v>
      </c>
      <c r="S1055" s="77">
        <v>2</v>
      </c>
      <c r="T1055" s="77">
        <v>0</v>
      </c>
      <c r="U1055" s="77">
        <v>0</v>
      </c>
      <c r="V1055" s="77">
        <v>388</v>
      </c>
      <c r="W1055" s="82" t="s">
        <v>5520</v>
      </c>
      <c r="X1055" s="80" t="str">
        <f>HYPERLINK("https://www.seudinheiro.com/2023/bolsa-dolar/santander-projeta-alta-de-45-para-as-acoes-desta-construtora-na-b3-minha-casa-minha-vida-lvit/")</f>
        <v>https://www.seudinheiro.com/2023/bolsa-dolar/santander-projeta-alta-de-45-para-as-acoes-desta-construtora-na-b3-minha-casa-minha-vida-lvit/</v>
      </c>
      <c r="Y1055" s="77" t="s">
        <v>7102</v>
      </c>
      <c r="Z1055" s="77"/>
      <c r="AA1055" s="77"/>
      <c r="AB1055" s="77"/>
      <c r="AC1055" s="82" t="s">
        <v>8255</v>
      </c>
      <c r="AD1055" s="77" t="s">
        <v>8278</v>
      </c>
      <c r="AE1055" s="80" t="str">
        <f>HYPERLINK("https://twitter.com/seu_dinheiro_br/status/1693647646764744780")</f>
        <v>https://twitter.com/seu_dinheiro_br/status/1693647646764744780</v>
      </c>
      <c r="AF1055" s="79">
        <v>45159.648611111108</v>
      </c>
      <c r="AG1055" s="85">
        <v>45159</v>
      </c>
      <c r="AH1055" s="82" t="s">
        <v>9210</v>
      </c>
      <c r="AI1055" s="77" t="b">
        <v>0</v>
      </c>
      <c r="AJ1055" s="77"/>
      <c r="AK1055" s="77"/>
      <c r="AL1055" s="77"/>
      <c r="AM1055" s="77"/>
      <c r="AN1055" s="77"/>
      <c r="AO1055" s="77"/>
      <c r="AP1055" s="77"/>
      <c r="AQ1055" s="77"/>
      <c r="AR1055" s="77"/>
      <c r="AS1055" s="77"/>
      <c r="AT1055" s="77"/>
      <c r="AU1055" s="77"/>
      <c r="AV1055" s="80" t="str">
        <f>HYPERLINK("https://pbs.twimg.com/profile_images/1041725334431952896/uaPtkYSp_normal.jpg")</f>
        <v>https://pbs.twimg.com/profile_images/1041725334431952896/uaPtkYSp_normal.jpg</v>
      </c>
      <c r="AW1055" s="82" t="s">
        <v>14150</v>
      </c>
      <c r="AX1055" s="82" t="s">
        <v>14150</v>
      </c>
      <c r="AY1055" s="77"/>
      <c r="AZ1055" s="82" t="s">
        <v>17385</v>
      </c>
      <c r="BA1055" s="82" t="s">
        <v>17385</v>
      </c>
      <c r="BB1055" s="82" t="s">
        <v>17385</v>
      </c>
      <c r="BC1055" s="82" t="s">
        <v>14150</v>
      </c>
      <c r="BD1055" s="82" t="s">
        <v>17550</v>
      </c>
      <c r="BE1055" s="77"/>
      <c r="BF1055" s="77"/>
      <c r="BG1055" s="77"/>
      <c r="BH1055" s="77"/>
      <c r="BI1055" s="77"/>
    </row>
    <row r="1056" spans="1:61" x14ac:dyDescent="0.25">
      <c r="A1056" s="62" t="s">
        <v>425</v>
      </c>
      <c r="B1056" s="62" t="s">
        <v>425</v>
      </c>
      <c r="C1056" s="63"/>
      <c r="D1056" s="64"/>
      <c r="E1056" s="65"/>
      <c r="F1056" s="66"/>
      <c r="G1056" s="63"/>
      <c r="H1056" s="67"/>
      <c r="I1056" s="68"/>
      <c r="J1056" s="68"/>
      <c r="K1056" s="32"/>
      <c r="L1056" s="75">
        <v>1056</v>
      </c>
      <c r="M1056" s="75"/>
      <c r="N1056" s="70"/>
      <c r="O1056" s="77" t="s">
        <v>179</v>
      </c>
      <c r="P1056" s="79">
        <v>45153.791076388887</v>
      </c>
      <c r="Q1056" s="77" t="s">
        <v>1847</v>
      </c>
      <c r="R1056" s="77">
        <v>2</v>
      </c>
      <c r="S1056" s="77">
        <v>3</v>
      </c>
      <c r="T1056" s="77">
        <v>0</v>
      </c>
      <c r="U1056" s="77">
        <v>0</v>
      </c>
      <c r="V1056" s="77">
        <v>305</v>
      </c>
      <c r="W1056" s="82" t="s">
        <v>5486</v>
      </c>
      <c r="X1056" s="80" t="str">
        <f>HYPERLINK("https://www.seudinheiro.com/2023/empresas/via-viia3-limite-capital-assembleia-acoes-vinp/")</f>
        <v>https://www.seudinheiro.com/2023/empresas/via-viia3-limite-capital-assembleia-acoes-vinp/</v>
      </c>
      <c r="Y1056" s="77" t="s">
        <v>7102</v>
      </c>
      <c r="Z1056" s="77"/>
      <c r="AA1056" s="77"/>
      <c r="AB1056" s="77"/>
      <c r="AC1056" s="82" t="s">
        <v>8255</v>
      </c>
      <c r="AD1056" s="77" t="s">
        <v>8278</v>
      </c>
      <c r="AE1056" s="80" t="str">
        <f>HYPERLINK("https://twitter.com/seu_dinheiro_br/status/1691524949419139072")</f>
        <v>https://twitter.com/seu_dinheiro_br/status/1691524949419139072</v>
      </c>
      <c r="AF1056" s="79">
        <v>45153.791076388887</v>
      </c>
      <c r="AG1056" s="85">
        <v>45153</v>
      </c>
      <c r="AH1056" s="82" t="s">
        <v>9211</v>
      </c>
      <c r="AI1056" s="77" t="b">
        <v>0</v>
      </c>
      <c r="AJ1056" s="77"/>
      <c r="AK1056" s="77"/>
      <c r="AL1056" s="77"/>
      <c r="AM1056" s="77"/>
      <c r="AN1056" s="77"/>
      <c r="AO1056" s="77"/>
      <c r="AP1056" s="77"/>
      <c r="AQ1056" s="77"/>
      <c r="AR1056" s="77"/>
      <c r="AS1056" s="77"/>
      <c r="AT1056" s="77"/>
      <c r="AU1056" s="77"/>
      <c r="AV1056" s="80" t="str">
        <f>HYPERLINK("https://pbs.twimg.com/profile_images/1041725334431952896/uaPtkYSp_normal.jpg")</f>
        <v>https://pbs.twimg.com/profile_images/1041725334431952896/uaPtkYSp_normal.jpg</v>
      </c>
      <c r="AW1056" s="82" t="s">
        <v>14151</v>
      </c>
      <c r="AX1056" s="82" t="s">
        <v>14151</v>
      </c>
      <c r="AY1056" s="77"/>
      <c r="AZ1056" s="82" t="s">
        <v>17385</v>
      </c>
      <c r="BA1056" s="82" t="s">
        <v>17385</v>
      </c>
      <c r="BB1056" s="82" t="s">
        <v>17385</v>
      </c>
      <c r="BC1056" s="82" t="s">
        <v>14151</v>
      </c>
      <c r="BD1056" s="82" t="s">
        <v>17550</v>
      </c>
      <c r="BE1056" s="77"/>
      <c r="BF1056" s="77"/>
      <c r="BG1056" s="77"/>
      <c r="BH1056" s="77"/>
      <c r="BI1056" s="77"/>
    </row>
    <row r="1057" spans="1:61" x14ac:dyDescent="0.25">
      <c r="A1057" s="62" t="s">
        <v>425</v>
      </c>
      <c r="B1057" s="62" t="s">
        <v>425</v>
      </c>
      <c r="C1057" s="63"/>
      <c r="D1057" s="64"/>
      <c r="E1057" s="65"/>
      <c r="F1057" s="66"/>
      <c r="G1057" s="63"/>
      <c r="H1057" s="67"/>
      <c r="I1057" s="68"/>
      <c r="J1057" s="68"/>
      <c r="K1057" s="32"/>
      <c r="L1057" s="75">
        <v>1057</v>
      </c>
      <c r="M1057" s="75"/>
      <c r="N1057" s="70"/>
      <c r="O1057" s="77" t="s">
        <v>179</v>
      </c>
      <c r="P1057" s="79">
        <v>45153.704398148147</v>
      </c>
      <c r="Q1057" s="77" t="s">
        <v>1848</v>
      </c>
      <c r="R1057" s="77">
        <v>1</v>
      </c>
      <c r="S1057" s="77">
        <v>0</v>
      </c>
      <c r="T1057" s="77">
        <v>0</v>
      </c>
      <c r="U1057" s="77">
        <v>0</v>
      </c>
      <c r="V1057" s="77">
        <v>245</v>
      </c>
      <c r="W1057" s="82" t="s">
        <v>5521</v>
      </c>
      <c r="X1057" s="80" t="str">
        <f>HYPERLINK("https://www.seudinheiro.com/2023/empresas/gol-goll4-desaba-com-emissao-de-bonus-e-rebaixamento-banco-diz-que-operacao-e-risco-para-minoritarios-ccgg/")</f>
        <v>https://www.seudinheiro.com/2023/empresas/gol-goll4-desaba-com-emissao-de-bonus-e-rebaixamento-banco-diz-que-operacao-e-risco-para-minoritarios-ccgg/</v>
      </c>
      <c r="Y1057" s="77" t="s">
        <v>7102</v>
      </c>
      <c r="Z1057" s="77"/>
      <c r="AA1057" s="77"/>
      <c r="AB1057" s="77"/>
      <c r="AC1057" s="82" t="s">
        <v>8255</v>
      </c>
      <c r="AD1057" s="77" t="s">
        <v>8278</v>
      </c>
      <c r="AE1057" s="80" t="str">
        <f>HYPERLINK("https://twitter.com/seu_dinheiro_br/status/1691493536171012115")</f>
        <v>https://twitter.com/seu_dinheiro_br/status/1691493536171012115</v>
      </c>
      <c r="AF1057" s="79">
        <v>45153.704398148147</v>
      </c>
      <c r="AG1057" s="85">
        <v>45153</v>
      </c>
      <c r="AH1057" s="82" t="s">
        <v>9212</v>
      </c>
      <c r="AI1057" s="77" t="b">
        <v>0</v>
      </c>
      <c r="AJ1057" s="77"/>
      <c r="AK1057" s="77"/>
      <c r="AL1057" s="77"/>
      <c r="AM1057" s="77"/>
      <c r="AN1057" s="77"/>
      <c r="AO1057" s="77"/>
      <c r="AP1057" s="77"/>
      <c r="AQ1057" s="77"/>
      <c r="AR1057" s="77"/>
      <c r="AS1057" s="77"/>
      <c r="AT1057" s="77"/>
      <c r="AU1057" s="77"/>
      <c r="AV1057" s="80" t="str">
        <f>HYPERLINK("https://pbs.twimg.com/profile_images/1041725334431952896/uaPtkYSp_normal.jpg")</f>
        <v>https://pbs.twimg.com/profile_images/1041725334431952896/uaPtkYSp_normal.jpg</v>
      </c>
      <c r="AW1057" s="82" t="s">
        <v>14152</v>
      </c>
      <c r="AX1057" s="82" t="s">
        <v>14152</v>
      </c>
      <c r="AY1057" s="77"/>
      <c r="AZ1057" s="82" t="s">
        <v>17385</v>
      </c>
      <c r="BA1057" s="82" t="s">
        <v>17385</v>
      </c>
      <c r="BB1057" s="82" t="s">
        <v>17385</v>
      </c>
      <c r="BC1057" s="82" t="s">
        <v>14152</v>
      </c>
      <c r="BD1057" s="82" t="s">
        <v>17550</v>
      </c>
      <c r="BE1057" s="77"/>
      <c r="BF1057" s="77"/>
      <c r="BG1057" s="77"/>
      <c r="BH1057" s="77"/>
      <c r="BI1057" s="77"/>
    </row>
    <row r="1058" spans="1:61" x14ac:dyDescent="0.25">
      <c r="A1058" s="62" t="s">
        <v>425</v>
      </c>
      <c r="B1058" s="62" t="s">
        <v>425</v>
      </c>
      <c r="C1058" s="63"/>
      <c r="D1058" s="64"/>
      <c r="E1058" s="65"/>
      <c r="F1058" s="66"/>
      <c r="G1058" s="63"/>
      <c r="H1058" s="67"/>
      <c r="I1058" s="68"/>
      <c r="J1058" s="68"/>
      <c r="K1058" s="32"/>
      <c r="L1058" s="75">
        <v>1058</v>
      </c>
      <c r="M1058" s="75"/>
      <c r="N1058" s="70"/>
      <c r="O1058" s="77" t="s">
        <v>179</v>
      </c>
      <c r="P1058" s="79">
        <v>45153.625763888886</v>
      </c>
      <c r="Q1058" s="77" t="s">
        <v>1849</v>
      </c>
      <c r="R1058" s="77">
        <v>0</v>
      </c>
      <c r="S1058" s="77">
        <v>0</v>
      </c>
      <c r="T1058" s="77">
        <v>0</v>
      </c>
      <c r="U1058" s="77">
        <v>0</v>
      </c>
      <c r="V1058" s="77">
        <v>202</v>
      </c>
      <c r="W1058" s="82" t="s">
        <v>5482</v>
      </c>
      <c r="X1058" s="80" t="str">
        <f>HYPERLINK("https://www.seudinheiro.com/2023/colunistas/o-que-o-preco-sobre-lucro-p-l-nos-diz-sobre-uma-acao-miql/")</f>
        <v>https://www.seudinheiro.com/2023/colunistas/o-que-o-preco-sobre-lucro-p-l-nos-diz-sobre-uma-acao-miql/</v>
      </c>
      <c r="Y1058" s="77" t="s">
        <v>7102</v>
      </c>
      <c r="Z1058" s="77"/>
      <c r="AA1058" s="77"/>
      <c r="AB1058" s="77"/>
      <c r="AC1058" s="82" t="s">
        <v>8255</v>
      </c>
      <c r="AD1058" s="77" t="s">
        <v>8278</v>
      </c>
      <c r="AE1058" s="80" t="str">
        <f>HYPERLINK("https://twitter.com/seu_dinheiro_br/status/1691465040841547776")</f>
        <v>https://twitter.com/seu_dinheiro_br/status/1691465040841547776</v>
      </c>
      <c r="AF1058" s="79">
        <v>45153.625763888886</v>
      </c>
      <c r="AG1058" s="85">
        <v>45153</v>
      </c>
      <c r="AH1058" s="82" t="s">
        <v>9213</v>
      </c>
      <c r="AI1058" s="77" t="b">
        <v>0</v>
      </c>
      <c r="AJ1058" s="77"/>
      <c r="AK1058" s="77"/>
      <c r="AL1058" s="77"/>
      <c r="AM1058" s="77"/>
      <c r="AN1058" s="77"/>
      <c r="AO1058" s="77"/>
      <c r="AP1058" s="77"/>
      <c r="AQ1058" s="77"/>
      <c r="AR1058" s="77"/>
      <c r="AS1058" s="77"/>
      <c r="AT1058" s="77"/>
      <c r="AU1058" s="77"/>
      <c r="AV1058" s="80" t="str">
        <f>HYPERLINK("https://pbs.twimg.com/profile_images/1041725334431952896/uaPtkYSp_normal.jpg")</f>
        <v>https://pbs.twimg.com/profile_images/1041725334431952896/uaPtkYSp_normal.jpg</v>
      </c>
      <c r="AW1058" s="82" t="s">
        <v>14153</v>
      </c>
      <c r="AX1058" s="82" t="s">
        <v>14153</v>
      </c>
      <c r="AY1058" s="77"/>
      <c r="AZ1058" s="82" t="s">
        <v>17385</v>
      </c>
      <c r="BA1058" s="82" t="s">
        <v>17385</v>
      </c>
      <c r="BB1058" s="82" t="s">
        <v>17385</v>
      </c>
      <c r="BC1058" s="82" t="s">
        <v>14153</v>
      </c>
      <c r="BD1058" s="82" t="s">
        <v>17550</v>
      </c>
      <c r="BE1058" s="77"/>
      <c r="BF1058" s="77"/>
      <c r="BG1058" s="77"/>
      <c r="BH1058" s="77"/>
      <c r="BI1058" s="77"/>
    </row>
    <row r="1059" spans="1:61" x14ac:dyDescent="0.25">
      <c r="A1059" s="62" t="s">
        <v>425</v>
      </c>
      <c r="B1059" s="62" t="s">
        <v>425</v>
      </c>
      <c r="C1059" s="63"/>
      <c r="D1059" s="64"/>
      <c r="E1059" s="65"/>
      <c r="F1059" s="66"/>
      <c r="G1059" s="63"/>
      <c r="H1059" s="67"/>
      <c r="I1059" s="68"/>
      <c r="J1059" s="68"/>
      <c r="K1059" s="32"/>
      <c r="L1059" s="75">
        <v>1059</v>
      </c>
      <c r="M1059" s="75"/>
      <c r="N1059" s="70"/>
      <c r="O1059" s="77" t="s">
        <v>179</v>
      </c>
      <c r="P1059" s="79">
        <v>45153.578958333332</v>
      </c>
      <c r="Q1059" s="77" t="s">
        <v>1850</v>
      </c>
      <c r="R1059" s="77">
        <v>0</v>
      </c>
      <c r="S1059" s="77">
        <v>0</v>
      </c>
      <c r="T1059" s="77">
        <v>0</v>
      </c>
      <c r="U1059" s="77">
        <v>0</v>
      </c>
      <c r="V1059" s="77">
        <v>310</v>
      </c>
      <c r="W1059" s="82" t="s">
        <v>5475</v>
      </c>
      <c r="X1059" s="80" t="str">
        <f>HYPERLINK("https://www.seudinheiro.com/2023/empresas/cosan-csan3-e-grupo-mateus-gmat3-anunciam-programa-de-recompra-de-acoes-miql/")</f>
        <v>https://www.seudinheiro.com/2023/empresas/cosan-csan3-e-grupo-mateus-gmat3-anunciam-programa-de-recompra-de-acoes-miql/</v>
      </c>
      <c r="Y1059" s="77" t="s">
        <v>7102</v>
      </c>
      <c r="Z1059" s="77"/>
      <c r="AA1059" s="77"/>
      <c r="AB1059" s="77"/>
      <c r="AC1059" s="82" t="s">
        <v>8255</v>
      </c>
      <c r="AD1059" s="77" t="s">
        <v>8278</v>
      </c>
      <c r="AE1059" s="80" t="str">
        <f>HYPERLINK("https://twitter.com/seu_dinheiro_br/status/1691448079877054464")</f>
        <v>https://twitter.com/seu_dinheiro_br/status/1691448079877054464</v>
      </c>
      <c r="AF1059" s="79">
        <v>45153.578958333332</v>
      </c>
      <c r="AG1059" s="85">
        <v>45153</v>
      </c>
      <c r="AH1059" s="82" t="s">
        <v>9214</v>
      </c>
      <c r="AI1059" s="77" t="b">
        <v>0</v>
      </c>
      <c r="AJ1059" s="77"/>
      <c r="AK1059" s="77"/>
      <c r="AL1059" s="77"/>
      <c r="AM1059" s="77"/>
      <c r="AN1059" s="77"/>
      <c r="AO1059" s="77"/>
      <c r="AP1059" s="77"/>
      <c r="AQ1059" s="77"/>
      <c r="AR1059" s="77"/>
      <c r="AS1059" s="77"/>
      <c r="AT1059" s="77"/>
      <c r="AU1059" s="77"/>
      <c r="AV1059" s="80" t="str">
        <f>HYPERLINK("https://pbs.twimg.com/profile_images/1041725334431952896/uaPtkYSp_normal.jpg")</f>
        <v>https://pbs.twimg.com/profile_images/1041725334431952896/uaPtkYSp_normal.jpg</v>
      </c>
      <c r="AW1059" s="82" t="s">
        <v>14154</v>
      </c>
      <c r="AX1059" s="82" t="s">
        <v>14154</v>
      </c>
      <c r="AY1059" s="77"/>
      <c r="AZ1059" s="82" t="s">
        <v>17385</v>
      </c>
      <c r="BA1059" s="82" t="s">
        <v>17385</v>
      </c>
      <c r="BB1059" s="82" t="s">
        <v>17385</v>
      </c>
      <c r="BC1059" s="82" t="s">
        <v>14154</v>
      </c>
      <c r="BD1059" s="82" t="s">
        <v>17550</v>
      </c>
      <c r="BE1059" s="77"/>
      <c r="BF1059" s="77"/>
      <c r="BG1059" s="77"/>
      <c r="BH1059" s="77"/>
      <c r="BI1059" s="77"/>
    </row>
    <row r="1060" spans="1:61" x14ac:dyDescent="0.25">
      <c r="A1060" s="62" t="s">
        <v>425</v>
      </c>
      <c r="B1060" s="62" t="s">
        <v>425</v>
      </c>
      <c r="C1060" s="63"/>
      <c r="D1060" s="64"/>
      <c r="E1060" s="65"/>
      <c r="F1060" s="66"/>
      <c r="G1060" s="63"/>
      <c r="H1060" s="67"/>
      <c r="I1060" s="68"/>
      <c r="J1060" s="68"/>
      <c r="K1060" s="32"/>
      <c r="L1060" s="75">
        <v>1060</v>
      </c>
      <c r="M1060" s="75"/>
      <c r="N1060" s="70"/>
      <c r="O1060" s="77" t="s">
        <v>179</v>
      </c>
      <c r="P1060" s="79">
        <v>45153.432951388888</v>
      </c>
      <c r="Q1060" s="77" t="s">
        <v>1851</v>
      </c>
      <c r="R1060" s="77">
        <v>0</v>
      </c>
      <c r="S1060" s="77">
        <v>2</v>
      </c>
      <c r="T1060" s="77">
        <v>0</v>
      </c>
      <c r="U1060" s="77">
        <v>0</v>
      </c>
      <c r="V1060" s="77">
        <v>332</v>
      </c>
      <c r="W1060" s="82" t="s">
        <v>5475</v>
      </c>
      <c r="X1060" s="80" t="str">
        <f>HYPERLINK("https://www.seudinheiro.com/2023/colunistas/day-trade-na-b3-acao-da-marfrig-mrfg3-pode-render-lucro-hoje-15-08-miql/")</f>
        <v>https://www.seudinheiro.com/2023/colunistas/day-trade-na-b3-acao-da-marfrig-mrfg3-pode-render-lucro-hoje-15-08-miql/</v>
      </c>
      <c r="Y1060" s="77" t="s">
        <v>7102</v>
      </c>
      <c r="Z1060" s="77"/>
      <c r="AA1060" s="77"/>
      <c r="AB1060" s="77"/>
      <c r="AC1060" s="82" t="s">
        <v>8255</v>
      </c>
      <c r="AD1060" s="77" t="s">
        <v>8278</v>
      </c>
      <c r="AE1060" s="80" t="str">
        <f>HYPERLINK("https://twitter.com/seu_dinheiro_br/status/1691395169491329025")</f>
        <v>https://twitter.com/seu_dinheiro_br/status/1691395169491329025</v>
      </c>
      <c r="AF1060" s="79">
        <v>45153.432951388888</v>
      </c>
      <c r="AG1060" s="85">
        <v>45153</v>
      </c>
      <c r="AH1060" s="82" t="s">
        <v>9215</v>
      </c>
      <c r="AI1060" s="77" t="b">
        <v>0</v>
      </c>
      <c r="AJ1060" s="77"/>
      <c r="AK1060" s="77"/>
      <c r="AL1060" s="77"/>
      <c r="AM1060" s="77"/>
      <c r="AN1060" s="77"/>
      <c r="AO1060" s="77"/>
      <c r="AP1060" s="77"/>
      <c r="AQ1060" s="77"/>
      <c r="AR1060" s="77"/>
      <c r="AS1060" s="77"/>
      <c r="AT1060" s="77"/>
      <c r="AU1060" s="77"/>
      <c r="AV1060" s="80" t="str">
        <f>HYPERLINK("https://pbs.twimg.com/profile_images/1041725334431952896/uaPtkYSp_normal.jpg")</f>
        <v>https://pbs.twimg.com/profile_images/1041725334431952896/uaPtkYSp_normal.jpg</v>
      </c>
      <c r="AW1060" s="82" t="s">
        <v>14155</v>
      </c>
      <c r="AX1060" s="82" t="s">
        <v>14155</v>
      </c>
      <c r="AY1060" s="77"/>
      <c r="AZ1060" s="82" t="s">
        <v>17385</v>
      </c>
      <c r="BA1060" s="82" t="s">
        <v>17385</v>
      </c>
      <c r="BB1060" s="82" t="s">
        <v>17385</v>
      </c>
      <c r="BC1060" s="82" t="s">
        <v>14155</v>
      </c>
      <c r="BD1060" s="82" t="s">
        <v>17550</v>
      </c>
      <c r="BE1060" s="77"/>
      <c r="BF1060" s="77"/>
      <c r="BG1060" s="77"/>
      <c r="BH1060" s="77"/>
      <c r="BI1060" s="77"/>
    </row>
    <row r="1061" spans="1:61" x14ac:dyDescent="0.25">
      <c r="A1061" s="62" t="s">
        <v>425</v>
      </c>
      <c r="B1061" s="62" t="s">
        <v>425</v>
      </c>
      <c r="C1061" s="63"/>
      <c r="D1061" s="64"/>
      <c r="E1061" s="65"/>
      <c r="F1061" s="66"/>
      <c r="G1061" s="63"/>
      <c r="H1061" s="67"/>
      <c r="I1061" s="68"/>
      <c r="J1061" s="68"/>
      <c r="K1061" s="32"/>
      <c r="L1061" s="75">
        <v>1061</v>
      </c>
      <c r="M1061" s="75"/>
      <c r="N1061" s="70"/>
      <c r="O1061" s="77" t="s">
        <v>179</v>
      </c>
      <c r="P1061" s="79">
        <v>45152.974108796298</v>
      </c>
      <c r="Q1061" s="77" t="s">
        <v>1852</v>
      </c>
      <c r="R1061" s="77">
        <v>0</v>
      </c>
      <c r="S1061" s="77">
        <v>0</v>
      </c>
      <c r="T1061" s="77">
        <v>0</v>
      </c>
      <c r="U1061" s="77">
        <v>0</v>
      </c>
      <c r="V1061" s="77">
        <v>294</v>
      </c>
      <c r="W1061" s="82" t="s">
        <v>5522</v>
      </c>
      <c r="X1061" s="80" t="str">
        <f>HYPERLINK("https://www.seudinheiro.com/2023/colunistas/felipe-miranda-bizarre-love-triangle-ccgg/")</f>
        <v>https://www.seudinheiro.com/2023/colunistas/felipe-miranda-bizarre-love-triangle-ccgg/</v>
      </c>
      <c r="Y1061" s="77" t="s">
        <v>7102</v>
      </c>
      <c r="Z1061" s="77"/>
      <c r="AA1061" s="77"/>
      <c r="AB1061" s="77"/>
      <c r="AC1061" s="82" t="s">
        <v>8255</v>
      </c>
      <c r="AD1061" s="77" t="s">
        <v>8285</v>
      </c>
      <c r="AE1061" s="80" t="str">
        <f>HYPERLINK("https://twitter.com/seu_dinheiro_br/status/1691228890277019648")</f>
        <v>https://twitter.com/seu_dinheiro_br/status/1691228890277019648</v>
      </c>
      <c r="AF1061" s="79">
        <v>45152.974108796298</v>
      </c>
      <c r="AG1061" s="85">
        <v>45152</v>
      </c>
      <c r="AH1061" s="82" t="s">
        <v>9216</v>
      </c>
      <c r="AI1061" s="77" t="b">
        <v>0</v>
      </c>
      <c r="AJ1061" s="77"/>
      <c r="AK1061" s="77"/>
      <c r="AL1061" s="77"/>
      <c r="AM1061" s="77"/>
      <c r="AN1061" s="77"/>
      <c r="AO1061" s="77"/>
      <c r="AP1061" s="77"/>
      <c r="AQ1061" s="77"/>
      <c r="AR1061" s="77"/>
      <c r="AS1061" s="77"/>
      <c r="AT1061" s="77"/>
      <c r="AU1061" s="77"/>
      <c r="AV1061" s="80" t="str">
        <f>HYPERLINK("https://pbs.twimg.com/profile_images/1041725334431952896/uaPtkYSp_normal.jpg")</f>
        <v>https://pbs.twimg.com/profile_images/1041725334431952896/uaPtkYSp_normal.jpg</v>
      </c>
      <c r="AW1061" s="82" t="s">
        <v>14156</v>
      </c>
      <c r="AX1061" s="82" t="s">
        <v>14156</v>
      </c>
      <c r="AY1061" s="77"/>
      <c r="AZ1061" s="82" t="s">
        <v>17385</v>
      </c>
      <c r="BA1061" s="82" t="s">
        <v>17385</v>
      </c>
      <c r="BB1061" s="82" t="s">
        <v>17385</v>
      </c>
      <c r="BC1061" s="82" t="s">
        <v>14156</v>
      </c>
      <c r="BD1061" s="82" t="s">
        <v>17550</v>
      </c>
      <c r="BE1061" s="77"/>
      <c r="BF1061" s="77"/>
      <c r="BG1061" s="77"/>
      <c r="BH1061" s="77"/>
      <c r="BI1061" s="77"/>
    </row>
    <row r="1062" spans="1:61" x14ac:dyDescent="0.25">
      <c r="A1062" s="62" t="s">
        <v>425</v>
      </c>
      <c r="B1062" s="62" t="s">
        <v>425</v>
      </c>
      <c r="C1062" s="63"/>
      <c r="D1062" s="64"/>
      <c r="E1062" s="65"/>
      <c r="F1062" s="66"/>
      <c r="G1062" s="63"/>
      <c r="H1062" s="67"/>
      <c r="I1062" s="68"/>
      <c r="J1062" s="68"/>
      <c r="K1062" s="32"/>
      <c r="L1062" s="75">
        <v>1062</v>
      </c>
      <c r="M1062" s="75"/>
      <c r="N1062" s="70"/>
      <c r="O1062" s="77" t="s">
        <v>179</v>
      </c>
      <c r="P1062" s="79">
        <v>45152.960682870369</v>
      </c>
      <c r="Q1062" s="77" t="s">
        <v>1853</v>
      </c>
      <c r="R1062" s="77">
        <v>0</v>
      </c>
      <c r="S1062" s="77">
        <v>1</v>
      </c>
      <c r="T1062" s="77">
        <v>0</v>
      </c>
      <c r="U1062" s="77">
        <v>0</v>
      </c>
      <c r="V1062" s="77">
        <v>613</v>
      </c>
      <c r="W1062" s="82" t="s">
        <v>5523</v>
      </c>
      <c r="X1062" s="80" t="str">
        <f>HYPERLINK("https://www.seudinheiro.com/2023/empresas/balanco-magazine-luiza-magalu-mglu3-liquido-segundo-trimestre-rens-ccgg/")</f>
        <v>https://www.seudinheiro.com/2023/empresas/balanco-magazine-luiza-magalu-mglu3-liquido-segundo-trimestre-rens-ccgg/</v>
      </c>
      <c r="Y1062" s="77" t="s">
        <v>7102</v>
      </c>
      <c r="Z1062" s="77"/>
      <c r="AA1062" s="77"/>
      <c r="AB1062" s="77"/>
      <c r="AC1062" s="82" t="s">
        <v>8255</v>
      </c>
      <c r="AD1062" s="77" t="s">
        <v>8278</v>
      </c>
      <c r="AE1062" s="80" t="str">
        <f>HYPERLINK("https://twitter.com/seu_dinheiro_br/status/1691224024926330880")</f>
        <v>https://twitter.com/seu_dinheiro_br/status/1691224024926330880</v>
      </c>
      <c r="AF1062" s="79">
        <v>45152.960682870369</v>
      </c>
      <c r="AG1062" s="85">
        <v>45152</v>
      </c>
      <c r="AH1062" s="82" t="s">
        <v>9217</v>
      </c>
      <c r="AI1062" s="77" t="b">
        <v>0</v>
      </c>
      <c r="AJ1062" s="77"/>
      <c r="AK1062" s="77"/>
      <c r="AL1062" s="77"/>
      <c r="AM1062" s="77"/>
      <c r="AN1062" s="77"/>
      <c r="AO1062" s="77"/>
      <c r="AP1062" s="77"/>
      <c r="AQ1062" s="77"/>
      <c r="AR1062" s="77"/>
      <c r="AS1062" s="77"/>
      <c r="AT1062" s="77"/>
      <c r="AU1062" s="77"/>
      <c r="AV1062" s="80" t="str">
        <f>HYPERLINK("https://pbs.twimg.com/profile_images/1041725334431952896/uaPtkYSp_normal.jpg")</f>
        <v>https://pbs.twimg.com/profile_images/1041725334431952896/uaPtkYSp_normal.jpg</v>
      </c>
      <c r="AW1062" s="82" t="s">
        <v>14157</v>
      </c>
      <c r="AX1062" s="82" t="s">
        <v>14157</v>
      </c>
      <c r="AY1062" s="77"/>
      <c r="AZ1062" s="82" t="s">
        <v>17385</v>
      </c>
      <c r="BA1062" s="82" t="s">
        <v>17385</v>
      </c>
      <c r="BB1062" s="82" t="s">
        <v>17385</v>
      </c>
      <c r="BC1062" s="82" t="s">
        <v>14157</v>
      </c>
      <c r="BD1062" s="82" t="s">
        <v>17550</v>
      </c>
      <c r="BE1062" s="77"/>
      <c r="BF1062" s="77"/>
      <c r="BG1062" s="77"/>
      <c r="BH1062" s="77"/>
      <c r="BI1062" s="77"/>
    </row>
    <row r="1063" spans="1:61" x14ac:dyDescent="0.25">
      <c r="A1063" s="62" t="s">
        <v>425</v>
      </c>
      <c r="B1063" s="62" t="s">
        <v>425</v>
      </c>
      <c r="C1063" s="63"/>
      <c r="D1063" s="64"/>
      <c r="E1063" s="65"/>
      <c r="F1063" s="66"/>
      <c r="G1063" s="63"/>
      <c r="H1063" s="67"/>
      <c r="I1063" s="68"/>
      <c r="J1063" s="68"/>
      <c r="K1063" s="32"/>
      <c r="L1063" s="75">
        <v>1063</v>
      </c>
      <c r="M1063" s="75"/>
      <c r="N1063" s="70"/>
      <c r="O1063" s="77" t="s">
        <v>179</v>
      </c>
      <c r="P1063" s="79">
        <v>45140.742418981485</v>
      </c>
      <c r="Q1063" s="77" t="s">
        <v>1854</v>
      </c>
      <c r="R1063" s="77">
        <v>1</v>
      </c>
      <c r="S1063" s="77">
        <v>2</v>
      </c>
      <c r="T1063" s="77">
        <v>0</v>
      </c>
      <c r="U1063" s="77">
        <v>0</v>
      </c>
      <c r="V1063" s="77">
        <v>361</v>
      </c>
      <c r="W1063" s="82" t="s">
        <v>5479</v>
      </c>
      <c r="X1063" s="80" t="str">
        <f>HYPERLINK("https://www.seudinheiro.com/2023/empresas/cielo-ciel3-empresa-maquininha-balanco-recomendacao-rens/")</f>
        <v>https://www.seudinheiro.com/2023/empresas/cielo-ciel3-empresa-maquininha-balanco-recomendacao-rens/</v>
      </c>
      <c r="Y1063" s="77" t="s">
        <v>7102</v>
      </c>
      <c r="Z1063" s="77"/>
      <c r="AA1063" s="77"/>
      <c r="AB1063" s="77"/>
      <c r="AC1063" s="82" t="s">
        <v>8255</v>
      </c>
      <c r="AD1063" s="77" t="s">
        <v>8278</v>
      </c>
      <c r="AE1063" s="80" t="str">
        <f>HYPERLINK("https://twitter.com/seu_dinheiro_br/status/1686796275377729547")</f>
        <v>https://twitter.com/seu_dinheiro_br/status/1686796275377729547</v>
      </c>
      <c r="AF1063" s="79">
        <v>45140.742418981485</v>
      </c>
      <c r="AG1063" s="85">
        <v>45140</v>
      </c>
      <c r="AH1063" s="82" t="s">
        <v>9218</v>
      </c>
      <c r="AI1063" s="77" t="b">
        <v>0</v>
      </c>
      <c r="AJ1063" s="77"/>
      <c r="AK1063" s="77"/>
      <c r="AL1063" s="77"/>
      <c r="AM1063" s="77"/>
      <c r="AN1063" s="77"/>
      <c r="AO1063" s="77"/>
      <c r="AP1063" s="77"/>
      <c r="AQ1063" s="77"/>
      <c r="AR1063" s="77"/>
      <c r="AS1063" s="77"/>
      <c r="AT1063" s="77"/>
      <c r="AU1063" s="77"/>
      <c r="AV1063" s="80" t="str">
        <f>HYPERLINK("https://pbs.twimg.com/profile_images/1041725334431952896/uaPtkYSp_normal.jpg")</f>
        <v>https://pbs.twimg.com/profile_images/1041725334431952896/uaPtkYSp_normal.jpg</v>
      </c>
      <c r="AW1063" s="82" t="s">
        <v>14158</v>
      </c>
      <c r="AX1063" s="82" t="s">
        <v>14158</v>
      </c>
      <c r="AY1063" s="77"/>
      <c r="AZ1063" s="82" t="s">
        <v>17385</v>
      </c>
      <c r="BA1063" s="82" t="s">
        <v>17385</v>
      </c>
      <c r="BB1063" s="82" t="s">
        <v>17385</v>
      </c>
      <c r="BC1063" s="82" t="s">
        <v>14158</v>
      </c>
      <c r="BD1063" s="82" t="s">
        <v>17550</v>
      </c>
      <c r="BE1063" s="77"/>
      <c r="BF1063" s="77"/>
      <c r="BG1063" s="77"/>
      <c r="BH1063" s="77"/>
      <c r="BI1063" s="77"/>
    </row>
    <row r="1064" spans="1:61" x14ac:dyDescent="0.25">
      <c r="A1064" s="62" t="s">
        <v>425</v>
      </c>
      <c r="B1064" s="62" t="s">
        <v>425</v>
      </c>
      <c r="C1064" s="63"/>
      <c r="D1064" s="64"/>
      <c r="E1064" s="65"/>
      <c r="F1064" s="66"/>
      <c r="G1064" s="63"/>
      <c r="H1064" s="67"/>
      <c r="I1064" s="68"/>
      <c r="J1064" s="68"/>
      <c r="K1064" s="32"/>
      <c r="L1064" s="75">
        <v>1064</v>
      </c>
      <c r="M1064" s="75"/>
      <c r="N1064" s="70"/>
      <c r="O1064" s="77" t="s">
        <v>179</v>
      </c>
      <c r="P1064" s="79">
        <v>45140.500694444447</v>
      </c>
      <c r="Q1064" s="77" t="s">
        <v>1855</v>
      </c>
      <c r="R1064" s="77">
        <v>0</v>
      </c>
      <c r="S1064" s="77">
        <v>1</v>
      </c>
      <c r="T1064" s="77">
        <v>0</v>
      </c>
      <c r="U1064" s="77">
        <v>0</v>
      </c>
      <c r="V1064" s="77">
        <v>1412</v>
      </c>
      <c r="W1064" s="82" t="s">
        <v>5475</v>
      </c>
      <c r="X1064" s="80" t="str">
        <f>HYPERLINK("https://www.seudinheiro.com/2023/colunistas/day-trade-na-b3-acao-ca-modas-ceab3-02-08-rens/")</f>
        <v>https://www.seudinheiro.com/2023/colunistas/day-trade-na-b3-acao-ca-modas-ceab3-02-08-rens/</v>
      </c>
      <c r="Y1064" s="77" t="s">
        <v>7102</v>
      </c>
      <c r="Z1064" s="77"/>
      <c r="AA1064" s="77"/>
      <c r="AB1064" s="77"/>
      <c r="AC1064" s="82" t="s">
        <v>8255</v>
      </c>
      <c r="AD1064" s="77" t="s">
        <v>8278</v>
      </c>
      <c r="AE1064" s="80" t="str">
        <f>HYPERLINK("https://twitter.com/seu_dinheiro_br/status/1686708674935267329")</f>
        <v>https://twitter.com/seu_dinheiro_br/status/1686708674935267329</v>
      </c>
      <c r="AF1064" s="79">
        <v>45140.500694444447</v>
      </c>
      <c r="AG1064" s="85">
        <v>45140</v>
      </c>
      <c r="AH1064" s="82" t="s">
        <v>9080</v>
      </c>
      <c r="AI1064" s="77" t="b">
        <v>0</v>
      </c>
      <c r="AJ1064" s="77"/>
      <c r="AK1064" s="77"/>
      <c r="AL1064" s="77"/>
      <c r="AM1064" s="77"/>
      <c r="AN1064" s="77"/>
      <c r="AO1064" s="77"/>
      <c r="AP1064" s="77"/>
      <c r="AQ1064" s="77"/>
      <c r="AR1064" s="77"/>
      <c r="AS1064" s="77"/>
      <c r="AT1064" s="77"/>
      <c r="AU1064" s="77"/>
      <c r="AV1064" s="80" t="str">
        <f>HYPERLINK("https://pbs.twimg.com/profile_images/1041725334431952896/uaPtkYSp_normal.jpg")</f>
        <v>https://pbs.twimg.com/profile_images/1041725334431952896/uaPtkYSp_normal.jpg</v>
      </c>
      <c r="AW1064" s="82" t="s">
        <v>14159</v>
      </c>
      <c r="AX1064" s="82" t="s">
        <v>14159</v>
      </c>
      <c r="AY1064" s="77"/>
      <c r="AZ1064" s="82" t="s">
        <v>17385</v>
      </c>
      <c r="BA1064" s="82" t="s">
        <v>17385</v>
      </c>
      <c r="BB1064" s="82" t="s">
        <v>17385</v>
      </c>
      <c r="BC1064" s="82" t="s">
        <v>14159</v>
      </c>
      <c r="BD1064" s="82" t="s">
        <v>17550</v>
      </c>
      <c r="BE1064" s="77"/>
      <c r="BF1064" s="77"/>
      <c r="BG1064" s="77"/>
      <c r="BH1064" s="77"/>
      <c r="BI1064" s="77"/>
    </row>
    <row r="1065" spans="1:61" x14ac:dyDescent="0.25">
      <c r="A1065" s="62" t="s">
        <v>425</v>
      </c>
      <c r="B1065" s="62" t="s">
        <v>425</v>
      </c>
      <c r="C1065" s="63"/>
      <c r="D1065" s="64"/>
      <c r="E1065" s="65"/>
      <c r="F1065" s="66"/>
      <c r="G1065" s="63"/>
      <c r="H1065" s="67"/>
      <c r="I1065" s="68"/>
      <c r="J1065" s="68"/>
      <c r="K1065" s="32"/>
      <c r="L1065" s="75">
        <v>1065</v>
      </c>
      <c r="M1065" s="75"/>
      <c r="N1065" s="70"/>
      <c r="O1065" s="77" t="s">
        <v>179</v>
      </c>
      <c r="P1065" s="79">
        <v>45126.730370370373</v>
      </c>
      <c r="Q1065" s="77" t="s">
        <v>1856</v>
      </c>
      <c r="R1065" s="77">
        <v>0</v>
      </c>
      <c r="S1065" s="77">
        <v>1</v>
      </c>
      <c r="T1065" s="77">
        <v>0</v>
      </c>
      <c r="U1065" s="77">
        <v>0</v>
      </c>
      <c r="V1065" s="77">
        <v>238</v>
      </c>
      <c r="W1065" s="82" t="s">
        <v>5524</v>
      </c>
      <c r="X1065" s="80" t="str">
        <f>HYPERLINK("https://www.seudinheiro.com/2023/bolsa-dolar/sem-medo-do-perigo-apetite-por-risco-de-gestores-de-fundos-na-america-latina-supera-media-historica-pela-primeira-vez-ccgg/")</f>
        <v>https://www.seudinheiro.com/2023/bolsa-dolar/sem-medo-do-perigo-apetite-por-risco-de-gestores-de-fundos-na-america-latina-supera-media-historica-pela-primeira-vez-ccgg/</v>
      </c>
      <c r="Y1065" s="77" t="s">
        <v>7102</v>
      </c>
      <c r="Z1065" s="77"/>
      <c r="AA1065" s="77"/>
      <c r="AB1065" s="77"/>
      <c r="AC1065" s="82" t="s">
        <v>8255</v>
      </c>
      <c r="AD1065" s="77" t="s">
        <v>8278</v>
      </c>
      <c r="AE1065" s="80" t="str">
        <f>HYPERLINK("https://twitter.com/seu_dinheiro_br/status/1681718476698705920")</f>
        <v>https://twitter.com/seu_dinheiro_br/status/1681718476698705920</v>
      </c>
      <c r="AF1065" s="79">
        <v>45126.730370370373</v>
      </c>
      <c r="AG1065" s="85">
        <v>45126</v>
      </c>
      <c r="AH1065" s="82" t="s">
        <v>9219</v>
      </c>
      <c r="AI1065" s="77" t="b">
        <v>0</v>
      </c>
      <c r="AJ1065" s="77"/>
      <c r="AK1065" s="77"/>
      <c r="AL1065" s="77"/>
      <c r="AM1065" s="77"/>
      <c r="AN1065" s="77"/>
      <c r="AO1065" s="77"/>
      <c r="AP1065" s="77"/>
      <c r="AQ1065" s="77"/>
      <c r="AR1065" s="77"/>
      <c r="AS1065" s="77"/>
      <c r="AT1065" s="77"/>
      <c r="AU1065" s="77"/>
      <c r="AV1065" s="80" t="str">
        <f>HYPERLINK("https://pbs.twimg.com/profile_images/1041725334431952896/uaPtkYSp_normal.jpg")</f>
        <v>https://pbs.twimg.com/profile_images/1041725334431952896/uaPtkYSp_normal.jpg</v>
      </c>
      <c r="AW1065" s="82" t="s">
        <v>14160</v>
      </c>
      <c r="AX1065" s="82" t="s">
        <v>14160</v>
      </c>
      <c r="AY1065" s="77"/>
      <c r="AZ1065" s="82" t="s">
        <v>17385</v>
      </c>
      <c r="BA1065" s="82" t="s">
        <v>17385</v>
      </c>
      <c r="BB1065" s="82" t="s">
        <v>17385</v>
      </c>
      <c r="BC1065" s="82" t="s">
        <v>14160</v>
      </c>
      <c r="BD1065" s="82" t="s">
        <v>17550</v>
      </c>
      <c r="BE1065" s="77"/>
      <c r="BF1065" s="77"/>
      <c r="BG1065" s="77"/>
      <c r="BH1065" s="77"/>
      <c r="BI1065" s="77"/>
    </row>
    <row r="1066" spans="1:61" x14ac:dyDescent="0.25">
      <c r="A1066" s="62" t="s">
        <v>425</v>
      </c>
      <c r="B1066" s="62" t="s">
        <v>425</v>
      </c>
      <c r="C1066" s="63"/>
      <c r="D1066" s="64"/>
      <c r="E1066" s="65"/>
      <c r="F1066" s="66"/>
      <c r="G1066" s="63"/>
      <c r="H1066" s="67"/>
      <c r="I1066" s="68"/>
      <c r="J1066" s="68"/>
      <c r="K1066" s="32"/>
      <c r="L1066" s="75">
        <v>1066</v>
      </c>
      <c r="M1066" s="75"/>
      <c r="N1066" s="70"/>
      <c r="O1066" s="77" t="s">
        <v>179</v>
      </c>
      <c r="P1066" s="79">
        <v>45126.679826388892</v>
      </c>
      <c r="Q1066" s="77" t="s">
        <v>1857</v>
      </c>
      <c r="R1066" s="77">
        <v>0</v>
      </c>
      <c r="S1066" s="77">
        <v>2</v>
      </c>
      <c r="T1066" s="77">
        <v>0</v>
      </c>
      <c r="U1066" s="77">
        <v>0</v>
      </c>
      <c r="V1066" s="77">
        <v>305</v>
      </c>
      <c r="W1066" s="82" t="s">
        <v>5525</v>
      </c>
      <c r="X1066" s="80" t="str">
        <f>HYPERLINK("https://www.seudinheiro.com/2023/empresas/a-acao-que-ganhou-passe-livre-dos-bancoes-e-sobe-forte-hoje-espaco-para-valorizacao-e-de-mais-de-70-ccgg/")</f>
        <v>https://www.seudinheiro.com/2023/empresas/a-acao-que-ganhou-passe-livre-dos-bancoes-e-sobe-forte-hoje-espaco-para-valorizacao-e-de-mais-de-70-ccgg/</v>
      </c>
      <c r="Y1066" s="77" t="s">
        <v>7102</v>
      </c>
      <c r="Z1066" s="77"/>
      <c r="AA1066" s="77"/>
      <c r="AB1066" s="77"/>
      <c r="AC1066" s="82" t="s">
        <v>8255</v>
      </c>
      <c r="AD1066" s="77" t="s">
        <v>8278</v>
      </c>
      <c r="AE1066" s="80" t="str">
        <f>HYPERLINK("https://twitter.com/seu_dinheiro_br/status/1681700161490124806")</f>
        <v>https://twitter.com/seu_dinheiro_br/status/1681700161490124806</v>
      </c>
      <c r="AF1066" s="79">
        <v>45126.679826388892</v>
      </c>
      <c r="AG1066" s="85">
        <v>45126</v>
      </c>
      <c r="AH1066" s="82" t="s">
        <v>9220</v>
      </c>
      <c r="AI1066" s="77" t="b">
        <v>0</v>
      </c>
      <c r="AJ1066" s="77"/>
      <c r="AK1066" s="77"/>
      <c r="AL1066" s="77"/>
      <c r="AM1066" s="77"/>
      <c r="AN1066" s="77"/>
      <c r="AO1066" s="77"/>
      <c r="AP1066" s="77"/>
      <c r="AQ1066" s="77"/>
      <c r="AR1066" s="77"/>
      <c r="AS1066" s="77"/>
      <c r="AT1066" s="77"/>
      <c r="AU1066" s="77"/>
      <c r="AV1066" s="80" t="str">
        <f>HYPERLINK("https://pbs.twimg.com/profile_images/1041725334431952896/uaPtkYSp_normal.jpg")</f>
        <v>https://pbs.twimg.com/profile_images/1041725334431952896/uaPtkYSp_normal.jpg</v>
      </c>
      <c r="AW1066" s="82" t="s">
        <v>14161</v>
      </c>
      <c r="AX1066" s="82" t="s">
        <v>14161</v>
      </c>
      <c r="AY1066" s="77"/>
      <c r="AZ1066" s="82" t="s">
        <v>17385</v>
      </c>
      <c r="BA1066" s="82" t="s">
        <v>17385</v>
      </c>
      <c r="BB1066" s="82" t="s">
        <v>17385</v>
      </c>
      <c r="BC1066" s="82" t="s">
        <v>14161</v>
      </c>
      <c r="BD1066" s="82" t="s">
        <v>17550</v>
      </c>
      <c r="BE1066" s="77"/>
      <c r="BF1066" s="77"/>
      <c r="BG1066" s="77"/>
      <c r="BH1066" s="77"/>
      <c r="BI1066" s="77"/>
    </row>
    <row r="1067" spans="1:61" x14ac:dyDescent="0.25">
      <c r="A1067" s="62" t="s">
        <v>425</v>
      </c>
      <c r="B1067" s="62" t="s">
        <v>425</v>
      </c>
      <c r="C1067" s="63"/>
      <c r="D1067" s="64"/>
      <c r="E1067" s="65"/>
      <c r="F1067" s="66"/>
      <c r="G1067" s="63"/>
      <c r="H1067" s="67"/>
      <c r="I1067" s="68"/>
      <c r="J1067" s="68"/>
      <c r="K1067" s="32"/>
      <c r="L1067" s="75">
        <v>1067</v>
      </c>
      <c r="M1067" s="75"/>
      <c r="N1067" s="70"/>
      <c r="O1067" s="77" t="s">
        <v>179</v>
      </c>
      <c r="P1067" s="79">
        <v>45126.499618055554</v>
      </c>
      <c r="Q1067" s="77" t="s">
        <v>1858</v>
      </c>
      <c r="R1067" s="77">
        <v>0</v>
      </c>
      <c r="S1067" s="77">
        <v>1</v>
      </c>
      <c r="T1067" s="77">
        <v>0</v>
      </c>
      <c r="U1067" s="77">
        <v>0</v>
      </c>
      <c r="V1067" s="77">
        <v>259</v>
      </c>
      <c r="W1067" s="82" t="s">
        <v>5475</v>
      </c>
      <c r="X1067" s="80" t="str">
        <f>HYPERLINK("https://www.seudinheiro.com/2023/colunistas/day-trade-na-b3-acao-itausa-itsa4-itau-unibanco-itub4-18-07-rens/")</f>
        <v>https://www.seudinheiro.com/2023/colunistas/day-trade-na-b3-acao-itausa-itsa4-itau-unibanco-itub4-18-07-rens/</v>
      </c>
      <c r="Y1067" s="77" t="s">
        <v>7102</v>
      </c>
      <c r="Z1067" s="77"/>
      <c r="AA1067" s="77"/>
      <c r="AB1067" s="77"/>
      <c r="AC1067" s="82" t="s">
        <v>8255</v>
      </c>
      <c r="AD1067" s="77" t="s">
        <v>8278</v>
      </c>
      <c r="AE1067" s="80" t="str">
        <f>HYPERLINK("https://twitter.com/seu_dinheiro_br/status/1681634855237431296")</f>
        <v>https://twitter.com/seu_dinheiro_br/status/1681634855237431296</v>
      </c>
      <c r="AF1067" s="79">
        <v>45126.499618055554</v>
      </c>
      <c r="AG1067" s="85">
        <v>45126</v>
      </c>
      <c r="AH1067" s="82" t="s">
        <v>9221</v>
      </c>
      <c r="AI1067" s="77" t="b">
        <v>0</v>
      </c>
      <c r="AJ1067" s="77"/>
      <c r="AK1067" s="77"/>
      <c r="AL1067" s="77"/>
      <c r="AM1067" s="77"/>
      <c r="AN1067" s="77"/>
      <c r="AO1067" s="77"/>
      <c r="AP1067" s="77"/>
      <c r="AQ1067" s="77"/>
      <c r="AR1067" s="77"/>
      <c r="AS1067" s="77"/>
      <c r="AT1067" s="77"/>
      <c r="AU1067" s="77"/>
      <c r="AV1067" s="80" t="str">
        <f>HYPERLINK("https://pbs.twimg.com/profile_images/1041725334431952896/uaPtkYSp_normal.jpg")</f>
        <v>https://pbs.twimg.com/profile_images/1041725334431952896/uaPtkYSp_normal.jpg</v>
      </c>
      <c r="AW1067" s="82" t="s">
        <v>14162</v>
      </c>
      <c r="AX1067" s="82" t="s">
        <v>14162</v>
      </c>
      <c r="AY1067" s="77"/>
      <c r="AZ1067" s="82" t="s">
        <v>17385</v>
      </c>
      <c r="BA1067" s="82" t="s">
        <v>17385</v>
      </c>
      <c r="BB1067" s="82" t="s">
        <v>17385</v>
      </c>
      <c r="BC1067" s="82" t="s">
        <v>14162</v>
      </c>
      <c r="BD1067" s="82" t="s">
        <v>17550</v>
      </c>
      <c r="BE1067" s="77"/>
      <c r="BF1067" s="77"/>
      <c r="BG1067" s="77"/>
      <c r="BH1067" s="77"/>
      <c r="BI1067" s="77"/>
    </row>
    <row r="1068" spans="1:61" x14ac:dyDescent="0.25">
      <c r="A1068" s="62" t="s">
        <v>425</v>
      </c>
      <c r="B1068" s="62" t="s">
        <v>425</v>
      </c>
      <c r="C1068" s="63"/>
      <c r="D1068" s="64"/>
      <c r="E1068" s="65"/>
      <c r="F1068" s="66"/>
      <c r="G1068" s="63"/>
      <c r="H1068" s="67"/>
      <c r="I1068" s="68"/>
      <c r="J1068" s="68"/>
      <c r="K1068" s="32"/>
      <c r="L1068" s="75">
        <v>1068</v>
      </c>
      <c r="M1068" s="75"/>
      <c r="N1068" s="70"/>
      <c r="O1068" s="77" t="s">
        <v>179</v>
      </c>
      <c r="P1068" s="79">
        <v>45126.397974537038</v>
      </c>
      <c r="Q1068" s="77" t="s">
        <v>1859</v>
      </c>
      <c r="R1068" s="77">
        <v>0</v>
      </c>
      <c r="S1068" s="77">
        <v>0</v>
      </c>
      <c r="T1068" s="77">
        <v>0</v>
      </c>
      <c r="U1068" s="77">
        <v>0</v>
      </c>
      <c r="V1068" s="77">
        <v>277</v>
      </c>
      <c r="W1068" s="82" t="s">
        <v>5526</v>
      </c>
      <c r="X1068" s="80" t="str">
        <f>HYPERLINK("https://www.seudinheiro.com/2023/bolsa-dolar/os-melhores-etfs-de-ibovespa-julw/")</f>
        <v>https://www.seudinheiro.com/2023/bolsa-dolar/os-melhores-etfs-de-ibovespa-julw/</v>
      </c>
      <c r="Y1068" s="77" t="s">
        <v>7102</v>
      </c>
      <c r="Z1068" s="77"/>
      <c r="AA1068" s="77"/>
      <c r="AB1068" s="77"/>
      <c r="AC1068" s="82" t="s">
        <v>8255</v>
      </c>
      <c r="AD1068" s="77" t="s">
        <v>8278</v>
      </c>
      <c r="AE1068" s="80" t="str">
        <f>HYPERLINK("https://twitter.com/seu_dinheiro_br/status/1681598021753094162")</f>
        <v>https://twitter.com/seu_dinheiro_br/status/1681598021753094162</v>
      </c>
      <c r="AF1068" s="79">
        <v>45126.397974537038</v>
      </c>
      <c r="AG1068" s="85">
        <v>45126</v>
      </c>
      <c r="AH1068" s="82" t="s">
        <v>9222</v>
      </c>
      <c r="AI1068" s="77" t="b">
        <v>0</v>
      </c>
      <c r="AJ1068" s="77"/>
      <c r="AK1068" s="77"/>
      <c r="AL1068" s="77"/>
      <c r="AM1068" s="77"/>
      <c r="AN1068" s="77"/>
      <c r="AO1068" s="77"/>
      <c r="AP1068" s="77"/>
      <c r="AQ1068" s="77"/>
      <c r="AR1068" s="77"/>
      <c r="AS1068" s="77"/>
      <c r="AT1068" s="77"/>
      <c r="AU1068" s="77"/>
      <c r="AV1068" s="80" t="str">
        <f>HYPERLINK("https://pbs.twimg.com/profile_images/1041725334431952896/uaPtkYSp_normal.jpg")</f>
        <v>https://pbs.twimg.com/profile_images/1041725334431952896/uaPtkYSp_normal.jpg</v>
      </c>
      <c r="AW1068" s="82" t="s">
        <v>14163</v>
      </c>
      <c r="AX1068" s="82" t="s">
        <v>14163</v>
      </c>
      <c r="AY1068" s="77"/>
      <c r="AZ1068" s="82" t="s">
        <v>17385</v>
      </c>
      <c r="BA1068" s="82" t="s">
        <v>17385</v>
      </c>
      <c r="BB1068" s="82" t="s">
        <v>17385</v>
      </c>
      <c r="BC1068" s="82" t="s">
        <v>14163</v>
      </c>
      <c r="BD1068" s="82" t="s">
        <v>17550</v>
      </c>
      <c r="BE1068" s="77"/>
      <c r="BF1068" s="77"/>
      <c r="BG1068" s="77"/>
      <c r="BH1068" s="77"/>
      <c r="BI1068" s="77"/>
    </row>
    <row r="1069" spans="1:61" x14ac:dyDescent="0.25">
      <c r="A1069" s="62" t="s">
        <v>425</v>
      </c>
      <c r="B1069" s="62" t="s">
        <v>425</v>
      </c>
      <c r="C1069" s="63"/>
      <c r="D1069" s="64"/>
      <c r="E1069" s="65"/>
      <c r="F1069" s="66"/>
      <c r="G1069" s="63"/>
      <c r="H1069" s="67"/>
      <c r="I1069" s="68"/>
      <c r="J1069" s="68"/>
      <c r="K1069" s="32"/>
      <c r="L1069" s="75">
        <v>1069</v>
      </c>
      <c r="M1069" s="75"/>
      <c r="N1069" s="70"/>
      <c r="O1069" s="77" t="s">
        <v>179</v>
      </c>
      <c r="P1069" s="79">
        <v>45125.666979166665</v>
      </c>
      <c r="Q1069" s="77" t="s">
        <v>1860</v>
      </c>
      <c r="R1069" s="77">
        <v>0</v>
      </c>
      <c r="S1069" s="77">
        <v>0</v>
      </c>
      <c r="T1069" s="77">
        <v>0</v>
      </c>
      <c r="U1069" s="77">
        <v>0</v>
      </c>
      <c r="V1069" s="77">
        <v>292</v>
      </c>
      <c r="W1069" s="82" t="s">
        <v>5479</v>
      </c>
      <c r="X1069" s="80" t="str">
        <f>HYPERLINK("https://www.seudinheiro.com/2023/empresas/prio-prio3-inicia-producao-em-frade-supera-marca-importante-e-lidera-ibovespa-hoje-vale-a-pena-explorar-essa-acao-ccgg/")</f>
        <v>https://www.seudinheiro.com/2023/empresas/prio-prio3-inicia-producao-em-frade-supera-marca-importante-e-lidera-ibovespa-hoje-vale-a-pena-explorar-essa-acao-ccgg/</v>
      </c>
      <c r="Y1069" s="77" t="s">
        <v>7102</v>
      </c>
      <c r="Z1069" s="77"/>
      <c r="AA1069" s="77"/>
      <c r="AB1069" s="77"/>
      <c r="AC1069" s="82" t="s">
        <v>8255</v>
      </c>
      <c r="AD1069" s="77" t="s">
        <v>8278</v>
      </c>
      <c r="AE1069" s="80" t="str">
        <f>HYPERLINK("https://twitter.com/seu_dinheiro_br/status/1681333116525334529")</f>
        <v>https://twitter.com/seu_dinheiro_br/status/1681333116525334529</v>
      </c>
      <c r="AF1069" s="79">
        <v>45125.666979166665</v>
      </c>
      <c r="AG1069" s="85">
        <v>45125</v>
      </c>
      <c r="AH1069" s="82" t="s">
        <v>9223</v>
      </c>
      <c r="AI1069" s="77" t="b">
        <v>0</v>
      </c>
      <c r="AJ1069" s="77"/>
      <c r="AK1069" s="77"/>
      <c r="AL1069" s="77"/>
      <c r="AM1069" s="77"/>
      <c r="AN1069" s="77"/>
      <c r="AO1069" s="77"/>
      <c r="AP1069" s="77"/>
      <c r="AQ1069" s="77"/>
      <c r="AR1069" s="77"/>
      <c r="AS1069" s="77"/>
      <c r="AT1069" s="77"/>
      <c r="AU1069" s="77"/>
      <c r="AV1069" s="80" t="str">
        <f>HYPERLINK("https://pbs.twimg.com/profile_images/1041725334431952896/uaPtkYSp_normal.jpg")</f>
        <v>https://pbs.twimg.com/profile_images/1041725334431952896/uaPtkYSp_normal.jpg</v>
      </c>
      <c r="AW1069" s="82" t="s">
        <v>14164</v>
      </c>
      <c r="AX1069" s="82" t="s">
        <v>14164</v>
      </c>
      <c r="AY1069" s="77"/>
      <c r="AZ1069" s="82" t="s">
        <v>17385</v>
      </c>
      <c r="BA1069" s="82" t="s">
        <v>17385</v>
      </c>
      <c r="BB1069" s="82" t="s">
        <v>17385</v>
      </c>
      <c r="BC1069" s="82" t="s">
        <v>14164</v>
      </c>
      <c r="BD1069" s="82" t="s">
        <v>17550</v>
      </c>
      <c r="BE1069" s="77"/>
      <c r="BF1069" s="77"/>
      <c r="BG1069" s="77"/>
      <c r="BH1069" s="77"/>
      <c r="BI1069" s="77"/>
    </row>
    <row r="1070" spans="1:61" x14ac:dyDescent="0.25">
      <c r="A1070" s="62" t="s">
        <v>425</v>
      </c>
      <c r="B1070" s="62" t="s">
        <v>425</v>
      </c>
      <c r="C1070" s="63"/>
      <c r="D1070" s="64"/>
      <c r="E1070" s="65"/>
      <c r="F1070" s="66"/>
      <c r="G1070" s="63"/>
      <c r="H1070" s="67"/>
      <c r="I1070" s="68"/>
      <c r="J1070" s="68"/>
      <c r="K1070" s="32"/>
      <c r="L1070" s="75">
        <v>1070</v>
      </c>
      <c r="M1070" s="75"/>
      <c r="N1070" s="70"/>
      <c r="O1070" s="77" t="s">
        <v>179</v>
      </c>
      <c r="P1070" s="79">
        <v>45125.474270833336</v>
      </c>
      <c r="Q1070" s="77" t="s">
        <v>1861</v>
      </c>
      <c r="R1070" s="77">
        <v>0</v>
      </c>
      <c r="S1070" s="77">
        <v>0</v>
      </c>
      <c r="T1070" s="77">
        <v>1</v>
      </c>
      <c r="U1070" s="77">
        <v>0</v>
      </c>
      <c r="V1070" s="77">
        <v>277</v>
      </c>
      <c r="W1070" s="82" t="s">
        <v>5475</v>
      </c>
      <c r="X1070" s="80" t="str">
        <f>HYPERLINK("https://www.seudinheiro.com/2023/colunistas/day-trade-na-b3-acao-da-gol-goll4-18-07-rens/")</f>
        <v>https://www.seudinheiro.com/2023/colunistas/day-trade-na-b3-acao-da-gol-goll4-18-07-rens/</v>
      </c>
      <c r="Y1070" s="77" t="s">
        <v>7102</v>
      </c>
      <c r="Z1070" s="77"/>
      <c r="AA1070" s="77"/>
      <c r="AB1070" s="77"/>
      <c r="AC1070" s="82" t="s">
        <v>8255</v>
      </c>
      <c r="AD1070" s="77" t="s">
        <v>8278</v>
      </c>
      <c r="AE1070" s="80" t="str">
        <f>HYPERLINK("https://twitter.com/seu_dinheiro_br/status/1681263282957459456")</f>
        <v>https://twitter.com/seu_dinheiro_br/status/1681263282957459456</v>
      </c>
      <c r="AF1070" s="79">
        <v>45125.474270833336</v>
      </c>
      <c r="AG1070" s="85">
        <v>45125</v>
      </c>
      <c r="AH1070" s="82" t="s">
        <v>8449</v>
      </c>
      <c r="AI1070" s="77" t="b">
        <v>0</v>
      </c>
      <c r="AJ1070" s="77"/>
      <c r="AK1070" s="77"/>
      <c r="AL1070" s="77"/>
      <c r="AM1070" s="77"/>
      <c r="AN1070" s="77"/>
      <c r="AO1070" s="77"/>
      <c r="AP1070" s="77"/>
      <c r="AQ1070" s="77"/>
      <c r="AR1070" s="77"/>
      <c r="AS1070" s="77"/>
      <c r="AT1070" s="77"/>
      <c r="AU1070" s="77"/>
      <c r="AV1070" s="80" t="str">
        <f>HYPERLINK("https://pbs.twimg.com/profile_images/1041725334431952896/uaPtkYSp_normal.jpg")</f>
        <v>https://pbs.twimg.com/profile_images/1041725334431952896/uaPtkYSp_normal.jpg</v>
      </c>
      <c r="AW1070" s="82" t="s">
        <v>14165</v>
      </c>
      <c r="AX1070" s="82" t="s">
        <v>14165</v>
      </c>
      <c r="AY1070" s="77"/>
      <c r="AZ1070" s="82" t="s">
        <v>17385</v>
      </c>
      <c r="BA1070" s="82" t="s">
        <v>17385</v>
      </c>
      <c r="BB1070" s="82" t="s">
        <v>17385</v>
      </c>
      <c r="BC1070" s="82" t="s">
        <v>14165</v>
      </c>
      <c r="BD1070" s="82" t="s">
        <v>17550</v>
      </c>
      <c r="BE1070" s="77"/>
      <c r="BF1070" s="77"/>
      <c r="BG1070" s="77"/>
      <c r="BH1070" s="77"/>
      <c r="BI1070" s="77"/>
    </row>
    <row r="1071" spans="1:61" x14ac:dyDescent="0.25">
      <c r="A1071" s="62" t="s">
        <v>425</v>
      </c>
      <c r="B1071" s="62" t="s">
        <v>425</v>
      </c>
      <c r="C1071" s="63"/>
      <c r="D1071" s="64"/>
      <c r="E1071" s="65"/>
      <c r="F1071" s="66"/>
      <c r="G1071" s="63"/>
      <c r="H1071" s="67"/>
      <c r="I1071" s="68"/>
      <c r="J1071" s="68"/>
      <c r="K1071" s="32"/>
      <c r="L1071" s="75">
        <v>1071</v>
      </c>
      <c r="M1071" s="75"/>
      <c r="N1071" s="70"/>
      <c r="O1071" s="77" t="s">
        <v>179</v>
      </c>
      <c r="P1071" s="79">
        <v>45124.960555555554</v>
      </c>
      <c r="Q1071" s="77" t="s">
        <v>1862</v>
      </c>
      <c r="R1071" s="77">
        <v>0</v>
      </c>
      <c r="S1071" s="77">
        <v>0</v>
      </c>
      <c r="T1071" s="77">
        <v>0</v>
      </c>
      <c r="U1071" s="77">
        <v>1</v>
      </c>
      <c r="V1071" s="77">
        <v>361</v>
      </c>
      <c r="W1071" s="82" t="s">
        <v>5494</v>
      </c>
      <c r="X1071" s="80" t="str">
        <f>HYPERLINK("https://www.seudinheiro.com/2023/colunistas/os-120-trabalhos-hercules-ibovespa-vvka/")</f>
        <v>https://www.seudinheiro.com/2023/colunistas/os-120-trabalhos-hercules-ibovespa-vvka/</v>
      </c>
      <c r="Y1071" s="77" t="s">
        <v>7102</v>
      </c>
      <c r="Z1071" s="77"/>
      <c r="AA1071" s="77"/>
      <c r="AB1071" s="77"/>
      <c r="AC1071" s="82" t="s">
        <v>8255</v>
      </c>
      <c r="AD1071" s="77" t="s">
        <v>8278</v>
      </c>
      <c r="AE1071" s="80" t="str">
        <f>HYPERLINK("https://twitter.com/seu_dinheiro_br/status/1681077119508520960")</f>
        <v>https://twitter.com/seu_dinheiro_br/status/1681077119508520960</v>
      </c>
      <c r="AF1071" s="79">
        <v>45124.960555555554</v>
      </c>
      <c r="AG1071" s="85">
        <v>45124</v>
      </c>
      <c r="AH1071" s="82" t="s">
        <v>9224</v>
      </c>
      <c r="AI1071" s="77" t="b">
        <v>0</v>
      </c>
      <c r="AJ1071" s="77"/>
      <c r="AK1071" s="77"/>
      <c r="AL1071" s="77"/>
      <c r="AM1071" s="77"/>
      <c r="AN1071" s="77"/>
      <c r="AO1071" s="77"/>
      <c r="AP1071" s="77"/>
      <c r="AQ1071" s="77"/>
      <c r="AR1071" s="77"/>
      <c r="AS1071" s="77"/>
      <c r="AT1071" s="77"/>
      <c r="AU1071" s="77"/>
      <c r="AV1071" s="80" t="str">
        <f>HYPERLINK("https://pbs.twimg.com/profile_images/1041725334431952896/uaPtkYSp_normal.jpg")</f>
        <v>https://pbs.twimg.com/profile_images/1041725334431952896/uaPtkYSp_normal.jpg</v>
      </c>
      <c r="AW1071" s="82" t="s">
        <v>14166</v>
      </c>
      <c r="AX1071" s="82" t="s">
        <v>14166</v>
      </c>
      <c r="AY1071" s="77"/>
      <c r="AZ1071" s="82" t="s">
        <v>17385</v>
      </c>
      <c r="BA1071" s="82" t="s">
        <v>17385</v>
      </c>
      <c r="BB1071" s="82" t="s">
        <v>17385</v>
      </c>
      <c r="BC1071" s="82" t="s">
        <v>14166</v>
      </c>
      <c r="BD1071" s="82" t="s">
        <v>17550</v>
      </c>
      <c r="BE1071" s="77"/>
      <c r="BF1071" s="77"/>
      <c r="BG1071" s="77"/>
      <c r="BH1071" s="77"/>
      <c r="BI1071" s="77"/>
    </row>
    <row r="1072" spans="1:61" x14ac:dyDescent="0.25">
      <c r="A1072" s="62" t="s">
        <v>425</v>
      </c>
      <c r="B1072" s="62" t="s">
        <v>425</v>
      </c>
      <c r="C1072" s="63"/>
      <c r="D1072" s="64"/>
      <c r="E1072" s="65"/>
      <c r="F1072" s="66"/>
      <c r="G1072" s="63"/>
      <c r="H1072" s="67"/>
      <c r="I1072" s="68"/>
      <c r="J1072" s="68"/>
      <c r="K1072" s="32"/>
      <c r="L1072" s="75">
        <v>1072</v>
      </c>
      <c r="M1072" s="75"/>
      <c r="N1072" s="70"/>
      <c r="O1072" s="77" t="s">
        <v>179</v>
      </c>
      <c r="P1072" s="79">
        <v>45124.953101851854</v>
      </c>
      <c r="Q1072" s="77" t="s">
        <v>1863</v>
      </c>
      <c r="R1072" s="77">
        <v>0</v>
      </c>
      <c r="S1072" s="77">
        <v>0</v>
      </c>
      <c r="T1072" s="77">
        <v>0</v>
      </c>
      <c r="U1072" s="77">
        <v>0</v>
      </c>
      <c r="V1072" s="77">
        <v>276</v>
      </c>
      <c r="W1072" s="82" t="s">
        <v>5527</v>
      </c>
      <c r="X1072" s="80" t="str">
        <f>HYPERLINK("https://www.seudinheiro.com/2023/empresas/fim-de-jogo-para-warren-buffett-berkshire-vende-acoes-da-dona-do-call-of-duty-antes-de-acordo-com-microsoft-ser-consumado-ccgg/")</f>
        <v>https://www.seudinheiro.com/2023/empresas/fim-de-jogo-para-warren-buffett-berkshire-vende-acoes-da-dona-do-call-of-duty-antes-de-acordo-com-microsoft-ser-consumado-ccgg/</v>
      </c>
      <c r="Y1072" s="77" t="s">
        <v>7102</v>
      </c>
      <c r="Z1072" s="77"/>
      <c r="AA1072" s="77"/>
      <c r="AB1072" s="77"/>
      <c r="AC1072" s="82" t="s">
        <v>8255</v>
      </c>
      <c r="AD1072" s="77" t="s">
        <v>8278</v>
      </c>
      <c r="AE1072" s="80" t="str">
        <f>HYPERLINK("https://twitter.com/seu_dinheiro_br/status/1681074415277047808")</f>
        <v>https://twitter.com/seu_dinheiro_br/status/1681074415277047808</v>
      </c>
      <c r="AF1072" s="79">
        <v>45124.953101851854</v>
      </c>
      <c r="AG1072" s="85">
        <v>45124</v>
      </c>
      <c r="AH1072" s="82" t="s">
        <v>9225</v>
      </c>
      <c r="AI1072" s="77" t="b">
        <v>0</v>
      </c>
      <c r="AJ1072" s="77"/>
      <c r="AK1072" s="77"/>
      <c r="AL1072" s="77"/>
      <c r="AM1072" s="77"/>
      <c r="AN1072" s="77"/>
      <c r="AO1072" s="77"/>
      <c r="AP1072" s="77"/>
      <c r="AQ1072" s="77"/>
      <c r="AR1072" s="77"/>
      <c r="AS1072" s="77"/>
      <c r="AT1072" s="77"/>
      <c r="AU1072" s="77"/>
      <c r="AV1072" s="80" t="str">
        <f>HYPERLINK("https://pbs.twimg.com/profile_images/1041725334431952896/uaPtkYSp_normal.jpg")</f>
        <v>https://pbs.twimg.com/profile_images/1041725334431952896/uaPtkYSp_normal.jpg</v>
      </c>
      <c r="AW1072" s="82" t="s">
        <v>14167</v>
      </c>
      <c r="AX1072" s="82" t="s">
        <v>14167</v>
      </c>
      <c r="AY1072" s="77"/>
      <c r="AZ1072" s="82" t="s">
        <v>17385</v>
      </c>
      <c r="BA1072" s="82" t="s">
        <v>17385</v>
      </c>
      <c r="BB1072" s="82" t="s">
        <v>17385</v>
      </c>
      <c r="BC1072" s="82" t="s">
        <v>14167</v>
      </c>
      <c r="BD1072" s="82" t="s">
        <v>17550</v>
      </c>
      <c r="BE1072" s="77"/>
      <c r="BF1072" s="77"/>
      <c r="BG1072" s="77"/>
      <c r="BH1072" s="77"/>
      <c r="BI1072" s="77"/>
    </row>
    <row r="1073" spans="1:61" x14ac:dyDescent="0.25">
      <c r="A1073" s="62" t="s">
        <v>425</v>
      </c>
      <c r="B1073" s="62" t="s">
        <v>425</v>
      </c>
      <c r="C1073" s="63"/>
      <c r="D1073" s="64"/>
      <c r="E1073" s="65"/>
      <c r="F1073" s="66"/>
      <c r="G1073" s="63"/>
      <c r="H1073" s="67"/>
      <c r="I1073" s="68"/>
      <c r="J1073" s="68"/>
      <c r="K1073" s="32"/>
      <c r="L1073" s="75">
        <v>1073</v>
      </c>
      <c r="M1073" s="75"/>
      <c r="N1073" s="70"/>
      <c r="O1073" s="77" t="s">
        <v>179</v>
      </c>
      <c r="P1073" s="79">
        <v>45124.727743055555</v>
      </c>
      <c r="Q1073" s="77" t="s">
        <v>1864</v>
      </c>
      <c r="R1073" s="77">
        <v>0</v>
      </c>
      <c r="S1073" s="77">
        <v>1</v>
      </c>
      <c r="T1073" s="77">
        <v>0</v>
      </c>
      <c r="U1073" s="77">
        <v>0</v>
      </c>
      <c r="V1073" s="77">
        <v>303</v>
      </c>
      <c r="W1073" s="82" t="s">
        <v>5479</v>
      </c>
      <c r="X1073" s="80" t="str">
        <f>HYPERLINK("https://www.seudinheiro.com/2023/empresas/o-pior-esta-por-vir-locaweb-lwsa3-lidera-quedas-do-ibovespa-saiba-se-e-hora-de-comprar-ou-vender-as-acoes-ccgg/")</f>
        <v>https://www.seudinheiro.com/2023/empresas/o-pior-esta-por-vir-locaweb-lwsa3-lidera-quedas-do-ibovespa-saiba-se-e-hora-de-comprar-ou-vender-as-acoes-ccgg/</v>
      </c>
      <c r="Y1073" s="77" t="s">
        <v>7102</v>
      </c>
      <c r="Z1073" s="77"/>
      <c r="AA1073" s="77"/>
      <c r="AB1073" s="77"/>
      <c r="AC1073" s="82" t="s">
        <v>8255</v>
      </c>
      <c r="AD1073" s="77" t="s">
        <v>8278</v>
      </c>
      <c r="AE1073" s="80" t="str">
        <f>HYPERLINK("https://twitter.com/seu_dinheiro_br/status/1680992751578431488")</f>
        <v>https://twitter.com/seu_dinheiro_br/status/1680992751578431488</v>
      </c>
      <c r="AF1073" s="79">
        <v>45124.727743055555</v>
      </c>
      <c r="AG1073" s="85">
        <v>45124</v>
      </c>
      <c r="AH1073" s="82" t="s">
        <v>9226</v>
      </c>
      <c r="AI1073" s="77" t="b">
        <v>0</v>
      </c>
      <c r="AJ1073" s="77"/>
      <c r="AK1073" s="77"/>
      <c r="AL1073" s="77"/>
      <c r="AM1073" s="77"/>
      <c r="AN1073" s="77"/>
      <c r="AO1073" s="77"/>
      <c r="AP1073" s="77"/>
      <c r="AQ1073" s="77"/>
      <c r="AR1073" s="77"/>
      <c r="AS1073" s="77"/>
      <c r="AT1073" s="77"/>
      <c r="AU1073" s="77"/>
      <c r="AV1073" s="80" t="str">
        <f>HYPERLINK("https://pbs.twimg.com/profile_images/1041725334431952896/uaPtkYSp_normal.jpg")</f>
        <v>https://pbs.twimg.com/profile_images/1041725334431952896/uaPtkYSp_normal.jpg</v>
      </c>
      <c r="AW1073" s="82" t="s">
        <v>14168</v>
      </c>
      <c r="AX1073" s="82" t="s">
        <v>14168</v>
      </c>
      <c r="AY1073" s="77"/>
      <c r="AZ1073" s="82" t="s">
        <v>17385</v>
      </c>
      <c r="BA1073" s="82" t="s">
        <v>17385</v>
      </c>
      <c r="BB1073" s="82" t="s">
        <v>17385</v>
      </c>
      <c r="BC1073" s="82" t="s">
        <v>14168</v>
      </c>
      <c r="BD1073" s="82" t="s">
        <v>17550</v>
      </c>
      <c r="BE1073" s="77"/>
      <c r="BF1073" s="77"/>
      <c r="BG1073" s="77"/>
      <c r="BH1073" s="77"/>
      <c r="BI1073" s="77"/>
    </row>
    <row r="1074" spans="1:61" x14ac:dyDescent="0.25">
      <c r="A1074" s="62" t="s">
        <v>425</v>
      </c>
      <c r="B1074" s="62" t="s">
        <v>425</v>
      </c>
      <c r="C1074" s="63"/>
      <c r="D1074" s="64"/>
      <c r="E1074" s="65"/>
      <c r="F1074" s="66"/>
      <c r="G1074" s="63"/>
      <c r="H1074" s="67"/>
      <c r="I1074" s="68"/>
      <c r="J1074" s="68"/>
      <c r="K1074" s="32"/>
      <c r="L1074" s="75">
        <v>1074</v>
      </c>
      <c r="M1074" s="75"/>
      <c r="N1074" s="70"/>
      <c r="O1074" s="77" t="s">
        <v>179</v>
      </c>
      <c r="P1074" s="79">
        <v>45124.673738425925</v>
      </c>
      <c r="Q1074" s="77" t="s">
        <v>1865</v>
      </c>
      <c r="R1074" s="77">
        <v>0</v>
      </c>
      <c r="S1074" s="77">
        <v>1</v>
      </c>
      <c r="T1074" s="77">
        <v>0</v>
      </c>
      <c r="U1074" s="77">
        <v>0</v>
      </c>
      <c r="V1074" s="77">
        <v>265</v>
      </c>
      <c r="W1074" s="82" t="s">
        <v>5520</v>
      </c>
      <c r="X1074" s="80" t="str">
        <f>HYPERLINK("https://www.seudinheiro.com/2023/bolsa-dolar/eztec-eztc3-chega-a-ter-a-maior-alta-do-dia-apos-previa-operacional-julw/")</f>
        <v>https://www.seudinheiro.com/2023/bolsa-dolar/eztec-eztc3-chega-a-ter-a-maior-alta-do-dia-apos-previa-operacional-julw/</v>
      </c>
      <c r="Y1074" s="77" t="s">
        <v>7102</v>
      </c>
      <c r="Z1074" s="77"/>
      <c r="AA1074" s="77"/>
      <c r="AB1074" s="77"/>
      <c r="AC1074" s="82" t="s">
        <v>8255</v>
      </c>
      <c r="AD1074" s="77" t="s">
        <v>8278</v>
      </c>
      <c r="AE1074" s="80" t="str">
        <f>HYPERLINK("https://twitter.com/seu_dinheiro_br/status/1680973178175102976")</f>
        <v>https://twitter.com/seu_dinheiro_br/status/1680973178175102976</v>
      </c>
      <c r="AF1074" s="79">
        <v>45124.673738425925</v>
      </c>
      <c r="AG1074" s="85">
        <v>45124</v>
      </c>
      <c r="AH1074" s="82" t="s">
        <v>9227</v>
      </c>
      <c r="AI1074" s="77" t="b">
        <v>0</v>
      </c>
      <c r="AJ1074" s="77"/>
      <c r="AK1074" s="77"/>
      <c r="AL1074" s="77"/>
      <c r="AM1074" s="77"/>
      <c r="AN1074" s="77"/>
      <c r="AO1074" s="77"/>
      <c r="AP1074" s="77"/>
      <c r="AQ1074" s="77"/>
      <c r="AR1074" s="77"/>
      <c r="AS1074" s="77"/>
      <c r="AT1074" s="77"/>
      <c r="AU1074" s="77"/>
      <c r="AV1074" s="80" t="str">
        <f>HYPERLINK("https://pbs.twimg.com/profile_images/1041725334431952896/uaPtkYSp_normal.jpg")</f>
        <v>https://pbs.twimg.com/profile_images/1041725334431952896/uaPtkYSp_normal.jpg</v>
      </c>
      <c r="AW1074" s="82" t="s">
        <v>14169</v>
      </c>
      <c r="AX1074" s="82" t="s">
        <v>14169</v>
      </c>
      <c r="AY1074" s="77"/>
      <c r="AZ1074" s="82" t="s">
        <v>17385</v>
      </c>
      <c r="BA1074" s="82" t="s">
        <v>17385</v>
      </c>
      <c r="BB1074" s="82" t="s">
        <v>17385</v>
      </c>
      <c r="BC1074" s="82" t="s">
        <v>14169</v>
      </c>
      <c r="BD1074" s="82" t="s">
        <v>17550</v>
      </c>
      <c r="BE1074" s="77"/>
      <c r="BF1074" s="77"/>
      <c r="BG1074" s="77"/>
      <c r="BH1074" s="77"/>
      <c r="BI1074" s="77"/>
    </row>
    <row r="1075" spans="1:61" x14ac:dyDescent="0.25">
      <c r="A1075" s="62" t="s">
        <v>425</v>
      </c>
      <c r="B1075" s="62" t="s">
        <v>425</v>
      </c>
      <c r="C1075" s="63"/>
      <c r="D1075" s="64"/>
      <c r="E1075" s="65"/>
      <c r="F1075" s="66"/>
      <c r="G1075" s="63"/>
      <c r="H1075" s="67"/>
      <c r="I1075" s="68"/>
      <c r="J1075" s="68"/>
      <c r="K1075" s="32"/>
      <c r="L1075" s="75">
        <v>1075</v>
      </c>
      <c r="M1075" s="75"/>
      <c r="N1075" s="70"/>
      <c r="O1075" s="77" t="s">
        <v>179</v>
      </c>
      <c r="P1075" s="79">
        <v>45124.472615740742</v>
      </c>
      <c r="Q1075" s="77" t="s">
        <v>1866</v>
      </c>
      <c r="R1075" s="77">
        <v>0</v>
      </c>
      <c r="S1075" s="77">
        <v>1</v>
      </c>
      <c r="T1075" s="77">
        <v>0</v>
      </c>
      <c r="U1075" s="77">
        <v>0</v>
      </c>
      <c r="V1075" s="77">
        <v>321</v>
      </c>
      <c r="W1075" s="82" t="s">
        <v>5475</v>
      </c>
      <c r="X1075" s="80" t="str">
        <f>HYPERLINK("https://www.seudinheiro.com/2023/colunistas/day-trade-na-b3-acao-da-cosan-csn3-17-07-rens/")</f>
        <v>https://www.seudinheiro.com/2023/colunistas/day-trade-na-b3-acao-da-cosan-csn3-17-07-rens/</v>
      </c>
      <c r="Y1075" s="77" t="s">
        <v>7102</v>
      </c>
      <c r="Z1075" s="77"/>
      <c r="AA1075" s="77"/>
      <c r="AB1075" s="77"/>
      <c r="AC1075" s="82" t="s">
        <v>8255</v>
      </c>
      <c r="AD1075" s="77" t="s">
        <v>8278</v>
      </c>
      <c r="AE1075" s="80" t="str">
        <f>HYPERLINK("https://twitter.com/seu_dinheiro_br/status/1680900292668162049")</f>
        <v>https://twitter.com/seu_dinheiro_br/status/1680900292668162049</v>
      </c>
      <c r="AF1075" s="79">
        <v>45124.472615740742</v>
      </c>
      <c r="AG1075" s="85">
        <v>45124</v>
      </c>
      <c r="AH1075" s="82" t="s">
        <v>9228</v>
      </c>
      <c r="AI1075" s="77" t="b">
        <v>0</v>
      </c>
      <c r="AJ1075" s="77"/>
      <c r="AK1075" s="77"/>
      <c r="AL1075" s="77"/>
      <c r="AM1075" s="77"/>
      <c r="AN1075" s="77"/>
      <c r="AO1075" s="77"/>
      <c r="AP1075" s="77"/>
      <c r="AQ1075" s="77"/>
      <c r="AR1075" s="77"/>
      <c r="AS1075" s="77"/>
      <c r="AT1075" s="77"/>
      <c r="AU1075" s="77"/>
      <c r="AV1075" s="80" t="str">
        <f>HYPERLINK("https://pbs.twimg.com/profile_images/1041725334431952896/uaPtkYSp_normal.jpg")</f>
        <v>https://pbs.twimg.com/profile_images/1041725334431952896/uaPtkYSp_normal.jpg</v>
      </c>
      <c r="AW1075" s="82" t="s">
        <v>14170</v>
      </c>
      <c r="AX1075" s="82" t="s">
        <v>14170</v>
      </c>
      <c r="AY1075" s="77"/>
      <c r="AZ1075" s="82" t="s">
        <v>17385</v>
      </c>
      <c r="BA1075" s="82" t="s">
        <v>17385</v>
      </c>
      <c r="BB1075" s="82" t="s">
        <v>17385</v>
      </c>
      <c r="BC1075" s="82" t="s">
        <v>14170</v>
      </c>
      <c r="BD1075" s="82" t="s">
        <v>17550</v>
      </c>
      <c r="BE1075" s="77"/>
      <c r="BF1075" s="77"/>
      <c r="BG1075" s="77"/>
      <c r="BH1075" s="77"/>
      <c r="BI1075" s="77"/>
    </row>
    <row r="1076" spans="1:61" x14ac:dyDescent="0.25">
      <c r="A1076" s="62" t="s">
        <v>425</v>
      </c>
      <c r="B1076" s="62" t="s">
        <v>425</v>
      </c>
      <c r="C1076" s="63"/>
      <c r="D1076" s="64"/>
      <c r="E1076" s="65"/>
      <c r="F1076" s="66"/>
      <c r="G1076" s="63"/>
      <c r="H1076" s="67"/>
      <c r="I1076" s="68"/>
      <c r="J1076" s="68"/>
      <c r="K1076" s="32"/>
      <c r="L1076" s="75">
        <v>1076</v>
      </c>
      <c r="M1076" s="75"/>
      <c r="N1076" s="70"/>
      <c r="O1076" s="77" t="s">
        <v>179</v>
      </c>
      <c r="P1076" s="79">
        <v>45124.420902777776</v>
      </c>
      <c r="Q1076" s="77" t="s">
        <v>1867</v>
      </c>
      <c r="R1076" s="77">
        <v>0</v>
      </c>
      <c r="S1076" s="77">
        <v>0</v>
      </c>
      <c r="T1076" s="77">
        <v>0</v>
      </c>
      <c r="U1076" s="77">
        <v>0</v>
      </c>
      <c r="V1076" s="77">
        <v>313</v>
      </c>
      <c r="W1076" s="82" t="s">
        <v>5528</v>
      </c>
      <c r="X1076" s="80" t="str">
        <f>HYPERLINK("https://www.seudinheiro.com/2023/empresas/calendario-de-balancos-2-trimestre-2023-datas-horarios-resultados-teleconferencias-vvka/")</f>
        <v>https://www.seudinheiro.com/2023/empresas/calendario-de-balancos-2-trimestre-2023-datas-horarios-resultados-teleconferencias-vvka/</v>
      </c>
      <c r="Y1076" s="77" t="s">
        <v>7102</v>
      </c>
      <c r="Z1076" s="77"/>
      <c r="AA1076" s="77"/>
      <c r="AB1076" s="77"/>
      <c r="AC1076" s="82" t="s">
        <v>8255</v>
      </c>
      <c r="AD1076" s="77" t="s">
        <v>8278</v>
      </c>
      <c r="AE1076" s="80" t="str">
        <f>HYPERLINK("https://twitter.com/seu_dinheiro_br/status/1680881553172316161")</f>
        <v>https://twitter.com/seu_dinheiro_br/status/1680881553172316161</v>
      </c>
      <c r="AF1076" s="79">
        <v>45124.420902777776</v>
      </c>
      <c r="AG1076" s="85">
        <v>45124</v>
      </c>
      <c r="AH1076" s="82" t="s">
        <v>9229</v>
      </c>
      <c r="AI1076" s="77" t="b">
        <v>0</v>
      </c>
      <c r="AJ1076" s="77"/>
      <c r="AK1076" s="77"/>
      <c r="AL1076" s="77"/>
      <c r="AM1076" s="77"/>
      <c r="AN1076" s="77"/>
      <c r="AO1076" s="77"/>
      <c r="AP1076" s="77"/>
      <c r="AQ1076" s="77"/>
      <c r="AR1076" s="77"/>
      <c r="AS1076" s="77"/>
      <c r="AT1076" s="77"/>
      <c r="AU1076" s="77"/>
      <c r="AV1076" s="80" t="str">
        <f>HYPERLINK("https://pbs.twimg.com/profile_images/1041725334431952896/uaPtkYSp_normal.jpg")</f>
        <v>https://pbs.twimg.com/profile_images/1041725334431952896/uaPtkYSp_normal.jpg</v>
      </c>
      <c r="AW1076" s="82" t="s">
        <v>14171</v>
      </c>
      <c r="AX1076" s="82" t="s">
        <v>14171</v>
      </c>
      <c r="AY1076" s="77"/>
      <c r="AZ1076" s="82" t="s">
        <v>17385</v>
      </c>
      <c r="BA1076" s="82" t="s">
        <v>17385</v>
      </c>
      <c r="BB1076" s="82" t="s">
        <v>17385</v>
      </c>
      <c r="BC1076" s="82" t="s">
        <v>14171</v>
      </c>
      <c r="BD1076" s="82" t="s">
        <v>17550</v>
      </c>
      <c r="BE1076" s="77"/>
      <c r="BF1076" s="77"/>
      <c r="BG1076" s="77"/>
      <c r="BH1076" s="77"/>
      <c r="BI1076" s="77"/>
    </row>
    <row r="1077" spans="1:61" x14ac:dyDescent="0.25">
      <c r="A1077" s="62" t="s">
        <v>425</v>
      </c>
      <c r="B1077" s="62" t="s">
        <v>425</v>
      </c>
      <c r="C1077" s="63"/>
      <c r="D1077" s="64"/>
      <c r="E1077" s="65"/>
      <c r="F1077" s="66"/>
      <c r="G1077" s="63"/>
      <c r="H1077" s="67"/>
      <c r="I1077" s="68"/>
      <c r="J1077" s="68"/>
      <c r="K1077" s="32"/>
      <c r="L1077" s="75">
        <v>1077</v>
      </c>
      <c r="M1077" s="75"/>
      <c r="N1077" s="70"/>
      <c r="O1077" s="77" t="s">
        <v>179</v>
      </c>
      <c r="P1077" s="79">
        <v>45100.512835648151</v>
      </c>
      <c r="Q1077" s="77" t="s">
        <v>1868</v>
      </c>
      <c r="R1077" s="77">
        <v>1</v>
      </c>
      <c r="S1077" s="77">
        <v>1</v>
      </c>
      <c r="T1077" s="77">
        <v>0</v>
      </c>
      <c r="U1077" s="77">
        <v>0</v>
      </c>
      <c r="V1077" s="77">
        <v>248</v>
      </c>
      <c r="W1077" s="82" t="s">
        <v>5529</v>
      </c>
      <c r="X1077" s="80" t="str">
        <f>HYPERLINK("https://www.seudinheiro.com/2023/empresas/investidores-arbitragem-lemann-e-socios-na-americanas-amer3-vinp/")</f>
        <v>https://www.seudinheiro.com/2023/empresas/investidores-arbitragem-lemann-e-socios-na-americanas-amer3-vinp/</v>
      </c>
      <c r="Y1077" s="77" t="s">
        <v>7102</v>
      </c>
      <c r="Z1077" s="77"/>
      <c r="AA1077" s="77"/>
      <c r="AB1077" s="77"/>
      <c r="AC1077" s="82" t="s">
        <v>8255</v>
      </c>
      <c r="AD1077" s="77" t="s">
        <v>8278</v>
      </c>
      <c r="AE1077" s="80" t="str">
        <f>HYPERLINK("https://twitter.com/seu_dinheiro_br/status/1672217561642020864")</f>
        <v>https://twitter.com/seu_dinheiro_br/status/1672217561642020864</v>
      </c>
      <c r="AF1077" s="79">
        <v>45100.512835648151</v>
      </c>
      <c r="AG1077" s="85">
        <v>45100</v>
      </c>
      <c r="AH1077" s="82" t="s">
        <v>9230</v>
      </c>
      <c r="AI1077" s="77" t="b">
        <v>0</v>
      </c>
      <c r="AJ1077" s="77"/>
      <c r="AK1077" s="77"/>
      <c r="AL1077" s="77"/>
      <c r="AM1077" s="77"/>
      <c r="AN1077" s="77"/>
      <c r="AO1077" s="77"/>
      <c r="AP1077" s="77"/>
      <c r="AQ1077" s="77"/>
      <c r="AR1077" s="77"/>
      <c r="AS1077" s="77"/>
      <c r="AT1077" s="77"/>
      <c r="AU1077" s="77"/>
      <c r="AV1077" s="80" t="str">
        <f>HYPERLINK("https://pbs.twimg.com/profile_images/1041725334431952896/uaPtkYSp_normal.jpg")</f>
        <v>https://pbs.twimg.com/profile_images/1041725334431952896/uaPtkYSp_normal.jpg</v>
      </c>
      <c r="AW1077" s="82" t="s">
        <v>14172</v>
      </c>
      <c r="AX1077" s="82" t="s">
        <v>14172</v>
      </c>
      <c r="AY1077" s="77"/>
      <c r="AZ1077" s="82" t="s">
        <v>17385</v>
      </c>
      <c r="BA1077" s="82" t="s">
        <v>17385</v>
      </c>
      <c r="BB1077" s="82" t="s">
        <v>17385</v>
      </c>
      <c r="BC1077" s="82" t="s">
        <v>14172</v>
      </c>
      <c r="BD1077" s="82" t="s">
        <v>17550</v>
      </c>
      <c r="BE1077" s="77"/>
      <c r="BF1077" s="77"/>
      <c r="BG1077" s="77"/>
      <c r="BH1077" s="77"/>
      <c r="BI1077" s="77"/>
    </row>
    <row r="1078" spans="1:61" x14ac:dyDescent="0.25">
      <c r="A1078" s="62" t="s">
        <v>425</v>
      </c>
      <c r="B1078" s="62" t="s">
        <v>425</v>
      </c>
      <c r="C1078" s="63"/>
      <c r="D1078" s="64"/>
      <c r="E1078" s="65"/>
      <c r="F1078" s="66"/>
      <c r="G1078" s="63"/>
      <c r="H1078" s="67"/>
      <c r="I1078" s="68"/>
      <c r="J1078" s="68"/>
      <c r="K1078" s="32"/>
      <c r="L1078" s="75">
        <v>1078</v>
      </c>
      <c r="M1078" s="75"/>
      <c r="N1078" s="70"/>
      <c r="O1078" s="77" t="s">
        <v>179</v>
      </c>
      <c r="P1078" s="79">
        <v>45100.441863425927</v>
      </c>
      <c r="Q1078" s="77" t="s">
        <v>1869</v>
      </c>
      <c r="R1078" s="77">
        <v>1</v>
      </c>
      <c r="S1078" s="77">
        <v>1</v>
      </c>
      <c r="T1078" s="77">
        <v>0</v>
      </c>
      <c r="U1078" s="77">
        <v>0</v>
      </c>
      <c r="V1078" s="77">
        <v>277</v>
      </c>
      <c r="W1078" s="82" t="s">
        <v>5474</v>
      </c>
      <c r="X1078" s="80" t="str">
        <f>HYPERLINK("https://www.seudinheiro.com/2023/colunistas/day-trade-na-b3-saiba-como-lucrar-com-acoes-da-alliar-aalr3-23-06-miql/")</f>
        <v>https://www.seudinheiro.com/2023/colunistas/day-trade-na-b3-saiba-como-lucrar-com-acoes-da-alliar-aalr3-23-06-miql/</v>
      </c>
      <c r="Y1078" s="77" t="s">
        <v>7102</v>
      </c>
      <c r="Z1078" s="77"/>
      <c r="AA1078" s="77"/>
      <c r="AB1078" s="77"/>
      <c r="AC1078" s="82" t="s">
        <v>8255</v>
      </c>
      <c r="AD1078" s="77" t="s">
        <v>8278</v>
      </c>
      <c r="AE1078" s="80" t="str">
        <f>HYPERLINK("https://twitter.com/seu_dinheiro_br/status/1672191842337554435")</f>
        <v>https://twitter.com/seu_dinheiro_br/status/1672191842337554435</v>
      </c>
      <c r="AF1078" s="79">
        <v>45100.441863425927</v>
      </c>
      <c r="AG1078" s="85">
        <v>45100</v>
      </c>
      <c r="AH1078" s="82" t="s">
        <v>9231</v>
      </c>
      <c r="AI1078" s="77" t="b">
        <v>0</v>
      </c>
      <c r="AJ1078" s="77"/>
      <c r="AK1078" s="77"/>
      <c r="AL1078" s="77"/>
      <c r="AM1078" s="77"/>
      <c r="AN1078" s="77"/>
      <c r="AO1078" s="77"/>
      <c r="AP1078" s="77"/>
      <c r="AQ1078" s="77"/>
      <c r="AR1078" s="77"/>
      <c r="AS1078" s="77"/>
      <c r="AT1078" s="77"/>
      <c r="AU1078" s="77"/>
      <c r="AV1078" s="80" t="str">
        <f>HYPERLINK("https://pbs.twimg.com/profile_images/1041725334431952896/uaPtkYSp_normal.jpg")</f>
        <v>https://pbs.twimg.com/profile_images/1041725334431952896/uaPtkYSp_normal.jpg</v>
      </c>
      <c r="AW1078" s="82" t="s">
        <v>14173</v>
      </c>
      <c r="AX1078" s="82" t="s">
        <v>14173</v>
      </c>
      <c r="AY1078" s="77"/>
      <c r="AZ1078" s="82" t="s">
        <v>17385</v>
      </c>
      <c r="BA1078" s="82" t="s">
        <v>17385</v>
      </c>
      <c r="BB1078" s="82" t="s">
        <v>17385</v>
      </c>
      <c r="BC1078" s="82" t="s">
        <v>14173</v>
      </c>
      <c r="BD1078" s="82" t="s">
        <v>17550</v>
      </c>
      <c r="BE1078" s="77"/>
      <c r="BF1078" s="77"/>
      <c r="BG1078" s="77"/>
      <c r="BH1078" s="77"/>
      <c r="BI1078" s="77"/>
    </row>
    <row r="1079" spans="1:61" x14ac:dyDescent="0.25">
      <c r="A1079" s="62" t="s">
        <v>425</v>
      </c>
      <c r="B1079" s="62" t="s">
        <v>425</v>
      </c>
      <c r="C1079" s="63"/>
      <c r="D1079" s="64"/>
      <c r="E1079" s="65"/>
      <c r="F1079" s="66"/>
      <c r="G1079" s="63"/>
      <c r="H1079" s="67"/>
      <c r="I1079" s="68"/>
      <c r="J1079" s="68"/>
      <c r="K1079" s="32"/>
      <c r="L1079" s="75">
        <v>1079</v>
      </c>
      <c r="M1079" s="75"/>
      <c r="N1079" s="70"/>
      <c r="O1079" s="77" t="s">
        <v>179</v>
      </c>
      <c r="P1079" s="79">
        <v>45099.726504629631</v>
      </c>
      <c r="Q1079" s="77" t="s">
        <v>1870</v>
      </c>
      <c r="R1079" s="77">
        <v>1</v>
      </c>
      <c r="S1079" s="77">
        <v>1</v>
      </c>
      <c r="T1079" s="77">
        <v>0</v>
      </c>
      <c r="U1079" s="77">
        <v>0</v>
      </c>
      <c r="V1079" s="77">
        <v>370</v>
      </c>
      <c r="W1079" s="82" t="s">
        <v>5530</v>
      </c>
      <c r="X1079" s="80" t="str">
        <f>HYPERLINK("https://www.seudinheiro.com/2023/empresas/bb-seguridade-bbse3-e-uma-das-poucas-acoes-que-resistem-ao-furacao-do-copom-na-b3-mas-goldman-sachs-ve-pouco-espaco-para-alta-ccgg/")</f>
        <v>https://www.seudinheiro.com/2023/empresas/bb-seguridade-bbse3-e-uma-das-poucas-acoes-que-resistem-ao-furacao-do-copom-na-b3-mas-goldman-sachs-ve-pouco-espaco-para-alta-ccgg/</v>
      </c>
      <c r="Y1079" s="77" t="s">
        <v>7102</v>
      </c>
      <c r="Z1079" s="77"/>
      <c r="AA1079" s="77"/>
      <c r="AB1079" s="77"/>
      <c r="AC1079" s="82" t="s">
        <v>8255</v>
      </c>
      <c r="AD1079" s="77" t="s">
        <v>8278</v>
      </c>
      <c r="AE1079" s="80" t="str">
        <f>HYPERLINK("https://twitter.com/seu_dinheiro_br/status/1671932605422354442")</f>
        <v>https://twitter.com/seu_dinheiro_br/status/1671932605422354442</v>
      </c>
      <c r="AF1079" s="79">
        <v>45099.726504629631</v>
      </c>
      <c r="AG1079" s="85">
        <v>45099</v>
      </c>
      <c r="AH1079" s="82" t="s">
        <v>9232</v>
      </c>
      <c r="AI1079" s="77" t="b">
        <v>0</v>
      </c>
      <c r="AJ1079" s="77"/>
      <c r="AK1079" s="77"/>
      <c r="AL1079" s="77"/>
      <c r="AM1079" s="77"/>
      <c r="AN1079" s="77"/>
      <c r="AO1079" s="77"/>
      <c r="AP1079" s="77"/>
      <c r="AQ1079" s="77"/>
      <c r="AR1079" s="77"/>
      <c r="AS1079" s="77"/>
      <c r="AT1079" s="77"/>
      <c r="AU1079" s="77"/>
      <c r="AV1079" s="80" t="str">
        <f>HYPERLINK("https://pbs.twimg.com/profile_images/1041725334431952896/uaPtkYSp_normal.jpg")</f>
        <v>https://pbs.twimg.com/profile_images/1041725334431952896/uaPtkYSp_normal.jpg</v>
      </c>
      <c r="AW1079" s="82" t="s">
        <v>14174</v>
      </c>
      <c r="AX1079" s="82" t="s">
        <v>14174</v>
      </c>
      <c r="AY1079" s="77"/>
      <c r="AZ1079" s="82" t="s">
        <v>17385</v>
      </c>
      <c r="BA1079" s="82" t="s">
        <v>17385</v>
      </c>
      <c r="BB1079" s="82" t="s">
        <v>17385</v>
      </c>
      <c r="BC1079" s="82" t="s">
        <v>14174</v>
      </c>
      <c r="BD1079" s="82" t="s">
        <v>17550</v>
      </c>
      <c r="BE1079" s="77"/>
      <c r="BF1079" s="77"/>
      <c r="BG1079" s="77"/>
      <c r="BH1079" s="77"/>
      <c r="BI1079" s="77"/>
    </row>
    <row r="1080" spans="1:61" x14ac:dyDescent="0.25">
      <c r="A1080" s="62" t="s">
        <v>425</v>
      </c>
      <c r="B1080" s="62" t="s">
        <v>425</v>
      </c>
      <c r="C1080" s="63"/>
      <c r="D1080" s="64"/>
      <c r="E1080" s="65"/>
      <c r="F1080" s="66"/>
      <c r="G1080" s="63"/>
      <c r="H1080" s="67"/>
      <c r="I1080" s="68"/>
      <c r="J1080" s="68"/>
      <c r="K1080" s="32"/>
      <c r="L1080" s="75">
        <v>1080</v>
      </c>
      <c r="M1080" s="75"/>
      <c r="N1080" s="70"/>
      <c r="O1080" s="77" t="s">
        <v>179</v>
      </c>
      <c r="P1080" s="79">
        <v>45099.437789351854</v>
      </c>
      <c r="Q1080" s="77" t="s">
        <v>1871</v>
      </c>
      <c r="R1080" s="77">
        <v>0</v>
      </c>
      <c r="S1080" s="77">
        <v>1</v>
      </c>
      <c r="T1080" s="77">
        <v>0</v>
      </c>
      <c r="U1080" s="77">
        <v>0</v>
      </c>
      <c r="V1080" s="77">
        <v>335</v>
      </c>
      <c r="W1080" s="82" t="s">
        <v>5474</v>
      </c>
      <c r="X1080" s="80" t="str">
        <f>HYPERLINK("https://www.seudinheiro.com/2023/colunistas/day-trade-na-b3-saiba-como-lucrar-com-acoes-da-jhsf-jhsf3-22-06-miql/")</f>
        <v>https://www.seudinheiro.com/2023/colunistas/day-trade-na-b3-saiba-como-lucrar-com-acoes-da-jhsf-jhsf3-22-06-miql/</v>
      </c>
      <c r="Y1080" s="77" t="s">
        <v>7102</v>
      </c>
      <c r="Z1080" s="77"/>
      <c r="AA1080" s="77"/>
      <c r="AB1080" s="77"/>
      <c r="AC1080" s="82" t="s">
        <v>8255</v>
      </c>
      <c r="AD1080" s="77" t="s">
        <v>8278</v>
      </c>
      <c r="AE1080" s="80" t="str">
        <f>HYPERLINK("https://twitter.com/seu_dinheiro_br/status/1671827975380033536")</f>
        <v>https://twitter.com/seu_dinheiro_br/status/1671827975380033536</v>
      </c>
      <c r="AF1080" s="79">
        <v>45099.437789351854</v>
      </c>
      <c r="AG1080" s="85">
        <v>45099</v>
      </c>
      <c r="AH1080" s="82" t="s">
        <v>8760</v>
      </c>
      <c r="AI1080" s="77" t="b">
        <v>0</v>
      </c>
      <c r="AJ1080" s="77"/>
      <c r="AK1080" s="77"/>
      <c r="AL1080" s="77"/>
      <c r="AM1080" s="77"/>
      <c r="AN1080" s="77"/>
      <c r="AO1080" s="77"/>
      <c r="AP1080" s="77"/>
      <c r="AQ1080" s="77"/>
      <c r="AR1080" s="77"/>
      <c r="AS1080" s="77"/>
      <c r="AT1080" s="77"/>
      <c r="AU1080" s="77"/>
      <c r="AV1080" s="80" t="str">
        <f>HYPERLINK("https://pbs.twimg.com/profile_images/1041725334431952896/uaPtkYSp_normal.jpg")</f>
        <v>https://pbs.twimg.com/profile_images/1041725334431952896/uaPtkYSp_normal.jpg</v>
      </c>
      <c r="AW1080" s="82" t="s">
        <v>14175</v>
      </c>
      <c r="AX1080" s="82" t="s">
        <v>14175</v>
      </c>
      <c r="AY1080" s="77"/>
      <c r="AZ1080" s="82" t="s">
        <v>17385</v>
      </c>
      <c r="BA1080" s="82" t="s">
        <v>17385</v>
      </c>
      <c r="BB1080" s="82" t="s">
        <v>17385</v>
      </c>
      <c r="BC1080" s="82" t="s">
        <v>14175</v>
      </c>
      <c r="BD1080" s="82" t="s">
        <v>17550</v>
      </c>
      <c r="BE1080" s="77"/>
      <c r="BF1080" s="77"/>
      <c r="BG1080" s="77"/>
      <c r="BH1080" s="77"/>
      <c r="BI1080" s="77"/>
    </row>
    <row r="1081" spans="1:61" x14ac:dyDescent="0.25">
      <c r="A1081" s="62" t="s">
        <v>425</v>
      </c>
      <c r="B1081" s="62" t="s">
        <v>425</v>
      </c>
      <c r="C1081" s="63"/>
      <c r="D1081" s="64"/>
      <c r="E1081" s="65"/>
      <c r="F1081" s="66"/>
      <c r="G1081" s="63"/>
      <c r="H1081" s="67"/>
      <c r="I1081" s="68"/>
      <c r="J1081" s="68"/>
      <c r="K1081" s="32"/>
      <c r="L1081" s="75">
        <v>1081</v>
      </c>
      <c r="M1081" s="75"/>
      <c r="N1081" s="70"/>
      <c r="O1081" s="77" t="s">
        <v>179</v>
      </c>
      <c r="P1081" s="79">
        <v>45098.740706018521</v>
      </c>
      <c r="Q1081" s="77" t="s">
        <v>1872</v>
      </c>
      <c r="R1081" s="77">
        <v>2</v>
      </c>
      <c r="S1081" s="77">
        <v>3</v>
      </c>
      <c r="T1081" s="77">
        <v>0</v>
      </c>
      <c r="U1081" s="77">
        <v>0</v>
      </c>
      <c r="V1081" s="77">
        <v>338</v>
      </c>
      <c r="W1081" s="82" t="s">
        <v>5479</v>
      </c>
      <c r="X1081" s="80" t="str">
        <f>HYPERLINK("https://www.seudinheiro.com/2023/empresas/o-que-a-xp-tem-btg-eleva-de-novo-preco-alvo-e-ve-oportunidade-de-curto-prazo-ccgg/")</f>
        <v>https://www.seudinheiro.com/2023/empresas/o-que-a-xp-tem-btg-eleva-de-novo-preco-alvo-e-ve-oportunidade-de-curto-prazo-ccgg/</v>
      </c>
      <c r="Y1081" s="77" t="s">
        <v>7102</v>
      </c>
      <c r="Z1081" s="77"/>
      <c r="AA1081" s="77"/>
      <c r="AB1081" s="77"/>
      <c r="AC1081" s="82" t="s">
        <v>8255</v>
      </c>
      <c r="AD1081" s="77" t="s">
        <v>8278</v>
      </c>
      <c r="AE1081" s="80" t="str">
        <f>HYPERLINK("https://twitter.com/seu_dinheiro_br/status/1671575363854401537")</f>
        <v>https://twitter.com/seu_dinheiro_br/status/1671575363854401537</v>
      </c>
      <c r="AF1081" s="79">
        <v>45098.740706018521</v>
      </c>
      <c r="AG1081" s="85">
        <v>45098</v>
      </c>
      <c r="AH1081" s="82" t="s">
        <v>9233</v>
      </c>
      <c r="AI1081" s="77" t="b">
        <v>0</v>
      </c>
      <c r="AJ1081" s="77"/>
      <c r="AK1081" s="77"/>
      <c r="AL1081" s="77"/>
      <c r="AM1081" s="77"/>
      <c r="AN1081" s="77"/>
      <c r="AO1081" s="77"/>
      <c r="AP1081" s="77"/>
      <c r="AQ1081" s="77"/>
      <c r="AR1081" s="77"/>
      <c r="AS1081" s="77"/>
      <c r="AT1081" s="77"/>
      <c r="AU1081" s="77"/>
      <c r="AV1081" s="80" t="str">
        <f>HYPERLINK("https://pbs.twimg.com/profile_images/1041725334431952896/uaPtkYSp_normal.jpg")</f>
        <v>https://pbs.twimg.com/profile_images/1041725334431952896/uaPtkYSp_normal.jpg</v>
      </c>
      <c r="AW1081" s="82" t="s">
        <v>14176</v>
      </c>
      <c r="AX1081" s="82" t="s">
        <v>14176</v>
      </c>
      <c r="AY1081" s="77"/>
      <c r="AZ1081" s="82" t="s">
        <v>17385</v>
      </c>
      <c r="BA1081" s="82" t="s">
        <v>17385</v>
      </c>
      <c r="BB1081" s="82" t="s">
        <v>17385</v>
      </c>
      <c r="BC1081" s="82" t="s">
        <v>14176</v>
      </c>
      <c r="BD1081" s="82" t="s">
        <v>17550</v>
      </c>
      <c r="BE1081" s="77"/>
      <c r="BF1081" s="77"/>
      <c r="BG1081" s="77"/>
      <c r="BH1081" s="77"/>
      <c r="BI1081" s="77"/>
    </row>
    <row r="1082" spans="1:61" x14ac:dyDescent="0.25">
      <c r="A1082" s="62" t="s">
        <v>425</v>
      </c>
      <c r="B1082" s="62" t="s">
        <v>425</v>
      </c>
      <c r="C1082" s="63"/>
      <c r="D1082" s="64"/>
      <c r="E1082" s="65"/>
      <c r="F1082" s="66"/>
      <c r="G1082" s="63"/>
      <c r="H1082" s="67"/>
      <c r="I1082" s="68"/>
      <c r="J1082" s="68"/>
      <c r="K1082" s="32"/>
      <c r="L1082" s="75">
        <v>1082</v>
      </c>
      <c r="M1082" s="75"/>
      <c r="N1082" s="70"/>
      <c r="O1082" s="77" t="s">
        <v>179</v>
      </c>
      <c r="P1082" s="79">
        <v>45098.680717592593</v>
      </c>
      <c r="Q1082" s="77" t="s">
        <v>1873</v>
      </c>
      <c r="R1082" s="77">
        <v>0</v>
      </c>
      <c r="S1082" s="77">
        <v>1</v>
      </c>
      <c r="T1082" s="77">
        <v>0</v>
      </c>
      <c r="U1082" s="77">
        <v>0</v>
      </c>
      <c r="V1082" s="77">
        <v>267</v>
      </c>
      <c r="W1082" s="82" t="s">
        <v>5531</v>
      </c>
      <c r="X1082" s="80" t="str">
        <f>HYPERLINK("https://www.seudinheiro.com/2023/empresas/maior-alta-do-ibovespa-acao-yduqs-yduq3-espaco-para-novo-rali-bofa-miql/")</f>
        <v>https://www.seudinheiro.com/2023/empresas/maior-alta-do-ibovespa-acao-yduqs-yduq3-espaco-para-novo-rali-bofa-miql/</v>
      </c>
      <c r="Y1082" s="77" t="s">
        <v>7102</v>
      </c>
      <c r="Z1082" s="77"/>
      <c r="AA1082" s="77"/>
      <c r="AB1082" s="77"/>
      <c r="AC1082" s="82" t="s">
        <v>8255</v>
      </c>
      <c r="AD1082" s="77" t="s">
        <v>8278</v>
      </c>
      <c r="AE1082" s="80" t="str">
        <f>HYPERLINK("https://twitter.com/seu_dinheiro_br/status/1671553624206344193")</f>
        <v>https://twitter.com/seu_dinheiro_br/status/1671553624206344193</v>
      </c>
      <c r="AF1082" s="79">
        <v>45098.680717592593</v>
      </c>
      <c r="AG1082" s="85">
        <v>45098</v>
      </c>
      <c r="AH1082" s="82" t="s">
        <v>9234</v>
      </c>
      <c r="AI1082" s="77" t="b">
        <v>0</v>
      </c>
      <c r="AJ1082" s="77"/>
      <c r="AK1082" s="77"/>
      <c r="AL1082" s="77"/>
      <c r="AM1082" s="77"/>
      <c r="AN1082" s="77"/>
      <c r="AO1082" s="77"/>
      <c r="AP1082" s="77"/>
      <c r="AQ1082" s="77"/>
      <c r="AR1082" s="77"/>
      <c r="AS1082" s="77"/>
      <c r="AT1082" s="77"/>
      <c r="AU1082" s="77"/>
      <c r="AV1082" s="80" t="str">
        <f>HYPERLINK("https://pbs.twimg.com/profile_images/1041725334431952896/uaPtkYSp_normal.jpg")</f>
        <v>https://pbs.twimg.com/profile_images/1041725334431952896/uaPtkYSp_normal.jpg</v>
      </c>
      <c r="AW1082" s="82" t="s">
        <v>14177</v>
      </c>
      <c r="AX1082" s="82" t="s">
        <v>14177</v>
      </c>
      <c r="AY1082" s="77"/>
      <c r="AZ1082" s="82" t="s">
        <v>17385</v>
      </c>
      <c r="BA1082" s="82" t="s">
        <v>17385</v>
      </c>
      <c r="BB1082" s="82" t="s">
        <v>17385</v>
      </c>
      <c r="BC1082" s="82" t="s">
        <v>14177</v>
      </c>
      <c r="BD1082" s="82" t="s">
        <v>17550</v>
      </c>
      <c r="BE1082" s="77"/>
      <c r="BF1082" s="77"/>
      <c r="BG1082" s="77"/>
      <c r="BH1082" s="77"/>
      <c r="BI1082" s="77"/>
    </row>
    <row r="1083" spans="1:61" x14ac:dyDescent="0.25">
      <c r="A1083" s="62" t="s">
        <v>425</v>
      </c>
      <c r="B1083" s="62" t="s">
        <v>425</v>
      </c>
      <c r="C1083" s="63"/>
      <c r="D1083" s="64"/>
      <c r="E1083" s="65"/>
      <c r="F1083" s="66"/>
      <c r="G1083" s="63"/>
      <c r="H1083" s="67"/>
      <c r="I1083" s="68"/>
      <c r="J1083" s="68"/>
      <c r="K1083" s="32"/>
      <c r="L1083" s="75">
        <v>1083</v>
      </c>
      <c r="M1083" s="75"/>
      <c r="N1083" s="70"/>
      <c r="O1083" s="77" t="s">
        <v>179</v>
      </c>
      <c r="P1083" s="79">
        <v>45098.63689814815</v>
      </c>
      <c r="Q1083" s="77" t="s">
        <v>1874</v>
      </c>
      <c r="R1083" s="77">
        <v>1</v>
      </c>
      <c r="S1083" s="77">
        <v>1</v>
      </c>
      <c r="T1083" s="77">
        <v>0</v>
      </c>
      <c r="U1083" s="77">
        <v>0</v>
      </c>
      <c r="V1083" s="77">
        <v>259</v>
      </c>
      <c r="W1083" s="82" t="s">
        <v>5532</v>
      </c>
      <c r="X1083" s="80" t="str">
        <f>HYPERLINK("https://www.seudinheiro.com/2023/bolsa-dolar/goldman-sachs-eleva-petrobras-petr3-petr4-para-compra-julw/")</f>
        <v>https://www.seudinheiro.com/2023/bolsa-dolar/goldman-sachs-eleva-petrobras-petr3-petr4-para-compra-julw/</v>
      </c>
      <c r="Y1083" s="77" t="s">
        <v>7102</v>
      </c>
      <c r="Z1083" s="77"/>
      <c r="AA1083" s="77"/>
      <c r="AB1083" s="77"/>
      <c r="AC1083" s="82" t="s">
        <v>8255</v>
      </c>
      <c r="AD1083" s="77" t="s">
        <v>8278</v>
      </c>
      <c r="AE1083" s="80" t="str">
        <f>HYPERLINK("https://twitter.com/seu_dinheiro_br/status/1671537744978358276")</f>
        <v>https://twitter.com/seu_dinheiro_br/status/1671537744978358276</v>
      </c>
      <c r="AF1083" s="79">
        <v>45098.63689814815</v>
      </c>
      <c r="AG1083" s="85">
        <v>45098</v>
      </c>
      <c r="AH1083" s="82" t="s">
        <v>9235</v>
      </c>
      <c r="AI1083" s="77" t="b">
        <v>0</v>
      </c>
      <c r="AJ1083" s="77"/>
      <c r="AK1083" s="77"/>
      <c r="AL1083" s="77"/>
      <c r="AM1083" s="77"/>
      <c r="AN1083" s="77"/>
      <c r="AO1083" s="77"/>
      <c r="AP1083" s="77"/>
      <c r="AQ1083" s="77"/>
      <c r="AR1083" s="77"/>
      <c r="AS1083" s="77"/>
      <c r="AT1083" s="77"/>
      <c r="AU1083" s="77"/>
      <c r="AV1083" s="80" t="str">
        <f>HYPERLINK("https://pbs.twimg.com/profile_images/1041725334431952896/uaPtkYSp_normal.jpg")</f>
        <v>https://pbs.twimg.com/profile_images/1041725334431952896/uaPtkYSp_normal.jpg</v>
      </c>
      <c r="AW1083" s="82" t="s">
        <v>14178</v>
      </c>
      <c r="AX1083" s="82" t="s">
        <v>14178</v>
      </c>
      <c r="AY1083" s="77"/>
      <c r="AZ1083" s="82" t="s">
        <v>17385</v>
      </c>
      <c r="BA1083" s="82" t="s">
        <v>17385</v>
      </c>
      <c r="BB1083" s="82" t="s">
        <v>17385</v>
      </c>
      <c r="BC1083" s="82" t="s">
        <v>14178</v>
      </c>
      <c r="BD1083" s="82" t="s">
        <v>17550</v>
      </c>
      <c r="BE1083" s="77"/>
      <c r="BF1083" s="77"/>
      <c r="BG1083" s="77"/>
      <c r="BH1083" s="77"/>
      <c r="BI1083" s="77"/>
    </row>
    <row r="1084" spans="1:61" x14ac:dyDescent="0.25">
      <c r="A1084" s="62" t="s">
        <v>425</v>
      </c>
      <c r="B1084" s="62" t="s">
        <v>425</v>
      </c>
      <c r="C1084" s="63"/>
      <c r="D1084" s="64"/>
      <c r="E1084" s="65"/>
      <c r="F1084" s="66"/>
      <c r="G1084" s="63"/>
      <c r="H1084" s="67"/>
      <c r="I1084" s="68"/>
      <c r="J1084" s="68"/>
      <c r="K1084" s="32"/>
      <c r="L1084" s="75">
        <v>1084</v>
      </c>
      <c r="M1084" s="75"/>
      <c r="N1084" s="70"/>
      <c r="O1084" s="77" t="s">
        <v>179</v>
      </c>
      <c r="P1084" s="79">
        <v>45098.610671296294</v>
      </c>
      <c r="Q1084" s="77" t="s">
        <v>1875</v>
      </c>
      <c r="R1084" s="77">
        <v>1</v>
      </c>
      <c r="S1084" s="77">
        <v>1</v>
      </c>
      <c r="T1084" s="77">
        <v>0</v>
      </c>
      <c r="U1084" s="77">
        <v>0</v>
      </c>
      <c r="V1084" s="77">
        <v>390</v>
      </c>
      <c r="W1084" s="82" t="s">
        <v>5533</v>
      </c>
      <c r="X1084" s="80" t="str">
        <f>HYPERLINK("https://www.seudinheiro.com/2023/bolsa-dolar/vamos-vamo3-lanca-oferta-de-acoes-bilionaria-simpar-vinp/")</f>
        <v>https://www.seudinheiro.com/2023/bolsa-dolar/vamos-vamo3-lanca-oferta-de-acoes-bilionaria-simpar-vinp/</v>
      </c>
      <c r="Y1084" s="77" t="s">
        <v>7102</v>
      </c>
      <c r="Z1084" s="77"/>
      <c r="AA1084" s="77"/>
      <c r="AB1084" s="77"/>
      <c r="AC1084" s="82" t="s">
        <v>8255</v>
      </c>
      <c r="AD1084" s="77" t="s">
        <v>8278</v>
      </c>
      <c r="AE1084" s="80" t="str">
        <f>HYPERLINK("https://twitter.com/seu_dinheiro_br/status/1671528241431977984")</f>
        <v>https://twitter.com/seu_dinheiro_br/status/1671528241431977984</v>
      </c>
      <c r="AF1084" s="79">
        <v>45098.610671296294</v>
      </c>
      <c r="AG1084" s="85">
        <v>45098</v>
      </c>
      <c r="AH1084" s="82" t="s">
        <v>9236</v>
      </c>
      <c r="AI1084" s="77" t="b">
        <v>0</v>
      </c>
      <c r="AJ1084" s="77"/>
      <c r="AK1084" s="77"/>
      <c r="AL1084" s="77"/>
      <c r="AM1084" s="77"/>
      <c r="AN1084" s="77"/>
      <c r="AO1084" s="77"/>
      <c r="AP1084" s="77"/>
      <c r="AQ1084" s="77"/>
      <c r="AR1084" s="77"/>
      <c r="AS1084" s="77"/>
      <c r="AT1084" s="77"/>
      <c r="AU1084" s="77"/>
      <c r="AV1084" s="80" t="str">
        <f>HYPERLINK("https://pbs.twimg.com/profile_images/1041725334431952896/uaPtkYSp_normal.jpg")</f>
        <v>https://pbs.twimg.com/profile_images/1041725334431952896/uaPtkYSp_normal.jpg</v>
      </c>
      <c r="AW1084" s="82" t="s">
        <v>14179</v>
      </c>
      <c r="AX1084" s="82" t="s">
        <v>14179</v>
      </c>
      <c r="AY1084" s="77"/>
      <c r="AZ1084" s="82" t="s">
        <v>17385</v>
      </c>
      <c r="BA1084" s="82" t="s">
        <v>17385</v>
      </c>
      <c r="BB1084" s="82" t="s">
        <v>17385</v>
      </c>
      <c r="BC1084" s="82" t="s">
        <v>14179</v>
      </c>
      <c r="BD1084" s="82" t="s">
        <v>17550</v>
      </c>
      <c r="BE1084" s="77"/>
      <c r="BF1084" s="77"/>
      <c r="BG1084" s="77"/>
      <c r="BH1084" s="77"/>
      <c r="BI1084" s="77"/>
    </row>
    <row r="1085" spans="1:61" x14ac:dyDescent="0.25">
      <c r="A1085" s="62" t="s">
        <v>425</v>
      </c>
      <c r="B1085" s="62" t="s">
        <v>425</v>
      </c>
      <c r="C1085" s="63"/>
      <c r="D1085" s="64"/>
      <c r="E1085" s="65"/>
      <c r="F1085" s="66"/>
      <c r="G1085" s="63"/>
      <c r="H1085" s="67"/>
      <c r="I1085" s="68"/>
      <c r="J1085" s="68"/>
      <c r="K1085" s="32"/>
      <c r="L1085" s="75">
        <v>1085</v>
      </c>
      <c r="M1085" s="75"/>
      <c r="N1085" s="70"/>
      <c r="O1085" s="77" t="s">
        <v>179</v>
      </c>
      <c r="P1085" s="79">
        <v>45098.462789351855</v>
      </c>
      <c r="Q1085" s="77" t="s">
        <v>1876</v>
      </c>
      <c r="R1085" s="77">
        <v>1</v>
      </c>
      <c r="S1085" s="77">
        <v>2</v>
      </c>
      <c r="T1085" s="77">
        <v>0</v>
      </c>
      <c r="U1085" s="77">
        <v>0</v>
      </c>
      <c r="V1085" s="77">
        <v>340</v>
      </c>
      <c r="W1085" s="82" t="s">
        <v>5502</v>
      </c>
      <c r="X1085" s="80" t="str">
        <f>HYPERLINK("https://www.seudinheiro.com/2023/colunistas/day-trade-na-b3-saiba-como-lucrar-com-acoes-da-helbor-hbor3-21-06-miql/")</f>
        <v>https://www.seudinheiro.com/2023/colunistas/day-trade-na-b3-saiba-como-lucrar-com-acoes-da-helbor-hbor3-21-06-miql/</v>
      </c>
      <c r="Y1085" s="77" t="s">
        <v>7102</v>
      </c>
      <c r="Z1085" s="77"/>
      <c r="AA1085" s="77"/>
      <c r="AB1085" s="77"/>
      <c r="AC1085" s="82" t="s">
        <v>8255</v>
      </c>
      <c r="AD1085" s="77" t="s">
        <v>8278</v>
      </c>
      <c r="AE1085" s="80" t="str">
        <f>HYPERLINK("https://twitter.com/seu_dinheiro_br/status/1671474649505447939")</f>
        <v>https://twitter.com/seu_dinheiro_br/status/1671474649505447939</v>
      </c>
      <c r="AF1085" s="79">
        <v>45098.462789351855</v>
      </c>
      <c r="AG1085" s="85">
        <v>45098</v>
      </c>
      <c r="AH1085" s="82" t="s">
        <v>9237</v>
      </c>
      <c r="AI1085" s="77" t="b">
        <v>0</v>
      </c>
      <c r="AJ1085" s="77"/>
      <c r="AK1085" s="77"/>
      <c r="AL1085" s="77"/>
      <c r="AM1085" s="77"/>
      <c r="AN1085" s="77"/>
      <c r="AO1085" s="77"/>
      <c r="AP1085" s="77"/>
      <c r="AQ1085" s="77"/>
      <c r="AR1085" s="77"/>
      <c r="AS1085" s="77"/>
      <c r="AT1085" s="77"/>
      <c r="AU1085" s="77"/>
      <c r="AV1085" s="80" t="str">
        <f>HYPERLINK("https://pbs.twimg.com/profile_images/1041725334431952896/uaPtkYSp_normal.jpg")</f>
        <v>https://pbs.twimg.com/profile_images/1041725334431952896/uaPtkYSp_normal.jpg</v>
      </c>
      <c r="AW1085" s="82" t="s">
        <v>14180</v>
      </c>
      <c r="AX1085" s="82" t="s">
        <v>14180</v>
      </c>
      <c r="AY1085" s="77"/>
      <c r="AZ1085" s="82" t="s">
        <v>17385</v>
      </c>
      <c r="BA1085" s="82" t="s">
        <v>17385</v>
      </c>
      <c r="BB1085" s="82" t="s">
        <v>17385</v>
      </c>
      <c r="BC1085" s="82" t="s">
        <v>14180</v>
      </c>
      <c r="BD1085" s="82" t="s">
        <v>17550</v>
      </c>
      <c r="BE1085" s="77"/>
      <c r="BF1085" s="77"/>
      <c r="BG1085" s="77"/>
      <c r="BH1085" s="77"/>
      <c r="BI1085" s="77"/>
    </row>
    <row r="1086" spans="1:61" x14ac:dyDescent="0.25">
      <c r="A1086" s="62" t="s">
        <v>425</v>
      </c>
      <c r="B1086" s="62" t="s">
        <v>425</v>
      </c>
      <c r="C1086" s="63"/>
      <c r="D1086" s="64"/>
      <c r="E1086" s="65"/>
      <c r="F1086" s="66"/>
      <c r="G1086" s="63"/>
      <c r="H1086" s="67"/>
      <c r="I1086" s="68"/>
      <c r="J1086" s="68"/>
      <c r="K1086" s="32"/>
      <c r="L1086" s="75">
        <v>1086</v>
      </c>
      <c r="M1086" s="75"/>
      <c r="N1086" s="70"/>
      <c r="O1086" s="77" t="s">
        <v>179</v>
      </c>
      <c r="P1086" s="79">
        <v>45097.814004629632</v>
      </c>
      <c r="Q1086" s="77" t="s">
        <v>1877</v>
      </c>
      <c r="R1086" s="77">
        <v>0</v>
      </c>
      <c r="S1086" s="77">
        <v>0</v>
      </c>
      <c r="T1086" s="77">
        <v>0</v>
      </c>
      <c r="U1086" s="77">
        <v>0</v>
      </c>
      <c r="V1086" s="77">
        <v>288</v>
      </c>
      <c r="W1086" s="82" t="s">
        <v>5534</v>
      </c>
      <c r="X1086" s="80" t="str">
        <f>HYPERLINK("https://www.seudinheiro.com/2023/empresas/uma-forcinha-da-selic-btg-bpac11-entra-para-a-lista-de-preferencias-do-itau-bba-e-pode-subir-mais-27-este-ano-ccgg/")</f>
        <v>https://www.seudinheiro.com/2023/empresas/uma-forcinha-da-selic-btg-bpac11-entra-para-a-lista-de-preferencias-do-itau-bba-e-pode-subir-mais-27-este-ano-ccgg/</v>
      </c>
      <c r="Y1086" s="77" t="s">
        <v>7102</v>
      </c>
      <c r="Z1086" s="77"/>
      <c r="AA1086" s="77"/>
      <c r="AB1086" s="77"/>
      <c r="AC1086" s="82" t="s">
        <v>8255</v>
      </c>
      <c r="AD1086" s="77" t="s">
        <v>8278</v>
      </c>
      <c r="AE1086" s="80" t="str">
        <f>HYPERLINK("https://twitter.com/seu_dinheiro_br/status/1671239536435666950")</f>
        <v>https://twitter.com/seu_dinheiro_br/status/1671239536435666950</v>
      </c>
      <c r="AF1086" s="79">
        <v>45097.814004629632</v>
      </c>
      <c r="AG1086" s="85">
        <v>45097</v>
      </c>
      <c r="AH1086" s="82" t="s">
        <v>9238</v>
      </c>
      <c r="AI1086" s="77" t="b">
        <v>0</v>
      </c>
      <c r="AJ1086" s="77"/>
      <c r="AK1086" s="77"/>
      <c r="AL1086" s="77"/>
      <c r="AM1086" s="77"/>
      <c r="AN1086" s="77"/>
      <c r="AO1086" s="77"/>
      <c r="AP1086" s="77"/>
      <c r="AQ1086" s="77"/>
      <c r="AR1086" s="77"/>
      <c r="AS1086" s="77"/>
      <c r="AT1086" s="77"/>
      <c r="AU1086" s="77"/>
      <c r="AV1086" s="80" t="str">
        <f>HYPERLINK("https://pbs.twimg.com/profile_images/1041725334431952896/uaPtkYSp_normal.jpg")</f>
        <v>https://pbs.twimg.com/profile_images/1041725334431952896/uaPtkYSp_normal.jpg</v>
      </c>
      <c r="AW1086" s="82" t="s">
        <v>14181</v>
      </c>
      <c r="AX1086" s="82" t="s">
        <v>14181</v>
      </c>
      <c r="AY1086" s="77"/>
      <c r="AZ1086" s="82" t="s">
        <v>17385</v>
      </c>
      <c r="BA1086" s="82" t="s">
        <v>17385</v>
      </c>
      <c r="BB1086" s="82" t="s">
        <v>17385</v>
      </c>
      <c r="BC1086" s="82" t="s">
        <v>14181</v>
      </c>
      <c r="BD1086" s="82" t="s">
        <v>17550</v>
      </c>
      <c r="BE1086" s="77"/>
      <c r="BF1086" s="77"/>
      <c r="BG1086" s="77"/>
      <c r="BH1086" s="77"/>
      <c r="BI1086" s="77"/>
    </row>
    <row r="1087" spans="1:61" x14ac:dyDescent="0.25">
      <c r="A1087" s="62" t="s">
        <v>425</v>
      </c>
      <c r="B1087" s="62" t="s">
        <v>425</v>
      </c>
      <c r="C1087" s="63"/>
      <c r="D1087" s="64"/>
      <c r="E1087" s="65"/>
      <c r="F1087" s="66"/>
      <c r="G1087" s="63"/>
      <c r="H1087" s="67"/>
      <c r="I1087" s="68"/>
      <c r="J1087" s="68"/>
      <c r="K1087" s="32"/>
      <c r="L1087" s="75">
        <v>1087</v>
      </c>
      <c r="M1087" s="75"/>
      <c r="N1087" s="70"/>
      <c r="O1087" s="77" t="s">
        <v>179</v>
      </c>
      <c r="P1087" s="79">
        <v>45079.748449074075</v>
      </c>
      <c r="Q1087" s="77" t="s">
        <v>1878</v>
      </c>
      <c r="R1087" s="77">
        <v>0</v>
      </c>
      <c r="S1087" s="77">
        <v>1</v>
      </c>
      <c r="T1087" s="77">
        <v>0</v>
      </c>
      <c r="U1087" s="77">
        <v>0</v>
      </c>
      <c r="V1087" s="77">
        <v>323</v>
      </c>
      <c r="W1087" s="82" t="s">
        <v>5535</v>
      </c>
      <c r="X1087" s="80" t="str">
        <f>HYPERLINK("https://www.seudinheiro.com/2023/empresas/a-cosan-csan3-ficou-esquecida-no-meio-do-rali-da-bolsa-mas-o-btg-ve-potencial-de-alta-de-96-acao-lidera-ibovespa-hoje-ccgg/")</f>
        <v>https://www.seudinheiro.com/2023/empresas/a-cosan-csan3-ficou-esquecida-no-meio-do-rali-da-bolsa-mas-o-btg-ve-potencial-de-alta-de-96-acao-lidera-ibovespa-hoje-ccgg/</v>
      </c>
      <c r="Y1087" s="77" t="s">
        <v>7102</v>
      </c>
      <c r="Z1087" s="77"/>
      <c r="AA1087" s="77"/>
      <c r="AB1087" s="77"/>
      <c r="AC1087" s="82" t="s">
        <v>8255</v>
      </c>
      <c r="AD1087" s="77" t="s">
        <v>8278</v>
      </c>
      <c r="AE1087" s="80" t="str">
        <f>HYPERLINK("https://twitter.com/seu_dinheiro_br/status/1664692797490733057")</f>
        <v>https://twitter.com/seu_dinheiro_br/status/1664692797490733057</v>
      </c>
      <c r="AF1087" s="79">
        <v>45079.748449074075</v>
      </c>
      <c r="AG1087" s="85">
        <v>45079</v>
      </c>
      <c r="AH1087" s="82" t="s">
        <v>9239</v>
      </c>
      <c r="AI1087" s="77" t="b">
        <v>0</v>
      </c>
      <c r="AJ1087" s="77"/>
      <c r="AK1087" s="77"/>
      <c r="AL1087" s="77"/>
      <c r="AM1087" s="77"/>
      <c r="AN1087" s="77"/>
      <c r="AO1087" s="77"/>
      <c r="AP1087" s="77"/>
      <c r="AQ1087" s="77"/>
      <c r="AR1087" s="77"/>
      <c r="AS1087" s="77"/>
      <c r="AT1087" s="77"/>
      <c r="AU1087" s="77"/>
      <c r="AV1087" s="80" t="str">
        <f>HYPERLINK("https://pbs.twimg.com/profile_images/1041725334431952896/uaPtkYSp_normal.jpg")</f>
        <v>https://pbs.twimg.com/profile_images/1041725334431952896/uaPtkYSp_normal.jpg</v>
      </c>
      <c r="AW1087" s="82" t="s">
        <v>14182</v>
      </c>
      <c r="AX1087" s="82" t="s">
        <v>14182</v>
      </c>
      <c r="AY1087" s="77"/>
      <c r="AZ1087" s="82" t="s">
        <v>17385</v>
      </c>
      <c r="BA1087" s="82" t="s">
        <v>17385</v>
      </c>
      <c r="BB1087" s="82" t="s">
        <v>17385</v>
      </c>
      <c r="BC1087" s="82" t="s">
        <v>14182</v>
      </c>
      <c r="BD1087" s="82" t="s">
        <v>17550</v>
      </c>
      <c r="BE1087" s="77"/>
      <c r="BF1087" s="77"/>
      <c r="BG1087" s="77"/>
      <c r="BH1087" s="77"/>
      <c r="BI1087" s="77"/>
    </row>
    <row r="1088" spans="1:61" x14ac:dyDescent="0.25">
      <c r="A1088" s="62" t="s">
        <v>425</v>
      </c>
      <c r="B1088" s="62" t="s">
        <v>425</v>
      </c>
      <c r="C1088" s="63"/>
      <c r="D1088" s="64"/>
      <c r="E1088" s="65"/>
      <c r="F1088" s="66"/>
      <c r="G1088" s="63"/>
      <c r="H1088" s="67"/>
      <c r="I1088" s="68"/>
      <c r="J1088" s="68"/>
      <c r="K1088" s="32"/>
      <c r="L1088" s="75">
        <v>1088</v>
      </c>
      <c r="M1088" s="75"/>
      <c r="N1088" s="70"/>
      <c r="O1088" s="77" t="s">
        <v>179</v>
      </c>
      <c r="P1088" s="79">
        <v>45079.548020833332</v>
      </c>
      <c r="Q1088" s="77" t="s">
        <v>1879</v>
      </c>
      <c r="R1088" s="77">
        <v>0</v>
      </c>
      <c r="S1088" s="77">
        <v>2</v>
      </c>
      <c r="T1088" s="77">
        <v>0</v>
      </c>
      <c r="U1088" s="77">
        <v>0</v>
      </c>
      <c r="V1088" s="77">
        <v>207</v>
      </c>
      <c r="W1088" s="82" t="s">
        <v>5536</v>
      </c>
      <c r="X1088" s="80" t="str">
        <f>HYPERLINK("https://www.seudinheiro.com/2023/bolsa-dolar/irb-irbr3-buffett-fake-news-indeniza-rsgp/")</f>
        <v>https://www.seudinheiro.com/2023/bolsa-dolar/irb-irbr3-buffett-fake-news-indeniza-rsgp/</v>
      </c>
      <c r="Y1088" s="77" t="s">
        <v>7102</v>
      </c>
      <c r="Z1088" s="77"/>
      <c r="AA1088" s="77"/>
      <c r="AB1088" s="77"/>
      <c r="AC1088" s="82" t="s">
        <v>8255</v>
      </c>
      <c r="AD1088" s="77" t="s">
        <v>8278</v>
      </c>
      <c r="AE1088" s="80" t="str">
        <f>HYPERLINK("https://twitter.com/seu_dinheiro_br/status/1664620167479828480")</f>
        <v>https://twitter.com/seu_dinheiro_br/status/1664620167479828480</v>
      </c>
      <c r="AF1088" s="79">
        <v>45079.548020833332</v>
      </c>
      <c r="AG1088" s="85">
        <v>45079</v>
      </c>
      <c r="AH1088" s="82" t="s">
        <v>8462</v>
      </c>
      <c r="AI1088" s="77" t="b">
        <v>0</v>
      </c>
      <c r="AJ1088" s="77"/>
      <c r="AK1088" s="77"/>
      <c r="AL1088" s="77"/>
      <c r="AM1088" s="77"/>
      <c r="AN1088" s="77"/>
      <c r="AO1088" s="77"/>
      <c r="AP1088" s="77"/>
      <c r="AQ1088" s="77"/>
      <c r="AR1088" s="77"/>
      <c r="AS1088" s="77"/>
      <c r="AT1088" s="77"/>
      <c r="AU1088" s="77"/>
      <c r="AV1088" s="80" t="str">
        <f>HYPERLINK("https://pbs.twimg.com/profile_images/1041725334431952896/uaPtkYSp_normal.jpg")</f>
        <v>https://pbs.twimg.com/profile_images/1041725334431952896/uaPtkYSp_normal.jpg</v>
      </c>
      <c r="AW1088" s="82" t="s">
        <v>14183</v>
      </c>
      <c r="AX1088" s="82" t="s">
        <v>14183</v>
      </c>
      <c r="AY1088" s="77"/>
      <c r="AZ1088" s="82" t="s">
        <v>17385</v>
      </c>
      <c r="BA1088" s="82" t="s">
        <v>17385</v>
      </c>
      <c r="BB1088" s="82" t="s">
        <v>17385</v>
      </c>
      <c r="BC1088" s="82" t="s">
        <v>14183</v>
      </c>
      <c r="BD1088" s="82" t="s">
        <v>17550</v>
      </c>
      <c r="BE1088" s="77"/>
      <c r="BF1088" s="77"/>
      <c r="BG1088" s="77"/>
      <c r="BH1088" s="77"/>
      <c r="BI1088" s="77"/>
    </row>
    <row r="1089" spans="1:61" x14ac:dyDescent="0.25">
      <c r="A1089" s="62" t="s">
        <v>425</v>
      </c>
      <c r="B1089" s="62" t="s">
        <v>425</v>
      </c>
      <c r="C1089" s="63"/>
      <c r="D1089" s="64"/>
      <c r="E1089" s="65"/>
      <c r="F1089" s="66"/>
      <c r="G1089" s="63"/>
      <c r="H1089" s="67"/>
      <c r="I1089" s="68"/>
      <c r="J1089" s="68"/>
      <c r="K1089" s="32"/>
      <c r="L1089" s="75">
        <v>1089</v>
      </c>
      <c r="M1089" s="75"/>
      <c r="N1089" s="70"/>
      <c r="O1089" s="77" t="s">
        <v>179</v>
      </c>
      <c r="P1089" s="79">
        <v>45079.37804398148</v>
      </c>
      <c r="Q1089" s="77" t="s">
        <v>1880</v>
      </c>
      <c r="R1089" s="77">
        <v>0</v>
      </c>
      <c r="S1089" s="77">
        <v>5</v>
      </c>
      <c r="T1089" s="77">
        <v>1</v>
      </c>
      <c r="U1089" s="77">
        <v>0</v>
      </c>
      <c r="V1089" s="77">
        <v>531</v>
      </c>
      <c r="W1089" s="82" t="s">
        <v>5537</v>
      </c>
      <c r="X1089" s="80" t="str">
        <f>HYPERLINK("https://www.seudinheiro.com/2023/colunistas/chegou-a-hora-de-vender-renda-fixa-migrar-acoes-vvka/")</f>
        <v>https://www.seudinheiro.com/2023/colunistas/chegou-a-hora-de-vender-renda-fixa-migrar-acoes-vvka/</v>
      </c>
      <c r="Y1089" s="77" t="s">
        <v>7102</v>
      </c>
      <c r="Z1089" s="77"/>
      <c r="AA1089" s="77"/>
      <c r="AB1089" s="77"/>
      <c r="AC1089" s="82" t="s">
        <v>8255</v>
      </c>
      <c r="AD1089" s="77" t="s">
        <v>8278</v>
      </c>
      <c r="AE1089" s="80" t="str">
        <f>HYPERLINK("https://twitter.com/seu_dinheiro_br/status/1664558569302245379")</f>
        <v>https://twitter.com/seu_dinheiro_br/status/1664558569302245379</v>
      </c>
      <c r="AF1089" s="79">
        <v>45079.37804398148</v>
      </c>
      <c r="AG1089" s="85">
        <v>45079</v>
      </c>
      <c r="AH1089" s="82" t="s">
        <v>9240</v>
      </c>
      <c r="AI1089" s="77" t="b">
        <v>0</v>
      </c>
      <c r="AJ1089" s="77"/>
      <c r="AK1089" s="77"/>
      <c r="AL1089" s="77"/>
      <c r="AM1089" s="77"/>
      <c r="AN1089" s="77"/>
      <c r="AO1089" s="77"/>
      <c r="AP1089" s="77"/>
      <c r="AQ1089" s="77"/>
      <c r="AR1089" s="77"/>
      <c r="AS1089" s="77"/>
      <c r="AT1089" s="77"/>
      <c r="AU1089" s="77"/>
      <c r="AV1089" s="80" t="str">
        <f>HYPERLINK("https://pbs.twimg.com/profile_images/1041725334431952896/uaPtkYSp_normal.jpg")</f>
        <v>https://pbs.twimg.com/profile_images/1041725334431952896/uaPtkYSp_normal.jpg</v>
      </c>
      <c r="AW1089" s="82" t="s">
        <v>14184</v>
      </c>
      <c r="AX1089" s="82" t="s">
        <v>14184</v>
      </c>
      <c r="AY1089" s="77"/>
      <c r="AZ1089" s="82" t="s">
        <v>17385</v>
      </c>
      <c r="BA1089" s="82" t="s">
        <v>17385</v>
      </c>
      <c r="BB1089" s="82" t="s">
        <v>17385</v>
      </c>
      <c r="BC1089" s="82" t="s">
        <v>14184</v>
      </c>
      <c r="BD1089" s="82" t="s">
        <v>17550</v>
      </c>
      <c r="BE1089" s="77"/>
      <c r="BF1089" s="77"/>
      <c r="BG1089" s="77"/>
      <c r="BH1089" s="77"/>
      <c r="BI1089" s="77"/>
    </row>
    <row r="1090" spans="1:61" x14ac:dyDescent="0.25">
      <c r="A1090" s="62" t="s">
        <v>425</v>
      </c>
      <c r="B1090" s="62" t="s">
        <v>425</v>
      </c>
      <c r="C1090" s="63"/>
      <c r="D1090" s="64"/>
      <c r="E1090" s="65"/>
      <c r="F1090" s="66"/>
      <c r="G1090" s="63"/>
      <c r="H1090" s="67"/>
      <c r="I1090" s="68"/>
      <c r="J1090" s="68"/>
      <c r="K1090" s="32"/>
      <c r="L1090" s="75">
        <v>1090</v>
      </c>
      <c r="M1090" s="75"/>
      <c r="N1090" s="70"/>
      <c r="O1090" s="77" t="s">
        <v>179</v>
      </c>
      <c r="P1090" s="79">
        <v>45078.752858796295</v>
      </c>
      <c r="Q1090" s="77" t="s">
        <v>1881</v>
      </c>
      <c r="R1090" s="77">
        <v>0</v>
      </c>
      <c r="S1090" s="77">
        <v>1</v>
      </c>
      <c r="T1090" s="77">
        <v>0</v>
      </c>
      <c r="U1090" s="77">
        <v>0</v>
      </c>
      <c r="V1090" s="77">
        <v>280</v>
      </c>
      <c r="W1090" s="82" t="s">
        <v>5538</v>
      </c>
      <c r="X1090" s="80" t="str">
        <f>HYPERLINK("https://www.seudinheiro.com/2023/empresas/chegou-a-hora-do-magazine-luiza-o-que-a-empiricus-viu-para-incluir-as-acoes-mglu3-na-carteira-de-junho-ccgg/")</f>
        <v>https://www.seudinheiro.com/2023/empresas/chegou-a-hora-do-magazine-luiza-o-que-a-empiricus-viu-para-incluir-as-acoes-mglu3-na-carteira-de-junho-ccgg/</v>
      </c>
      <c r="Y1090" s="77" t="s">
        <v>7102</v>
      </c>
      <c r="Z1090" s="77"/>
      <c r="AA1090" s="77"/>
      <c r="AB1090" s="77"/>
      <c r="AC1090" s="82" t="s">
        <v>8255</v>
      </c>
      <c r="AD1090" s="77" t="s">
        <v>8278</v>
      </c>
      <c r="AE1090" s="80" t="str">
        <f>HYPERLINK("https://twitter.com/seu_dinheiro_br/status/1664332010104430603")</f>
        <v>https://twitter.com/seu_dinheiro_br/status/1664332010104430603</v>
      </c>
      <c r="AF1090" s="79">
        <v>45078.752858796295</v>
      </c>
      <c r="AG1090" s="85">
        <v>45078</v>
      </c>
      <c r="AH1090" s="82" t="s">
        <v>9241</v>
      </c>
      <c r="AI1090" s="77" t="b">
        <v>0</v>
      </c>
      <c r="AJ1090" s="77"/>
      <c r="AK1090" s="77"/>
      <c r="AL1090" s="77"/>
      <c r="AM1090" s="77"/>
      <c r="AN1090" s="77"/>
      <c r="AO1090" s="77"/>
      <c r="AP1090" s="77"/>
      <c r="AQ1090" s="77"/>
      <c r="AR1090" s="77"/>
      <c r="AS1090" s="77"/>
      <c r="AT1090" s="77"/>
      <c r="AU1090" s="77"/>
      <c r="AV1090" s="80" t="str">
        <f>HYPERLINK("https://pbs.twimg.com/profile_images/1041725334431952896/uaPtkYSp_normal.jpg")</f>
        <v>https://pbs.twimg.com/profile_images/1041725334431952896/uaPtkYSp_normal.jpg</v>
      </c>
      <c r="AW1090" s="82" t="s">
        <v>14185</v>
      </c>
      <c r="AX1090" s="82" t="s">
        <v>14185</v>
      </c>
      <c r="AY1090" s="77"/>
      <c r="AZ1090" s="82" t="s">
        <v>17385</v>
      </c>
      <c r="BA1090" s="82" t="s">
        <v>17385</v>
      </c>
      <c r="BB1090" s="82" t="s">
        <v>17385</v>
      </c>
      <c r="BC1090" s="82" t="s">
        <v>14185</v>
      </c>
      <c r="BD1090" s="82" t="s">
        <v>17550</v>
      </c>
      <c r="BE1090" s="77"/>
      <c r="BF1090" s="77"/>
      <c r="BG1090" s="77"/>
      <c r="BH1090" s="77"/>
      <c r="BI1090" s="77"/>
    </row>
    <row r="1091" spans="1:61" x14ac:dyDescent="0.25">
      <c r="A1091" s="62" t="s">
        <v>425</v>
      </c>
      <c r="B1091" s="62" t="s">
        <v>425</v>
      </c>
      <c r="C1091" s="63"/>
      <c r="D1091" s="64"/>
      <c r="E1091" s="65"/>
      <c r="F1091" s="66"/>
      <c r="G1091" s="63"/>
      <c r="H1091" s="67"/>
      <c r="I1091" s="68"/>
      <c r="J1091" s="68"/>
      <c r="K1091" s="32"/>
      <c r="L1091" s="75">
        <v>1091</v>
      </c>
      <c r="M1091" s="75"/>
      <c r="N1091" s="70"/>
      <c r="O1091" s="77" t="s">
        <v>179</v>
      </c>
      <c r="P1091" s="79">
        <v>45173.472662037035</v>
      </c>
      <c r="Q1091" s="77" t="s">
        <v>1882</v>
      </c>
      <c r="R1091" s="77">
        <v>0</v>
      </c>
      <c r="S1091" s="77">
        <v>2</v>
      </c>
      <c r="T1091" s="77">
        <v>0</v>
      </c>
      <c r="U1091" s="77">
        <v>0</v>
      </c>
      <c r="V1091" s="77">
        <v>285</v>
      </c>
      <c r="W1091" s="82" t="s">
        <v>5475</v>
      </c>
      <c r="X1091" s="80" t="str">
        <f>HYPERLINK("https://www.seudinheiro.com/2023/colunistas/day-trade-na-b3-como-lucrar-com-acao-da-gerdau-ggbr4-hoje-04-09-miql/")</f>
        <v>https://www.seudinheiro.com/2023/colunistas/day-trade-na-b3-como-lucrar-com-acao-da-gerdau-ggbr4-hoje-04-09-miql/</v>
      </c>
      <c r="Y1091" s="77" t="s">
        <v>7102</v>
      </c>
      <c r="Z1091" s="77"/>
      <c r="AA1091" s="77"/>
      <c r="AB1091" s="77"/>
      <c r="AC1091" s="82" t="s">
        <v>8255</v>
      </c>
      <c r="AD1091" s="77" t="s">
        <v>8278</v>
      </c>
      <c r="AE1091" s="80" t="str">
        <f>HYPERLINK("https://twitter.com/seu_dinheiro_br/status/1698657317078647209")</f>
        <v>https://twitter.com/seu_dinheiro_br/status/1698657317078647209</v>
      </c>
      <c r="AF1091" s="79">
        <v>45173.472662037035</v>
      </c>
      <c r="AG1091" s="85">
        <v>45173</v>
      </c>
      <c r="AH1091" s="82" t="s">
        <v>9242</v>
      </c>
      <c r="AI1091" s="77" t="b">
        <v>0</v>
      </c>
      <c r="AJ1091" s="77"/>
      <c r="AK1091" s="77"/>
      <c r="AL1091" s="77"/>
      <c r="AM1091" s="77"/>
      <c r="AN1091" s="77"/>
      <c r="AO1091" s="77"/>
      <c r="AP1091" s="77"/>
      <c r="AQ1091" s="77"/>
      <c r="AR1091" s="77"/>
      <c r="AS1091" s="77"/>
      <c r="AT1091" s="77"/>
      <c r="AU1091" s="77"/>
      <c r="AV1091" s="80" t="str">
        <f>HYPERLINK("https://pbs.twimg.com/profile_images/1041725334431952896/uaPtkYSp_normal.jpg")</f>
        <v>https://pbs.twimg.com/profile_images/1041725334431952896/uaPtkYSp_normal.jpg</v>
      </c>
      <c r="AW1091" s="82" t="s">
        <v>14186</v>
      </c>
      <c r="AX1091" s="82" t="s">
        <v>14186</v>
      </c>
      <c r="AY1091" s="77"/>
      <c r="AZ1091" s="82" t="s">
        <v>17385</v>
      </c>
      <c r="BA1091" s="82" t="s">
        <v>17385</v>
      </c>
      <c r="BB1091" s="82" t="s">
        <v>17385</v>
      </c>
      <c r="BC1091" s="82" t="s">
        <v>14186</v>
      </c>
      <c r="BD1091" s="82" t="s">
        <v>17550</v>
      </c>
      <c r="BE1091" s="77"/>
      <c r="BF1091" s="77"/>
      <c r="BG1091" s="77"/>
      <c r="BH1091" s="77"/>
      <c r="BI1091" s="77"/>
    </row>
    <row r="1092" spans="1:61" x14ac:dyDescent="0.25">
      <c r="A1092" s="62" t="s">
        <v>425</v>
      </c>
      <c r="B1092" s="62" t="s">
        <v>425</v>
      </c>
      <c r="C1092" s="63"/>
      <c r="D1092" s="64"/>
      <c r="E1092" s="65"/>
      <c r="F1092" s="66"/>
      <c r="G1092" s="63"/>
      <c r="H1092" s="67"/>
      <c r="I1092" s="68"/>
      <c r="J1092" s="68"/>
      <c r="K1092" s="32"/>
      <c r="L1092" s="75">
        <v>1092</v>
      </c>
      <c r="M1092" s="75"/>
      <c r="N1092" s="70"/>
      <c r="O1092" s="77" t="s">
        <v>179</v>
      </c>
      <c r="P1092" s="79">
        <v>45172.705543981479</v>
      </c>
      <c r="Q1092" s="77" t="s">
        <v>1883</v>
      </c>
      <c r="R1092" s="77">
        <v>1</v>
      </c>
      <c r="S1092" s="77">
        <v>2</v>
      </c>
      <c r="T1092" s="77">
        <v>0</v>
      </c>
      <c r="U1092" s="77">
        <v>0</v>
      </c>
      <c r="V1092" s="77">
        <v>448</v>
      </c>
      <c r="W1092" s="82" t="s">
        <v>5482</v>
      </c>
      <c r="X1092" s="80" t="str">
        <f>HYPERLINK("https://www.seudinheiro.com/2023/bolsa-dolar/ate-ano-que-vem-meliuz-cash3-deixa-ibovespa-b3-nesta-segunda-feira-4-lils/")</f>
        <v>https://www.seudinheiro.com/2023/bolsa-dolar/ate-ano-que-vem-meliuz-cash3-deixa-ibovespa-b3-nesta-segunda-feira-4-lils/</v>
      </c>
      <c r="Y1092" s="77" t="s">
        <v>7102</v>
      </c>
      <c r="Z1092" s="77"/>
      <c r="AA1092" s="77"/>
      <c r="AB1092" s="77"/>
      <c r="AC1092" s="82" t="s">
        <v>8255</v>
      </c>
      <c r="AD1092" s="77" t="s">
        <v>8278</v>
      </c>
      <c r="AE1092" s="80" t="str">
        <f>HYPERLINK("https://twitter.com/seu_dinheiro_br/status/1698379324154331469")</f>
        <v>https://twitter.com/seu_dinheiro_br/status/1698379324154331469</v>
      </c>
      <c r="AF1092" s="79">
        <v>45172.705543981479</v>
      </c>
      <c r="AG1092" s="85">
        <v>45172</v>
      </c>
      <c r="AH1092" s="82" t="s">
        <v>9243</v>
      </c>
      <c r="AI1092" s="77" t="b">
        <v>0</v>
      </c>
      <c r="AJ1092" s="77"/>
      <c r="AK1092" s="77"/>
      <c r="AL1092" s="77"/>
      <c r="AM1092" s="77"/>
      <c r="AN1092" s="77"/>
      <c r="AO1092" s="77"/>
      <c r="AP1092" s="77"/>
      <c r="AQ1092" s="77"/>
      <c r="AR1092" s="77"/>
      <c r="AS1092" s="77"/>
      <c r="AT1092" s="77"/>
      <c r="AU1092" s="77"/>
      <c r="AV1092" s="80" t="str">
        <f>HYPERLINK("https://pbs.twimg.com/profile_images/1041725334431952896/uaPtkYSp_normal.jpg")</f>
        <v>https://pbs.twimg.com/profile_images/1041725334431952896/uaPtkYSp_normal.jpg</v>
      </c>
      <c r="AW1092" s="82" t="s">
        <v>14187</v>
      </c>
      <c r="AX1092" s="82" t="s">
        <v>14187</v>
      </c>
      <c r="AY1092" s="77"/>
      <c r="AZ1092" s="82" t="s">
        <v>17385</v>
      </c>
      <c r="BA1092" s="82" t="s">
        <v>17385</v>
      </c>
      <c r="BB1092" s="82" t="s">
        <v>17385</v>
      </c>
      <c r="BC1092" s="82" t="s">
        <v>14187</v>
      </c>
      <c r="BD1092" s="82" t="s">
        <v>17550</v>
      </c>
      <c r="BE1092" s="77"/>
      <c r="BF1092" s="77"/>
      <c r="BG1092" s="77"/>
      <c r="BH1092" s="77"/>
      <c r="BI1092" s="77"/>
    </row>
    <row r="1093" spans="1:61" x14ac:dyDescent="0.25">
      <c r="A1093" s="62" t="s">
        <v>425</v>
      </c>
      <c r="B1093" s="62" t="s">
        <v>425</v>
      </c>
      <c r="C1093" s="63"/>
      <c r="D1093" s="64"/>
      <c r="E1093" s="65"/>
      <c r="F1093" s="66"/>
      <c r="G1093" s="63"/>
      <c r="H1093" s="67"/>
      <c r="I1093" s="68"/>
      <c r="J1093" s="68"/>
      <c r="K1093" s="32"/>
      <c r="L1093" s="75">
        <v>1093</v>
      </c>
      <c r="M1093" s="75"/>
      <c r="N1093" s="70"/>
      <c r="O1093" s="77" t="s">
        <v>179</v>
      </c>
      <c r="P1093" s="79">
        <v>45172.556261574071</v>
      </c>
      <c r="Q1093" s="77" t="s">
        <v>1884</v>
      </c>
      <c r="R1093" s="77">
        <v>0</v>
      </c>
      <c r="S1093" s="77">
        <v>0</v>
      </c>
      <c r="T1093" s="77">
        <v>0</v>
      </c>
      <c r="U1093" s="77">
        <v>0</v>
      </c>
      <c r="V1093" s="77">
        <v>236</v>
      </c>
      <c r="W1093" s="82" t="s">
        <v>5482</v>
      </c>
      <c r="X1093" s="80" t="str">
        <f>HYPERLINK("https://www.seudinheiro.com/2023/empresas/grupo-arabe-mubadala-capital-assume-controle-da-bluefit-rede-de-academias-operacao-movimenta-mais-de-460-milhoes-lils/")</f>
        <v>https://www.seudinheiro.com/2023/empresas/grupo-arabe-mubadala-capital-assume-controle-da-bluefit-rede-de-academias-operacao-movimenta-mais-de-460-milhoes-lils/</v>
      </c>
      <c r="Y1093" s="77" t="s">
        <v>7102</v>
      </c>
      <c r="Z1093" s="77"/>
      <c r="AA1093" s="77"/>
      <c r="AB1093" s="77"/>
      <c r="AC1093" s="82" t="s">
        <v>8255</v>
      </c>
      <c r="AD1093" s="77" t="s">
        <v>8278</v>
      </c>
      <c r="AE1093" s="80" t="str">
        <f>HYPERLINK("https://twitter.com/seu_dinheiro_br/status/1698325222313570376")</f>
        <v>https://twitter.com/seu_dinheiro_br/status/1698325222313570376</v>
      </c>
      <c r="AF1093" s="79">
        <v>45172.556261574071</v>
      </c>
      <c r="AG1093" s="85">
        <v>45172</v>
      </c>
      <c r="AH1093" s="82" t="s">
        <v>9244</v>
      </c>
      <c r="AI1093" s="77" t="b">
        <v>0</v>
      </c>
      <c r="AJ1093" s="77"/>
      <c r="AK1093" s="77"/>
      <c r="AL1093" s="77"/>
      <c r="AM1093" s="77"/>
      <c r="AN1093" s="77"/>
      <c r="AO1093" s="77"/>
      <c r="AP1093" s="77"/>
      <c r="AQ1093" s="77"/>
      <c r="AR1093" s="77"/>
      <c r="AS1093" s="77"/>
      <c r="AT1093" s="77"/>
      <c r="AU1093" s="77"/>
      <c r="AV1093" s="80" t="str">
        <f>HYPERLINK("https://pbs.twimg.com/profile_images/1041725334431952896/uaPtkYSp_normal.jpg")</f>
        <v>https://pbs.twimg.com/profile_images/1041725334431952896/uaPtkYSp_normal.jpg</v>
      </c>
      <c r="AW1093" s="82" t="s">
        <v>14188</v>
      </c>
      <c r="AX1093" s="82" t="s">
        <v>14188</v>
      </c>
      <c r="AY1093" s="77"/>
      <c r="AZ1093" s="82" t="s">
        <v>17385</v>
      </c>
      <c r="BA1093" s="82" t="s">
        <v>17385</v>
      </c>
      <c r="BB1093" s="82" t="s">
        <v>17385</v>
      </c>
      <c r="BC1093" s="82" t="s">
        <v>14188</v>
      </c>
      <c r="BD1093" s="82" t="s">
        <v>17550</v>
      </c>
      <c r="BE1093" s="77"/>
      <c r="BF1093" s="77"/>
      <c r="BG1093" s="77"/>
      <c r="BH1093" s="77"/>
      <c r="BI1093" s="77"/>
    </row>
    <row r="1094" spans="1:61" x14ac:dyDescent="0.25">
      <c r="A1094" s="62" t="s">
        <v>425</v>
      </c>
      <c r="B1094" s="62" t="s">
        <v>425</v>
      </c>
      <c r="C1094" s="63"/>
      <c r="D1094" s="64"/>
      <c r="E1094" s="65"/>
      <c r="F1094" s="66"/>
      <c r="G1094" s="63"/>
      <c r="H1094" s="67"/>
      <c r="I1094" s="68"/>
      <c r="J1094" s="68"/>
      <c r="K1094" s="32"/>
      <c r="L1094" s="75">
        <v>1094</v>
      </c>
      <c r="M1094" s="75"/>
      <c r="N1094" s="70"/>
      <c r="O1094" s="77" t="s">
        <v>179</v>
      </c>
      <c r="P1094" s="79">
        <v>45169.813993055555</v>
      </c>
      <c r="Q1094" s="77" t="s">
        <v>1885</v>
      </c>
      <c r="R1094" s="77">
        <v>0</v>
      </c>
      <c r="S1094" s="77">
        <v>0</v>
      </c>
      <c r="T1094" s="77">
        <v>0</v>
      </c>
      <c r="U1094" s="77">
        <v>0</v>
      </c>
      <c r="V1094" s="77">
        <v>277</v>
      </c>
      <c r="W1094" s="82" t="s">
        <v>5534</v>
      </c>
      <c r="X1094" s="80" t="str">
        <f>HYPERLINK("https://www.seudinheiro.com/2023/empresas/dividendos-em-risco-governo-publica-projeto-de-lei-que-acaba-com-juros-sob-capital-proprio-jcp-entenda-o-impacto-para-os-bancos-na-b3-dfon/")</f>
        <v>https://www.seudinheiro.com/2023/empresas/dividendos-em-risco-governo-publica-projeto-de-lei-que-acaba-com-juros-sob-capital-proprio-jcp-entenda-o-impacto-para-os-bancos-na-b3-dfon/</v>
      </c>
      <c r="Y1094" s="77" t="s">
        <v>7102</v>
      </c>
      <c r="Z1094" s="77"/>
      <c r="AA1094" s="77"/>
      <c r="AB1094" s="77"/>
      <c r="AC1094" s="82" t="s">
        <v>8255</v>
      </c>
      <c r="AD1094" s="77" t="s">
        <v>8278</v>
      </c>
      <c r="AE1094" s="80" t="str">
        <f>HYPERLINK("https://twitter.com/seu_dinheiro_br/status/1697331458191310868")</f>
        <v>https://twitter.com/seu_dinheiro_br/status/1697331458191310868</v>
      </c>
      <c r="AF1094" s="79">
        <v>45169.813993055555</v>
      </c>
      <c r="AG1094" s="85">
        <v>45169</v>
      </c>
      <c r="AH1094" s="82" t="s">
        <v>9245</v>
      </c>
      <c r="AI1094" s="77" t="b">
        <v>0</v>
      </c>
      <c r="AJ1094" s="77"/>
      <c r="AK1094" s="77"/>
      <c r="AL1094" s="77"/>
      <c r="AM1094" s="77"/>
      <c r="AN1094" s="77"/>
      <c r="AO1094" s="77"/>
      <c r="AP1094" s="77"/>
      <c r="AQ1094" s="77"/>
      <c r="AR1094" s="77"/>
      <c r="AS1094" s="77"/>
      <c r="AT1094" s="77"/>
      <c r="AU1094" s="77"/>
      <c r="AV1094" s="80" t="str">
        <f>HYPERLINK("https://pbs.twimg.com/profile_images/1041725334431952896/uaPtkYSp_normal.jpg")</f>
        <v>https://pbs.twimg.com/profile_images/1041725334431952896/uaPtkYSp_normal.jpg</v>
      </c>
      <c r="AW1094" s="82" t="s">
        <v>14189</v>
      </c>
      <c r="AX1094" s="82" t="s">
        <v>14189</v>
      </c>
      <c r="AY1094" s="77"/>
      <c r="AZ1094" s="82" t="s">
        <v>17385</v>
      </c>
      <c r="BA1094" s="82" t="s">
        <v>17385</v>
      </c>
      <c r="BB1094" s="82" t="s">
        <v>17385</v>
      </c>
      <c r="BC1094" s="82" t="s">
        <v>14189</v>
      </c>
      <c r="BD1094" s="82" t="s">
        <v>17550</v>
      </c>
      <c r="BE1094" s="77"/>
      <c r="BF1094" s="77"/>
      <c r="BG1094" s="77"/>
      <c r="BH1094" s="77"/>
      <c r="BI1094" s="77"/>
    </row>
    <row r="1095" spans="1:61" x14ac:dyDescent="0.25">
      <c r="A1095" s="62" t="s">
        <v>425</v>
      </c>
      <c r="B1095" s="62" t="s">
        <v>425</v>
      </c>
      <c r="C1095" s="63"/>
      <c r="D1095" s="64"/>
      <c r="E1095" s="65"/>
      <c r="F1095" s="66"/>
      <c r="G1095" s="63"/>
      <c r="H1095" s="67"/>
      <c r="I1095" s="68"/>
      <c r="J1095" s="68"/>
      <c r="K1095" s="32"/>
      <c r="L1095" s="75">
        <v>1095</v>
      </c>
      <c r="M1095" s="75"/>
      <c r="N1095" s="70"/>
      <c r="O1095" s="77" t="s">
        <v>179</v>
      </c>
      <c r="P1095" s="79">
        <v>45169.7653587963</v>
      </c>
      <c r="Q1095" s="77" t="s">
        <v>1886</v>
      </c>
      <c r="R1095" s="77">
        <v>0</v>
      </c>
      <c r="S1095" s="77">
        <v>0</v>
      </c>
      <c r="T1095" s="77">
        <v>0</v>
      </c>
      <c r="U1095" s="77">
        <v>0</v>
      </c>
      <c r="V1095" s="77">
        <v>246</v>
      </c>
      <c r="W1095" s="82" t="s">
        <v>5474</v>
      </c>
      <c r="X1095" s="80" t="str">
        <f>HYPERLINK("https://www.seudinheiro.com/2023/colunistas/os-mestres-das-small-caps-confira-5-ensinamentos-de-gestores-de-acoes-sobre-as-pequenas-notaveis-da-bolsa-miql/")</f>
        <v>https://www.seudinheiro.com/2023/colunistas/os-mestres-das-small-caps-confira-5-ensinamentos-de-gestores-de-acoes-sobre-as-pequenas-notaveis-da-bolsa-miql/</v>
      </c>
      <c r="Y1095" s="77" t="s">
        <v>7102</v>
      </c>
      <c r="Z1095" s="77"/>
      <c r="AA1095" s="77"/>
      <c r="AB1095" s="77"/>
      <c r="AC1095" s="82" t="s">
        <v>8255</v>
      </c>
      <c r="AD1095" s="77" t="s">
        <v>8278</v>
      </c>
      <c r="AE1095" s="80" t="str">
        <f>HYPERLINK("https://twitter.com/seu_dinheiro_br/status/1697313833390424250")</f>
        <v>https://twitter.com/seu_dinheiro_br/status/1697313833390424250</v>
      </c>
      <c r="AF1095" s="79">
        <v>45169.7653587963</v>
      </c>
      <c r="AG1095" s="85">
        <v>45169</v>
      </c>
      <c r="AH1095" s="82" t="s">
        <v>9246</v>
      </c>
      <c r="AI1095" s="77" t="b">
        <v>0</v>
      </c>
      <c r="AJ1095" s="77"/>
      <c r="AK1095" s="77"/>
      <c r="AL1095" s="77"/>
      <c r="AM1095" s="77"/>
      <c r="AN1095" s="77"/>
      <c r="AO1095" s="77"/>
      <c r="AP1095" s="77"/>
      <c r="AQ1095" s="77"/>
      <c r="AR1095" s="77"/>
      <c r="AS1095" s="77"/>
      <c r="AT1095" s="77"/>
      <c r="AU1095" s="77"/>
      <c r="AV1095" s="80" t="str">
        <f>HYPERLINK("https://pbs.twimg.com/profile_images/1041725334431952896/uaPtkYSp_normal.jpg")</f>
        <v>https://pbs.twimg.com/profile_images/1041725334431952896/uaPtkYSp_normal.jpg</v>
      </c>
      <c r="AW1095" s="82" t="s">
        <v>14190</v>
      </c>
      <c r="AX1095" s="82" t="s">
        <v>14190</v>
      </c>
      <c r="AY1095" s="77"/>
      <c r="AZ1095" s="82" t="s">
        <v>17385</v>
      </c>
      <c r="BA1095" s="82" t="s">
        <v>17385</v>
      </c>
      <c r="BB1095" s="82" t="s">
        <v>17385</v>
      </c>
      <c r="BC1095" s="82" t="s">
        <v>14190</v>
      </c>
      <c r="BD1095" s="82" t="s">
        <v>17550</v>
      </c>
      <c r="BE1095" s="77"/>
      <c r="BF1095" s="77"/>
      <c r="BG1095" s="77"/>
      <c r="BH1095" s="77"/>
      <c r="BI1095" s="77"/>
    </row>
    <row r="1096" spans="1:61" x14ac:dyDescent="0.25">
      <c r="A1096" s="62" t="s">
        <v>425</v>
      </c>
      <c r="B1096" s="62" t="s">
        <v>425</v>
      </c>
      <c r="C1096" s="63"/>
      <c r="D1096" s="64"/>
      <c r="E1096" s="65"/>
      <c r="F1096" s="66"/>
      <c r="G1096" s="63"/>
      <c r="H1096" s="67"/>
      <c r="I1096" s="68"/>
      <c r="J1096" s="68"/>
      <c r="K1096" s="32"/>
      <c r="L1096" s="75">
        <v>1096</v>
      </c>
      <c r="M1096" s="75"/>
      <c r="N1096" s="70"/>
      <c r="O1096" s="77" t="s">
        <v>179</v>
      </c>
      <c r="P1096" s="79">
        <v>45169.692314814813</v>
      </c>
      <c r="Q1096" s="77" t="s">
        <v>1887</v>
      </c>
      <c r="R1096" s="77">
        <v>0</v>
      </c>
      <c r="S1096" s="77">
        <v>0</v>
      </c>
      <c r="T1096" s="77">
        <v>0</v>
      </c>
      <c r="U1096" s="77">
        <v>0</v>
      </c>
      <c r="V1096" s="77">
        <v>407</v>
      </c>
      <c r="W1096" s="82" t="s">
        <v>5507</v>
      </c>
      <c r="X1096" s="80" t="str">
        <f>HYPERLINK("https://www.seudinheiro.com/2023/bolsa-dolar/cvc-cvcb3-despenca-8-enquanto-prio-prio3-vibra-vbbr3-e-3r-petroleum-rrrp3-avancam-confira-o-que-mexe-com-as-acoes-hoje-dfon/")</f>
        <v>https://www.seudinheiro.com/2023/bolsa-dolar/cvc-cvcb3-despenca-8-enquanto-prio-prio3-vibra-vbbr3-e-3r-petroleum-rrrp3-avancam-confira-o-que-mexe-com-as-acoes-hoje-dfon/</v>
      </c>
      <c r="Y1096" s="77" t="s">
        <v>7102</v>
      </c>
      <c r="Z1096" s="77"/>
      <c r="AA1096" s="77"/>
      <c r="AB1096" s="77"/>
      <c r="AC1096" s="82" t="s">
        <v>8255</v>
      </c>
      <c r="AD1096" s="77" t="s">
        <v>8278</v>
      </c>
      <c r="AE1096" s="80" t="str">
        <f>HYPERLINK("https://twitter.com/seu_dinheiro_br/status/1697287365503430730")</f>
        <v>https://twitter.com/seu_dinheiro_br/status/1697287365503430730</v>
      </c>
      <c r="AF1096" s="79">
        <v>45169.692314814813</v>
      </c>
      <c r="AG1096" s="85">
        <v>45169</v>
      </c>
      <c r="AH1096" s="82" t="s">
        <v>9247</v>
      </c>
      <c r="AI1096" s="77" t="b">
        <v>0</v>
      </c>
      <c r="AJ1096" s="77"/>
      <c r="AK1096" s="77"/>
      <c r="AL1096" s="77"/>
      <c r="AM1096" s="77"/>
      <c r="AN1096" s="77"/>
      <c r="AO1096" s="77"/>
      <c r="AP1096" s="77"/>
      <c r="AQ1096" s="77"/>
      <c r="AR1096" s="77"/>
      <c r="AS1096" s="77"/>
      <c r="AT1096" s="77"/>
      <c r="AU1096" s="77"/>
      <c r="AV1096" s="80" t="str">
        <f>HYPERLINK("https://pbs.twimg.com/profile_images/1041725334431952896/uaPtkYSp_normal.jpg")</f>
        <v>https://pbs.twimg.com/profile_images/1041725334431952896/uaPtkYSp_normal.jpg</v>
      </c>
      <c r="AW1096" s="82" t="s">
        <v>14191</v>
      </c>
      <c r="AX1096" s="82" t="s">
        <v>14191</v>
      </c>
      <c r="AY1096" s="77"/>
      <c r="AZ1096" s="82" t="s">
        <v>17385</v>
      </c>
      <c r="BA1096" s="82" t="s">
        <v>17385</v>
      </c>
      <c r="BB1096" s="82" t="s">
        <v>17385</v>
      </c>
      <c r="BC1096" s="82" t="s">
        <v>14191</v>
      </c>
      <c r="BD1096" s="82" t="s">
        <v>17550</v>
      </c>
      <c r="BE1096" s="77"/>
      <c r="BF1096" s="77"/>
      <c r="BG1096" s="77"/>
      <c r="BH1096" s="77"/>
      <c r="BI1096" s="77"/>
    </row>
    <row r="1097" spans="1:61" x14ac:dyDescent="0.25">
      <c r="A1097" s="62" t="s">
        <v>425</v>
      </c>
      <c r="B1097" s="62" t="s">
        <v>425</v>
      </c>
      <c r="C1097" s="63"/>
      <c r="D1097" s="64"/>
      <c r="E1097" s="65"/>
      <c r="F1097" s="66"/>
      <c r="G1097" s="63"/>
      <c r="H1097" s="67"/>
      <c r="I1097" s="68"/>
      <c r="J1097" s="68"/>
      <c r="K1097" s="32"/>
      <c r="L1097" s="75">
        <v>1097</v>
      </c>
      <c r="M1097" s="75"/>
      <c r="N1097" s="70"/>
      <c r="O1097" s="77" t="s">
        <v>179</v>
      </c>
      <c r="P1097" s="79">
        <v>45169.599270833336</v>
      </c>
      <c r="Q1097" s="77" t="s">
        <v>1888</v>
      </c>
      <c r="R1097" s="77">
        <v>0</v>
      </c>
      <c r="S1097" s="77">
        <v>0</v>
      </c>
      <c r="T1097" s="77">
        <v>0</v>
      </c>
      <c r="U1097" s="77">
        <v>0</v>
      </c>
      <c r="V1097" s="77">
        <v>270</v>
      </c>
      <c r="W1097" s="82" t="s">
        <v>5539</v>
      </c>
      <c r="X1097" s="80" t="str">
        <f>HYPERLINK("https://www.seudinheiro.com/2023/empresas/mais-empresas-no-ibovespa-saiba-quais-sao-as-duas-que-vao-entrar-e-qual-vai-ficar-de-fora-da-proxima-carteira-dfon/")</f>
        <v>https://www.seudinheiro.com/2023/empresas/mais-empresas-no-ibovespa-saiba-quais-sao-as-duas-que-vao-entrar-e-qual-vai-ficar-de-fora-da-proxima-carteira-dfon/</v>
      </c>
      <c r="Y1097" s="77" t="s">
        <v>7102</v>
      </c>
      <c r="Z1097" s="77"/>
      <c r="AA1097" s="77"/>
      <c r="AB1097" s="77"/>
      <c r="AC1097" s="82" t="s">
        <v>8255</v>
      </c>
      <c r="AD1097" s="77" t="s">
        <v>8278</v>
      </c>
      <c r="AE1097" s="80" t="str">
        <f>HYPERLINK("https://twitter.com/seu_dinheiro_br/status/1697253645996405246")</f>
        <v>https://twitter.com/seu_dinheiro_br/status/1697253645996405246</v>
      </c>
      <c r="AF1097" s="79">
        <v>45169.599270833336</v>
      </c>
      <c r="AG1097" s="85">
        <v>45169</v>
      </c>
      <c r="AH1097" s="82" t="s">
        <v>9248</v>
      </c>
      <c r="AI1097" s="77" t="b">
        <v>0</v>
      </c>
      <c r="AJ1097" s="77"/>
      <c r="AK1097" s="77"/>
      <c r="AL1097" s="77"/>
      <c r="AM1097" s="77"/>
      <c r="AN1097" s="77"/>
      <c r="AO1097" s="77"/>
      <c r="AP1097" s="77"/>
      <c r="AQ1097" s="77"/>
      <c r="AR1097" s="77"/>
      <c r="AS1097" s="77"/>
      <c r="AT1097" s="77"/>
      <c r="AU1097" s="77"/>
      <c r="AV1097" s="80" t="str">
        <f>HYPERLINK("https://pbs.twimg.com/profile_images/1041725334431952896/uaPtkYSp_normal.jpg")</f>
        <v>https://pbs.twimg.com/profile_images/1041725334431952896/uaPtkYSp_normal.jpg</v>
      </c>
      <c r="AW1097" s="82" t="s">
        <v>14192</v>
      </c>
      <c r="AX1097" s="82" t="s">
        <v>14192</v>
      </c>
      <c r="AY1097" s="77"/>
      <c r="AZ1097" s="82" t="s">
        <v>17385</v>
      </c>
      <c r="BA1097" s="82" t="s">
        <v>17385</v>
      </c>
      <c r="BB1097" s="82" t="s">
        <v>17385</v>
      </c>
      <c r="BC1097" s="82" t="s">
        <v>14192</v>
      </c>
      <c r="BD1097" s="82" t="s">
        <v>17550</v>
      </c>
      <c r="BE1097" s="77"/>
      <c r="BF1097" s="77"/>
      <c r="BG1097" s="77"/>
      <c r="BH1097" s="77"/>
      <c r="BI1097" s="77"/>
    </row>
    <row r="1098" spans="1:61" x14ac:dyDescent="0.25">
      <c r="A1098" s="62" t="s">
        <v>425</v>
      </c>
      <c r="B1098" s="62" t="s">
        <v>425</v>
      </c>
      <c r="C1098" s="63"/>
      <c r="D1098" s="64"/>
      <c r="E1098" s="65"/>
      <c r="F1098" s="66"/>
      <c r="G1098" s="63"/>
      <c r="H1098" s="67"/>
      <c r="I1098" s="68"/>
      <c r="J1098" s="68"/>
      <c r="K1098" s="32"/>
      <c r="L1098" s="75">
        <v>1098</v>
      </c>
      <c r="M1098" s="75"/>
      <c r="N1098" s="70"/>
      <c r="O1098" s="77" t="s">
        <v>179</v>
      </c>
      <c r="P1098" s="79">
        <v>45154.457951388889</v>
      </c>
      <c r="Q1098" s="77" t="s">
        <v>1889</v>
      </c>
      <c r="R1098" s="77">
        <v>1</v>
      </c>
      <c r="S1098" s="77">
        <v>2</v>
      </c>
      <c r="T1098" s="77">
        <v>0</v>
      </c>
      <c r="U1098" s="77">
        <v>0</v>
      </c>
      <c r="V1098" s="77">
        <v>303</v>
      </c>
      <c r="W1098" s="82" t="s">
        <v>5475</v>
      </c>
      <c r="X1098" s="80" t="str">
        <f>HYPERLINK("https://www.seudinheiro.com/2023/colunistas/day-trade-na-b3-acao-da-lojas-quero-quero-ljqq3-pode-render-lucro-hoje-16-08-miql/")</f>
        <v>https://www.seudinheiro.com/2023/colunistas/day-trade-na-b3-acao-da-lojas-quero-quero-ljqq3-pode-render-lucro-hoje-16-08-miql/</v>
      </c>
      <c r="Y1098" s="77" t="s">
        <v>7102</v>
      </c>
      <c r="Z1098" s="77"/>
      <c r="AA1098" s="77"/>
      <c r="AB1098" s="77"/>
      <c r="AC1098" s="82" t="s">
        <v>8255</v>
      </c>
      <c r="AD1098" s="77" t="s">
        <v>8278</v>
      </c>
      <c r="AE1098" s="80" t="str">
        <f>HYPERLINK("https://twitter.com/seu_dinheiro_br/status/1691766616323735584")</f>
        <v>https://twitter.com/seu_dinheiro_br/status/1691766616323735584</v>
      </c>
      <c r="AF1098" s="79">
        <v>45154.457951388889</v>
      </c>
      <c r="AG1098" s="85">
        <v>45154</v>
      </c>
      <c r="AH1098" s="82" t="s">
        <v>9249</v>
      </c>
      <c r="AI1098" s="77" t="b">
        <v>0</v>
      </c>
      <c r="AJ1098" s="77"/>
      <c r="AK1098" s="77"/>
      <c r="AL1098" s="77"/>
      <c r="AM1098" s="77"/>
      <c r="AN1098" s="77"/>
      <c r="AO1098" s="77"/>
      <c r="AP1098" s="77"/>
      <c r="AQ1098" s="77"/>
      <c r="AR1098" s="77"/>
      <c r="AS1098" s="77"/>
      <c r="AT1098" s="77"/>
      <c r="AU1098" s="77"/>
      <c r="AV1098" s="80" t="str">
        <f>HYPERLINK("https://pbs.twimg.com/profile_images/1041725334431952896/uaPtkYSp_normal.jpg")</f>
        <v>https://pbs.twimg.com/profile_images/1041725334431952896/uaPtkYSp_normal.jpg</v>
      </c>
      <c r="AW1098" s="82" t="s">
        <v>14193</v>
      </c>
      <c r="AX1098" s="82" t="s">
        <v>14193</v>
      </c>
      <c r="AY1098" s="77"/>
      <c r="AZ1098" s="82" t="s">
        <v>17385</v>
      </c>
      <c r="BA1098" s="82" t="s">
        <v>17385</v>
      </c>
      <c r="BB1098" s="82" t="s">
        <v>17385</v>
      </c>
      <c r="BC1098" s="82" t="s">
        <v>14193</v>
      </c>
      <c r="BD1098" s="82" t="s">
        <v>17550</v>
      </c>
      <c r="BE1098" s="77"/>
      <c r="BF1098" s="77"/>
      <c r="BG1098" s="77"/>
      <c r="BH1098" s="77"/>
      <c r="BI1098" s="77"/>
    </row>
    <row r="1099" spans="1:61" x14ac:dyDescent="0.25">
      <c r="A1099" s="62" t="s">
        <v>425</v>
      </c>
      <c r="B1099" s="62" t="s">
        <v>425</v>
      </c>
      <c r="C1099" s="63"/>
      <c r="D1099" s="64"/>
      <c r="E1099" s="65"/>
      <c r="F1099" s="66"/>
      <c r="G1099" s="63"/>
      <c r="H1099" s="67"/>
      <c r="I1099" s="68"/>
      <c r="J1099" s="68"/>
      <c r="K1099" s="32"/>
      <c r="L1099" s="75">
        <v>1099</v>
      </c>
      <c r="M1099" s="75"/>
      <c r="N1099" s="70"/>
      <c r="O1099" s="77" t="s">
        <v>179</v>
      </c>
      <c r="P1099" s="79">
        <v>45153.94767361111</v>
      </c>
      <c r="Q1099" s="77" t="s">
        <v>1890</v>
      </c>
      <c r="R1099" s="77">
        <v>1</v>
      </c>
      <c r="S1099" s="77">
        <v>0</v>
      </c>
      <c r="T1099" s="77">
        <v>0</v>
      </c>
      <c r="U1099" s="77">
        <v>0</v>
      </c>
      <c r="V1099" s="77">
        <v>399</v>
      </c>
      <c r="W1099" s="82" t="s">
        <v>5540</v>
      </c>
      <c r="X1099" s="80" t="str">
        <f>HYPERLINK("https://www.seudinheiro.com/2023/economia/mercado-livre-esta-indo-para-cima-do-magalu-via-hora-de-comprar-lbdr/")</f>
        <v>https://www.seudinheiro.com/2023/economia/mercado-livre-esta-indo-para-cima-do-magalu-via-hora-de-comprar-lbdr/</v>
      </c>
      <c r="Y1099" s="77" t="s">
        <v>7102</v>
      </c>
      <c r="Z1099" s="77"/>
      <c r="AA1099" s="77"/>
      <c r="AB1099" s="77"/>
      <c r="AC1099" s="82" t="s">
        <v>8255</v>
      </c>
      <c r="AD1099" s="77" t="s">
        <v>8278</v>
      </c>
      <c r="AE1099" s="80" t="str">
        <f>HYPERLINK("https://twitter.com/seu_dinheiro_br/status/1691581699799314938")</f>
        <v>https://twitter.com/seu_dinheiro_br/status/1691581699799314938</v>
      </c>
      <c r="AF1099" s="79">
        <v>45153.94767361111</v>
      </c>
      <c r="AG1099" s="85">
        <v>45153</v>
      </c>
      <c r="AH1099" s="82" t="s">
        <v>9250</v>
      </c>
      <c r="AI1099" s="77" t="b">
        <v>0</v>
      </c>
      <c r="AJ1099" s="77"/>
      <c r="AK1099" s="77"/>
      <c r="AL1099" s="77"/>
      <c r="AM1099" s="77"/>
      <c r="AN1099" s="77"/>
      <c r="AO1099" s="77"/>
      <c r="AP1099" s="77"/>
      <c r="AQ1099" s="77"/>
      <c r="AR1099" s="77"/>
      <c r="AS1099" s="77"/>
      <c r="AT1099" s="77"/>
      <c r="AU1099" s="77"/>
      <c r="AV1099" s="80" t="str">
        <f>HYPERLINK("https://pbs.twimg.com/profile_images/1041725334431952896/uaPtkYSp_normal.jpg")</f>
        <v>https://pbs.twimg.com/profile_images/1041725334431952896/uaPtkYSp_normal.jpg</v>
      </c>
      <c r="AW1099" s="82" t="s">
        <v>14194</v>
      </c>
      <c r="AX1099" s="82" t="s">
        <v>14194</v>
      </c>
      <c r="AY1099" s="77"/>
      <c r="AZ1099" s="82" t="s">
        <v>17385</v>
      </c>
      <c r="BA1099" s="82" t="s">
        <v>17385</v>
      </c>
      <c r="BB1099" s="82" t="s">
        <v>17385</v>
      </c>
      <c r="BC1099" s="82" t="s">
        <v>14194</v>
      </c>
      <c r="BD1099" s="82" t="s">
        <v>17550</v>
      </c>
      <c r="BE1099" s="77"/>
      <c r="BF1099" s="77"/>
      <c r="BG1099" s="77"/>
      <c r="BH1099" s="77"/>
      <c r="BI1099" s="77"/>
    </row>
    <row r="1100" spans="1:61" x14ac:dyDescent="0.25">
      <c r="A1100" s="62" t="s">
        <v>425</v>
      </c>
      <c r="B1100" s="62" t="s">
        <v>425</v>
      </c>
      <c r="C1100" s="63"/>
      <c r="D1100" s="64"/>
      <c r="E1100" s="65"/>
      <c r="F1100" s="66"/>
      <c r="G1100" s="63"/>
      <c r="H1100" s="67"/>
      <c r="I1100" s="68"/>
      <c r="J1100" s="68"/>
      <c r="K1100" s="32"/>
      <c r="L1100" s="75">
        <v>1100</v>
      </c>
      <c r="M1100" s="75"/>
      <c r="N1100" s="70"/>
      <c r="O1100" s="77" t="s">
        <v>179</v>
      </c>
      <c r="P1100" s="79">
        <v>45142.601979166669</v>
      </c>
      <c r="Q1100" s="77" t="s">
        <v>1891</v>
      </c>
      <c r="R1100" s="77">
        <v>0</v>
      </c>
      <c r="S1100" s="77">
        <v>0</v>
      </c>
      <c r="T1100" s="77">
        <v>0</v>
      </c>
      <c r="U1100" s="77">
        <v>0</v>
      </c>
      <c r="V1100" s="77">
        <v>227</v>
      </c>
      <c r="W1100" s="82" t="s">
        <v>5492</v>
      </c>
      <c r="X1100" s="80" t="str">
        <f>HYPERLINK("https://www.seudinheiro.com/2023/empresas/petrobras-petr4-analistas-empiricus-rens/")</f>
        <v>https://www.seudinheiro.com/2023/empresas/petrobras-petr4-analistas-empiricus-rens/</v>
      </c>
      <c r="Y1100" s="77" t="s">
        <v>7102</v>
      </c>
      <c r="Z1100" s="77"/>
      <c r="AA1100" s="77"/>
      <c r="AB1100" s="77"/>
      <c r="AC1100" s="82" t="s">
        <v>8255</v>
      </c>
      <c r="AD1100" s="77" t="s">
        <v>8278</v>
      </c>
      <c r="AE1100" s="80" t="str">
        <f>HYPERLINK("https://twitter.com/seu_dinheiro_br/status/1687470157910683649")</f>
        <v>https://twitter.com/seu_dinheiro_br/status/1687470157910683649</v>
      </c>
      <c r="AF1100" s="79">
        <v>45142.601979166669</v>
      </c>
      <c r="AG1100" s="85">
        <v>45142</v>
      </c>
      <c r="AH1100" s="82" t="s">
        <v>9251</v>
      </c>
      <c r="AI1100" s="77" t="b">
        <v>0</v>
      </c>
      <c r="AJ1100" s="77"/>
      <c r="AK1100" s="77"/>
      <c r="AL1100" s="77"/>
      <c r="AM1100" s="77"/>
      <c r="AN1100" s="77"/>
      <c r="AO1100" s="77"/>
      <c r="AP1100" s="77"/>
      <c r="AQ1100" s="77"/>
      <c r="AR1100" s="77"/>
      <c r="AS1100" s="77"/>
      <c r="AT1100" s="77"/>
      <c r="AU1100" s="77"/>
      <c r="AV1100" s="80" t="str">
        <f>HYPERLINK("https://pbs.twimg.com/profile_images/1041725334431952896/uaPtkYSp_normal.jpg")</f>
        <v>https://pbs.twimg.com/profile_images/1041725334431952896/uaPtkYSp_normal.jpg</v>
      </c>
      <c r="AW1100" s="82" t="s">
        <v>14195</v>
      </c>
      <c r="AX1100" s="82" t="s">
        <v>14195</v>
      </c>
      <c r="AY1100" s="77"/>
      <c r="AZ1100" s="82" t="s">
        <v>17385</v>
      </c>
      <c r="BA1100" s="82" t="s">
        <v>17385</v>
      </c>
      <c r="BB1100" s="82" t="s">
        <v>17385</v>
      </c>
      <c r="BC1100" s="82" t="s">
        <v>14195</v>
      </c>
      <c r="BD1100" s="82" t="s">
        <v>17550</v>
      </c>
      <c r="BE1100" s="77"/>
      <c r="BF1100" s="77"/>
      <c r="BG1100" s="77"/>
      <c r="BH1100" s="77"/>
      <c r="BI1100" s="77"/>
    </row>
    <row r="1101" spans="1:61" x14ac:dyDescent="0.25">
      <c r="A1101" s="62" t="s">
        <v>425</v>
      </c>
      <c r="B1101" s="62" t="s">
        <v>425</v>
      </c>
      <c r="C1101" s="63"/>
      <c r="D1101" s="64"/>
      <c r="E1101" s="65"/>
      <c r="F1101" s="66"/>
      <c r="G1101" s="63"/>
      <c r="H1101" s="67"/>
      <c r="I1101" s="68"/>
      <c r="J1101" s="68"/>
      <c r="K1101" s="32"/>
      <c r="L1101" s="75">
        <v>1101</v>
      </c>
      <c r="M1101" s="75"/>
      <c r="N1101" s="70"/>
      <c r="O1101" s="77" t="s">
        <v>179</v>
      </c>
      <c r="P1101" s="79">
        <v>45142.481724537036</v>
      </c>
      <c r="Q1101" s="77" t="s">
        <v>1892</v>
      </c>
      <c r="R1101" s="77">
        <v>1</v>
      </c>
      <c r="S1101" s="77">
        <v>2</v>
      </c>
      <c r="T1101" s="77">
        <v>0</v>
      </c>
      <c r="U1101" s="77">
        <v>0</v>
      </c>
      <c r="V1101" s="77">
        <v>338</v>
      </c>
      <c r="W1101" s="82" t="s">
        <v>5475</v>
      </c>
      <c r="X1101" s="80" t="str">
        <f>HYPERLINK("https://www.seudinheiro.com/2023/colunistas/day-trade-na-b3-acao-braskem-brkm5-04-08-rens/")</f>
        <v>https://www.seudinheiro.com/2023/colunistas/day-trade-na-b3-acao-braskem-brkm5-04-08-rens/</v>
      </c>
      <c r="Y1101" s="77" t="s">
        <v>7102</v>
      </c>
      <c r="Z1101" s="77"/>
      <c r="AA1101" s="77"/>
      <c r="AB1101" s="77"/>
      <c r="AC1101" s="82" t="s">
        <v>8255</v>
      </c>
      <c r="AD1101" s="77" t="s">
        <v>8278</v>
      </c>
      <c r="AE1101" s="80" t="str">
        <f>HYPERLINK("https://twitter.com/seu_dinheiro_br/status/1687426578978938880")</f>
        <v>https://twitter.com/seu_dinheiro_br/status/1687426578978938880</v>
      </c>
      <c r="AF1101" s="79">
        <v>45142.481724537036</v>
      </c>
      <c r="AG1101" s="85">
        <v>45142</v>
      </c>
      <c r="AH1101" s="82" t="s">
        <v>9252</v>
      </c>
      <c r="AI1101" s="77" t="b">
        <v>0</v>
      </c>
      <c r="AJ1101" s="77"/>
      <c r="AK1101" s="77"/>
      <c r="AL1101" s="77"/>
      <c r="AM1101" s="77"/>
      <c r="AN1101" s="77"/>
      <c r="AO1101" s="77"/>
      <c r="AP1101" s="77"/>
      <c r="AQ1101" s="77"/>
      <c r="AR1101" s="77"/>
      <c r="AS1101" s="77"/>
      <c r="AT1101" s="77"/>
      <c r="AU1101" s="77"/>
      <c r="AV1101" s="80" t="str">
        <f>HYPERLINK("https://pbs.twimg.com/profile_images/1041725334431952896/uaPtkYSp_normal.jpg")</f>
        <v>https://pbs.twimg.com/profile_images/1041725334431952896/uaPtkYSp_normal.jpg</v>
      </c>
      <c r="AW1101" s="82" t="s">
        <v>14196</v>
      </c>
      <c r="AX1101" s="82" t="s">
        <v>14196</v>
      </c>
      <c r="AY1101" s="77"/>
      <c r="AZ1101" s="82" t="s">
        <v>17385</v>
      </c>
      <c r="BA1101" s="82" t="s">
        <v>17385</v>
      </c>
      <c r="BB1101" s="82" t="s">
        <v>17385</v>
      </c>
      <c r="BC1101" s="82" t="s">
        <v>14196</v>
      </c>
      <c r="BD1101" s="82" t="s">
        <v>17550</v>
      </c>
      <c r="BE1101" s="77"/>
      <c r="BF1101" s="77"/>
      <c r="BG1101" s="77"/>
      <c r="BH1101" s="77"/>
      <c r="BI1101" s="77"/>
    </row>
    <row r="1102" spans="1:61" x14ac:dyDescent="0.25">
      <c r="A1102" s="62" t="s">
        <v>425</v>
      </c>
      <c r="B1102" s="62" t="s">
        <v>425</v>
      </c>
      <c r="C1102" s="63"/>
      <c r="D1102" s="64"/>
      <c r="E1102" s="65"/>
      <c r="F1102" s="66"/>
      <c r="G1102" s="63"/>
      <c r="H1102" s="67"/>
      <c r="I1102" s="68"/>
      <c r="J1102" s="68"/>
      <c r="K1102" s="32"/>
      <c r="L1102" s="75">
        <v>1102</v>
      </c>
      <c r="M1102" s="75"/>
      <c r="N1102" s="70"/>
      <c r="O1102" s="77" t="s">
        <v>179</v>
      </c>
      <c r="P1102" s="79">
        <v>45142.381990740738</v>
      </c>
      <c r="Q1102" s="77" t="s">
        <v>1893</v>
      </c>
      <c r="R1102" s="77">
        <v>0</v>
      </c>
      <c r="S1102" s="77">
        <v>0</v>
      </c>
      <c r="T1102" s="77">
        <v>0</v>
      </c>
      <c r="U1102" s="77">
        <v>0</v>
      </c>
      <c r="V1102" s="77">
        <v>302</v>
      </c>
      <c r="W1102" s="82" t="s">
        <v>5541</v>
      </c>
      <c r="X1102" s="80" t="str">
        <f>HYPERLINK("https://www.seudinheiro.com/2023/colunistas/a-selic-comecou-a-cair-estrategia-de-dividendos-capaz-de-superar-qualquer-cenario-lvit/")</f>
        <v>https://www.seudinheiro.com/2023/colunistas/a-selic-comecou-a-cair-estrategia-de-dividendos-capaz-de-superar-qualquer-cenario-lvit/</v>
      </c>
      <c r="Y1102" s="77" t="s">
        <v>7102</v>
      </c>
      <c r="Z1102" s="77"/>
      <c r="AA1102" s="77"/>
      <c r="AB1102" s="77"/>
      <c r="AC1102" s="82" t="s">
        <v>8255</v>
      </c>
      <c r="AD1102" s="77" t="s">
        <v>8278</v>
      </c>
      <c r="AE1102" s="80" t="str">
        <f>HYPERLINK("https://twitter.com/seu_dinheiro_br/status/1687390433867931648")</f>
        <v>https://twitter.com/seu_dinheiro_br/status/1687390433867931648</v>
      </c>
      <c r="AF1102" s="79">
        <v>45142.381990740738</v>
      </c>
      <c r="AG1102" s="85">
        <v>45142</v>
      </c>
      <c r="AH1102" s="82" t="s">
        <v>9253</v>
      </c>
      <c r="AI1102" s="77" t="b">
        <v>0</v>
      </c>
      <c r="AJ1102" s="77"/>
      <c r="AK1102" s="77"/>
      <c r="AL1102" s="77"/>
      <c r="AM1102" s="77"/>
      <c r="AN1102" s="77"/>
      <c r="AO1102" s="77"/>
      <c r="AP1102" s="77"/>
      <c r="AQ1102" s="77"/>
      <c r="AR1102" s="77"/>
      <c r="AS1102" s="77"/>
      <c r="AT1102" s="77"/>
      <c r="AU1102" s="77"/>
      <c r="AV1102" s="80" t="str">
        <f>HYPERLINK("https://pbs.twimg.com/profile_images/1041725334431952896/uaPtkYSp_normal.jpg")</f>
        <v>https://pbs.twimg.com/profile_images/1041725334431952896/uaPtkYSp_normal.jpg</v>
      </c>
      <c r="AW1102" s="82" t="s">
        <v>14197</v>
      </c>
      <c r="AX1102" s="82" t="s">
        <v>14197</v>
      </c>
      <c r="AY1102" s="77"/>
      <c r="AZ1102" s="82" t="s">
        <v>17385</v>
      </c>
      <c r="BA1102" s="82" t="s">
        <v>17385</v>
      </c>
      <c r="BB1102" s="82" t="s">
        <v>17385</v>
      </c>
      <c r="BC1102" s="82" t="s">
        <v>14197</v>
      </c>
      <c r="BD1102" s="82" t="s">
        <v>17550</v>
      </c>
      <c r="BE1102" s="77"/>
      <c r="BF1102" s="77"/>
      <c r="BG1102" s="77"/>
      <c r="BH1102" s="77"/>
      <c r="BI1102" s="77"/>
    </row>
    <row r="1103" spans="1:61" x14ac:dyDescent="0.25">
      <c r="A1103" s="62" t="s">
        <v>425</v>
      </c>
      <c r="B1103" s="62" t="s">
        <v>425</v>
      </c>
      <c r="C1103" s="63"/>
      <c r="D1103" s="64"/>
      <c r="E1103" s="65"/>
      <c r="F1103" s="66"/>
      <c r="G1103" s="63"/>
      <c r="H1103" s="67"/>
      <c r="I1103" s="68"/>
      <c r="J1103" s="68"/>
      <c r="K1103" s="32"/>
      <c r="L1103" s="75">
        <v>1103</v>
      </c>
      <c r="M1103" s="75"/>
      <c r="N1103" s="70"/>
      <c r="O1103" s="77" t="s">
        <v>179</v>
      </c>
      <c r="P1103" s="79">
        <v>45141.712361111109</v>
      </c>
      <c r="Q1103" s="77" t="s">
        <v>1894</v>
      </c>
      <c r="R1103" s="77">
        <v>0</v>
      </c>
      <c r="S1103" s="77">
        <v>0</v>
      </c>
      <c r="T1103" s="77">
        <v>0</v>
      </c>
      <c r="U1103" s="77">
        <v>0</v>
      </c>
      <c r="V1103" s="77">
        <v>225</v>
      </c>
      <c r="W1103" s="82" t="s">
        <v>5542</v>
      </c>
      <c r="X1103" s="80" t="str">
        <f>HYPERLINK("https://www.seudinheiro.com/2023/empresas/jp-morgan-rebaixa-alpargatas-e-derruba-alpa4-na-bolsa-por-que-o-banco-esta-pessimista-com-as-acoes-ccgg/")</f>
        <v>https://www.seudinheiro.com/2023/empresas/jp-morgan-rebaixa-alpargatas-e-derruba-alpa4-na-bolsa-por-que-o-banco-esta-pessimista-com-as-acoes-ccgg/</v>
      </c>
      <c r="Y1103" s="77" t="s">
        <v>7102</v>
      </c>
      <c r="Z1103" s="77"/>
      <c r="AA1103" s="77"/>
      <c r="AB1103" s="77"/>
      <c r="AC1103" s="82" t="s">
        <v>8255</v>
      </c>
      <c r="AD1103" s="77" t="s">
        <v>8278</v>
      </c>
      <c r="AE1103" s="80" t="str">
        <f>HYPERLINK("https://twitter.com/seu_dinheiro_br/status/1687147768408678410")</f>
        <v>https://twitter.com/seu_dinheiro_br/status/1687147768408678410</v>
      </c>
      <c r="AF1103" s="79">
        <v>45141.712361111109</v>
      </c>
      <c r="AG1103" s="85">
        <v>45141</v>
      </c>
      <c r="AH1103" s="82" t="s">
        <v>9254</v>
      </c>
      <c r="AI1103" s="77" t="b">
        <v>0</v>
      </c>
      <c r="AJ1103" s="77"/>
      <c r="AK1103" s="77"/>
      <c r="AL1103" s="77"/>
      <c r="AM1103" s="77"/>
      <c r="AN1103" s="77"/>
      <c r="AO1103" s="77"/>
      <c r="AP1103" s="77"/>
      <c r="AQ1103" s="77"/>
      <c r="AR1103" s="77"/>
      <c r="AS1103" s="77"/>
      <c r="AT1103" s="77"/>
      <c r="AU1103" s="77"/>
      <c r="AV1103" s="80" t="str">
        <f>HYPERLINK("https://pbs.twimg.com/profile_images/1041725334431952896/uaPtkYSp_normal.jpg")</f>
        <v>https://pbs.twimg.com/profile_images/1041725334431952896/uaPtkYSp_normal.jpg</v>
      </c>
      <c r="AW1103" s="82" t="s">
        <v>14198</v>
      </c>
      <c r="AX1103" s="82" t="s">
        <v>14198</v>
      </c>
      <c r="AY1103" s="77"/>
      <c r="AZ1103" s="82" t="s">
        <v>17385</v>
      </c>
      <c r="BA1103" s="82" t="s">
        <v>17385</v>
      </c>
      <c r="BB1103" s="82" t="s">
        <v>17385</v>
      </c>
      <c r="BC1103" s="82" t="s">
        <v>14198</v>
      </c>
      <c r="BD1103" s="82" t="s">
        <v>17550</v>
      </c>
      <c r="BE1103" s="77"/>
      <c r="BF1103" s="77"/>
      <c r="BG1103" s="77"/>
      <c r="BH1103" s="77"/>
      <c r="BI1103" s="77"/>
    </row>
    <row r="1104" spans="1:61" x14ac:dyDescent="0.25">
      <c r="A1104" s="62" t="s">
        <v>425</v>
      </c>
      <c r="B1104" s="62" t="s">
        <v>425</v>
      </c>
      <c r="C1104" s="63"/>
      <c r="D1104" s="64"/>
      <c r="E1104" s="65"/>
      <c r="F1104" s="66"/>
      <c r="G1104" s="63"/>
      <c r="H1104" s="67"/>
      <c r="I1104" s="68"/>
      <c r="J1104" s="68"/>
      <c r="K1104" s="32"/>
      <c r="L1104" s="75">
        <v>1104</v>
      </c>
      <c r="M1104" s="75"/>
      <c r="N1104" s="70"/>
      <c r="O1104" s="77" t="s">
        <v>179</v>
      </c>
      <c r="P1104" s="79">
        <v>45141.482453703706</v>
      </c>
      <c r="Q1104" s="77" t="s">
        <v>1895</v>
      </c>
      <c r="R1104" s="77">
        <v>0</v>
      </c>
      <c r="S1104" s="77">
        <v>1</v>
      </c>
      <c r="T1104" s="77">
        <v>0</v>
      </c>
      <c r="U1104" s="77">
        <v>0</v>
      </c>
      <c r="V1104" s="77">
        <v>303</v>
      </c>
      <c r="W1104" s="82" t="s">
        <v>5475</v>
      </c>
      <c r="X1104" s="80" t="str">
        <f>HYPERLINK("https://www.seudinheiro.com/2023/colunistas/day-trade-na-b3-acao-jbs-jbss3-03-08-rens/")</f>
        <v>https://www.seudinheiro.com/2023/colunistas/day-trade-na-b3-acao-jbs-jbss3-03-08-rens/</v>
      </c>
      <c r="Y1104" s="77" t="s">
        <v>7102</v>
      </c>
      <c r="Z1104" s="77"/>
      <c r="AA1104" s="77"/>
      <c r="AB1104" s="77"/>
      <c r="AC1104" s="82" t="s">
        <v>8255</v>
      </c>
      <c r="AD1104" s="77" t="s">
        <v>8278</v>
      </c>
      <c r="AE1104" s="80" t="str">
        <f>HYPERLINK("https://twitter.com/seu_dinheiro_br/status/1687064451785064448")</f>
        <v>https://twitter.com/seu_dinheiro_br/status/1687064451785064448</v>
      </c>
      <c r="AF1104" s="79">
        <v>45141.482453703706</v>
      </c>
      <c r="AG1104" s="85">
        <v>45141</v>
      </c>
      <c r="AH1104" s="82" t="s">
        <v>9255</v>
      </c>
      <c r="AI1104" s="77" t="b">
        <v>0</v>
      </c>
      <c r="AJ1104" s="77"/>
      <c r="AK1104" s="77"/>
      <c r="AL1104" s="77"/>
      <c r="AM1104" s="77"/>
      <c r="AN1104" s="77"/>
      <c r="AO1104" s="77"/>
      <c r="AP1104" s="77"/>
      <c r="AQ1104" s="77"/>
      <c r="AR1104" s="77"/>
      <c r="AS1104" s="77"/>
      <c r="AT1104" s="77"/>
      <c r="AU1104" s="77"/>
      <c r="AV1104" s="80" t="str">
        <f>HYPERLINK("https://pbs.twimg.com/profile_images/1041725334431952896/uaPtkYSp_normal.jpg")</f>
        <v>https://pbs.twimg.com/profile_images/1041725334431952896/uaPtkYSp_normal.jpg</v>
      </c>
      <c r="AW1104" s="82" t="s">
        <v>14199</v>
      </c>
      <c r="AX1104" s="82" t="s">
        <v>14199</v>
      </c>
      <c r="AY1104" s="77"/>
      <c r="AZ1104" s="82" t="s">
        <v>17385</v>
      </c>
      <c r="BA1104" s="82" t="s">
        <v>17385</v>
      </c>
      <c r="BB1104" s="82" t="s">
        <v>17385</v>
      </c>
      <c r="BC1104" s="82" t="s">
        <v>14199</v>
      </c>
      <c r="BD1104" s="82" t="s">
        <v>17550</v>
      </c>
      <c r="BE1104" s="77"/>
      <c r="BF1104" s="77"/>
      <c r="BG1104" s="77"/>
      <c r="BH1104" s="77"/>
      <c r="BI1104" s="77"/>
    </row>
    <row r="1105" spans="1:61" x14ac:dyDescent="0.25">
      <c r="A1105" s="62" t="s">
        <v>425</v>
      </c>
      <c r="B1105" s="62" t="s">
        <v>425</v>
      </c>
      <c r="C1105" s="63"/>
      <c r="D1105" s="64"/>
      <c r="E1105" s="65"/>
      <c r="F1105" s="66"/>
      <c r="G1105" s="63"/>
      <c r="H1105" s="67"/>
      <c r="I1105" s="68"/>
      <c r="J1105" s="68"/>
      <c r="K1105" s="32"/>
      <c r="L1105" s="75">
        <v>1105</v>
      </c>
      <c r="M1105" s="75"/>
      <c r="N1105" s="70"/>
      <c r="O1105" s="77" t="s">
        <v>179</v>
      </c>
      <c r="P1105" s="79">
        <v>45132.687638888892</v>
      </c>
      <c r="Q1105" s="77" t="s">
        <v>1896</v>
      </c>
      <c r="R1105" s="77">
        <v>1</v>
      </c>
      <c r="S1105" s="77">
        <v>1</v>
      </c>
      <c r="T1105" s="77">
        <v>0</v>
      </c>
      <c r="U1105" s="77">
        <v>0</v>
      </c>
      <c r="V1105" s="77">
        <v>326</v>
      </c>
      <c r="W1105" s="82" t="s">
        <v>5479</v>
      </c>
      <c r="X1105" s="80" t="str">
        <f>HYPERLINK("https://www.seudinheiro.com/2023/empresas/a-acao-de-banco-que-ja-disparou-43-este-ano-superou-o-ibovespa-e-pode-subir-mais-segundo-o-bank-of-america-btg-ccgg/")</f>
        <v>https://www.seudinheiro.com/2023/empresas/a-acao-de-banco-que-ja-disparou-43-este-ano-superou-o-ibovespa-e-pode-subir-mais-segundo-o-bank-of-america-btg-ccgg/</v>
      </c>
      <c r="Y1105" s="77" t="s">
        <v>7102</v>
      </c>
      <c r="Z1105" s="77"/>
      <c r="AA1105" s="77"/>
      <c r="AB1105" s="77"/>
      <c r="AC1105" s="82" t="s">
        <v>8255</v>
      </c>
      <c r="AD1105" s="77" t="s">
        <v>8278</v>
      </c>
      <c r="AE1105" s="80" t="str">
        <f>HYPERLINK("https://twitter.com/seu_dinheiro_br/status/1683877319545331712")</f>
        <v>https://twitter.com/seu_dinheiro_br/status/1683877319545331712</v>
      </c>
      <c r="AF1105" s="79">
        <v>45132.687638888892</v>
      </c>
      <c r="AG1105" s="85">
        <v>45132</v>
      </c>
      <c r="AH1105" s="82" t="s">
        <v>9256</v>
      </c>
      <c r="AI1105" s="77" t="b">
        <v>0</v>
      </c>
      <c r="AJ1105" s="77"/>
      <c r="AK1105" s="77"/>
      <c r="AL1105" s="77"/>
      <c r="AM1105" s="77"/>
      <c r="AN1105" s="77"/>
      <c r="AO1105" s="77"/>
      <c r="AP1105" s="77"/>
      <c r="AQ1105" s="77"/>
      <c r="AR1105" s="77"/>
      <c r="AS1105" s="77"/>
      <c r="AT1105" s="77"/>
      <c r="AU1105" s="77"/>
      <c r="AV1105" s="80" t="str">
        <f>HYPERLINK("https://pbs.twimg.com/profile_images/1041725334431952896/uaPtkYSp_normal.jpg")</f>
        <v>https://pbs.twimg.com/profile_images/1041725334431952896/uaPtkYSp_normal.jpg</v>
      </c>
      <c r="AW1105" s="82" t="s">
        <v>14200</v>
      </c>
      <c r="AX1105" s="82" t="s">
        <v>14200</v>
      </c>
      <c r="AY1105" s="77"/>
      <c r="AZ1105" s="82" t="s">
        <v>17385</v>
      </c>
      <c r="BA1105" s="82" t="s">
        <v>17385</v>
      </c>
      <c r="BB1105" s="82" t="s">
        <v>17385</v>
      </c>
      <c r="BC1105" s="82" t="s">
        <v>14200</v>
      </c>
      <c r="BD1105" s="82" t="s">
        <v>17550</v>
      </c>
      <c r="BE1105" s="77"/>
      <c r="BF1105" s="77"/>
      <c r="BG1105" s="77"/>
      <c r="BH1105" s="77"/>
      <c r="BI1105" s="77"/>
    </row>
    <row r="1106" spans="1:61" x14ac:dyDescent="0.25">
      <c r="A1106" s="62" t="s">
        <v>425</v>
      </c>
      <c r="B1106" s="62" t="s">
        <v>425</v>
      </c>
      <c r="C1106" s="63"/>
      <c r="D1106" s="64"/>
      <c r="E1106" s="65"/>
      <c r="F1106" s="66"/>
      <c r="G1106" s="63"/>
      <c r="H1106" s="67"/>
      <c r="I1106" s="68"/>
      <c r="J1106" s="68"/>
      <c r="K1106" s="32"/>
      <c r="L1106" s="75">
        <v>1106</v>
      </c>
      <c r="M1106" s="75"/>
      <c r="N1106" s="70"/>
      <c r="O1106" s="77" t="s">
        <v>179</v>
      </c>
      <c r="P1106" s="79">
        <v>45132.464907407404</v>
      </c>
      <c r="Q1106" s="77" t="s">
        <v>1897</v>
      </c>
      <c r="R1106" s="77">
        <v>0</v>
      </c>
      <c r="S1106" s="77">
        <v>2</v>
      </c>
      <c r="T1106" s="77">
        <v>0</v>
      </c>
      <c r="U1106" s="77">
        <v>0</v>
      </c>
      <c r="V1106" s="77">
        <v>352</v>
      </c>
      <c r="W1106" s="82" t="s">
        <v>5475</v>
      </c>
      <c r="X1106" s="80" t="str">
        <f>HYPERLINK("https://www.seudinheiro.com/2023/colunistas/day-trade-na-b3-acao-vale-vale3-25-07-rens/")</f>
        <v>https://www.seudinheiro.com/2023/colunistas/day-trade-na-b3-acao-vale-vale3-25-07-rens/</v>
      </c>
      <c r="Y1106" s="77" t="s">
        <v>7102</v>
      </c>
      <c r="Z1106" s="77"/>
      <c r="AA1106" s="77"/>
      <c r="AB1106" s="77"/>
      <c r="AC1106" s="82" t="s">
        <v>8255</v>
      </c>
      <c r="AD1106" s="77" t="s">
        <v>8278</v>
      </c>
      <c r="AE1106" s="80" t="str">
        <f>HYPERLINK("https://twitter.com/seu_dinheiro_br/status/1683796604958941185")</f>
        <v>https://twitter.com/seu_dinheiro_br/status/1683796604958941185</v>
      </c>
      <c r="AF1106" s="79">
        <v>45132.464907407404</v>
      </c>
      <c r="AG1106" s="85">
        <v>45132</v>
      </c>
      <c r="AH1106" s="82" t="s">
        <v>9257</v>
      </c>
      <c r="AI1106" s="77" t="b">
        <v>0</v>
      </c>
      <c r="AJ1106" s="77"/>
      <c r="AK1106" s="77"/>
      <c r="AL1106" s="77"/>
      <c r="AM1106" s="77"/>
      <c r="AN1106" s="77"/>
      <c r="AO1106" s="77"/>
      <c r="AP1106" s="77"/>
      <c r="AQ1106" s="77"/>
      <c r="AR1106" s="77"/>
      <c r="AS1106" s="77"/>
      <c r="AT1106" s="77"/>
      <c r="AU1106" s="77"/>
      <c r="AV1106" s="80" t="str">
        <f>HYPERLINK("https://pbs.twimg.com/profile_images/1041725334431952896/uaPtkYSp_normal.jpg")</f>
        <v>https://pbs.twimg.com/profile_images/1041725334431952896/uaPtkYSp_normal.jpg</v>
      </c>
      <c r="AW1106" s="82" t="s">
        <v>14201</v>
      </c>
      <c r="AX1106" s="82" t="s">
        <v>14201</v>
      </c>
      <c r="AY1106" s="77"/>
      <c r="AZ1106" s="82" t="s">
        <v>17385</v>
      </c>
      <c r="BA1106" s="82" t="s">
        <v>17385</v>
      </c>
      <c r="BB1106" s="82" t="s">
        <v>17385</v>
      </c>
      <c r="BC1106" s="82" t="s">
        <v>14201</v>
      </c>
      <c r="BD1106" s="82" t="s">
        <v>17550</v>
      </c>
      <c r="BE1106" s="77"/>
      <c r="BF1106" s="77"/>
      <c r="BG1106" s="77"/>
      <c r="BH1106" s="77"/>
      <c r="BI1106" s="77"/>
    </row>
    <row r="1107" spans="1:61" x14ac:dyDescent="0.25">
      <c r="A1107" s="62" t="s">
        <v>425</v>
      </c>
      <c r="B1107" s="62" t="s">
        <v>425</v>
      </c>
      <c r="C1107" s="63"/>
      <c r="D1107" s="64"/>
      <c r="E1107" s="65"/>
      <c r="F1107" s="66"/>
      <c r="G1107" s="63"/>
      <c r="H1107" s="67"/>
      <c r="I1107" s="68"/>
      <c r="J1107" s="68"/>
      <c r="K1107" s="32"/>
      <c r="L1107" s="75">
        <v>1107</v>
      </c>
      <c r="M1107" s="75"/>
      <c r="N1107" s="70"/>
      <c r="O1107" s="77" t="s">
        <v>179</v>
      </c>
      <c r="P1107" s="79">
        <v>45131.772916666669</v>
      </c>
      <c r="Q1107" s="77" t="s">
        <v>1898</v>
      </c>
      <c r="R1107" s="77">
        <v>2</v>
      </c>
      <c r="S1107" s="77">
        <v>3</v>
      </c>
      <c r="T1107" s="77">
        <v>0</v>
      </c>
      <c r="U1107" s="77">
        <v>0</v>
      </c>
      <c r="V1107" s="77">
        <v>495</v>
      </c>
      <c r="W1107" s="82" t="s">
        <v>5543</v>
      </c>
      <c r="X1107" s="80" t="str">
        <f>HYPERLINK("https://www.seudinheiro.com/2023/empresas/weg-o-que-elon-musk-tem-a-ver-com-a-alta-das-acoes-hoje-wege3-lidera-ganhos-do-ibovespa-saiba-o-que-ha-por-tras-desse-salto-ccgg/")</f>
        <v>https://www.seudinheiro.com/2023/empresas/weg-o-que-elon-musk-tem-a-ver-com-a-alta-das-acoes-hoje-wege3-lidera-ganhos-do-ibovespa-saiba-o-que-ha-por-tras-desse-salto-ccgg/</v>
      </c>
      <c r="Y1107" s="77" t="s">
        <v>7102</v>
      </c>
      <c r="Z1107" s="77"/>
      <c r="AA1107" s="77"/>
      <c r="AB1107" s="77"/>
      <c r="AC1107" s="82" t="s">
        <v>8255</v>
      </c>
      <c r="AD1107" s="77" t="s">
        <v>8278</v>
      </c>
      <c r="AE1107" s="80" t="str">
        <f>HYPERLINK("https://twitter.com/seu_dinheiro_br/status/1683545833696894978")</f>
        <v>https://twitter.com/seu_dinheiro_br/status/1683545833696894978</v>
      </c>
      <c r="AF1107" s="79">
        <v>45131.772916666669</v>
      </c>
      <c r="AG1107" s="85">
        <v>45131</v>
      </c>
      <c r="AH1107" s="82" t="s">
        <v>9258</v>
      </c>
      <c r="AI1107" s="77" t="b">
        <v>0</v>
      </c>
      <c r="AJ1107" s="77"/>
      <c r="AK1107" s="77"/>
      <c r="AL1107" s="77"/>
      <c r="AM1107" s="77"/>
      <c r="AN1107" s="77"/>
      <c r="AO1107" s="77"/>
      <c r="AP1107" s="77"/>
      <c r="AQ1107" s="77"/>
      <c r="AR1107" s="77"/>
      <c r="AS1107" s="77"/>
      <c r="AT1107" s="77"/>
      <c r="AU1107" s="77"/>
      <c r="AV1107" s="80" t="str">
        <f>HYPERLINK("https://pbs.twimg.com/profile_images/1041725334431952896/uaPtkYSp_normal.jpg")</f>
        <v>https://pbs.twimg.com/profile_images/1041725334431952896/uaPtkYSp_normal.jpg</v>
      </c>
      <c r="AW1107" s="82" t="s">
        <v>14202</v>
      </c>
      <c r="AX1107" s="82" t="s">
        <v>14202</v>
      </c>
      <c r="AY1107" s="77"/>
      <c r="AZ1107" s="82" t="s">
        <v>17385</v>
      </c>
      <c r="BA1107" s="82" t="s">
        <v>17385</v>
      </c>
      <c r="BB1107" s="82" t="s">
        <v>17385</v>
      </c>
      <c r="BC1107" s="82" t="s">
        <v>14202</v>
      </c>
      <c r="BD1107" s="82" t="s">
        <v>17550</v>
      </c>
      <c r="BE1107" s="77"/>
      <c r="BF1107" s="77"/>
      <c r="BG1107" s="77"/>
      <c r="BH1107" s="77"/>
      <c r="BI1107" s="77"/>
    </row>
    <row r="1108" spans="1:61" x14ac:dyDescent="0.25">
      <c r="A1108" s="62" t="s">
        <v>425</v>
      </c>
      <c r="B1108" s="62" t="s">
        <v>425</v>
      </c>
      <c r="C1108" s="63"/>
      <c r="D1108" s="64"/>
      <c r="E1108" s="65"/>
      <c r="F1108" s="66"/>
      <c r="G1108" s="63"/>
      <c r="H1108" s="67"/>
      <c r="I1108" s="68"/>
      <c r="J1108" s="68"/>
      <c r="K1108" s="32"/>
      <c r="L1108" s="75">
        <v>1108</v>
      </c>
      <c r="M1108" s="75"/>
      <c r="N1108" s="70"/>
      <c r="O1108" s="77" t="s">
        <v>179</v>
      </c>
      <c r="P1108" s="79">
        <v>45131.692847222221</v>
      </c>
      <c r="Q1108" s="77" t="s">
        <v>1899</v>
      </c>
      <c r="R1108" s="77">
        <v>0</v>
      </c>
      <c r="S1108" s="77">
        <v>0</v>
      </c>
      <c r="T1108" s="77">
        <v>0</v>
      </c>
      <c r="U1108" s="77">
        <v>0</v>
      </c>
      <c r="V1108" s="77">
        <v>275</v>
      </c>
      <c r="W1108" s="82" t="s">
        <v>5544</v>
      </c>
      <c r="X1108" s="80" t="str">
        <f>HYPERLINK("https://www.seudinheiro.com/2023/empresas/mrv-mrve3-e-direcional-dirr3-o-que-este-analista-viu-para-elevar-o-preco-alvo-dessas-acoes-ccgg/")</f>
        <v>https://www.seudinheiro.com/2023/empresas/mrv-mrve3-e-direcional-dirr3-o-que-este-analista-viu-para-elevar-o-preco-alvo-dessas-acoes-ccgg/</v>
      </c>
      <c r="Y1108" s="77" t="s">
        <v>7102</v>
      </c>
      <c r="Z1108" s="77"/>
      <c r="AA1108" s="77"/>
      <c r="AB1108" s="77"/>
      <c r="AC1108" s="82" t="s">
        <v>8255</v>
      </c>
      <c r="AD1108" s="77" t="s">
        <v>8278</v>
      </c>
      <c r="AE1108" s="80" t="str">
        <f>HYPERLINK("https://twitter.com/seu_dinheiro_br/status/1683516820613996550")</f>
        <v>https://twitter.com/seu_dinheiro_br/status/1683516820613996550</v>
      </c>
      <c r="AF1108" s="79">
        <v>45131.692847222221</v>
      </c>
      <c r="AG1108" s="85">
        <v>45131</v>
      </c>
      <c r="AH1108" s="82" t="s">
        <v>9259</v>
      </c>
      <c r="AI1108" s="77" t="b">
        <v>0</v>
      </c>
      <c r="AJ1108" s="77"/>
      <c r="AK1108" s="77"/>
      <c r="AL1108" s="77"/>
      <c r="AM1108" s="77"/>
      <c r="AN1108" s="77"/>
      <c r="AO1108" s="77"/>
      <c r="AP1108" s="77"/>
      <c r="AQ1108" s="77"/>
      <c r="AR1108" s="77"/>
      <c r="AS1108" s="77"/>
      <c r="AT1108" s="77"/>
      <c r="AU1108" s="77"/>
      <c r="AV1108" s="80" t="str">
        <f>HYPERLINK("https://pbs.twimg.com/profile_images/1041725334431952896/uaPtkYSp_normal.jpg")</f>
        <v>https://pbs.twimg.com/profile_images/1041725334431952896/uaPtkYSp_normal.jpg</v>
      </c>
      <c r="AW1108" s="82" t="s">
        <v>14203</v>
      </c>
      <c r="AX1108" s="82" t="s">
        <v>14203</v>
      </c>
      <c r="AY1108" s="77"/>
      <c r="AZ1108" s="82" t="s">
        <v>17385</v>
      </c>
      <c r="BA1108" s="82" t="s">
        <v>17385</v>
      </c>
      <c r="BB1108" s="82" t="s">
        <v>17385</v>
      </c>
      <c r="BC1108" s="82" t="s">
        <v>14203</v>
      </c>
      <c r="BD1108" s="82" t="s">
        <v>17550</v>
      </c>
      <c r="BE1108" s="77"/>
      <c r="BF1108" s="77"/>
      <c r="BG1108" s="77"/>
      <c r="BH1108" s="77"/>
      <c r="BI1108" s="77"/>
    </row>
    <row r="1109" spans="1:61" x14ac:dyDescent="0.25">
      <c r="A1109" s="62" t="s">
        <v>425</v>
      </c>
      <c r="B1109" s="62" t="s">
        <v>425</v>
      </c>
      <c r="C1109" s="63"/>
      <c r="D1109" s="64"/>
      <c r="E1109" s="65"/>
      <c r="F1109" s="66"/>
      <c r="G1109" s="63"/>
      <c r="H1109" s="67"/>
      <c r="I1109" s="68"/>
      <c r="J1109" s="68"/>
      <c r="K1109" s="32"/>
      <c r="L1109" s="75">
        <v>1109</v>
      </c>
      <c r="M1109" s="75"/>
      <c r="N1109" s="70"/>
      <c r="O1109" s="77" t="s">
        <v>179</v>
      </c>
      <c r="P1109" s="79">
        <v>45131.637800925928</v>
      </c>
      <c r="Q1109" s="77" t="s">
        <v>1900</v>
      </c>
      <c r="R1109" s="77">
        <v>0</v>
      </c>
      <c r="S1109" s="77">
        <v>1</v>
      </c>
      <c r="T1109" s="77">
        <v>0</v>
      </c>
      <c r="U1109" s="77">
        <v>0</v>
      </c>
      <c r="V1109" s="77">
        <v>304</v>
      </c>
      <c r="W1109" s="82" t="s">
        <v>5479</v>
      </c>
      <c r="X1109" s="80" t="str">
        <f>HYPERLINK("https://www.seudinheiro.com/2023/empresas/acoes-do-irb-irbr3-caem-14-btg-jp-morgan-citi-rens/")</f>
        <v>https://www.seudinheiro.com/2023/empresas/acoes-do-irb-irbr3-caem-14-btg-jp-morgan-citi-rens/</v>
      </c>
      <c r="Y1109" s="77" t="s">
        <v>7102</v>
      </c>
      <c r="Z1109" s="77"/>
      <c r="AA1109" s="77"/>
      <c r="AB1109" s="77"/>
      <c r="AC1109" s="82" t="s">
        <v>8255</v>
      </c>
      <c r="AD1109" s="77" t="s">
        <v>8278</v>
      </c>
      <c r="AE1109" s="80" t="str">
        <f>HYPERLINK("https://twitter.com/seu_dinheiro_br/status/1683496870868398080")</f>
        <v>https://twitter.com/seu_dinheiro_br/status/1683496870868398080</v>
      </c>
      <c r="AF1109" s="79">
        <v>45131.637800925928</v>
      </c>
      <c r="AG1109" s="85">
        <v>45131</v>
      </c>
      <c r="AH1109" s="82" t="s">
        <v>9260</v>
      </c>
      <c r="AI1109" s="77" t="b">
        <v>0</v>
      </c>
      <c r="AJ1109" s="77"/>
      <c r="AK1109" s="77"/>
      <c r="AL1109" s="77"/>
      <c r="AM1109" s="77"/>
      <c r="AN1109" s="77"/>
      <c r="AO1109" s="77"/>
      <c r="AP1109" s="77"/>
      <c r="AQ1109" s="77"/>
      <c r="AR1109" s="77"/>
      <c r="AS1109" s="77"/>
      <c r="AT1109" s="77"/>
      <c r="AU1109" s="77"/>
      <c r="AV1109" s="80" t="str">
        <f>HYPERLINK("https://pbs.twimg.com/profile_images/1041725334431952896/uaPtkYSp_normal.jpg")</f>
        <v>https://pbs.twimg.com/profile_images/1041725334431952896/uaPtkYSp_normal.jpg</v>
      </c>
      <c r="AW1109" s="82" t="s">
        <v>14204</v>
      </c>
      <c r="AX1109" s="82" t="s">
        <v>14204</v>
      </c>
      <c r="AY1109" s="77"/>
      <c r="AZ1109" s="82" t="s">
        <v>17385</v>
      </c>
      <c r="BA1109" s="82" t="s">
        <v>17385</v>
      </c>
      <c r="BB1109" s="82" t="s">
        <v>17385</v>
      </c>
      <c r="BC1109" s="82" t="s">
        <v>14204</v>
      </c>
      <c r="BD1109" s="82" t="s">
        <v>17550</v>
      </c>
      <c r="BE1109" s="77"/>
      <c r="BF1109" s="77"/>
      <c r="BG1109" s="77"/>
      <c r="BH1109" s="77"/>
      <c r="BI1109" s="77"/>
    </row>
    <row r="1110" spans="1:61" x14ac:dyDescent="0.25">
      <c r="A1110" s="62" t="s">
        <v>425</v>
      </c>
      <c r="B1110" s="62" t="s">
        <v>425</v>
      </c>
      <c r="C1110" s="63"/>
      <c r="D1110" s="64"/>
      <c r="E1110" s="65"/>
      <c r="F1110" s="66"/>
      <c r="G1110" s="63"/>
      <c r="H1110" s="67"/>
      <c r="I1110" s="68"/>
      <c r="J1110" s="68"/>
      <c r="K1110" s="32"/>
      <c r="L1110" s="75">
        <v>1110</v>
      </c>
      <c r="M1110" s="75"/>
      <c r="N1110" s="70"/>
      <c r="O1110" s="77" t="s">
        <v>179</v>
      </c>
      <c r="P1110" s="79">
        <v>45131.451481481483</v>
      </c>
      <c r="Q1110" s="77" t="s">
        <v>1901</v>
      </c>
      <c r="R1110" s="77">
        <v>1</v>
      </c>
      <c r="S1110" s="77">
        <v>2</v>
      </c>
      <c r="T1110" s="77">
        <v>0</v>
      </c>
      <c r="U1110" s="77">
        <v>0</v>
      </c>
      <c r="V1110" s="77">
        <v>369</v>
      </c>
      <c r="W1110" s="82" t="s">
        <v>5475</v>
      </c>
      <c r="X1110" s="80" t="str">
        <f>HYPERLINK("https://www.seudinheiro.com/2023/colunistas/day-trade-na-b3-acao-metalurgica-gerdau-goau4-18-07-rens/")</f>
        <v>https://www.seudinheiro.com/2023/colunistas/day-trade-na-b3-acao-metalurgica-gerdau-goau4-18-07-rens/</v>
      </c>
      <c r="Y1110" s="77" t="s">
        <v>7102</v>
      </c>
      <c r="Z1110" s="77"/>
      <c r="AA1110" s="77"/>
      <c r="AB1110" s="77"/>
      <c r="AC1110" s="82" t="s">
        <v>8255</v>
      </c>
      <c r="AD1110" s="77" t="s">
        <v>8278</v>
      </c>
      <c r="AE1110" s="80" t="str">
        <f>HYPERLINK("https://twitter.com/seu_dinheiro_br/status/1683429349016436736")</f>
        <v>https://twitter.com/seu_dinheiro_br/status/1683429349016436736</v>
      </c>
      <c r="AF1110" s="79">
        <v>45131.451481481483</v>
      </c>
      <c r="AG1110" s="85">
        <v>45131</v>
      </c>
      <c r="AH1110" s="82" t="s">
        <v>9261</v>
      </c>
      <c r="AI1110" s="77" t="b">
        <v>0</v>
      </c>
      <c r="AJ1110" s="77"/>
      <c r="AK1110" s="77"/>
      <c r="AL1110" s="77"/>
      <c r="AM1110" s="77"/>
      <c r="AN1110" s="77"/>
      <c r="AO1110" s="77"/>
      <c r="AP1110" s="77"/>
      <c r="AQ1110" s="77"/>
      <c r="AR1110" s="77"/>
      <c r="AS1110" s="77"/>
      <c r="AT1110" s="77"/>
      <c r="AU1110" s="77"/>
      <c r="AV1110" s="80" t="str">
        <f>HYPERLINK("https://pbs.twimg.com/profile_images/1041725334431952896/uaPtkYSp_normal.jpg")</f>
        <v>https://pbs.twimg.com/profile_images/1041725334431952896/uaPtkYSp_normal.jpg</v>
      </c>
      <c r="AW1110" s="82" t="s">
        <v>14205</v>
      </c>
      <c r="AX1110" s="82" t="s">
        <v>14205</v>
      </c>
      <c r="AY1110" s="77"/>
      <c r="AZ1110" s="82" t="s">
        <v>17385</v>
      </c>
      <c r="BA1110" s="82" t="s">
        <v>17385</v>
      </c>
      <c r="BB1110" s="82" t="s">
        <v>17385</v>
      </c>
      <c r="BC1110" s="82" t="s">
        <v>14205</v>
      </c>
      <c r="BD1110" s="82" t="s">
        <v>17550</v>
      </c>
      <c r="BE1110" s="77"/>
      <c r="BF1110" s="77"/>
      <c r="BG1110" s="77"/>
      <c r="BH1110" s="77"/>
      <c r="BI1110" s="77"/>
    </row>
    <row r="1111" spans="1:61" x14ac:dyDescent="0.25">
      <c r="A1111" s="62" t="s">
        <v>425</v>
      </c>
      <c r="B1111" s="62" t="s">
        <v>425</v>
      </c>
      <c r="C1111" s="63"/>
      <c r="D1111" s="64"/>
      <c r="E1111" s="65"/>
      <c r="F1111" s="66"/>
      <c r="G1111" s="63"/>
      <c r="H1111" s="67"/>
      <c r="I1111" s="68"/>
      <c r="J1111" s="68"/>
      <c r="K1111" s="32"/>
      <c r="L1111" s="75">
        <v>1111</v>
      </c>
      <c r="M1111" s="75"/>
      <c r="N1111" s="70"/>
      <c r="O1111" s="77" t="s">
        <v>179</v>
      </c>
      <c r="P1111" s="79">
        <v>45128.751215277778</v>
      </c>
      <c r="Q1111" s="77" t="s">
        <v>1902</v>
      </c>
      <c r="R1111" s="77">
        <v>0</v>
      </c>
      <c r="S1111" s="77">
        <v>0</v>
      </c>
      <c r="T1111" s="77">
        <v>0</v>
      </c>
      <c r="U1111" s="77">
        <v>0</v>
      </c>
      <c r="V1111" s="77">
        <v>223</v>
      </c>
      <c r="W1111" s="82" t="s">
        <v>5545</v>
      </c>
      <c r="X1111" s="80" t="str">
        <f>HYPERLINK("https://www.seudinheiro.com/2023/especiaissd/onde-investir-no-segundo-semestre-de-2023-veja-melhores-investimentos-neste-guia-gratuito-mktportais/")</f>
        <v>https://www.seudinheiro.com/2023/especiaissd/onde-investir-no-segundo-semestre-de-2023-veja-melhores-investimentos-neste-guia-gratuito-mktportais/</v>
      </c>
      <c r="Y1111" s="77" t="s">
        <v>7102</v>
      </c>
      <c r="Z1111" s="77"/>
      <c r="AA1111" s="77"/>
      <c r="AB1111" s="77"/>
      <c r="AC1111" s="82" t="s">
        <v>8255</v>
      </c>
      <c r="AD1111" s="77" t="s">
        <v>8278</v>
      </c>
      <c r="AE1111" s="80" t="str">
        <f>HYPERLINK("https://twitter.com/seu_dinheiro_br/status/1682450805297668096")</f>
        <v>https://twitter.com/seu_dinheiro_br/status/1682450805297668096</v>
      </c>
      <c r="AF1111" s="79">
        <v>45128.751215277778</v>
      </c>
      <c r="AG1111" s="85">
        <v>45128</v>
      </c>
      <c r="AH1111" s="82" t="s">
        <v>9262</v>
      </c>
      <c r="AI1111" s="77" t="b">
        <v>0</v>
      </c>
      <c r="AJ1111" s="77"/>
      <c r="AK1111" s="77"/>
      <c r="AL1111" s="77"/>
      <c r="AM1111" s="77"/>
      <c r="AN1111" s="77"/>
      <c r="AO1111" s="77"/>
      <c r="AP1111" s="77"/>
      <c r="AQ1111" s="77"/>
      <c r="AR1111" s="77"/>
      <c r="AS1111" s="77"/>
      <c r="AT1111" s="77"/>
      <c r="AU1111" s="77"/>
      <c r="AV1111" s="80" t="str">
        <f>HYPERLINK("https://pbs.twimg.com/profile_images/1041725334431952896/uaPtkYSp_normal.jpg")</f>
        <v>https://pbs.twimg.com/profile_images/1041725334431952896/uaPtkYSp_normal.jpg</v>
      </c>
      <c r="AW1111" s="82" t="s">
        <v>14206</v>
      </c>
      <c r="AX1111" s="82" t="s">
        <v>14206</v>
      </c>
      <c r="AY1111" s="77"/>
      <c r="AZ1111" s="82" t="s">
        <v>17385</v>
      </c>
      <c r="BA1111" s="82" t="s">
        <v>17385</v>
      </c>
      <c r="BB1111" s="82" t="s">
        <v>17385</v>
      </c>
      <c r="BC1111" s="82" t="s">
        <v>14206</v>
      </c>
      <c r="BD1111" s="82" t="s">
        <v>17550</v>
      </c>
      <c r="BE1111" s="77"/>
      <c r="BF1111" s="77"/>
      <c r="BG1111" s="77"/>
      <c r="BH1111" s="77"/>
      <c r="BI1111" s="77"/>
    </row>
    <row r="1112" spans="1:61" x14ac:dyDescent="0.25">
      <c r="A1112" s="62" t="s">
        <v>425</v>
      </c>
      <c r="B1112" s="62" t="s">
        <v>425</v>
      </c>
      <c r="C1112" s="63"/>
      <c r="D1112" s="64"/>
      <c r="E1112" s="65"/>
      <c r="F1112" s="66"/>
      <c r="G1112" s="63"/>
      <c r="H1112" s="67"/>
      <c r="I1112" s="68"/>
      <c r="J1112" s="68"/>
      <c r="K1112" s="32"/>
      <c r="L1112" s="75">
        <v>1112</v>
      </c>
      <c r="M1112" s="75"/>
      <c r="N1112" s="70"/>
      <c r="O1112" s="77" t="s">
        <v>179</v>
      </c>
      <c r="P1112" s="79">
        <v>45128.695509259262</v>
      </c>
      <c r="Q1112" s="77" t="s">
        <v>1903</v>
      </c>
      <c r="R1112" s="77">
        <v>0</v>
      </c>
      <c r="S1112" s="77">
        <v>1</v>
      </c>
      <c r="T1112" s="77">
        <v>0</v>
      </c>
      <c r="U1112" s="77">
        <v>0</v>
      </c>
      <c r="V1112" s="77">
        <v>199</v>
      </c>
      <c r="W1112" s="82" t="s">
        <v>5474</v>
      </c>
      <c r="X1112" s="80" t="str">
        <f>HYPERLINK("https://www.seudinheiro.com/2023/bolsa-dolar/barbie-e-oppenheimer-quais-acoes-podem-pegar-carona-nas-estreias-da-semana-nos-cinemas-ccgg/")</f>
        <v>https://www.seudinheiro.com/2023/bolsa-dolar/barbie-e-oppenheimer-quais-acoes-podem-pegar-carona-nas-estreias-da-semana-nos-cinemas-ccgg/</v>
      </c>
      <c r="Y1112" s="77" t="s">
        <v>7102</v>
      </c>
      <c r="Z1112" s="77"/>
      <c r="AA1112" s="77"/>
      <c r="AB1112" s="77"/>
      <c r="AC1112" s="82" t="s">
        <v>8255</v>
      </c>
      <c r="AD1112" s="77" t="s">
        <v>8278</v>
      </c>
      <c r="AE1112" s="80" t="str">
        <f>HYPERLINK("https://twitter.com/seu_dinheiro_br/status/1682430620725649408")</f>
        <v>https://twitter.com/seu_dinheiro_br/status/1682430620725649408</v>
      </c>
      <c r="AF1112" s="79">
        <v>45128.695509259262</v>
      </c>
      <c r="AG1112" s="85">
        <v>45128</v>
      </c>
      <c r="AH1112" s="82" t="s">
        <v>9263</v>
      </c>
      <c r="AI1112" s="77" t="b">
        <v>0</v>
      </c>
      <c r="AJ1112" s="77"/>
      <c r="AK1112" s="77"/>
      <c r="AL1112" s="77"/>
      <c r="AM1112" s="77"/>
      <c r="AN1112" s="77"/>
      <c r="AO1112" s="77"/>
      <c r="AP1112" s="77"/>
      <c r="AQ1112" s="77"/>
      <c r="AR1112" s="77"/>
      <c r="AS1112" s="77"/>
      <c r="AT1112" s="77"/>
      <c r="AU1112" s="77"/>
      <c r="AV1112" s="80" t="str">
        <f>HYPERLINK("https://pbs.twimg.com/profile_images/1041725334431952896/uaPtkYSp_normal.jpg")</f>
        <v>https://pbs.twimg.com/profile_images/1041725334431952896/uaPtkYSp_normal.jpg</v>
      </c>
      <c r="AW1112" s="82" t="s">
        <v>14207</v>
      </c>
      <c r="AX1112" s="82" t="s">
        <v>14207</v>
      </c>
      <c r="AY1112" s="77"/>
      <c r="AZ1112" s="82" t="s">
        <v>17385</v>
      </c>
      <c r="BA1112" s="82" t="s">
        <v>17385</v>
      </c>
      <c r="BB1112" s="82" t="s">
        <v>17385</v>
      </c>
      <c r="BC1112" s="82" t="s">
        <v>14207</v>
      </c>
      <c r="BD1112" s="82" t="s">
        <v>17550</v>
      </c>
      <c r="BE1112" s="77"/>
      <c r="BF1112" s="77"/>
      <c r="BG1112" s="77"/>
      <c r="BH1112" s="77"/>
      <c r="BI1112" s="77"/>
    </row>
    <row r="1113" spans="1:61" x14ac:dyDescent="0.25">
      <c r="A1113" s="62" t="s">
        <v>425</v>
      </c>
      <c r="B1113" s="62" t="s">
        <v>425</v>
      </c>
      <c r="C1113" s="63"/>
      <c r="D1113" s="64"/>
      <c r="E1113" s="65"/>
      <c r="F1113" s="66"/>
      <c r="G1113" s="63"/>
      <c r="H1113" s="67"/>
      <c r="I1113" s="68"/>
      <c r="J1113" s="68"/>
      <c r="K1113" s="32"/>
      <c r="L1113" s="75">
        <v>1113</v>
      </c>
      <c r="M1113" s="75"/>
      <c r="N1113" s="70"/>
      <c r="O1113" s="77" t="s">
        <v>179</v>
      </c>
      <c r="P1113" s="79">
        <v>45103.69872685185</v>
      </c>
      <c r="Q1113" s="77" t="s">
        <v>1904</v>
      </c>
      <c r="R1113" s="77">
        <v>1</v>
      </c>
      <c r="S1113" s="77">
        <v>2</v>
      </c>
      <c r="T1113" s="77">
        <v>0</v>
      </c>
      <c r="U1113" s="77">
        <v>0</v>
      </c>
      <c r="V1113" s="77">
        <v>296</v>
      </c>
      <c r="W1113" s="82" t="s">
        <v>5507</v>
      </c>
      <c r="X1113" s="80" t="str">
        <f>HYPERLINK("https://www.seudinheiro.com/2023/empresas/disparada-petrobras-petr4-petroleiras-juniors-prio-prio3-xp/")</f>
        <v>https://www.seudinheiro.com/2023/empresas/disparada-petrobras-petr4-petroleiras-juniors-prio-prio3-xp/</v>
      </c>
      <c r="Y1113" s="77" t="s">
        <v>7102</v>
      </c>
      <c r="Z1113" s="77"/>
      <c r="AA1113" s="77"/>
      <c r="AB1113" s="77"/>
      <c r="AC1113" s="82" t="s">
        <v>8255</v>
      </c>
      <c r="AD1113" s="77" t="s">
        <v>8278</v>
      </c>
      <c r="AE1113" s="80" t="str">
        <f>HYPERLINK("https://twitter.com/seu_dinheiro_br/status/1673372089762365440")</f>
        <v>https://twitter.com/seu_dinheiro_br/status/1673372089762365440</v>
      </c>
      <c r="AF1113" s="79">
        <v>45103.69872685185</v>
      </c>
      <c r="AG1113" s="85">
        <v>45103</v>
      </c>
      <c r="AH1113" s="82" t="s">
        <v>9066</v>
      </c>
      <c r="AI1113" s="77" t="b">
        <v>0</v>
      </c>
      <c r="AJ1113" s="77"/>
      <c r="AK1113" s="77"/>
      <c r="AL1113" s="77"/>
      <c r="AM1113" s="77"/>
      <c r="AN1113" s="77"/>
      <c r="AO1113" s="77"/>
      <c r="AP1113" s="77"/>
      <c r="AQ1113" s="77"/>
      <c r="AR1113" s="77"/>
      <c r="AS1113" s="77"/>
      <c r="AT1113" s="77"/>
      <c r="AU1113" s="77"/>
      <c r="AV1113" s="80" t="str">
        <f>HYPERLINK("https://pbs.twimg.com/profile_images/1041725334431952896/uaPtkYSp_normal.jpg")</f>
        <v>https://pbs.twimg.com/profile_images/1041725334431952896/uaPtkYSp_normal.jpg</v>
      </c>
      <c r="AW1113" s="82" t="s">
        <v>14208</v>
      </c>
      <c r="AX1113" s="82" t="s">
        <v>14208</v>
      </c>
      <c r="AY1113" s="77"/>
      <c r="AZ1113" s="82" t="s">
        <v>17385</v>
      </c>
      <c r="BA1113" s="82" t="s">
        <v>17385</v>
      </c>
      <c r="BB1113" s="82" t="s">
        <v>17385</v>
      </c>
      <c r="BC1113" s="82" t="s">
        <v>14208</v>
      </c>
      <c r="BD1113" s="82" t="s">
        <v>17550</v>
      </c>
      <c r="BE1113" s="77"/>
      <c r="BF1113" s="77"/>
      <c r="BG1113" s="77"/>
      <c r="BH1113" s="77"/>
      <c r="BI1113" s="77"/>
    </row>
    <row r="1114" spans="1:61" x14ac:dyDescent="0.25">
      <c r="A1114" s="62" t="s">
        <v>425</v>
      </c>
      <c r="B1114" s="62" t="s">
        <v>425</v>
      </c>
      <c r="C1114" s="63"/>
      <c r="D1114" s="64"/>
      <c r="E1114" s="65"/>
      <c r="F1114" s="66"/>
      <c r="G1114" s="63"/>
      <c r="H1114" s="67"/>
      <c r="I1114" s="68"/>
      <c r="J1114" s="68"/>
      <c r="K1114" s="32"/>
      <c r="L1114" s="75">
        <v>1114</v>
      </c>
      <c r="M1114" s="75"/>
      <c r="N1114" s="70"/>
      <c r="O1114" s="77" t="s">
        <v>179</v>
      </c>
      <c r="P1114" s="79">
        <v>45103.652083333334</v>
      </c>
      <c r="Q1114" s="77" t="s">
        <v>1905</v>
      </c>
      <c r="R1114" s="77">
        <v>0</v>
      </c>
      <c r="S1114" s="77">
        <v>1</v>
      </c>
      <c r="T1114" s="77">
        <v>0</v>
      </c>
      <c r="U1114" s="77">
        <v>0</v>
      </c>
      <c r="V1114" s="77">
        <v>215</v>
      </c>
      <c r="W1114" s="82" t="s">
        <v>5546</v>
      </c>
      <c r="X1114" s="80" t="str">
        <f>HYPERLINK("https://www.seudinheiro.com/2023/bolsa-dolar/petrobras-petr4-captacao-externa-dolar-vinp-ccgg/")</f>
        <v>https://www.seudinheiro.com/2023/bolsa-dolar/petrobras-petr4-captacao-externa-dolar-vinp-ccgg/</v>
      </c>
      <c r="Y1114" s="77" t="s">
        <v>7102</v>
      </c>
      <c r="Z1114" s="77"/>
      <c r="AA1114" s="77"/>
      <c r="AB1114" s="77"/>
      <c r="AC1114" s="82" t="s">
        <v>8255</v>
      </c>
      <c r="AD1114" s="77" t="s">
        <v>8278</v>
      </c>
      <c r="AE1114" s="80" t="str">
        <f>HYPERLINK("https://twitter.com/seu_dinheiro_br/status/1673355184297132033")</f>
        <v>https://twitter.com/seu_dinheiro_br/status/1673355184297132033</v>
      </c>
      <c r="AF1114" s="79">
        <v>45103.652083333334</v>
      </c>
      <c r="AG1114" s="85">
        <v>45103</v>
      </c>
      <c r="AH1114" s="82" t="s">
        <v>9264</v>
      </c>
      <c r="AI1114" s="77" t="b">
        <v>0</v>
      </c>
      <c r="AJ1114" s="77"/>
      <c r="AK1114" s="77"/>
      <c r="AL1114" s="77"/>
      <c r="AM1114" s="77"/>
      <c r="AN1114" s="77"/>
      <c r="AO1114" s="77"/>
      <c r="AP1114" s="77"/>
      <c r="AQ1114" s="77"/>
      <c r="AR1114" s="77"/>
      <c r="AS1114" s="77"/>
      <c r="AT1114" s="77"/>
      <c r="AU1114" s="77"/>
      <c r="AV1114" s="80" t="str">
        <f>HYPERLINK("https://pbs.twimg.com/profile_images/1041725334431952896/uaPtkYSp_normal.jpg")</f>
        <v>https://pbs.twimg.com/profile_images/1041725334431952896/uaPtkYSp_normal.jpg</v>
      </c>
      <c r="AW1114" s="82" t="s">
        <v>14209</v>
      </c>
      <c r="AX1114" s="82" t="s">
        <v>14209</v>
      </c>
      <c r="AY1114" s="77"/>
      <c r="AZ1114" s="82" t="s">
        <v>17385</v>
      </c>
      <c r="BA1114" s="82" t="s">
        <v>17385</v>
      </c>
      <c r="BB1114" s="82" t="s">
        <v>17385</v>
      </c>
      <c r="BC1114" s="82" t="s">
        <v>14209</v>
      </c>
      <c r="BD1114" s="82" t="s">
        <v>17550</v>
      </c>
      <c r="BE1114" s="77"/>
      <c r="BF1114" s="77"/>
      <c r="BG1114" s="77"/>
      <c r="BH1114" s="77"/>
      <c r="BI1114" s="77"/>
    </row>
    <row r="1115" spans="1:61" x14ac:dyDescent="0.25">
      <c r="A1115" s="62" t="s">
        <v>425</v>
      </c>
      <c r="B1115" s="62" t="s">
        <v>425</v>
      </c>
      <c r="C1115" s="63"/>
      <c r="D1115" s="64"/>
      <c r="E1115" s="65"/>
      <c r="F1115" s="66"/>
      <c r="G1115" s="63"/>
      <c r="H1115" s="67"/>
      <c r="I1115" s="68"/>
      <c r="J1115" s="68"/>
      <c r="K1115" s="32"/>
      <c r="L1115" s="75">
        <v>1115</v>
      </c>
      <c r="M1115" s="75"/>
      <c r="N1115" s="70"/>
      <c r="O1115" s="77" t="s">
        <v>179</v>
      </c>
      <c r="P1115" s="79">
        <v>45103.436747685184</v>
      </c>
      <c r="Q1115" s="77" t="s">
        <v>1906</v>
      </c>
      <c r="R1115" s="77">
        <v>1</v>
      </c>
      <c r="S1115" s="77">
        <v>1</v>
      </c>
      <c r="T1115" s="77">
        <v>0</v>
      </c>
      <c r="U1115" s="77">
        <v>1</v>
      </c>
      <c r="V1115" s="77">
        <v>559</v>
      </c>
      <c r="W1115" s="82" t="s">
        <v>5474</v>
      </c>
      <c r="X1115" s="80" t="str">
        <f>HYPERLINK("https://www.seudinheiro.com/2023/colunistas/day-trade-na-b3-saiba-como-lucrar-com-acoes-da-cyrela-cyre3-26-06-miql/")</f>
        <v>https://www.seudinheiro.com/2023/colunistas/day-trade-na-b3-saiba-como-lucrar-com-acoes-da-cyrela-cyre3-26-06-miql/</v>
      </c>
      <c r="Y1115" s="77" t="s">
        <v>7102</v>
      </c>
      <c r="Z1115" s="77"/>
      <c r="AA1115" s="77"/>
      <c r="AB1115" s="77"/>
      <c r="AC1115" s="82" t="s">
        <v>8255</v>
      </c>
      <c r="AD1115" s="77" t="s">
        <v>8278</v>
      </c>
      <c r="AE1115" s="80" t="str">
        <f>HYPERLINK("https://twitter.com/seu_dinheiro_br/status/1673277152194641923")</f>
        <v>https://twitter.com/seu_dinheiro_br/status/1673277152194641923</v>
      </c>
      <c r="AF1115" s="79">
        <v>45103.436747685184</v>
      </c>
      <c r="AG1115" s="85">
        <v>45103</v>
      </c>
      <c r="AH1115" s="82" t="s">
        <v>9265</v>
      </c>
      <c r="AI1115" s="77" t="b">
        <v>0</v>
      </c>
      <c r="AJ1115" s="77"/>
      <c r="AK1115" s="77"/>
      <c r="AL1115" s="77"/>
      <c r="AM1115" s="77"/>
      <c r="AN1115" s="77"/>
      <c r="AO1115" s="77"/>
      <c r="AP1115" s="77"/>
      <c r="AQ1115" s="77"/>
      <c r="AR1115" s="77"/>
      <c r="AS1115" s="77"/>
      <c r="AT1115" s="77"/>
      <c r="AU1115" s="77"/>
      <c r="AV1115" s="80" t="str">
        <f>HYPERLINK("https://pbs.twimg.com/profile_images/1041725334431952896/uaPtkYSp_normal.jpg")</f>
        <v>https://pbs.twimg.com/profile_images/1041725334431952896/uaPtkYSp_normal.jpg</v>
      </c>
      <c r="AW1115" s="82" t="s">
        <v>14210</v>
      </c>
      <c r="AX1115" s="82" t="s">
        <v>14210</v>
      </c>
      <c r="AY1115" s="77"/>
      <c r="AZ1115" s="82" t="s">
        <v>17385</v>
      </c>
      <c r="BA1115" s="82" t="s">
        <v>17385</v>
      </c>
      <c r="BB1115" s="82" t="s">
        <v>17385</v>
      </c>
      <c r="BC1115" s="82" t="s">
        <v>14210</v>
      </c>
      <c r="BD1115" s="82" t="s">
        <v>17550</v>
      </c>
      <c r="BE1115" s="77"/>
      <c r="BF1115" s="77"/>
      <c r="BG1115" s="77"/>
      <c r="BH1115" s="77"/>
      <c r="BI1115" s="77"/>
    </row>
    <row r="1116" spans="1:61" x14ac:dyDescent="0.25">
      <c r="A1116" s="62" t="s">
        <v>425</v>
      </c>
      <c r="B1116" s="62" t="s">
        <v>425</v>
      </c>
      <c r="C1116" s="63"/>
      <c r="D1116" s="64"/>
      <c r="E1116" s="65"/>
      <c r="F1116" s="66"/>
      <c r="G1116" s="63"/>
      <c r="H1116" s="67"/>
      <c r="I1116" s="68"/>
      <c r="J1116" s="68"/>
      <c r="K1116" s="32"/>
      <c r="L1116" s="75">
        <v>1116</v>
      </c>
      <c r="M1116" s="75"/>
      <c r="N1116" s="70"/>
      <c r="O1116" s="77" t="s">
        <v>179</v>
      </c>
      <c r="P1116" s="79">
        <v>45101.513229166667</v>
      </c>
      <c r="Q1116" s="77" t="s">
        <v>1907</v>
      </c>
      <c r="R1116" s="77">
        <v>0</v>
      </c>
      <c r="S1116" s="77">
        <v>0</v>
      </c>
      <c r="T1116" s="77">
        <v>0</v>
      </c>
      <c r="U1116" s="77">
        <v>0</v>
      </c>
      <c r="V1116" s="77">
        <v>323</v>
      </c>
      <c r="W1116" s="82" t="s">
        <v>5516</v>
      </c>
      <c r="X1116" s="80" t="str">
        <f>HYPERLINK("https://www.seudinheiro.com/2023/bolsa-dolar/irb-brasil-irbr3-cvc-cvcb3-sobe-desce-bolsa-na-semana-selic-copom-ibovespa-lils/")</f>
        <v>https://www.seudinheiro.com/2023/bolsa-dolar/irb-brasil-irbr3-cvc-cvcb3-sobe-desce-bolsa-na-semana-selic-copom-ibovespa-lils/</v>
      </c>
      <c r="Y1116" s="77" t="s">
        <v>7102</v>
      </c>
      <c r="Z1116" s="77"/>
      <c r="AA1116" s="77"/>
      <c r="AB1116" s="77"/>
      <c r="AC1116" s="82" t="s">
        <v>8255</v>
      </c>
      <c r="AD1116" s="77" t="s">
        <v>8278</v>
      </c>
      <c r="AE1116" s="80" t="str">
        <f>HYPERLINK("https://twitter.com/seu_dinheiro_br/status/1672580092306812928")</f>
        <v>https://twitter.com/seu_dinheiro_br/status/1672580092306812928</v>
      </c>
      <c r="AF1116" s="79">
        <v>45101.513229166667</v>
      </c>
      <c r="AG1116" s="85">
        <v>45101</v>
      </c>
      <c r="AH1116" s="82" t="s">
        <v>9266</v>
      </c>
      <c r="AI1116" s="77" t="b">
        <v>0</v>
      </c>
      <c r="AJ1116" s="77"/>
      <c r="AK1116" s="77"/>
      <c r="AL1116" s="77"/>
      <c r="AM1116" s="77"/>
      <c r="AN1116" s="77"/>
      <c r="AO1116" s="77"/>
      <c r="AP1116" s="77"/>
      <c r="AQ1116" s="77"/>
      <c r="AR1116" s="77"/>
      <c r="AS1116" s="77"/>
      <c r="AT1116" s="77"/>
      <c r="AU1116" s="77"/>
      <c r="AV1116" s="80" t="str">
        <f>HYPERLINK("https://pbs.twimg.com/profile_images/1041725334431952896/uaPtkYSp_normal.jpg")</f>
        <v>https://pbs.twimg.com/profile_images/1041725334431952896/uaPtkYSp_normal.jpg</v>
      </c>
      <c r="AW1116" s="82" t="s">
        <v>14211</v>
      </c>
      <c r="AX1116" s="82" t="s">
        <v>14211</v>
      </c>
      <c r="AY1116" s="77"/>
      <c r="AZ1116" s="82" t="s">
        <v>17385</v>
      </c>
      <c r="BA1116" s="82" t="s">
        <v>17385</v>
      </c>
      <c r="BB1116" s="82" t="s">
        <v>17385</v>
      </c>
      <c r="BC1116" s="82" t="s">
        <v>14211</v>
      </c>
      <c r="BD1116" s="82" t="s">
        <v>17550</v>
      </c>
      <c r="BE1116" s="77"/>
      <c r="BF1116" s="77"/>
      <c r="BG1116" s="77"/>
      <c r="BH1116" s="77"/>
      <c r="BI1116" s="77"/>
    </row>
    <row r="1117" spans="1:61" x14ac:dyDescent="0.25">
      <c r="A1117" s="62" t="s">
        <v>425</v>
      </c>
      <c r="B1117" s="62" t="s">
        <v>425</v>
      </c>
      <c r="C1117" s="63"/>
      <c r="D1117" s="64"/>
      <c r="E1117" s="65"/>
      <c r="F1117" s="66"/>
      <c r="G1117" s="63"/>
      <c r="H1117" s="67"/>
      <c r="I1117" s="68"/>
      <c r="J1117" s="68"/>
      <c r="K1117" s="32"/>
      <c r="L1117" s="75">
        <v>1117</v>
      </c>
      <c r="M1117" s="75"/>
      <c r="N1117" s="70"/>
      <c r="O1117" s="77" t="s">
        <v>179</v>
      </c>
      <c r="P1117" s="79">
        <v>45100.779386574075</v>
      </c>
      <c r="Q1117" s="77" t="s">
        <v>1908</v>
      </c>
      <c r="R1117" s="77">
        <v>0</v>
      </c>
      <c r="S1117" s="77">
        <v>1</v>
      </c>
      <c r="T1117" s="77">
        <v>0</v>
      </c>
      <c r="U1117" s="77">
        <v>0</v>
      </c>
      <c r="V1117" s="77">
        <v>272</v>
      </c>
      <c r="W1117" s="82" t="s">
        <v>5547</v>
      </c>
      <c r="X1117" s="80" t="str">
        <f>HYPERLINK("https://www.seudinheiro.com/2023/empresas/yduqs-subiu-demais-jp-morgan-deixa-de-recomendar-a-compra-de-yduq3-acoes-lideram-perdas-no-ibovespa-hoje-ccgg/")</f>
        <v>https://www.seudinheiro.com/2023/empresas/yduqs-subiu-demais-jp-morgan-deixa-de-recomendar-a-compra-de-yduq3-acoes-lideram-perdas-no-ibovespa-hoje-ccgg/</v>
      </c>
      <c r="Y1117" s="77" t="s">
        <v>7102</v>
      </c>
      <c r="Z1117" s="77"/>
      <c r="AA1117" s="77"/>
      <c r="AB1117" s="77"/>
      <c r="AC1117" s="82" t="s">
        <v>8255</v>
      </c>
      <c r="AD1117" s="77" t="s">
        <v>8278</v>
      </c>
      <c r="AE1117" s="80" t="str">
        <f>HYPERLINK("https://twitter.com/seu_dinheiro_br/status/1672314156500787204")</f>
        <v>https://twitter.com/seu_dinheiro_br/status/1672314156500787204</v>
      </c>
      <c r="AF1117" s="79">
        <v>45100.779386574075</v>
      </c>
      <c r="AG1117" s="85">
        <v>45100</v>
      </c>
      <c r="AH1117" s="82" t="s">
        <v>9267</v>
      </c>
      <c r="AI1117" s="77" t="b">
        <v>0</v>
      </c>
      <c r="AJ1117" s="77"/>
      <c r="AK1117" s="77"/>
      <c r="AL1117" s="77"/>
      <c r="AM1117" s="77"/>
      <c r="AN1117" s="77"/>
      <c r="AO1117" s="77"/>
      <c r="AP1117" s="77"/>
      <c r="AQ1117" s="77"/>
      <c r="AR1117" s="77"/>
      <c r="AS1117" s="77"/>
      <c r="AT1117" s="77"/>
      <c r="AU1117" s="77"/>
      <c r="AV1117" s="80" t="str">
        <f>HYPERLINK("https://pbs.twimg.com/profile_images/1041725334431952896/uaPtkYSp_normal.jpg")</f>
        <v>https://pbs.twimg.com/profile_images/1041725334431952896/uaPtkYSp_normal.jpg</v>
      </c>
      <c r="AW1117" s="82" t="s">
        <v>14212</v>
      </c>
      <c r="AX1117" s="82" t="s">
        <v>14212</v>
      </c>
      <c r="AY1117" s="77"/>
      <c r="AZ1117" s="82" t="s">
        <v>17385</v>
      </c>
      <c r="BA1117" s="82" t="s">
        <v>17385</v>
      </c>
      <c r="BB1117" s="82" t="s">
        <v>17385</v>
      </c>
      <c r="BC1117" s="82" t="s">
        <v>14212</v>
      </c>
      <c r="BD1117" s="82" t="s">
        <v>17550</v>
      </c>
      <c r="BE1117" s="77"/>
      <c r="BF1117" s="77"/>
      <c r="BG1117" s="77"/>
      <c r="BH1117" s="77"/>
      <c r="BI1117" s="77"/>
    </row>
    <row r="1118" spans="1:61" x14ac:dyDescent="0.25">
      <c r="A1118" s="62" t="s">
        <v>425</v>
      </c>
      <c r="B1118" s="62" t="s">
        <v>425</v>
      </c>
      <c r="C1118" s="63"/>
      <c r="D1118" s="64"/>
      <c r="E1118" s="65"/>
      <c r="F1118" s="66"/>
      <c r="G1118" s="63"/>
      <c r="H1118" s="67"/>
      <c r="I1118" s="68"/>
      <c r="J1118" s="68"/>
      <c r="K1118" s="32"/>
      <c r="L1118" s="75">
        <v>1118</v>
      </c>
      <c r="M1118" s="75"/>
      <c r="N1118" s="70"/>
      <c r="O1118" s="77" t="s">
        <v>179</v>
      </c>
      <c r="P1118" s="79">
        <v>45100.663888888892</v>
      </c>
      <c r="Q1118" s="77" t="s">
        <v>1909</v>
      </c>
      <c r="R1118" s="77">
        <v>0</v>
      </c>
      <c r="S1118" s="77">
        <v>0</v>
      </c>
      <c r="T1118" s="77">
        <v>0</v>
      </c>
      <c r="U1118" s="77">
        <v>0</v>
      </c>
      <c r="V1118" s="77">
        <v>200</v>
      </c>
      <c r="W1118" s="82" t="s">
        <v>5548</v>
      </c>
      <c r="X1118" s="80" t="str">
        <f>HYPERLINK("https://www.seudinheiro.com/2023/empresas/terra-preciosa-slc-slce3-brilha-no-ibovespa-apos-reavaliacao-bilionaria-de-ativos-ccgg/")</f>
        <v>https://www.seudinheiro.com/2023/empresas/terra-preciosa-slc-slce3-brilha-no-ibovespa-apos-reavaliacao-bilionaria-de-ativos-ccgg/</v>
      </c>
      <c r="Y1118" s="77" t="s">
        <v>7102</v>
      </c>
      <c r="Z1118" s="77"/>
      <c r="AA1118" s="77"/>
      <c r="AB1118" s="77"/>
      <c r="AC1118" s="82" t="s">
        <v>8255</v>
      </c>
      <c r="AD1118" s="77" t="s">
        <v>8278</v>
      </c>
      <c r="AE1118" s="80" t="str">
        <f>HYPERLINK("https://twitter.com/seu_dinheiro_br/status/1672272300811460609")</f>
        <v>https://twitter.com/seu_dinheiro_br/status/1672272300811460609</v>
      </c>
      <c r="AF1118" s="79">
        <v>45100.663888888892</v>
      </c>
      <c r="AG1118" s="85">
        <v>45100</v>
      </c>
      <c r="AH1118" s="82" t="s">
        <v>9268</v>
      </c>
      <c r="AI1118" s="77" t="b">
        <v>0</v>
      </c>
      <c r="AJ1118" s="77"/>
      <c r="AK1118" s="77"/>
      <c r="AL1118" s="77"/>
      <c r="AM1118" s="77"/>
      <c r="AN1118" s="77"/>
      <c r="AO1118" s="77"/>
      <c r="AP1118" s="77"/>
      <c r="AQ1118" s="77"/>
      <c r="AR1118" s="77"/>
      <c r="AS1118" s="77"/>
      <c r="AT1118" s="77"/>
      <c r="AU1118" s="77"/>
      <c r="AV1118" s="80" t="str">
        <f>HYPERLINK("https://pbs.twimg.com/profile_images/1041725334431952896/uaPtkYSp_normal.jpg")</f>
        <v>https://pbs.twimg.com/profile_images/1041725334431952896/uaPtkYSp_normal.jpg</v>
      </c>
      <c r="AW1118" s="82" t="s">
        <v>14213</v>
      </c>
      <c r="AX1118" s="82" t="s">
        <v>14213</v>
      </c>
      <c r="AY1118" s="77"/>
      <c r="AZ1118" s="82" t="s">
        <v>17385</v>
      </c>
      <c r="BA1118" s="82" t="s">
        <v>17385</v>
      </c>
      <c r="BB1118" s="82" t="s">
        <v>17385</v>
      </c>
      <c r="BC1118" s="82" t="s">
        <v>14213</v>
      </c>
      <c r="BD1118" s="82" t="s">
        <v>17550</v>
      </c>
      <c r="BE1118" s="77"/>
      <c r="BF1118" s="77"/>
      <c r="BG1118" s="77"/>
      <c r="BH1118" s="77"/>
      <c r="BI1118" s="77"/>
    </row>
    <row r="1119" spans="1:61" x14ac:dyDescent="0.25">
      <c r="A1119" s="62" t="s">
        <v>425</v>
      </c>
      <c r="B1119" s="62" t="s">
        <v>425</v>
      </c>
      <c r="C1119" s="63"/>
      <c r="D1119" s="64"/>
      <c r="E1119" s="65"/>
      <c r="F1119" s="66"/>
      <c r="G1119" s="63"/>
      <c r="H1119" s="67"/>
      <c r="I1119" s="68"/>
      <c r="J1119" s="68"/>
      <c r="K1119" s="32"/>
      <c r="L1119" s="75">
        <v>1119</v>
      </c>
      <c r="M1119" s="75"/>
      <c r="N1119" s="70"/>
      <c r="O1119" s="77" t="s">
        <v>179</v>
      </c>
      <c r="P1119" s="79">
        <v>45082.541805555556</v>
      </c>
      <c r="Q1119" s="77" t="s">
        <v>1910</v>
      </c>
      <c r="R1119" s="77">
        <v>1</v>
      </c>
      <c r="S1119" s="77">
        <v>1</v>
      </c>
      <c r="T1119" s="77">
        <v>0</v>
      </c>
      <c r="U1119" s="77">
        <v>1</v>
      </c>
      <c r="V1119" s="77">
        <v>658</v>
      </c>
      <c r="W1119" s="82" t="s">
        <v>5475</v>
      </c>
      <c r="X1119" s="80" t="str">
        <f>HYPERLINK("https://www.seudinheiro.com/2023/empresas/medo-da-concorrencia-apollo-e-da-adnoc-proposta-compra-braskem-brkm5-miql/")</f>
        <v>https://www.seudinheiro.com/2023/empresas/medo-da-concorrencia-apollo-e-da-adnoc-proposta-compra-braskem-brkm5-miql/</v>
      </c>
      <c r="Y1119" s="77" t="s">
        <v>7102</v>
      </c>
      <c r="Z1119" s="77"/>
      <c r="AA1119" s="77"/>
      <c r="AB1119" s="77"/>
      <c r="AC1119" s="82" t="s">
        <v>8255</v>
      </c>
      <c r="AD1119" s="77" t="s">
        <v>8278</v>
      </c>
      <c r="AE1119" s="80" t="str">
        <f>HYPERLINK("https://twitter.com/seu_dinheiro_br/status/1665705077917601793")</f>
        <v>https://twitter.com/seu_dinheiro_br/status/1665705077917601793</v>
      </c>
      <c r="AF1119" s="79">
        <v>45082.541805555556</v>
      </c>
      <c r="AG1119" s="85">
        <v>45082</v>
      </c>
      <c r="AH1119" s="82" t="s">
        <v>9269</v>
      </c>
      <c r="AI1119" s="77" t="b">
        <v>0</v>
      </c>
      <c r="AJ1119" s="77"/>
      <c r="AK1119" s="77"/>
      <c r="AL1119" s="77"/>
      <c r="AM1119" s="77"/>
      <c r="AN1119" s="77"/>
      <c r="AO1119" s="77"/>
      <c r="AP1119" s="77"/>
      <c r="AQ1119" s="77"/>
      <c r="AR1119" s="77"/>
      <c r="AS1119" s="77"/>
      <c r="AT1119" s="77"/>
      <c r="AU1119" s="77"/>
      <c r="AV1119" s="80" t="str">
        <f>HYPERLINK("https://pbs.twimg.com/profile_images/1041725334431952896/uaPtkYSp_normal.jpg")</f>
        <v>https://pbs.twimg.com/profile_images/1041725334431952896/uaPtkYSp_normal.jpg</v>
      </c>
      <c r="AW1119" s="82" t="s">
        <v>14214</v>
      </c>
      <c r="AX1119" s="82" t="s">
        <v>14214</v>
      </c>
      <c r="AY1119" s="77"/>
      <c r="AZ1119" s="82" t="s">
        <v>17385</v>
      </c>
      <c r="BA1119" s="82" t="s">
        <v>17385</v>
      </c>
      <c r="BB1119" s="82" t="s">
        <v>17385</v>
      </c>
      <c r="BC1119" s="82" t="s">
        <v>14214</v>
      </c>
      <c r="BD1119" s="82" t="s">
        <v>17550</v>
      </c>
      <c r="BE1119" s="77"/>
      <c r="BF1119" s="77"/>
      <c r="BG1119" s="77"/>
      <c r="BH1119" s="77"/>
      <c r="BI1119" s="77"/>
    </row>
    <row r="1120" spans="1:61" x14ac:dyDescent="0.25">
      <c r="A1120" s="62" t="s">
        <v>425</v>
      </c>
      <c r="B1120" s="62" t="s">
        <v>425</v>
      </c>
      <c r="C1120" s="63"/>
      <c r="D1120" s="64"/>
      <c r="E1120" s="65"/>
      <c r="F1120" s="66"/>
      <c r="G1120" s="63"/>
      <c r="H1120" s="67"/>
      <c r="I1120" s="68"/>
      <c r="J1120" s="68"/>
      <c r="K1120" s="32"/>
      <c r="L1120" s="75">
        <v>1120</v>
      </c>
      <c r="M1120" s="75"/>
      <c r="N1120" s="70"/>
      <c r="O1120" s="77" t="s">
        <v>179</v>
      </c>
      <c r="P1120" s="79">
        <v>45082.466527777775</v>
      </c>
      <c r="Q1120" s="77" t="s">
        <v>1911</v>
      </c>
      <c r="R1120" s="77">
        <v>0</v>
      </c>
      <c r="S1120" s="77">
        <v>1</v>
      </c>
      <c r="T1120" s="77">
        <v>0</v>
      </c>
      <c r="U1120" s="77">
        <v>0</v>
      </c>
      <c r="V1120" s="77">
        <v>317</v>
      </c>
      <c r="W1120" s="82" t="s">
        <v>5474</v>
      </c>
      <c r="X1120" s="80" t="str">
        <f>HYPERLINK("https://www.seudinheiro.com/2023/colunistas/day-trade-na-b3-como-lucrar-ate-7-com-acoes-da-jbs-jbss3-05-06-miql/")</f>
        <v>https://www.seudinheiro.com/2023/colunistas/day-trade-na-b3-como-lucrar-ate-7-com-acoes-da-jbs-jbss3-05-06-miql/</v>
      </c>
      <c r="Y1120" s="77" t="s">
        <v>7102</v>
      </c>
      <c r="Z1120" s="77"/>
      <c r="AA1120" s="77"/>
      <c r="AB1120" s="77"/>
      <c r="AC1120" s="82" t="s">
        <v>8255</v>
      </c>
      <c r="AD1120" s="77" t="s">
        <v>8278</v>
      </c>
      <c r="AE1120" s="80" t="str">
        <f>HYPERLINK("https://twitter.com/seu_dinheiro_br/status/1665677797975572482")</f>
        <v>https://twitter.com/seu_dinheiro_br/status/1665677797975572482</v>
      </c>
      <c r="AF1120" s="79">
        <v>45082.466527777775</v>
      </c>
      <c r="AG1120" s="85">
        <v>45082</v>
      </c>
      <c r="AH1120" s="82" t="s">
        <v>9270</v>
      </c>
      <c r="AI1120" s="77" t="b">
        <v>0</v>
      </c>
      <c r="AJ1120" s="77"/>
      <c r="AK1120" s="77"/>
      <c r="AL1120" s="77"/>
      <c r="AM1120" s="77"/>
      <c r="AN1120" s="77"/>
      <c r="AO1120" s="77"/>
      <c r="AP1120" s="77"/>
      <c r="AQ1120" s="77"/>
      <c r="AR1120" s="77"/>
      <c r="AS1120" s="77"/>
      <c r="AT1120" s="77"/>
      <c r="AU1120" s="77"/>
      <c r="AV1120" s="80" t="str">
        <f>HYPERLINK("https://pbs.twimg.com/profile_images/1041725334431952896/uaPtkYSp_normal.jpg")</f>
        <v>https://pbs.twimg.com/profile_images/1041725334431952896/uaPtkYSp_normal.jpg</v>
      </c>
      <c r="AW1120" s="82" t="s">
        <v>14215</v>
      </c>
      <c r="AX1120" s="82" t="s">
        <v>14215</v>
      </c>
      <c r="AY1120" s="77"/>
      <c r="AZ1120" s="82" t="s">
        <v>17385</v>
      </c>
      <c r="BA1120" s="82" t="s">
        <v>17385</v>
      </c>
      <c r="BB1120" s="82" t="s">
        <v>17385</v>
      </c>
      <c r="BC1120" s="82" t="s">
        <v>14215</v>
      </c>
      <c r="BD1120" s="82" t="s">
        <v>17550</v>
      </c>
      <c r="BE1120" s="77"/>
      <c r="BF1120" s="77"/>
      <c r="BG1120" s="77"/>
      <c r="BH1120" s="77"/>
      <c r="BI1120" s="77"/>
    </row>
    <row r="1121" spans="1:61" x14ac:dyDescent="0.25">
      <c r="A1121" s="62" t="s">
        <v>425</v>
      </c>
      <c r="B1121" s="62" t="s">
        <v>425</v>
      </c>
      <c r="C1121" s="63"/>
      <c r="D1121" s="64"/>
      <c r="E1121" s="65"/>
      <c r="F1121" s="66"/>
      <c r="G1121" s="63"/>
      <c r="H1121" s="67"/>
      <c r="I1121" s="68"/>
      <c r="J1121" s="68"/>
      <c r="K1121" s="32"/>
      <c r="L1121" s="75">
        <v>1121</v>
      </c>
      <c r="M1121" s="75"/>
      <c r="N1121" s="70"/>
      <c r="O1121" s="77" t="s">
        <v>179</v>
      </c>
      <c r="P1121" s="79">
        <v>45081.630798611113</v>
      </c>
      <c r="Q1121" s="77" t="s">
        <v>1912</v>
      </c>
      <c r="R1121" s="77">
        <v>0</v>
      </c>
      <c r="S1121" s="77">
        <v>0</v>
      </c>
      <c r="T1121" s="77">
        <v>0</v>
      </c>
      <c r="U1121" s="77">
        <v>0</v>
      </c>
      <c r="V1121" s="77">
        <v>321</v>
      </c>
      <c r="W1121" s="82" t="s">
        <v>5549</v>
      </c>
      <c r="X1121" s="80" t="str">
        <f>HYPERLINK("https://www.seudinheiro.com/2023/bolsa-dolar/apostas-na-queda-do-sp-500-principal-indice-de-acoes-americano-estao-no-maior-nivel-desde-2007-diz-levantamento-julw/")</f>
        <v>https://www.seudinheiro.com/2023/bolsa-dolar/apostas-na-queda-do-sp-500-principal-indice-de-acoes-americano-estao-no-maior-nivel-desde-2007-diz-levantamento-julw/</v>
      </c>
      <c r="Y1121" s="77" t="s">
        <v>7102</v>
      </c>
      <c r="Z1121" s="77"/>
      <c r="AA1121" s="77"/>
      <c r="AB1121" s="77"/>
      <c r="AC1121" s="82" t="s">
        <v>8255</v>
      </c>
      <c r="AD1121" s="77" t="s">
        <v>8278</v>
      </c>
      <c r="AE1121" s="80" t="str">
        <f>HYPERLINK("https://twitter.com/seu_dinheiro_br/status/1665374940927873026")</f>
        <v>https://twitter.com/seu_dinheiro_br/status/1665374940927873026</v>
      </c>
      <c r="AF1121" s="79">
        <v>45081.630798611113</v>
      </c>
      <c r="AG1121" s="85">
        <v>45081</v>
      </c>
      <c r="AH1121" s="82" t="s">
        <v>9271</v>
      </c>
      <c r="AI1121" s="77" t="b">
        <v>0</v>
      </c>
      <c r="AJ1121" s="77"/>
      <c r="AK1121" s="77"/>
      <c r="AL1121" s="77"/>
      <c r="AM1121" s="77"/>
      <c r="AN1121" s="77"/>
      <c r="AO1121" s="77"/>
      <c r="AP1121" s="77"/>
      <c r="AQ1121" s="77"/>
      <c r="AR1121" s="77"/>
      <c r="AS1121" s="77"/>
      <c r="AT1121" s="77"/>
      <c r="AU1121" s="77"/>
      <c r="AV1121" s="80" t="str">
        <f>HYPERLINK("https://pbs.twimg.com/profile_images/1041725334431952896/uaPtkYSp_normal.jpg")</f>
        <v>https://pbs.twimg.com/profile_images/1041725334431952896/uaPtkYSp_normal.jpg</v>
      </c>
      <c r="AW1121" s="82" t="s">
        <v>14216</v>
      </c>
      <c r="AX1121" s="82" t="s">
        <v>14216</v>
      </c>
      <c r="AY1121" s="77"/>
      <c r="AZ1121" s="82" t="s">
        <v>17385</v>
      </c>
      <c r="BA1121" s="82" t="s">
        <v>17385</v>
      </c>
      <c r="BB1121" s="82" t="s">
        <v>17385</v>
      </c>
      <c r="BC1121" s="82" t="s">
        <v>14216</v>
      </c>
      <c r="BD1121" s="82" t="s">
        <v>17550</v>
      </c>
      <c r="BE1121" s="77"/>
      <c r="BF1121" s="77"/>
      <c r="BG1121" s="77"/>
      <c r="BH1121" s="77"/>
      <c r="BI1121" s="77"/>
    </row>
    <row r="1122" spans="1:61" x14ac:dyDescent="0.25">
      <c r="A1122" s="62" t="s">
        <v>425</v>
      </c>
      <c r="B1122" s="62" t="s">
        <v>425</v>
      </c>
      <c r="C1122" s="63"/>
      <c r="D1122" s="64"/>
      <c r="E1122" s="65"/>
      <c r="F1122" s="66"/>
      <c r="G1122" s="63"/>
      <c r="H1122" s="67"/>
      <c r="I1122" s="68"/>
      <c r="J1122" s="68"/>
      <c r="K1122" s="32"/>
      <c r="L1122" s="75">
        <v>1122</v>
      </c>
      <c r="M1122" s="75"/>
      <c r="N1122" s="70"/>
      <c r="O1122" s="77" t="s">
        <v>179</v>
      </c>
      <c r="P1122" s="79">
        <v>45081.377592592595</v>
      </c>
      <c r="Q1122" s="77" t="s">
        <v>1913</v>
      </c>
      <c r="R1122" s="77">
        <v>3</v>
      </c>
      <c r="S1122" s="77">
        <v>2</v>
      </c>
      <c r="T1122" s="77">
        <v>0</v>
      </c>
      <c r="U1122" s="77">
        <v>0</v>
      </c>
      <c r="V1122" s="77">
        <v>450</v>
      </c>
      <c r="W1122" s="82" t="s">
        <v>5550</v>
      </c>
      <c r="X1122" s="80" t="str">
        <f>HYPERLINK("https://www.seudinheiro.com/2023/empresas/eletrobras-elet3-decepciona-e-cai-15-na-b3-um-ano-depois-da-privatizacao-o-que-deu-errado-e-o-que-fazer-com-as-acoes-agora/")</f>
        <v>https://www.seudinheiro.com/2023/empresas/eletrobras-elet3-decepciona-e-cai-15-na-b3-um-ano-depois-da-privatizacao-o-que-deu-errado-e-o-que-fazer-com-as-acoes-agora/</v>
      </c>
      <c r="Y1122" s="77" t="s">
        <v>7102</v>
      </c>
      <c r="Z1122" s="77"/>
      <c r="AA1122" s="77"/>
      <c r="AB1122" s="77"/>
      <c r="AC1122" s="82" t="s">
        <v>8255</v>
      </c>
      <c r="AD1122" s="77" t="s">
        <v>8278</v>
      </c>
      <c r="AE1122" s="80" t="str">
        <f>HYPERLINK("https://twitter.com/seu_dinheiro_br/status/1665283180897742848")</f>
        <v>https://twitter.com/seu_dinheiro_br/status/1665283180897742848</v>
      </c>
      <c r="AF1122" s="79">
        <v>45081.377592592595</v>
      </c>
      <c r="AG1122" s="85">
        <v>45081</v>
      </c>
      <c r="AH1122" s="82" t="s">
        <v>9272</v>
      </c>
      <c r="AI1122" s="77" t="b">
        <v>0</v>
      </c>
      <c r="AJ1122" s="77"/>
      <c r="AK1122" s="77"/>
      <c r="AL1122" s="77"/>
      <c r="AM1122" s="77"/>
      <c r="AN1122" s="77"/>
      <c r="AO1122" s="77"/>
      <c r="AP1122" s="77"/>
      <c r="AQ1122" s="77"/>
      <c r="AR1122" s="77"/>
      <c r="AS1122" s="77"/>
      <c r="AT1122" s="77"/>
      <c r="AU1122" s="77"/>
      <c r="AV1122" s="80" t="str">
        <f>HYPERLINK("https://pbs.twimg.com/profile_images/1041725334431952896/uaPtkYSp_normal.jpg")</f>
        <v>https://pbs.twimg.com/profile_images/1041725334431952896/uaPtkYSp_normal.jpg</v>
      </c>
      <c r="AW1122" s="82" t="s">
        <v>14217</v>
      </c>
      <c r="AX1122" s="82" t="s">
        <v>14217</v>
      </c>
      <c r="AY1122" s="77"/>
      <c r="AZ1122" s="82" t="s">
        <v>17385</v>
      </c>
      <c r="BA1122" s="82" t="s">
        <v>17385</v>
      </c>
      <c r="BB1122" s="82" t="s">
        <v>17385</v>
      </c>
      <c r="BC1122" s="82" t="s">
        <v>14217</v>
      </c>
      <c r="BD1122" s="82" t="s">
        <v>17550</v>
      </c>
      <c r="BE1122" s="77"/>
      <c r="BF1122" s="77"/>
      <c r="BG1122" s="77"/>
      <c r="BH1122" s="77"/>
      <c r="BI1122" s="77"/>
    </row>
    <row r="1123" spans="1:61" x14ac:dyDescent="0.25">
      <c r="A1123" s="62" t="s">
        <v>425</v>
      </c>
      <c r="B1123" s="62" t="s">
        <v>425</v>
      </c>
      <c r="C1123" s="63"/>
      <c r="D1123" s="64"/>
      <c r="E1123" s="65"/>
      <c r="F1123" s="66"/>
      <c r="G1123" s="63"/>
      <c r="H1123" s="67"/>
      <c r="I1123" s="68"/>
      <c r="J1123" s="68"/>
      <c r="K1123" s="32"/>
      <c r="L1123" s="75">
        <v>1123</v>
      </c>
      <c r="M1123" s="75"/>
      <c r="N1123" s="70"/>
      <c r="O1123" s="77" t="s">
        <v>179</v>
      </c>
      <c r="P1123" s="79">
        <v>45080.835659722223</v>
      </c>
      <c r="Q1123" s="77" t="s">
        <v>1914</v>
      </c>
      <c r="R1123" s="77">
        <v>1</v>
      </c>
      <c r="S1123" s="77">
        <v>0</v>
      </c>
      <c r="T1123" s="77">
        <v>0</v>
      </c>
      <c r="U1123" s="77">
        <v>0</v>
      </c>
      <c r="V1123" s="77">
        <v>408</v>
      </c>
      <c r="W1123" s="82" t="s">
        <v>5551</v>
      </c>
      <c r="X1123" s="80" t="str">
        <f>HYPERLINK("https://www.seudinheiro.com/2023/bolsa-dolar/melhores-carteiras-recomendadas-de-acoes-junho-julw/")</f>
        <v>https://www.seudinheiro.com/2023/bolsa-dolar/melhores-carteiras-recomendadas-de-acoes-junho-julw/</v>
      </c>
      <c r="Y1123" s="77" t="s">
        <v>7102</v>
      </c>
      <c r="Z1123" s="77"/>
      <c r="AA1123" s="77"/>
      <c r="AB1123" s="77"/>
      <c r="AC1123" s="82" t="s">
        <v>8255</v>
      </c>
      <c r="AD1123" s="77" t="s">
        <v>8278</v>
      </c>
      <c r="AE1123" s="80" t="str">
        <f>HYPERLINK("https://twitter.com/seu_dinheiro_br/status/1665086792947703808")</f>
        <v>https://twitter.com/seu_dinheiro_br/status/1665086792947703808</v>
      </c>
      <c r="AF1123" s="79">
        <v>45080.835659722223</v>
      </c>
      <c r="AG1123" s="85">
        <v>45080</v>
      </c>
      <c r="AH1123" s="82" t="s">
        <v>9273</v>
      </c>
      <c r="AI1123" s="77" t="b">
        <v>0</v>
      </c>
      <c r="AJ1123" s="77"/>
      <c r="AK1123" s="77"/>
      <c r="AL1123" s="77"/>
      <c r="AM1123" s="77"/>
      <c r="AN1123" s="77"/>
      <c r="AO1123" s="77"/>
      <c r="AP1123" s="77"/>
      <c r="AQ1123" s="77"/>
      <c r="AR1123" s="77"/>
      <c r="AS1123" s="77"/>
      <c r="AT1123" s="77"/>
      <c r="AU1123" s="77"/>
      <c r="AV1123" s="80" t="str">
        <f>HYPERLINK("https://pbs.twimg.com/profile_images/1041725334431952896/uaPtkYSp_normal.jpg")</f>
        <v>https://pbs.twimg.com/profile_images/1041725334431952896/uaPtkYSp_normal.jpg</v>
      </c>
      <c r="AW1123" s="82" t="s">
        <v>14218</v>
      </c>
      <c r="AX1123" s="82" t="s">
        <v>14218</v>
      </c>
      <c r="AY1123" s="77"/>
      <c r="AZ1123" s="82" t="s">
        <v>17385</v>
      </c>
      <c r="BA1123" s="82" t="s">
        <v>17385</v>
      </c>
      <c r="BB1123" s="82" t="s">
        <v>17385</v>
      </c>
      <c r="BC1123" s="82" t="s">
        <v>14218</v>
      </c>
      <c r="BD1123" s="82" t="s">
        <v>17550</v>
      </c>
      <c r="BE1123" s="77"/>
      <c r="BF1123" s="77"/>
      <c r="BG1123" s="77"/>
      <c r="BH1123" s="77"/>
      <c r="BI1123" s="77"/>
    </row>
    <row r="1124" spans="1:61" x14ac:dyDescent="0.25">
      <c r="A1124" s="62" t="s">
        <v>425</v>
      </c>
      <c r="B1124" s="62" t="s">
        <v>425</v>
      </c>
      <c r="C1124" s="63"/>
      <c r="D1124" s="64"/>
      <c r="E1124" s="65"/>
      <c r="F1124" s="66"/>
      <c r="G1124" s="63"/>
      <c r="H1124" s="67"/>
      <c r="I1124" s="68"/>
      <c r="J1124" s="68"/>
      <c r="K1124" s="32"/>
      <c r="L1124" s="75">
        <v>1124</v>
      </c>
      <c r="M1124" s="75"/>
      <c r="N1124" s="70"/>
      <c r="O1124" s="77" t="s">
        <v>179</v>
      </c>
      <c r="P1124" s="79">
        <v>45080.458981481483</v>
      </c>
      <c r="Q1124" s="77" t="s">
        <v>1915</v>
      </c>
      <c r="R1124" s="77">
        <v>0</v>
      </c>
      <c r="S1124" s="77">
        <v>1</v>
      </c>
      <c r="T1124" s="77">
        <v>0</v>
      </c>
      <c r="U1124" s="77">
        <v>0</v>
      </c>
      <c r="V1124" s="77">
        <v>438</v>
      </c>
      <c r="W1124" s="82" t="s">
        <v>5552</v>
      </c>
      <c r="X1124" s="80" t="str">
        <f>HYPERLINK("https://www.seudinheiro.com/2023/colunistas/prejuizo-migracao-banco-inter-b3-nasdaq-dinheirista-03-06-julw/")</f>
        <v>https://www.seudinheiro.com/2023/colunistas/prejuizo-migracao-banco-inter-b3-nasdaq-dinheirista-03-06-julw/</v>
      </c>
      <c r="Y1124" s="77" t="s">
        <v>7102</v>
      </c>
      <c r="Z1124" s="77"/>
      <c r="AA1124" s="77"/>
      <c r="AB1124" s="77"/>
      <c r="AC1124" s="82" t="s">
        <v>8255</v>
      </c>
      <c r="AD1124" s="77" t="s">
        <v>8278</v>
      </c>
      <c r="AE1124" s="80" t="str">
        <f>HYPERLINK("https://twitter.com/seu_dinheiro_br/status/1664950289521057792")</f>
        <v>https://twitter.com/seu_dinheiro_br/status/1664950289521057792</v>
      </c>
      <c r="AF1124" s="79">
        <v>45080.458981481483</v>
      </c>
      <c r="AG1124" s="85">
        <v>45080</v>
      </c>
      <c r="AH1124" s="82" t="s">
        <v>9274</v>
      </c>
      <c r="AI1124" s="77" t="b">
        <v>0</v>
      </c>
      <c r="AJ1124" s="77"/>
      <c r="AK1124" s="77"/>
      <c r="AL1124" s="77"/>
      <c r="AM1124" s="77"/>
      <c r="AN1124" s="77"/>
      <c r="AO1124" s="77"/>
      <c r="AP1124" s="77"/>
      <c r="AQ1124" s="77"/>
      <c r="AR1124" s="77"/>
      <c r="AS1124" s="77"/>
      <c r="AT1124" s="77"/>
      <c r="AU1124" s="77"/>
      <c r="AV1124" s="80" t="str">
        <f>HYPERLINK("https://pbs.twimg.com/profile_images/1041725334431952896/uaPtkYSp_normal.jpg")</f>
        <v>https://pbs.twimg.com/profile_images/1041725334431952896/uaPtkYSp_normal.jpg</v>
      </c>
      <c r="AW1124" s="82" t="s">
        <v>14219</v>
      </c>
      <c r="AX1124" s="82" t="s">
        <v>14219</v>
      </c>
      <c r="AY1124" s="77"/>
      <c r="AZ1124" s="82" t="s">
        <v>17385</v>
      </c>
      <c r="BA1124" s="82" t="s">
        <v>17385</v>
      </c>
      <c r="BB1124" s="82" t="s">
        <v>17385</v>
      </c>
      <c r="BC1124" s="82" t="s">
        <v>14219</v>
      </c>
      <c r="BD1124" s="82" t="s">
        <v>17550</v>
      </c>
      <c r="BE1124" s="77"/>
      <c r="BF1124" s="77"/>
      <c r="BG1124" s="77"/>
      <c r="BH1124" s="77"/>
      <c r="BI1124" s="77"/>
    </row>
    <row r="1125" spans="1:61" x14ac:dyDescent="0.25">
      <c r="A1125" s="62" t="s">
        <v>425</v>
      </c>
      <c r="B1125" s="62" t="s">
        <v>425</v>
      </c>
      <c r="C1125" s="63"/>
      <c r="D1125" s="64"/>
      <c r="E1125" s="65"/>
      <c r="F1125" s="66"/>
      <c r="G1125" s="63"/>
      <c r="H1125" s="67"/>
      <c r="I1125" s="68"/>
      <c r="J1125" s="68"/>
      <c r="K1125" s="32"/>
      <c r="L1125" s="75">
        <v>1125</v>
      </c>
      <c r="M1125" s="75"/>
      <c r="N1125" s="70"/>
      <c r="O1125" s="77" t="s">
        <v>179</v>
      </c>
      <c r="P1125" s="79">
        <v>45173.502800925926</v>
      </c>
      <c r="Q1125" s="77" t="s">
        <v>1916</v>
      </c>
      <c r="R1125" s="77">
        <v>0</v>
      </c>
      <c r="S1125" s="77">
        <v>2</v>
      </c>
      <c r="T1125" s="77">
        <v>0</v>
      </c>
      <c r="U1125" s="77">
        <v>0</v>
      </c>
      <c r="V1125" s="77">
        <v>257</v>
      </c>
      <c r="W1125" s="82" t="s">
        <v>5474</v>
      </c>
      <c r="X1125" s="80" t="str">
        <f>HYPERLINK("https://www.seudinheiro.com/2023/bolsa-dolar/via-viia3-assembleia-para-avaliar-aumento-de-capital-que-permitira-oferta-de-acoes-tem-nova-data-vinp/")</f>
        <v>https://www.seudinheiro.com/2023/bolsa-dolar/via-viia3-assembleia-para-avaliar-aumento-de-capital-que-permitira-oferta-de-acoes-tem-nova-data-vinp/</v>
      </c>
      <c r="Y1125" s="77" t="s">
        <v>7102</v>
      </c>
      <c r="Z1125" s="77"/>
      <c r="AA1125" s="77"/>
      <c r="AB1125" s="77"/>
      <c r="AC1125" s="82" t="s">
        <v>8255</v>
      </c>
      <c r="AD1125" s="77" t="s">
        <v>8278</v>
      </c>
      <c r="AE1125" s="80" t="str">
        <f>HYPERLINK("https://twitter.com/seu_dinheiro_br/status/1698668237485924436")</f>
        <v>https://twitter.com/seu_dinheiro_br/status/1698668237485924436</v>
      </c>
      <c r="AF1125" s="79">
        <v>45173.502800925926</v>
      </c>
      <c r="AG1125" s="85">
        <v>45173</v>
      </c>
      <c r="AH1125" s="82" t="s">
        <v>9275</v>
      </c>
      <c r="AI1125" s="77" t="b">
        <v>0</v>
      </c>
      <c r="AJ1125" s="77"/>
      <c r="AK1125" s="77"/>
      <c r="AL1125" s="77"/>
      <c r="AM1125" s="77"/>
      <c r="AN1125" s="77"/>
      <c r="AO1125" s="77"/>
      <c r="AP1125" s="77"/>
      <c r="AQ1125" s="77"/>
      <c r="AR1125" s="77"/>
      <c r="AS1125" s="77"/>
      <c r="AT1125" s="77"/>
      <c r="AU1125" s="77"/>
      <c r="AV1125" s="80" t="str">
        <f>HYPERLINK("https://pbs.twimg.com/profile_images/1041725334431952896/uaPtkYSp_normal.jpg")</f>
        <v>https://pbs.twimg.com/profile_images/1041725334431952896/uaPtkYSp_normal.jpg</v>
      </c>
      <c r="AW1125" s="82" t="s">
        <v>14220</v>
      </c>
      <c r="AX1125" s="82" t="s">
        <v>14220</v>
      </c>
      <c r="AY1125" s="77"/>
      <c r="AZ1125" s="82" t="s">
        <v>17385</v>
      </c>
      <c r="BA1125" s="82" t="s">
        <v>17385</v>
      </c>
      <c r="BB1125" s="82" t="s">
        <v>17385</v>
      </c>
      <c r="BC1125" s="82" t="s">
        <v>14220</v>
      </c>
      <c r="BD1125" s="82" t="s">
        <v>17550</v>
      </c>
      <c r="BE1125" s="77"/>
      <c r="BF1125" s="77"/>
      <c r="BG1125" s="77"/>
      <c r="BH1125" s="77"/>
      <c r="BI1125" s="77"/>
    </row>
    <row r="1126" spans="1:61" x14ac:dyDescent="0.25">
      <c r="A1126" s="62" t="s">
        <v>425</v>
      </c>
      <c r="B1126" s="62" t="s">
        <v>425</v>
      </c>
      <c r="C1126" s="63"/>
      <c r="D1126" s="64"/>
      <c r="E1126" s="65"/>
      <c r="F1126" s="66"/>
      <c r="G1126" s="63"/>
      <c r="H1126" s="67"/>
      <c r="I1126" s="68"/>
      <c r="J1126" s="68"/>
      <c r="K1126" s="32"/>
      <c r="L1126" s="75">
        <v>1126</v>
      </c>
      <c r="M1126" s="75"/>
      <c r="N1126" s="70"/>
      <c r="O1126" s="77" t="s">
        <v>179</v>
      </c>
      <c r="P1126" s="79">
        <v>45170.864733796298</v>
      </c>
      <c r="Q1126" s="77" t="s">
        <v>1917</v>
      </c>
      <c r="R1126" s="77">
        <v>0</v>
      </c>
      <c r="S1126" s="77">
        <v>2</v>
      </c>
      <c r="T1126" s="77">
        <v>0</v>
      </c>
      <c r="U1126" s="77">
        <v>0</v>
      </c>
      <c r="V1126" s="77">
        <v>391</v>
      </c>
      <c r="W1126" s="82" t="s">
        <v>5553</v>
      </c>
      <c r="X1126" s="80" t="str">
        <f>HYPERLINK("https://www.seudinheiro.com/2023/empresas/por-que-a-via-viia3-corre-risco-de-viver-o-dilema-do-irb-irbr3-em-oferta-de-acoes-vinp/")</f>
        <v>https://www.seudinheiro.com/2023/empresas/por-que-a-via-viia3-corre-risco-de-viver-o-dilema-do-irb-irbr3-em-oferta-de-acoes-vinp/</v>
      </c>
      <c r="Y1126" s="77" t="s">
        <v>7102</v>
      </c>
      <c r="Z1126" s="77"/>
      <c r="AA1126" s="77"/>
      <c r="AB1126" s="77"/>
      <c r="AC1126" s="82" t="s">
        <v>8255</v>
      </c>
      <c r="AD1126" s="77" t="s">
        <v>8278</v>
      </c>
      <c r="AE1126" s="80" t="str">
        <f>HYPERLINK("https://twitter.com/seu_dinheiro_br/status/1697712235555016789")</f>
        <v>https://twitter.com/seu_dinheiro_br/status/1697712235555016789</v>
      </c>
      <c r="AF1126" s="79">
        <v>45170.864733796298</v>
      </c>
      <c r="AG1126" s="85">
        <v>45170</v>
      </c>
      <c r="AH1126" s="82" t="s">
        <v>9276</v>
      </c>
      <c r="AI1126" s="77" t="b">
        <v>0</v>
      </c>
      <c r="AJ1126" s="77"/>
      <c r="AK1126" s="77"/>
      <c r="AL1126" s="77"/>
      <c r="AM1126" s="77"/>
      <c r="AN1126" s="77"/>
      <c r="AO1126" s="77"/>
      <c r="AP1126" s="77"/>
      <c r="AQ1126" s="77"/>
      <c r="AR1126" s="77"/>
      <c r="AS1126" s="77"/>
      <c r="AT1126" s="77"/>
      <c r="AU1126" s="77"/>
      <c r="AV1126" s="80" t="str">
        <f>HYPERLINK("https://pbs.twimg.com/profile_images/1041725334431952896/uaPtkYSp_normal.jpg")</f>
        <v>https://pbs.twimg.com/profile_images/1041725334431952896/uaPtkYSp_normal.jpg</v>
      </c>
      <c r="AW1126" s="82" t="s">
        <v>14221</v>
      </c>
      <c r="AX1126" s="82" t="s">
        <v>14221</v>
      </c>
      <c r="AY1126" s="77"/>
      <c r="AZ1126" s="82" t="s">
        <v>17385</v>
      </c>
      <c r="BA1126" s="82" t="s">
        <v>17385</v>
      </c>
      <c r="BB1126" s="82" t="s">
        <v>17385</v>
      </c>
      <c r="BC1126" s="82" t="s">
        <v>14221</v>
      </c>
      <c r="BD1126" s="82" t="s">
        <v>17550</v>
      </c>
      <c r="BE1126" s="77"/>
      <c r="BF1126" s="77"/>
      <c r="BG1126" s="77"/>
      <c r="BH1126" s="77"/>
      <c r="BI1126" s="77"/>
    </row>
    <row r="1127" spans="1:61" x14ac:dyDescent="0.25">
      <c r="A1127" s="62" t="s">
        <v>425</v>
      </c>
      <c r="B1127" s="62" t="s">
        <v>425</v>
      </c>
      <c r="C1127" s="63"/>
      <c r="D1127" s="64"/>
      <c r="E1127" s="65"/>
      <c r="F1127" s="66"/>
      <c r="G1127" s="63"/>
      <c r="H1127" s="67"/>
      <c r="I1127" s="68"/>
      <c r="J1127" s="68"/>
      <c r="K1127" s="32"/>
      <c r="L1127" s="75">
        <v>1127</v>
      </c>
      <c r="M1127" s="75"/>
      <c r="N1127" s="70"/>
      <c r="O1127" s="77" t="s">
        <v>179</v>
      </c>
      <c r="P1127" s="79">
        <v>45170.839062500003</v>
      </c>
      <c r="Q1127" s="77" t="s">
        <v>1918</v>
      </c>
      <c r="R1127" s="77">
        <v>0</v>
      </c>
      <c r="S1127" s="77">
        <v>0</v>
      </c>
      <c r="T1127" s="77">
        <v>0</v>
      </c>
      <c r="U1127" s="77">
        <v>0</v>
      </c>
      <c r="V1127" s="77">
        <v>214</v>
      </c>
      <c r="W1127" s="82" t="s">
        <v>5554</v>
      </c>
      <c r="X1127" s="80" t="str">
        <f>HYPERLINK("https://www.seudinheiro.com/2023/empresas/que-horas-ele-volta-ceo-da-xp-diz-por-que-a-pessoa-fisica-ainda-deve-levar-algum-tempo-para-investir-na-bolsa-novamente-dfon/")</f>
        <v>https://www.seudinheiro.com/2023/empresas/que-horas-ele-volta-ceo-da-xp-diz-por-que-a-pessoa-fisica-ainda-deve-levar-algum-tempo-para-investir-na-bolsa-novamente-dfon/</v>
      </c>
      <c r="Y1127" s="77" t="s">
        <v>7102</v>
      </c>
      <c r="Z1127" s="77"/>
      <c r="AA1127" s="77"/>
      <c r="AB1127" s="77"/>
      <c r="AC1127" s="82" t="s">
        <v>8255</v>
      </c>
      <c r="AD1127" s="77" t="s">
        <v>8278</v>
      </c>
      <c r="AE1127" s="80" t="str">
        <f>HYPERLINK("https://twitter.com/seu_dinheiro_br/status/1697702932517376444")</f>
        <v>https://twitter.com/seu_dinheiro_br/status/1697702932517376444</v>
      </c>
      <c r="AF1127" s="79">
        <v>45170.839062500003</v>
      </c>
      <c r="AG1127" s="85">
        <v>45170</v>
      </c>
      <c r="AH1127" s="82" t="s">
        <v>9277</v>
      </c>
      <c r="AI1127" s="77" t="b">
        <v>0</v>
      </c>
      <c r="AJ1127" s="77"/>
      <c r="AK1127" s="77"/>
      <c r="AL1127" s="77"/>
      <c r="AM1127" s="77"/>
      <c r="AN1127" s="77"/>
      <c r="AO1127" s="77"/>
      <c r="AP1127" s="77"/>
      <c r="AQ1127" s="77"/>
      <c r="AR1127" s="77"/>
      <c r="AS1127" s="77"/>
      <c r="AT1127" s="77"/>
      <c r="AU1127" s="77"/>
      <c r="AV1127" s="80" t="str">
        <f>HYPERLINK("https://pbs.twimg.com/profile_images/1041725334431952896/uaPtkYSp_normal.jpg")</f>
        <v>https://pbs.twimg.com/profile_images/1041725334431952896/uaPtkYSp_normal.jpg</v>
      </c>
      <c r="AW1127" s="82" t="s">
        <v>14222</v>
      </c>
      <c r="AX1127" s="82" t="s">
        <v>14222</v>
      </c>
      <c r="AY1127" s="77"/>
      <c r="AZ1127" s="82" t="s">
        <v>17385</v>
      </c>
      <c r="BA1127" s="82" t="s">
        <v>17385</v>
      </c>
      <c r="BB1127" s="82" t="s">
        <v>17385</v>
      </c>
      <c r="BC1127" s="82" t="s">
        <v>14222</v>
      </c>
      <c r="BD1127" s="82" t="s">
        <v>17550</v>
      </c>
      <c r="BE1127" s="77"/>
      <c r="BF1127" s="77"/>
      <c r="BG1127" s="77"/>
      <c r="BH1127" s="77"/>
      <c r="BI1127" s="77"/>
    </row>
    <row r="1128" spans="1:61" x14ac:dyDescent="0.25">
      <c r="A1128" s="62" t="s">
        <v>425</v>
      </c>
      <c r="B1128" s="62" t="s">
        <v>425</v>
      </c>
      <c r="C1128" s="63"/>
      <c r="D1128" s="64"/>
      <c r="E1128" s="65"/>
      <c r="F1128" s="66"/>
      <c r="G1128" s="63"/>
      <c r="H1128" s="67"/>
      <c r="I1128" s="68"/>
      <c r="J1128" s="68"/>
      <c r="K1128" s="32"/>
      <c r="L1128" s="75">
        <v>1128</v>
      </c>
      <c r="M1128" s="75"/>
      <c r="N1128" s="70"/>
      <c r="O1128" s="77" t="s">
        <v>179</v>
      </c>
      <c r="P1128" s="79">
        <v>45170.822997685187</v>
      </c>
      <c r="Q1128" s="77" t="s">
        <v>1919</v>
      </c>
      <c r="R1128" s="77">
        <v>0</v>
      </c>
      <c r="S1128" s="77">
        <v>1</v>
      </c>
      <c r="T1128" s="77">
        <v>0</v>
      </c>
      <c r="U1128" s="77">
        <v>0</v>
      </c>
      <c r="V1128" s="77">
        <v>300</v>
      </c>
      <c r="W1128" s="82" t="s">
        <v>5475</v>
      </c>
      <c r="X1128" s="80" t="str">
        <f>HYPERLINK("https://www.seudinheiro.com/2023/economia/fundador-da-squadra-mantem-distancia-de-small-caps-estatais-petrobras-petr4-miql/")</f>
        <v>https://www.seudinheiro.com/2023/economia/fundador-da-squadra-mantem-distancia-de-small-caps-estatais-petrobras-petr4-miql/</v>
      </c>
      <c r="Y1128" s="77" t="s">
        <v>7102</v>
      </c>
      <c r="Z1128" s="77"/>
      <c r="AA1128" s="77"/>
      <c r="AB1128" s="77"/>
      <c r="AC1128" s="82" t="s">
        <v>8255</v>
      </c>
      <c r="AD1128" s="77" t="s">
        <v>8278</v>
      </c>
      <c r="AE1128" s="80" t="str">
        <f>HYPERLINK("https://twitter.com/seu_dinheiro_br/status/1697697110429151678")</f>
        <v>https://twitter.com/seu_dinheiro_br/status/1697697110429151678</v>
      </c>
      <c r="AF1128" s="79">
        <v>45170.822997685187</v>
      </c>
      <c r="AG1128" s="85">
        <v>45170</v>
      </c>
      <c r="AH1128" s="82" t="s">
        <v>9278</v>
      </c>
      <c r="AI1128" s="77" t="b">
        <v>0</v>
      </c>
      <c r="AJ1128" s="77"/>
      <c r="AK1128" s="77"/>
      <c r="AL1128" s="77"/>
      <c r="AM1128" s="77"/>
      <c r="AN1128" s="77"/>
      <c r="AO1128" s="77"/>
      <c r="AP1128" s="77"/>
      <c r="AQ1128" s="77"/>
      <c r="AR1128" s="77"/>
      <c r="AS1128" s="77"/>
      <c r="AT1128" s="77"/>
      <c r="AU1128" s="77"/>
      <c r="AV1128" s="80" t="str">
        <f>HYPERLINK("https://pbs.twimg.com/profile_images/1041725334431952896/uaPtkYSp_normal.jpg")</f>
        <v>https://pbs.twimg.com/profile_images/1041725334431952896/uaPtkYSp_normal.jpg</v>
      </c>
      <c r="AW1128" s="82" t="s">
        <v>14223</v>
      </c>
      <c r="AX1128" s="82" t="s">
        <v>14223</v>
      </c>
      <c r="AY1128" s="77"/>
      <c r="AZ1128" s="82" t="s">
        <v>17385</v>
      </c>
      <c r="BA1128" s="82" t="s">
        <v>17385</v>
      </c>
      <c r="BB1128" s="82" t="s">
        <v>17385</v>
      </c>
      <c r="BC1128" s="82" t="s">
        <v>14223</v>
      </c>
      <c r="BD1128" s="82" t="s">
        <v>17550</v>
      </c>
      <c r="BE1128" s="77"/>
      <c r="BF1128" s="77"/>
      <c r="BG1128" s="77"/>
      <c r="BH1128" s="77"/>
      <c r="BI1128" s="77"/>
    </row>
    <row r="1129" spans="1:61" x14ac:dyDescent="0.25">
      <c r="A1129" s="62" t="s">
        <v>425</v>
      </c>
      <c r="B1129" s="62" t="s">
        <v>425</v>
      </c>
      <c r="C1129" s="63"/>
      <c r="D1129" s="64"/>
      <c r="E1129" s="65"/>
      <c r="F1129" s="66"/>
      <c r="G1129" s="63"/>
      <c r="H1129" s="67"/>
      <c r="I1129" s="68"/>
      <c r="J1129" s="68"/>
      <c r="K1129" s="32"/>
      <c r="L1129" s="75">
        <v>1129</v>
      </c>
      <c r="M1129" s="75"/>
      <c r="N1129" s="70"/>
      <c r="O1129" s="77" t="s">
        <v>179</v>
      </c>
      <c r="P1129" s="79">
        <v>45170.695868055554</v>
      </c>
      <c r="Q1129" s="77" t="s">
        <v>1920</v>
      </c>
      <c r="R1129" s="77">
        <v>0</v>
      </c>
      <c r="S1129" s="77">
        <v>0</v>
      </c>
      <c r="T1129" s="77">
        <v>0</v>
      </c>
      <c r="U1129" s="77">
        <v>0</v>
      </c>
      <c r="V1129" s="77">
        <v>274</v>
      </c>
      <c r="W1129" s="82" t="s">
        <v>5555</v>
      </c>
      <c r="X1129" s="80" t="str">
        <f>HYPERLINK("https://www.seudinheiro.com/2023/empresas/de-olho-no-novo-fies-jp-morgan-indica-compra-de-acao-do-setor-de-educacao-papel-dispara-12-na-b3-ccgg/")</f>
        <v>https://www.seudinheiro.com/2023/empresas/de-olho-no-novo-fies-jp-morgan-indica-compra-de-acao-do-setor-de-educacao-papel-dispara-12-na-b3-ccgg/</v>
      </c>
      <c r="Y1129" s="77" t="s">
        <v>7102</v>
      </c>
      <c r="Z1129" s="77"/>
      <c r="AA1129" s="77"/>
      <c r="AB1129" s="77"/>
      <c r="AC1129" s="82" t="s">
        <v>8255</v>
      </c>
      <c r="AD1129" s="77" t="s">
        <v>8278</v>
      </c>
      <c r="AE1129" s="80" t="str">
        <f>HYPERLINK("https://twitter.com/seu_dinheiro_br/status/1697651040810652040")</f>
        <v>https://twitter.com/seu_dinheiro_br/status/1697651040810652040</v>
      </c>
      <c r="AF1129" s="79">
        <v>45170.695868055554</v>
      </c>
      <c r="AG1129" s="85">
        <v>45170</v>
      </c>
      <c r="AH1129" s="82" t="s">
        <v>9279</v>
      </c>
      <c r="AI1129" s="77" t="b">
        <v>0</v>
      </c>
      <c r="AJ1129" s="77"/>
      <c r="AK1129" s="77"/>
      <c r="AL1129" s="77"/>
      <c r="AM1129" s="77"/>
      <c r="AN1129" s="77"/>
      <c r="AO1129" s="77"/>
      <c r="AP1129" s="77"/>
      <c r="AQ1129" s="77"/>
      <c r="AR1129" s="77"/>
      <c r="AS1129" s="77"/>
      <c r="AT1129" s="77"/>
      <c r="AU1129" s="77"/>
      <c r="AV1129" s="80" t="str">
        <f>HYPERLINK("https://pbs.twimg.com/profile_images/1041725334431952896/uaPtkYSp_normal.jpg")</f>
        <v>https://pbs.twimg.com/profile_images/1041725334431952896/uaPtkYSp_normal.jpg</v>
      </c>
      <c r="AW1129" s="82" t="s">
        <v>14224</v>
      </c>
      <c r="AX1129" s="82" t="s">
        <v>14224</v>
      </c>
      <c r="AY1129" s="77"/>
      <c r="AZ1129" s="82" t="s">
        <v>17385</v>
      </c>
      <c r="BA1129" s="82" t="s">
        <v>17385</v>
      </c>
      <c r="BB1129" s="82" t="s">
        <v>17385</v>
      </c>
      <c r="BC1129" s="82" t="s">
        <v>14224</v>
      </c>
      <c r="BD1129" s="82" t="s">
        <v>17550</v>
      </c>
      <c r="BE1129" s="77"/>
      <c r="BF1129" s="77"/>
      <c r="BG1129" s="77"/>
      <c r="BH1129" s="77"/>
      <c r="BI1129" s="77"/>
    </row>
    <row r="1130" spans="1:61" x14ac:dyDescent="0.25">
      <c r="A1130" s="62" t="s">
        <v>425</v>
      </c>
      <c r="B1130" s="62" t="s">
        <v>425</v>
      </c>
      <c r="C1130" s="63"/>
      <c r="D1130" s="64"/>
      <c r="E1130" s="65"/>
      <c r="F1130" s="66"/>
      <c r="G1130" s="63"/>
      <c r="H1130" s="67"/>
      <c r="I1130" s="68"/>
      <c r="J1130" s="68"/>
      <c r="K1130" s="32"/>
      <c r="L1130" s="75">
        <v>1130</v>
      </c>
      <c r="M1130" s="75"/>
      <c r="N1130" s="70"/>
      <c r="O1130" s="77" t="s">
        <v>179</v>
      </c>
      <c r="P1130" s="79">
        <v>45169.957731481481</v>
      </c>
      <c r="Q1130" s="77" t="s">
        <v>1921</v>
      </c>
      <c r="R1130" s="77">
        <v>0</v>
      </c>
      <c r="S1130" s="77">
        <v>0</v>
      </c>
      <c r="T1130" s="77">
        <v>0</v>
      </c>
      <c r="U1130" s="77">
        <v>0</v>
      </c>
      <c r="V1130" s="77">
        <v>393</v>
      </c>
      <c r="W1130" s="82" t="s">
        <v>5556</v>
      </c>
      <c r="X1130" s="80" t="str">
        <f>HYPERLINK("https://www.seudinheiro.com/2023/empresas/acordo-entre-socios-oferta-de-acoes-entra-no-radar-do-br-partners-brpr11-saiba-como-a-operacao-pode-mexer-com-os-investidores-ccgg/")</f>
        <v>https://www.seudinheiro.com/2023/empresas/acordo-entre-socios-oferta-de-acoes-entra-no-radar-do-br-partners-brpr11-saiba-como-a-operacao-pode-mexer-com-os-investidores-ccgg/</v>
      </c>
      <c r="Y1130" s="77" t="s">
        <v>7102</v>
      </c>
      <c r="Z1130" s="77"/>
      <c r="AA1130" s="77"/>
      <c r="AB1130" s="77"/>
      <c r="AC1130" s="82" t="s">
        <v>8255</v>
      </c>
      <c r="AD1130" s="77" t="s">
        <v>8278</v>
      </c>
      <c r="AE1130" s="80" t="str">
        <f>HYPERLINK("https://twitter.com/seu_dinheiro_br/status/1697383548817158348")</f>
        <v>https://twitter.com/seu_dinheiro_br/status/1697383548817158348</v>
      </c>
      <c r="AF1130" s="79">
        <v>45169.957731481481</v>
      </c>
      <c r="AG1130" s="85">
        <v>45169</v>
      </c>
      <c r="AH1130" s="82" t="s">
        <v>9280</v>
      </c>
      <c r="AI1130" s="77" t="b">
        <v>0</v>
      </c>
      <c r="AJ1130" s="77"/>
      <c r="AK1130" s="77"/>
      <c r="AL1130" s="77"/>
      <c r="AM1130" s="77"/>
      <c r="AN1130" s="77"/>
      <c r="AO1130" s="77"/>
      <c r="AP1130" s="77"/>
      <c r="AQ1130" s="77"/>
      <c r="AR1130" s="77"/>
      <c r="AS1130" s="77"/>
      <c r="AT1130" s="77"/>
      <c r="AU1130" s="77"/>
      <c r="AV1130" s="80" t="str">
        <f>HYPERLINK("https://pbs.twimg.com/profile_images/1041725334431952896/uaPtkYSp_normal.jpg")</f>
        <v>https://pbs.twimg.com/profile_images/1041725334431952896/uaPtkYSp_normal.jpg</v>
      </c>
      <c r="AW1130" s="82" t="s">
        <v>14225</v>
      </c>
      <c r="AX1130" s="82" t="s">
        <v>14225</v>
      </c>
      <c r="AY1130" s="77"/>
      <c r="AZ1130" s="82" t="s">
        <v>17385</v>
      </c>
      <c r="BA1130" s="82" t="s">
        <v>17385</v>
      </c>
      <c r="BB1130" s="82" t="s">
        <v>17385</v>
      </c>
      <c r="BC1130" s="82" t="s">
        <v>14225</v>
      </c>
      <c r="BD1130" s="82" t="s">
        <v>17550</v>
      </c>
      <c r="BE1130" s="77"/>
      <c r="BF1130" s="77"/>
      <c r="BG1130" s="77"/>
      <c r="BH1130" s="77"/>
      <c r="BI1130" s="77"/>
    </row>
    <row r="1131" spans="1:61" x14ac:dyDescent="0.25">
      <c r="A1131" s="62" t="s">
        <v>425</v>
      </c>
      <c r="B1131" s="62" t="s">
        <v>425</v>
      </c>
      <c r="C1131" s="63"/>
      <c r="D1131" s="64"/>
      <c r="E1131" s="65"/>
      <c r="F1131" s="66"/>
      <c r="G1131" s="63"/>
      <c r="H1131" s="67"/>
      <c r="I1131" s="68"/>
      <c r="J1131" s="68"/>
      <c r="K1131" s="32"/>
      <c r="L1131" s="75">
        <v>1131</v>
      </c>
      <c r="M1131" s="75"/>
      <c r="N1131" s="70"/>
      <c r="O1131" s="77" t="s">
        <v>179</v>
      </c>
      <c r="P1131" s="79">
        <v>45169.927152777775</v>
      </c>
      <c r="Q1131" s="77" t="s">
        <v>1922</v>
      </c>
      <c r="R1131" s="77">
        <v>0</v>
      </c>
      <c r="S1131" s="77">
        <v>1</v>
      </c>
      <c r="T1131" s="77">
        <v>0</v>
      </c>
      <c r="U1131" s="77">
        <v>0</v>
      </c>
      <c r="V1131" s="77">
        <v>366</v>
      </c>
      <c r="W1131" s="82" t="s">
        <v>5557</v>
      </c>
      <c r="X1131" s="80" t="str">
        <f>HYPERLINK("https://www.seudinheiro.com/2023/empresas/varejo-em-apuros-por-que-as-acoes-do-setor-reagiram-mal-a-nova-regra-de-credito-fiscal-do-governo-dfon/")</f>
        <v>https://www.seudinheiro.com/2023/empresas/varejo-em-apuros-por-que-as-acoes-do-setor-reagiram-mal-a-nova-regra-de-credito-fiscal-do-governo-dfon/</v>
      </c>
      <c r="Y1131" s="77" t="s">
        <v>7102</v>
      </c>
      <c r="Z1131" s="77"/>
      <c r="AA1131" s="77"/>
      <c r="AB1131" s="77"/>
      <c r="AC1131" s="82" t="s">
        <v>8255</v>
      </c>
      <c r="AD1131" s="77" t="s">
        <v>8278</v>
      </c>
      <c r="AE1131" s="80" t="str">
        <f>HYPERLINK("https://twitter.com/seu_dinheiro_br/status/1697372467440877830")</f>
        <v>https://twitter.com/seu_dinheiro_br/status/1697372467440877830</v>
      </c>
      <c r="AF1131" s="79">
        <v>45169.927152777775</v>
      </c>
      <c r="AG1131" s="85">
        <v>45169</v>
      </c>
      <c r="AH1131" s="82" t="s">
        <v>9281</v>
      </c>
      <c r="AI1131" s="77" t="b">
        <v>0</v>
      </c>
      <c r="AJ1131" s="77"/>
      <c r="AK1131" s="77"/>
      <c r="AL1131" s="77"/>
      <c r="AM1131" s="77"/>
      <c r="AN1131" s="77"/>
      <c r="AO1131" s="77"/>
      <c r="AP1131" s="77"/>
      <c r="AQ1131" s="77"/>
      <c r="AR1131" s="77"/>
      <c r="AS1131" s="77"/>
      <c r="AT1131" s="77"/>
      <c r="AU1131" s="77"/>
      <c r="AV1131" s="80" t="str">
        <f>HYPERLINK("https://pbs.twimg.com/profile_images/1041725334431952896/uaPtkYSp_normal.jpg")</f>
        <v>https://pbs.twimg.com/profile_images/1041725334431952896/uaPtkYSp_normal.jpg</v>
      </c>
      <c r="AW1131" s="82" t="s">
        <v>14226</v>
      </c>
      <c r="AX1131" s="82" t="s">
        <v>14226</v>
      </c>
      <c r="AY1131" s="77"/>
      <c r="AZ1131" s="82" t="s">
        <v>17385</v>
      </c>
      <c r="BA1131" s="82" t="s">
        <v>17385</v>
      </c>
      <c r="BB1131" s="82" t="s">
        <v>17385</v>
      </c>
      <c r="BC1131" s="82" t="s">
        <v>14226</v>
      </c>
      <c r="BD1131" s="82" t="s">
        <v>17550</v>
      </c>
      <c r="BE1131" s="77"/>
      <c r="BF1131" s="77"/>
      <c r="BG1131" s="77"/>
      <c r="BH1131" s="77"/>
      <c r="BI1131" s="77"/>
    </row>
    <row r="1132" spans="1:61" x14ac:dyDescent="0.25">
      <c r="A1132" s="62" t="s">
        <v>425</v>
      </c>
      <c r="B1132" s="62" t="s">
        <v>425</v>
      </c>
      <c r="C1132" s="63"/>
      <c r="D1132" s="64"/>
      <c r="E1132" s="65"/>
      <c r="F1132" s="66"/>
      <c r="G1132" s="63"/>
      <c r="H1132" s="67"/>
      <c r="I1132" s="68"/>
      <c r="J1132" s="68"/>
      <c r="K1132" s="32"/>
      <c r="L1132" s="75">
        <v>1132</v>
      </c>
      <c r="M1132" s="75"/>
      <c r="N1132" s="70"/>
      <c r="O1132" s="77" t="s">
        <v>179</v>
      </c>
      <c r="P1132" s="79">
        <v>45168.963275462964</v>
      </c>
      <c r="Q1132" s="77" t="s">
        <v>1923</v>
      </c>
      <c r="R1132" s="77">
        <v>0</v>
      </c>
      <c r="S1132" s="77">
        <v>0</v>
      </c>
      <c r="T1132" s="77">
        <v>0</v>
      </c>
      <c r="U1132" s="77">
        <v>0</v>
      </c>
      <c r="V1132" s="77">
        <v>429</v>
      </c>
      <c r="W1132" s="82" t="s">
        <v>4835</v>
      </c>
      <c r="X1132" s="80" t="str">
        <f>HYPERLINK("https://www.seudinheiro.com/2023/colunistas/rodolfo-amstalden-vista-seu-bone-vermelho-e-entre-na-floresta-ccgg/")</f>
        <v>https://www.seudinheiro.com/2023/colunistas/rodolfo-amstalden-vista-seu-bone-vermelho-e-entre-na-floresta-ccgg/</v>
      </c>
      <c r="Y1132" s="77" t="s">
        <v>7102</v>
      </c>
      <c r="Z1132" s="77"/>
      <c r="AA1132" s="77"/>
      <c r="AB1132" s="77"/>
      <c r="AC1132" s="82" t="s">
        <v>8255</v>
      </c>
      <c r="AD1132" s="77" t="s">
        <v>8278</v>
      </c>
      <c r="AE1132" s="80" t="str">
        <f>HYPERLINK("https://twitter.com/seu_dinheiro_br/status/1697023171881226376")</f>
        <v>https://twitter.com/seu_dinheiro_br/status/1697023171881226376</v>
      </c>
      <c r="AF1132" s="79">
        <v>45168.963275462964</v>
      </c>
      <c r="AG1132" s="85">
        <v>45168</v>
      </c>
      <c r="AH1132" s="82" t="s">
        <v>9282</v>
      </c>
      <c r="AI1132" s="77" t="b">
        <v>0</v>
      </c>
      <c r="AJ1132" s="77"/>
      <c r="AK1132" s="77"/>
      <c r="AL1132" s="77"/>
      <c r="AM1132" s="77"/>
      <c r="AN1132" s="77"/>
      <c r="AO1132" s="77"/>
      <c r="AP1132" s="77"/>
      <c r="AQ1132" s="77"/>
      <c r="AR1132" s="77"/>
      <c r="AS1132" s="77"/>
      <c r="AT1132" s="77"/>
      <c r="AU1132" s="77"/>
      <c r="AV1132" s="80" t="str">
        <f>HYPERLINK("https://pbs.twimg.com/profile_images/1041725334431952896/uaPtkYSp_normal.jpg")</f>
        <v>https://pbs.twimg.com/profile_images/1041725334431952896/uaPtkYSp_normal.jpg</v>
      </c>
      <c r="AW1132" s="82" t="s">
        <v>14227</v>
      </c>
      <c r="AX1132" s="82" t="s">
        <v>14227</v>
      </c>
      <c r="AY1132" s="77"/>
      <c r="AZ1132" s="82" t="s">
        <v>17385</v>
      </c>
      <c r="BA1132" s="82" t="s">
        <v>17385</v>
      </c>
      <c r="BB1132" s="82" t="s">
        <v>17385</v>
      </c>
      <c r="BC1132" s="82" t="s">
        <v>14227</v>
      </c>
      <c r="BD1132" s="82" t="s">
        <v>17550</v>
      </c>
      <c r="BE1132" s="77"/>
      <c r="BF1132" s="77"/>
      <c r="BG1132" s="77"/>
      <c r="BH1132" s="77"/>
      <c r="BI1132" s="77"/>
    </row>
    <row r="1133" spans="1:61" x14ac:dyDescent="0.25">
      <c r="A1133" s="62" t="s">
        <v>425</v>
      </c>
      <c r="B1133" s="62" t="s">
        <v>425</v>
      </c>
      <c r="C1133" s="63"/>
      <c r="D1133" s="64"/>
      <c r="E1133" s="65"/>
      <c r="F1133" s="66"/>
      <c r="G1133" s="63"/>
      <c r="H1133" s="67"/>
      <c r="I1133" s="68"/>
      <c r="J1133" s="68"/>
      <c r="K1133" s="32"/>
      <c r="L1133" s="75">
        <v>1133</v>
      </c>
      <c r="M1133" s="75"/>
      <c r="N1133" s="70"/>
      <c r="O1133" s="77" t="s">
        <v>179</v>
      </c>
      <c r="P1133" s="79">
        <v>45166.435486111113</v>
      </c>
      <c r="Q1133" s="77" t="s">
        <v>1924</v>
      </c>
      <c r="R1133" s="77">
        <v>0</v>
      </c>
      <c r="S1133" s="77">
        <v>1</v>
      </c>
      <c r="T1133" s="77">
        <v>0</v>
      </c>
      <c r="U1133" s="77">
        <v>0</v>
      </c>
      <c r="V1133" s="77">
        <v>356</v>
      </c>
      <c r="W1133" s="82" t="s">
        <v>5475</v>
      </c>
      <c r="X1133" s="80" t="str">
        <f>HYPERLINK("https://www.seudinheiro.com/2023/colunistas/day-trade-na-b3-como-lucrar-com-acao-da-slc-agricola-slce3-hoje-28-08-miql/")</f>
        <v>https://www.seudinheiro.com/2023/colunistas/day-trade-na-b3-como-lucrar-com-acao-da-slc-agricola-slce3-hoje-28-08-miql/</v>
      </c>
      <c r="Y1133" s="77" t="s">
        <v>7102</v>
      </c>
      <c r="Z1133" s="77"/>
      <c r="AA1133" s="77"/>
      <c r="AB1133" s="77"/>
      <c r="AC1133" s="82" t="s">
        <v>8255</v>
      </c>
      <c r="AD1133" s="77" t="s">
        <v>8278</v>
      </c>
      <c r="AE1133" s="80" t="str">
        <f>HYPERLINK("https://twitter.com/seu_dinheiro_br/status/1696107130334388705")</f>
        <v>https://twitter.com/seu_dinheiro_br/status/1696107130334388705</v>
      </c>
      <c r="AF1133" s="79">
        <v>45166.435486111113</v>
      </c>
      <c r="AG1133" s="85">
        <v>45166</v>
      </c>
      <c r="AH1133" s="82" t="s">
        <v>9283</v>
      </c>
      <c r="AI1133" s="77" t="b">
        <v>0</v>
      </c>
      <c r="AJ1133" s="77"/>
      <c r="AK1133" s="77"/>
      <c r="AL1133" s="77"/>
      <c r="AM1133" s="77"/>
      <c r="AN1133" s="77"/>
      <c r="AO1133" s="77"/>
      <c r="AP1133" s="77"/>
      <c r="AQ1133" s="77"/>
      <c r="AR1133" s="77"/>
      <c r="AS1133" s="77"/>
      <c r="AT1133" s="77"/>
      <c r="AU1133" s="77"/>
      <c r="AV1133" s="80" t="str">
        <f>HYPERLINK("https://pbs.twimg.com/profile_images/1041725334431952896/uaPtkYSp_normal.jpg")</f>
        <v>https://pbs.twimg.com/profile_images/1041725334431952896/uaPtkYSp_normal.jpg</v>
      </c>
      <c r="AW1133" s="82" t="s">
        <v>14228</v>
      </c>
      <c r="AX1133" s="82" t="s">
        <v>14228</v>
      </c>
      <c r="AY1133" s="77"/>
      <c r="AZ1133" s="82" t="s">
        <v>17385</v>
      </c>
      <c r="BA1133" s="82" t="s">
        <v>17385</v>
      </c>
      <c r="BB1133" s="82" t="s">
        <v>17385</v>
      </c>
      <c r="BC1133" s="82" t="s">
        <v>14228</v>
      </c>
      <c r="BD1133" s="82" t="s">
        <v>17550</v>
      </c>
      <c r="BE1133" s="77"/>
      <c r="BF1133" s="77"/>
      <c r="BG1133" s="77"/>
      <c r="BH1133" s="77"/>
      <c r="BI1133" s="77"/>
    </row>
    <row r="1134" spans="1:61" x14ac:dyDescent="0.25">
      <c r="A1134" s="62" t="s">
        <v>425</v>
      </c>
      <c r="B1134" s="62" t="s">
        <v>425</v>
      </c>
      <c r="C1134" s="63"/>
      <c r="D1134" s="64"/>
      <c r="E1134" s="65"/>
      <c r="F1134" s="66"/>
      <c r="G1134" s="63"/>
      <c r="H1134" s="67"/>
      <c r="I1134" s="68"/>
      <c r="J1134" s="68"/>
      <c r="K1134" s="32"/>
      <c r="L1134" s="75">
        <v>1134</v>
      </c>
      <c r="M1134" s="75"/>
      <c r="N1134" s="70"/>
      <c r="O1134" s="77" t="s">
        <v>179</v>
      </c>
      <c r="P1134" s="79">
        <v>45160.668599537035</v>
      </c>
      <c r="Q1134" s="77" t="s">
        <v>1925</v>
      </c>
      <c r="R1134" s="77">
        <v>0</v>
      </c>
      <c r="S1134" s="77">
        <v>1</v>
      </c>
      <c r="T1134" s="77">
        <v>0</v>
      </c>
      <c r="U1134" s="77">
        <v>0</v>
      </c>
      <c r="V1134" s="77">
        <v>361</v>
      </c>
      <c r="W1134" s="82" t="s">
        <v>5482</v>
      </c>
      <c r="X1134" s="80" t="str">
        <f>HYPERLINK("https://www.seudinheiro.com/2023/colunistas/oportunidades-em-acoes-na-b3-quedas-do-ibovespa-em-agosto-miql/")</f>
        <v>https://www.seudinheiro.com/2023/colunistas/oportunidades-em-acoes-na-b3-quedas-do-ibovespa-em-agosto-miql/</v>
      </c>
      <c r="Y1134" s="77" t="s">
        <v>7102</v>
      </c>
      <c r="Z1134" s="77"/>
      <c r="AA1134" s="77"/>
      <c r="AB1134" s="77"/>
      <c r="AC1134" s="82" t="s">
        <v>8255</v>
      </c>
      <c r="AD1134" s="77" t="s">
        <v>8278</v>
      </c>
      <c r="AE1134" s="80" t="str">
        <f>HYPERLINK("https://twitter.com/seu_dinheiro_br/status/1694017281615970582")</f>
        <v>https://twitter.com/seu_dinheiro_br/status/1694017281615970582</v>
      </c>
      <c r="AF1134" s="79">
        <v>45160.668599537035</v>
      </c>
      <c r="AG1134" s="85">
        <v>45160</v>
      </c>
      <c r="AH1134" s="82" t="s">
        <v>9284</v>
      </c>
      <c r="AI1134" s="77" t="b">
        <v>0</v>
      </c>
      <c r="AJ1134" s="77"/>
      <c r="AK1134" s="77"/>
      <c r="AL1134" s="77"/>
      <c r="AM1134" s="77"/>
      <c r="AN1134" s="77"/>
      <c r="AO1134" s="77"/>
      <c r="AP1134" s="77"/>
      <c r="AQ1134" s="77"/>
      <c r="AR1134" s="77"/>
      <c r="AS1134" s="77"/>
      <c r="AT1134" s="77"/>
      <c r="AU1134" s="77"/>
      <c r="AV1134" s="80" t="str">
        <f>HYPERLINK("https://pbs.twimg.com/profile_images/1041725334431952896/uaPtkYSp_normal.jpg")</f>
        <v>https://pbs.twimg.com/profile_images/1041725334431952896/uaPtkYSp_normal.jpg</v>
      </c>
      <c r="AW1134" s="82" t="s">
        <v>14229</v>
      </c>
      <c r="AX1134" s="82" t="s">
        <v>14229</v>
      </c>
      <c r="AY1134" s="77"/>
      <c r="AZ1134" s="82" t="s">
        <v>17385</v>
      </c>
      <c r="BA1134" s="82" t="s">
        <v>17385</v>
      </c>
      <c r="BB1134" s="82" t="s">
        <v>17385</v>
      </c>
      <c r="BC1134" s="82" t="s">
        <v>14229</v>
      </c>
      <c r="BD1134" s="82" t="s">
        <v>17550</v>
      </c>
      <c r="BE1134" s="77"/>
      <c r="BF1134" s="77"/>
      <c r="BG1134" s="77"/>
      <c r="BH1134" s="77"/>
      <c r="BI1134" s="77"/>
    </row>
    <row r="1135" spans="1:61" x14ac:dyDescent="0.25">
      <c r="A1135" s="62" t="s">
        <v>425</v>
      </c>
      <c r="B1135" s="62" t="s">
        <v>425</v>
      </c>
      <c r="C1135" s="63"/>
      <c r="D1135" s="64"/>
      <c r="E1135" s="65"/>
      <c r="F1135" s="66"/>
      <c r="G1135" s="63"/>
      <c r="H1135" s="67"/>
      <c r="I1135" s="68"/>
      <c r="J1135" s="68"/>
      <c r="K1135" s="32"/>
      <c r="L1135" s="75">
        <v>1135</v>
      </c>
      <c r="M1135" s="75"/>
      <c r="N1135" s="70"/>
      <c r="O1135" s="77" t="s">
        <v>179</v>
      </c>
      <c r="P1135" s="79">
        <v>45159.436944444446</v>
      </c>
      <c r="Q1135" s="77" t="s">
        <v>1926</v>
      </c>
      <c r="R1135" s="77">
        <v>1</v>
      </c>
      <c r="S1135" s="77">
        <v>2</v>
      </c>
      <c r="T1135" s="77">
        <v>0</v>
      </c>
      <c r="U1135" s="77">
        <v>0</v>
      </c>
      <c r="V1135" s="77">
        <v>330</v>
      </c>
      <c r="W1135" s="82" t="s">
        <v>5475</v>
      </c>
      <c r="X1135" s="80" t="str">
        <f>HYPERLINK("https://www.seudinheiro.com/2023/colunistas/day-trade-na-b3-acao-da-equatorial-eqtl3-pode-render-lucro-hoje-21-08-miql/")</f>
        <v>https://www.seudinheiro.com/2023/colunistas/day-trade-na-b3-acao-da-equatorial-eqtl3-pode-render-lucro-hoje-21-08-miql/</v>
      </c>
      <c r="Y1135" s="77" t="s">
        <v>7102</v>
      </c>
      <c r="Z1135" s="77"/>
      <c r="AA1135" s="77"/>
      <c r="AB1135" s="77"/>
      <c r="AC1135" s="82" t="s">
        <v>8255</v>
      </c>
      <c r="AD1135" s="77" t="s">
        <v>8278</v>
      </c>
      <c r="AE1135" s="80" t="str">
        <f>HYPERLINK("https://twitter.com/seu_dinheiro_br/status/1693570942167916806")</f>
        <v>https://twitter.com/seu_dinheiro_br/status/1693570942167916806</v>
      </c>
      <c r="AF1135" s="79">
        <v>45159.436944444446</v>
      </c>
      <c r="AG1135" s="85">
        <v>45159</v>
      </c>
      <c r="AH1135" s="82" t="s">
        <v>9285</v>
      </c>
      <c r="AI1135" s="77" t="b">
        <v>0</v>
      </c>
      <c r="AJ1135" s="77"/>
      <c r="AK1135" s="77"/>
      <c r="AL1135" s="77"/>
      <c r="AM1135" s="77"/>
      <c r="AN1135" s="77"/>
      <c r="AO1135" s="77"/>
      <c r="AP1135" s="77"/>
      <c r="AQ1135" s="77"/>
      <c r="AR1135" s="77"/>
      <c r="AS1135" s="77"/>
      <c r="AT1135" s="77"/>
      <c r="AU1135" s="77"/>
      <c r="AV1135" s="80" t="str">
        <f>HYPERLINK("https://pbs.twimg.com/profile_images/1041725334431952896/uaPtkYSp_normal.jpg")</f>
        <v>https://pbs.twimg.com/profile_images/1041725334431952896/uaPtkYSp_normal.jpg</v>
      </c>
      <c r="AW1135" s="82" t="s">
        <v>14230</v>
      </c>
      <c r="AX1135" s="82" t="s">
        <v>14230</v>
      </c>
      <c r="AY1135" s="77"/>
      <c r="AZ1135" s="82" t="s">
        <v>17385</v>
      </c>
      <c r="BA1135" s="82" t="s">
        <v>17385</v>
      </c>
      <c r="BB1135" s="82" t="s">
        <v>17385</v>
      </c>
      <c r="BC1135" s="82" t="s">
        <v>14230</v>
      </c>
      <c r="BD1135" s="82" t="s">
        <v>17550</v>
      </c>
      <c r="BE1135" s="77"/>
      <c r="BF1135" s="77"/>
      <c r="BG1135" s="77"/>
      <c r="BH1135" s="77"/>
      <c r="BI1135" s="77"/>
    </row>
    <row r="1136" spans="1:61" x14ac:dyDescent="0.25">
      <c r="A1136" s="62" t="s">
        <v>425</v>
      </c>
      <c r="B1136" s="62" t="s">
        <v>425</v>
      </c>
      <c r="C1136" s="63"/>
      <c r="D1136" s="64"/>
      <c r="E1136" s="65"/>
      <c r="F1136" s="66"/>
      <c r="G1136" s="63"/>
      <c r="H1136" s="67"/>
      <c r="I1136" s="68"/>
      <c r="J1136" s="68"/>
      <c r="K1136" s="32"/>
      <c r="L1136" s="75">
        <v>1136</v>
      </c>
      <c r="M1136" s="75"/>
      <c r="N1136" s="70"/>
      <c r="O1136" s="77" t="s">
        <v>179</v>
      </c>
      <c r="P1136" s="79">
        <v>45157.639039351852</v>
      </c>
      <c r="Q1136" s="77" t="s">
        <v>1927</v>
      </c>
      <c r="R1136" s="77">
        <v>0</v>
      </c>
      <c r="S1136" s="77">
        <v>8</v>
      </c>
      <c r="T1136" s="77">
        <v>0</v>
      </c>
      <c r="U1136" s="77">
        <v>0</v>
      </c>
      <c r="V1136" s="77">
        <v>423</v>
      </c>
      <c r="W1136" s="82" t="s">
        <v>5558</v>
      </c>
      <c r="X1136" s="80" t="str">
        <f>HYPERLINK("https://www.seudinheiro.com/2023/internacional/bolsa-esgtrangeiros-b3-eua-rens/")</f>
        <v>https://www.seudinheiro.com/2023/internacional/bolsa-esgtrangeiros-b3-eua-rens/</v>
      </c>
      <c r="Y1136" s="77" t="s">
        <v>7102</v>
      </c>
      <c r="Z1136" s="77"/>
      <c r="AA1136" s="77"/>
      <c r="AB1136" s="77"/>
      <c r="AC1136" s="82" t="s">
        <v>8255</v>
      </c>
      <c r="AD1136" s="77" t="s">
        <v>8278</v>
      </c>
      <c r="AE1136" s="80" t="str">
        <f>HYPERLINK("https://twitter.com/seu_dinheiro_br/status/1692919404663632173")</f>
        <v>https://twitter.com/seu_dinheiro_br/status/1692919404663632173</v>
      </c>
      <c r="AF1136" s="79">
        <v>45157.639039351852</v>
      </c>
      <c r="AG1136" s="85">
        <v>45157</v>
      </c>
      <c r="AH1136" s="82" t="s">
        <v>9286</v>
      </c>
      <c r="AI1136" s="77" t="b">
        <v>0</v>
      </c>
      <c r="AJ1136" s="77"/>
      <c r="AK1136" s="77"/>
      <c r="AL1136" s="77"/>
      <c r="AM1136" s="77"/>
      <c r="AN1136" s="77"/>
      <c r="AO1136" s="77"/>
      <c r="AP1136" s="77"/>
      <c r="AQ1136" s="77"/>
      <c r="AR1136" s="77"/>
      <c r="AS1136" s="77"/>
      <c r="AT1136" s="77"/>
      <c r="AU1136" s="77"/>
      <c r="AV1136" s="80" t="str">
        <f>HYPERLINK("https://pbs.twimg.com/profile_images/1041725334431952896/uaPtkYSp_normal.jpg")</f>
        <v>https://pbs.twimg.com/profile_images/1041725334431952896/uaPtkYSp_normal.jpg</v>
      </c>
      <c r="AW1136" s="82" t="s">
        <v>14231</v>
      </c>
      <c r="AX1136" s="82" t="s">
        <v>14231</v>
      </c>
      <c r="AY1136" s="77"/>
      <c r="AZ1136" s="82" t="s">
        <v>17385</v>
      </c>
      <c r="BA1136" s="82" t="s">
        <v>17385</v>
      </c>
      <c r="BB1136" s="82" t="s">
        <v>17385</v>
      </c>
      <c r="BC1136" s="82" t="s">
        <v>14231</v>
      </c>
      <c r="BD1136" s="82" t="s">
        <v>17550</v>
      </c>
      <c r="BE1136" s="77"/>
      <c r="BF1136" s="77"/>
      <c r="BG1136" s="77"/>
      <c r="BH1136" s="77"/>
      <c r="BI1136" s="77"/>
    </row>
    <row r="1137" spans="1:61" x14ac:dyDescent="0.25">
      <c r="A1137" s="62" t="s">
        <v>425</v>
      </c>
      <c r="B1137" s="62" t="s">
        <v>425</v>
      </c>
      <c r="C1137" s="63"/>
      <c r="D1137" s="64"/>
      <c r="E1137" s="65"/>
      <c r="F1137" s="66"/>
      <c r="G1137" s="63"/>
      <c r="H1137" s="67"/>
      <c r="I1137" s="68"/>
      <c r="J1137" s="68"/>
      <c r="K1137" s="32"/>
      <c r="L1137" s="75">
        <v>1137</v>
      </c>
      <c r="M1137" s="75"/>
      <c r="N1137" s="70"/>
      <c r="O1137" s="77" t="s">
        <v>179</v>
      </c>
      <c r="P1137" s="79">
        <v>45157.584120370368</v>
      </c>
      <c r="Q1137" s="77" t="s">
        <v>1928</v>
      </c>
      <c r="R1137" s="77">
        <v>0</v>
      </c>
      <c r="S1137" s="77">
        <v>0</v>
      </c>
      <c r="T1137" s="77">
        <v>0</v>
      </c>
      <c r="U1137" s="77">
        <v>0</v>
      </c>
      <c r="V1137" s="77">
        <v>284</v>
      </c>
      <c r="W1137" s="82" t="s">
        <v>5559</v>
      </c>
      <c r="X1137" s="80" t="str">
        <f>HYPERLINK("https://www.seudinheiro.com/2023/bolsa-dolar/por-que-o-ibovespa-nao-sobe-julw/")</f>
        <v>https://www.seudinheiro.com/2023/bolsa-dolar/por-que-o-ibovespa-nao-sobe-julw/</v>
      </c>
      <c r="Y1137" s="77" t="s">
        <v>7102</v>
      </c>
      <c r="Z1137" s="77"/>
      <c r="AA1137" s="77"/>
      <c r="AB1137" s="77"/>
      <c r="AC1137" s="82" t="s">
        <v>8255</v>
      </c>
      <c r="AD1137" s="77" t="s">
        <v>8278</v>
      </c>
      <c r="AE1137" s="80" t="str">
        <f>HYPERLINK("https://twitter.com/seu_dinheiro_br/status/1692899503685132744")</f>
        <v>https://twitter.com/seu_dinheiro_br/status/1692899503685132744</v>
      </c>
      <c r="AF1137" s="79">
        <v>45157.584120370368</v>
      </c>
      <c r="AG1137" s="85">
        <v>45157</v>
      </c>
      <c r="AH1137" s="82" t="s">
        <v>9287</v>
      </c>
      <c r="AI1137" s="77" t="b">
        <v>0</v>
      </c>
      <c r="AJ1137" s="77"/>
      <c r="AK1137" s="77"/>
      <c r="AL1137" s="77"/>
      <c r="AM1137" s="77"/>
      <c r="AN1137" s="77"/>
      <c r="AO1137" s="77"/>
      <c r="AP1137" s="77"/>
      <c r="AQ1137" s="77"/>
      <c r="AR1137" s="77"/>
      <c r="AS1137" s="77"/>
      <c r="AT1137" s="77"/>
      <c r="AU1137" s="77"/>
      <c r="AV1137" s="80" t="str">
        <f>HYPERLINK("https://pbs.twimg.com/profile_images/1041725334431952896/uaPtkYSp_normal.jpg")</f>
        <v>https://pbs.twimg.com/profile_images/1041725334431952896/uaPtkYSp_normal.jpg</v>
      </c>
      <c r="AW1137" s="82" t="s">
        <v>14232</v>
      </c>
      <c r="AX1137" s="82" t="s">
        <v>14232</v>
      </c>
      <c r="AY1137" s="77"/>
      <c r="AZ1137" s="82" t="s">
        <v>17385</v>
      </c>
      <c r="BA1137" s="82" t="s">
        <v>17385</v>
      </c>
      <c r="BB1137" s="82" t="s">
        <v>17385</v>
      </c>
      <c r="BC1137" s="82" t="s">
        <v>14232</v>
      </c>
      <c r="BD1137" s="82" t="s">
        <v>17550</v>
      </c>
      <c r="BE1137" s="77"/>
      <c r="BF1137" s="77"/>
      <c r="BG1137" s="77"/>
      <c r="BH1137" s="77"/>
      <c r="BI1137" s="77"/>
    </row>
    <row r="1138" spans="1:61" x14ac:dyDescent="0.25">
      <c r="A1138" s="62" t="s">
        <v>425</v>
      </c>
      <c r="B1138" s="62" t="s">
        <v>425</v>
      </c>
      <c r="C1138" s="63"/>
      <c r="D1138" s="64"/>
      <c r="E1138" s="65"/>
      <c r="F1138" s="66"/>
      <c r="G1138" s="63"/>
      <c r="H1138" s="67"/>
      <c r="I1138" s="68"/>
      <c r="J1138" s="68"/>
      <c r="K1138" s="32"/>
      <c r="L1138" s="75">
        <v>1138</v>
      </c>
      <c r="M1138" s="75"/>
      <c r="N1138" s="70"/>
      <c r="O1138" s="77" t="s">
        <v>179</v>
      </c>
      <c r="P1138" s="79">
        <v>45157.458865740744</v>
      </c>
      <c r="Q1138" s="77" t="s">
        <v>1929</v>
      </c>
      <c r="R1138" s="77">
        <v>0</v>
      </c>
      <c r="S1138" s="77">
        <v>1</v>
      </c>
      <c r="T1138" s="77">
        <v>0</v>
      </c>
      <c r="U1138" s="77">
        <v>0</v>
      </c>
      <c r="V1138" s="77">
        <v>338</v>
      </c>
      <c r="W1138" s="82" t="s">
        <v>5560</v>
      </c>
      <c r="X1138" s="80" t="str">
        <f>HYPERLINK("https://www.seudinheiro.com/2023/colunistas/acao-pagou-dividendos-mas-eles-nao-aparecem-na-minha-conta-corretora-sumiu-com-meu-dinheiro-julw/")</f>
        <v>https://www.seudinheiro.com/2023/colunistas/acao-pagou-dividendos-mas-eles-nao-aparecem-na-minha-conta-corretora-sumiu-com-meu-dinheiro-julw/</v>
      </c>
      <c r="Y1138" s="77" t="s">
        <v>7102</v>
      </c>
      <c r="Z1138" s="77"/>
      <c r="AA1138" s="77"/>
      <c r="AB1138" s="77"/>
      <c r="AC1138" s="82" t="s">
        <v>8255</v>
      </c>
      <c r="AD1138" s="77" t="s">
        <v>8278</v>
      </c>
      <c r="AE1138" s="80" t="str">
        <f>HYPERLINK("https://twitter.com/seu_dinheiro_br/status/1692854110213616122")</f>
        <v>https://twitter.com/seu_dinheiro_br/status/1692854110213616122</v>
      </c>
      <c r="AF1138" s="79">
        <v>45157.458865740744</v>
      </c>
      <c r="AG1138" s="85">
        <v>45157</v>
      </c>
      <c r="AH1138" s="82" t="s">
        <v>8511</v>
      </c>
      <c r="AI1138" s="77" t="b">
        <v>0</v>
      </c>
      <c r="AJ1138" s="77"/>
      <c r="AK1138" s="77"/>
      <c r="AL1138" s="77"/>
      <c r="AM1138" s="77"/>
      <c r="AN1138" s="77"/>
      <c r="AO1138" s="77"/>
      <c r="AP1138" s="77"/>
      <c r="AQ1138" s="77"/>
      <c r="AR1138" s="77"/>
      <c r="AS1138" s="77"/>
      <c r="AT1138" s="77"/>
      <c r="AU1138" s="77"/>
      <c r="AV1138" s="80" t="str">
        <f>HYPERLINK("https://pbs.twimg.com/profile_images/1041725334431952896/uaPtkYSp_normal.jpg")</f>
        <v>https://pbs.twimg.com/profile_images/1041725334431952896/uaPtkYSp_normal.jpg</v>
      </c>
      <c r="AW1138" s="82" t="s">
        <v>14233</v>
      </c>
      <c r="AX1138" s="82" t="s">
        <v>14233</v>
      </c>
      <c r="AY1138" s="77"/>
      <c r="AZ1138" s="82" t="s">
        <v>17385</v>
      </c>
      <c r="BA1138" s="82" t="s">
        <v>17385</v>
      </c>
      <c r="BB1138" s="82" t="s">
        <v>17385</v>
      </c>
      <c r="BC1138" s="82" t="s">
        <v>14233</v>
      </c>
      <c r="BD1138" s="82" t="s">
        <v>17550</v>
      </c>
      <c r="BE1138" s="77"/>
      <c r="BF1138" s="77"/>
      <c r="BG1138" s="77"/>
      <c r="BH1138" s="77"/>
      <c r="BI1138" s="77"/>
    </row>
    <row r="1139" spans="1:61" x14ac:dyDescent="0.25">
      <c r="A1139" s="62" t="s">
        <v>425</v>
      </c>
      <c r="B1139" s="62" t="s">
        <v>425</v>
      </c>
      <c r="C1139" s="63"/>
      <c r="D1139" s="64"/>
      <c r="E1139" s="65"/>
      <c r="F1139" s="66"/>
      <c r="G1139" s="63"/>
      <c r="H1139" s="67"/>
      <c r="I1139" s="68"/>
      <c r="J1139" s="68"/>
      <c r="K1139" s="32"/>
      <c r="L1139" s="75">
        <v>1139</v>
      </c>
      <c r="M1139" s="75"/>
      <c r="N1139" s="70"/>
      <c r="O1139" s="77" t="s">
        <v>179</v>
      </c>
      <c r="P1139" s="79">
        <v>45152.656215277777</v>
      </c>
      <c r="Q1139" s="77" t="s">
        <v>1930</v>
      </c>
      <c r="R1139" s="77">
        <v>0</v>
      </c>
      <c r="S1139" s="77">
        <v>0</v>
      </c>
      <c r="T1139" s="77">
        <v>0</v>
      </c>
      <c r="U1139" s="77">
        <v>0</v>
      </c>
      <c r="V1139" s="77">
        <v>231</v>
      </c>
      <c r="W1139" s="82" t="s">
        <v>5561</v>
      </c>
      <c r="X1139" s="80" t="str">
        <f>HYPERLINK("https://www.seudinheiro.com/2023/patrocinado/empiricus/por-que-as-acoes-deveriam-subir-quando-a-selic-cai-esses-5-fatores-sao-os-principais-responsaveis-entenda-lbrdje212/")</f>
        <v>https://www.seudinheiro.com/2023/patrocinado/empiricus/por-que-as-acoes-deveriam-subir-quando-a-selic-cai-esses-5-fatores-sao-os-principais-responsaveis-entenda-lbrdje212/</v>
      </c>
      <c r="Y1139" s="77" t="s">
        <v>7102</v>
      </c>
      <c r="Z1139" s="77"/>
      <c r="AA1139" s="77"/>
      <c r="AB1139" s="77"/>
      <c r="AC1139" s="82" t="s">
        <v>8255</v>
      </c>
      <c r="AD1139" s="77" t="s">
        <v>8278</v>
      </c>
      <c r="AE1139" s="80" t="str">
        <f>HYPERLINK("https://twitter.com/seu_dinheiro_br/status/1691113689506856960")</f>
        <v>https://twitter.com/seu_dinheiro_br/status/1691113689506856960</v>
      </c>
      <c r="AF1139" s="79">
        <v>45152.656215277777</v>
      </c>
      <c r="AG1139" s="85">
        <v>45152</v>
      </c>
      <c r="AH1139" s="82" t="s">
        <v>9288</v>
      </c>
      <c r="AI1139" s="77" t="b">
        <v>0</v>
      </c>
      <c r="AJ1139" s="77"/>
      <c r="AK1139" s="77"/>
      <c r="AL1139" s="77"/>
      <c r="AM1139" s="77"/>
      <c r="AN1139" s="77"/>
      <c r="AO1139" s="77"/>
      <c r="AP1139" s="77"/>
      <c r="AQ1139" s="77"/>
      <c r="AR1139" s="77"/>
      <c r="AS1139" s="77"/>
      <c r="AT1139" s="77"/>
      <c r="AU1139" s="77"/>
      <c r="AV1139" s="80" t="str">
        <f>HYPERLINK("https://pbs.twimg.com/profile_images/1041725334431952896/uaPtkYSp_normal.jpg")</f>
        <v>https://pbs.twimg.com/profile_images/1041725334431952896/uaPtkYSp_normal.jpg</v>
      </c>
      <c r="AW1139" s="82" t="s">
        <v>14234</v>
      </c>
      <c r="AX1139" s="82" t="s">
        <v>14234</v>
      </c>
      <c r="AY1139" s="77"/>
      <c r="AZ1139" s="82" t="s">
        <v>17385</v>
      </c>
      <c r="BA1139" s="82" t="s">
        <v>17385</v>
      </c>
      <c r="BB1139" s="82" t="s">
        <v>17385</v>
      </c>
      <c r="BC1139" s="82" t="s">
        <v>14234</v>
      </c>
      <c r="BD1139" s="82" t="s">
        <v>17550</v>
      </c>
      <c r="BE1139" s="77"/>
      <c r="BF1139" s="77"/>
      <c r="BG1139" s="77"/>
      <c r="BH1139" s="77"/>
      <c r="BI1139" s="77"/>
    </row>
    <row r="1140" spans="1:61" x14ac:dyDescent="0.25">
      <c r="A1140" s="62" t="s">
        <v>425</v>
      </c>
      <c r="B1140" s="62" t="s">
        <v>425</v>
      </c>
      <c r="C1140" s="63"/>
      <c r="D1140" s="64"/>
      <c r="E1140" s="65"/>
      <c r="F1140" s="66"/>
      <c r="G1140" s="63"/>
      <c r="H1140" s="67"/>
      <c r="I1140" s="68"/>
      <c r="J1140" s="68"/>
      <c r="K1140" s="32"/>
      <c r="L1140" s="75">
        <v>1140</v>
      </c>
      <c r="M1140" s="75"/>
      <c r="N1140" s="70"/>
      <c r="O1140" s="77" t="s">
        <v>179</v>
      </c>
      <c r="P1140" s="79">
        <v>45152.518923611111</v>
      </c>
      <c r="Q1140" s="77" t="s">
        <v>1931</v>
      </c>
      <c r="R1140" s="77">
        <v>1</v>
      </c>
      <c r="S1140" s="77">
        <v>4</v>
      </c>
      <c r="T1140" s="77">
        <v>0</v>
      </c>
      <c r="U1140" s="77">
        <v>0</v>
      </c>
      <c r="V1140" s="77">
        <v>377</v>
      </c>
      <c r="W1140" s="82" t="s">
        <v>5492</v>
      </c>
      <c r="X1140" s="80" t="str">
        <f>HYPERLINK("https://www.seudinheiro.com/2023/empresas/inter-inbr32-lucro-2t23-vinp/")</f>
        <v>https://www.seudinheiro.com/2023/empresas/inter-inbr32-lucro-2t23-vinp/</v>
      </c>
      <c r="Y1140" s="77" t="s">
        <v>7102</v>
      </c>
      <c r="Z1140" s="77"/>
      <c r="AA1140" s="77"/>
      <c r="AB1140" s="77"/>
      <c r="AC1140" s="82" t="s">
        <v>8255</v>
      </c>
      <c r="AD1140" s="77" t="s">
        <v>8278</v>
      </c>
      <c r="AE1140" s="80" t="str">
        <f>HYPERLINK("https://twitter.com/seu_dinheiro_br/status/1691063934172971008")</f>
        <v>https://twitter.com/seu_dinheiro_br/status/1691063934172971008</v>
      </c>
      <c r="AF1140" s="79">
        <v>45152.518923611111</v>
      </c>
      <c r="AG1140" s="85">
        <v>45152</v>
      </c>
      <c r="AH1140" s="82" t="s">
        <v>9289</v>
      </c>
      <c r="AI1140" s="77" t="b">
        <v>0</v>
      </c>
      <c r="AJ1140" s="77"/>
      <c r="AK1140" s="77"/>
      <c r="AL1140" s="77"/>
      <c r="AM1140" s="77"/>
      <c r="AN1140" s="77"/>
      <c r="AO1140" s="77"/>
      <c r="AP1140" s="77"/>
      <c r="AQ1140" s="77"/>
      <c r="AR1140" s="77"/>
      <c r="AS1140" s="77"/>
      <c r="AT1140" s="77"/>
      <c r="AU1140" s="77"/>
      <c r="AV1140" s="80" t="str">
        <f>HYPERLINK("https://pbs.twimg.com/profile_images/1041725334431952896/uaPtkYSp_normal.jpg")</f>
        <v>https://pbs.twimg.com/profile_images/1041725334431952896/uaPtkYSp_normal.jpg</v>
      </c>
      <c r="AW1140" s="82" t="s">
        <v>14235</v>
      </c>
      <c r="AX1140" s="82" t="s">
        <v>14235</v>
      </c>
      <c r="AY1140" s="77"/>
      <c r="AZ1140" s="82" t="s">
        <v>17385</v>
      </c>
      <c r="BA1140" s="82" t="s">
        <v>17385</v>
      </c>
      <c r="BB1140" s="82" t="s">
        <v>17385</v>
      </c>
      <c r="BC1140" s="82" t="s">
        <v>14235</v>
      </c>
      <c r="BD1140" s="82" t="s">
        <v>17550</v>
      </c>
      <c r="BE1140" s="77"/>
      <c r="BF1140" s="77"/>
      <c r="BG1140" s="77"/>
      <c r="BH1140" s="77"/>
      <c r="BI1140" s="77"/>
    </row>
    <row r="1141" spans="1:61" x14ac:dyDescent="0.25">
      <c r="A1141" s="62" t="s">
        <v>425</v>
      </c>
      <c r="B1141" s="62" t="s">
        <v>425</v>
      </c>
      <c r="C1141" s="63"/>
      <c r="D1141" s="64"/>
      <c r="E1141" s="65"/>
      <c r="F1141" s="66"/>
      <c r="G1141" s="63"/>
      <c r="H1141" s="67"/>
      <c r="I1141" s="68"/>
      <c r="J1141" s="68"/>
      <c r="K1141" s="32"/>
      <c r="L1141" s="75">
        <v>1141</v>
      </c>
      <c r="M1141" s="75"/>
      <c r="N1141" s="70"/>
      <c r="O1141" s="77" t="s">
        <v>179</v>
      </c>
      <c r="P1141" s="79">
        <v>45152.438645833332</v>
      </c>
      <c r="Q1141" s="77" t="s">
        <v>1932</v>
      </c>
      <c r="R1141" s="77">
        <v>1</v>
      </c>
      <c r="S1141" s="77">
        <v>2</v>
      </c>
      <c r="T1141" s="77">
        <v>0</v>
      </c>
      <c r="U1141" s="77">
        <v>0</v>
      </c>
      <c r="V1141" s="77">
        <v>323</v>
      </c>
      <c r="W1141" s="82" t="s">
        <v>5475</v>
      </c>
      <c r="X1141" s="80" t="str">
        <f>HYPERLINK("https://www.seudinheiro.com/2023/colunistas/day-trade-na-b3-acao-da-randon-rapt4-pode-render-lucro-hoje-14-08-miql/")</f>
        <v>https://www.seudinheiro.com/2023/colunistas/day-trade-na-b3-acao-da-randon-rapt4-pode-render-lucro-hoje-14-08-miql/</v>
      </c>
      <c r="Y1141" s="77" t="s">
        <v>7102</v>
      </c>
      <c r="Z1141" s="77"/>
      <c r="AA1141" s="77"/>
      <c r="AB1141" s="77"/>
      <c r="AC1141" s="82" t="s">
        <v>8255</v>
      </c>
      <c r="AD1141" s="77" t="s">
        <v>8278</v>
      </c>
      <c r="AE1141" s="80" t="str">
        <f>HYPERLINK("https://twitter.com/seu_dinheiro_br/status/1691034844866678784")</f>
        <v>https://twitter.com/seu_dinheiro_br/status/1691034844866678784</v>
      </c>
      <c r="AF1141" s="79">
        <v>45152.438645833332</v>
      </c>
      <c r="AG1141" s="85">
        <v>45152</v>
      </c>
      <c r="AH1141" s="82" t="s">
        <v>9290</v>
      </c>
      <c r="AI1141" s="77" t="b">
        <v>0</v>
      </c>
      <c r="AJ1141" s="77"/>
      <c r="AK1141" s="77"/>
      <c r="AL1141" s="77"/>
      <c r="AM1141" s="77"/>
      <c r="AN1141" s="77"/>
      <c r="AO1141" s="77"/>
      <c r="AP1141" s="77"/>
      <c r="AQ1141" s="77"/>
      <c r="AR1141" s="77"/>
      <c r="AS1141" s="77"/>
      <c r="AT1141" s="77"/>
      <c r="AU1141" s="77"/>
      <c r="AV1141" s="80" t="str">
        <f>HYPERLINK("https://pbs.twimg.com/profile_images/1041725334431952896/uaPtkYSp_normal.jpg")</f>
        <v>https://pbs.twimg.com/profile_images/1041725334431952896/uaPtkYSp_normal.jpg</v>
      </c>
      <c r="AW1141" s="82" t="s">
        <v>14236</v>
      </c>
      <c r="AX1141" s="82" t="s">
        <v>14236</v>
      </c>
      <c r="AY1141" s="77"/>
      <c r="AZ1141" s="82" t="s">
        <v>17385</v>
      </c>
      <c r="BA1141" s="82" t="s">
        <v>17385</v>
      </c>
      <c r="BB1141" s="82" t="s">
        <v>17385</v>
      </c>
      <c r="BC1141" s="82" t="s">
        <v>14236</v>
      </c>
      <c r="BD1141" s="82" t="s">
        <v>17550</v>
      </c>
      <c r="BE1141" s="77"/>
      <c r="BF1141" s="77"/>
      <c r="BG1141" s="77"/>
      <c r="BH1141" s="77"/>
      <c r="BI1141" s="77"/>
    </row>
    <row r="1142" spans="1:61" x14ac:dyDescent="0.25">
      <c r="A1142" s="62" t="s">
        <v>425</v>
      </c>
      <c r="B1142" s="62" t="s">
        <v>425</v>
      </c>
      <c r="C1142" s="63"/>
      <c r="D1142" s="64"/>
      <c r="E1142" s="65"/>
      <c r="F1142" s="66"/>
      <c r="G1142" s="63"/>
      <c r="H1142" s="67"/>
      <c r="I1142" s="68"/>
      <c r="J1142" s="68"/>
      <c r="K1142" s="32"/>
      <c r="L1142" s="75">
        <v>1142</v>
      </c>
      <c r="M1142" s="75"/>
      <c r="N1142" s="70"/>
      <c r="O1142" s="77" t="s">
        <v>179</v>
      </c>
      <c r="P1142" s="79">
        <v>45148.563263888886</v>
      </c>
      <c r="Q1142" s="77" t="s">
        <v>1933</v>
      </c>
      <c r="R1142" s="77">
        <v>1</v>
      </c>
      <c r="S1142" s="77">
        <v>1</v>
      </c>
      <c r="T1142" s="77">
        <v>0</v>
      </c>
      <c r="U1142" s="77">
        <v>0</v>
      </c>
      <c r="V1142" s="77">
        <v>162</v>
      </c>
      <c r="W1142" s="82" t="s">
        <v>5475</v>
      </c>
      <c r="X1142" s="80" t="str">
        <f>HYPERLINK("https://www.seudinheiro.com/2023/economia/xo-covid-china-suspende-proibicao-de-viagens-em-grupo-miql/")</f>
        <v>https://www.seudinheiro.com/2023/economia/xo-covid-china-suspende-proibicao-de-viagens-em-grupo-miql/</v>
      </c>
      <c r="Y1142" s="77" t="s">
        <v>7102</v>
      </c>
      <c r="Z1142" s="77"/>
      <c r="AA1142" s="77"/>
      <c r="AB1142" s="77"/>
      <c r="AC1142" s="82" t="s">
        <v>8255</v>
      </c>
      <c r="AD1142" s="77" t="s">
        <v>8278</v>
      </c>
      <c r="AE1142" s="80" t="str">
        <f>HYPERLINK("https://twitter.com/seu_dinheiro_br/status/1689630454708662273")</f>
        <v>https://twitter.com/seu_dinheiro_br/status/1689630454708662273</v>
      </c>
      <c r="AF1142" s="79">
        <v>45148.563263888886</v>
      </c>
      <c r="AG1142" s="85">
        <v>45148</v>
      </c>
      <c r="AH1142" s="82" t="s">
        <v>9291</v>
      </c>
      <c r="AI1142" s="77" t="b">
        <v>0</v>
      </c>
      <c r="AJ1142" s="77"/>
      <c r="AK1142" s="77"/>
      <c r="AL1142" s="77"/>
      <c r="AM1142" s="77"/>
      <c r="AN1142" s="77"/>
      <c r="AO1142" s="77"/>
      <c r="AP1142" s="77"/>
      <c r="AQ1142" s="77"/>
      <c r="AR1142" s="77"/>
      <c r="AS1142" s="77"/>
      <c r="AT1142" s="77"/>
      <c r="AU1142" s="77"/>
      <c r="AV1142" s="80" t="str">
        <f>HYPERLINK("https://pbs.twimg.com/profile_images/1041725334431952896/uaPtkYSp_normal.jpg")</f>
        <v>https://pbs.twimg.com/profile_images/1041725334431952896/uaPtkYSp_normal.jpg</v>
      </c>
      <c r="AW1142" s="82" t="s">
        <v>14237</v>
      </c>
      <c r="AX1142" s="82" t="s">
        <v>14237</v>
      </c>
      <c r="AY1142" s="77"/>
      <c r="AZ1142" s="82" t="s">
        <v>17385</v>
      </c>
      <c r="BA1142" s="82" t="s">
        <v>17385</v>
      </c>
      <c r="BB1142" s="82" t="s">
        <v>17385</v>
      </c>
      <c r="BC1142" s="82" t="s">
        <v>14237</v>
      </c>
      <c r="BD1142" s="82" t="s">
        <v>17550</v>
      </c>
      <c r="BE1142" s="77"/>
      <c r="BF1142" s="77"/>
      <c r="BG1142" s="77"/>
      <c r="BH1142" s="77"/>
      <c r="BI1142" s="77"/>
    </row>
    <row r="1143" spans="1:61" x14ac:dyDescent="0.25">
      <c r="A1143" s="62" t="s">
        <v>425</v>
      </c>
      <c r="B1143" s="62" t="s">
        <v>425</v>
      </c>
      <c r="C1143" s="63"/>
      <c r="D1143" s="64"/>
      <c r="E1143" s="65"/>
      <c r="F1143" s="66"/>
      <c r="G1143" s="63"/>
      <c r="H1143" s="67"/>
      <c r="I1143" s="68"/>
      <c r="J1143" s="68"/>
      <c r="K1143" s="32"/>
      <c r="L1143" s="75">
        <v>1143</v>
      </c>
      <c r="M1143" s="75"/>
      <c r="N1143" s="70"/>
      <c r="O1143" s="77" t="s">
        <v>179</v>
      </c>
      <c r="P1143" s="79">
        <v>45148.444652777776</v>
      </c>
      <c r="Q1143" s="77" t="s">
        <v>1934</v>
      </c>
      <c r="R1143" s="77">
        <v>0</v>
      </c>
      <c r="S1143" s="77">
        <v>1</v>
      </c>
      <c r="T1143" s="77">
        <v>0</v>
      </c>
      <c r="U1143" s="77">
        <v>0</v>
      </c>
      <c r="V1143" s="77">
        <v>251</v>
      </c>
      <c r="W1143" s="82" t="s">
        <v>5475</v>
      </c>
      <c r="X1143" s="80" t="str">
        <f>HYPERLINK("https://www.seudinheiro.com/2023/colunistas/day-trade-na-b3-acao-da-embraer-embr3-pode-render-lucro-10-08-miql/")</f>
        <v>https://www.seudinheiro.com/2023/colunistas/day-trade-na-b3-acao-da-embraer-embr3-pode-render-lucro-10-08-miql/</v>
      </c>
      <c r="Y1143" s="77" t="s">
        <v>7102</v>
      </c>
      <c r="Z1143" s="77"/>
      <c r="AA1143" s="77"/>
      <c r="AB1143" s="77"/>
      <c r="AC1143" s="82" t="s">
        <v>8255</v>
      </c>
      <c r="AD1143" s="77" t="s">
        <v>8278</v>
      </c>
      <c r="AE1143" s="80" t="str">
        <f>HYPERLINK("https://twitter.com/seu_dinheiro_br/status/1689587469824462848")</f>
        <v>https://twitter.com/seu_dinheiro_br/status/1689587469824462848</v>
      </c>
      <c r="AF1143" s="79">
        <v>45148.444652777776</v>
      </c>
      <c r="AG1143" s="85">
        <v>45148</v>
      </c>
      <c r="AH1143" s="82" t="s">
        <v>9292</v>
      </c>
      <c r="AI1143" s="77" t="b">
        <v>0</v>
      </c>
      <c r="AJ1143" s="77"/>
      <c r="AK1143" s="77"/>
      <c r="AL1143" s="77"/>
      <c r="AM1143" s="77"/>
      <c r="AN1143" s="77"/>
      <c r="AO1143" s="77"/>
      <c r="AP1143" s="77"/>
      <c r="AQ1143" s="77"/>
      <c r="AR1143" s="77"/>
      <c r="AS1143" s="77"/>
      <c r="AT1143" s="77"/>
      <c r="AU1143" s="77"/>
      <c r="AV1143" s="80" t="str">
        <f>HYPERLINK("https://pbs.twimg.com/profile_images/1041725334431952896/uaPtkYSp_normal.jpg")</f>
        <v>https://pbs.twimg.com/profile_images/1041725334431952896/uaPtkYSp_normal.jpg</v>
      </c>
      <c r="AW1143" s="82" t="s">
        <v>14238</v>
      </c>
      <c r="AX1143" s="82" t="s">
        <v>14238</v>
      </c>
      <c r="AY1143" s="77"/>
      <c r="AZ1143" s="82" t="s">
        <v>17385</v>
      </c>
      <c r="BA1143" s="82" t="s">
        <v>17385</v>
      </c>
      <c r="BB1143" s="82" t="s">
        <v>17385</v>
      </c>
      <c r="BC1143" s="82" t="s">
        <v>14238</v>
      </c>
      <c r="BD1143" s="82" t="s">
        <v>17550</v>
      </c>
      <c r="BE1143" s="77"/>
      <c r="BF1143" s="77"/>
      <c r="BG1143" s="77"/>
      <c r="BH1143" s="77"/>
      <c r="BI1143" s="77"/>
    </row>
    <row r="1144" spans="1:61" x14ac:dyDescent="0.25">
      <c r="A1144" s="62" t="s">
        <v>425</v>
      </c>
      <c r="B1144" s="62" t="s">
        <v>425</v>
      </c>
      <c r="C1144" s="63"/>
      <c r="D1144" s="64"/>
      <c r="E1144" s="65"/>
      <c r="F1144" s="66"/>
      <c r="G1144" s="63"/>
      <c r="H1144" s="67"/>
      <c r="I1144" s="68"/>
      <c r="J1144" s="68"/>
      <c r="K1144" s="32"/>
      <c r="L1144" s="75">
        <v>1144</v>
      </c>
      <c r="M1144" s="75"/>
      <c r="N1144" s="70"/>
      <c r="O1144" s="77" t="s">
        <v>179</v>
      </c>
      <c r="P1144" s="79">
        <v>45148.437604166669</v>
      </c>
      <c r="Q1144" s="77" t="s">
        <v>1935</v>
      </c>
      <c r="R1144" s="77">
        <v>0</v>
      </c>
      <c r="S1144" s="77">
        <v>1</v>
      </c>
      <c r="T1144" s="77">
        <v>0</v>
      </c>
      <c r="U1144" s="77">
        <v>0</v>
      </c>
      <c r="V1144" s="77">
        <v>225</v>
      </c>
      <c r="W1144" s="82" t="s">
        <v>5562</v>
      </c>
      <c r="X1144" s="80" t="str">
        <f>HYPERLINK("https://www.seudinheiro.com/2023/colunistas/e-commerce-amazon-nao-valia-zero-o-que-esperar-das-acoes-da-big-tech-apos-a-disparada-vinp/")</f>
        <v>https://www.seudinheiro.com/2023/colunistas/e-commerce-amazon-nao-valia-zero-o-que-esperar-das-acoes-da-big-tech-apos-a-disparada-vinp/</v>
      </c>
      <c r="Y1144" s="77" t="s">
        <v>7102</v>
      </c>
      <c r="Z1144" s="77"/>
      <c r="AA1144" s="77"/>
      <c r="AB1144" s="77"/>
      <c r="AC1144" s="82" t="s">
        <v>8255</v>
      </c>
      <c r="AD1144" s="77" t="s">
        <v>8278</v>
      </c>
      <c r="AE1144" s="80" t="str">
        <f>HYPERLINK("https://twitter.com/seu_dinheiro_br/status/1689584914952327168")</f>
        <v>https://twitter.com/seu_dinheiro_br/status/1689584914952327168</v>
      </c>
      <c r="AF1144" s="79">
        <v>45148.437604166669</v>
      </c>
      <c r="AG1144" s="85">
        <v>45148</v>
      </c>
      <c r="AH1144" s="82" t="s">
        <v>9293</v>
      </c>
      <c r="AI1144" s="77" t="b">
        <v>0</v>
      </c>
      <c r="AJ1144" s="77"/>
      <c r="AK1144" s="77"/>
      <c r="AL1144" s="77"/>
      <c r="AM1144" s="77"/>
      <c r="AN1144" s="77"/>
      <c r="AO1144" s="77"/>
      <c r="AP1144" s="77"/>
      <c r="AQ1144" s="77"/>
      <c r="AR1144" s="77"/>
      <c r="AS1144" s="77"/>
      <c r="AT1144" s="77"/>
      <c r="AU1144" s="77"/>
      <c r="AV1144" s="80" t="str">
        <f>HYPERLINK("https://pbs.twimg.com/profile_images/1041725334431952896/uaPtkYSp_normal.jpg")</f>
        <v>https://pbs.twimg.com/profile_images/1041725334431952896/uaPtkYSp_normal.jpg</v>
      </c>
      <c r="AW1144" s="82" t="s">
        <v>14239</v>
      </c>
      <c r="AX1144" s="82" t="s">
        <v>14239</v>
      </c>
      <c r="AY1144" s="77"/>
      <c r="AZ1144" s="82" t="s">
        <v>17385</v>
      </c>
      <c r="BA1144" s="82" t="s">
        <v>17385</v>
      </c>
      <c r="BB1144" s="82" t="s">
        <v>17385</v>
      </c>
      <c r="BC1144" s="82" t="s">
        <v>14239</v>
      </c>
      <c r="BD1144" s="82" t="s">
        <v>17550</v>
      </c>
      <c r="BE1144" s="77"/>
      <c r="BF1144" s="77"/>
      <c r="BG1144" s="77"/>
      <c r="BH1144" s="77"/>
      <c r="BI1144" s="77"/>
    </row>
    <row r="1145" spans="1:61" x14ac:dyDescent="0.25">
      <c r="A1145" s="62" t="s">
        <v>425</v>
      </c>
      <c r="B1145" s="62" t="s">
        <v>425</v>
      </c>
      <c r="C1145" s="63"/>
      <c r="D1145" s="64"/>
      <c r="E1145" s="65"/>
      <c r="F1145" s="66"/>
      <c r="G1145" s="63"/>
      <c r="H1145" s="67"/>
      <c r="I1145" s="68"/>
      <c r="J1145" s="68"/>
      <c r="K1145" s="32"/>
      <c r="L1145" s="75">
        <v>1145</v>
      </c>
      <c r="M1145" s="75"/>
      <c r="N1145" s="70"/>
      <c r="O1145" s="77" t="s">
        <v>179</v>
      </c>
      <c r="P1145" s="79">
        <v>45148.375763888886</v>
      </c>
      <c r="Q1145" s="77" t="s">
        <v>1936</v>
      </c>
      <c r="R1145" s="77">
        <v>0</v>
      </c>
      <c r="S1145" s="77">
        <v>3</v>
      </c>
      <c r="T1145" s="77">
        <v>0</v>
      </c>
      <c r="U1145" s="77">
        <v>0</v>
      </c>
      <c r="V1145" s="77">
        <v>347</v>
      </c>
      <c r="W1145" s="82" t="s">
        <v>5474</v>
      </c>
      <c r="X1145" s="80" t="str">
        <f>HYPERLINK("https://www.seudinheiro.com/2023/bolsa-dolar/bolsa-agosto-queda-da-selic-4-motivos-queda-do-ibovespa-no-mes-miql-lils/")</f>
        <v>https://www.seudinheiro.com/2023/bolsa-dolar/bolsa-agosto-queda-da-selic-4-motivos-queda-do-ibovespa-no-mes-miql-lils/</v>
      </c>
      <c r="Y1145" s="77" t="s">
        <v>7102</v>
      </c>
      <c r="Z1145" s="77"/>
      <c r="AA1145" s="77"/>
      <c r="AB1145" s="77"/>
      <c r="AC1145" s="82" t="s">
        <v>8255</v>
      </c>
      <c r="AD1145" s="77" t="s">
        <v>8278</v>
      </c>
      <c r="AE1145" s="80" t="str">
        <f>HYPERLINK("https://twitter.com/seu_dinheiro_br/status/1689562505704595456")</f>
        <v>https://twitter.com/seu_dinheiro_br/status/1689562505704595456</v>
      </c>
      <c r="AF1145" s="79">
        <v>45148.375763888886</v>
      </c>
      <c r="AG1145" s="85">
        <v>45148</v>
      </c>
      <c r="AH1145" s="82" t="s">
        <v>9294</v>
      </c>
      <c r="AI1145" s="77" t="b">
        <v>0</v>
      </c>
      <c r="AJ1145" s="77"/>
      <c r="AK1145" s="77"/>
      <c r="AL1145" s="77"/>
      <c r="AM1145" s="77"/>
      <c r="AN1145" s="77"/>
      <c r="AO1145" s="77"/>
      <c r="AP1145" s="77"/>
      <c r="AQ1145" s="77"/>
      <c r="AR1145" s="77"/>
      <c r="AS1145" s="77"/>
      <c r="AT1145" s="77"/>
      <c r="AU1145" s="77"/>
      <c r="AV1145" s="80" t="str">
        <f>HYPERLINK("https://pbs.twimg.com/profile_images/1041725334431952896/uaPtkYSp_normal.jpg")</f>
        <v>https://pbs.twimg.com/profile_images/1041725334431952896/uaPtkYSp_normal.jpg</v>
      </c>
      <c r="AW1145" s="82" t="s">
        <v>14240</v>
      </c>
      <c r="AX1145" s="82" t="s">
        <v>14240</v>
      </c>
      <c r="AY1145" s="77"/>
      <c r="AZ1145" s="82" t="s">
        <v>17385</v>
      </c>
      <c r="BA1145" s="82" t="s">
        <v>17385</v>
      </c>
      <c r="BB1145" s="82" t="s">
        <v>17385</v>
      </c>
      <c r="BC1145" s="82" t="s">
        <v>14240</v>
      </c>
      <c r="BD1145" s="82" t="s">
        <v>17550</v>
      </c>
      <c r="BE1145" s="77"/>
      <c r="BF1145" s="77"/>
      <c r="BG1145" s="77"/>
      <c r="BH1145" s="77"/>
      <c r="BI1145" s="77"/>
    </row>
    <row r="1146" spans="1:61" x14ac:dyDescent="0.25">
      <c r="A1146" s="62" t="s">
        <v>425</v>
      </c>
      <c r="B1146" s="62" t="s">
        <v>425</v>
      </c>
      <c r="C1146" s="63"/>
      <c r="D1146" s="64"/>
      <c r="E1146" s="65"/>
      <c r="F1146" s="66"/>
      <c r="G1146" s="63"/>
      <c r="H1146" s="67"/>
      <c r="I1146" s="68"/>
      <c r="J1146" s="68"/>
      <c r="K1146" s="32"/>
      <c r="L1146" s="75">
        <v>1146</v>
      </c>
      <c r="M1146" s="75"/>
      <c r="N1146" s="70"/>
      <c r="O1146" s="77" t="s">
        <v>179</v>
      </c>
      <c r="P1146" s="79">
        <v>45147.856458333335</v>
      </c>
      <c r="Q1146" s="77" t="s">
        <v>1937</v>
      </c>
      <c r="R1146" s="77">
        <v>0</v>
      </c>
      <c r="S1146" s="77">
        <v>0</v>
      </c>
      <c r="T1146" s="77">
        <v>0</v>
      </c>
      <c r="U1146" s="77">
        <v>0</v>
      </c>
      <c r="V1146" s="77">
        <v>286</v>
      </c>
      <c r="W1146" s="82" t="s">
        <v>5563</v>
      </c>
      <c r="X1146" s="80" t="str">
        <f>HYPERLINK("https://www.seudinheiro.com/2023/empresas/petrobras-petr4-dividendos-acionistas-rens/")</f>
        <v>https://www.seudinheiro.com/2023/empresas/petrobras-petr4-dividendos-acionistas-rens/</v>
      </c>
      <c r="Y1146" s="77" t="s">
        <v>7102</v>
      </c>
      <c r="Z1146" s="77"/>
      <c r="AA1146" s="77"/>
      <c r="AB1146" s="77"/>
      <c r="AC1146" s="82" t="s">
        <v>8255</v>
      </c>
      <c r="AD1146" s="77" t="s">
        <v>8278</v>
      </c>
      <c r="AE1146" s="80" t="str">
        <f>HYPERLINK("https://twitter.com/seu_dinheiro_br/status/1689374314536087552")</f>
        <v>https://twitter.com/seu_dinheiro_br/status/1689374314536087552</v>
      </c>
      <c r="AF1146" s="79">
        <v>45147.856458333335</v>
      </c>
      <c r="AG1146" s="85">
        <v>45147</v>
      </c>
      <c r="AH1146" s="82" t="s">
        <v>9295</v>
      </c>
      <c r="AI1146" s="77" t="b">
        <v>0</v>
      </c>
      <c r="AJ1146" s="77"/>
      <c r="AK1146" s="77"/>
      <c r="AL1146" s="77"/>
      <c r="AM1146" s="77"/>
      <c r="AN1146" s="77"/>
      <c r="AO1146" s="77"/>
      <c r="AP1146" s="77"/>
      <c r="AQ1146" s="77"/>
      <c r="AR1146" s="77"/>
      <c r="AS1146" s="77"/>
      <c r="AT1146" s="77"/>
      <c r="AU1146" s="77"/>
      <c r="AV1146" s="80" t="str">
        <f>HYPERLINK("https://pbs.twimg.com/profile_images/1041725334431952896/uaPtkYSp_normal.jpg")</f>
        <v>https://pbs.twimg.com/profile_images/1041725334431952896/uaPtkYSp_normal.jpg</v>
      </c>
      <c r="AW1146" s="82" t="s">
        <v>14241</v>
      </c>
      <c r="AX1146" s="82" t="s">
        <v>14241</v>
      </c>
      <c r="AY1146" s="77"/>
      <c r="AZ1146" s="82" t="s">
        <v>17385</v>
      </c>
      <c r="BA1146" s="82" t="s">
        <v>17385</v>
      </c>
      <c r="BB1146" s="82" t="s">
        <v>17385</v>
      </c>
      <c r="BC1146" s="82" t="s">
        <v>14241</v>
      </c>
      <c r="BD1146" s="82" t="s">
        <v>17550</v>
      </c>
      <c r="BE1146" s="77"/>
      <c r="BF1146" s="77"/>
      <c r="BG1146" s="77"/>
      <c r="BH1146" s="77"/>
      <c r="BI1146" s="77"/>
    </row>
    <row r="1147" spans="1:61" x14ac:dyDescent="0.25">
      <c r="A1147" s="62" t="s">
        <v>425</v>
      </c>
      <c r="B1147" s="62" t="s">
        <v>425</v>
      </c>
      <c r="C1147" s="63"/>
      <c r="D1147" s="64"/>
      <c r="E1147" s="65"/>
      <c r="F1147" s="66"/>
      <c r="G1147" s="63"/>
      <c r="H1147" s="67"/>
      <c r="I1147" s="68"/>
      <c r="J1147" s="68"/>
      <c r="K1147" s="32"/>
      <c r="L1147" s="75">
        <v>1147</v>
      </c>
      <c r="M1147" s="75"/>
      <c r="N1147" s="70"/>
      <c r="O1147" s="77" t="s">
        <v>179</v>
      </c>
      <c r="P1147" s="79">
        <v>45138.680254629631</v>
      </c>
      <c r="Q1147" s="77" t="s">
        <v>1938</v>
      </c>
      <c r="R1147" s="77">
        <v>0</v>
      </c>
      <c r="S1147" s="77">
        <v>0</v>
      </c>
      <c r="T1147" s="77">
        <v>0</v>
      </c>
      <c r="U1147" s="77">
        <v>0</v>
      </c>
      <c r="V1147" s="77">
        <v>355</v>
      </c>
      <c r="W1147" s="82" t="s">
        <v>5564</v>
      </c>
      <c r="X1147" s="80" t="str">
        <f>HYPERLINK("https://www.seudinheiro.com/2023/bolsa-dolar/petrobras-petr4-lulu-dividendos-acoes-vinp/")</f>
        <v>https://www.seudinheiro.com/2023/bolsa-dolar/petrobras-petr4-lulu-dividendos-acoes-vinp/</v>
      </c>
      <c r="Y1147" s="77" t="s">
        <v>7102</v>
      </c>
      <c r="Z1147" s="77"/>
      <c r="AA1147" s="77"/>
      <c r="AB1147" s="77"/>
      <c r="AC1147" s="82" t="s">
        <v>8255</v>
      </c>
      <c r="AD1147" s="77" t="s">
        <v>8278</v>
      </c>
      <c r="AE1147" s="80" t="str">
        <f>HYPERLINK("https://twitter.com/seu_dinheiro_br/status/1686048970819223554")</f>
        <v>https://twitter.com/seu_dinheiro_br/status/1686048970819223554</v>
      </c>
      <c r="AF1147" s="79">
        <v>45138.680254629631</v>
      </c>
      <c r="AG1147" s="85">
        <v>45138</v>
      </c>
      <c r="AH1147" s="82" t="s">
        <v>9296</v>
      </c>
      <c r="AI1147" s="77" t="b">
        <v>0</v>
      </c>
      <c r="AJ1147" s="77"/>
      <c r="AK1147" s="77"/>
      <c r="AL1147" s="77"/>
      <c r="AM1147" s="77"/>
      <c r="AN1147" s="77"/>
      <c r="AO1147" s="77"/>
      <c r="AP1147" s="77"/>
      <c r="AQ1147" s="77"/>
      <c r="AR1147" s="77"/>
      <c r="AS1147" s="77"/>
      <c r="AT1147" s="77"/>
      <c r="AU1147" s="77"/>
      <c r="AV1147" s="80" t="str">
        <f>HYPERLINK("https://pbs.twimg.com/profile_images/1041725334431952896/uaPtkYSp_normal.jpg")</f>
        <v>https://pbs.twimg.com/profile_images/1041725334431952896/uaPtkYSp_normal.jpg</v>
      </c>
      <c r="AW1147" s="82" t="s">
        <v>14242</v>
      </c>
      <c r="AX1147" s="82" t="s">
        <v>14242</v>
      </c>
      <c r="AY1147" s="77"/>
      <c r="AZ1147" s="82" t="s">
        <v>17385</v>
      </c>
      <c r="BA1147" s="82" t="s">
        <v>17385</v>
      </c>
      <c r="BB1147" s="82" t="s">
        <v>17385</v>
      </c>
      <c r="BC1147" s="82" t="s">
        <v>14242</v>
      </c>
      <c r="BD1147" s="82" t="s">
        <v>17550</v>
      </c>
      <c r="BE1147" s="77"/>
      <c r="BF1147" s="77"/>
      <c r="BG1147" s="77"/>
      <c r="BH1147" s="77"/>
      <c r="BI1147" s="77"/>
    </row>
    <row r="1148" spans="1:61" x14ac:dyDescent="0.25">
      <c r="A1148" s="62" t="s">
        <v>425</v>
      </c>
      <c r="B1148" s="62" t="s">
        <v>425</v>
      </c>
      <c r="C1148" s="63"/>
      <c r="D1148" s="64"/>
      <c r="E1148" s="65"/>
      <c r="F1148" s="66"/>
      <c r="G1148" s="63"/>
      <c r="H1148" s="67"/>
      <c r="I1148" s="68"/>
      <c r="J1148" s="68"/>
      <c r="K1148" s="32"/>
      <c r="L1148" s="75">
        <v>1148</v>
      </c>
      <c r="M1148" s="75"/>
      <c r="N1148" s="70"/>
      <c r="O1148" s="77" t="s">
        <v>179</v>
      </c>
      <c r="P1148" s="79">
        <v>45138.460682870369</v>
      </c>
      <c r="Q1148" s="77" t="s">
        <v>1939</v>
      </c>
      <c r="R1148" s="77">
        <v>0</v>
      </c>
      <c r="S1148" s="77">
        <v>1</v>
      </c>
      <c r="T1148" s="77">
        <v>0</v>
      </c>
      <c r="U1148" s="77">
        <v>0</v>
      </c>
      <c r="V1148" s="77">
        <v>318</v>
      </c>
      <c r="W1148" s="82" t="s">
        <v>5565</v>
      </c>
      <c r="X1148" s="80" t="str">
        <f>HYPERLINK("https://www.seudinheiro.com/2023/colunistas/day-trade-na-b3-acao-aes-brasil-aesb3-31-07-rens/")</f>
        <v>https://www.seudinheiro.com/2023/colunistas/day-trade-na-b3-acao-aes-brasil-aesb3-31-07-rens/</v>
      </c>
      <c r="Y1148" s="77" t="s">
        <v>7102</v>
      </c>
      <c r="Z1148" s="77"/>
      <c r="AA1148" s="77"/>
      <c r="AB1148" s="77"/>
      <c r="AC1148" s="82" t="s">
        <v>8255</v>
      </c>
      <c r="AD1148" s="77" t="s">
        <v>8278</v>
      </c>
      <c r="AE1148" s="80" t="str">
        <f>HYPERLINK("https://twitter.com/seu_dinheiro_br/status/1685969399331622913")</f>
        <v>https://twitter.com/seu_dinheiro_br/status/1685969399331622913</v>
      </c>
      <c r="AF1148" s="79">
        <v>45138.460682870369</v>
      </c>
      <c r="AG1148" s="85">
        <v>45138</v>
      </c>
      <c r="AH1148" s="82" t="s">
        <v>9297</v>
      </c>
      <c r="AI1148" s="77" t="b">
        <v>0</v>
      </c>
      <c r="AJ1148" s="77"/>
      <c r="AK1148" s="77"/>
      <c r="AL1148" s="77"/>
      <c r="AM1148" s="77"/>
      <c r="AN1148" s="77"/>
      <c r="AO1148" s="77"/>
      <c r="AP1148" s="77"/>
      <c r="AQ1148" s="77"/>
      <c r="AR1148" s="77"/>
      <c r="AS1148" s="77"/>
      <c r="AT1148" s="77"/>
      <c r="AU1148" s="77"/>
      <c r="AV1148" s="80" t="str">
        <f>HYPERLINK("https://pbs.twimg.com/profile_images/1041725334431952896/uaPtkYSp_normal.jpg")</f>
        <v>https://pbs.twimg.com/profile_images/1041725334431952896/uaPtkYSp_normal.jpg</v>
      </c>
      <c r="AW1148" s="82" t="s">
        <v>14243</v>
      </c>
      <c r="AX1148" s="82" t="s">
        <v>14243</v>
      </c>
      <c r="AY1148" s="77"/>
      <c r="AZ1148" s="82" t="s">
        <v>17385</v>
      </c>
      <c r="BA1148" s="82" t="s">
        <v>17385</v>
      </c>
      <c r="BB1148" s="82" t="s">
        <v>17385</v>
      </c>
      <c r="BC1148" s="82" t="s">
        <v>14243</v>
      </c>
      <c r="BD1148" s="82" t="s">
        <v>17550</v>
      </c>
      <c r="BE1148" s="77"/>
      <c r="BF1148" s="77"/>
      <c r="BG1148" s="77"/>
      <c r="BH1148" s="77"/>
      <c r="BI1148" s="77"/>
    </row>
    <row r="1149" spans="1:61" x14ac:dyDescent="0.25">
      <c r="A1149" s="62" t="s">
        <v>425</v>
      </c>
      <c r="B1149" s="62" t="s">
        <v>425</v>
      </c>
      <c r="C1149" s="63"/>
      <c r="D1149" s="64"/>
      <c r="E1149" s="65"/>
      <c r="F1149" s="66"/>
      <c r="G1149" s="63"/>
      <c r="H1149" s="67"/>
      <c r="I1149" s="68"/>
      <c r="J1149" s="68"/>
      <c r="K1149" s="32"/>
      <c r="L1149" s="75">
        <v>1149</v>
      </c>
      <c r="M1149" s="75"/>
      <c r="N1149" s="70"/>
      <c r="O1149" s="77" t="s">
        <v>179</v>
      </c>
      <c r="P1149" s="79">
        <v>45138.38958333333</v>
      </c>
      <c r="Q1149" s="77" t="s">
        <v>1940</v>
      </c>
      <c r="R1149" s="77">
        <v>0</v>
      </c>
      <c r="S1149" s="77">
        <v>1</v>
      </c>
      <c r="T1149" s="77">
        <v>0</v>
      </c>
      <c r="U1149" s="77">
        <v>0</v>
      </c>
      <c r="V1149" s="77">
        <v>337</v>
      </c>
      <c r="W1149" s="82" t="s">
        <v>5566</v>
      </c>
      <c r="X1149" s="80" t="str">
        <f>HYPERLINK("https://www.seudinheiro.com/2023/bolsa-dolar/efeito-multiplicador-reinvestir-dividendos-acoes-etf-divo11-julw/")</f>
        <v>https://www.seudinheiro.com/2023/bolsa-dolar/efeito-multiplicador-reinvestir-dividendos-acoes-etf-divo11-julw/</v>
      </c>
      <c r="Y1149" s="77" t="s">
        <v>7102</v>
      </c>
      <c r="Z1149" s="77"/>
      <c r="AA1149" s="77"/>
      <c r="AB1149" s="77"/>
      <c r="AC1149" s="82" t="s">
        <v>8255</v>
      </c>
      <c r="AD1149" s="77" t="s">
        <v>8278</v>
      </c>
      <c r="AE1149" s="80" t="str">
        <f>HYPERLINK("https://twitter.com/seu_dinheiro_br/status/1685943633948635136")</f>
        <v>https://twitter.com/seu_dinheiro_br/status/1685943633948635136</v>
      </c>
      <c r="AF1149" s="79">
        <v>45138.38958333333</v>
      </c>
      <c r="AG1149" s="85">
        <v>45138</v>
      </c>
      <c r="AH1149" s="82" t="s">
        <v>9298</v>
      </c>
      <c r="AI1149" s="77" t="b">
        <v>0</v>
      </c>
      <c r="AJ1149" s="77"/>
      <c r="AK1149" s="77"/>
      <c r="AL1149" s="77"/>
      <c r="AM1149" s="77"/>
      <c r="AN1149" s="77"/>
      <c r="AO1149" s="77"/>
      <c r="AP1149" s="77"/>
      <c r="AQ1149" s="77"/>
      <c r="AR1149" s="77"/>
      <c r="AS1149" s="77"/>
      <c r="AT1149" s="77"/>
      <c r="AU1149" s="77"/>
      <c r="AV1149" s="80" t="str">
        <f>HYPERLINK("https://pbs.twimg.com/profile_images/1041725334431952896/uaPtkYSp_normal.jpg")</f>
        <v>https://pbs.twimg.com/profile_images/1041725334431952896/uaPtkYSp_normal.jpg</v>
      </c>
      <c r="AW1149" s="82" t="s">
        <v>14244</v>
      </c>
      <c r="AX1149" s="82" t="s">
        <v>14244</v>
      </c>
      <c r="AY1149" s="77"/>
      <c r="AZ1149" s="82" t="s">
        <v>17385</v>
      </c>
      <c r="BA1149" s="82" t="s">
        <v>17385</v>
      </c>
      <c r="BB1149" s="82" t="s">
        <v>17385</v>
      </c>
      <c r="BC1149" s="82" t="s">
        <v>14244</v>
      </c>
      <c r="BD1149" s="82" t="s">
        <v>17550</v>
      </c>
      <c r="BE1149" s="77"/>
      <c r="BF1149" s="77"/>
      <c r="BG1149" s="77"/>
      <c r="BH1149" s="77"/>
      <c r="BI1149" s="77"/>
    </row>
    <row r="1150" spans="1:61" x14ac:dyDescent="0.25">
      <c r="A1150" s="62" t="s">
        <v>425</v>
      </c>
      <c r="B1150" s="62" t="s">
        <v>425</v>
      </c>
      <c r="C1150" s="63"/>
      <c r="D1150" s="64"/>
      <c r="E1150" s="65"/>
      <c r="F1150" s="66"/>
      <c r="G1150" s="63"/>
      <c r="H1150" s="67"/>
      <c r="I1150" s="68"/>
      <c r="J1150" s="68"/>
      <c r="K1150" s="32"/>
      <c r="L1150" s="75">
        <v>1150</v>
      </c>
      <c r="M1150" s="75"/>
      <c r="N1150" s="70"/>
      <c r="O1150" s="77" t="s">
        <v>179</v>
      </c>
      <c r="P1150" s="79">
        <v>45114.688391203701</v>
      </c>
      <c r="Q1150" s="77" t="s">
        <v>1941</v>
      </c>
      <c r="R1150" s="77">
        <v>0</v>
      </c>
      <c r="S1150" s="77">
        <v>1</v>
      </c>
      <c r="T1150" s="77">
        <v>0</v>
      </c>
      <c r="U1150" s="77">
        <v>0</v>
      </c>
      <c r="V1150" s="77">
        <v>284</v>
      </c>
      <c r="W1150" s="82" t="s">
        <v>5567</v>
      </c>
      <c r="X1150" s="80" t="str">
        <f>HYPERLINK("https://www.seudinheiro.com/2023/empresas/3r-petroleum-rrrp3-producao-dispara-em-junho-e-acoes-acompanham-na-b3-analista-diz-que-e-hora-de-comprar-ccgg/")</f>
        <v>https://www.seudinheiro.com/2023/empresas/3r-petroleum-rrrp3-producao-dispara-em-junho-e-acoes-acompanham-na-b3-analista-diz-que-e-hora-de-comprar-ccgg/</v>
      </c>
      <c r="Y1150" s="77" t="s">
        <v>7102</v>
      </c>
      <c r="Z1150" s="77"/>
      <c r="AA1150" s="77"/>
      <c r="AB1150" s="77"/>
      <c r="AC1150" s="82" t="s">
        <v>8255</v>
      </c>
      <c r="AD1150" s="77" t="s">
        <v>8278</v>
      </c>
      <c r="AE1150" s="80" t="str">
        <f>HYPERLINK("https://twitter.com/seu_dinheiro_br/status/1677354608811810816")</f>
        <v>https://twitter.com/seu_dinheiro_br/status/1677354608811810816</v>
      </c>
      <c r="AF1150" s="79">
        <v>45114.688391203701</v>
      </c>
      <c r="AG1150" s="85">
        <v>45114</v>
      </c>
      <c r="AH1150" s="82" t="s">
        <v>9299</v>
      </c>
      <c r="AI1150" s="77" t="b">
        <v>0</v>
      </c>
      <c r="AJ1150" s="77"/>
      <c r="AK1150" s="77"/>
      <c r="AL1150" s="77"/>
      <c r="AM1150" s="77"/>
      <c r="AN1150" s="77"/>
      <c r="AO1150" s="77"/>
      <c r="AP1150" s="77"/>
      <c r="AQ1150" s="77"/>
      <c r="AR1150" s="77"/>
      <c r="AS1150" s="77"/>
      <c r="AT1150" s="77"/>
      <c r="AU1150" s="77"/>
      <c r="AV1150" s="80" t="str">
        <f>HYPERLINK("https://pbs.twimg.com/profile_images/1041725334431952896/uaPtkYSp_normal.jpg")</f>
        <v>https://pbs.twimg.com/profile_images/1041725334431952896/uaPtkYSp_normal.jpg</v>
      </c>
      <c r="AW1150" s="82" t="s">
        <v>14245</v>
      </c>
      <c r="AX1150" s="82" t="s">
        <v>14245</v>
      </c>
      <c r="AY1150" s="77"/>
      <c r="AZ1150" s="82" t="s">
        <v>17385</v>
      </c>
      <c r="BA1150" s="82" t="s">
        <v>17385</v>
      </c>
      <c r="BB1150" s="82" t="s">
        <v>17385</v>
      </c>
      <c r="BC1150" s="82" t="s">
        <v>14245</v>
      </c>
      <c r="BD1150" s="82" t="s">
        <v>17550</v>
      </c>
      <c r="BE1150" s="77"/>
      <c r="BF1150" s="77"/>
      <c r="BG1150" s="77"/>
      <c r="BH1150" s="77"/>
      <c r="BI1150" s="77"/>
    </row>
    <row r="1151" spans="1:61" x14ac:dyDescent="0.25">
      <c r="A1151" s="62" t="s">
        <v>425</v>
      </c>
      <c r="B1151" s="62" t="s">
        <v>425</v>
      </c>
      <c r="C1151" s="63"/>
      <c r="D1151" s="64"/>
      <c r="E1151" s="65"/>
      <c r="F1151" s="66"/>
      <c r="G1151" s="63"/>
      <c r="H1151" s="67"/>
      <c r="I1151" s="68"/>
      <c r="J1151" s="68"/>
      <c r="K1151" s="32"/>
      <c r="L1151" s="75">
        <v>1151</v>
      </c>
      <c r="M1151" s="75"/>
      <c r="N1151" s="70"/>
      <c r="O1151" s="77" t="s">
        <v>179</v>
      </c>
      <c r="P1151" s="79">
        <v>45108.825671296298</v>
      </c>
      <c r="Q1151" s="77" t="s">
        <v>1942</v>
      </c>
      <c r="R1151" s="77">
        <v>0</v>
      </c>
      <c r="S1151" s="77">
        <v>0</v>
      </c>
      <c r="T1151" s="77">
        <v>0</v>
      </c>
      <c r="U1151" s="77">
        <v>0</v>
      </c>
      <c r="V1151" s="77">
        <v>322</v>
      </c>
      <c r="W1151" s="82" t="s">
        <v>5568</v>
      </c>
      <c r="X1151" s="80" t="str">
        <f>HYPERLINK("https://www.seudinheiro.com/2023/empresas/caixa-seguridade-cxse3-salta-30-na-bolsa-no-primeiro-semestre-e-fica-acima-do-preco-do-ipo-lvit/")</f>
        <v>https://www.seudinheiro.com/2023/empresas/caixa-seguridade-cxse3-salta-30-na-bolsa-no-primeiro-semestre-e-fica-acima-do-preco-do-ipo-lvit/</v>
      </c>
      <c r="Y1151" s="77" t="s">
        <v>7102</v>
      </c>
      <c r="Z1151" s="77"/>
      <c r="AA1151" s="77"/>
      <c r="AB1151" s="77"/>
      <c r="AC1151" s="82" t="s">
        <v>8255</v>
      </c>
      <c r="AD1151" s="77" t="s">
        <v>8278</v>
      </c>
      <c r="AE1151" s="80" t="str">
        <f>HYPERLINK("https://twitter.com/seu_dinheiro_br/status/1675230033173008384")</f>
        <v>https://twitter.com/seu_dinheiro_br/status/1675230033173008384</v>
      </c>
      <c r="AF1151" s="79">
        <v>45108.825671296298</v>
      </c>
      <c r="AG1151" s="85">
        <v>45108</v>
      </c>
      <c r="AH1151" s="82" t="s">
        <v>9300</v>
      </c>
      <c r="AI1151" s="77" t="b">
        <v>0</v>
      </c>
      <c r="AJ1151" s="77"/>
      <c r="AK1151" s="77"/>
      <c r="AL1151" s="77"/>
      <c r="AM1151" s="77"/>
      <c r="AN1151" s="77"/>
      <c r="AO1151" s="77"/>
      <c r="AP1151" s="77"/>
      <c r="AQ1151" s="77"/>
      <c r="AR1151" s="77"/>
      <c r="AS1151" s="77"/>
      <c r="AT1151" s="77"/>
      <c r="AU1151" s="77"/>
      <c r="AV1151" s="80" t="str">
        <f>HYPERLINK("https://pbs.twimg.com/profile_images/1041725334431952896/uaPtkYSp_normal.jpg")</f>
        <v>https://pbs.twimg.com/profile_images/1041725334431952896/uaPtkYSp_normal.jpg</v>
      </c>
      <c r="AW1151" s="82" t="s">
        <v>14246</v>
      </c>
      <c r="AX1151" s="82" t="s">
        <v>14246</v>
      </c>
      <c r="AY1151" s="77"/>
      <c r="AZ1151" s="82" t="s">
        <v>17385</v>
      </c>
      <c r="BA1151" s="82" t="s">
        <v>17385</v>
      </c>
      <c r="BB1151" s="82" t="s">
        <v>17385</v>
      </c>
      <c r="BC1151" s="82" t="s">
        <v>14246</v>
      </c>
      <c r="BD1151" s="82" t="s">
        <v>17550</v>
      </c>
      <c r="BE1151" s="77"/>
      <c r="BF1151" s="77"/>
      <c r="BG1151" s="77"/>
      <c r="BH1151" s="77"/>
      <c r="BI1151" s="77"/>
    </row>
    <row r="1152" spans="1:61" x14ac:dyDescent="0.25">
      <c r="A1152" s="62" t="s">
        <v>425</v>
      </c>
      <c r="B1152" s="62" t="s">
        <v>425</v>
      </c>
      <c r="C1152" s="63"/>
      <c r="D1152" s="64"/>
      <c r="E1152" s="65"/>
      <c r="F1152" s="66"/>
      <c r="G1152" s="63"/>
      <c r="H1152" s="67"/>
      <c r="I1152" s="68"/>
      <c r="J1152" s="68"/>
      <c r="K1152" s="32"/>
      <c r="L1152" s="75">
        <v>1152</v>
      </c>
      <c r="M1152" s="75"/>
      <c r="N1152" s="70"/>
      <c r="O1152" s="77" t="s">
        <v>179</v>
      </c>
      <c r="P1152" s="79">
        <v>45108.713923611111</v>
      </c>
      <c r="Q1152" s="77" t="s">
        <v>1943</v>
      </c>
      <c r="R1152" s="77">
        <v>0</v>
      </c>
      <c r="S1152" s="77">
        <v>1</v>
      </c>
      <c r="T1152" s="77">
        <v>0</v>
      </c>
      <c r="U1152" s="77">
        <v>0</v>
      </c>
      <c r="V1152" s="77">
        <v>253</v>
      </c>
      <c r="W1152" s="82" t="s">
        <v>5569</v>
      </c>
      <c r="X1152" s="80" t="str">
        <f>HYPERLINK("https://www.seudinheiro.com/2023/empresas/br-properties-brpr3-vai-distribuir-r-732-milhoes-aos-acionistas-com-nova-reducao-de-capital-lvit/")</f>
        <v>https://www.seudinheiro.com/2023/empresas/br-properties-brpr3-vai-distribuir-r-732-milhoes-aos-acionistas-com-nova-reducao-de-capital-lvit/</v>
      </c>
      <c r="Y1152" s="77" t="s">
        <v>7102</v>
      </c>
      <c r="Z1152" s="77"/>
      <c r="AA1152" s="77"/>
      <c r="AB1152" s="77"/>
      <c r="AC1152" s="82" t="s">
        <v>8255</v>
      </c>
      <c r="AD1152" s="77" t="s">
        <v>8278</v>
      </c>
      <c r="AE1152" s="80" t="str">
        <f>HYPERLINK("https://twitter.com/seu_dinheiro_br/status/1675189533753630720")</f>
        <v>https://twitter.com/seu_dinheiro_br/status/1675189533753630720</v>
      </c>
      <c r="AF1152" s="79">
        <v>45108.713923611111</v>
      </c>
      <c r="AG1152" s="85">
        <v>45108</v>
      </c>
      <c r="AH1152" s="82" t="s">
        <v>9301</v>
      </c>
      <c r="AI1152" s="77" t="b">
        <v>0</v>
      </c>
      <c r="AJ1152" s="77"/>
      <c r="AK1152" s="77"/>
      <c r="AL1152" s="77"/>
      <c r="AM1152" s="77"/>
      <c r="AN1152" s="77"/>
      <c r="AO1152" s="77"/>
      <c r="AP1152" s="77"/>
      <c r="AQ1152" s="77"/>
      <c r="AR1152" s="77"/>
      <c r="AS1152" s="77"/>
      <c r="AT1152" s="77"/>
      <c r="AU1152" s="77"/>
      <c r="AV1152" s="80" t="str">
        <f>HYPERLINK("https://pbs.twimg.com/profile_images/1041725334431952896/uaPtkYSp_normal.jpg")</f>
        <v>https://pbs.twimg.com/profile_images/1041725334431952896/uaPtkYSp_normal.jpg</v>
      </c>
      <c r="AW1152" s="82" t="s">
        <v>14247</v>
      </c>
      <c r="AX1152" s="82" t="s">
        <v>14247</v>
      </c>
      <c r="AY1152" s="77"/>
      <c r="AZ1152" s="82" t="s">
        <v>17385</v>
      </c>
      <c r="BA1152" s="82" t="s">
        <v>17385</v>
      </c>
      <c r="BB1152" s="82" t="s">
        <v>17385</v>
      </c>
      <c r="BC1152" s="82" t="s">
        <v>14247</v>
      </c>
      <c r="BD1152" s="82" t="s">
        <v>17550</v>
      </c>
      <c r="BE1152" s="77"/>
      <c r="BF1152" s="77"/>
      <c r="BG1152" s="77"/>
      <c r="BH1152" s="77"/>
      <c r="BI1152" s="77"/>
    </row>
    <row r="1153" spans="1:61" x14ac:dyDescent="0.25">
      <c r="A1153" s="62" t="s">
        <v>425</v>
      </c>
      <c r="B1153" s="62" t="s">
        <v>425</v>
      </c>
      <c r="C1153" s="63"/>
      <c r="D1153" s="64"/>
      <c r="E1153" s="65"/>
      <c r="F1153" s="66"/>
      <c r="G1153" s="63"/>
      <c r="H1153" s="67"/>
      <c r="I1153" s="68"/>
      <c r="J1153" s="68"/>
      <c r="K1153" s="32"/>
      <c r="L1153" s="75">
        <v>1153</v>
      </c>
      <c r="M1153" s="75"/>
      <c r="N1153" s="70"/>
      <c r="O1153" s="77" t="s">
        <v>179</v>
      </c>
      <c r="P1153" s="79">
        <v>45108.674803240741</v>
      </c>
      <c r="Q1153" s="77" t="s">
        <v>1944</v>
      </c>
      <c r="R1153" s="77">
        <v>0</v>
      </c>
      <c r="S1153" s="77">
        <v>0</v>
      </c>
      <c r="T1153" s="77">
        <v>0</v>
      </c>
      <c r="U1153" s="77">
        <v>0</v>
      </c>
      <c r="V1153" s="77">
        <v>391</v>
      </c>
      <c r="W1153" s="82" t="s">
        <v>5570</v>
      </c>
      <c r="X1153" s="80" t="str">
        <f>HYPERLINK("https://www.seudinheiro.com/2023/bolsa-dolar/gol-goll4-dispara-60-no-mes-e-anota-maior-alta-do-ibovespa-meliuz-cash3-e-magazine-luiza-mglu3-recuam-forte-lvit/")</f>
        <v>https://www.seudinheiro.com/2023/bolsa-dolar/gol-goll4-dispara-60-no-mes-e-anota-maior-alta-do-ibovespa-meliuz-cash3-e-magazine-luiza-mglu3-recuam-forte-lvit/</v>
      </c>
      <c r="Y1153" s="77" t="s">
        <v>7102</v>
      </c>
      <c r="Z1153" s="77"/>
      <c r="AA1153" s="77"/>
      <c r="AB1153" s="77"/>
      <c r="AC1153" s="82" t="s">
        <v>8232</v>
      </c>
      <c r="AD1153" s="77" t="s">
        <v>8278</v>
      </c>
      <c r="AE1153" s="80" t="str">
        <f>HYPERLINK("https://twitter.com/seu_dinheiro_br/status/1675175357048078337")</f>
        <v>https://twitter.com/seu_dinheiro_br/status/1675175357048078337</v>
      </c>
      <c r="AF1153" s="79">
        <v>45108.674803240741</v>
      </c>
      <c r="AG1153" s="85">
        <v>45108</v>
      </c>
      <c r="AH1153" s="82" t="s">
        <v>9302</v>
      </c>
      <c r="AI1153" s="77" t="b">
        <v>0</v>
      </c>
      <c r="AJ1153" s="77"/>
      <c r="AK1153" s="77"/>
      <c r="AL1153" s="77"/>
      <c r="AM1153" s="77"/>
      <c r="AN1153" s="77"/>
      <c r="AO1153" s="77"/>
      <c r="AP1153" s="77"/>
      <c r="AQ1153" s="77"/>
      <c r="AR1153" s="77"/>
      <c r="AS1153" s="77"/>
      <c r="AT1153" s="77"/>
      <c r="AU1153" s="77"/>
      <c r="AV1153" s="80" t="str">
        <f>HYPERLINK("https://pbs.twimg.com/profile_images/1041725334431952896/uaPtkYSp_normal.jpg")</f>
        <v>https://pbs.twimg.com/profile_images/1041725334431952896/uaPtkYSp_normal.jpg</v>
      </c>
      <c r="AW1153" s="82" t="s">
        <v>14248</v>
      </c>
      <c r="AX1153" s="82" t="s">
        <v>14248</v>
      </c>
      <c r="AY1153" s="77"/>
      <c r="AZ1153" s="82" t="s">
        <v>17385</v>
      </c>
      <c r="BA1153" s="82" t="s">
        <v>17385</v>
      </c>
      <c r="BB1153" s="82" t="s">
        <v>17385</v>
      </c>
      <c r="BC1153" s="82" t="s">
        <v>14248</v>
      </c>
      <c r="BD1153" s="82" t="s">
        <v>17550</v>
      </c>
      <c r="BE1153" s="77"/>
      <c r="BF1153" s="77"/>
      <c r="BG1153" s="77"/>
      <c r="BH1153" s="77"/>
      <c r="BI1153" s="77"/>
    </row>
    <row r="1154" spans="1:61" x14ac:dyDescent="0.25">
      <c r="A1154" s="62" t="s">
        <v>425</v>
      </c>
      <c r="B1154" s="62" t="s">
        <v>425</v>
      </c>
      <c r="C1154" s="63"/>
      <c r="D1154" s="64"/>
      <c r="E1154" s="65"/>
      <c r="F1154" s="66"/>
      <c r="G1154" s="63"/>
      <c r="H1154" s="67"/>
      <c r="I1154" s="68"/>
      <c r="J1154" s="68"/>
      <c r="K1154" s="32"/>
      <c r="L1154" s="75">
        <v>1154</v>
      </c>
      <c r="M1154" s="75"/>
      <c r="N1154" s="70"/>
      <c r="O1154" s="77" t="s">
        <v>179</v>
      </c>
      <c r="P1154" s="79">
        <v>45107.853530092594</v>
      </c>
      <c r="Q1154" s="77" t="s">
        <v>1945</v>
      </c>
      <c r="R1154" s="77">
        <v>0</v>
      </c>
      <c r="S1154" s="77">
        <v>2</v>
      </c>
      <c r="T1154" s="77">
        <v>0</v>
      </c>
      <c r="U1154" s="77">
        <v>0</v>
      </c>
      <c r="V1154" s="77">
        <v>249</v>
      </c>
      <c r="W1154" s="82" t="s">
        <v>5571</v>
      </c>
      <c r="X1154" s="80" t="str">
        <f>HYPERLINK("https://www.seudinheiro.com/2023/economia/leilao-de-transmissao-eletrobras-engie-e-cteep-vencem-mas-quem-nao-levou-tambem-sai-ganhando-vinp/")</f>
        <v>https://www.seudinheiro.com/2023/economia/leilao-de-transmissao-eletrobras-engie-e-cteep-vencem-mas-quem-nao-levou-tambem-sai-ganhando-vinp/</v>
      </c>
      <c r="Y1154" s="77" t="s">
        <v>7102</v>
      </c>
      <c r="Z1154" s="77"/>
      <c r="AA1154" s="77"/>
      <c r="AB1154" s="77"/>
      <c r="AC1154" s="82" t="s">
        <v>8255</v>
      </c>
      <c r="AD1154" s="77" t="s">
        <v>8278</v>
      </c>
      <c r="AE1154" s="80" t="str">
        <f>HYPERLINK("https://twitter.com/seu_dinheiro_br/status/1674877741395595264")</f>
        <v>https://twitter.com/seu_dinheiro_br/status/1674877741395595264</v>
      </c>
      <c r="AF1154" s="79">
        <v>45107.853530092594</v>
      </c>
      <c r="AG1154" s="85">
        <v>45107</v>
      </c>
      <c r="AH1154" s="82" t="s">
        <v>9303</v>
      </c>
      <c r="AI1154" s="77" t="b">
        <v>0</v>
      </c>
      <c r="AJ1154" s="77"/>
      <c r="AK1154" s="77"/>
      <c r="AL1154" s="77"/>
      <c r="AM1154" s="77"/>
      <c r="AN1154" s="77"/>
      <c r="AO1154" s="77"/>
      <c r="AP1154" s="77"/>
      <c r="AQ1154" s="77"/>
      <c r="AR1154" s="77"/>
      <c r="AS1154" s="77"/>
      <c r="AT1154" s="77"/>
      <c r="AU1154" s="77"/>
      <c r="AV1154" s="80" t="str">
        <f>HYPERLINK("https://pbs.twimg.com/profile_images/1041725334431952896/uaPtkYSp_normal.jpg")</f>
        <v>https://pbs.twimg.com/profile_images/1041725334431952896/uaPtkYSp_normal.jpg</v>
      </c>
      <c r="AW1154" s="82" t="s">
        <v>14249</v>
      </c>
      <c r="AX1154" s="82" t="s">
        <v>14249</v>
      </c>
      <c r="AY1154" s="77"/>
      <c r="AZ1154" s="82" t="s">
        <v>17385</v>
      </c>
      <c r="BA1154" s="82" t="s">
        <v>17385</v>
      </c>
      <c r="BB1154" s="82" t="s">
        <v>17385</v>
      </c>
      <c r="BC1154" s="82" t="s">
        <v>14249</v>
      </c>
      <c r="BD1154" s="82" t="s">
        <v>17550</v>
      </c>
      <c r="BE1154" s="77"/>
      <c r="BF1154" s="77"/>
      <c r="BG1154" s="77"/>
      <c r="BH1154" s="77"/>
      <c r="BI1154" s="77"/>
    </row>
    <row r="1155" spans="1:61" x14ac:dyDescent="0.25">
      <c r="A1155" s="62" t="s">
        <v>425</v>
      </c>
      <c r="B1155" s="62" t="s">
        <v>425</v>
      </c>
      <c r="C1155" s="63"/>
      <c r="D1155" s="64"/>
      <c r="E1155" s="65"/>
      <c r="F1155" s="66"/>
      <c r="G1155" s="63"/>
      <c r="H1155" s="67"/>
      <c r="I1155" s="68"/>
      <c r="J1155" s="68"/>
      <c r="K1155" s="32"/>
      <c r="L1155" s="75">
        <v>1155</v>
      </c>
      <c r="M1155" s="75"/>
      <c r="N1155" s="70"/>
      <c r="O1155" s="77" t="s">
        <v>179</v>
      </c>
      <c r="P1155" s="79">
        <v>45107.667812500003</v>
      </c>
      <c r="Q1155" s="77" t="s">
        <v>1946</v>
      </c>
      <c r="R1155" s="77">
        <v>0</v>
      </c>
      <c r="S1155" s="77">
        <v>1</v>
      </c>
      <c r="T1155" s="77">
        <v>0</v>
      </c>
      <c r="U1155" s="77">
        <v>0</v>
      </c>
      <c r="V1155" s="77">
        <v>225</v>
      </c>
      <c r="W1155" s="82" t="s">
        <v>5520</v>
      </c>
      <c r="X1155" s="80" t="str">
        <f>HYPERLINK("https://www.seudinheiro.com/2023/bolsa-dolar/mrv-mrve3-made-in-usa-acoes-disparam-na-b3-apos-nova-venda-milionaria-em-dolar-lvit/")</f>
        <v>https://www.seudinheiro.com/2023/bolsa-dolar/mrv-mrve3-made-in-usa-acoes-disparam-na-b3-apos-nova-venda-milionaria-em-dolar-lvit/</v>
      </c>
      <c r="Y1155" s="77" t="s">
        <v>7102</v>
      </c>
      <c r="Z1155" s="77"/>
      <c r="AA1155" s="77"/>
      <c r="AB1155" s="77"/>
      <c r="AC1155" s="82" t="s">
        <v>8255</v>
      </c>
      <c r="AD1155" s="77" t="s">
        <v>8278</v>
      </c>
      <c r="AE1155" s="80" t="str">
        <f>HYPERLINK("https://twitter.com/seu_dinheiro_br/status/1674810436166844421")</f>
        <v>https://twitter.com/seu_dinheiro_br/status/1674810436166844421</v>
      </c>
      <c r="AF1155" s="79">
        <v>45107.667812500003</v>
      </c>
      <c r="AG1155" s="85">
        <v>45107</v>
      </c>
      <c r="AH1155" s="82" t="s">
        <v>9304</v>
      </c>
      <c r="AI1155" s="77" t="b">
        <v>0</v>
      </c>
      <c r="AJ1155" s="77"/>
      <c r="AK1155" s="77"/>
      <c r="AL1155" s="77"/>
      <c r="AM1155" s="77"/>
      <c r="AN1155" s="77"/>
      <c r="AO1155" s="77"/>
      <c r="AP1155" s="77"/>
      <c r="AQ1155" s="77"/>
      <c r="AR1155" s="77"/>
      <c r="AS1155" s="77"/>
      <c r="AT1155" s="77"/>
      <c r="AU1155" s="77"/>
      <c r="AV1155" s="80" t="str">
        <f>HYPERLINK("https://pbs.twimg.com/profile_images/1041725334431952896/uaPtkYSp_normal.jpg")</f>
        <v>https://pbs.twimg.com/profile_images/1041725334431952896/uaPtkYSp_normal.jpg</v>
      </c>
      <c r="AW1155" s="82" t="s">
        <v>14250</v>
      </c>
      <c r="AX1155" s="82" t="s">
        <v>14250</v>
      </c>
      <c r="AY1155" s="77"/>
      <c r="AZ1155" s="82" t="s">
        <v>17385</v>
      </c>
      <c r="BA1155" s="82" t="s">
        <v>17385</v>
      </c>
      <c r="BB1155" s="82" t="s">
        <v>17385</v>
      </c>
      <c r="BC1155" s="82" t="s">
        <v>14250</v>
      </c>
      <c r="BD1155" s="82" t="s">
        <v>17550</v>
      </c>
      <c r="BE1155" s="77"/>
      <c r="BF1155" s="77"/>
      <c r="BG1155" s="77"/>
      <c r="BH1155" s="77"/>
      <c r="BI1155" s="77"/>
    </row>
    <row r="1156" spans="1:61" x14ac:dyDescent="0.25">
      <c r="A1156" s="62" t="s">
        <v>425</v>
      </c>
      <c r="B1156" s="62" t="s">
        <v>425</v>
      </c>
      <c r="C1156" s="63"/>
      <c r="D1156" s="64"/>
      <c r="E1156" s="65"/>
      <c r="F1156" s="66"/>
      <c r="G1156" s="63"/>
      <c r="H1156" s="67"/>
      <c r="I1156" s="68"/>
      <c r="J1156" s="68"/>
      <c r="K1156" s="32"/>
      <c r="L1156" s="75">
        <v>1156</v>
      </c>
      <c r="M1156" s="75"/>
      <c r="N1156" s="70"/>
      <c r="O1156" s="77" t="s">
        <v>179</v>
      </c>
      <c r="P1156" s="79">
        <v>45107.58792824074</v>
      </c>
      <c r="Q1156" s="77" t="s">
        <v>1947</v>
      </c>
      <c r="R1156" s="77">
        <v>0</v>
      </c>
      <c r="S1156" s="77">
        <v>0</v>
      </c>
      <c r="T1156" s="77">
        <v>0</v>
      </c>
      <c r="U1156" s="77">
        <v>0</v>
      </c>
      <c r="V1156" s="77">
        <v>148</v>
      </c>
      <c r="W1156" s="82" t="s">
        <v>5572</v>
      </c>
      <c r="X1156" s="80" t="str">
        <f>HYPERLINK("https://www.seudinheiro.com/2023/economia/apple-aapl34-primeira-empresa-us-3-trilhoes-em-valor-de-mercado-miql/")</f>
        <v>https://www.seudinheiro.com/2023/economia/apple-aapl34-primeira-empresa-us-3-trilhoes-em-valor-de-mercado-miql/</v>
      </c>
      <c r="Y1156" s="77" t="s">
        <v>7102</v>
      </c>
      <c r="Z1156" s="77"/>
      <c r="AA1156" s="77"/>
      <c r="AB1156" s="77"/>
      <c r="AC1156" s="82" t="s">
        <v>8255</v>
      </c>
      <c r="AD1156" s="77" t="s">
        <v>8278</v>
      </c>
      <c r="AE1156" s="80" t="str">
        <f>HYPERLINK("https://twitter.com/seu_dinheiro_br/status/1674781486963372037")</f>
        <v>https://twitter.com/seu_dinheiro_br/status/1674781486963372037</v>
      </c>
      <c r="AF1156" s="79">
        <v>45107.58792824074</v>
      </c>
      <c r="AG1156" s="85">
        <v>45107</v>
      </c>
      <c r="AH1156" s="82" t="s">
        <v>9305</v>
      </c>
      <c r="AI1156" s="77" t="b">
        <v>0</v>
      </c>
      <c r="AJ1156" s="77"/>
      <c r="AK1156" s="77"/>
      <c r="AL1156" s="77"/>
      <c r="AM1156" s="77"/>
      <c r="AN1156" s="77"/>
      <c r="AO1156" s="77"/>
      <c r="AP1156" s="77"/>
      <c r="AQ1156" s="77"/>
      <c r="AR1156" s="77"/>
      <c r="AS1156" s="77"/>
      <c r="AT1156" s="77"/>
      <c r="AU1156" s="77"/>
      <c r="AV1156" s="80" t="str">
        <f>HYPERLINK("https://pbs.twimg.com/profile_images/1041725334431952896/uaPtkYSp_normal.jpg")</f>
        <v>https://pbs.twimg.com/profile_images/1041725334431952896/uaPtkYSp_normal.jpg</v>
      </c>
      <c r="AW1156" s="82" t="s">
        <v>14251</v>
      </c>
      <c r="AX1156" s="82" t="s">
        <v>14251</v>
      </c>
      <c r="AY1156" s="77"/>
      <c r="AZ1156" s="82" t="s">
        <v>17385</v>
      </c>
      <c r="BA1156" s="82" t="s">
        <v>17385</v>
      </c>
      <c r="BB1156" s="82" t="s">
        <v>17385</v>
      </c>
      <c r="BC1156" s="82" t="s">
        <v>14251</v>
      </c>
      <c r="BD1156" s="82" t="s">
        <v>17550</v>
      </c>
      <c r="BE1156" s="77"/>
      <c r="BF1156" s="77"/>
      <c r="BG1156" s="77"/>
      <c r="BH1156" s="77"/>
      <c r="BI1156" s="77"/>
    </row>
    <row r="1157" spans="1:61" x14ac:dyDescent="0.25">
      <c r="A1157" s="62" t="s">
        <v>425</v>
      </c>
      <c r="B1157" s="62" t="s">
        <v>425</v>
      </c>
      <c r="C1157" s="63"/>
      <c r="D1157" s="64"/>
      <c r="E1157" s="65"/>
      <c r="F1157" s="66"/>
      <c r="G1157" s="63"/>
      <c r="H1157" s="67"/>
      <c r="I1157" s="68"/>
      <c r="J1157" s="68"/>
      <c r="K1157" s="32"/>
      <c r="L1157" s="75">
        <v>1157</v>
      </c>
      <c r="M1157" s="75"/>
      <c r="N1157" s="70"/>
      <c r="O1157" s="77" t="s">
        <v>179</v>
      </c>
      <c r="P1157" s="79">
        <v>45107.496064814812</v>
      </c>
      <c r="Q1157" s="77" t="s">
        <v>1948</v>
      </c>
      <c r="R1157" s="77">
        <v>0</v>
      </c>
      <c r="S1157" s="77">
        <v>0</v>
      </c>
      <c r="T1157" s="77">
        <v>0</v>
      </c>
      <c r="U1157" s="77">
        <v>0</v>
      </c>
      <c r="V1157" s="77">
        <v>200</v>
      </c>
      <c r="W1157" s="82" t="s">
        <v>5544</v>
      </c>
      <c r="X1157" s="80" t="str">
        <f>HYPERLINK("https://www.seudinheiro.com/2023/bolsa-dolar/direcional-dirr3-oferta-de-acoes-preco-vinp/")</f>
        <v>https://www.seudinheiro.com/2023/bolsa-dolar/direcional-dirr3-oferta-de-acoes-preco-vinp/</v>
      </c>
      <c r="Y1157" s="77" t="s">
        <v>7102</v>
      </c>
      <c r="Z1157" s="77"/>
      <c r="AA1157" s="77"/>
      <c r="AB1157" s="77"/>
      <c r="AC1157" s="82" t="s">
        <v>8255</v>
      </c>
      <c r="AD1157" s="77" t="s">
        <v>8278</v>
      </c>
      <c r="AE1157" s="80" t="str">
        <f>HYPERLINK("https://twitter.com/seu_dinheiro_br/status/1674748199699898369")</f>
        <v>https://twitter.com/seu_dinheiro_br/status/1674748199699898369</v>
      </c>
      <c r="AF1157" s="79">
        <v>45107.496064814812</v>
      </c>
      <c r="AG1157" s="85">
        <v>45107</v>
      </c>
      <c r="AH1157" s="82" t="s">
        <v>9306</v>
      </c>
      <c r="AI1157" s="77" t="b">
        <v>0</v>
      </c>
      <c r="AJ1157" s="77"/>
      <c r="AK1157" s="77"/>
      <c r="AL1157" s="77"/>
      <c r="AM1157" s="77"/>
      <c r="AN1157" s="77"/>
      <c r="AO1157" s="77"/>
      <c r="AP1157" s="77"/>
      <c r="AQ1157" s="77"/>
      <c r="AR1157" s="77"/>
      <c r="AS1157" s="77"/>
      <c r="AT1157" s="77"/>
      <c r="AU1157" s="77"/>
      <c r="AV1157" s="80" t="str">
        <f>HYPERLINK("https://pbs.twimg.com/profile_images/1041725334431952896/uaPtkYSp_normal.jpg")</f>
        <v>https://pbs.twimg.com/profile_images/1041725334431952896/uaPtkYSp_normal.jpg</v>
      </c>
      <c r="AW1157" s="82" t="s">
        <v>14252</v>
      </c>
      <c r="AX1157" s="82" t="s">
        <v>14252</v>
      </c>
      <c r="AY1157" s="77"/>
      <c r="AZ1157" s="82" t="s">
        <v>17385</v>
      </c>
      <c r="BA1157" s="82" t="s">
        <v>17385</v>
      </c>
      <c r="BB1157" s="82" t="s">
        <v>17385</v>
      </c>
      <c r="BC1157" s="82" t="s">
        <v>14252</v>
      </c>
      <c r="BD1157" s="82" t="s">
        <v>17550</v>
      </c>
      <c r="BE1157" s="77"/>
      <c r="BF1157" s="77"/>
      <c r="BG1157" s="77"/>
      <c r="BH1157" s="77"/>
      <c r="BI1157" s="77"/>
    </row>
    <row r="1158" spans="1:61" x14ac:dyDescent="0.25">
      <c r="A1158" s="62" t="s">
        <v>425</v>
      </c>
      <c r="B1158" s="62" t="s">
        <v>425</v>
      </c>
      <c r="C1158" s="63"/>
      <c r="D1158" s="64"/>
      <c r="E1158" s="65"/>
      <c r="F1158" s="66"/>
      <c r="G1158" s="63"/>
      <c r="H1158" s="67"/>
      <c r="I1158" s="68"/>
      <c r="J1158" s="68"/>
      <c r="K1158" s="32"/>
      <c r="L1158" s="75">
        <v>1158</v>
      </c>
      <c r="M1158" s="75"/>
      <c r="N1158" s="70"/>
      <c r="O1158" s="77" t="s">
        <v>179</v>
      </c>
      <c r="P1158" s="79">
        <v>45107.43886574074</v>
      </c>
      <c r="Q1158" s="77" t="s">
        <v>1949</v>
      </c>
      <c r="R1158" s="77">
        <v>0</v>
      </c>
      <c r="S1158" s="77">
        <v>0</v>
      </c>
      <c r="T1158" s="77">
        <v>0</v>
      </c>
      <c r="U1158" s="77">
        <v>0</v>
      </c>
      <c r="V1158" s="77">
        <v>503</v>
      </c>
      <c r="W1158" s="82" t="s">
        <v>5573</v>
      </c>
      <c r="X1158" s="80" t="str">
        <f>HYPERLINK("https://www.seudinheiro.com/2023/colunistas/day-trade-na-b3-saiba-como-lucrar-com-acoes-da-dexco-dxco3-30-06-miql/")</f>
        <v>https://www.seudinheiro.com/2023/colunistas/day-trade-na-b3-saiba-como-lucrar-com-acoes-da-dexco-dxco3-30-06-miql/</v>
      </c>
      <c r="Y1158" s="77" t="s">
        <v>7102</v>
      </c>
      <c r="Z1158" s="77"/>
      <c r="AA1158" s="77"/>
      <c r="AB1158" s="77"/>
      <c r="AC1158" s="82" t="s">
        <v>8255</v>
      </c>
      <c r="AD1158" s="77" t="s">
        <v>8278</v>
      </c>
      <c r="AE1158" s="80" t="str">
        <f>HYPERLINK("https://twitter.com/seu_dinheiro_br/status/1674727470539448320")</f>
        <v>https://twitter.com/seu_dinheiro_br/status/1674727470539448320</v>
      </c>
      <c r="AF1158" s="79">
        <v>45107.43886574074</v>
      </c>
      <c r="AG1158" s="85">
        <v>45107</v>
      </c>
      <c r="AH1158" s="82" t="s">
        <v>9307</v>
      </c>
      <c r="AI1158" s="77" t="b">
        <v>0</v>
      </c>
      <c r="AJ1158" s="77"/>
      <c r="AK1158" s="77"/>
      <c r="AL1158" s="77"/>
      <c r="AM1158" s="77"/>
      <c r="AN1158" s="77"/>
      <c r="AO1158" s="77"/>
      <c r="AP1158" s="77"/>
      <c r="AQ1158" s="77"/>
      <c r="AR1158" s="77"/>
      <c r="AS1158" s="77"/>
      <c r="AT1158" s="77"/>
      <c r="AU1158" s="77"/>
      <c r="AV1158" s="80" t="str">
        <f>HYPERLINK("https://pbs.twimg.com/profile_images/1041725334431952896/uaPtkYSp_normal.jpg")</f>
        <v>https://pbs.twimg.com/profile_images/1041725334431952896/uaPtkYSp_normal.jpg</v>
      </c>
      <c r="AW1158" s="82" t="s">
        <v>14253</v>
      </c>
      <c r="AX1158" s="82" t="s">
        <v>14253</v>
      </c>
      <c r="AY1158" s="77"/>
      <c r="AZ1158" s="82" t="s">
        <v>17385</v>
      </c>
      <c r="BA1158" s="82" t="s">
        <v>17385</v>
      </c>
      <c r="BB1158" s="82" t="s">
        <v>17385</v>
      </c>
      <c r="BC1158" s="82" t="s">
        <v>14253</v>
      </c>
      <c r="BD1158" s="82" t="s">
        <v>17550</v>
      </c>
      <c r="BE1158" s="77"/>
      <c r="BF1158" s="77"/>
      <c r="BG1158" s="77"/>
      <c r="BH1158" s="77"/>
      <c r="BI1158" s="77"/>
    </row>
    <row r="1159" spans="1:61" x14ac:dyDescent="0.25">
      <c r="A1159" s="62" t="s">
        <v>425</v>
      </c>
      <c r="B1159" s="62" t="s">
        <v>425</v>
      </c>
      <c r="C1159" s="63"/>
      <c r="D1159" s="64"/>
      <c r="E1159" s="65"/>
      <c r="F1159" s="66"/>
      <c r="G1159" s="63"/>
      <c r="H1159" s="67"/>
      <c r="I1159" s="68"/>
      <c r="J1159" s="68"/>
      <c r="K1159" s="32"/>
      <c r="L1159" s="75">
        <v>1159</v>
      </c>
      <c r="M1159" s="75"/>
      <c r="N1159" s="70"/>
      <c r="O1159" s="77" t="s">
        <v>179</v>
      </c>
      <c r="P1159" s="79">
        <v>45106.808634259258</v>
      </c>
      <c r="Q1159" s="77" t="s">
        <v>1950</v>
      </c>
      <c r="R1159" s="77">
        <v>1</v>
      </c>
      <c r="S1159" s="77">
        <v>4</v>
      </c>
      <c r="T1159" s="77">
        <v>0</v>
      </c>
      <c r="U1159" s="77">
        <v>0</v>
      </c>
      <c r="V1159" s="77">
        <v>320</v>
      </c>
      <c r="W1159" s="82" t="s">
        <v>5492</v>
      </c>
      <c r="X1159" s="80" t="str">
        <f>HYPERLINK("https://www.seudinheiro.com/2023/bolsa-dolar/conta-dos-investidores-vendidos-nas-acoes-da-via-viia3-vinp/")</f>
        <v>https://www.seudinheiro.com/2023/bolsa-dolar/conta-dos-investidores-vendidos-nas-acoes-da-via-viia3-vinp/</v>
      </c>
      <c r="Y1159" s="77" t="s">
        <v>7102</v>
      </c>
      <c r="Z1159" s="77"/>
      <c r="AA1159" s="77"/>
      <c r="AB1159" s="77"/>
      <c r="AC1159" s="82" t="s">
        <v>8255</v>
      </c>
      <c r="AD1159" s="77" t="s">
        <v>8278</v>
      </c>
      <c r="AE1159" s="80" t="str">
        <f>HYPERLINK("https://twitter.com/seu_dinheiro_br/status/1674499082709090304")</f>
        <v>https://twitter.com/seu_dinheiro_br/status/1674499082709090304</v>
      </c>
      <c r="AF1159" s="79">
        <v>45106.808634259258</v>
      </c>
      <c r="AG1159" s="85">
        <v>45106</v>
      </c>
      <c r="AH1159" s="82" t="s">
        <v>9308</v>
      </c>
      <c r="AI1159" s="77" t="b">
        <v>0</v>
      </c>
      <c r="AJ1159" s="77"/>
      <c r="AK1159" s="77"/>
      <c r="AL1159" s="77"/>
      <c r="AM1159" s="77"/>
      <c r="AN1159" s="77"/>
      <c r="AO1159" s="77"/>
      <c r="AP1159" s="77"/>
      <c r="AQ1159" s="77"/>
      <c r="AR1159" s="77"/>
      <c r="AS1159" s="77"/>
      <c r="AT1159" s="77"/>
      <c r="AU1159" s="77"/>
      <c r="AV1159" s="80" t="str">
        <f>HYPERLINK("https://pbs.twimg.com/profile_images/1041725334431952896/uaPtkYSp_normal.jpg")</f>
        <v>https://pbs.twimg.com/profile_images/1041725334431952896/uaPtkYSp_normal.jpg</v>
      </c>
      <c r="AW1159" s="82" t="s">
        <v>14254</v>
      </c>
      <c r="AX1159" s="82" t="s">
        <v>14254</v>
      </c>
      <c r="AY1159" s="77"/>
      <c r="AZ1159" s="82" t="s">
        <v>17385</v>
      </c>
      <c r="BA1159" s="82" t="s">
        <v>17385</v>
      </c>
      <c r="BB1159" s="82" t="s">
        <v>17385</v>
      </c>
      <c r="BC1159" s="82" t="s">
        <v>14254</v>
      </c>
      <c r="BD1159" s="82" t="s">
        <v>17550</v>
      </c>
      <c r="BE1159" s="77"/>
      <c r="BF1159" s="77"/>
      <c r="BG1159" s="77"/>
      <c r="BH1159" s="77"/>
      <c r="BI1159" s="77"/>
    </row>
    <row r="1160" spans="1:61" x14ac:dyDescent="0.25">
      <c r="A1160" s="62" t="s">
        <v>425</v>
      </c>
      <c r="B1160" s="62" t="s">
        <v>425</v>
      </c>
      <c r="C1160" s="63"/>
      <c r="D1160" s="64"/>
      <c r="E1160" s="65"/>
      <c r="F1160" s="66"/>
      <c r="G1160" s="63"/>
      <c r="H1160" s="67"/>
      <c r="I1160" s="68"/>
      <c r="J1160" s="68"/>
      <c r="K1160" s="32"/>
      <c r="L1160" s="75">
        <v>1160</v>
      </c>
      <c r="M1160" s="75"/>
      <c r="N1160" s="70"/>
      <c r="O1160" s="77" t="s">
        <v>179</v>
      </c>
      <c r="P1160" s="79">
        <v>45106.669062499997</v>
      </c>
      <c r="Q1160" s="77" t="s">
        <v>1951</v>
      </c>
      <c r="R1160" s="77">
        <v>0</v>
      </c>
      <c r="S1160" s="77">
        <v>1</v>
      </c>
      <c r="T1160" s="77">
        <v>0</v>
      </c>
      <c r="U1160" s="77">
        <v>0</v>
      </c>
      <c r="V1160" s="77">
        <v>210</v>
      </c>
      <c r="W1160" s="82" t="s">
        <v>5531</v>
      </c>
      <c r="X1160" s="80" t="str">
        <f>HYPERLINK("https://www.seudinheiro.com/2023/empresas/copel-cple3-vale-a-pena-se-antecipar-a-privatizacao-e-comprar-as-acoes-antes-este-banco-acha-que-sim-ccgg/")</f>
        <v>https://www.seudinheiro.com/2023/empresas/copel-cple3-vale-a-pena-se-antecipar-a-privatizacao-e-comprar-as-acoes-antes-este-banco-acha-que-sim-ccgg/</v>
      </c>
      <c r="Y1160" s="77" t="s">
        <v>7102</v>
      </c>
      <c r="Z1160" s="77"/>
      <c r="AA1160" s="77"/>
      <c r="AB1160" s="77"/>
      <c r="AC1160" s="82" t="s">
        <v>8255</v>
      </c>
      <c r="AD1160" s="77" t="s">
        <v>8278</v>
      </c>
      <c r="AE1160" s="80" t="str">
        <f>HYPERLINK("https://twitter.com/seu_dinheiro_br/status/1674448504108863489")</f>
        <v>https://twitter.com/seu_dinheiro_br/status/1674448504108863489</v>
      </c>
      <c r="AF1160" s="79">
        <v>45106.669062499997</v>
      </c>
      <c r="AG1160" s="85">
        <v>45106</v>
      </c>
      <c r="AH1160" s="82" t="s">
        <v>9309</v>
      </c>
      <c r="AI1160" s="77" t="b">
        <v>0</v>
      </c>
      <c r="AJ1160" s="77"/>
      <c r="AK1160" s="77"/>
      <c r="AL1160" s="77"/>
      <c r="AM1160" s="77"/>
      <c r="AN1160" s="77"/>
      <c r="AO1160" s="77"/>
      <c r="AP1160" s="77"/>
      <c r="AQ1160" s="77"/>
      <c r="AR1160" s="77"/>
      <c r="AS1160" s="77"/>
      <c r="AT1160" s="77"/>
      <c r="AU1160" s="77"/>
      <c r="AV1160" s="80" t="str">
        <f>HYPERLINK("https://pbs.twimg.com/profile_images/1041725334431952896/uaPtkYSp_normal.jpg")</f>
        <v>https://pbs.twimg.com/profile_images/1041725334431952896/uaPtkYSp_normal.jpg</v>
      </c>
      <c r="AW1160" s="82" t="s">
        <v>14255</v>
      </c>
      <c r="AX1160" s="82" t="s">
        <v>14255</v>
      </c>
      <c r="AY1160" s="77"/>
      <c r="AZ1160" s="82" t="s">
        <v>17385</v>
      </c>
      <c r="BA1160" s="82" t="s">
        <v>17385</v>
      </c>
      <c r="BB1160" s="82" t="s">
        <v>17385</v>
      </c>
      <c r="BC1160" s="82" t="s">
        <v>14255</v>
      </c>
      <c r="BD1160" s="82" t="s">
        <v>17550</v>
      </c>
      <c r="BE1160" s="77"/>
      <c r="BF1160" s="77"/>
      <c r="BG1160" s="77"/>
      <c r="BH1160" s="77"/>
      <c r="BI1160" s="77"/>
    </row>
    <row r="1161" spans="1:61" x14ac:dyDescent="0.25">
      <c r="A1161" s="62" t="s">
        <v>425</v>
      </c>
      <c r="B1161" s="62" t="s">
        <v>425</v>
      </c>
      <c r="C1161" s="63"/>
      <c r="D1161" s="64"/>
      <c r="E1161" s="65"/>
      <c r="F1161" s="66"/>
      <c r="G1161" s="63"/>
      <c r="H1161" s="67"/>
      <c r="I1161" s="68"/>
      <c r="J1161" s="68"/>
      <c r="K1161" s="32"/>
      <c r="L1161" s="75">
        <v>1161</v>
      </c>
      <c r="M1161" s="75"/>
      <c r="N1161" s="70"/>
      <c r="O1161" s="77" t="s">
        <v>179</v>
      </c>
      <c r="P1161" s="79">
        <v>45106.613125000003</v>
      </c>
      <c r="Q1161" s="77" t="s">
        <v>1952</v>
      </c>
      <c r="R1161" s="77">
        <v>0</v>
      </c>
      <c r="S1161" s="77">
        <v>0</v>
      </c>
      <c r="T1161" s="77">
        <v>0</v>
      </c>
      <c r="U1161" s="77">
        <v>0</v>
      </c>
      <c r="V1161" s="77">
        <v>281</v>
      </c>
      <c r="W1161" s="82" t="s">
        <v>5574</v>
      </c>
      <c r="X1161" s="80" t="str">
        <f>HYPERLINK("https://www.seudinheiro.com/2023/empresas/inter-dobra-de-valor-em-dolar-em-tres-meses-jp-morgan-miql/")</f>
        <v>https://www.seudinheiro.com/2023/empresas/inter-dobra-de-valor-em-dolar-em-tres-meses-jp-morgan-miql/</v>
      </c>
      <c r="Y1161" s="77" t="s">
        <v>7102</v>
      </c>
      <c r="Z1161" s="77"/>
      <c r="AA1161" s="77"/>
      <c r="AB1161" s="77"/>
      <c r="AC1161" s="82" t="s">
        <v>8255</v>
      </c>
      <c r="AD1161" s="77" t="s">
        <v>8278</v>
      </c>
      <c r="AE1161" s="80" t="str">
        <f>HYPERLINK("https://twitter.com/seu_dinheiro_br/status/1674428230202441732")</f>
        <v>https://twitter.com/seu_dinheiro_br/status/1674428230202441732</v>
      </c>
      <c r="AF1161" s="79">
        <v>45106.613125000003</v>
      </c>
      <c r="AG1161" s="85">
        <v>45106</v>
      </c>
      <c r="AH1161" s="82" t="s">
        <v>9310</v>
      </c>
      <c r="AI1161" s="77" t="b">
        <v>0</v>
      </c>
      <c r="AJ1161" s="77"/>
      <c r="AK1161" s="77"/>
      <c r="AL1161" s="77"/>
      <c r="AM1161" s="77"/>
      <c r="AN1161" s="77"/>
      <c r="AO1161" s="77"/>
      <c r="AP1161" s="77"/>
      <c r="AQ1161" s="77"/>
      <c r="AR1161" s="77"/>
      <c r="AS1161" s="77"/>
      <c r="AT1161" s="77"/>
      <c r="AU1161" s="77"/>
      <c r="AV1161" s="80" t="str">
        <f>HYPERLINK("https://pbs.twimg.com/profile_images/1041725334431952896/uaPtkYSp_normal.jpg")</f>
        <v>https://pbs.twimg.com/profile_images/1041725334431952896/uaPtkYSp_normal.jpg</v>
      </c>
      <c r="AW1161" s="82" t="s">
        <v>14256</v>
      </c>
      <c r="AX1161" s="82" t="s">
        <v>14256</v>
      </c>
      <c r="AY1161" s="77"/>
      <c r="AZ1161" s="82" t="s">
        <v>17385</v>
      </c>
      <c r="BA1161" s="82" t="s">
        <v>17385</v>
      </c>
      <c r="BB1161" s="82" t="s">
        <v>17385</v>
      </c>
      <c r="BC1161" s="82" t="s">
        <v>14256</v>
      </c>
      <c r="BD1161" s="82" t="s">
        <v>17550</v>
      </c>
      <c r="BE1161" s="77"/>
      <c r="BF1161" s="77"/>
      <c r="BG1161" s="77"/>
      <c r="BH1161" s="77"/>
      <c r="BI1161" s="77"/>
    </row>
    <row r="1162" spans="1:61" x14ac:dyDescent="0.25">
      <c r="A1162" s="62" t="s">
        <v>425</v>
      </c>
      <c r="B1162" s="62" t="s">
        <v>425</v>
      </c>
      <c r="C1162" s="63"/>
      <c r="D1162" s="64"/>
      <c r="E1162" s="65"/>
      <c r="F1162" s="66"/>
      <c r="G1162" s="63"/>
      <c r="H1162" s="67"/>
      <c r="I1162" s="68"/>
      <c r="J1162" s="68"/>
      <c r="K1162" s="32"/>
      <c r="L1162" s="75">
        <v>1162</v>
      </c>
      <c r="M1162" s="75"/>
      <c r="N1162" s="70"/>
      <c r="O1162" s="77" t="s">
        <v>179</v>
      </c>
      <c r="P1162" s="79">
        <v>45084.729942129627</v>
      </c>
      <c r="Q1162" s="77" t="s">
        <v>1953</v>
      </c>
      <c r="R1162" s="77">
        <v>1</v>
      </c>
      <c r="S1162" s="77">
        <v>1</v>
      </c>
      <c r="T1162" s="77">
        <v>0</v>
      </c>
      <c r="U1162" s="77">
        <v>0</v>
      </c>
      <c r="V1162" s="77">
        <v>267</v>
      </c>
      <c r="W1162" s="82" t="s">
        <v>5475</v>
      </c>
      <c r="X1162" s="80" t="str">
        <f>HYPERLINK("https://www.seudinheiro.com/2023/empresas/jp-morgan-acoes-marcopolo-pomo4-randon-rapt4-tupy-tupy3-metal-leve-leve3-miql/")</f>
        <v>https://www.seudinheiro.com/2023/empresas/jp-morgan-acoes-marcopolo-pomo4-randon-rapt4-tupy-tupy3-metal-leve-leve3-miql/</v>
      </c>
      <c r="Y1162" s="77" t="s">
        <v>7102</v>
      </c>
      <c r="Z1162" s="77"/>
      <c r="AA1162" s="77"/>
      <c r="AB1162" s="77"/>
      <c r="AC1162" s="82" t="s">
        <v>8255</v>
      </c>
      <c r="AD1162" s="77" t="s">
        <v>8278</v>
      </c>
      <c r="AE1162" s="80" t="str">
        <f>HYPERLINK("https://twitter.com/seu_dinheiro_br/status/1666498032286720002")</f>
        <v>https://twitter.com/seu_dinheiro_br/status/1666498032286720002</v>
      </c>
      <c r="AF1162" s="79">
        <v>45084.729942129627</v>
      </c>
      <c r="AG1162" s="85">
        <v>45084</v>
      </c>
      <c r="AH1162" s="82" t="s">
        <v>9311</v>
      </c>
      <c r="AI1162" s="77" t="b">
        <v>0</v>
      </c>
      <c r="AJ1162" s="77"/>
      <c r="AK1162" s="77"/>
      <c r="AL1162" s="77"/>
      <c r="AM1162" s="77"/>
      <c r="AN1162" s="77"/>
      <c r="AO1162" s="77"/>
      <c r="AP1162" s="77"/>
      <c r="AQ1162" s="77"/>
      <c r="AR1162" s="77"/>
      <c r="AS1162" s="77"/>
      <c r="AT1162" s="77"/>
      <c r="AU1162" s="77"/>
      <c r="AV1162" s="80" t="str">
        <f>HYPERLINK("https://pbs.twimg.com/profile_images/1041725334431952896/uaPtkYSp_normal.jpg")</f>
        <v>https://pbs.twimg.com/profile_images/1041725334431952896/uaPtkYSp_normal.jpg</v>
      </c>
      <c r="AW1162" s="82" t="s">
        <v>14257</v>
      </c>
      <c r="AX1162" s="82" t="s">
        <v>14257</v>
      </c>
      <c r="AY1162" s="77"/>
      <c r="AZ1162" s="82" t="s">
        <v>17385</v>
      </c>
      <c r="BA1162" s="82" t="s">
        <v>17385</v>
      </c>
      <c r="BB1162" s="82" t="s">
        <v>17385</v>
      </c>
      <c r="BC1162" s="82" t="s">
        <v>14257</v>
      </c>
      <c r="BD1162" s="82" t="s">
        <v>17550</v>
      </c>
      <c r="BE1162" s="77"/>
      <c r="BF1162" s="77"/>
      <c r="BG1162" s="77"/>
      <c r="BH1162" s="77"/>
      <c r="BI1162" s="77"/>
    </row>
    <row r="1163" spans="1:61" x14ac:dyDescent="0.25">
      <c r="A1163" s="62" t="s">
        <v>425</v>
      </c>
      <c r="B1163" s="62" t="s">
        <v>425</v>
      </c>
      <c r="C1163" s="63"/>
      <c r="D1163" s="64"/>
      <c r="E1163" s="65"/>
      <c r="F1163" s="66"/>
      <c r="G1163" s="63"/>
      <c r="H1163" s="67"/>
      <c r="I1163" s="68"/>
      <c r="J1163" s="68"/>
      <c r="K1163" s="32"/>
      <c r="L1163" s="75">
        <v>1163</v>
      </c>
      <c r="M1163" s="75"/>
      <c r="N1163" s="70"/>
      <c r="O1163" s="77" t="s">
        <v>179</v>
      </c>
      <c r="P1163" s="79">
        <v>45084.698194444441</v>
      </c>
      <c r="Q1163" s="77" t="s">
        <v>1954</v>
      </c>
      <c r="R1163" s="77">
        <v>0</v>
      </c>
      <c r="S1163" s="77">
        <v>1</v>
      </c>
      <c r="T1163" s="77">
        <v>0</v>
      </c>
      <c r="U1163" s="77">
        <v>0</v>
      </c>
      <c r="V1163" s="77">
        <v>227</v>
      </c>
      <c r="W1163" s="82" t="s">
        <v>5521</v>
      </c>
      <c r="X1163" s="80" t="str">
        <f>HYPERLINK("https://www.seudinheiro.com/2023/empresas/petrobras-a-historia-dos-dividendos-ainda-nao-acabou-e-acao-tem-espaco-para-subir-mais-diz-morgan-stanley-ccgg/")</f>
        <v>https://www.seudinheiro.com/2023/empresas/petrobras-a-historia-dos-dividendos-ainda-nao-acabou-e-acao-tem-espaco-para-subir-mais-diz-morgan-stanley-ccgg/</v>
      </c>
      <c r="Y1163" s="77" t="s">
        <v>7102</v>
      </c>
      <c r="Z1163" s="77"/>
      <c r="AA1163" s="77"/>
      <c r="AB1163" s="77"/>
      <c r="AC1163" s="82" t="s">
        <v>8255</v>
      </c>
      <c r="AD1163" s="77" t="s">
        <v>8278</v>
      </c>
      <c r="AE1163" s="80" t="str">
        <f>HYPERLINK("https://twitter.com/seu_dinheiro_br/status/1666486528309075969")</f>
        <v>https://twitter.com/seu_dinheiro_br/status/1666486528309075969</v>
      </c>
      <c r="AF1163" s="79">
        <v>45084.698194444441</v>
      </c>
      <c r="AG1163" s="85">
        <v>45084</v>
      </c>
      <c r="AH1163" s="82" t="s">
        <v>9312</v>
      </c>
      <c r="AI1163" s="77" t="b">
        <v>0</v>
      </c>
      <c r="AJ1163" s="77"/>
      <c r="AK1163" s="77"/>
      <c r="AL1163" s="77"/>
      <c r="AM1163" s="77"/>
      <c r="AN1163" s="77"/>
      <c r="AO1163" s="77"/>
      <c r="AP1163" s="77"/>
      <c r="AQ1163" s="77"/>
      <c r="AR1163" s="77"/>
      <c r="AS1163" s="77"/>
      <c r="AT1163" s="77"/>
      <c r="AU1163" s="77"/>
      <c r="AV1163" s="80" t="str">
        <f>HYPERLINK("https://pbs.twimg.com/profile_images/1041725334431952896/uaPtkYSp_normal.jpg")</f>
        <v>https://pbs.twimg.com/profile_images/1041725334431952896/uaPtkYSp_normal.jpg</v>
      </c>
      <c r="AW1163" s="82" t="s">
        <v>14258</v>
      </c>
      <c r="AX1163" s="82" t="s">
        <v>14258</v>
      </c>
      <c r="AY1163" s="77"/>
      <c r="AZ1163" s="82" t="s">
        <v>17385</v>
      </c>
      <c r="BA1163" s="82" t="s">
        <v>17385</v>
      </c>
      <c r="BB1163" s="82" t="s">
        <v>17385</v>
      </c>
      <c r="BC1163" s="82" t="s">
        <v>14258</v>
      </c>
      <c r="BD1163" s="82" t="s">
        <v>17550</v>
      </c>
      <c r="BE1163" s="77"/>
      <c r="BF1163" s="77"/>
      <c r="BG1163" s="77"/>
      <c r="BH1163" s="77"/>
      <c r="BI1163" s="77"/>
    </row>
    <row r="1164" spans="1:61" x14ac:dyDescent="0.25">
      <c r="A1164" s="62" t="s">
        <v>425</v>
      </c>
      <c r="B1164" s="62" t="s">
        <v>425</v>
      </c>
      <c r="C1164" s="63"/>
      <c r="D1164" s="64"/>
      <c r="E1164" s="65"/>
      <c r="F1164" s="66"/>
      <c r="G1164" s="63"/>
      <c r="H1164" s="67"/>
      <c r="I1164" s="68"/>
      <c r="J1164" s="68"/>
      <c r="K1164" s="32"/>
      <c r="L1164" s="75">
        <v>1164</v>
      </c>
      <c r="M1164" s="75"/>
      <c r="N1164" s="70"/>
      <c r="O1164" s="77" t="s">
        <v>179</v>
      </c>
      <c r="P1164" s="79">
        <v>45084.52925925926</v>
      </c>
      <c r="Q1164" s="77" t="s">
        <v>1955</v>
      </c>
      <c r="R1164" s="77">
        <v>0</v>
      </c>
      <c r="S1164" s="77">
        <v>1</v>
      </c>
      <c r="T1164" s="77">
        <v>0</v>
      </c>
      <c r="U1164" s="77">
        <v>0</v>
      </c>
      <c r="V1164" s="77">
        <v>222</v>
      </c>
      <c r="W1164" s="82" t="s">
        <v>5475</v>
      </c>
      <c r="X1164" s="80" t="str">
        <f>HYPERLINK("https://www.seudinheiro.com/2023/empresas/itausa-itsa4-vai-embolsar-mais-de-r-1-bilhao-com-venda-de-fatia-na-xp-miql/")</f>
        <v>https://www.seudinheiro.com/2023/empresas/itausa-itsa4-vai-embolsar-mais-de-r-1-bilhao-com-venda-de-fatia-na-xp-miql/</v>
      </c>
      <c r="Y1164" s="77" t="s">
        <v>7102</v>
      </c>
      <c r="Z1164" s="77"/>
      <c r="AA1164" s="77"/>
      <c r="AB1164" s="77"/>
      <c r="AC1164" s="82" t="s">
        <v>8255</v>
      </c>
      <c r="AD1164" s="77" t="s">
        <v>8278</v>
      </c>
      <c r="AE1164" s="80" t="str">
        <f>HYPERLINK("https://twitter.com/seu_dinheiro_br/status/1666425307060895744")</f>
        <v>https://twitter.com/seu_dinheiro_br/status/1666425307060895744</v>
      </c>
      <c r="AF1164" s="79">
        <v>45084.52925925926</v>
      </c>
      <c r="AG1164" s="85">
        <v>45084</v>
      </c>
      <c r="AH1164" s="82" t="s">
        <v>9313</v>
      </c>
      <c r="AI1164" s="77" t="b">
        <v>0</v>
      </c>
      <c r="AJ1164" s="77"/>
      <c r="AK1164" s="77"/>
      <c r="AL1164" s="77"/>
      <c r="AM1164" s="77"/>
      <c r="AN1164" s="77"/>
      <c r="AO1164" s="77"/>
      <c r="AP1164" s="77"/>
      <c r="AQ1164" s="77"/>
      <c r="AR1164" s="77"/>
      <c r="AS1164" s="77"/>
      <c r="AT1164" s="77"/>
      <c r="AU1164" s="77"/>
      <c r="AV1164" s="80" t="str">
        <f>HYPERLINK("https://pbs.twimg.com/profile_images/1041725334431952896/uaPtkYSp_normal.jpg")</f>
        <v>https://pbs.twimg.com/profile_images/1041725334431952896/uaPtkYSp_normal.jpg</v>
      </c>
      <c r="AW1164" s="82" t="s">
        <v>14259</v>
      </c>
      <c r="AX1164" s="82" t="s">
        <v>14259</v>
      </c>
      <c r="AY1164" s="77"/>
      <c r="AZ1164" s="82" t="s">
        <v>17385</v>
      </c>
      <c r="BA1164" s="82" t="s">
        <v>17385</v>
      </c>
      <c r="BB1164" s="82" t="s">
        <v>17385</v>
      </c>
      <c r="BC1164" s="82" t="s">
        <v>14259</v>
      </c>
      <c r="BD1164" s="82" t="s">
        <v>17550</v>
      </c>
      <c r="BE1164" s="77"/>
      <c r="BF1164" s="77"/>
      <c r="BG1164" s="77"/>
      <c r="BH1164" s="77"/>
      <c r="BI1164" s="77"/>
    </row>
    <row r="1165" spans="1:61" x14ac:dyDescent="0.25">
      <c r="A1165" s="62" t="s">
        <v>425</v>
      </c>
      <c r="B1165" s="62" t="s">
        <v>425</v>
      </c>
      <c r="C1165" s="63"/>
      <c r="D1165" s="64"/>
      <c r="E1165" s="65"/>
      <c r="F1165" s="66"/>
      <c r="G1165" s="63"/>
      <c r="H1165" s="67"/>
      <c r="I1165" s="68"/>
      <c r="J1165" s="68"/>
      <c r="K1165" s="32"/>
      <c r="L1165" s="75">
        <v>1165</v>
      </c>
      <c r="M1165" s="75"/>
      <c r="N1165" s="70"/>
      <c r="O1165" s="77" t="s">
        <v>179</v>
      </c>
      <c r="P1165" s="79">
        <v>45084.46670138889</v>
      </c>
      <c r="Q1165" s="77" t="s">
        <v>1956</v>
      </c>
      <c r="R1165" s="77">
        <v>0</v>
      </c>
      <c r="S1165" s="77">
        <v>1</v>
      </c>
      <c r="T1165" s="77">
        <v>0</v>
      </c>
      <c r="U1165" s="77">
        <v>0</v>
      </c>
      <c r="V1165" s="77">
        <v>281</v>
      </c>
      <c r="W1165" s="82" t="s">
        <v>5474</v>
      </c>
      <c r="X1165" s="80" t="str">
        <f>HYPERLINK("https://www.seudinheiro.com/2023/colunistas/day-trade-na-b3-saiba-como-lucrar-com-acoes-da-camil-caml3-07-06-miql/")</f>
        <v>https://www.seudinheiro.com/2023/colunistas/day-trade-na-b3-saiba-como-lucrar-com-acoes-da-camil-caml3-07-06-miql/</v>
      </c>
      <c r="Y1165" s="77" t="s">
        <v>7102</v>
      </c>
      <c r="Z1165" s="77"/>
      <c r="AA1165" s="77"/>
      <c r="AB1165" s="77"/>
      <c r="AC1165" s="82" t="s">
        <v>8255</v>
      </c>
      <c r="AD1165" s="77" t="s">
        <v>8278</v>
      </c>
      <c r="AE1165" s="80" t="str">
        <f>HYPERLINK("https://twitter.com/seu_dinheiro_br/status/1666402637313392646")</f>
        <v>https://twitter.com/seu_dinheiro_br/status/1666402637313392646</v>
      </c>
      <c r="AF1165" s="79">
        <v>45084.46670138889</v>
      </c>
      <c r="AG1165" s="85">
        <v>45084</v>
      </c>
      <c r="AH1165" s="82" t="s">
        <v>9314</v>
      </c>
      <c r="AI1165" s="77" t="b">
        <v>0</v>
      </c>
      <c r="AJ1165" s="77"/>
      <c r="AK1165" s="77"/>
      <c r="AL1165" s="77"/>
      <c r="AM1165" s="77"/>
      <c r="AN1165" s="77"/>
      <c r="AO1165" s="77"/>
      <c r="AP1165" s="77"/>
      <c r="AQ1165" s="77"/>
      <c r="AR1165" s="77"/>
      <c r="AS1165" s="77"/>
      <c r="AT1165" s="77"/>
      <c r="AU1165" s="77"/>
      <c r="AV1165" s="80" t="str">
        <f>HYPERLINK("https://pbs.twimg.com/profile_images/1041725334431952896/uaPtkYSp_normal.jpg")</f>
        <v>https://pbs.twimg.com/profile_images/1041725334431952896/uaPtkYSp_normal.jpg</v>
      </c>
      <c r="AW1165" s="82" t="s">
        <v>14260</v>
      </c>
      <c r="AX1165" s="82" t="s">
        <v>14260</v>
      </c>
      <c r="AY1165" s="77"/>
      <c r="AZ1165" s="82" t="s">
        <v>17385</v>
      </c>
      <c r="BA1165" s="82" t="s">
        <v>17385</v>
      </c>
      <c r="BB1165" s="82" t="s">
        <v>17385</v>
      </c>
      <c r="BC1165" s="82" t="s">
        <v>14260</v>
      </c>
      <c r="BD1165" s="82" t="s">
        <v>17550</v>
      </c>
      <c r="BE1165" s="77"/>
      <c r="BF1165" s="77"/>
      <c r="BG1165" s="77"/>
      <c r="BH1165" s="77"/>
      <c r="BI1165" s="77"/>
    </row>
    <row r="1166" spans="1:61" x14ac:dyDescent="0.25">
      <c r="A1166" s="62" t="s">
        <v>425</v>
      </c>
      <c r="B1166" s="62" t="s">
        <v>425</v>
      </c>
      <c r="C1166" s="63"/>
      <c r="D1166" s="64"/>
      <c r="E1166" s="65"/>
      <c r="F1166" s="66"/>
      <c r="G1166" s="63"/>
      <c r="H1166" s="67"/>
      <c r="I1166" s="68"/>
      <c r="J1166" s="68"/>
      <c r="K1166" s="32"/>
      <c r="L1166" s="75">
        <v>1166</v>
      </c>
      <c r="M1166" s="75"/>
      <c r="N1166" s="70"/>
      <c r="O1166" s="77" t="s">
        <v>179</v>
      </c>
      <c r="P1166" s="79">
        <v>45070.461678240739</v>
      </c>
      <c r="Q1166" s="77" t="s">
        <v>1957</v>
      </c>
      <c r="R1166" s="77">
        <v>0</v>
      </c>
      <c r="S1166" s="77">
        <v>1</v>
      </c>
      <c r="T1166" s="77">
        <v>0</v>
      </c>
      <c r="U1166" s="77">
        <v>0</v>
      </c>
      <c r="V1166" s="77">
        <v>308</v>
      </c>
      <c r="W1166" s="82" t="s">
        <v>5474</v>
      </c>
      <c r="X1166" s="80" t="str">
        <f>HYPERLINK("https://www.seudinheiro.com/2023/colunistas/day-trade-na-b3-como-lucrar-com-acoes-do-banco-abc-brasil-abcb4-24-05-miql/")</f>
        <v>https://www.seudinheiro.com/2023/colunistas/day-trade-na-b3-como-lucrar-com-acoes-do-banco-abc-brasil-abcb4-24-05-miql/</v>
      </c>
      <c r="Y1166" s="77" t="s">
        <v>7102</v>
      </c>
      <c r="Z1166" s="77"/>
      <c r="AA1166" s="77"/>
      <c r="AB1166" s="77"/>
      <c r="AC1166" s="82" t="s">
        <v>8255</v>
      </c>
      <c r="AD1166" s="77" t="s">
        <v>8278</v>
      </c>
      <c r="AE1166" s="80" t="str">
        <f>HYPERLINK("https://twitter.com/seu_dinheiro_br/status/1661327384220401666")</f>
        <v>https://twitter.com/seu_dinheiro_br/status/1661327384220401666</v>
      </c>
      <c r="AF1166" s="79">
        <v>45070.461678240739</v>
      </c>
      <c r="AG1166" s="85">
        <v>45070</v>
      </c>
      <c r="AH1166" s="82" t="s">
        <v>9315</v>
      </c>
      <c r="AI1166" s="77" t="b">
        <v>0</v>
      </c>
      <c r="AJ1166" s="77"/>
      <c r="AK1166" s="77"/>
      <c r="AL1166" s="77"/>
      <c r="AM1166" s="77"/>
      <c r="AN1166" s="77"/>
      <c r="AO1166" s="77"/>
      <c r="AP1166" s="77"/>
      <c r="AQ1166" s="77"/>
      <c r="AR1166" s="77"/>
      <c r="AS1166" s="77"/>
      <c r="AT1166" s="77"/>
      <c r="AU1166" s="77"/>
      <c r="AV1166" s="80" t="str">
        <f>HYPERLINK("https://pbs.twimg.com/profile_images/1041725334431952896/uaPtkYSp_normal.jpg")</f>
        <v>https://pbs.twimg.com/profile_images/1041725334431952896/uaPtkYSp_normal.jpg</v>
      </c>
      <c r="AW1166" s="82" t="s">
        <v>14261</v>
      </c>
      <c r="AX1166" s="82" t="s">
        <v>14261</v>
      </c>
      <c r="AY1166" s="77"/>
      <c r="AZ1166" s="82" t="s">
        <v>17385</v>
      </c>
      <c r="BA1166" s="82" t="s">
        <v>17385</v>
      </c>
      <c r="BB1166" s="82" t="s">
        <v>17385</v>
      </c>
      <c r="BC1166" s="82" t="s">
        <v>14261</v>
      </c>
      <c r="BD1166" s="82" t="s">
        <v>17550</v>
      </c>
      <c r="BE1166" s="77"/>
      <c r="BF1166" s="77"/>
      <c r="BG1166" s="77"/>
      <c r="BH1166" s="77"/>
      <c r="BI1166" s="77"/>
    </row>
    <row r="1167" spans="1:61" x14ac:dyDescent="0.25">
      <c r="A1167" s="62" t="s">
        <v>425</v>
      </c>
      <c r="B1167" s="62" t="s">
        <v>425</v>
      </c>
      <c r="C1167" s="63"/>
      <c r="D1167" s="64"/>
      <c r="E1167" s="65"/>
      <c r="F1167" s="66"/>
      <c r="G1167" s="63"/>
      <c r="H1167" s="67"/>
      <c r="I1167" s="68"/>
      <c r="J1167" s="68"/>
      <c r="K1167" s="32"/>
      <c r="L1167" s="75">
        <v>1167</v>
      </c>
      <c r="M1167" s="75"/>
      <c r="N1167" s="70"/>
      <c r="O1167" s="77" t="s">
        <v>179</v>
      </c>
      <c r="P1167" s="79">
        <v>45069.729108796295</v>
      </c>
      <c r="Q1167" s="77" t="s">
        <v>1958</v>
      </c>
      <c r="R1167" s="77">
        <v>0</v>
      </c>
      <c r="S1167" s="77">
        <v>0</v>
      </c>
      <c r="T1167" s="77">
        <v>0</v>
      </c>
      <c r="U1167" s="77">
        <v>0</v>
      </c>
      <c r="V1167" s="77">
        <v>207</v>
      </c>
      <c r="W1167" s="82" t="s">
        <v>5474</v>
      </c>
      <c r="X1167" s="80" t="str">
        <f>HYPERLINK("https://www.seudinheiro.com/2023/colunistas/ruidos-mercado-financeiro-motivos-para-ficar-otimista-com-acoes-miql/")</f>
        <v>https://www.seudinheiro.com/2023/colunistas/ruidos-mercado-financeiro-motivos-para-ficar-otimista-com-acoes-miql/</v>
      </c>
      <c r="Y1167" s="77" t="s">
        <v>7102</v>
      </c>
      <c r="Z1167" s="77"/>
      <c r="AA1167" s="77"/>
      <c r="AB1167" s="77"/>
      <c r="AC1167" s="82" t="s">
        <v>8255</v>
      </c>
      <c r="AD1167" s="77" t="s">
        <v>8278</v>
      </c>
      <c r="AE1167" s="80" t="str">
        <f>HYPERLINK("https://twitter.com/seu_dinheiro_br/status/1661061910651977759")</f>
        <v>https://twitter.com/seu_dinheiro_br/status/1661061910651977759</v>
      </c>
      <c r="AF1167" s="79">
        <v>45069.729108796295</v>
      </c>
      <c r="AG1167" s="85">
        <v>45069</v>
      </c>
      <c r="AH1167" s="82" t="s">
        <v>9316</v>
      </c>
      <c r="AI1167" s="77" t="b">
        <v>0</v>
      </c>
      <c r="AJ1167" s="77"/>
      <c r="AK1167" s="77"/>
      <c r="AL1167" s="77"/>
      <c r="AM1167" s="77"/>
      <c r="AN1167" s="77"/>
      <c r="AO1167" s="77"/>
      <c r="AP1167" s="77"/>
      <c r="AQ1167" s="77"/>
      <c r="AR1167" s="77"/>
      <c r="AS1167" s="77"/>
      <c r="AT1167" s="77"/>
      <c r="AU1167" s="77"/>
      <c r="AV1167" s="80" t="str">
        <f>HYPERLINK("https://pbs.twimg.com/profile_images/1041725334431952896/uaPtkYSp_normal.jpg")</f>
        <v>https://pbs.twimg.com/profile_images/1041725334431952896/uaPtkYSp_normal.jpg</v>
      </c>
      <c r="AW1167" s="82" t="s">
        <v>14262</v>
      </c>
      <c r="AX1167" s="82" t="s">
        <v>14262</v>
      </c>
      <c r="AY1167" s="77"/>
      <c r="AZ1167" s="82" t="s">
        <v>17385</v>
      </c>
      <c r="BA1167" s="82" t="s">
        <v>17385</v>
      </c>
      <c r="BB1167" s="82" t="s">
        <v>17385</v>
      </c>
      <c r="BC1167" s="82" t="s">
        <v>14262</v>
      </c>
      <c r="BD1167" s="82" t="s">
        <v>17550</v>
      </c>
      <c r="BE1167" s="77"/>
      <c r="BF1167" s="77"/>
      <c r="BG1167" s="77"/>
      <c r="BH1167" s="77"/>
      <c r="BI1167" s="77"/>
    </row>
    <row r="1168" spans="1:61" x14ac:dyDescent="0.25">
      <c r="A1168" s="62" t="s">
        <v>425</v>
      </c>
      <c r="B1168" s="62" t="s">
        <v>425</v>
      </c>
      <c r="C1168" s="63"/>
      <c r="D1168" s="64"/>
      <c r="E1168" s="65"/>
      <c r="F1168" s="66"/>
      <c r="G1168" s="63"/>
      <c r="H1168" s="67"/>
      <c r="I1168" s="68"/>
      <c r="J1168" s="68"/>
      <c r="K1168" s="32"/>
      <c r="L1168" s="75">
        <v>1168</v>
      </c>
      <c r="M1168" s="75"/>
      <c r="N1168" s="70"/>
      <c r="O1168" s="77" t="s">
        <v>179</v>
      </c>
      <c r="P1168" s="79">
        <v>45181.812071759261</v>
      </c>
      <c r="Q1168" s="77" t="s">
        <v>1959</v>
      </c>
      <c r="R1168" s="77">
        <v>0</v>
      </c>
      <c r="S1168" s="77">
        <v>0</v>
      </c>
      <c r="T1168" s="77">
        <v>1</v>
      </c>
      <c r="U1168" s="77">
        <v>0</v>
      </c>
      <c r="V1168" s="77">
        <v>236</v>
      </c>
      <c r="W1168" s="82" t="s">
        <v>5575</v>
      </c>
      <c r="X1168" s="80" t="str">
        <f>HYPERLINK("https://www.seudinheiro.com/2023/empresas/o-melhor-investimento-para-a-cosan-e-nela-mesma-por-que-a-empresa-prefere-recompra-de-acoes-a-outros-investimentos-e-ve-ipos-so-a-partir-de-2024-dfon/")</f>
        <v>https://www.seudinheiro.com/2023/empresas/o-melhor-investimento-para-a-cosan-e-nela-mesma-por-que-a-empresa-prefere-recompra-de-acoes-a-outros-investimentos-e-ve-ipos-so-a-partir-de-2024-dfon/</v>
      </c>
      <c r="Y1168" s="77" t="s">
        <v>7102</v>
      </c>
      <c r="Z1168" s="77"/>
      <c r="AA1168" s="77"/>
      <c r="AB1168" s="77"/>
      <c r="AC1168" s="82" t="s">
        <v>8255</v>
      </c>
      <c r="AD1168" s="77" t="s">
        <v>8278</v>
      </c>
      <c r="AE1168" s="80" t="str">
        <f>HYPERLINK("https://twitter.com/seu_dinheiro_br/status/1701679416382763281")</f>
        <v>https://twitter.com/seu_dinheiro_br/status/1701679416382763281</v>
      </c>
      <c r="AF1168" s="79">
        <v>45181.812071759261</v>
      </c>
      <c r="AG1168" s="85">
        <v>45181</v>
      </c>
      <c r="AH1168" s="82" t="s">
        <v>9317</v>
      </c>
      <c r="AI1168" s="77" t="b">
        <v>0</v>
      </c>
      <c r="AJ1168" s="77"/>
      <c r="AK1168" s="77"/>
      <c r="AL1168" s="77"/>
      <c r="AM1168" s="77"/>
      <c r="AN1168" s="77"/>
      <c r="AO1168" s="77"/>
      <c r="AP1168" s="77"/>
      <c r="AQ1168" s="77"/>
      <c r="AR1168" s="77"/>
      <c r="AS1168" s="77"/>
      <c r="AT1168" s="77"/>
      <c r="AU1168" s="77"/>
      <c r="AV1168" s="80" t="str">
        <f>HYPERLINK("https://pbs.twimg.com/profile_images/1041725334431952896/uaPtkYSp_normal.jpg")</f>
        <v>https://pbs.twimg.com/profile_images/1041725334431952896/uaPtkYSp_normal.jpg</v>
      </c>
      <c r="AW1168" s="82" t="s">
        <v>14263</v>
      </c>
      <c r="AX1168" s="82" t="s">
        <v>14263</v>
      </c>
      <c r="AY1168" s="77"/>
      <c r="AZ1168" s="82" t="s">
        <v>17385</v>
      </c>
      <c r="BA1168" s="82" t="s">
        <v>17385</v>
      </c>
      <c r="BB1168" s="82" t="s">
        <v>17385</v>
      </c>
      <c r="BC1168" s="82" t="s">
        <v>14263</v>
      </c>
      <c r="BD1168" s="82" t="s">
        <v>17550</v>
      </c>
      <c r="BE1168" s="77"/>
      <c r="BF1168" s="77"/>
      <c r="BG1168" s="77"/>
      <c r="BH1168" s="77"/>
      <c r="BI1168" s="77"/>
    </row>
    <row r="1169" spans="1:61" x14ac:dyDescent="0.25">
      <c r="A1169" s="62" t="s">
        <v>425</v>
      </c>
      <c r="B1169" s="62" t="s">
        <v>425</v>
      </c>
      <c r="C1169" s="63"/>
      <c r="D1169" s="64"/>
      <c r="E1169" s="65"/>
      <c r="F1169" s="66"/>
      <c r="G1169" s="63"/>
      <c r="H1169" s="67"/>
      <c r="I1169" s="68"/>
      <c r="J1169" s="68"/>
      <c r="K1169" s="32"/>
      <c r="L1169" s="75">
        <v>1169</v>
      </c>
      <c r="M1169" s="75"/>
      <c r="N1169" s="70"/>
      <c r="O1169" s="77" t="s">
        <v>179</v>
      </c>
      <c r="P1169" s="79">
        <v>45181.736122685186</v>
      </c>
      <c r="Q1169" s="77" t="s">
        <v>1960</v>
      </c>
      <c r="R1169" s="77">
        <v>0</v>
      </c>
      <c r="S1169" s="77">
        <v>1</v>
      </c>
      <c r="T1169" s="77">
        <v>0</v>
      </c>
      <c r="U1169" s="77">
        <v>0</v>
      </c>
      <c r="V1169" s="77">
        <v>215</v>
      </c>
      <c r="W1169" s="82" t="s">
        <v>5576</v>
      </c>
      <c r="X1169" s="80" t="str">
        <f>HYPERLINK("https://www.seudinheiro.com/2023/empresas/por-que-acao-da-vale-voltou-a-ser-queridinha-dos-analistas-mesmo-depois-da-queda-lbdr/")</f>
        <v>https://www.seudinheiro.com/2023/empresas/por-que-acao-da-vale-voltou-a-ser-queridinha-dos-analistas-mesmo-depois-da-queda-lbdr/</v>
      </c>
      <c r="Y1169" s="77" t="s">
        <v>7102</v>
      </c>
      <c r="Z1169" s="77"/>
      <c r="AA1169" s="77"/>
      <c r="AB1169" s="77"/>
      <c r="AC1169" s="82" t="s">
        <v>8255</v>
      </c>
      <c r="AD1169" s="77" t="s">
        <v>8278</v>
      </c>
      <c r="AE1169" s="80" t="str">
        <f>HYPERLINK("https://twitter.com/seu_dinheiro_br/status/1701651896476315730")</f>
        <v>https://twitter.com/seu_dinheiro_br/status/1701651896476315730</v>
      </c>
      <c r="AF1169" s="79">
        <v>45181.736122685186</v>
      </c>
      <c r="AG1169" s="85">
        <v>45181</v>
      </c>
      <c r="AH1169" s="82" t="s">
        <v>9318</v>
      </c>
      <c r="AI1169" s="77" t="b">
        <v>0</v>
      </c>
      <c r="AJ1169" s="77"/>
      <c r="AK1169" s="77"/>
      <c r="AL1169" s="77"/>
      <c r="AM1169" s="77"/>
      <c r="AN1169" s="77"/>
      <c r="AO1169" s="77"/>
      <c r="AP1169" s="77"/>
      <c r="AQ1169" s="77"/>
      <c r="AR1169" s="77"/>
      <c r="AS1169" s="77"/>
      <c r="AT1169" s="77"/>
      <c r="AU1169" s="77"/>
      <c r="AV1169" s="80" t="str">
        <f>HYPERLINK("https://pbs.twimg.com/profile_images/1041725334431952896/uaPtkYSp_normal.jpg")</f>
        <v>https://pbs.twimg.com/profile_images/1041725334431952896/uaPtkYSp_normal.jpg</v>
      </c>
      <c r="AW1169" s="82" t="s">
        <v>14264</v>
      </c>
      <c r="AX1169" s="82" t="s">
        <v>14264</v>
      </c>
      <c r="AY1169" s="77"/>
      <c r="AZ1169" s="82" t="s">
        <v>17385</v>
      </c>
      <c r="BA1169" s="82" t="s">
        <v>17385</v>
      </c>
      <c r="BB1169" s="82" t="s">
        <v>17385</v>
      </c>
      <c r="BC1169" s="82" t="s">
        <v>14264</v>
      </c>
      <c r="BD1169" s="82" t="s">
        <v>17550</v>
      </c>
      <c r="BE1169" s="77"/>
      <c r="BF1169" s="77"/>
      <c r="BG1169" s="77"/>
      <c r="BH1169" s="77"/>
      <c r="BI1169" s="77"/>
    </row>
    <row r="1170" spans="1:61" x14ac:dyDescent="0.25">
      <c r="A1170" s="62" t="s">
        <v>425</v>
      </c>
      <c r="B1170" s="62" t="s">
        <v>425</v>
      </c>
      <c r="C1170" s="63"/>
      <c r="D1170" s="64"/>
      <c r="E1170" s="65"/>
      <c r="F1170" s="66"/>
      <c r="G1170" s="63"/>
      <c r="H1170" s="67"/>
      <c r="I1170" s="68"/>
      <c r="J1170" s="68"/>
      <c r="K1170" s="32"/>
      <c r="L1170" s="75">
        <v>1170</v>
      </c>
      <c r="M1170" s="75"/>
      <c r="N1170" s="70"/>
      <c r="O1170" s="77" t="s">
        <v>179</v>
      </c>
      <c r="P1170" s="79">
        <v>45181.632696759261</v>
      </c>
      <c r="Q1170" s="77" t="s">
        <v>1961</v>
      </c>
      <c r="R1170" s="77">
        <v>0</v>
      </c>
      <c r="S1170" s="77">
        <v>0</v>
      </c>
      <c r="T1170" s="77">
        <v>0</v>
      </c>
      <c r="U1170" s="77">
        <v>0</v>
      </c>
      <c r="V1170" s="77">
        <v>176</v>
      </c>
      <c r="W1170" s="82" t="s">
        <v>5474</v>
      </c>
      <c r="X1170" s="80" t="str">
        <f>HYPERLINK("https://www.seudinheiro.com/2023/colunistas/formula-magica-para-ganhar-dinheiro-com-acoes-na-bolsa-ela-existe-mas-poucos-investidores-conseguem-vencer-o-mercado-davs/")</f>
        <v>https://www.seudinheiro.com/2023/colunistas/formula-magica-para-ganhar-dinheiro-com-acoes-na-bolsa-ela-existe-mas-poucos-investidores-conseguem-vencer-o-mercado-davs/</v>
      </c>
      <c r="Y1170" s="77" t="s">
        <v>7102</v>
      </c>
      <c r="Z1170" s="77"/>
      <c r="AA1170" s="77"/>
      <c r="AB1170" s="77"/>
      <c r="AC1170" s="82" t="s">
        <v>8255</v>
      </c>
      <c r="AD1170" s="77" t="s">
        <v>8278</v>
      </c>
      <c r="AE1170" s="80" t="str">
        <f>HYPERLINK("https://twitter.com/seu_dinheiro_br/status/1701614414485663778")</f>
        <v>https://twitter.com/seu_dinheiro_br/status/1701614414485663778</v>
      </c>
      <c r="AF1170" s="79">
        <v>45181.632696759261</v>
      </c>
      <c r="AG1170" s="85">
        <v>45181</v>
      </c>
      <c r="AH1170" s="82" t="s">
        <v>9319</v>
      </c>
      <c r="AI1170" s="77" t="b">
        <v>0</v>
      </c>
      <c r="AJ1170" s="77"/>
      <c r="AK1170" s="77"/>
      <c r="AL1170" s="77"/>
      <c r="AM1170" s="77"/>
      <c r="AN1170" s="77"/>
      <c r="AO1170" s="77"/>
      <c r="AP1170" s="77"/>
      <c r="AQ1170" s="77"/>
      <c r="AR1170" s="77"/>
      <c r="AS1170" s="77"/>
      <c r="AT1170" s="77"/>
      <c r="AU1170" s="77"/>
      <c r="AV1170" s="80" t="str">
        <f>HYPERLINK("https://pbs.twimg.com/profile_images/1041725334431952896/uaPtkYSp_normal.jpg")</f>
        <v>https://pbs.twimg.com/profile_images/1041725334431952896/uaPtkYSp_normal.jpg</v>
      </c>
      <c r="AW1170" s="82" t="s">
        <v>14265</v>
      </c>
      <c r="AX1170" s="82" t="s">
        <v>14265</v>
      </c>
      <c r="AY1170" s="77"/>
      <c r="AZ1170" s="82" t="s">
        <v>17385</v>
      </c>
      <c r="BA1170" s="82" t="s">
        <v>17385</v>
      </c>
      <c r="BB1170" s="82" t="s">
        <v>17385</v>
      </c>
      <c r="BC1170" s="82" t="s">
        <v>14265</v>
      </c>
      <c r="BD1170" s="82" t="s">
        <v>17550</v>
      </c>
      <c r="BE1170" s="77"/>
      <c r="BF1170" s="77"/>
      <c r="BG1170" s="77"/>
      <c r="BH1170" s="77"/>
      <c r="BI1170" s="77"/>
    </row>
    <row r="1171" spans="1:61" x14ac:dyDescent="0.25">
      <c r="A1171" s="62" t="s">
        <v>425</v>
      </c>
      <c r="B1171" s="62" t="s">
        <v>425</v>
      </c>
      <c r="C1171" s="63"/>
      <c r="D1171" s="64"/>
      <c r="E1171" s="65"/>
      <c r="F1171" s="66"/>
      <c r="G1171" s="63"/>
      <c r="H1171" s="67"/>
      <c r="I1171" s="68"/>
      <c r="J1171" s="68"/>
      <c r="K1171" s="32"/>
      <c r="L1171" s="75">
        <v>1171</v>
      </c>
      <c r="M1171" s="75"/>
      <c r="N1171" s="70"/>
      <c r="O1171" s="77" t="s">
        <v>179</v>
      </c>
      <c r="P1171" s="79">
        <v>45181.595671296294</v>
      </c>
      <c r="Q1171" s="77" t="s">
        <v>1962</v>
      </c>
      <c r="R1171" s="77">
        <v>0</v>
      </c>
      <c r="S1171" s="77">
        <v>0</v>
      </c>
      <c r="T1171" s="77">
        <v>0</v>
      </c>
      <c r="U1171" s="77">
        <v>0</v>
      </c>
      <c r="V1171" s="77">
        <v>223</v>
      </c>
      <c r="W1171" s="82" t="s">
        <v>5474</v>
      </c>
      <c r="X1171" s="80" t="str">
        <f>HYPERLINK("https://www.seudinheiro.com/2023/bolsa-dolar/via-viia3-taxa-para-operar-vendido-na-acao-na-b3-chega-a-quase-100-na-vespera-da-definicao-de-oferta-de-acoes-vinp/")</f>
        <v>https://www.seudinheiro.com/2023/bolsa-dolar/via-viia3-taxa-para-operar-vendido-na-acao-na-b3-chega-a-quase-100-na-vespera-da-definicao-de-oferta-de-acoes-vinp/</v>
      </c>
      <c r="Y1171" s="77" t="s">
        <v>7102</v>
      </c>
      <c r="Z1171" s="77"/>
      <c r="AA1171" s="77"/>
      <c r="AB1171" s="77"/>
      <c r="AC1171" s="82" t="s">
        <v>8255</v>
      </c>
      <c r="AD1171" s="77" t="s">
        <v>8278</v>
      </c>
      <c r="AE1171" s="80" t="str">
        <f>HYPERLINK("https://twitter.com/seu_dinheiro_br/status/1701600997439914315")</f>
        <v>https://twitter.com/seu_dinheiro_br/status/1701600997439914315</v>
      </c>
      <c r="AF1171" s="79">
        <v>45181.595671296294</v>
      </c>
      <c r="AG1171" s="85">
        <v>45181</v>
      </c>
      <c r="AH1171" s="82" t="s">
        <v>9320</v>
      </c>
      <c r="AI1171" s="77" t="b">
        <v>0</v>
      </c>
      <c r="AJ1171" s="77"/>
      <c r="AK1171" s="77"/>
      <c r="AL1171" s="77"/>
      <c r="AM1171" s="77"/>
      <c r="AN1171" s="77"/>
      <c r="AO1171" s="77"/>
      <c r="AP1171" s="77"/>
      <c r="AQ1171" s="77"/>
      <c r="AR1171" s="77"/>
      <c r="AS1171" s="77"/>
      <c r="AT1171" s="77"/>
      <c r="AU1171" s="77"/>
      <c r="AV1171" s="80" t="str">
        <f>HYPERLINK("https://pbs.twimg.com/profile_images/1041725334431952896/uaPtkYSp_normal.jpg")</f>
        <v>https://pbs.twimg.com/profile_images/1041725334431952896/uaPtkYSp_normal.jpg</v>
      </c>
      <c r="AW1171" s="82" t="s">
        <v>14266</v>
      </c>
      <c r="AX1171" s="82" t="s">
        <v>14266</v>
      </c>
      <c r="AY1171" s="77"/>
      <c r="AZ1171" s="82" t="s">
        <v>17385</v>
      </c>
      <c r="BA1171" s="82" t="s">
        <v>17385</v>
      </c>
      <c r="BB1171" s="82" t="s">
        <v>17385</v>
      </c>
      <c r="BC1171" s="82" t="s">
        <v>14266</v>
      </c>
      <c r="BD1171" s="82" t="s">
        <v>17550</v>
      </c>
      <c r="BE1171" s="77"/>
      <c r="BF1171" s="77"/>
      <c r="BG1171" s="77"/>
      <c r="BH1171" s="77"/>
      <c r="BI1171" s="77"/>
    </row>
    <row r="1172" spans="1:61" x14ac:dyDescent="0.25">
      <c r="A1172" s="62" t="s">
        <v>425</v>
      </c>
      <c r="B1172" s="62" t="s">
        <v>425</v>
      </c>
      <c r="C1172" s="63"/>
      <c r="D1172" s="64"/>
      <c r="E1172" s="65"/>
      <c r="F1172" s="66"/>
      <c r="G1172" s="63"/>
      <c r="H1172" s="67"/>
      <c r="I1172" s="68"/>
      <c r="J1172" s="68"/>
      <c r="K1172" s="32"/>
      <c r="L1172" s="75">
        <v>1172</v>
      </c>
      <c r="M1172" s="75"/>
      <c r="N1172" s="70"/>
      <c r="O1172" s="77" t="s">
        <v>179</v>
      </c>
      <c r="P1172" s="79">
        <v>45181.522083333337</v>
      </c>
      <c r="Q1172" s="77" t="s">
        <v>1963</v>
      </c>
      <c r="R1172" s="77">
        <v>0</v>
      </c>
      <c r="S1172" s="77">
        <v>0</v>
      </c>
      <c r="T1172" s="77">
        <v>0</v>
      </c>
      <c r="U1172" s="77">
        <v>0</v>
      </c>
      <c r="V1172" s="77">
        <v>182</v>
      </c>
      <c r="W1172" s="82" t="s">
        <v>5474</v>
      </c>
      <c r="X1172" s="80" t="str">
        <f>HYPERLINK("https://www.seudinheiro.com/2023/colunistas/day-trade-na-b3-como-lucrar-ate-8-5-com-acoes-da-jhsf-jhsf3-hoje-davs/")</f>
        <v>https://www.seudinheiro.com/2023/colunistas/day-trade-na-b3-como-lucrar-ate-8-5-com-acoes-da-jhsf-jhsf3-hoje-davs/</v>
      </c>
      <c r="Y1172" s="77" t="s">
        <v>7102</v>
      </c>
      <c r="Z1172" s="77"/>
      <c r="AA1172" s="77"/>
      <c r="AB1172" s="77"/>
      <c r="AC1172" s="82" t="s">
        <v>8255</v>
      </c>
      <c r="AD1172" s="77" t="s">
        <v>8278</v>
      </c>
      <c r="AE1172" s="80" t="str">
        <f>HYPERLINK("https://twitter.com/seu_dinheiro_br/status/1701574330113491334")</f>
        <v>https://twitter.com/seu_dinheiro_br/status/1701574330113491334</v>
      </c>
      <c r="AF1172" s="79">
        <v>45181.522083333337</v>
      </c>
      <c r="AG1172" s="85">
        <v>45181</v>
      </c>
      <c r="AH1172" s="82" t="s">
        <v>9321</v>
      </c>
      <c r="AI1172" s="77" t="b">
        <v>0</v>
      </c>
      <c r="AJ1172" s="77"/>
      <c r="AK1172" s="77"/>
      <c r="AL1172" s="77"/>
      <c r="AM1172" s="77"/>
      <c r="AN1172" s="77"/>
      <c r="AO1172" s="77"/>
      <c r="AP1172" s="77"/>
      <c r="AQ1172" s="77"/>
      <c r="AR1172" s="77"/>
      <c r="AS1172" s="77"/>
      <c r="AT1172" s="77"/>
      <c r="AU1172" s="77"/>
      <c r="AV1172" s="80" t="str">
        <f>HYPERLINK("https://pbs.twimg.com/profile_images/1041725334431952896/uaPtkYSp_normal.jpg")</f>
        <v>https://pbs.twimg.com/profile_images/1041725334431952896/uaPtkYSp_normal.jpg</v>
      </c>
      <c r="AW1172" s="82" t="s">
        <v>14267</v>
      </c>
      <c r="AX1172" s="82" t="s">
        <v>14267</v>
      </c>
      <c r="AY1172" s="77"/>
      <c r="AZ1172" s="82" t="s">
        <v>17385</v>
      </c>
      <c r="BA1172" s="82" t="s">
        <v>17385</v>
      </c>
      <c r="BB1172" s="82" t="s">
        <v>17385</v>
      </c>
      <c r="BC1172" s="82" t="s">
        <v>14267</v>
      </c>
      <c r="BD1172" s="82" t="s">
        <v>17550</v>
      </c>
      <c r="BE1172" s="77"/>
      <c r="BF1172" s="77"/>
      <c r="BG1172" s="77"/>
      <c r="BH1172" s="77"/>
      <c r="BI1172" s="77"/>
    </row>
    <row r="1173" spans="1:61" x14ac:dyDescent="0.25">
      <c r="A1173" s="62" t="s">
        <v>425</v>
      </c>
      <c r="B1173" s="62" t="s">
        <v>425</v>
      </c>
      <c r="C1173" s="63"/>
      <c r="D1173" s="64"/>
      <c r="E1173" s="65"/>
      <c r="F1173" s="66"/>
      <c r="G1173" s="63"/>
      <c r="H1173" s="67"/>
      <c r="I1173" s="68"/>
      <c r="J1173" s="68"/>
      <c r="K1173" s="32"/>
      <c r="L1173" s="75">
        <v>1173</v>
      </c>
      <c r="M1173" s="75"/>
      <c r="N1173" s="70"/>
      <c r="O1173" s="77" t="s">
        <v>179</v>
      </c>
      <c r="P1173" s="79">
        <v>45181.494513888887</v>
      </c>
      <c r="Q1173" s="77" t="s">
        <v>1964</v>
      </c>
      <c r="R1173" s="77">
        <v>0</v>
      </c>
      <c r="S1173" s="77">
        <v>0</v>
      </c>
      <c r="T1173" s="77">
        <v>0</v>
      </c>
      <c r="U1173" s="77">
        <v>0</v>
      </c>
      <c r="V1173" s="77">
        <v>157</v>
      </c>
      <c r="W1173" s="82" t="s">
        <v>5475</v>
      </c>
      <c r="X1173" s="80" t="str">
        <f>HYPERLINK("https://www.seudinheiro.com/2023/empresas/oncoclinicas-onco3-fecha-acordo-milionario-com-unimed-recife-miql/")</f>
        <v>https://www.seudinheiro.com/2023/empresas/oncoclinicas-onco3-fecha-acordo-milionario-com-unimed-recife-miql/</v>
      </c>
      <c r="Y1173" s="77" t="s">
        <v>7102</v>
      </c>
      <c r="Z1173" s="77"/>
      <c r="AA1173" s="77"/>
      <c r="AB1173" s="77"/>
      <c r="AC1173" s="82" t="s">
        <v>8255</v>
      </c>
      <c r="AD1173" s="77" t="s">
        <v>8278</v>
      </c>
      <c r="AE1173" s="80" t="str">
        <f>HYPERLINK("https://twitter.com/seu_dinheiro_br/status/1701564339252081100")</f>
        <v>https://twitter.com/seu_dinheiro_br/status/1701564339252081100</v>
      </c>
      <c r="AF1173" s="79">
        <v>45181.494513888887</v>
      </c>
      <c r="AG1173" s="85">
        <v>45181</v>
      </c>
      <c r="AH1173" s="82" t="s">
        <v>9322</v>
      </c>
      <c r="AI1173" s="77" t="b">
        <v>0</v>
      </c>
      <c r="AJ1173" s="77"/>
      <c r="AK1173" s="77"/>
      <c r="AL1173" s="77"/>
      <c r="AM1173" s="77"/>
      <c r="AN1173" s="77"/>
      <c r="AO1173" s="77"/>
      <c r="AP1173" s="77"/>
      <c r="AQ1173" s="77"/>
      <c r="AR1173" s="77"/>
      <c r="AS1173" s="77"/>
      <c r="AT1173" s="77"/>
      <c r="AU1173" s="77"/>
      <c r="AV1173" s="80" t="str">
        <f>HYPERLINK("https://pbs.twimg.com/profile_images/1041725334431952896/uaPtkYSp_normal.jpg")</f>
        <v>https://pbs.twimg.com/profile_images/1041725334431952896/uaPtkYSp_normal.jpg</v>
      </c>
      <c r="AW1173" s="82" t="s">
        <v>14268</v>
      </c>
      <c r="AX1173" s="82" t="s">
        <v>14268</v>
      </c>
      <c r="AY1173" s="77"/>
      <c r="AZ1173" s="82" t="s">
        <v>17385</v>
      </c>
      <c r="BA1173" s="82" t="s">
        <v>17385</v>
      </c>
      <c r="BB1173" s="82" t="s">
        <v>17385</v>
      </c>
      <c r="BC1173" s="82" t="s">
        <v>14268</v>
      </c>
      <c r="BD1173" s="82" t="s">
        <v>17550</v>
      </c>
      <c r="BE1173" s="77"/>
      <c r="BF1173" s="77"/>
      <c r="BG1173" s="77"/>
      <c r="BH1173" s="77"/>
      <c r="BI1173" s="77"/>
    </row>
    <row r="1174" spans="1:61" x14ac:dyDescent="0.25">
      <c r="A1174" s="62" t="s">
        <v>425</v>
      </c>
      <c r="B1174" s="62" t="s">
        <v>425</v>
      </c>
      <c r="C1174" s="63"/>
      <c r="D1174" s="64"/>
      <c r="E1174" s="65"/>
      <c r="F1174" s="66"/>
      <c r="G1174" s="63"/>
      <c r="H1174" s="67"/>
      <c r="I1174" s="68"/>
      <c r="J1174" s="68"/>
      <c r="K1174" s="32"/>
      <c r="L1174" s="75">
        <v>1174</v>
      </c>
      <c r="M1174" s="75"/>
      <c r="N1174" s="70"/>
      <c r="O1174" s="77" t="s">
        <v>179</v>
      </c>
      <c r="P1174" s="79">
        <v>45180.930219907408</v>
      </c>
      <c r="Q1174" s="77" t="s">
        <v>1965</v>
      </c>
      <c r="R1174" s="77">
        <v>0</v>
      </c>
      <c r="S1174" s="77">
        <v>0</v>
      </c>
      <c r="T1174" s="77">
        <v>0</v>
      </c>
      <c r="U1174" s="77">
        <v>0</v>
      </c>
      <c r="V1174" s="77">
        <v>251</v>
      </c>
      <c r="W1174" s="82" t="s">
        <v>5577</v>
      </c>
      <c r="X1174" s="80" t="str">
        <f>HYPERLINK("https://www.seudinheiro.com/2023/economia/acao-fora-do-radar-disparou-190-por-cento-e-ha-espaco-para-mais-lbdr/")</f>
        <v>https://www.seudinheiro.com/2023/economia/acao-fora-do-radar-disparou-190-por-cento-e-ha-espaco-para-mais-lbdr/</v>
      </c>
      <c r="Y1174" s="77" t="s">
        <v>7102</v>
      </c>
      <c r="Z1174" s="77"/>
      <c r="AA1174" s="77"/>
      <c r="AB1174" s="77"/>
      <c r="AC1174" s="82" t="s">
        <v>8255</v>
      </c>
      <c r="AD1174" s="77" t="s">
        <v>8278</v>
      </c>
      <c r="AE1174" s="80" t="str">
        <f>HYPERLINK("https://twitter.com/seu_dinheiro_br/status/1701359844148548094")</f>
        <v>https://twitter.com/seu_dinheiro_br/status/1701359844148548094</v>
      </c>
      <c r="AF1174" s="79">
        <v>45180.930219907408</v>
      </c>
      <c r="AG1174" s="85">
        <v>45180</v>
      </c>
      <c r="AH1174" s="82" t="s">
        <v>9323</v>
      </c>
      <c r="AI1174" s="77" t="b">
        <v>0</v>
      </c>
      <c r="AJ1174" s="77"/>
      <c r="AK1174" s="77"/>
      <c r="AL1174" s="77"/>
      <c r="AM1174" s="77"/>
      <c r="AN1174" s="77"/>
      <c r="AO1174" s="77"/>
      <c r="AP1174" s="77"/>
      <c r="AQ1174" s="77"/>
      <c r="AR1174" s="77"/>
      <c r="AS1174" s="77"/>
      <c r="AT1174" s="77"/>
      <c r="AU1174" s="77"/>
      <c r="AV1174" s="80" t="str">
        <f>HYPERLINK("https://pbs.twimg.com/profile_images/1041725334431952896/uaPtkYSp_normal.jpg")</f>
        <v>https://pbs.twimg.com/profile_images/1041725334431952896/uaPtkYSp_normal.jpg</v>
      </c>
      <c r="AW1174" s="82" t="s">
        <v>14269</v>
      </c>
      <c r="AX1174" s="82" t="s">
        <v>14269</v>
      </c>
      <c r="AY1174" s="77"/>
      <c r="AZ1174" s="82" t="s">
        <v>17385</v>
      </c>
      <c r="BA1174" s="82" t="s">
        <v>17385</v>
      </c>
      <c r="BB1174" s="82" t="s">
        <v>17385</v>
      </c>
      <c r="BC1174" s="82" t="s">
        <v>14269</v>
      </c>
      <c r="BD1174" s="82" t="s">
        <v>17550</v>
      </c>
      <c r="BE1174" s="77"/>
      <c r="BF1174" s="77"/>
      <c r="BG1174" s="77"/>
      <c r="BH1174" s="77"/>
      <c r="BI1174" s="77"/>
    </row>
    <row r="1175" spans="1:61" x14ac:dyDescent="0.25">
      <c r="A1175" s="62" t="s">
        <v>425</v>
      </c>
      <c r="B1175" s="62" t="s">
        <v>425</v>
      </c>
      <c r="C1175" s="63"/>
      <c r="D1175" s="64"/>
      <c r="E1175" s="65"/>
      <c r="F1175" s="66"/>
      <c r="G1175" s="63"/>
      <c r="H1175" s="67"/>
      <c r="I1175" s="68"/>
      <c r="J1175" s="68"/>
      <c r="K1175" s="32"/>
      <c r="L1175" s="75">
        <v>1175</v>
      </c>
      <c r="M1175" s="75"/>
      <c r="N1175" s="70"/>
      <c r="O1175" s="77" t="s">
        <v>179</v>
      </c>
      <c r="P1175" s="79">
        <v>45180.800196759257</v>
      </c>
      <c r="Q1175" s="77" t="s">
        <v>1966</v>
      </c>
      <c r="R1175" s="77">
        <v>0</v>
      </c>
      <c r="S1175" s="77">
        <v>0</v>
      </c>
      <c r="T1175" s="77">
        <v>1</v>
      </c>
      <c r="U1175" s="77">
        <v>0</v>
      </c>
      <c r="V1175" s="77">
        <v>254</v>
      </c>
      <c r="W1175" s="82" t="s">
        <v>5578</v>
      </c>
      <c r="X1175" s="80" t="str">
        <f>HYPERLINK("https://www.seudinheiro.com/2023/empresas/copel-cple6-eletrobras-elet3-apostas-desse-gestor-trader-privatizacao-miql/")</f>
        <v>https://www.seudinheiro.com/2023/empresas/copel-cple6-eletrobras-elet3-apostas-desse-gestor-trader-privatizacao-miql/</v>
      </c>
      <c r="Y1175" s="77" t="s">
        <v>7102</v>
      </c>
      <c r="Z1175" s="77"/>
      <c r="AA1175" s="77"/>
      <c r="AB1175" s="77"/>
      <c r="AC1175" s="82" t="s">
        <v>8255</v>
      </c>
      <c r="AD1175" s="77" t="s">
        <v>8278</v>
      </c>
      <c r="AE1175" s="80" t="str">
        <f>HYPERLINK("https://twitter.com/seu_dinheiro_br/status/1701312724586611018")</f>
        <v>https://twitter.com/seu_dinheiro_br/status/1701312724586611018</v>
      </c>
      <c r="AF1175" s="79">
        <v>45180.800196759257</v>
      </c>
      <c r="AG1175" s="85">
        <v>45180</v>
      </c>
      <c r="AH1175" s="82" t="s">
        <v>9324</v>
      </c>
      <c r="AI1175" s="77" t="b">
        <v>0</v>
      </c>
      <c r="AJ1175" s="77"/>
      <c r="AK1175" s="77"/>
      <c r="AL1175" s="77"/>
      <c r="AM1175" s="77"/>
      <c r="AN1175" s="77"/>
      <c r="AO1175" s="77"/>
      <c r="AP1175" s="77"/>
      <c r="AQ1175" s="77"/>
      <c r="AR1175" s="77"/>
      <c r="AS1175" s="77"/>
      <c r="AT1175" s="77"/>
      <c r="AU1175" s="77"/>
      <c r="AV1175" s="80" t="str">
        <f>HYPERLINK("https://pbs.twimg.com/profile_images/1041725334431952896/uaPtkYSp_normal.jpg")</f>
        <v>https://pbs.twimg.com/profile_images/1041725334431952896/uaPtkYSp_normal.jpg</v>
      </c>
      <c r="AW1175" s="82" t="s">
        <v>14270</v>
      </c>
      <c r="AX1175" s="82" t="s">
        <v>14270</v>
      </c>
      <c r="AY1175" s="77"/>
      <c r="AZ1175" s="82" t="s">
        <v>17385</v>
      </c>
      <c r="BA1175" s="82" t="s">
        <v>17385</v>
      </c>
      <c r="BB1175" s="82" t="s">
        <v>17385</v>
      </c>
      <c r="BC1175" s="82" t="s">
        <v>14270</v>
      </c>
      <c r="BD1175" s="82" t="s">
        <v>17550</v>
      </c>
      <c r="BE1175" s="77"/>
      <c r="BF1175" s="77"/>
      <c r="BG1175" s="77"/>
      <c r="BH1175" s="77"/>
      <c r="BI1175" s="77"/>
    </row>
    <row r="1176" spans="1:61" x14ac:dyDescent="0.25">
      <c r="A1176" s="62" t="s">
        <v>425</v>
      </c>
      <c r="B1176" s="62" t="s">
        <v>425</v>
      </c>
      <c r="C1176" s="63"/>
      <c r="D1176" s="64"/>
      <c r="E1176" s="65"/>
      <c r="F1176" s="66"/>
      <c r="G1176" s="63"/>
      <c r="H1176" s="67"/>
      <c r="I1176" s="68"/>
      <c r="J1176" s="68"/>
      <c r="K1176" s="32"/>
      <c r="L1176" s="75">
        <v>1176</v>
      </c>
      <c r="M1176" s="75"/>
      <c r="N1176" s="70"/>
      <c r="O1176" s="77" t="s">
        <v>179</v>
      </c>
      <c r="P1176" s="79">
        <v>45178.674293981479</v>
      </c>
      <c r="Q1176" s="77" t="s">
        <v>1967</v>
      </c>
      <c r="R1176" s="77">
        <v>0</v>
      </c>
      <c r="S1176" s="77">
        <v>3</v>
      </c>
      <c r="T1176" s="77">
        <v>0</v>
      </c>
      <c r="U1176" s="77">
        <v>0</v>
      </c>
      <c r="V1176" s="77">
        <v>323</v>
      </c>
      <c r="W1176" s="82" t="s">
        <v>5482</v>
      </c>
      <c r="X1176" s="80" t="str">
        <f>HYPERLINK("https://www.seudinheiro.com/2023/internacional/mickey-mouse-de-presente-o-megainvestidor-warren-buffett-tem-uma-disney-em-caixa-lils/")</f>
        <v>https://www.seudinheiro.com/2023/internacional/mickey-mouse-de-presente-o-megainvestidor-warren-buffett-tem-uma-disney-em-caixa-lils/</v>
      </c>
      <c r="Y1176" s="77" t="s">
        <v>7102</v>
      </c>
      <c r="Z1176" s="77"/>
      <c r="AA1176" s="77"/>
      <c r="AB1176" s="77"/>
      <c r="AC1176" s="82" t="s">
        <v>8255</v>
      </c>
      <c r="AD1176" s="77" t="s">
        <v>8278</v>
      </c>
      <c r="AE1176" s="80" t="str">
        <f>HYPERLINK("https://twitter.com/seu_dinheiro_br/status/1700542326215487915")</f>
        <v>https://twitter.com/seu_dinheiro_br/status/1700542326215487915</v>
      </c>
      <c r="AF1176" s="79">
        <v>45178.674293981479</v>
      </c>
      <c r="AG1176" s="85">
        <v>45178</v>
      </c>
      <c r="AH1176" s="82" t="s">
        <v>9325</v>
      </c>
      <c r="AI1176" s="77" t="b">
        <v>0</v>
      </c>
      <c r="AJ1176" s="77"/>
      <c r="AK1176" s="77"/>
      <c r="AL1176" s="77"/>
      <c r="AM1176" s="77"/>
      <c r="AN1176" s="77"/>
      <c r="AO1176" s="77"/>
      <c r="AP1176" s="77"/>
      <c r="AQ1176" s="77"/>
      <c r="AR1176" s="77"/>
      <c r="AS1176" s="77"/>
      <c r="AT1176" s="77"/>
      <c r="AU1176" s="77"/>
      <c r="AV1176" s="80" t="str">
        <f>HYPERLINK("https://pbs.twimg.com/profile_images/1041725334431952896/uaPtkYSp_normal.jpg")</f>
        <v>https://pbs.twimg.com/profile_images/1041725334431952896/uaPtkYSp_normal.jpg</v>
      </c>
      <c r="AW1176" s="82" t="s">
        <v>14271</v>
      </c>
      <c r="AX1176" s="82" t="s">
        <v>14271</v>
      </c>
      <c r="AY1176" s="77"/>
      <c r="AZ1176" s="82" t="s">
        <v>17385</v>
      </c>
      <c r="BA1176" s="82" t="s">
        <v>17385</v>
      </c>
      <c r="BB1176" s="82" t="s">
        <v>17385</v>
      </c>
      <c r="BC1176" s="82" t="s">
        <v>14271</v>
      </c>
      <c r="BD1176" s="82" t="s">
        <v>17550</v>
      </c>
      <c r="BE1176" s="77"/>
      <c r="BF1176" s="77"/>
      <c r="BG1176" s="77"/>
      <c r="BH1176" s="77"/>
      <c r="BI1176" s="77"/>
    </row>
    <row r="1177" spans="1:61" x14ac:dyDescent="0.25">
      <c r="A1177" s="62" t="s">
        <v>425</v>
      </c>
      <c r="B1177" s="62" t="s">
        <v>425</v>
      </c>
      <c r="C1177" s="63"/>
      <c r="D1177" s="64"/>
      <c r="E1177" s="65"/>
      <c r="F1177" s="66"/>
      <c r="G1177" s="63"/>
      <c r="H1177" s="67"/>
      <c r="I1177" s="68"/>
      <c r="J1177" s="68"/>
      <c r="K1177" s="32"/>
      <c r="L1177" s="75">
        <v>1177</v>
      </c>
      <c r="M1177" s="75"/>
      <c r="N1177" s="70"/>
      <c r="O1177" s="77" t="s">
        <v>179</v>
      </c>
      <c r="P1177" s="79">
        <v>45178.606296296297</v>
      </c>
      <c r="Q1177" s="77" t="s">
        <v>1968</v>
      </c>
      <c r="R1177" s="77">
        <v>0</v>
      </c>
      <c r="S1177" s="77">
        <v>0</v>
      </c>
      <c r="T1177" s="77">
        <v>0</v>
      </c>
      <c r="U1177" s="77">
        <v>0</v>
      </c>
      <c r="V1177" s="77">
        <v>246</v>
      </c>
      <c r="W1177" s="82" t="s">
        <v>5482</v>
      </c>
      <c r="X1177" s="80" t="str">
        <f>HYPERLINK("https://www.seudinheiro.com/2023/economia/o-que-falta-para-a-retomada-de-ipo-ipos-abertura-de-capital-na-bolsa-b3-lils/")</f>
        <v>https://www.seudinheiro.com/2023/economia/o-que-falta-para-a-retomada-de-ipo-ipos-abertura-de-capital-na-bolsa-b3-lils/</v>
      </c>
      <c r="Y1177" s="77" t="s">
        <v>7102</v>
      </c>
      <c r="Z1177" s="77"/>
      <c r="AA1177" s="77"/>
      <c r="AB1177" s="77"/>
      <c r="AC1177" s="82" t="s">
        <v>8255</v>
      </c>
      <c r="AD1177" s="77" t="s">
        <v>8278</v>
      </c>
      <c r="AE1177" s="80" t="str">
        <f>HYPERLINK("https://twitter.com/seu_dinheiro_br/status/1700517685476352288")</f>
        <v>https://twitter.com/seu_dinheiro_br/status/1700517685476352288</v>
      </c>
      <c r="AF1177" s="79">
        <v>45178.606296296297</v>
      </c>
      <c r="AG1177" s="85">
        <v>45178</v>
      </c>
      <c r="AH1177" s="82" t="s">
        <v>9326</v>
      </c>
      <c r="AI1177" s="77" t="b">
        <v>0</v>
      </c>
      <c r="AJ1177" s="77"/>
      <c r="AK1177" s="77"/>
      <c r="AL1177" s="77"/>
      <c r="AM1177" s="77"/>
      <c r="AN1177" s="77"/>
      <c r="AO1177" s="77"/>
      <c r="AP1177" s="77"/>
      <c r="AQ1177" s="77"/>
      <c r="AR1177" s="77"/>
      <c r="AS1177" s="77"/>
      <c r="AT1177" s="77"/>
      <c r="AU1177" s="77"/>
      <c r="AV1177" s="80" t="str">
        <f>HYPERLINK("https://pbs.twimg.com/profile_images/1041725334431952896/uaPtkYSp_normal.jpg")</f>
        <v>https://pbs.twimg.com/profile_images/1041725334431952896/uaPtkYSp_normal.jpg</v>
      </c>
      <c r="AW1177" s="82" t="s">
        <v>14272</v>
      </c>
      <c r="AX1177" s="82" t="s">
        <v>14272</v>
      </c>
      <c r="AY1177" s="77"/>
      <c r="AZ1177" s="82" t="s">
        <v>17385</v>
      </c>
      <c r="BA1177" s="82" t="s">
        <v>17385</v>
      </c>
      <c r="BB1177" s="82" t="s">
        <v>17385</v>
      </c>
      <c r="BC1177" s="82" t="s">
        <v>14272</v>
      </c>
      <c r="BD1177" s="82" t="s">
        <v>17550</v>
      </c>
      <c r="BE1177" s="77"/>
      <c r="BF1177" s="77"/>
      <c r="BG1177" s="77"/>
      <c r="BH1177" s="77"/>
      <c r="BI1177" s="77"/>
    </row>
    <row r="1178" spans="1:61" x14ac:dyDescent="0.25">
      <c r="A1178" s="62" t="s">
        <v>425</v>
      </c>
      <c r="B1178" s="62" t="s">
        <v>425</v>
      </c>
      <c r="C1178" s="63"/>
      <c r="D1178" s="64"/>
      <c r="E1178" s="65"/>
      <c r="F1178" s="66"/>
      <c r="G1178" s="63"/>
      <c r="H1178" s="67"/>
      <c r="I1178" s="68"/>
      <c r="J1178" s="68"/>
      <c r="K1178" s="32"/>
      <c r="L1178" s="75">
        <v>1178</v>
      </c>
      <c r="M1178" s="75"/>
      <c r="N1178" s="70"/>
      <c r="O1178" s="77" t="s">
        <v>179</v>
      </c>
      <c r="P1178" s="79">
        <v>45178.512245370373</v>
      </c>
      <c r="Q1178" s="77" t="s">
        <v>1969</v>
      </c>
      <c r="R1178" s="77">
        <v>0</v>
      </c>
      <c r="S1178" s="77">
        <v>1</v>
      </c>
      <c r="T1178" s="77">
        <v>0</v>
      </c>
      <c r="U1178" s="77">
        <v>0</v>
      </c>
      <c r="V1178" s="77">
        <v>374</v>
      </c>
      <c r="W1178" s="82" t="s">
        <v>5516</v>
      </c>
      <c r="X1178" s="80" t="str">
        <f>HYPERLINK("https://www.seudinheiro.com/2023/bolsa-dolar/braskem-brkm5-lidera-os-ganhos-e-magazine-luiza-mglu3-destaque-na-bolsa-ibovespa-semana-lils/")</f>
        <v>https://www.seudinheiro.com/2023/bolsa-dolar/braskem-brkm5-lidera-os-ganhos-e-magazine-luiza-mglu3-destaque-na-bolsa-ibovespa-semana-lils/</v>
      </c>
      <c r="Y1178" s="77" t="s">
        <v>7102</v>
      </c>
      <c r="Z1178" s="77"/>
      <c r="AA1178" s="77"/>
      <c r="AB1178" s="77"/>
      <c r="AC1178" s="82" t="s">
        <v>8255</v>
      </c>
      <c r="AD1178" s="77" t="s">
        <v>8278</v>
      </c>
      <c r="AE1178" s="80" t="str">
        <f>HYPERLINK("https://twitter.com/seu_dinheiro_br/status/1700483599865163951")</f>
        <v>https://twitter.com/seu_dinheiro_br/status/1700483599865163951</v>
      </c>
      <c r="AF1178" s="79">
        <v>45178.512245370373</v>
      </c>
      <c r="AG1178" s="85">
        <v>45178</v>
      </c>
      <c r="AH1178" s="82" t="s">
        <v>9327</v>
      </c>
      <c r="AI1178" s="77" t="b">
        <v>0</v>
      </c>
      <c r="AJ1178" s="77"/>
      <c r="AK1178" s="77"/>
      <c r="AL1178" s="77"/>
      <c r="AM1178" s="77"/>
      <c r="AN1178" s="77"/>
      <c r="AO1178" s="77"/>
      <c r="AP1178" s="77"/>
      <c r="AQ1178" s="77"/>
      <c r="AR1178" s="77"/>
      <c r="AS1178" s="77"/>
      <c r="AT1178" s="77"/>
      <c r="AU1178" s="77"/>
      <c r="AV1178" s="80" t="str">
        <f>HYPERLINK("https://pbs.twimg.com/profile_images/1041725334431952896/uaPtkYSp_normal.jpg")</f>
        <v>https://pbs.twimg.com/profile_images/1041725334431952896/uaPtkYSp_normal.jpg</v>
      </c>
      <c r="AW1178" s="82" t="s">
        <v>14273</v>
      </c>
      <c r="AX1178" s="82" t="s">
        <v>14273</v>
      </c>
      <c r="AY1178" s="77"/>
      <c r="AZ1178" s="82" t="s">
        <v>17385</v>
      </c>
      <c r="BA1178" s="82" t="s">
        <v>17385</v>
      </c>
      <c r="BB1178" s="82" t="s">
        <v>17385</v>
      </c>
      <c r="BC1178" s="82" t="s">
        <v>14273</v>
      </c>
      <c r="BD1178" s="82" t="s">
        <v>17550</v>
      </c>
      <c r="BE1178" s="77"/>
      <c r="BF1178" s="77"/>
      <c r="BG1178" s="77"/>
      <c r="BH1178" s="77"/>
      <c r="BI1178" s="77"/>
    </row>
    <row r="1179" spans="1:61" x14ac:dyDescent="0.25">
      <c r="A1179" s="62" t="s">
        <v>425</v>
      </c>
      <c r="B1179" s="62" t="s">
        <v>425</v>
      </c>
      <c r="C1179" s="63"/>
      <c r="D1179" s="64"/>
      <c r="E1179" s="65"/>
      <c r="F1179" s="66"/>
      <c r="G1179" s="63"/>
      <c r="H1179" s="67"/>
      <c r="I1179" s="68"/>
      <c r="J1179" s="68"/>
      <c r="K1179" s="32"/>
      <c r="L1179" s="75">
        <v>1179</v>
      </c>
      <c r="M1179" s="75"/>
      <c r="N1179" s="70"/>
      <c r="O1179" s="77" t="s">
        <v>179</v>
      </c>
      <c r="P1179" s="79">
        <v>45177.565509259257</v>
      </c>
      <c r="Q1179" s="77" t="s">
        <v>1970</v>
      </c>
      <c r="R1179" s="77">
        <v>0</v>
      </c>
      <c r="S1179" s="77">
        <v>0</v>
      </c>
      <c r="T1179" s="77">
        <v>1</v>
      </c>
      <c r="U1179" s="77">
        <v>0</v>
      </c>
      <c r="V1179" s="77">
        <v>235</v>
      </c>
      <c r="W1179" s="82" t="s">
        <v>5579</v>
      </c>
      <c r="X1179" s="80" t="str">
        <f>HYPERLINK("https://www.seudinheiro.com/2023/empresas/cnova-pao-de-acucar-pcar3-abre-negociacao-com-controlador-por-participacao-em-empresa-vinp/")</f>
        <v>https://www.seudinheiro.com/2023/empresas/cnova-pao-de-acucar-pcar3-abre-negociacao-com-controlador-por-participacao-em-empresa-vinp/</v>
      </c>
      <c r="Y1179" s="77" t="s">
        <v>7102</v>
      </c>
      <c r="Z1179" s="77"/>
      <c r="AA1179" s="77"/>
      <c r="AB1179" s="77"/>
      <c r="AC1179" s="82" t="s">
        <v>8255</v>
      </c>
      <c r="AD1179" s="77" t="s">
        <v>8278</v>
      </c>
      <c r="AE1179" s="80" t="str">
        <f>HYPERLINK("https://twitter.com/seu_dinheiro_br/status/1700140515662929972")</f>
        <v>https://twitter.com/seu_dinheiro_br/status/1700140515662929972</v>
      </c>
      <c r="AF1179" s="79">
        <v>45177.565509259257</v>
      </c>
      <c r="AG1179" s="85">
        <v>45177</v>
      </c>
      <c r="AH1179" s="82" t="s">
        <v>9328</v>
      </c>
      <c r="AI1179" s="77" t="b">
        <v>0</v>
      </c>
      <c r="AJ1179" s="77"/>
      <c r="AK1179" s="77"/>
      <c r="AL1179" s="77"/>
      <c r="AM1179" s="77"/>
      <c r="AN1179" s="77"/>
      <c r="AO1179" s="77"/>
      <c r="AP1179" s="77"/>
      <c r="AQ1179" s="77"/>
      <c r="AR1179" s="77"/>
      <c r="AS1179" s="77"/>
      <c r="AT1179" s="77"/>
      <c r="AU1179" s="77"/>
      <c r="AV1179" s="80" t="str">
        <f>HYPERLINK("https://pbs.twimg.com/profile_images/1041725334431952896/uaPtkYSp_normal.jpg")</f>
        <v>https://pbs.twimg.com/profile_images/1041725334431952896/uaPtkYSp_normal.jpg</v>
      </c>
      <c r="AW1179" s="82" t="s">
        <v>14274</v>
      </c>
      <c r="AX1179" s="82" t="s">
        <v>14274</v>
      </c>
      <c r="AY1179" s="77"/>
      <c r="AZ1179" s="82" t="s">
        <v>17385</v>
      </c>
      <c r="BA1179" s="82" t="s">
        <v>17385</v>
      </c>
      <c r="BB1179" s="82" t="s">
        <v>17385</v>
      </c>
      <c r="BC1179" s="82" t="s">
        <v>14274</v>
      </c>
      <c r="BD1179" s="82" t="s">
        <v>17550</v>
      </c>
      <c r="BE1179" s="77"/>
      <c r="BF1179" s="77"/>
      <c r="BG1179" s="77"/>
      <c r="BH1179" s="77"/>
      <c r="BI1179" s="77"/>
    </row>
    <row r="1180" spans="1:61" x14ac:dyDescent="0.25">
      <c r="A1180" s="62" t="s">
        <v>425</v>
      </c>
      <c r="B1180" s="62" t="s">
        <v>425</v>
      </c>
      <c r="C1180" s="63"/>
      <c r="D1180" s="64"/>
      <c r="E1180" s="65"/>
      <c r="F1180" s="66"/>
      <c r="G1180" s="63"/>
      <c r="H1180" s="67"/>
      <c r="I1180" s="68"/>
      <c r="J1180" s="68"/>
      <c r="K1180" s="32"/>
      <c r="L1180" s="75">
        <v>1180</v>
      </c>
      <c r="M1180" s="75"/>
      <c r="N1180" s="70"/>
      <c r="O1180" s="77" t="s">
        <v>179</v>
      </c>
      <c r="P1180" s="79">
        <v>45177.50476851852</v>
      </c>
      <c r="Q1180" s="77" t="s">
        <v>1971</v>
      </c>
      <c r="R1180" s="77">
        <v>0</v>
      </c>
      <c r="S1180" s="77">
        <v>0</v>
      </c>
      <c r="T1180" s="77">
        <v>0</v>
      </c>
      <c r="U1180" s="77">
        <v>0</v>
      </c>
      <c r="V1180" s="77">
        <v>301</v>
      </c>
      <c r="W1180" s="82" t="s">
        <v>5580</v>
      </c>
      <c r="X1180" s="80" t="str">
        <f>HYPERLINK("https://www.seudinheiro.com/2023/empresas/vamos-vamo3-compra-frota-da-petropolis-e-vai-alugar-caminhoes-para-dona-da-cerveja-itaipava-vinp/")</f>
        <v>https://www.seudinheiro.com/2023/empresas/vamos-vamo3-compra-frota-da-petropolis-e-vai-alugar-caminhoes-para-dona-da-cerveja-itaipava-vinp/</v>
      </c>
      <c r="Y1180" s="77" t="s">
        <v>7102</v>
      </c>
      <c r="Z1180" s="77"/>
      <c r="AA1180" s="77"/>
      <c r="AB1180" s="77"/>
      <c r="AC1180" s="82" t="s">
        <v>8255</v>
      </c>
      <c r="AD1180" s="77" t="s">
        <v>8278</v>
      </c>
      <c r="AE1180" s="80" t="str">
        <f>HYPERLINK("https://twitter.com/seu_dinheiro_br/status/1700118504593142119")</f>
        <v>https://twitter.com/seu_dinheiro_br/status/1700118504593142119</v>
      </c>
      <c r="AF1180" s="79">
        <v>45177.50476851852</v>
      </c>
      <c r="AG1180" s="85">
        <v>45177</v>
      </c>
      <c r="AH1180" s="82" t="s">
        <v>9329</v>
      </c>
      <c r="AI1180" s="77" t="b">
        <v>0</v>
      </c>
      <c r="AJ1180" s="77"/>
      <c r="AK1180" s="77"/>
      <c r="AL1180" s="77"/>
      <c r="AM1180" s="77"/>
      <c r="AN1180" s="77"/>
      <c r="AO1180" s="77"/>
      <c r="AP1180" s="77"/>
      <c r="AQ1180" s="77"/>
      <c r="AR1180" s="77"/>
      <c r="AS1180" s="77"/>
      <c r="AT1180" s="77"/>
      <c r="AU1180" s="77"/>
      <c r="AV1180" s="80" t="str">
        <f>HYPERLINK("https://pbs.twimg.com/profile_images/1041725334431952896/uaPtkYSp_normal.jpg")</f>
        <v>https://pbs.twimg.com/profile_images/1041725334431952896/uaPtkYSp_normal.jpg</v>
      </c>
      <c r="AW1180" s="82" t="s">
        <v>14275</v>
      </c>
      <c r="AX1180" s="82" t="s">
        <v>14275</v>
      </c>
      <c r="AY1180" s="77"/>
      <c r="AZ1180" s="82" t="s">
        <v>17385</v>
      </c>
      <c r="BA1180" s="82" t="s">
        <v>17385</v>
      </c>
      <c r="BB1180" s="82" t="s">
        <v>17385</v>
      </c>
      <c r="BC1180" s="82" t="s">
        <v>14275</v>
      </c>
      <c r="BD1180" s="82" t="s">
        <v>17550</v>
      </c>
      <c r="BE1180" s="77"/>
      <c r="BF1180" s="77"/>
      <c r="BG1180" s="77"/>
      <c r="BH1180" s="77"/>
      <c r="BI1180" s="77"/>
    </row>
    <row r="1181" spans="1:61" x14ac:dyDescent="0.25">
      <c r="A1181" s="62" t="s">
        <v>425</v>
      </c>
      <c r="B1181" s="62" t="s">
        <v>425</v>
      </c>
      <c r="C1181" s="63"/>
      <c r="D1181" s="64"/>
      <c r="E1181" s="65"/>
      <c r="F1181" s="66"/>
      <c r="G1181" s="63"/>
      <c r="H1181" s="67"/>
      <c r="I1181" s="68"/>
      <c r="J1181" s="68"/>
      <c r="K1181" s="32"/>
      <c r="L1181" s="75">
        <v>1181</v>
      </c>
      <c r="M1181" s="75"/>
      <c r="N1181" s="70"/>
      <c r="O1181" s="77" t="s">
        <v>179</v>
      </c>
      <c r="P1181" s="79">
        <v>45177.387407407405</v>
      </c>
      <c r="Q1181" s="77" t="s">
        <v>1972</v>
      </c>
      <c r="R1181" s="77">
        <v>0</v>
      </c>
      <c r="S1181" s="77">
        <v>0</v>
      </c>
      <c r="T1181" s="77">
        <v>0</v>
      </c>
      <c r="U1181" s="77">
        <v>0</v>
      </c>
      <c r="V1181" s="77">
        <v>258</v>
      </c>
      <c r="W1181" s="82" t="s">
        <v>5581</v>
      </c>
      <c r="X1181" s="80" t="str">
        <f>HYPERLINK("https://www.seudinheiro.com/2023/colunistas/para-obter-retornos-extraordinarios-com-acoes-e-preciso-procurar-longe-dos-holofotes-lvit/")</f>
        <v>https://www.seudinheiro.com/2023/colunistas/para-obter-retornos-extraordinarios-com-acoes-e-preciso-procurar-longe-dos-holofotes-lvit/</v>
      </c>
      <c r="Y1181" s="77" t="s">
        <v>7102</v>
      </c>
      <c r="Z1181" s="77"/>
      <c r="AA1181" s="77"/>
      <c r="AB1181" s="77"/>
      <c r="AC1181" s="82" t="s">
        <v>8255</v>
      </c>
      <c r="AD1181" s="77" t="s">
        <v>8278</v>
      </c>
      <c r="AE1181" s="80" t="str">
        <f>HYPERLINK("https://twitter.com/seu_dinheiro_br/status/1700075973201309934")</f>
        <v>https://twitter.com/seu_dinheiro_br/status/1700075973201309934</v>
      </c>
      <c r="AF1181" s="79">
        <v>45177.387407407405</v>
      </c>
      <c r="AG1181" s="85">
        <v>45177</v>
      </c>
      <c r="AH1181" s="82" t="s">
        <v>9330</v>
      </c>
      <c r="AI1181" s="77" t="b">
        <v>0</v>
      </c>
      <c r="AJ1181" s="77"/>
      <c r="AK1181" s="77"/>
      <c r="AL1181" s="77"/>
      <c r="AM1181" s="77"/>
      <c r="AN1181" s="77"/>
      <c r="AO1181" s="77"/>
      <c r="AP1181" s="77"/>
      <c r="AQ1181" s="77"/>
      <c r="AR1181" s="77"/>
      <c r="AS1181" s="77"/>
      <c r="AT1181" s="77"/>
      <c r="AU1181" s="77"/>
      <c r="AV1181" s="80" t="str">
        <f>HYPERLINK("https://pbs.twimg.com/profile_images/1041725334431952896/uaPtkYSp_normal.jpg")</f>
        <v>https://pbs.twimg.com/profile_images/1041725334431952896/uaPtkYSp_normal.jpg</v>
      </c>
      <c r="AW1181" s="82" t="s">
        <v>14276</v>
      </c>
      <c r="AX1181" s="82" t="s">
        <v>14276</v>
      </c>
      <c r="AY1181" s="77"/>
      <c r="AZ1181" s="82" t="s">
        <v>17385</v>
      </c>
      <c r="BA1181" s="82" t="s">
        <v>17385</v>
      </c>
      <c r="BB1181" s="82" t="s">
        <v>17385</v>
      </c>
      <c r="BC1181" s="82" t="s">
        <v>14276</v>
      </c>
      <c r="BD1181" s="82" t="s">
        <v>17550</v>
      </c>
      <c r="BE1181" s="77"/>
      <c r="BF1181" s="77"/>
      <c r="BG1181" s="77"/>
      <c r="BH1181" s="77"/>
      <c r="BI1181" s="77"/>
    </row>
    <row r="1182" spans="1:61" x14ac:dyDescent="0.25">
      <c r="A1182" s="62" t="s">
        <v>425</v>
      </c>
      <c r="B1182" s="62" t="s">
        <v>425</v>
      </c>
      <c r="C1182" s="63"/>
      <c r="D1182" s="64"/>
      <c r="E1182" s="65"/>
      <c r="F1182" s="66"/>
      <c r="G1182" s="63"/>
      <c r="H1182" s="67"/>
      <c r="I1182" s="68"/>
      <c r="J1182" s="68"/>
      <c r="K1182" s="32"/>
      <c r="L1182" s="75">
        <v>1182</v>
      </c>
      <c r="M1182" s="75"/>
      <c r="N1182" s="70"/>
      <c r="O1182" s="77" t="s">
        <v>179</v>
      </c>
      <c r="P1182" s="79">
        <v>45176.63076388889</v>
      </c>
      <c r="Q1182" s="77" t="s">
        <v>1973</v>
      </c>
      <c r="R1182" s="77">
        <v>0</v>
      </c>
      <c r="S1182" s="77">
        <v>1</v>
      </c>
      <c r="T1182" s="77">
        <v>0</v>
      </c>
      <c r="U1182" s="77">
        <v>0</v>
      </c>
      <c r="V1182" s="77">
        <v>268</v>
      </c>
      <c r="W1182" s="82" t="s">
        <v>5582</v>
      </c>
      <c r="X1182" s="80" t="str">
        <f>HYPERLINK("https://www.seudinheiro.com/2023/colunistas/o-que-fez-as-acoes-de-magazine-luiza-mglu3-alpargatas-alpa4-e-outras-cairem-na-b3-vinp/")</f>
        <v>https://www.seudinheiro.com/2023/colunistas/o-que-fez-as-acoes-de-magazine-luiza-mglu3-alpargatas-alpa4-e-outras-cairem-na-b3-vinp/</v>
      </c>
      <c r="Y1182" s="77" t="s">
        <v>7102</v>
      </c>
      <c r="Z1182" s="77"/>
      <c r="AA1182" s="77"/>
      <c r="AB1182" s="77"/>
      <c r="AC1182" s="82" t="s">
        <v>8255</v>
      </c>
      <c r="AD1182" s="77" t="s">
        <v>8278</v>
      </c>
      <c r="AE1182" s="80" t="str">
        <f>HYPERLINK("https://twitter.com/seu_dinheiro_br/status/1699801774486323303")</f>
        <v>https://twitter.com/seu_dinheiro_br/status/1699801774486323303</v>
      </c>
      <c r="AF1182" s="79">
        <v>45176.63076388889</v>
      </c>
      <c r="AG1182" s="85">
        <v>45176</v>
      </c>
      <c r="AH1182" s="82" t="s">
        <v>9331</v>
      </c>
      <c r="AI1182" s="77" t="b">
        <v>0</v>
      </c>
      <c r="AJ1182" s="77"/>
      <c r="AK1182" s="77"/>
      <c r="AL1182" s="77"/>
      <c r="AM1182" s="77"/>
      <c r="AN1182" s="77"/>
      <c r="AO1182" s="77"/>
      <c r="AP1182" s="77"/>
      <c r="AQ1182" s="77"/>
      <c r="AR1182" s="77"/>
      <c r="AS1182" s="77"/>
      <c r="AT1182" s="77"/>
      <c r="AU1182" s="77"/>
      <c r="AV1182" s="80" t="str">
        <f>HYPERLINK("https://pbs.twimg.com/profile_images/1041725334431952896/uaPtkYSp_normal.jpg")</f>
        <v>https://pbs.twimg.com/profile_images/1041725334431952896/uaPtkYSp_normal.jpg</v>
      </c>
      <c r="AW1182" s="82" t="s">
        <v>14277</v>
      </c>
      <c r="AX1182" s="82" t="s">
        <v>14277</v>
      </c>
      <c r="AY1182" s="77"/>
      <c r="AZ1182" s="82" t="s">
        <v>17385</v>
      </c>
      <c r="BA1182" s="82" t="s">
        <v>17385</v>
      </c>
      <c r="BB1182" s="82" t="s">
        <v>17385</v>
      </c>
      <c r="BC1182" s="82" t="s">
        <v>14277</v>
      </c>
      <c r="BD1182" s="82" t="s">
        <v>17550</v>
      </c>
      <c r="BE1182" s="77"/>
      <c r="BF1182" s="77"/>
      <c r="BG1182" s="77"/>
      <c r="BH1182" s="77"/>
      <c r="BI1182" s="77"/>
    </row>
    <row r="1183" spans="1:61" x14ac:dyDescent="0.25">
      <c r="A1183" s="62" t="s">
        <v>425</v>
      </c>
      <c r="B1183" s="62" t="s">
        <v>425</v>
      </c>
      <c r="C1183" s="63"/>
      <c r="D1183" s="64"/>
      <c r="E1183" s="65"/>
      <c r="F1183" s="66"/>
      <c r="G1183" s="63"/>
      <c r="H1183" s="67"/>
      <c r="I1183" s="68"/>
      <c r="J1183" s="68"/>
      <c r="K1183" s="32"/>
      <c r="L1183" s="75">
        <v>1183</v>
      </c>
      <c r="M1183" s="75"/>
      <c r="N1183" s="70"/>
      <c r="O1183" s="77" t="s">
        <v>179</v>
      </c>
      <c r="P1183" s="79">
        <v>45175.406238425923</v>
      </c>
      <c r="Q1183" s="77" t="s">
        <v>1974</v>
      </c>
      <c r="R1183" s="77">
        <v>0</v>
      </c>
      <c r="S1183" s="77">
        <v>2</v>
      </c>
      <c r="T1183" s="77">
        <v>1</v>
      </c>
      <c r="U1183" s="77">
        <v>0</v>
      </c>
      <c r="V1183" s="77">
        <v>276</v>
      </c>
      <c r="W1183" s="82" t="s">
        <v>5475</v>
      </c>
      <c r="X1183" s="80" t="str">
        <f>HYPERLINK("https://www.seudinheiro.com/2023/empresas/copel-cple6-corre-o-risco-de-virar-uma-nova-eletrobras-elet6-acoes-privatizacao-miql-vinp/")</f>
        <v>https://www.seudinheiro.com/2023/empresas/copel-cple6-corre-o-risco-de-virar-uma-nova-eletrobras-elet6-acoes-privatizacao-miql-vinp/</v>
      </c>
      <c r="Y1183" s="77" t="s">
        <v>7102</v>
      </c>
      <c r="Z1183" s="77"/>
      <c r="AA1183" s="77"/>
      <c r="AB1183" s="77"/>
      <c r="AC1183" s="82" t="s">
        <v>8255</v>
      </c>
      <c r="AD1183" s="77" t="s">
        <v>8278</v>
      </c>
      <c r="AE1183" s="80" t="str">
        <f>HYPERLINK("https://twitter.com/seu_dinheiro_br/status/1699358020826747260")</f>
        <v>https://twitter.com/seu_dinheiro_br/status/1699358020826747260</v>
      </c>
      <c r="AF1183" s="79">
        <v>45175.406238425923</v>
      </c>
      <c r="AG1183" s="85">
        <v>45175</v>
      </c>
      <c r="AH1183" s="82" t="s">
        <v>9332</v>
      </c>
      <c r="AI1183" s="77" t="b">
        <v>0</v>
      </c>
      <c r="AJ1183" s="77"/>
      <c r="AK1183" s="77"/>
      <c r="AL1183" s="77"/>
      <c r="AM1183" s="77"/>
      <c r="AN1183" s="77"/>
      <c r="AO1183" s="77"/>
      <c r="AP1183" s="77"/>
      <c r="AQ1183" s="77"/>
      <c r="AR1183" s="77"/>
      <c r="AS1183" s="77"/>
      <c r="AT1183" s="77"/>
      <c r="AU1183" s="77"/>
      <c r="AV1183" s="80" t="str">
        <f>HYPERLINK("https://pbs.twimg.com/profile_images/1041725334431952896/uaPtkYSp_normal.jpg")</f>
        <v>https://pbs.twimg.com/profile_images/1041725334431952896/uaPtkYSp_normal.jpg</v>
      </c>
      <c r="AW1183" s="82" t="s">
        <v>14278</v>
      </c>
      <c r="AX1183" s="82" t="s">
        <v>14278</v>
      </c>
      <c r="AY1183" s="77"/>
      <c r="AZ1183" s="82" t="s">
        <v>17385</v>
      </c>
      <c r="BA1183" s="82" t="s">
        <v>17385</v>
      </c>
      <c r="BB1183" s="82" t="s">
        <v>17385</v>
      </c>
      <c r="BC1183" s="82" t="s">
        <v>14278</v>
      </c>
      <c r="BD1183" s="82" t="s">
        <v>17550</v>
      </c>
      <c r="BE1183" s="77"/>
      <c r="BF1183" s="77"/>
      <c r="BG1183" s="77"/>
      <c r="BH1183" s="77"/>
      <c r="BI1183" s="77"/>
    </row>
    <row r="1184" spans="1:61" x14ac:dyDescent="0.25">
      <c r="A1184" s="62" t="s">
        <v>425</v>
      </c>
      <c r="B1184" s="62" t="s">
        <v>425</v>
      </c>
      <c r="C1184" s="63"/>
      <c r="D1184" s="64"/>
      <c r="E1184" s="65"/>
      <c r="F1184" s="66"/>
      <c r="G1184" s="63"/>
      <c r="H1184" s="67"/>
      <c r="I1184" s="68"/>
      <c r="J1184" s="68"/>
      <c r="K1184" s="32"/>
      <c r="L1184" s="75">
        <v>1184</v>
      </c>
      <c r="M1184" s="75"/>
      <c r="N1184" s="70"/>
      <c r="O1184" s="77" t="s">
        <v>179</v>
      </c>
      <c r="P1184" s="79">
        <v>45174.943437499998</v>
      </c>
      <c r="Q1184" s="77" t="s">
        <v>1975</v>
      </c>
      <c r="R1184" s="77">
        <v>0</v>
      </c>
      <c r="S1184" s="77">
        <v>2</v>
      </c>
      <c r="T1184" s="77">
        <v>0</v>
      </c>
      <c r="U1184" s="77">
        <v>0</v>
      </c>
      <c r="V1184" s="77">
        <v>289</v>
      </c>
      <c r="W1184" s="82" t="s">
        <v>5583</v>
      </c>
      <c r="X1184" s="80" t="str">
        <f>HYPERLINK("https://www.seudinheiro.com/2023/empresas/por-que-a-empresa-de-educacao-a-distancia-vai-trocar-a-nasdaq-pela-b3-em-decisao-inedita-no-mercado-de-acoes-brasileiro-ccgg/")</f>
        <v>https://www.seudinheiro.com/2023/empresas/por-que-a-empresa-de-educacao-a-distancia-vai-trocar-a-nasdaq-pela-b3-em-decisao-inedita-no-mercado-de-acoes-brasileiro-ccgg/</v>
      </c>
      <c r="Y1184" s="77" t="s">
        <v>7102</v>
      </c>
      <c r="Z1184" s="77"/>
      <c r="AA1184" s="77"/>
      <c r="AB1184" s="77"/>
      <c r="AC1184" s="82" t="s">
        <v>8255</v>
      </c>
      <c r="AD1184" s="77" t="s">
        <v>8278</v>
      </c>
      <c r="AE1184" s="80" t="str">
        <f>HYPERLINK("https://twitter.com/seu_dinheiro_br/status/1699190308947329204")</f>
        <v>https://twitter.com/seu_dinheiro_br/status/1699190308947329204</v>
      </c>
      <c r="AF1184" s="79">
        <v>45174.943437499998</v>
      </c>
      <c r="AG1184" s="85">
        <v>45174</v>
      </c>
      <c r="AH1184" s="82" t="s">
        <v>9333</v>
      </c>
      <c r="AI1184" s="77" t="b">
        <v>0</v>
      </c>
      <c r="AJ1184" s="77"/>
      <c r="AK1184" s="77"/>
      <c r="AL1184" s="77"/>
      <c r="AM1184" s="77"/>
      <c r="AN1184" s="77"/>
      <c r="AO1184" s="77"/>
      <c r="AP1184" s="77"/>
      <c r="AQ1184" s="77"/>
      <c r="AR1184" s="77"/>
      <c r="AS1184" s="77"/>
      <c r="AT1184" s="77"/>
      <c r="AU1184" s="77"/>
      <c r="AV1184" s="80" t="str">
        <f>HYPERLINK("https://pbs.twimg.com/profile_images/1041725334431952896/uaPtkYSp_normal.jpg")</f>
        <v>https://pbs.twimg.com/profile_images/1041725334431952896/uaPtkYSp_normal.jpg</v>
      </c>
      <c r="AW1184" s="82" t="s">
        <v>14279</v>
      </c>
      <c r="AX1184" s="82" t="s">
        <v>14279</v>
      </c>
      <c r="AY1184" s="77"/>
      <c r="AZ1184" s="82" t="s">
        <v>17385</v>
      </c>
      <c r="BA1184" s="82" t="s">
        <v>17385</v>
      </c>
      <c r="BB1184" s="82" t="s">
        <v>17385</v>
      </c>
      <c r="BC1184" s="82" t="s">
        <v>14279</v>
      </c>
      <c r="BD1184" s="82" t="s">
        <v>17550</v>
      </c>
      <c r="BE1184" s="77"/>
      <c r="BF1184" s="77"/>
      <c r="BG1184" s="77"/>
      <c r="BH1184" s="77"/>
      <c r="BI1184" s="77"/>
    </row>
    <row r="1185" spans="1:61" x14ac:dyDescent="0.25">
      <c r="A1185" s="62" t="s">
        <v>425</v>
      </c>
      <c r="B1185" s="62" t="s">
        <v>425</v>
      </c>
      <c r="C1185" s="63"/>
      <c r="D1185" s="64"/>
      <c r="E1185" s="65"/>
      <c r="F1185" s="66"/>
      <c r="G1185" s="63"/>
      <c r="H1185" s="67"/>
      <c r="I1185" s="68"/>
      <c r="J1185" s="68"/>
      <c r="K1185" s="32"/>
      <c r="L1185" s="75">
        <v>1185</v>
      </c>
      <c r="M1185" s="75"/>
      <c r="N1185" s="70"/>
      <c r="O1185" s="77" t="s">
        <v>179</v>
      </c>
      <c r="P1185" s="79">
        <v>45174.914953703701</v>
      </c>
      <c r="Q1185" s="77" t="s">
        <v>1976</v>
      </c>
      <c r="R1185" s="77">
        <v>1</v>
      </c>
      <c r="S1185" s="77">
        <v>4</v>
      </c>
      <c r="T1185" s="77">
        <v>0</v>
      </c>
      <c r="U1185" s="77">
        <v>1</v>
      </c>
      <c r="V1185" s="77">
        <v>8230</v>
      </c>
      <c r="W1185" s="82" t="s">
        <v>5584</v>
      </c>
      <c r="X1185" s="80" t="str">
        <f>HYPERLINK("https://www.seudinheiro.com/2023/empresas/light-ligt3-desiste-de-recuperacao-judicial-e-negocia-direto-com-credores-dfon/")</f>
        <v>https://www.seudinheiro.com/2023/empresas/light-ligt3-desiste-de-recuperacao-judicial-e-negocia-direto-com-credores-dfon/</v>
      </c>
      <c r="Y1185" s="77" t="s">
        <v>7102</v>
      </c>
      <c r="Z1185" s="77"/>
      <c r="AA1185" s="77"/>
      <c r="AB1185" s="77"/>
      <c r="AC1185" s="82" t="s">
        <v>8255</v>
      </c>
      <c r="AD1185" s="77" t="s">
        <v>8278</v>
      </c>
      <c r="AE1185" s="80" t="str">
        <f>HYPERLINK("https://twitter.com/seu_dinheiro_br/status/1699179984319856931")</f>
        <v>https://twitter.com/seu_dinheiro_br/status/1699179984319856931</v>
      </c>
      <c r="AF1185" s="79">
        <v>45174.914953703701</v>
      </c>
      <c r="AG1185" s="85">
        <v>45174</v>
      </c>
      <c r="AH1185" s="82" t="s">
        <v>9334</v>
      </c>
      <c r="AI1185" s="77" t="b">
        <v>0</v>
      </c>
      <c r="AJ1185" s="77"/>
      <c r="AK1185" s="77"/>
      <c r="AL1185" s="77"/>
      <c r="AM1185" s="77"/>
      <c r="AN1185" s="77"/>
      <c r="AO1185" s="77"/>
      <c r="AP1185" s="77"/>
      <c r="AQ1185" s="77"/>
      <c r="AR1185" s="77"/>
      <c r="AS1185" s="77"/>
      <c r="AT1185" s="77"/>
      <c r="AU1185" s="77"/>
      <c r="AV1185" s="80" t="str">
        <f>HYPERLINK("https://pbs.twimg.com/profile_images/1041725334431952896/uaPtkYSp_normal.jpg")</f>
        <v>https://pbs.twimg.com/profile_images/1041725334431952896/uaPtkYSp_normal.jpg</v>
      </c>
      <c r="AW1185" s="82" t="s">
        <v>14280</v>
      </c>
      <c r="AX1185" s="82" t="s">
        <v>14280</v>
      </c>
      <c r="AY1185" s="77"/>
      <c r="AZ1185" s="82" t="s">
        <v>17385</v>
      </c>
      <c r="BA1185" s="82" t="s">
        <v>17385</v>
      </c>
      <c r="BB1185" s="82" t="s">
        <v>17385</v>
      </c>
      <c r="BC1185" s="82" t="s">
        <v>14280</v>
      </c>
      <c r="BD1185" s="82" t="s">
        <v>17550</v>
      </c>
      <c r="BE1185" s="77"/>
      <c r="BF1185" s="77"/>
      <c r="BG1185" s="77"/>
      <c r="BH1185" s="77"/>
      <c r="BI1185" s="77"/>
    </row>
    <row r="1186" spans="1:61" x14ac:dyDescent="0.25">
      <c r="A1186" s="62" t="s">
        <v>425</v>
      </c>
      <c r="B1186" s="62" t="s">
        <v>425</v>
      </c>
      <c r="C1186" s="63"/>
      <c r="D1186" s="64"/>
      <c r="E1186" s="65"/>
      <c r="F1186" s="66"/>
      <c r="G1186" s="63"/>
      <c r="H1186" s="67"/>
      <c r="I1186" s="68"/>
      <c r="J1186" s="68"/>
      <c r="K1186" s="32"/>
      <c r="L1186" s="75">
        <v>1186</v>
      </c>
      <c r="M1186" s="75"/>
      <c r="N1186" s="70"/>
      <c r="O1186" s="77" t="s">
        <v>179</v>
      </c>
      <c r="P1186" s="79">
        <v>45174.896516203706</v>
      </c>
      <c r="Q1186" s="77" t="s">
        <v>1977</v>
      </c>
      <c r="R1186" s="77">
        <v>0</v>
      </c>
      <c r="S1186" s="77">
        <v>0</v>
      </c>
      <c r="T1186" s="77">
        <v>0</v>
      </c>
      <c r="U1186" s="77">
        <v>0</v>
      </c>
      <c r="V1186" s="77">
        <v>200</v>
      </c>
      <c r="W1186" s="82" t="s">
        <v>5559</v>
      </c>
      <c r="X1186" s="80" t="str">
        <f>HYPERLINK("https://www.seudinheiro.com/2023/bolsa-dolar/as-melhores-ou-menos-piores-carteiras-recomendadas-de-acoes-em-agosto-em-mes-dificil-para-a-bolsa-apenas-duas-superaram-o-ibovespa-julw/")</f>
        <v>https://www.seudinheiro.com/2023/bolsa-dolar/as-melhores-ou-menos-piores-carteiras-recomendadas-de-acoes-em-agosto-em-mes-dificil-para-a-bolsa-apenas-duas-superaram-o-ibovespa-julw/</v>
      </c>
      <c r="Y1186" s="77" t="s">
        <v>7102</v>
      </c>
      <c r="Z1186" s="77"/>
      <c r="AA1186" s="77"/>
      <c r="AB1186" s="77"/>
      <c r="AC1186" s="82" t="s">
        <v>8255</v>
      </c>
      <c r="AD1186" s="77" t="s">
        <v>8278</v>
      </c>
      <c r="AE1186" s="80" t="str">
        <f>HYPERLINK("https://twitter.com/seu_dinheiro_br/status/1699173304307757549")</f>
        <v>https://twitter.com/seu_dinheiro_br/status/1699173304307757549</v>
      </c>
      <c r="AF1186" s="79">
        <v>45174.896516203706</v>
      </c>
      <c r="AG1186" s="85">
        <v>45174</v>
      </c>
      <c r="AH1186" s="82" t="s">
        <v>9335</v>
      </c>
      <c r="AI1186" s="77" t="b">
        <v>0</v>
      </c>
      <c r="AJ1186" s="77"/>
      <c r="AK1186" s="77"/>
      <c r="AL1186" s="77"/>
      <c r="AM1186" s="77"/>
      <c r="AN1186" s="77"/>
      <c r="AO1186" s="77"/>
      <c r="AP1186" s="77"/>
      <c r="AQ1186" s="77"/>
      <c r="AR1186" s="77"/>
      <c r="AS1186" s="77"/>
      <c r="AT1186" s="77"/>
      <c r="AU1186" s="77"/>
      <c r="AV1186" s="80" t="str">
        <f>HYPERLINK("https://pbs.twimg.com/profile_images/1041725334431952896/uaPtkYSp_normal.jpg")</f>
        <v>https://pbs.twimg.com/profile_images/1041725334431952896/uaPtkYSp_normal.jpg</v>
      </c>
      <c r="AW1186" s="82" t="s">
        <v>14281</v>
      </c>
      <c r="AX1186" s="82" t="s">
        <v>14281</v>
      </c>
      <c r="AY1186" s="77"/>
      <c r="AZ1186" s="82" t="s">
        <v>17385</v>
      </c>
      <c r="BA1186" s="82" t="s">
        <v>17385</v>
      </c>
      <c r="BB1186" s="82" t="s">
        <v>17385</v>
      </c>
      <c r="BC1186" s="82" t="s">
        <v>14281</v>
      </c>
      <c r="BD1186" s="82" t="s">
        <v>17550</v>
      </c>
      <c r="BE1186" s="77"/>
      <c r="BF1186" s="77"/>
      <c r="BG1186" s="77"/>
      <c r="BH1186" s="77"/>
      <c r="BI1186" s="77"/>
    </row>
    <row r="1187" spans="1:61" x14ac:dyDescent="0.25">
      <c r="A1187" s="62" t="s">
        <v>425</v>
      </c>
      <c r="B1187" s="62" t="s">
        <v>425</v>
      </c>
      <c r="C1187" s="63"/>
      <c r="D1187" s="64"/>
      <c r="E1187" s="65"/>
      <c r="F1187" s="66"/>
      <c r="G1187" s="63"/>
      <c r="H1187" s="67"/>
      <c r="I1187" s="68"/>
      <c r="J1187" s="68"/>
      <c r="K1187" s="32"/>
      <c r="L1187" s="75">
        <v>1187</v>
      </c>
      <c r="M1187" s="75"/>
      <c r="N1187" s="70"/>
      <c r="O1187" s="77" t="s">
        <v>179</v>
      </c>
      <c r="P1187" s="79">
        <v>45174.800798611112</v>
      </c>
      <c r="Q1187" s="77" t="s">
        <v>1978</v>
      </c>
      <c r="R1187" s="77">
        <v>0</v>
      </c>
      <c r="S1187" s="77">
        <v>0</v>
      </c>
      <c r="T1187" s="77">
        <v>0</v>
      </c>
      <c r="U1187" s="77">
        <v>0</v>
      </c>
      <c r="V1187" s="77">
        <v>158</v>
      </c>
      <c r="W1187" s="82" t="s">
        <v>5474</v>
      </c>
      <c r="X1187" s="80" t="str">
        <f>HYPERLINK("https://www.seudinheiro.com/2023/colunistas/a-valid-vlid3-e-uma-anomalia-na-b3-oportunidades-na-bolsa-miql-davs/")</f>
        <v>https://www.seudinheiro.com/2023/colunistas/a-valid-vlid3-e-uma-anomalia-na-b3-oportunidades-na-bolsa-miql-davs/</v>
      </c>
      <c r="Y1187" s="77" t="s">
        <v>7102</v>
      </c>
      <c r="Z1187" s="77"/>
      <c r="AA1187" s="77"/>
      <c r="AB1187" s="77"/>
      <c r="AC1187" s="82" t="s">
        <v>8255</v>
      </c>
      <c r="AD1187" s="77" t="s">
        <v>8278</v>
      </c>
      <c r="AE1187" s="80" t="str">
        <f>HYPERLINK("https://twitter.com/seu_dinheiro_br/status/1699138618411913453")</f>
        <v>https://twitter.com/seu_dinheiro_br/status/1699138618411913453</v>
      </c>
      <c r="AF1187" s="79">
        <v>45174.800798611112</v>
      </c>
      <c r="AG1187" s="85">
        <v>45174</v>
      </c>
      <c r="AH1187" s="82" t="s">
        <v>9336</v>
      </c>
      <c r="AI1187" s="77" t="b">
        <v>0</v>
      </c>
      <c r="AJ1187" s="77"/>
      <c r="AK1187" s="77"/>
      <c r="AL1187" s="77"/>
      <c r="AM1187" s="77"/>
      <c r="AN1187" s="77"/>
      <c r="AO1187" s="77"/>
      <c r="AP1187" s="77"/>
      <c r="AQ1187" s="77"/>
      <c r="AR1187" s="77"/>
      <c r="AS1187" s="77"/>
      <c r="AT1187" s="77"/>
      <c r="AU1187" s="77"/>
      <c r="AV1187" s="80" t="str">
        <f>HYPERLINK("https://pbs.twimg.com/profile_images/1041725334431952896/uaPtkYSp_normal.jpg")</f>
        <v>https://pbs.twimg.com/profile_images/1041725334431952896/uaPtkYSp_normal.jpg</v>
      </c>
      <c r="AW1187" s="82" t="s">
        <v>14282</v>
      </c>
      <c r="AX1187" s="82" t="s">
        <v>14282</v>
      </c>
      <c r="AY1187" s="77"/>
      <c r="AZ1187" s="82" t="s">
        <v>17385</v>
      </c>
      <c r="BA1187" s="82" t="s">
        <v>17385</v>
      </c>
      <c r="BB1187" s="82" t="s">
        <v>17385</v>
      </c>
      <c r="BC1187" s="82" t="s">
        <v>14282</v>
      </c>
      <c r="BD1187" s="82" t="s">
        <v>17550</v>
      </c>
      <c r="BE1187" s="77"/>
      <c r="BF1187" s="77"/>
      <c r="BG1187" s="77"/>
      <c r="BH1187" s="77"/>
      <c r="BI1187" s="77"/>
    </row>
    <row r="1188" spans="1:61" x14ac:dyDescent="0.25">
      <c r="A1188" s="62" t="s">
        <v>425</v>
      </c>
      <c r="B1188" s="62" t="s">
        <v>425</v>
      </c>
      <c r="C1188" s="63"/>
      <c r="D1188" s="64"/>
      <c r="E1188" s="65"/>
      <c r="F1188" s="66"/>
      <c r="G1188" s="63"/>
      <c r="H1188" s="67"/>
      <c r="I1188" s="68"/>
      <c r="J1188" s="68"/>
      <c r="K1188" s="32"/>
      <c r="L1188" s="75">
        <v>1188</v>
      </c>
      <c r="M1188" s="75"/>
      <c r="N1188" s="70"/>
      <c r="O1188" s="77" t="s">
        <v>179</v>
      </c>
      <c r="P1188" s="79">
        <v>45174.710462962961</v>
      </c>
      <c r="Q1188" s="77" t="s">
        <v>1979</v>
      </c>
      <c r="R1188" s="77">
        <v>0</v>
      </c>
      <c r="S1188" s="77">
        <v>4</v>
      </c>
      <c r="T1188" s="77">
        <v>0</v>
      </c>
      <c r="U1188" s="77">
        <v>0</v>
      </c>
      <c r="V1188" s="77">
        <v>297</v>
      </c>
      <c r="W1188" s="82" t="s">
        <v>5585</v>
      </c>
      <c r="X1188" s="80" t="str">
        <f>HYPERLINK("https://www.seudinheiro.com/2023/empresas/fim-dos-dividendos-robustos-das-eletricas-taesa-taee11-miql/")</f>
        <v>https://www.seudinheiro.com/2023/empresas/fim-dos-dividendos-robustos-das-eletricas-taesa-taee11-miql/</v>
      </c>
      <c r="Y1188" s="77" t="s">
        <v>7102</v>
      </c>
      <c r="Z1188" s="77"/>
      <c r="AA1188" s="77"/>
      <c r="AB1188" s="77"/>
      <c r="AC1188" s="82" t="s">
        <v>8255</v>
      </c>
      <c r="AD1188" s="77" t="s">
        <v>8278</v>
      </c>
      <c r="AE1188" s="80" t="str">
        <f>HYPERLINK("https://twitter.com/seu_dinheiro_br/status/1699105879176421510")</f>
        <v>https://twitter.com/seu_dinheiro_br/status/1699105879176421510</v>
      </c>
      <c r="AF1188" s="79">
        <v>45174.710462962961</v>
      </c>
      <c r="AG1188" s="85">
        <v>45174</v>
      </c>
      <c r="AH1188" s="82" t="s">
        <v>9337</v>
      </c>
      <c r="AI1188" s="77" t="b">
        <v>0</v>
      </c>
      <c r="AJ1188" s="77"/>
      <c r="AK1188" s="77"/>
      <c r="AL1188" s="77"/>
      <c r="AM1188" s="77"/>
      <c r="AN1188" s="77"/>
      <c r="AO1188" s="77"/>
      <c r="AP1188" s="77"/>
      <c r="AQ1188" s="77"/>
      <c r="AR1188" s="77"/>
      <c r="AS1188" s="77"/>
      <c r="AT1188" s="77"/>
      <c r="AU1188" s="77"/>
      <c r="AV1188" s="80" t="str">
        <f>HYPERLINK("https://pbs.twimg.com/profile_images/1041725334431952896/uaPtkYSp_normal.jpg")</f>
        <v>https://pbs.twimg.com/profile_images/1041725334431952896/uaPtkYSp_normal.jpg</v>
      </c>
      <c r="AW1188" s="82" t="s">
        <v>14283</v>
      </c>
      <c r="AX1188" s="82" t="s">
        <v>14283</v>
      </c>
      <c r="AY1188" s="77"/>
      <c r="AZ1188" s="82" t="s">
        <v>17385</v>
      </c>
      <c r="BA1188" s="82" t="s">
        <v>17385</v>
      </c>
      <c r="BB1188" s="82" t="s">
        <v>17385</v>
      </c>
      <c r="BC1188" s="82" t="s">
        <v>14283</v>
      </c>
      <c r="BD1188" s="82" t="s">
        <v>17550</v>
      </c>
      <c r="BE1188" s="77"/>
      <c r="BF1188" s="77"/>
      <c r="BG1188" s="77"/>
      <c r="BH1188" s="77"/>
      <c r="BI1188" s="77"/>
    </row>
    <row r="1189" spans="1:61" x14ac:dyDescent="0.25">
      <c r="A1189" s="62" t="s">
        <v>425</v>
      </c>
      <c r="B1189" s="62" t="s">
        <v>425</v>
      </c>
      <c r="C1189" s="63"/>
      <c r="D1189" s="64"/>
      <c r="E1189" s="65"/>
      <c r="F1189" s="66"/>
      <c r="G1189" s="63"/>
      <c r="H1189" s="67"/>
      <c r="I1189" s="68"/>
      <c r="J1189" s="68"/>
      <c r="K1189" s="32"/>
      <c r="L1189" s="75">
        <v>1189</v>
      </c>
      <c r="M1189" s="75"/>
      <c r="N1189" s="70"/>
      <c r="O1189" s="77" t="s">
        <v>179</v>
      </c>
      <c r="P1189" s="79">
        <v>45174.642361111109</v>
      </c>
      <c r="Q1189" s="77" t="s">
        <v>1980</v>
      </c>
      <c r="R1189" s="77">
        <v>0</v>
      </c>
      <c r="S1189" s="77">
        <v>1</v>
      </c>
      <c r="T1189" s="77">
        <v>0</v>
      </c>
      <c r="U1189" s="77">
        <v>0</v>
      </c>
      <c r="V1189" s="77">
        <v>234</v>
      </c>
      <c r="W1189" s="82" t="s">
        <v>5486</v>
      </c>
      <c r="X1189" s="80" t="str">
        <f>HYPERLINK("https://www.seudinheiro.com/2023/empresas/fusao-a-vista-acoes-da-mobly-mbly3-disparam-mais-de-16-com-possivel-uniao-de-negocios-com-a-tokstok-dfon/")</f>
        <v>https://www.seudinheiro.com/2023/empresas/fusao-a-vista-acoes-da-mobly-mbly3-disparam-mais-de-16-com-possivel-uniao-de-negocios-com-a-tokstok-dfon/</v>
      </c>
      <c r="Y1189" s="77" t="s">
        <v>7102</v>
      </c>
      <c r="Z1189" s="77"/>
      <c r="AA1189" s="77"/>
      <c r="AB1189" s="77"/>
      <c r="AC1189" s="82" t="s">
        <v>8255</v>
      </c>
      <c r="AD1189" s="77" t="s">
        <v>8278</v>
      </c>
      <c r="AE1189" s="80" t="str">
        <f>HYPERLINK("https://twitter.com/seu_dinheiro_br/status/1699081201892429917")</f>
        <v>https://twitter.com/seu_dinheiro_br/status/1699081201892429917</v>
      </c>
      <c r="AF1189" s="79">
        <v>45174.642361111109</v>
      </c>
      <c r="AG1189" s="85">
        <v>45174</v>
      </c>
      <c r="AH1189" s="82" t="s">
        <v>9338</v>
      </c>
      <c r="AI1189" s="77" t="b">
        <v>0</v>
      </c>
      <c r="AJ1189" s="77"/>
      <c r="AK1189" s="77"/>
      <c r="AL1189" s="77"/>
      <c r="AM1189" s="77"/>
      <c r="AN1189" s="77"/>
      <c r="AO1189" s="77"/>
      <c r="AP1189" s="77"/>
      <c r="AQ1189" s="77"/>
      <c r="AR1189" s="77"/>
      <c r="AS1189" s="77"/>
      <c r="AT1189" s="77"/>
      <c r="AU1189" s="77"/>
      <c r="AV1189" s="80" t="str">
        <f>HYPERLINK("https://pbs.twimg.com/profile_images/1041725334431952896/uaPtkYSp_normal.jpg")</f>
        <v>https://pbs.twimg.com/profile_images/1041725334431952896/uaPtkYSp_normal.jpg</v>
      </c>
      <c r="AW1189" s="82" t="s">
        <v>14284</v>
      </c>
      <c r="AX1189" s="82" t="s">
        <v>14284</v>
      </c>
      <c r="AY1189" s="77"/>
      <c r="AZ1189" s="82" t="s">
        <v>17385</v>
      </c>
      <c r="BA1189" s="82" t="s">
        <v>17385</v>
      </c>
      <c r="BB1189" s="82" t="s">
        <v>17385</v>
      </c>
      <c r="BC1189" s="82" t="s">
        <v>14284</v>
      </c>
      <c r="BD1189" s="82" t="s">
        <v>17550</v>
      </c>
      <c r="BE1189" s="77"/>
      <c r="BF1189" s="77"/>
      <c r="BG1189" s="77"/>
      <c r="BH1189" s="77"/>
      <c r="BI1189" s="77"/>
    </row>
    <row r="1190" spans="1:61" x14ac:dyDescent="0.25">
      <c r="A1190" s="62" t="s">
        <v>425</v>
      </c>
      <c r="B1190" s="62" t="s">
        <v>425</v>
      </c>
      <c r="C1190" s="63"/>
      <c r="D1190" s="64"/>
      <c r="E1190" s="65"/>
      <c r="F1190" s="66"/>
      <c r="G1190" s="63"/>
      <c r="H1190" s="67"/>
      <c r="I1190" s="68"/>
      <c r="J1190" s="68"/>
      <c r="K1190" s="32"/>
      <c r="L1190" s="75">
        <v>1190</v>
      </c>
      <c r="M1190" s="75"/>
      <c r="N1190" s="70"/>
      <c r="O1190" s="77" t="s">
        <v>179</v>
      </c>
      <c r="P1190" s="79">
        <v>45174.564641203702</v>
      </c>
      <c r="Q1190" s="77" t="s">
        <v>1981</v>
      </c>
      <c r="R1190" s="77">
        <v>0</v>
      </c>
      <c r="S1190" s="77">
        <v>0</v>
      </c>
      <c r="T1190" s="77">
        <v>0</v>
      </c>
      <c r="U1190" s="77">
        <v>0</v>
      </c>
      <c r="V1190" s="77">
        <v>226</v>
      </c>
      <c r="W1190" s="82" t="s">
        <v>5474</v>
      </c>
      <c r="X1190" s="80" t="str">
        <f>HYPERLINK("https://www.seudinheiro.com/2023/bolsa-dolar/via-viia3-oferta-de-acoes-com-bonus-vinp/")</f>
        <v>https://www.seudinheiro.com/2023/bolsa-dolar/via-viia3-oferta-de-acoes-com-bonus-vinp/</v>
      </c>
      <c r="Y1190" s="77" t="s">
        <v>7102</v>
      </c>
      <c r="Z1190" s="77"/>
      <c r="AA1190" s="77"/>
      <c r="AB1190" s="77"/>
      <c r="AC1190" s="82" t="s">
        <v>8255</v>
      </c>
      <c r="AD1190" s="77" t="s">
        <v>8278</v>
      </c>
      <c r="AE1190" s="80" t="str">
        <f>HYPERLINK("https://twitter.com/seu_dinheiro_br/status/1699053034892849183")</f>
        <v>https://twitter.com/seu_dinheiro_br/status/1699053034892849183</v>
      </c>
      <c r="AF1190" s="79">
        <v>45174.564641203702</v>
      </c>
      <c r="AG1190" s="85">
        <v>45174</v>
      </c>
      <c r="AH1190" s="82" t="s">
        <v>9339</v>
      </c>
      <c r="AI1190" s="77" t="b">
        <v>0</v>
      </c>
      <c r="AJ1190" s="77"/>
      <c r="AK1190" s="77"/>
      <c r="AL1190" s="77"/>
      <c r="AM1190" s="77"/>
      <c r="AN1190" s="77"/>
      <c r="AO1190" s="77"/>
      <c r="AP1190" s="77"/>
      <c r="AQ1190" s="77"/>
      <c r="AR1190" s="77"/>
      <c r="AS1190" s="77"/>
      <c r="AT1190" s="77"/>
      <c r="AU1190" s="77"/>
      <c r="AV1190" s="80" t="str">
        <f>HYPERLINK("https://pbs.twimg.com/profile_images/1041725334431952896/uaPtkYSp_normal.jpg")</f>
        <v>https://pbs.twimg.com/profile_images/1041725334431952896/uaPtkYSp_normal.jpg</v>
      </c>
      <c r="AW1190" s="82" t="s">
        <v>14285</v>
      </c>
      <c r="AX1190" s="82" t="s">
        <v>14285</v>
      </c>
      <c r="AY1190" s="77"/>
      <c r="AZ1190" s="82" t="s">
        <v>17385</v>
      </c>
      <c r="BA1190" s="82" t="s">
        <v>17385</v>
      </c>
      <c r="BB1190" s="82" t="s">
        <v>17385</v>
      </c>
      <c r="BC1190" s="82" t="s">
        <v>14285</v>
      </c>
      <c r="BD1190" s="82" t="s">
        <v>17550</v>
      </c>
      <c r="BE1190" s="77"/>
      <c r="BF1190" s="77"/>
      <c r="BG1190" s="77"/>
      <c r="BH1190" s="77"/>
      <c r="BI1190" s="77"/>
    </row>
    <row r="1191" spans="1:61" x14ac:dyDescent="0.25">
      <c r="A1191" s="62" t="s">
        <v>425</v>
      </c>
      <c r="B1191" s="62" t="s">
        <v>425</v>
      </c>
      <c r="C1191" s="63"/>
      <c r="D1191" s="64"/>
      <c r="E1191" s="65"/>
      <c r="F1191" s="66"/>
      <c r="G1191" s="63"/>
      <c r="H1191" s="67"/>
      <c r="I1191" s="68"/>
      <c r="J1191" s="68"/>
      <c r="K1191" s="32"/>
      <c r="L1191" s="75">
        <v>1191</v>
      </c>
      <c r="M1191" s="75"/>
      <c r="N1191" s="70"/>
      <c r="O1191" s="77" t="s">
        <v>179</v>
      </c>
      <c r="P1191" s="79">
        <v>45168.691192129627</v>
      </c>
      <c r="Q1191" s="77" t="s">
        <v>1982</v>
      </c>
      <c r="R1191" s="77">
        <v>0</v>
      </c>
      <c r="S1191" s="77">
        <v>1</v>
      </c>
      <c r="T1191" s="77">
        <v>0</v>
      </c>
      <c r="U1191" s="77">
        <v>0</v>
      </c>
      <c r="V1191" s="77">
        <v>314</v>
      </c>
      <c r="W1191" s="82" t="s">
        <v>5586</v>
      </c>
      <c r="X1191" s="80" t="str">
        <f>HYPERLINK("https://www.seudinheiro.com/2023/empresas/a-cemig-esta-mal-avaliada-acoes-cmig4-estao-entre-as-maiores-altas-do-ibovespa-e-este-analista-diz-se-chegou-a-hora-de-comprar-dfon/")</f>
        <v>https://www.seudinheiro.com/2023/empresas/a-cemig-esta-mal-avaliada-acoes-cmig4-estao-entre-as-maiores-altas-do-ibovespa-e-este-analista-diz-se-chegou-a-hora-de-comprar-dfon/</v>
      </c>
      <c r="Y1191" s="77" t="s">
        <v>7102</v>
      </c>
      <c r="Z1191" s="77"/>
      <c r="AA1191" s="77"/>
      <c r="AB1191" s="77"/>
      <c r="AC1191" s="82" t="s">
        <v>8255</v>
      </c>
      <c r="AD1191" s="77" t="s">
        <v>8278</v>
      </c>
      <c r="AE1191" s="80" t="str">
        <f>HYPERLINK("https://twitter.com/seu_dinheiro_br/status/1696924571574714484")</f>
        <v>https://twitter.com/seu_dinheiro_br/status/1696924571574714484</v>
      </c>
      <c r="AF1191" s="79">
        <v>45168.691192129627</v>
      </c>
      <c r="AG1191" s="85">
        <v>45168</v>
      </c>
      <c r="AH1191" s="82" t="s">
        <v>9340</v>
      </c>
      <c r="AI1191" s="77" t="b">
        <v>0</v>
      </c>
      <c r="AJ1191" s="77"/>
      <c r="AK1191" s="77"/>
      <c r="AL1191" s="77"/>
      <c r="AM1191" s="77"/>
      <c r="AN1191" s="77"/>
      <c r="AO1191" s="77"/>
      <c r="AP1191" s="77"/>
      <c r="AQ1191" s="77"/>
      <c r="AR1191" s="77"/>
      <c r="AS1191" s="77"/>
      <c r="AT1191" s="77"/>
      <c r="AU1191" s="77"/>
      <c r="AV1191" s="80" t="str">
        <f>HYPERLINK("https://pbs.twimg.com/profile_images/1041725334431952896/uaPtkYSp_normal.jpg")</f>
        <v>https://pbs.twimg.com/profile_images/1041725334431952896/uaPtkYSp_normal.jpg</v>
      </c>
      <c r="AW1191" s="82" t="s">
        <v>14286</v>
      </c>
      <c r="AX1191" s="82" t="s">
        <v>14286</v>
      </c>
      <c r="AY1191" s="77"/>
      <c r="AZ1191" s="82" t="s">
        <v>17385</v>
      </c>
      <c r="BA1191" s="82" t="s">
        <v>17385</v>
      </c>
      <c r="BB1191" s="82" t="s">
        <v>17385</v>
      </c>
      <c r="BC1191" s="82" t="s">
        <v>14286</v>
      </c>
      <c r="BD1191" s="82" t="s">
        <v>17550</v>
      </c>
      <c r="BE1191" s="77"/>
      <c r="BF1191" s="77"/>
      <c r="BG1191" s="77"/>
      <c r="BH1191" s="77"/>
      <c r="BI1191" s="77"/>
    </row>
    <row r="1192" spans="1:61" x14ac:dyDescent="0.25">
      <c r="A1192" s="62" t="s">
        <v>425</v>
      </c>
      <c r="B1192" s="62" t="s">
        <v>425</v>
      </c>
      <c r="C1192" s="63"/>
      <c r="D1192" s="64"/>
      <c r="E1192" s="65"/>
      <c r="F1192" s="66"/>
      <c r="G1192" s="63"/>
      <c r="H1192" s="67"/>
      <c r="I1192" s="68"/>
      <c r="J1192" s="68"/>
      <c r="K1192" s="32"/>
      <c r="L1192" s="75">
        <v>1192</v>
      </c>
      <c r="M1192" s="75"/>
      <c r="N1192" s="70"/>
      <c r="O1192" s="77" t="s">
        <v>179</v>
      </c>
      <c r="P1192" s="79">
        <v>45168.437858796293</v>
      </c>
      <c r="Q1192" s="77" t="s">
        <v>1983</v>
      </c>
      <c r="R1192" s="77">
        <v>0</v>
      </c>
      <c r="S1192" s="77">
        <v>4</v>
      </c>
      <c r="T1192" s="77">
        <v>0</v>
      </c>
      <c r="U1192" s="77">
        <v>0</v>
      </c>
      <c r="V1192" s="77">
        <v>623</v>
      </c>
      <c r="W1192" s="82" t="s">
        <v>5587</v>
      </c>
      <c r="X1192" s="80" t="str">
        <f>HYPERLINK("https://www.seudinheiro.com/2023/colunistas/day-trade-na-b3-como-lucrar-com-acao-do-banco-pan-bpan4-hoje-30-08-miql/")</f>
        <v>https://www.seudinheiro.com/2023/colunistas/day-trade-na-b3-como-lucrar-com-acao-do-banco-pan-bpan4-hoje-30-08-miql/</v>
      </c>
      <c r="Y1192" s="77" t="s">
        <v>7102</v>
      </c>
      <c r="Z1192" s="77"/>
      <c r="AA1192" s="77"/>
      <c r="AB1192" s="77"/>
      <c r="AC1192" s="82" t="s">
        <v>8255</v>
      </c>
      <c r="AD1192" s="77" t="s">
        <v>8278</v>
      </c>
      <c r="AE1192" s="80" t="str">
        <f>HYPERLINK("https://twitter.com/seu_dinheiro_br/status/1696832765709181376")</f>
        <v>https://twitter.com/seu_dinheiro_br/status/1696832765709181376</v>
      </c>
      <c r="AF1192" s="79">
        <v>45168.437858796293</v>
      </c>
      <c r="AG1192" s="85">
        <v>45168</v>
      </c>
      <c r="AH1192" s="82" t="s">
        <v>9341</v>
      </c>
      <c r="AI1192" s="77" t="b">
        <v>0</v>
      </c>
      <c r="AJ1192" s="77"/>
      <c r="AK1192" s="77"/>
      <c r="AL1192" s="77"/>
      <c r="AM1192" s="77"/>
      <c r="AN1192" s="77"/>
      <c r="AO1192" s="77"/>
      <c r="AP1192" s="77"/>
      <c r="AQ1192" s="77"/>
      <c r="AR1192" s="77"/>
      <c r="AS1192" s="77"/>
      <c r="AT1192" s="77"/>
      <c r="AU1192" s="77"/>
      <c r="AV1192" s="80" t="str">
        <f>HYPERLINK("https://pbs.twimg.com/profile_images/1041725334431952896/uaPtkYSp_normal.jpg")</f>
        <v>https://pbs.twimg.com/profile_images/1041725334431952896/uaPtkYSp_normal.jpg</v>
      </c>
      <c r="AW1192" s="82" t="s">
        <v>14287</v>
      </c>
      <c r="AX1192" s="82" t="s">
        <v>14287</v>
      </c>
      <c r="AY1192" s="77"/>
      <c r="AZ1192" s="82" t="s">
        <v>17385</v>
      </c>
      <c r="BA1192" s="82" t="s">
        <v>17385</v>
      </c>
      <c r="BB1192" s="82" t="s">
        <v>17385</v>
      </c>
      <c r="BC1192" s="82" t="s">
        <v>14287</v>
      </c>
      <c r="BD1192" s="82" t="s">
        <v>17550</v>
      </c>
      <c r="BE1192" s="77"/>
      <c r="BF1192" s="77"/>
      <c r="BG1192" s="77"/>
      <c r="BH1192" s="77"/>
      <c r="BI1192" s="77"/>
    </row>
    <row r="1193" spans="1:61" x14ac:dyDescent="0.25">
      <c r="A1193" s="62" t="s">
        <v>425</v>
      </c>
      <c r="B1193" s="62" t="s">
        <v>425</v>
      </c>
      <c r="C1193" s="63"/>
      <c r="D1193" s="64"/>
      <c r="E1193" s="65"/>
      <c r="F1193" s="66"/>
      <c r="G1193" s="63"/>
      <c r="H1193" s="67"/>
      <c r="I1193" s="68"/>
      <c r="J1193" s="68"/>
      <c r="K1193" s="32"/>
      <c r="L1193" s="75">
        <v>1193</v>
      </c>
      <c r="M1193" s="75"/>
      <c r="N1193" s="70"/>
      <c r="O1193" s="77" t="s">
        <v>179</v>
      </c>
      <c r="P1193" s="79">
        <v>45167.767465277779</v>
      </c>
      <c r="Q1193" s="77" t="s">
        <v>1984</v>
      </c>
      <c r="R1193" s="77">
        <v>0</v>
      </c>
      <c r="S1193" s="77">
        <v>0</v>
      </c>
      <c r="T1193" s="77">
        <v>0</v>
      </c>
      <c r="U1193" s="77">
        <v>0</v>
      </c>
      <c r="V1193" s="77">
        <v>309</v>
      </c>
      <c r="W1193" s="82" t="s">
        <v>5588</v>
      </c>
      <c r="X1193" s="80" t="str">
        <f>HYPERLINK("https://www.seudinheiro.com/2023/empresas/jp-morgan-aumenta-a-aposta-e-amplia-participacao-no-c6-bank-miql/")</f>
        <v>https://www.seudinheiro.com/2023/empresas/jp-morgan-aumenta-a-aposta-e-amplia-participacao-no-c6-bank-miql/</v>
      </c>
      <c r="Y1193" s="77" t="s">
        <v>7102</v>
      </c>
      <c r="Z1193" s="77"/>
      <c r="AA1193" s="77"/>
      <c r="AB1193" s="77"/>
      <c r="AC1193" s="82" t="s">
        <v>8255</v>
      </c>
      <c r="AD1193" s="77" t="s">
        <v>8278</v>
      </c>
      <c r="AE1193" s="80" t="str">
        <f>HYPERLINK("https://twitter.com/seu_dinheiro_br/status/1696589821982945526")</f>
        <v>https://twitter.com/seu_dinheiro_br/status/1696589821982945526</v>
      </c>
      <c r="AF1193" s="79">
        <v>45167.767465277779</v>
      </c>
      <c r="AG1193" s="85">
        <v>45167</v>
      </c>
      <c r="AH1193" s="82" t="s">
        <v>9342</v>
      </c>
      <c r="AI1193" s="77" t="b">
        <v>0</v>
      </c>
      <c r="AJ1193" s="77"/>
      <c r="AK1193" s="77"/>
      <c r="AL1193" s="77"/>
      <c r="AM1193" s="77"/>
      <c r="AN1193" s="77"/>
      <c r="AO1193" s="77"/>
      <c r="AP1193" s="77"/>
      <c r="AQ1193" s="77"/>
      <c r="AR1193" s="77"/>
      <c r="AS1193" s="77"/>
      <c r="AT1193" s="77"/>
      <c r="AU1193" s="77"/>
      <c r="AV1193" s="80" t="str">
        <f>HYPERLINK("https://pbs.twimg.com/profile_images/1041725334431952896/uaPtkYSp_normal.jpg")</f>
        <v>https://pbs.twimg.com/profile_images/1041725334431952896/uaPtkYSp_normal.jpg</v>
      </c>
      <c r="AW1193" s="82" t="s">
        <v>14288</v>
      </c>
      <c r="AX1193" s="82" t="s">
        <v>14288</v>
      </c>
      <c r="AY1193" s="77"/>
      <c r="AZ1193" s="82" t="s">
        <v>17385</v>
      </c>
      <c r="BA1193" s="82" t="s">
        <v>17385</v>
      </c>
      <c r="BB1193" s="82" t="s">
        <v>17385</v>
      </c>
      <c r="BC1193" s="82" t="s">
        <v>14288</v>
      </c>
      <c r="BD1193" s="82" t="s">
        <v>17550</v>
      </c>
      <c r="BE1193" s="77"/>
      <c r="BF1193" s="77"/>
      <c r="BG1193" s="77"/>
      <c r="BH1193" s="77"/>
      <c r="BI1193" s="77"/>
    </row>
    <row r="1194" spans="1:61" x14ac:dyDescent="0.25">
      <c r="A1194" s="62" t="s">
        <v>425</v>
      </c>
      <c r="B1194" s="62" t="s">
        <v>425</v>
      </c>
      <c r="C1194" s="63"/>
      <c r="D1194" s="64"/>
      <c r="E1194" s="65"/>
      <c r="F1194" s="66"/>
      <c r="G1194" s="63"/>
      <c r="H1194" s="67"/>
      <c r="I1194" s="68"/>
      <c r="J1194" s="68"/>
      <c r="K1194" s="32"/>
      <c r="L1194" s="75">
        <v>1194</v>
      </c>
      <c r="M1194" s="75"/>
      <c r="N1194" s="70"/>
      <c r="O1194" s="77" t="s">
        <v>179</v>
      </c>
      <c r="P1194" s="79">
        <v>45167.572465277779</v>
      </c>
      <c r="Q1194" s="77" t="s">
        <v>1985</v>
      </c>
      <c r="R1194" s="77">
        <v>0</v>
      </c>
      <c r="S1194" s="77">
        <v>0</v>
      </c>
      <c r="T1194" s="77">
        <v>0</v>
      </c>
      <c r="U1194" s="77">
        <v>0</v>
      </c>
      <c r="V1194" s="77">
        <v>244</v>
      </c>
      <c r="W1194" s="82" t="s">
        <v>5474</v>
      </c>
      <c r="X1194" s="80" t="str">
        <f>HYPERLINK("https://www.seudinheiro.com/2023/colunistas/vale-a-pena-desistir-das-acoes-da-tupy-tupy3-apos-troca-de-executivos-miql/")</f>
        <v>https://www.seudinheiro.com/2023/colunistas/vale-a-pena-desistir-das-acoes-da-tupy-tupy3-apos-troca-de-executivos-miql/</v>
      </c>
      <c r="Y1194" s="77" t="s">
        <v>7102</v>
      </c>
      <c r="Z1194" s="77"/>
      <c r="AA1194" s="77"/>
      <c r="AB1194" s="77"/>
      <c r="AC1194" s="82" t="s">
        <v>8255</v>
      </c>
      <c r="AD1194" s="77" t="s">
        <v>8278</v>
      </c>
      <c r="AE1194" s="80" t="str">
        <f>HYPERLINK("https://twitter.com/seu_dinheiro_br/status/1696519158048145842")</f>
        <v>https://twitter.com/seu_dinheiro_br/status/1696519158048145842</v>
      </c>
      <c r="AF1194" s="79">
        <v>45167.572465277779</v>
      </c>
      <c r="AG1194" s="85">
        <v>45167</v>
      </c>
      <c r="AH1194" s="82" t="s">
        <v>9343</v>
      </c>
      <c r="AI1194" s="77" t="b">
        <v>0</v>
      </c>
      <c r="AJ1194" s="77"/>
      <c r="AK1194" s="77"/>
      <c r="AL1194" s="77"/>
      <c r="AM1194" s="77"/>
      <c r="AN1194" s="77"/>
      <c r="AO1194" s="77"/>
      <c r="AP1194" s="77"/>
      <c r="AQ1194" s="77"/>
      <c r="AR1194" s="77"/>
      <c r="AS1194" s="77"/>
      <c r="AT1194" s="77"/>
      <c r="AU1194" s="77"/>
      <c r="AV1194" s="80" t="str">
        <f>HYPERLINK("https://pbs.twimg.com/profile_images/1041725334431952896/uaPtkYSp_normal.jpg")</f>
        <v>https://pbs.twimg.com/profile_images/1041725334431952896/uaPtkYSp_normal.jpg</v>
      </c>
      <c r="AW1194" s="82" t="s">
        <v>14289</v>
      </c>
      <c r="AX1194" s="82" t="s">
        <v>14289</v>
      </c>
      <c r="AY1194" s="77"/>
      <c r="AZ1194" s="82" t="s">
        <v>17385</v>
      </c>
      <c r="BA1194" s="82" t="s">
        <v>17385</v>
      </c>
      <c r="BB1194" s="82" t="s">
        <v>17385</v>
      </c>
      <c r="BC1194" s="82" t="s">
        <v>14289</v>
      </c>
      <c r="BD1194" s="82" t="s">
        <v>17550</v>
      </c>
      <c r="BE1194" s="77"/>
      <c r="BF1194" s="77"/>
      <c r="BG1194" s="77"/>
      <c r="BH1194" s="77"/>
      <c r="BI1194" s="77"/>
    </row>
    <row r="1195" spans="1:61" x14ac:dyDescent="0.25">
      <c r="A1195" s="62" t="s">
        <v>425</v>
      </c>
      <c r="B1195" s="62" t="s">
        <v>425</v>
      </c>
      <c r="C1195" s="63"/>
      <c r="D1195" s="64"/>
      <c r="E1195" s="65"/>
      <c r="F1195" s="66"/>
      <c r="G1195" s="63"/>
      <c r="H1195" s="67"/>
      <c r="I1195" s="68"/>
      <c r="J1195" s="68"/>
      <c r="K1195" s="32"/>
      <c r="L1195" s="75">
        <v>1195</v>
      </c>
      <c r="M1195" s="75"/>
      <c r="N1195" s="70"/>
      <c r="O1195" s="77" t="s">
        <v>179</v>
      </c>
      <c r="P1195" s="79">
        <v>45167.447280092594</v>
      </c>
      <c r="Q1195" s="77" t="s">
        <v>1986</v>
      </c>
      <c r="R1195" s="77">
        <v>0</v>
      </c>
      <c r="S1195" s="77">
        <v>2</v>
      </c>
      <c r="T1195" s="77">
        <v>0</v>
      </c>
      <c r="U1195" s="77">
        <v>0</v>
      </c>
      <c r="V1195" s="77">
        <v>305</v>
      </c>
      <c r="W1195" s="82" t="s">
        <v>5475</v>
      </c>
      <c r="X1195" s="80" t="str">
        <f>HYPERLINK("https://www.seudinheiro.com/2023/colunistas/day-trade-na-b3-como-lucrar-com-acao-da-eztec-eztc3-hoje-29-08-miql/")</f>
        <v>https://www.seudinheiro.com/2023/colunistas/day-trade-na-b3-como-lucrar-com-acao-da-eztec-eztc3-hoje-29-08-miql/</v>
      </c>
      <c r="Y1195" s="77" t="s">
        <v>7102</v>
      </c>
      <c r="Z1195" s="77"/>
      <c r="AA1195" s="77"/>
      <c r="AB1195" s="77"/>
      <c r="AC1195" s="82" t="s">
        <v>8255</v>
      </c>
      <c r="AD1195" s="77" t="s">
        <v>8278</v>
      </c>
      <c r="AE1195" s="80" t="str">
        <f>HYPERLINK("https://twitter.com/seu_dinheiro_br/status/1696473792439050701")</f>
        <v>https://twitter.com/seu_dinheiro_br/status/1696473792439050701</v>
      </c>
      <c r="AF1195" s="79">
        <v>45167.447280092594</v>
      </c>
      <c r="AG1195" s="85">
        <v>45167</v>
      </c>
      <c r="AH1195" s="82" t="s">
        <v>9344</v>
      </c>
      <c r="AI1195" s="77" t="b">
        <v>0</v>
      </c>
      <c r="AJ1195" s="77"/>
      <c r="AK1195" s="77"/>
      <c r="AL1195" s="77"/>
      <c r="AM1195" s="77"/>
      <c r="AN1195" s="77"/>
      <c r="AO1195" s="77"/>
      <c r="AP1195" s="77"/>
      <c r="AQ1195" s="77"/>
      <c r="AR1195" s="77"/>
      <c r="AS1195" s="77"/>
      <c r="AT1195" s="77"/>
      <c r="AU1195" s="77"/>
      <c r="AV1195" s="80" t="str">
        <f>HYPERLINK("https://pbs.twimg.com/profile_images/1041725334431952896/uaPtkYSp_normal.jpg")</f>
        <v>https://pbs.twimg.com/profile_images/1041725334431952896/uaPtkYSp_normal.jpg</v>
      </c>
      <c r="AW1195" s="82" t="s">
        <v>14290</v>
      </c>
      <c r="AX1195" s="82" t="s">
        <v>14290</v>
      </c>
      <c r="AY1195" s="77"/>
      <c r="AZ1195" s="82" t="s">
        <v>17385</v>
      </c>
      <c r="BA1195" s="82" t="s">
        <v>17385</v>
      </c>
      <c r="BB1195" s="82" t="s">
        <v>17385</v>
      </c>
      <c r="BC1195" s="82" t="s">
        <v>14290</v>
      </c>
      <c r="BD1195" s="82" t="s">
        <v>17550</v>
      </c>
      <c r="BE1195" s="77"/>
      <c r="BF1195" s="77"/>
      <c r="BG1195" s="77"/>
      <c r="BH1195" s="77"/>
      <c r="BI1195" s="77"/>
    </row>
    <row r="1196" spans="1:61" x14ac:dyDescent="0.25">
      <c r="A1196" s="62" t="s">
        <v>425</v>
      </c>
      <c r="B1196" s="62" t="s">
        <v>425</v>
      </c>
      <c r="C1196" s="63"/>
      <c r="D1196" s="64"/>
      <c r="E1196" s="65"/>
      <c r="F1196" s="66"/>
      <c r="G1196" s="63"/>
      <c r="H1196" s="67"/>
      <c r="I1196" s="68"/>
      <c r="J1196" s="68"/>
      <c r="K1196" s="32"/>
      <c r="L1196" s="75">
        <v>1196</v>
      </c>
      <c r="M1196" s="75"/>
      <c r="N1196" s="70"/>
      <c r="O1196" s="77" t="s">
        <v>179</v>
      </c>
      <c r="P1196" s="79">
        <v>45166.856307870374</v>
      </c>
      <c r="Q1196" s="77" t="s">
        <v>1987</v>
      </c>
      <c r="R1196" s="77">
        <v>0</v>
      </c>
      <c r="S1196" s="77">
        <v>0</v>
      </c>
      <c r="T1196" s="77">
        <v>0</v>
      </c>
      <c r="U1196" s="77">
        <v>0</v>
      </c>
      <c r="V1196" s="77">
        <v>257</v>
      </c>
      <c r="W1196" s="82" t="s">
        <v>5224</v>
      </c>
      <c r="X1196" s="80" t="str">
        <f>HYPERLINK("https://www.seudinheiro.com/2023/empresas/evergrande-acoes-da-incorporadora-mais-endividada-do-mundo-despencam-mais-de-80-e-colocam-a-china-em-apuros-ccgg/")</f>
        <v>https://www.seudinheiro.com/2023/empresas/evergrande-acoes-da-incorporadora-mais-endividada-do-mundo-despencam-mais-de-80-e-colocam-a-china-em-apuros-ccgg/</v>
      </c>
      <c r="Y1196" s="77" t="s">
        <v>7102</v>
      </c>
      <c r="Z1196" s="77"/>
      <c r="AA1196" s="77"/>
      <c r="AB1196" s="77"/>
      <c r="AC1196" s="82" t="s">
        <v>8255</v>
      </c>
      <c r="AD1196" s="77" t="s">
        <v>8278</v>
      </c>
      <c r="AE1196" s="80" t="str">
        <f>HYPERLINK("https://twitter.com/seu_dinheiro_br/status/1696259629104193569")</f>
        <v>https://twitter.com/seu_dinheiro_br/status/1696259629104193569</v>
      </c>
      <c r="AF1196" s="79">
        <v>45166.856307870374</v>
      </c>
      <c r="AG1196" s="85">
        <v>45166</v>
      </c>
      <c r="AH1196" s="82" t="s">
        <v>9345</v>
      </c>
      <c r="AI1196" s="77" t="b">
        <v>0</v>
      </c>
      <c r="AJ1196" s="77"/>
      <c r="AK1196" s="77"/>
      <c r="AL1196" s="77"/>
      <c r="AM1196" s="77"/>
      <c r="AN1196" s="77"/>
      <c r="AO1196" s="77"/>
      <c r="AP1196" s="77"/>
      <c r="AQ1196" s="77"/>
      <c r="AR1196" s="77"/>
      <c r="AS1196" s="77"/>
      <c r="AT1196" s="77"/>
      <c r="AU1196" s="77"/>
      <c r="AV1196" s="80" t="str">
        <f>HYPERLINK("https://pbs.twimg.com/profile_images/1041725334431952896/uaPtkYSp_normal.jpg")</f>
        <v>https://pbs.twimg.com/profile_images/1041725334431952896/uaPtkYSp_normal.jpg</v>
      </c>
      <c r="AW1196" s="82" t="s">
        <v>14291</v>
      </c>
      <c r="AX1196" s="82" t="s">
        <v>14291</v>
      </c>
      <c r="AY1196" s="77"/>
      <c r="AZ1196" s="82" t="s">
        <v>17385</v>
      </c>
      <c r="BA1196" s="82" t="s">
        <v>17385</v>
      </c>
      <c r="BB1196" s="82" t="s">
        <v>17385</v>
      </c>
      <c r="BC1196" s="82" t="s">
        <v>14291</v>
      </c>
      <c r="BD1196" s="82" t="s">
        <v>17550</v>
      </c>
      <c r="BE1196" s="77"/>
      <c r="BF1196" s="77"/>
      <c r="BG1196" s="77"/>
      <c r="BH1196" s="77"/>
      <c r="BI1196" s="77"/>
    </row>
    <row r="1197" spans="1:61" x14ac:dyDescent="0.25">
      <c r="A1197" s="62" t="s">
        <v>425</v>
      </c>
      <c r="B1197" s="62" t="s">
        <v>425</v>
      </c>
      <c r="C1197" s="63"/>
      <c r="D1197" s="64"/>
      <c r="E1197" s="65"/>
      <c r="F1197" s="66"/>
      <c r="G1197" s="63"/>
      <c r="H1197" s="67"/>
      <c r="I1197" s="68"/>
      <c r="J1197" s="68"/>
      <c r="K1197" s="32"/>
      <c r="L1197" s="75">
        <v>1197</v>
      </c>
      <c r="M1197" s="75"/>
      <c r="N1197" s="70"/>
      <c r="O1197" s="77" t="s">
        <v>179</v>
      </c>
      <c r="P1197" s="79">
        <v>45166.7969212963</v>
      </c>
      <c r="Q1197" s="77" t="s">
        <v>1988</v>
      </c>
      <c r="R1197" s="77">
        <v>0</v>
      </c>
      <c r="S1197" s="77">
        <v>2</v>
      </c>
      <c r="T1197" s="77">
        <v>0</v>
      </c>
      <c r="U1197" s="77">
        <v>0</v>
      </c>
      <c r="V1197" s="77">
        <v>614</v>
      </c>
      <c r="W1197" s="82" t="s">
        <v>5486</v>
      </c>
      <c r="X1197" s="80" t="str">
        <f>HYPERLINK("https://www.seudinheiro.com/2023/bolsa-dolar/minerva-beef3-e-petz-petz3-lideram-ponta-alta-do-ibovespa-acoes-de-pao-de-acucar-pcar3-e-via-viia3-operam-em-queda-ccgg/")</f>
        <v>https://www.seudinheiro.com/2023/bolsa-dolar/minerva-beef3-e-petz-petz3-lideram-ponta-alta-do-ibovespa-acoes-de-pao-de-acucar-pcar3-e-via-viia3-operam-em-queda-ccgg/</v>
      </c>
      <c r="Y1197" s="77" t="s">
        <v>7102</v>
      </c>
      <c r="Z1197" s="77"/>
      <c r="AA1197" s="77"/>
      <c r="AB1197" s="77"/>
      <c r="AC1197" s="82" t="s">
        <v>8255</v>
      </c>
      <c r="AD1197" s="77" t="s">
        <v>8278</v>
      </c>
      <c r="AE1197" s="80" t="str">
        <f>HYPERLINK("https://twitter.com/seu_dinheiro_br/status/1696238111263519151")</f>
        <v>https://twitter.com/seu_dinheiro_br/status/1696238111263519151</v>
      </c>
      <c r="AF1197" s="79">
        <v>45166.7969212963</v>
      </c>
      <c r="AG1197" s="85">
        <v>45166</v>
      </c>
      <c r="AH1197" s="82" t="s">
        <v>9346</v>
      </c>
      <c r="AI1197" s="77" t="b">
        <v>0</v>
      </c>
      <c r="AJ1197" s="77"/>
      <c r="AK1197" s="77"/>
      <c r="AL1197" s="77"/>
      <c r="AM1197" s="77"/>
      <c r="AN1197" s="77"/>
      <c r="AO1197" s="77"/>
      <c r="AP1197" s="77"/>
      <c r="AQ1197" s="77"/>
      <c r="AR1197" s="77"/>
      <c r="AS1197" s="77"/>
      <c r="AT1197" s="77"/>
      <c r="AU1197" s="77"/>
      <c r="AV1197" s="80" t="str">
        <f>HYPERLINK("https://pbs.twimg.com/profile_images/1041725334431952896/uaPtkYSp_normal.jpg")</f>
        <v>https://pbs.twimg.com/profile_images/1041725334431952896/uaPtkYSp_normal.jpg</v>
      </c>
      <c r="AW1197" s="82" t="s">
        <v>14292</v>
      </c>
      <c r="AX1197" s="82" t="s">
        <v>14292</v>
      </c>
      <c r="AY1197" s="77"/>
      <c r="AZ1197" s="82" t="s">
        <v>17385</v>
      </c>
      <c r="BA1197" s="82" t="s">
        <v>17385</v>
      </c>
      <c r="BB1197" s="82" t="s">
        <v>17385</v>
      </c>
      <c r="BC1197" s="82" t="s">
        <v>14292</v>
      </c>
      <c r="BD1197" s="82" t="s">
        <v>17550</v>
      </c>
      <c r="BE1197" s="77"/>
      <c r="BF1197" s="77"/>
      <c r="BG1197" s="77"/>
      <c r="BH1197" s="77"/>
      <c r="BI1197" s="77"/>
    </row>
    <row r="1198" spans="1:61" x14ac:dyDescent="0.25">
      <c r="A1198" s="62" t="s">
        <v>425</v>
      </c>
      <c r="B1198" s="62" t="s">
        <v>425</v>
      </c>
      <c r="C1198" s="63"/>
      <c r="D1198" s="64"/>
      <c r="E1198" s="65"/>
      <c r="F1198" s="66"/>
      <c r="G1198" s="63"/>
      <c r="H1198" s="67"/>
      <c r="I1198" s="68"/>
      <c r="J1198" s="68"/>
      <c r="K1198" s="32"/>
      <c r="L1198" s="75">
        <v>1198</v>
      </c>
      <c r="M1198" s="75"/>
      <c r="N1198" s="70"/>
      <c r="O1198" s="77" t="s">
        <v>179</v>
      </c>
      <c r="P1198" s="79">
        <v>45166.698310185187</v>
      </c>
      <c r="Q1198" s="77" t="s">
        <v>1989</v>
      </c>
      <c r="R1198" s="77">
        <v>0</v>
      </c>
      <c r="S1198" s="77">
        <v>0</v>
      </c>
      <c r="T1198" s="77">
        <v>0</v>
      </c>
      <c r="U1198" s="77">
        <v>0</v>
      </c>
      <c r="V1198" s="77">
        <v>275</v>
      </c>
      <c r="W1198" s="82" t="s">
        <v>5547</v>
      </c>
      <c r="X1198" s="80" t="str">
        <f>HYPERLINK("https://www.seudinheiro.com/2023/empresas/a-nova-acao-favorita-do-jp-morgan-no-setor-de-educacao-tem-potencial-de-alta-de-quase-80-na-b3-ccgg/")</f>
        <v>https://www.seudinheiro.com/2023/empresas/a-nova-acao-favorita-do-jp-morgan-no-setor-de-educacao-tem-potencial-de-alta-de-quase-80-na-b3-ccgg/</v>
      </c>
      <c r="Y1198" s="77" t="s">
        <v>7102</v>
      </c>
      <c r="Z1198" s="77"/>
      <c r="AA1198" s="77"/>
      <c r="AB1198" s="77"/>
      <c r="AC1198" s="82" t="s">
        <v>8255</v>
      </c>
      <c r="AD1198" s="77" t="s">
        <v>8278</v>
      </c>
      <c r="AE1198" s="80" t="str">
        <f>HYPERLINK("https://twitter.com/seu_dinheiro_br/status/1696202375504052272")</f>
        <v>https://twitter.com/seu_dinheiro_br/status/1696202375504052272</v>
      </c>
      <c r="AF1198" s="79">
        <v>45166.698310185187</v>
      </c>
      <c r="AG1198" s="85">
        <v>45166</v>
      </c>
      <c r="AH1198" s="82" t="s">
        <v>9347</v>
      </c>
      <c r="AI1198" s="77" t="b">
        <v>0</v>
      </c>
      <c r="AJ1198" s="77"/>
      <c r="AK1198" s="77"/>
      <c r="AL1198" s="77"/>
      <c r="AM1198" s="77"/>
      <c r="AN1198" s="77"/>
      <c r="AO1198" s="77"/>
      <c r="AP1198" s="77"/>
      <c r="AQ1198" s="77"/>
      <c r="AR1198" s="77"/>
      <c r="AS1198" s="77"/>
      <c r="AT1198" s="77"/>
      <c r="AU1198" s="77"/>
      <c r="AV1198" s="80" t="str">
        <f>HYPERLINK("https://pbs.twimg.com/profile_images/1041725334431952896/uaPtkYSp_normal.jpg")</f>
        <v>https://pbs.twimg.com/profile_images/1041725334431952896/uaPtkYSp_normal.jpg</v>
      </c>
      <c r="AW1198" s="82" t="s">
        <v>14293</v>
      </c>
      <c r="AX1198" s="82" t="s">
        <v>14293</v>
      </c>
      <c r="AY1198" s="77"/>
      <c r="AZ1198" s="82" t="s">
        <v>17385</v>
      </c>
      <c r="BA1198" s="82" t="s">
        <v>17385</v>
      </c>
      <c r="BB1198" s="82" t="s">
        <v>17385</v>
      </c>
      <c r="BC1198" s="82" t="s">
        <v>14293</v>
      </c>
      <c r="BD1198" s="82" t="s">
        <v>17550</v>
      </c>
      <c r="BE1198" s="77"/>
      <c r="BF1198" s="77"/>
      <c r="BG1198" s="77"/>
      <c r="BH1198" s="77"/>
      <c r="BI1198" s="77"/>
    </row>
    <row r="1199" spans="1:61" x14ac:dyDescent="0.25">
      <c r="A1199" s="62" t="s">
        <v>425</v>
      </c>
      <c r="B1199" s="62" t="s">
        <v>425</v>
      </c>
      <c r="C1199" s="63"/>
      <c r="D1199" s="64"/>
      <c r="E1199" s="65"/>
      <c r="F1199" s="66"/>
      <c r="G1199" s="63"/>
      <c r="H1199" s="67"/>
      <c r="I1199" s="68"/>
      <c r="J1199" s="68"/>
      <c r="K1199" s="32"/>
      <c r="L1199" s="75">
        <v>1199</v>
      </c>
      <c r="M1199" s="75"/>
      <c r="N1199" s="70"/>
      <c r="O1199" s="77" t="s">
        <v>179</v>
      </c>
      <c r="P1199" s="79">
        <v>45166.615972222222</v>
      </c>
      <c r="Q1199" s="77" t="s">
        <v>1990</v>
      </c>
      <c r="R1199" s="77">
        <v>0</v>
      </c>
      <c r="S1199" s="77">
        <v>1</v>
      </c>
      <c r="T1199" s="77">
        <v>0</v>
      </c>
      <c r="U1199" s="77">
        <v>0</v>
      </c>
      <c r="V1199" s="77">
        <v>379</v>
      </c>
      <c r="W1199" s="82" t="s">
        <v>5474</v>
      </c>
      <c r="X1199" s="80" t="str">
        <f>HYPERLINK("https://www.seudinheiro.com/2023/bolsa-dolar/acoes-da-tupy-tupy3-recuam-apos-governo-indicar-dois-ministros-para-o-alto-escalao-da-companhia-lils/")</f>
        <v>https://www.seudinheiro.com/2023/bolsa-dolar/acoes-da-tupy-tupy3-recuam-apos-governo-indicar-dois-ministros-para-o-alto-escalao-da-companhia-lils/</v>
      </c>
      <c r="Y1199" s="77" t="s">
        <v>7102</v>
      </c>
      <c r="Z1199" s="77"/>
      <c r="AA1199" s="77"/>
      <c r="AB1199" s="77"/>
      <c r="AC1199" s="82" t="s">
        <v>8255</v>
      </c>
      <c r="AD1199" s="77" t="s">
        <v>8278</v>
      </c>
      <c r="AE1199" s="80" t="str">
        <f>HYPERLINK("https://twitter.com/seu_dinheiro_br/status/1696172534440345614")</f>
        <v>https://twitter.com/seu_dinheiro_br/status/1696172534440345614</v>
      </c>
      <c r="AF1199" s="79">
        <v>45166.615972222222</v>
      </c>
      <c r="AG1199" s="85">
        <v>45166</v>
      </c>
      <c r="AH1199" s="82" t="s">
        <v>9348</v>
      </c>
      <c r="AI1199" s="77" t="b">
        <v>0</v>
      </c>
      <c r="AJ1199" s="77"/>
      <c r="AK1199" s="77"/>
      <c r="AL1199" s="77"/>
      <c r="AM1199" s="77"/>
      <c r="AN1199" s="77"/>
      <c r="AO1199" s="77"/>
      <c r="AP1199" s="77"/>
      <c r="AQ1199" s="77"/>
      <c r="AR1199" s="77"/>
      <c r="AS1199" s="77"/>
      <c r="AT1199" s="77"/>
      <c r="AU1199" s="77"/>
      <c r="AV1199" s="80" t="str">
        <f>HYPERLINK("https://pbs.twimg.com/profile_images/1041725334431952896/uaPtkYSp_normal.jpg")</f>
        <v>https://pbs.twimg.com/profile_images/1041725334431952896/uaPtkYSp_normal.jpg</v>
      </c>
      <c r="AW1199" s="82" t="s">
        <v>14294</v>
      </c>
      <c r="AX1199" s="82" t="s">
        <v>14294</v>
      </c>
      <c r="AY1199" s="77"/>
      <c r="AZ1199" s="82" t="s">
        <v>17385</v>
      </c>
      <c r="BA1199" s="82" t="s">
        <v>17385</v>
      </c>
      <c r="BB1199" s="82" t="s">
        <v>17385</v>
      </c>
      <c r="BC1199" s="82" t="s">
        <v>14294</v>
      </c>
      <c r="BD1199" s="82" t="s">
        <v>17550</v>
      </c>
      <c r="BE1199" s="77"/>
      <c r="BF1199" s="77"/>
      <c r="BG1199" s="77"/>
      <c r="BH1199" s="77"/>
      <c r="BI1199" s="77"/>
    </row>
    <row r="1200" spans="1:61" x14ac:dyDescent="0.25">
      <c r="A1200" s="62" t="s">
        <v>425</v>
      </c>
      <c r="B1200" s="62" t="s">
        <v>425</v>
      </c>
      <c r="C1200" s="63"/>
      <c r="D1200" s="64"/>
      <c r="E1200" s="65"/>
      <c r="F1200" s="66"/>
      <c r="G1200" s="63"/>
      <c r="H1200" s="67"/>
      <c r="I1200" s="68"/>
      <c r="J1200" s="68"/>
      <c r="K1200" s="32"/>
      <c r="L1200" s="75">
        <v>1200</v>
      </c>
      <c r="M1200" s="75"/>
      <c r="N1200" s="70"/>
      <c r="O1200" s="77" t="s">
        <v>179</v>
      </c>
      <c r="P1200" s="79">
        <v>45150.575972222221</v>
      </c>
      <c r="Q1200" s="77" t="s">
        <v>1991</v>
      </c>
      <c r="R1200" s="77">
        <v>0</v>
      </c>
      <c r="S1200" s="77">
        <v>1</v>
      </c>
      <c r="T1200" s="77">
        <v>0</v>
      </c>
      <c r="U1200" s="77">
        <v>0</v>
      </c>
      <c r="V1200" s="77">
        <v>384</v>
      </c>
      <c r="W1200" s="82" t="s">
        <v>5589</v>
      </c>
      <c r="X1200" s="80" t="str">
        <f>HYPERLINK("https://www.seudinheiro.com/2023/empresas/nubank-nubr33-prazo-para-escolher-conversao-ou-venda-dos-bdrs-terminou-nesta-sexta-11-julw/")</f>
        <v>https://www.seudinheiro.com/2023/empresas/nubank-nubr33-prazo-para-escolher-conversao-ou-venda-dos-bdrs-terminou-nesta-sexta-11-julw/</v>
      </c>
      <c r="Y1200" s="77" t="s">
        <v>7102</v>
      </c>
      <c r="Z1200" s="77"/>
      <c r="AA1200" s="77"/>
      <c r="AB1200" s="77"/>
      <c r="AC1200" s="82" t="s">
        <v>8255</v>
      </c>
      <c r="AD1200" s="77" t="s">
        <v>8278</v>
      </c>
      <c r="AE1200" s="80" t="str">
        <f>HYPERLINK("https://twitter.com/seu_dinheiro_br/status/1690359832597893120")</f>
        <v>https://twitter.com/seu_dinheiro_br/status/1690359832597893120</v>
      </c>
      <c r="AF1200" s="79">
        <v>45150.575972222221</v>
      </c>
      <c r="AG1200" s="85">
        <v>45150</v>
      </c>
      <c r="AH1200" s="82" t="s">
        <v>9349</v>
      </c>
      <c r="AI1200" s="77" t="b">
        <v>0</v>
      </c>
      <c r="AJ1200" s="77"/>
      <c r="AK1200" s="77"/>
      <c r="AL1200" s="77"/>
      <c r="AM1200" s="77"/>
      <c r="AN1200" s="77"/>
      <c r="AO1200" s="77"/>
      <c r="AP1200" s="77"/>
      <c r="AQ1200" s="77"/>
      <c r="AR1200" s="77"/>
      <c r="AS1200" s="77"/>
      <c r="AT1200" s="77"/>
      <c r="AU1200" s="77"/>
      <c r="AV1200" s="80" t="str">
        <f>HYPERLINK("https://pbs.twimg.com/profile_images/1041725334431952896/uaPtkYSp_normal.jpg")</f>
        <v>https://pbs.twimg.com/profile_images/1041725334431952896/uaPtkYSp_normal.jpg</v>
      </c>
      <c r="AW1200" s="82" t="s">
        <v>14295</v>
      </c>
      <c r="AX1200" s="82" t="s">
        <v>14295</v>
      </c>
      <c r="AY1200" s="77"/>
      <c r="AZ1200" s="82" t="s">
        <v>17385</v>
      </c>
      <c r="BA1200" s="82" t="s">
        <v>17385</v>
      </c>
      <c r="BB1200" s="82" t="s">
        <v>17385</v>
      </c>
      <c r="BC1200" s="82" t="s">
        <v>14295</v>
      </c>
      <c r="BD1200" s="82" t="s">
        <v>17550</v>
      </c>
      <c r="BE1200" s="77"/>
      <c r="BF1200" s="77"/>
      <c r="BG1200" s="77"/>
      <c r="BH1200" s="77"/>
      <c r="BI1200" s="77"/>
    </row>
    <row r="1201" spans="1:61" x14ac:dyDescent="0.25">
      <c r="A1201" s="62" t="s">
        <v>425</v>
      </c>
      <c r="B1201" s="62" t="s">
        <v>425</v>
      </c>
      <c r="C1201" s="63"/>
      <c r="D1201" s="64"/>
      <c r="E1201" s="65"/>
      <c r="F1201" s="66"/>
      <c r="G1201" s="63"/>
      <c r="H1201" s="67"/>
      <c r="I1201" s="68"/>
      <c r="J1201" s="68"/>
      <c r="K1201" s="32"/>
      <c r="L1201" s="75">
        <v>1201</v>
      </c>
      <c r="M1201" s="75"/>
      <c r="N1201" s="70"/>
      <c r="O1201" s="77" t="s">
        <v>179</v>
      </c>
      <c r="P1201" s="79">
        <v>45150.528217592589</v>
      </c>
      <c r="Q1201" s="77" t="s">
        <v>1992</v>
      </c>
      <c r="R1201" s="77">
        <v>0</v>
      </c>
      <c r="S1201" s="77">
        <v>1</v>
      </c>
      <c r="T1201" s="77">
        <v>0</v>
      </c>
      <c r="U1201" s="77">
        <v>0</v>
      </c>
      <c r="V1201" s="77">
        <v>292</v>
      </c>
      <c r="W1201" s="82" t="s">
        <v>5590</v>
      </c>
      <c r="X1201" s="80" t="str">
        <f>HYPERLINK("https://www.seudinheiro.com/2023/empresas/cyrela-cyre3-define-a-data-de-pagamento-de-r-192-milhoes-em-dividendos-anunciados-em-abril-yduqs-yduq3-antecipa-proventos-julw/")</f>
        <v>https://www.seudinheiro.com/2023/empresas/cyrela-cyre3-define-a-data-de-pagamento-de-r-192-milhoes-em-dividendos-anunciados-em-abril-yduqs-yduq3-antecipa-proventos-julw/</v>
      </c>
      <c r="Y1201" s="77" t="s">
        <v>7102</v>
      </c>
      <c r="Z1201" s="77"/>
      <c r="AA1201" s="77"/>
      <c r="AB1201" s="77"/>
      <c r="AC1201" s="82" t="s">
        <v>8255</v>
      </c>
      <c r="AD1201" s="77" t="s">
        <v>8278</v>
      </c>
      <c r="AE1201" s="80" t="str">
        <f>HYPERLINK("https://twitter.com/seu_dinheiro_br/status/1690342529353588736")</f>
        <v>https://twitter.com/seu_dinheiro_br/status/1690342529353588736</v>
      </c>
      <c r="AF1201" s="79">
        <v>45150.528217592589</v>
      </c>
      <c r="AG1201" s="85">
        <v>45150</v>
      </c>
      <c r="AH1201" s="82" t="s">
        <v>9350</v>
      </c>
      <c r="AI1201" s="77" t="b">
        <v>0</v>
      </c>
      <c r="AJ1201" s="77"/>
      <c r="AK1201" s="77"/>
      <c r="AL1201" s="77"/>
      <c r="AM1201" s="77"/>
      <c r="AN1201" s="77"/>
      <c r="AO1201" s="77"/>
      <c r="AP1201" s="77"/>
      <c r="AQ1201" s="77"/>
      <c r="AR1201" s="77"/>
      <c r="AS1201" s="77"/>
      <c r="AT1201" s="77"/>
      <c r="AU1201" s="77"/>
      <c r="AV1201" s="80" t="str">
        <f>HYPERLINK("https://pbs.twimg.com/profile_images/1041725334431952896/uaPtkYSp_normal.jpg")</f>
        <v>https://pbs.twimg.com/profile_images/1041725334431952896/uaPtkYSp_normal.jpg</v>
      </c>
      <c r="AW1201" s="82" t="s">
        <v>14296</v>
      </c>
      <c r="AX1201" s="82" t="s">
        <v>14296</v>
      </c>
      <c r="AY1201" s="77"/>
      <c r="AZ1201" s="82" t="s">
        <v>17385</v>
      </c>
      <c r="BA1201" s="82" t="s">
        <v>17385</v>
      </c>
      <c r="BB1201" s="82" t="s">
        <v>17385</v>
      </c>
      <c r="BC1201" s="82" t="s">
        <v>14296</v>
      </c>
      <c r="BD1201" s="82" t="s">
        <v>17550</v>
      </c>
      <c r="BE1201" s="77"/>
      <c r="BF1201" s="77"/>
      <c r="BG1201" s="77"/>
      <c r="BH1201" s="77"/>
      <c r="BI1201" s="77"/>
    </row>
    <row r="1202" spans="1:61" x14ac:dyDescent="0.25">
      <c r="A1202" s="62" t="s">
        <v>425</v>
      </c>
      <c r="B1202" s="62" t="s">
        <v>425</v>
      </c>
      <c r="C1202" s="63"/>
      <c r="D1202" s="64"/>
      <c r="E1202" s="65"/>
      <c r="F1202" s="66"/>
      <c r="G1202" s="63"/>
      <c r="H1202" s="67"/>
      <c r="I1202" s="68"/>
      <c r="J1202" s="68"/>
      <c r="K1202" s="32"/>
      <c r="L1202" s="75">
        <v>1202</v>
      </c>
      <c r="M1202" s="75"/>
      <c r="N1202" s="70"/>
      <c r="O1202" s="77" t="s">
        <v>179</v>
      </c>
      <c r="P1202" s="79">
        <v>45149.938275462962</v>
      </c>
      <c r="Q1202" s="77" t="s">
        <v>1993</v>
      </c>
      <c r="R1202" s="77">
        <v>0</v>
      </c>
      <c r="S1202" s="77">
        <v>2</v>
      </c>
      <c r="T1202" s="77">
        <v>1</v>
      </c>
      <c r="U1202" s="77">
        <v>0</v>
      </c>
      <c r="V1202" s="77">
        <v>416</v>
      </c>
      <c r="W1202" s="82" t="s">
        <v>5591</v>
      </c>
      <c r="X1202" s="80" t="str">
        <f>HYPERLINK("https://www.seudinheiro.com/2023/empresas/petrobras-petr4-pac-r-323-bilhoes-rens/")</f>
        <v>https://www.seudinheiro.com/2023/empresas/petrobras-petr4-pac-r-323-bilhoes-rens/</v>
      </c>
      <c r="Y1202" s="77" t="s">
        <v>7102</v>
      </c>
      <c r="Z1202" s="77"/>
      <c r="AA1202" s="77"/>
      <c r="AB1202" s="77"/>
      <c r="AC1202" s="82" t="s">
        <v>8255</v>
      </c>
      <c r="AD1202" s="77" t="s">
        <v>8278</v>
      </c>
      <c r="AE1202" s="80" t="str">
        <f>HYPERLINK("https://twitter.com/seu_dinheiro_br/status/1690128740007702528")</f>
        <v>https://twitter.com/seu_dinheiro_br/status/1690128740007702528</v>
      </c>
      <c r="AF1202" s="79">
        <v>45149.938275462962</v>
      </c>
      <c r="AG1202" s="85">
        <v>45149</v>
      </c>
      <c r="AH1202" s="82" t="s">
        <v>8295</v>
      </c>
      <c r="AI1202" s="77" t="b">
        <v>0</v>
      </c>
      <c r="AJ1202" s="77"/>
      <c r="AK1202" s="77"/>
      <c r="AL1202" s="77"/>
      <c r="AM1202" s="77"/>
      <c r="AN1202" s="77"/>
      <c r="AO1202" s="77"/>
      <c r="AP1202" s="77"/>
      <c r="AQ1202" s="77"/>
      <c r="AR1202" s="77"/>
      <c r="AS1202" s="77"/>
      <c r="AT1202" s="77"/>
      <c r="AU1202" s="77"/>
      <c r="AV1202" s="80" t="str">
        <f>HYPERLINK("https://pbs.twimg.com/profile_images/1041725334431952896/uaPtkYSp_normal.jpg")</f>
        <v>https://pbs.twimg.com/profile_images/1041725334431952896/uaPtkYSp_normal.jpg</v>
      </c>
      <c r="AW1202" s="82" t="s">
        <v>14297</v>
      </c>
      <c r="AX1202" s="82" t="s">
        <v>14297</v>
      </c>
      <c r="AY1202" s="77"/>
      <c r="AZ1202" s="82" t="s">
        <v>17385</v>
      </c>
      <c r="BA1202" s="82" t="s">
        <v>17385</v>
      </c>
      <c r="BB1202" s="82" t="s">
        <v>17385</v>
      </c>
      <c r="BC1202" s="82" t="s">
        <v>14297</v>
      </c>
      <c r="BD1202" s="82" t="s">
        <v>17550</v>
      </c>
      <c r="BE1202" s="77"/>
      <c r="BF1202" s="77"/>
      <c r="BG1202" s="77"/>
      <c r="BH1202" s="77"/>
      <c r="BI1202" s="77"/>
    </row>
    <row r="1203" spans="1:61" x14ac:dyDescent="0.25">
      <c r="A1203" s="62" t="s">
        <v>425</v>
      </c>
      <c r="B1203" s="62" t="s">
        <v>425</v>
      </c>
      <c r="C1203" s="63"/>
      <c r="D1203" s="64"/>
      <c r="E1203" s="65"/>
      <c r="F1203" s="66"/>
      <c r="G1203" s="63"/>
      <c r="H1203" s="67"/>
      <c r="I1203" s="68"/>
      <c r="J1203" s="68"/>
      <c r="K1203" s="32"/>
      <c r="L1203" s="75">
        <v>1203</v>
      </c>
      <c r="M1203" s="75"/>
      <c r="N1203" s="70"/>
      <c r="O1203" s="77" t="s">
        <v>179</v>
      </c>
      <c r="P1203" s="79">
        <v>45149.864884259259</v>
      </c>
      <c r="Q1203" s="77" t="s">
        <v>1994</v>
      </c>
      <c r="R1203" s="77">
        <v>0</v>
      </c>
      <c r="S1203" s="77">
        <v>1</v>
      </c>
      <c r="T1203" s="77">
        <v>0</v>
      </c>
      <c r="U1203" s="77">
        <v>0</v>
      </c>
      <c r="V1203" s="77">
        <v>227</v>
      </c>
      <c r="W1203" s="82" t="s">
        <v>5592</v>
      </c>
      <c r="X1203" s="80" t="str">
        <f>HYPERLINK("https://www.seudinheiro.com/2023/economia/selic-esta-comecando-cair-o-que-esperar-do-dolar-renda-fixa-ibovespa-lbdr/")</f>
        <v>https://www.seudinheiro.com/2023/economia/selic-esta-comecando-cair-o-que-esperar-do-dolar-renda-fixa-ibovespa-lbdr/</v>
      </c>
      <c r="Y1203" s="77" t="s">
        <v>7102</v>
      </c>
      <c r="Z1203" s="77"/>
      <c r="AA1203" s="77"/>
      <c r="AB1203" s="77"/>
      <c r="AC1203" s="82" t="s">
        <v>8255</v>
      </c>
      <c r="AD1203" s="77" t="s">
        <v>8278</v>
      </c>
      <c r="AE1203" s="80" t="str">
        <f>HYPERLINK("https://twitter.com/seu_dinheiro_br/status/1690102145805152256")</f>
        <v>https://twitter.com/seu_dinheiro_br/status/1690102145805152256</v>
      </c>
      <c r="AF1203" s="79">
        <v>45149.864884259259</v>
      </c>
      <c r="AG1203" s="85">
        <v>45149</v>
      </c>
      <c r="AH1203" s="82" t="s">
        <v>9351</v>
      </c>
      <c r="AI1203" s="77" t="b">
        <v>0</v>
      </c>
      <c r="AJ1203" s="77"/>
      <c r="AK1203" s="77"/>
      <c r="AL1203" s="77"/>
      <c r="AM1203" s="77"/>
      <c r="AN1203" s="77"/>
      <c r="AO1203" s="77"/>
      <c r="AP1203" s="77"/>
      <c r="AQ1203" s="77"/>
      <c r="AR1203" s="77"/>
      <c r="AS1203" s="77"/>
      <c r="AT1203" s="77"/>
      <c r="AU1203" s="77"/>
      <c r="AV1203" s="80" t="str">
        <f>HYPERLINK("https://pbs.twimg.com/profile_images/1041725334431952896/uaPtkYSp_normal.jpg")</f>
        <v>https://pbs.twimg.com/profile_images/1041725334431952896/uaPtkYSp_normal.jpg</v>
      </c>
      <c r="AW1203" s="82" t="s">
        <v>14298</v>
      </c>
      <c r="AX1203" s="82" t="s">
        <v>14298</v>
      </c>
      <c r="AY1203" s="77"/>
      <c r="AZ1203" s="82" t="s">
        <v>17385</v>
      </c>
      <c r="BA1203" s="82" t="s">
        <v>17385</v>
      </c>
      <c r="BB1203" s="82" t="s">
        <v>17385</v>
      </c>
      <c r="BC1203" s="82" t="s">
        <v>14298</v>
      </c>
      <c r="BD1203" s="82" t="s">
        <v>17550</v>
      </c>
      <c r="BE1203" s="77"/>
      <c r="BF1203" s="77"/>
      <c r="BG1203" s="77"/>
      <c r="BH1203" s="77"/>
      <c r="BI1203" s="77"/>
    </row>
    <row r="1204" spans="1:61" x14ac:dyDescent="0.25">
      <c r="A1204" s="62" t="s">
        <v>425</v>
      </c>
      <c r="B1204" s="62" t="s">
        <v>425</v>
      </c>
      <c r="C1204" s="63"/>
      <c r="D1204" s="64"/>
      <c r="E1204" s="65"/>
      <c r="F1204" s="66"/>
      <c r="G1204" s="63"/>
      <c r="H1204" s="67"/>
      <c r="I1204" s="68"/>
      <c r="J1204" s="68"/>
      <c r="K1204" s="32"/>
      <c r="L1204" s="75">
        <v>1204</v>
      </c>
      <c r="M1204" s="75"/>
      <c r="N1204" s="70"/>
      <c r="O1204" s="77" t="s">
        <v>179</v>
      </c>
      <c r="P1204" s="79">
        <v>45149.788090277776</v>
      </c>
      <c r="Q1204" s="77" t="s">
        <v>1995</v>
      </c>
      <c r="R1204" s="77">
        <v>0</v>
      </c>
      <c r="S1204" s="77">
        <v>1</v>
      </c>
      <c r="T1204" s="77">
        <v>0</v>
      </c>
      <c r="U1204" s="77">
        <v>0</v>
      </c>
      <c r="V1204" s="77">
        <v>217</v>
      </c>
      <c r="W1204" s="82" t="s">
        <v>5593</v>
      </c>
      <c r="X1204" s="80" t="str">
        <f>HYPERLINK("https://www.seudinheiro.com/2023/empresas/petrobras-petr4-a-razao-para-o-ubs-bb-deixar-de-recomendar-a-venda-das-acoes-da-estatal-e-elevar-o-preco-alvo-ccgg/")</f>
        <v>https://www.seudinheiro.com/2023/empresas/petrobras-petr4-a-razao-para-o-ubs-bb-deixar-de-recomendar-a-venda-das-acoes-da-estatal-e-elevar-o-preco-alvo-ccgg/</v>
      </c>
      <c r="Y1204" s="77" t="s">
        <v>7102</v>
      </c>
      <c r="Z1204" s="77"/>
      <c r="AA1204" s="77"/>
      <c r="AB1204" s="77"/>
      <c r="AC1204" s="82" t="s">
        <v>8255</v>
      </c>
      <c r="AD1204" s="77" t="s">
        <v>8278</v>
      </c>
      <c r="AE1204" s="80" t="str">
        <f>HYPERLINK("https://twitter.com/seu_dinheiro_br/status/1690074315985735681")</f>
        <v>https://twitter.com/seu_dinheiro_br/status/1690074315985735681</v>
      </c>
      <c r="AF1204" s="79">
        <v>45149.788090277776</v>
      </c>
      <c r="AG1204" s="85">
        <v>45149</v>
      </c>
      <c r="AH1204" s="82" t="s">
        <v>9352</v>
      </c>
      <c r="AI1204" s="77" t="b">
        <v>0</v>
      </c>
      <c r="AJ1204" s="77"/>
      <c r="AK1204" s="77"/>
      <c r="AL1204" s="77"/>
      <c r="AM1204" s="77"/>
      <c r="AN1204" s="77"/>
      <c r="AO1204" s="77"/>
      <c r="AP1204" s="77"/>
      <c r="AQ1204" s="77"/>
      <c r="AR1204" s="77"/>
      <c r="AS1204" s="77"/>
      <c r="AT1204" s="77"/>
      <c r="AU1204" s="77"/>
      <c r="AV1204" s="80" t="str">
        <f>HYPERLINK("https://pbs.twimg.com/profile_images/1041725334431952896/uaPtkYSp_normal.jpg")</f>
        <v>https://pbs.twimg.com/profile_images/1041725334431952896/uaPtkYSp_normal.jpg</v>
      </c>
      <c r="AW1204" s="82" t="s">
        <v>14299</v>
      </c>
      <c r="AX1204" s="82" t="s">
        <v>14299</v>
      </c>
      <c r="AY1204" s="77"/>
      <c r="AZ1204" s="82" t="s">
        <v>17385</v>
      </c>
      <c r="BA1204" s="82" t="s">
        <v>17385</v>
      </c>
      <c r="BB1204" s="82" t="s">
        <v>17385</v>
      </c>
      <c r="BC1204" s="82" t="s">
        <v>14299</v>
      </c>
      <c r="BD1204" s="82" t="s">
        <v>17550</v>
      </c>
      <c r="BE1204" s="77"/>
      <c r="BF1204" s="77"/>
      <c r="BG1204" s="77"/>
      <c r="BH1204" s="77"/>
      <c r="BI1204" s="77"/>
    </row>
    <row r="1205" spans="1:61" x14ac:dyDescent="0.25">
      <c r="A1205" s="62" t="s">
        <v>425</v>
      </c>
      <c r="B1205" s="62" t="s">
        <v>425</v>
      </c>
      <c r="C1205" s="63"/>
      <c r="D1205" s="64"/>
      <c r="E1205" s="65"/>
      <c r="F1205" s="66"/>
      <c r="G1205" s="63"/>
      <c r="H1205" s="67"/>
      <c r="I1205" s="68"/>
      <c r="J1205" s="68"/>
      <c r="K1205" s="32"/>
      <c r="L1205" s="75">
        <v>1205</v>
      </c>
      <c r="M1205" s="75"/>
      <c r="N1205" s="70"/>
      <c r="O1205" s="77" t="s">
        <v>179</v>
      </c>
      <c r="P1205" s="79">
        <v>45149.639560185184</v>
      </c>
      <c r="Q1205" s="77" t="s">
        <v>1996</v>
      </c>
      <c r="R1205" s="77">
        <v>0</v>
      </c>
      <c r="S1205" s="77">
        <v>0</v>
      </c>
      <c r="T1205" s="77">
        <v>0</v>
      </c>
      <c r="U1205" s="77">
        <v>0</v>
      </c>
      <c r="V1205" s="77">
        <v>270</v>
      </c>
      <c r="W1205" s="82" t="s">
        <v>5594</v>
      </c>
      <c r="X1205" s="80" t="str">
        <f>HYPERLINK("https://www.seudinheiro.com/2023/empresas/via-viia3-crediario-fundo-acoes-plano-de-reestruturacao-vinp/")</f>
        <v>https://www.seudinheiro.com/2023/empresas/via-viia3-crediario-fundo-acoes-plano-de-reestruturacao-vinp/</v>
      </c>
      <c r="Y1205" s="77" t="s">
        <v>7102</v>
      </c>
      <c r="Z1205" s="77"/>
      <c r="AA1205" s="77"/>
      <c r="AB1205" s="77"/>
      <c r="AC1205" s="82" t="s">
        <v>8255</v>
      </c>
      <c r="AD1205" s="77" t="s">
        <v>8278</v>
      </c>
      <c r="AE1205" s="80" t="str">
        <f>HYPERLINK("https://twitter.com/seu_dinheiro_br/status/1690020491463884800")</f>
        <v>https://twitter.com/seu_dinheiro_br/status/1690020491463884800</v>
      </c>
      <c r="AF1205" s="79">
        <v>45149.639560185184</v>
      </c>
      <c r="AG1205" s="85">
        <v>45149</v>
      </c>
      <c r="AH1205" s="82" t="s">
        <v>9353</v>
      </c>
      <c r="AI1205" s="77" t="b">
        <v>0</v>
      </c>
      <c r="AJ1205" s="77"/>
      <c r="AK1205" s="77"/>
      <c r="AL1205" s="77"/>
      <c r="AM1205" s="77"/>
      <c r="AN1205" s="77"/>
      <c r="AO1205" s="77"/>
      <c r="AP1205" s="77"/>
      <c r="AQ1205" s="77"/>
      <c r="AR1205" s="77"/>
      <c r="AS1205" s="77"/>
      <c r="AT1205" s="77"/>
      <c r="AU1205" s="77"/>
      <c r="AV1205" s="80" t="str">
        <f>HYPERLINK("https://pbs.twimg.com/profile_images/1041725334431952896/uaPtkYSp_normal.jpg")</f>
        <v>https://pbs.twimg.com/profile_images/1041725334431952896/uaPtkYSp_normal.jpg</v>
      </c>
      <c r="AW1205" s="82" t="s">
        <v>14300</v>
      </c>
      <c r="AX1205" s="82" t="s">
        <v>14300</v>
      </c>
      <c r="AY1205" s="77"/>
      <c r="AZ1205" s="82" t="s">
        <v>17385</v>
      </c>
      <c r="BA1205" s="82" t="s">
        <v>17385</v>
      </c>
      <c r="BB1205" s="82" t="s">
        <v>17385</v>
      </c>
      <c r="BC1205" s="82" t="s">
        <v>14300</v>
      </c>
      <c r="BD1205" s="82" t="s">
        <v>17550</v>
      </c>
      <c r="BE1205" s="77"/>
      <c r="BF1205" s="77"/>
      <c r="BG1205" s="77"/>
      <c r="BH1205" s="77"/>
      <c r="BI1205" s="77"/>
    </row>
    <row r="1206" spans="1:61" x14ac:dyDescent="0.25">
      <c r="A1206" s="62" t="s">
        <v>425</v>
      </c>
      <c r="B1206" s="62" t="s">
        <v>425</v>
      </c>
      <c r="C1206" s="63"/>
      <c r="D1206" s="64"/>
      <c r="E1206" s="65"/>
      <c r="F1206" s="66"/>
      <c r="G1206" s="63"/>
      <c r="H1206" s="67"/>
      <c r="I1206" s="68"/>
      <c r="J1206" s="68"/>
      <c r="K1206" s="32"/>
      <c r="L1206" s="75">
        <v>1206</v>
      </c>
      <c r="M1206" s="75"/>
      <c r="N1206" s="70"/>
      <c r="O1206" s="77" t="s">
        <v>179</v>
      </c>
      <c r="P1206" s="79">
        <v>45149.447939814818</v>
      </c>
      <c r="Q1206" s="77" t="s">
        <v>1997</v>
      </c>
      <c r="R1206" s="77">
        <v>0</v>
      </c>
      <c r="S1206" s="77">
        <v>0</v>
      </c>
      <c r="T1206" s="77">
        <v>0</v>
      </c>
      <c r="U1206" s="77">
        <v>0</v>
      </c>
      <c r="V1206" s="77">
        <v>342</v>
      </c>
      <c r="W1206" s="82" t="s">
        <v>5475</v>
      </c>
      <c r="X1206" s="80" t="str">
        <f>HYPERLINK("https://www.seudinheiro.com/2023/colunistas/day-trade-na-b3-acao-da-natura-ntco3-pode-render-lucro-11-08-miql/")</f>
        <v>https://www.seudinheiro.com/2023/colunistas/day-trade-na-b3-acao-da-natura-ntco3-pode-render-lucro-11-08-miql/</v>
      </c>
      <c r="Y1206" s="77" t="s">
        <v>7102</v>
      </c>
      <c r="Z1206" s="77"/>
      <c r="AA1206" s="77"/>
      <c r="AB1206" s="77"/>
      <c r="AC1206" s="82" t="s">
        <v>8255</v>
      </c>
      <c r="AD1206" s="77" t="s">
        <v>8278</v>
      </c>
      <c r="AE1206" s="80" t="str">
        <f>HYPERLINK("https://twitter.com/seu_dinheiro_br/status/1689951048411033600")</f>
        <v>https://twitter.com/seu_dinheiro_br/status/1689951048411033600</v>
      </c>
      <c r="AF1206" s="79">
        <v>45149.447939814818</v>
      </c>
      <c r="AG1206" s="85">
        <v>45149</v>
      </c>
      <c r="AH1206" s="82" t="s">
        <v>9354</v>
      </c>
      <c r="AI1206" s="77" t="b">
        <v>0</v>
      </c>
      <c r="AJ1206" s="77"/>
      <c r="AK1206" s="77"/>
      <c r="AL1206" s="77"/>
      <c r="AM1206" s="77"/>
      <c r="AN1206" s="77"/>
      <c r="AO1206" s="77"/>
      <c r="AP1206" s="77"/>
      <c r="AQ1206" s="77"/>
      <c r="AR1206" s="77"/>
      <c r="AS1206" s="77"/>
      <c r="AT1206" s="77"/>
      <c r="AU1206" s="77"/>
      <c r="AV1206" s="80" t="str">
        <f>HYPERLINK("https://pbs.twimg.com/profile_images/1041725334431952896/uaPtkYSp_normal.jpg")</f>
        <v>https://pbs.twimg.com/profile_images/1041725334431952896/uaPtkYSp_normal.jpg</v>
      </c>
      <c r="AW1206" s="82" t="s">
        <v>14301</v>
      </c>
      <c r="AX1206" s="82" t="s">
        <v>14301</v>
      </c>
      <c r="AY1206" s="77"/>
      <c r="AZ1206" s="82" t="s">
        <v>17385</v>
      </c>
      <c r="BA1206" s="82" t="s">
        <v>17385</v>
      </c>
      <c r="BB1206" s="82" t="s">
        <v>17385</v>
      </c>
      <c r="BC1206" s="82" t="s">
        <v>14301</v>
      </c>
      <c r="BD1206" s="82" t="s">
        <v>17550</v>
      </c>
      <c r="BE1206" s="77"/>
      <c r="BF1206" s="77"/>
      <c r="BG1206" s="77"/>
      <c r="BH1206" s="77"/>
      <c r="BI1206" s="77"/>
    </row>
    <row r="1207" spans="1:61" x14ac:dyDescent="0.25">
      <c r="A1207" s="62" t="s">
        <v>425</v>
      </c>
      <c r="B1207" s="62" t="s">
        <v>425</v>
      </c>
      <c r="C1207" s="63"/>
      <c r="D1207" s="64"/>
      <c r="E1207" s="65"/>
      <c r="F1207" s="66"/>
      <c r="G1207" s="63"/>
      <c r="H1207" s="67"/>
      <c r="I1207" s="68"/>
      <c r="J1207" s="68"/>
      <c r="K1207" s="32"/>
      <c r="L1207" s="75">
        <v>1207</v>
      </c>
      <c r="M1207" s="75"/>
      <c r="N1207" s="70"/>
      <c r="O1207" s="77" t="s">
        <v>179</v>
      </c>
      <c r="P1207" s="79">
        <v>45149.379953703705</v>
      </c>
      <c r="Q1207" s="77" t="s">
        <v>1998</v>
      </c>
      <c r="R1207" s="77">
        <v>0</v>
      </c>
      <c r="S1207" s="77">
        <v>2</v>
      </c>
      <c r="T1207" s="77">
        <v>1</v>
      </c>
      <c r="U1207" s="77">
        <v>0</v>
      </c>
      <c r="V1207" s="77">
        <v>437</v>
      </c>
      <c r="W1207" s="82" t="s">
        <v>5595</v>
      </c>
      <c r="X1207" s="80" t="str">
        <f>HYPERLINK("https://www.seudinheiro.com/2023/colunistas/por-que-tiramos-as-acoes-da-petrobras-da-nossa-carteira-de-dividendos-ccgg/")</f>
        <v>https://www.seudinheiro.com/2023/colunistas/por-que-tiramos-as-acoes-da-petrobras-da-nossa-carteira-de-dividendos-ccgg/</v>
      </c>
      <c r="Y1207" s="77" t="s">
        <v>7102</v>
      </c>
      <c r="Z1207" s="77"/>
      <c r="AA1207" s="77"/>
      <c r="AB1207" s="77"/>
      <c r="AC1207" s="82" t="s">
        <v>8255</v>
      </c>
      <c r="AD1207" s="77" t="s">
        <v>8278</v>
      </c>
      <c r="AE1207" s="80" t="str">
        <f>HYPERLINK("https://twitter.com/seu_dinheiro_br/status/1689926410536656896")</f>
        <v>https://twitter.com/seu_dinheiro_br/status/1689926410536656896</v>
      </c>
      <c r="AF1207" s="79">
        <v>45149.379953703705</v>
      </c>
      <c r="AG1207" s="85">
        <v>45149</v>
      </c>
      <c r="AH1207" s="82" t="s">
        <v>9355</v>
      </c>
      <c r="AI1207" s="77" t="b">
        <v>0</v>
      </c>
      <c r="AJ1207" s="77"/>
      <c r="AK1207" s="77"/>
      <c r="AL1207" s="77"/>
      <c r="AM1207" s="77"/>
      <c r="AN1207" s="77"/>
      <c r="AO1207" s="77"/>
      <c r="AP1207" s="77"/>
      <c r="AQ1207" s="77"/>
      <c r="AR1207" s="77"/>
      <c r="AS1207" s="77"/>
      <c r="AT1207" s="77"/>
      <c r="AU1207" s="77"/>
      <c r="AV1207" s="80" t="str">
        <f>HYPERLINK("https://pbs.twimg.com/profile_images/1041725334431952896/uaPtkYSp_normal.jpg")</f>
        <v>https://pbs.twimg.com/profile_images/1041725334431952896/uaPtkYSp_normal.jpg</v>
      </c>
      <c r="AW1207" s="82" t="s">
        <v>14302</v>
      </c>
      <c r="AX1207" s="82" t="s">
        <v>14302</v>
      </c>
      <c r="AY1207" s="77"/>
      <c r="AZ1207" s="82" t="s">
        <v>17385</v>
      </c>
      <c r="BA1207" s="82" t="s">
        <v>17385</v>
      </c>
      <c r="BB1207" s="82" t="s">
        <v>17385</v>
      </c>
      <c r="BC1207" s="82" t="s">
        <v>14302</v>
      </c>
      <c r="BD1207" s="82" t="s">
        <v>17550</v>
      </c>
      <c r="BE1207" s="77"/>
      <c r="BF1207" s="77"/>
      <c r="BG1207" s="77"/>
      <c r="BH1207" s="77"/>
      <c r="BI1207" s="77"/>
    </row>
    <row r="1208" spans="1:61" x14ac:dyDescent="0.25">
      <c r="A1208" s="62" t="s">
        <v>425</v>
      </c>
      <c r="B1208" s="62" t="s">
        <v>425</v>
      </c>
      <c r="C1208" s="63"/>
      <c r="D1208" s="64"/>
      <c r="E1208" s="65"/>
      <c r="F1208" s="66"/>
      <c r="G1208" s="63"/>
      <c r="H1208" s="67"/>
      <c r="I1208" s="68"/>
      <c r="J1208" s="68"/>
      <c r="K1208" s="32"/>
      <c r="L1208" s="75">
        <v>1208</v>
      </c>
      <c r="M1208" s="75"/>
      <c r="N1208" s="70"/>
      <c r="O1208" s="77" t="s">
        <v>179</v>
      </c>
      <c r="P1208" s="79">
        <v>45148.901250000003</v>
      </c>
      <c r="Q1208" s="77" t="s">
        <v>1999</v>
      </c>
      <c r="R1208" s="77">
        <v>1</v>
      </c>
      <c r="S1208" s="77">
        <v>2</v>
      </c>
      <c r="T1208" s="77">
        <v>1</v>
      </c>
      <c r="U1208" s="77">
        <v>0</v>
      </c>
      <c r="V1208" s="77">
        <v>250</v>
      </c>
      <c r="W1208" s="82" t="s">
        <v>5596</v>
      </c>
      <c r="X1208" s="80" t="str">
        <f>HYPERLINK("https://www.seudinheiro.com/2023/economia/onda-alta-acoes-b3-pode-comecar-papeis-podem-decolar-lbdr/")</f>
        <v>https://www.seudinheiro.com/2023/economia/onda-alta-acoes-b3-pode-comecar-papeis-podem-decolar-lbdr/</v>
      </c>
      <c r="Y1208" s="77" t="s">
        <v>7102</v>
      </c>
      <c r="Z1208" s="77"/>
      <c r="AA1208" s="77"/>
      <c r="AB1208" s="77"/>
      <c r="AC1208" s="82" t="s">
        <v>8255</v>
      </c>
      <c r="AD1208" s="77" t="s">
        <v>8278</v>
      </c>
      <c r="AE1208" s="80" t="str">
        <f>HYPERLINK("https://twitter.com/seu_dinheiro_br/status/1689752934274199552")</f>
        <v>https://twitter.com/seu_dinheiro_br/status/1689752934274199552</v>
      </c>
      <c r="AF1208" s="79">
        <v>45148.901250000003</v>
      </c>
      <c r="AG1208" s="85">
        <v>45148</v>
      </c>
      <c r="AH1208" s="82" t="s">
        <v>9356</v>
      </c>
      <c r="AI1208" s="77" t="b">
        <v>0</v>
      </c>
      <c r="AJ1208" s="77"/>
      <c r="AK1208" s="77"/>
      <c r="AL1208" s="77"/>
      <c r="AM1208" s="77"/>
      <c r="AN1208" s="77"/>
      <c r="AO1208" s="77"/>
      <c r="AP1208" s="77"/>
      <c r="AQ1208" s="77"/>
      <c r="AR1208" s="77"/>
      <c r="AS1208" s="77"/>
      <c r="AT1208" s="77"/>
      <c r="AU1208" s="77"/>
      <c r="AV1208" s="80" t="str">
        <f>HYPERLINK("https://pbs.twimg.com/profile_images/1041725334431952896/uaPtkYSp_normal.jpg")</f>
        <v>https://pbs.twimg.com/profile_images/1041725334431952896/uaPtkYSp_normal.jpg</v>
      </c>
      <c r="AW1208" s="82" t="s">
        <v>14303</v>
      </c>
      <c r="AX1208" s="82" t="s">
        <v>14303</v>
      </c>
      <c r="AY1208" s="77"/>
      <c r="AZ1208" s="82" t="s">
        <v>17385</v>
      </c>
      <c r="BA1208" s="82" t="s">
        <v>17385</v>
      </c>
      <c r="BB1208" s="82" t="s">
        <v>17385</v>
      </c>
      <c r="BC1208" s="82" t="s">
        <v>14303</v>
      </c>
      <c r="BD1208" s="82" t="s">
        <v>17550</v>
      </c>
      <c r="BE1208" s="77"/>
      <c r="BF1208" s="77"/>
      <c r="BG1208" s="77"/>
      <c r="BH1208" s="77"/>
      <c r="BI1208" s="77"/>
    </row>
    <row r="1209" spans="1:61" x14ac:dyDescent="0.25">
      <c r="A1209" s="62" t="s">
        <v>425</v>
      </c>
      <c r="B1209" s="62" t="s">
        <v>425</v>
      </c>
      <c r="C1209" s="63"/>
      <c r="D1209" s="64"/>
      <c r="E1209" s="65"/>
      <c r="F1209" s="66"/>
      <c r="G1209" s="63"/>
      <c r="H1209" s="67"/>
      <c r="I1209" s="68"/>
      <c r="J1209" s="68"/>
      <c r="K1209" s="32"/>
      <c r="L1209" s="75">
        <v>1209</v>
      </c>
      <c r="M1209" s="75"/>
      <c r="N1209" s="70"/>
      <c r="O1209" s="77" t="s">
        <v>179</v>
      </c>
      <c r="P1209" s="79">
        <v>45148.887372685182</v>
      </c>
      <c r="Q1209" s="77" t="s">
        <v>2000</v>
      </c>
      <c r="R1209" s="77">
        <v>0</v>
      </c>
      <c r="S1209" s="77">
        <v>0</v>
      </c>
      <c r="T1209" s="77">
        <v>0</v>
      </c>
      <c r="U1209" s="77">
        <v>0</v>
      </c>
      <c r="V1209" s="77">
        <v>283</v>
      </c>
      <c r="W1209" s="82" t="s">
        <v>5597</v>
      </c>
      <c r="X1209" s="80" t="str">
        <f>HYPERLINK("https://www.seudinheiro.com/2023/empresas/vibra-vbbr3-petrobras-petr4-diretor-rens/")</f>
        <v>https://www.seudinheiro.com/2023/empresas/vibra-vbbr3-petrobras-petr4-diretor-rens/</v>
      </c>
      <c r="Y1209" s="77" t="s">
        <v>7102</v>
      </c>
      <c r="Z1209" s="77"/>
      <c r="AA1209" s="77"/>
      <c r="AB1209" s="77"/>
      <c r="AC1209" s="82" t="s">
        <v>8255</v>
      </c>
      <c r="AD1209" s="77" t="s">
        <v>8278</v>
      </c>
      <c r="AE1209" s="80" t="str">
        <f>HYPERLINK("https://twitter.com/seu_dinheiro_br/status/1689747906960478209")</f>
        <v>https://twitter.com/seu_dinheiro_br/status/1689747906960478209</v>
      </c>
      <c r="AF1209" s="79">
        <v>45148.887372685182</v>
      </c>
      <c r="AG1209" s="85">
        <v>45148</v>
      </c>
      <c r="AH1209" s="82" t="s">
        <v>9357</v>
      </c>
      <c r="AI1209" s="77" t="b">
        <v>0</v>
      </c>
      <c r="AJ1209" s="77"/>
      <c r="AK1209" s="77"/>
      <c r="AL1209" s="77"/>
      <c r="AM1209" s="77"/>
      <c r="AN1209" s="77"/>
      <c r="AO1209" s="77"/>
      <c r="AP1209" s="77"/>
      <c r="AQ1209" s="77"/>
      <c r="AR1209" s="77"/>
      <c r="AS1209" s="77"/>
      <c r="AT1209" s="77"/>
      <c r="AU1209" s="77"/>
      <c r="AV1209" s="80" t="str">
        <f>HYPERLINK("https://pbs.twimg.com/profile_images/1041725334431952896/uaPtkYSp_normal.jpg")</f>
        <v>https://pbs.twimg.com/profile_images/1041725334431952896/uaPtkYSp_normal.jpg</v>
      </c>
      <c r="AW1209" s="82" t="s">
        <v>14304</v>
      </c>
      <c r="AX1209" s="82" t="s">
        <v>14304</v>
      </c>
      <c r="AY1209" s="77"/>
      <c r="AZ1209" s="82" t="s">
        <v>17385</v>
      </c>
      <c r="BA1209" s="82" t="s">
        <v>17385</v>
      </c>
      <c r="BB1209" s="82" t="s">
        <v>17385</v>
      </c>
      <c r="BC1209" s="82" t="s">
        <v>14304</v>
      </c>
      <c r="BD1209" s="82" t="s">
        <v>17550</v>
      </c>
      <c r="BE1209" s="77"/>
      <c r="BF1209" s="77"/>
      <c r="BG1209" s="77"/>
      <c r="BH1209" s="77"/>
      <c r="BI1209" s="77"/>
    </row>
    <row r="1210" spans="1:61" x14ac:dyDescent="0.25">
      <c r="A1210" s="62" t="s">
        <v>425</v>
      </c>
      <c r="B1210" s="62" t="s">
        <v>425</v>
      </c>
      <c r="C1210" s="63"/>
      <c r="D1210" s="64"/>
      <c r="E1210" s="65"/>
      <c r="F1210" s="66"/>
      <c r="G1210" s="63"/>
      <c r="H1210" s="67"/>
      <c r="I1210" s="68"/>
      <c r="J1210" s="68"/>
      <c r="K1210" s="32"/>
      <c r="L1210" s="75">
        <v>1210</v>
      </c>
      <c r="M1210" s="75"/>
      <c r="N1210" s="70"/>
      <c r="O1210" s="77" t="s">
        <v>179</v>
      </c>
      <c r="P1210" s="79">
        <v>45118.710601851853</v>
      </c>
      <c r="Q1210" s="77" t="s">
        <v>2001</v>
      </c>
      <c r="R1210" s="77">
        <v>0</v>
      </c>
      <c r="S1210" s="77">
        <v>0</v>
      </c>
      <c r="T1210" s="77">
        <v>0</v>
      </c>
      <c r="U1210" s="77">
        <v>0</v>
      </c>
      <c r="V1210" s="77">
        <v>197</v>
      </c>
      <c r="W1210" s="82" t="s">
        <v>5598</v>
      </c>
      <c r="X1210" s="80" t="str">
        <f>HYPERLINK("https://www.seudinheiro.com/2023/empresas/gol-goll4-perde-altitude-e-lidera-quedas-do-ibovespa-apos-este-analista-achar-que-as-acoes-ja-subiram-demais-ccgg/")</f>
        <v>https://www.seudinheiro.com/2023/empresas/gol-goll4-perde-altitude-e-lidera-quedas-do-ibovespa-apos-este-analista-achar-que-as-acoes-ja-subiram-demais-ccgg/</v>
      </c>
      <c r="Y1210" s="77" t="s">
        <v>7102</v>
      </c>
      <c r="Z1210" s="77"/>
      <c r="AA1210" s="77"/>
      <c r="AB1210" s="77"/>
      <c r="AC1210" s="82" t="s">
        <v>8255</v>
      </c>
      <c r="AD1210" s="77" t="s">
        <v>8278</v>
      </c>
      <c r="AE1210" s="80" t="str">
        <f>HYPERLINK("https://twitter.com/seu_dinheiro_br/status/1678812209130897418")</f>
        <v>https://twitter.com/seu_dinheiro_br/status/1678812209130897418</v>
      </c>
      <c r="AF1210" s="79">
        <v>45118.710601851853</v>
      </c>
      <c r="AG1210" s="85">
        <v>45118</v>
      </c>
      <c r="AH1210" s="82" t="s">
        <v>9358</v>
      </c>
      <c r="AI1210" s="77" t="b">
        <v>0</v>
      </c>
      <c r="AJ1210" s="77"/>
      <c r="AK1210" s="77"/>
      <c r="AL1210" s="77"/>
      <c r="AM1210" s="77"/>
      <c r="AN1210" s="77"/>
      <c r="AO1210" s="77"/>
      <c r="AP1210" s="77"/>
      <c r="AQ1210" s="77"/>
      <c r="AR1210" s="77"/>
      <c r="AS1210" s="77"/>
      <c r="AT1210" s="77"/>
      <c r="AU1210" s="77"/>
      <c r="AV1210" s="80" t="str">
        <f>HYPERLINK("https://pbs.twimg.com/profile_images/1041725334431952896/uaPtkYSp_normal.jpg")</f>
        <v>https://pbs.twimg.com/profile_images/1041725334431952896/uaPtkYSp_normal.jpg</v>
      </c>
      <c r="AW1210" s="82" t="s">
        <v>14305</v>
      </c>
      <c r="AX1210" s="82" t="s">
        <v>14305</v>
      </c>
      <c r="AY1210" s="77"/>
      <c r="AZ1210" s="82" t="s">
        <v>17385</v>
      </c>
      <c r="BA1210" s="82" t="s">
        <v>17385</v>
      </c>
      <c r="BB1210" s="82" t="s">
        <v>17385</v>
      </c>
      <c r="BC1210" s="82" t="s">
        <v>14305</v>
      </c>
      <c r="BD1210" s="82" t="s">
        <v>17550</v>
      </c>
      <c r="BE1210" s="77"/>
      <c r="BF1210" s="77"/>
      <c r="BG1210" s="77"/>
      <c r="BH1210" s="77"/>
      <c r="BI1210" s="77"/>
    </row>
    <row r="1211" spans="1:61" x14ac:dyDescent="0.25">
      <c r="A1211" s="62" t="s">
        <v>425</v>
      </c>
      <c r="B1211" s="62" t="s">
        <v>425</v>
      </c>
      <c r="C1211" s="63"/>
      <c r="D1211" s="64"/>
      <c r="E1211" s="65"/>
      <c r="F1211" s="66"/>
      <c r="G1211" s="63"/>
      <c r="H1211" s="67"/>
      <c r="I1211" s="68"/>
      <c r="J1211" s="68"/>
      <c r="K1211" s="32"/>
      <c r="L1211" s="75">
        <v>1211</v>
      </c>
      <c r="M1211" s="75"/>
      <c r="N1211" s="70"/>
      <c r="O1211" s="77" t="s">
        <v>179</v>
      </c>
      <c r="P1211" s="79">
        <v>45118.552025462966</v>
      </c>
      <c r="Q1211" s="77" t="s">
        <v>2002</v>
      </c>
      <c r="R1211" s="77">
        <v>0</v>
      </c>
      <c r="S1211" s="77">
        <v>0</v>
      </c>
      <c r="T1211" s="77">
        <v>0</v>
      </c>
      <c r="U1211" s="77">
        <v>0</v>
      </c>
      <c r="V1211" s="77">
        <v>305</v>
      </c>
      <c r="W1211" s="82" t="s">
        <v>5599</v>
      </c>
      <c r="X1211" s="80" t="str">
        <f>HYPERLINK("https://www.seudinheiro.com/2023/colunistas/3r-petroleum-mercado-pessimista-acao-vale-a-pena-ter-rrrp3-na-carteira-miql/")</f>
        <v>https://www.seudinheiro.com/2023/colunistas/3r-petroleum-mercado-pessimista-acao-vale-a-pena-ter-rrrp3-na-carteira-miql/</v>
      </c>
      <c r="Y1211" s="77" t="s">
        <v>7102</v>
      </c>
      <c r="Z1211" s="77"/>
      <c r="AA1211" s="77"/>
      <c r="AB1211" s="77"/>
      <c r="AC1211" s="82" t="s">
        <v>8255</v>
      </c>
      <c r="AD1211" s="77" t="s">
        <v>8278</v>
      </c>
      <c r="AE1211" s="80" t="str">
        <f>HYPERLINK("https://twitter.com/seu_dinheiro_br/status/1678754743517081610")</f>
        <v>https://twitter.com/seu_dinheiro_br/status/1678754743517081610</v>
      </c>
      <c r="AF1211" s="79">
        <v>45118.552025462966</v>
      </c>
      <c r="AG1211" s="85">
        <v>45118</v>
      </c>
      <c r="AH1211" s="82" t="s">
        <v>9359</v>
      </c>
      <c r="AI1211" s="77" t="b">
        <v>0</v>
      </c>
      <c r="AJ1211" s="77"/>
      <c r="AK1211" s="77"/>
      <c r="AL1211" s="77"/>
      <c r="AM1211" s="77"/>
      <c r="AN1211" s="77"/>
      <c r="AO1211" s="77"/>
      <c r="AP1211" s="77"/>
      <c r="AQ1211" s="77"/>
      <c r="AR1211" s="77"/>
      <c r="AS1211" s="77"/>
      <c r="AT1211" s="77"/>
      <c r="AU1211" s="77"/>
      <c r="AV1211" s="80" t="str">
        <f>HYPERLINK("https://pbs.twimg.com/profile_images/1041725334431952896/uaPtkYSp_normal.jpg")</f>
        <v>https://pbs.twimg.com/profile_images/1041725334431952896/uaPtkYSp_normal.jpg</v>
      </c>
      <c r="AW1211" s="82" t="s">
        <v>14306</v>
      </c>
      <c r="AX1211" s="82" t="s">
        <v>14306</v>
      </c>
      <c r="AY1211" s="77"/>
      <c r="AZ1211" s="82" t="s">
        <v>17385</v>
      </c>
      <c r="BA1211" s="82" t="s">
        <v>17385</v>
      </c>
      <c r="BB1211" s="82" t="s">
        <v>17385</v>
      </c>
      <c r="BC1211" s="82" t="s">
        <v>14306</v>
      </c>
      <c r="BD1211" s="82" t="s">
        <v>17550</v>
      </c>
      <c r="BE1211" s="77"/>
      <c r="BF1211" s="77"/>
      <c r="BG1211" s="77"/>
      <c r="BH1211" s="77"/>
      <c r="BI1211" s="77"/>
    </row>
    <row r="1212" spans="1:61" x14ac:dyDescent="0.25">
      <c r="A1212" s="62" t="s">
        <v>425</v>
      </c>
      <c r="B1212" s="62" t="s">
        <v>425</v>
      </c>
      <c r="C1212" s="63"/>
      <c r="D1212" s="64"/>
      <c r="E1212" s="65"/>
      <c r="F1212" s="66"/>
      <c r="G1212" s="63"/>
      <c r="H1212" s="67"/>
      <c r="I1212" s="68"/>
      <c r="J1212" s="68"/>
      <c r="K1212" s="32"/>
      <c r="L1212" s="75">
        <v>1212</v>
      </c>
      <c r="M1212" s="75"/>
      <c r="N1212" s="70"/>
      <c r="O1212" s="77" t="s">
        <v>179</v>
      </c>
      <c r="P1212" s="79">
        <v>45118.517974537041</v>
      </c>
      <c r="Q1212" s="77" t="s">
        <v>2003</v>
      </c>
      <c r="R1212" s="77">
        <v>1</v>
      </c>
      <c r="S1212" s="77">
        <v>0</v>
      </c>
      <c r="T1212" s="77">
        <v>0</v>
      </c>
      <c r="U1212" s="77">
        <v>0</v>
      </c>
      <c r="V1212" s="77">
        <v>238</v>
      </c>
      <c r="W1212" s="82" t="s">
        <v>5600</v>
      </c>
      <c r="X1212" s="80" t="str">
        <f>HYPERLINK("https://www.seudinheiro.com/2023/carreiras/microsoft-demite-dezenas-de-funcionarios-estados-unidos-miql/")</f>
        <v>https://www.seudinheiro.com/2023/carreiras/microsoft-demite-dezenas-de-funcionarios-estados-unidos-miql/</v>
      </c>
      <c r="Y1212" s="77" t="s">
        <v>7102</v>
      </c>
      <c r="Z1212" s="77"/>
      <c r="AA1212" s="77"/>
      <c r="AB1212" s="77"/>
      <c r="AC1212" s="82" t="s">
        <v>8255</v>
      </c>
      <c r="AD1212" s="77" t="s">
        <v>8278</v>
      </c>
      <c r="AE1212" s="80" t="str">
        <f>HYPERLINK("https://twitter.com/seu_dinheiro_br/status/1678742404759711744")</f>
        <v>https://twitter.com/seu_dinheiro_br/status/1678742404759711744</v>
      </c>
      <c r="AF1212" s="79">
        <v>45118.517974537041</v>
      </c>
      <c r="AG1212" s="85">
        <v>45118</v>
      </c>
      <c r="AH1212" s="82" t="s">
        <v>9360</v>
      </c>
      <c r="AI1212" s="77" t="b">
        <v>0</v>
      </c>
      <c r="AJ1212" s="77"/>
      <c r="AK1212" s="77"/>
      <c r="AL1212" s="77"/>
      <c r="AM1212" s="77"/>
      <c r="AN1212" s="77"/>
      <c r="AO1212" s="77"/>
      <c r="AP1212" s="77"/>
      <c r="AQ1212" s="77"/>
      <c r="AR1212" s="77"/>
      <c r="AS1212" s="77"/>
      <c r="AT1212" s="77"/>
      <c r="AU1212" s="77"/>
      <c r="AV1212" s="80" t="str">
        <f>HYPERLINK("https://pbs.twimg.com/profile_images/1041725334431952896/uaPtkYSp_normal.jpg")</f>
        <v>https://pbs.twimg.com/profile_images/1041725334431952896/uaPtkYSp_normal.jpg</v>
      </c>
      <c r="AW1212" s="82" t="s">
        <v>14307</v>
      </c>
      <c r="AX1212" s="82" t="s">
        <v>14307</v>
      </c>
      <c r="AY1212" s="77"/>
      <c r="AZ1212" s="82" t="s">
        <v>17385</v>
      </c>
      <c r="BA1212" s="82" t="s">
        <v>17385</v>
      </c>
      <c r="BB1212" s="82" t="s">
        <v>17385</v>
      </c>
      <c r="BC1212" s="82" t="s">
        <v>14307</v>
      </c>
      <c r="BD1212" s="82" t="s">
        <v>17550</v>
      </c>
      <c r="BE1212" s="77"/>
      <c r="BF1212" s="77"/>
      <c r="BG1212" s="77"/>
      <c r="BH1212" s="77"/>
      <c r="BI1212" s="77"/>
    </row>
    <row r="1213" spans="1:61" x14ac:dyDescent="0.25">
      <c r="A1213" s="62" t="s">
        <v>425</v>
      </c>
      <c r="B1213" s="62" t="s">
        <v>425</v>
      </c>
      <c r="C1213" s="63"/>
      <c r="D1213" s="64"/>
      <c r="E1213" s="65"/>
      <c r="F1213" s="66"/>
      <c r="G1213" s="63"/>
      <c r="H1213" s="67"/>
      <c r="I1213" s="68"/>
      <c r="J1213" s="68"/>
      <c r="K1213" s="32"/>
      <c r="L1213" s="75">
        <v>1213</v>
      </c>
      <c r="M1213" s="75"/>
      <c r="N1213" s="70"/>
      <c r="O1213" s="77" t="s">
        <v>179</v>
      </c>
      <c r="P1213" s="79">
        <v>45118.437407407408</v>
      </c>
      <c r="Q1213" s="77" t="s">
        <v>2004</v>
      </c>
      <c r="R1213" s="77">
        <v>0</v>
      </c>
      <c r="S1213" s="77">
        <v>1</v>
      </c>
      <c r="T1213" s="77">
        <v>1</v>
      </c>
      <c r="U1213" s="77">
        <v>0</v>
      </c>
      <c r="V1213" s="77">
        <v>291</v>
      </c>
      <c r="W1213" s="82" t="s">
        <v>5475</v>
      </c>
      <c r="X1213" s="80" t="str">
        <f>HYPERLINK("https://www.seudinheiro.com/2023/empresas/day-trade-na-b3-como-lucrar-com-acoes-da-metalurgica-gerdau-goau4-11-07-miql/")</f>
        <v>https://www.seudinheiro.com/2023/empresas/day-trade-na-b3-como-lucrar-com-acoes-da-metalurgica-gerdau-goau4-11-07-miql/</v>
      </c>
      <c r="Y1213" s="77" t="s">
        <v>7102</v>
      </c>
      <c r="Z1213" s="77"/>
      <c r="AA1213" s="77"/>
      <c r="AB1213" s="77"/>
      <c r="AC1213" s="82" t="s">
        <v>8255</v>
      </c>
      <c r="AD1213" s="77" t="s">
        <v>8278</v>
      </c>
      <c r="AE1213" s="80" t="str">
        <f>HYPERLINK("https://twitter.com/seu_dinheiro_br/status/1678713209031733254")</f>
        <v>https://twitter.com/seu_dinheiro_br/status/1678713209031733254</v>
      </c>
      <c r="AF1213" s="79">
        <v>45118.437407407408</v>
      </c>
      <c r="AG1213" s="85">
        <v>45118</v>
      </c>
      <c r="AH1213" s="82" t="s">
        <v>9361</v>
      </c>
      <c r="AI1213" s="77" t="b">
        <v>0</v>
      </c>
      <c r="AJ1213" s="77"/>
      <c r="AK1213" s="77"/>
      <c r="AL1213" s="77"/>
      <c r="AM1213" s="77"/>
      <c r="AN1213" s="77"/>
      <c r="AO1213" s="77"/>
      <c r="AP1213" s="77"/>
      <c r="AQ1213" s="77"/>
      <c r="AR1213" s="77"/>
      <c r="AS1213" s="77"/>
      <c r="AT1213" s="77"/>
      <c r="AU1213" s="77"/>
      <c r="AV1213" s="80" t="str">
        <f>HYPERLINK("https://pbs.twimg.com/profile_images/1041725334431952896/uaPtkYSp_normal.jpg")</f>
        <v>https://pbs.twimg.com/profile_images/1041725334431952896/uaPtkYSp_normal.jpg</v>
      </c>
      <c r="AW1213" s="82" t="s">
        <v>14308</v>
      </c>
      <c r="AX1213" s="82" t="s">
        <v>14308</v>
      </c>
      <c r="AY1213" s="77"/>
      <c r="AZ1213" s="82" t="s">
        <v>17385</v>
      </c>
      <c r="BA1213" s="82" t="s">
        <v>17385</v>
      </c>
      <c r="BB1213" s="82" t="s">
        <v>17385</v>
      </c>
      <c r="BC1213" s="82" t="s">
        <v>14308</v>
      </c>
      <c r="BD1213" s="82" t="s">
        <v>17550</v>
      </c>
      <c r="BE1213" s="77"/>
      <c r="BF1213" s="77"/>
      <c r="BG1213" s="77"/>
      <c r="BH1213" s="77"/>
      <c r="BI1213" s="77"/>
    </row>
    <row r="1214" spans="1:61" x14ac:dyDescent="0.25">
      <c r="A1214" s="62" t="s">
        <v>425</v>
      </c>
      <c r="B1214" s="62" t="s">
        <v>425</v>
      </c>
      <c r="C1214" s="63"/>
      <c r="D1214" s="64"/>
      <c r="E1214" s="65"/>
      <c r="F1214" s="66"/>
      <c r="G1214" s="63"/>
      <c r="H1214" s="67"/>
      <c r="I1214" s="68"/>
      <c r="J1214" s="68"/>
      <c r="K1214" s="32"/>
      <c r="L1214" s="75">
        <v>1214</v>
      </c>
      <c r="M1214" s="75"/>
      <c r="N1214" s="70"/>
      <c r="O1214" s="77" t="s">
        <v>179</v>
      </c>
      <c r="P1214" s="79">
        <v>45117.502870370372</v>
      </c>
      <c r="Q1214" s="77" t="s">
        <v>2005</v>
      </c>
      <c r="R1214" s="77">
        <v>0</v>
      </c>
      <c r="S1214" s="77">
        <v>0</v>
      </c>
      <c r="T1214" s="77">
        <v>0</v>
      </c>
      <c r="U1214" s="77">
        <v>0</v>
      </c>
      <c r="V1214" s="77">
        <v>227</v>
      </c>
      <c r="W1214" s="82" t="s">
        <v>5475</v>
      </c>
      <c r="X1214" s="80" t="str">
        <f>HYPERLINK("https://www.seudinheiro.com/2023/empresas/itausa-itsa4-saida-conselho-de-administracao-da-xp-miql/")</f>
        <v>https://www.seudinheiro.com/2023/empresas/itausa-itsa4-saida-conselho-de-administracao-da-xp-miql/</v>
      </c>
      <c r="Y1214" s="77" t="s">
        <v>7102</v>
      </c>
      <c r="Z1214" s="77"/>
      <c r="AA1214" s="77"/>
      <c r="AB1214" s="77"/>
      <c r="AC1214" s="82" t="s">
        <v>8255</v>
      </c>
      <c r="AD1214" s="77" t="s">
        <v>8278</v>
      </c>
      <c r="AE1214" s="80" t="str">
        <f>HYPERLINK("https://twitter.com/seu_dinheiro_br/status/1678374541913911298")</f>
        <v>https://twitter.com/seu_dinheiro_br/status/1678374541913911298</v>
      </c>
      <c r="AF1214" s="79">
        <v>45117.502870370372</v>
      </c>
      <c r="AG1214" s="85">
        <v>45117</v>
      </c>
      <c r="AH1214" s="82" t="s">
        <v>9362</v>
      </c>
      <c r="AI1214" s="77" t="b">
        <v>0</v>
      </c>
      <c r="AJ1214" s="77"/>
      <c r="AK1214" s="77"/>
      <c r="AL1214" s="77"/>
      <c r="AM1214" s="77"/>
      <c r="AN1214" s="77"/>
      <c r="AO1214" s="77"/>
      <c r="AP1214" s="77"/>
      <c r="AQ1214" s="77"/>
      <c r="AR1214" s="77"/>
      <c r="AS1214" s="77"/>
      <c r="AT1214" s="77"/>
      <c r="AU1214" s="77"/>
      <c r="AV1214" s="80" t="str">
        <f>HYPERLINK("https://pbs.twimg.com/profile_images/1041725334431952896/uaPtkYSp_normal.jpg")</f>
        <v>https://pbs.twimg.com/profile_images/1041725334431952896/uaPtkYSp_normal.jpg</v>
      </c>
      <c r="AW1214" s="82" t="s">
        <v>14309</v>
      </c>
      <c r="AX1214" s="82" t="s">
        <v>14309</v>
      </c>
      <c r="AY1214" s="77"/>
      <c r="AZ1214" s="82" t="s">
        <v>17385</v>
      </c>
      <c r="BA1214" s="82" t="s">
        <v>17385</v>
      </c>
      <c r="BB1214" s="82" t="s">
        <v>17385</v>
      </c>
      <c r="BC1214" s="82" t="s">
        <v>14309</v>
      </c>
      <c r="BD1214" s="82" t="s">
        <v>17550</v>
      </c>
      <c r="BE1214" s="77"/>
      <c r="BF1214" s="77"/>
      <c r="BG1214" s="77"/>
      <c r="BH1214" s="77"/>
      <c r="BI1214" s="77"/>
    </row>
    <row r="1215" spans="1:61" x14ac:dyDescent="0.25">
      <c r="A1215" s="62" t="s">
        <v>425</v>
      </c>
      <c r="B1215" s="62" t="s">
        <v>425</v>
      </c>
      <c r="C1215" s="63"/>
      <c r="D1215" s="64"/>
      <c r="E1215" s="65"/>
      <c r="F1215" s="66"/>
      <c r="G1215" s="63"/>
      <c r="H1215" s="67"/>
      <c r="I1215" s="68"/>
      <c r="J1215" s="68"/>
      <c r="K1215" s="32"/>
      <c r="L1215" s="75">
        <v>1215</v>
      </c>
      <c r="M1215" s="75"/>
      <c r="N1215" s="70"/>
      <c r="O1215" s="77" t="s">
        <v>179</v>
      </c>
      <c r="P1215" s="79">
        <v>45117.438715277778</v>
      </c>
      <c r="Q1215" s="77" t="s">
        <v>2006</v>
      </c>
      <c r="R1215" s="77">
        <v>0</v>
      </c>
      <c r="S1215" s="77">
        <v>2</v>
      </c>
      <c r="T1215" s="77">
        <v>0</v>
      </c>
      <c r="U1215" s="77">
        <v>0</v>
      </c>
      <c r="V1215" s="77">
        <v>380</v>
      </c>
      <c r="W1215" s="82" t="s">
        <v>5474</v>
      </c>
      <c r="X1215" s="80" t="str">
        <f>HYPERLINK("https://www.seudinheiro.com/2023/colunistas/day-trade-na-b3-como-lucrar-com-acoes-da-lojas-quero-quero-ljqq3-10-07-miql/")</f>
        <v>https://www.seudinheiro.com/2023/colunistas/day-trade-na-b3-como-lucrar-com-acoes-da-lojas-quero-quero-ljqq3-10-07-miql/</v>
      </c>
      <c r="Y1215" s="77" t="s">
        <v>7102</v>
      </c>
      <c r="Z1215" s="77"/>
      <c r="AA1215" s="77"/>
      <c r="AB1215" s="77"/>
      <c r="AC1215" s="82" t="s">
        <v>8255</v>
      </c>
      <c r="AD1215" s="77" t="s">
        <v>8278</v>
      </c>
      <c r="AE1215" s="80" t="str">
        <f>HYPERLINK("https://twitter.com/seu_dinheiro_br/status/1678351295466426368")</f>
        <v>https://twitter.com/seu_dinheiro_br/status/1678351295466426368</v>
      </c>
      <c r="AF1215" s="79">
        <v>45117.438715277778</v>
      </c>
      <c r="AG1215" s="85">
        <v>45117</v>
      </c>
      <c r="AH1215" s="82" t="s">
        <v>9363</v>
      </c>
      <c r="AI1215" s="77" t="b">
        <v>0</v>
      </c>
      <c r="AJ1215" s="77"/>
      <c r="AK1215" s="77"/>
      <c r="AL1215" s="77"/>
      <c r="AM1215" s="77"/>
      <c r="AN1215" s="77"/>
      <c r="AO1215" s="77"/>
      <c r="AP1215" s="77"/>
      <c r="AQ1215" s="77"/>
      <c r="AR1215" s="77"/>
      <c r="AS1215" s="77"/>
      <c r="AT1215" s="77"/>
      <c r="AU1215" s="77"/>
      <c r="AV1215" s="80" t="str">
        <f>HYPERLINK("https://pbs.twimg.com/profile_images/1041725334431952896/uaPtkYSp_normal.jpg")</f>
        <v>https://pbs.twimg.com/profile_images/1041725334431952896/uaPtkYSp_normal.jpg</v>
      </c>
      <c r="AW1215" s="82" t="s">
        <v>14310</v>
      </c>
      <c r="AX1215" s="82" t="s">
        <v>14310</v>
      </c>
      <c r="AY1215" s="77"/>
      <c r="AZ1215" s="82" t="s">
        <v>17385</v>
      </c>
      <c r="BA1215" s="82" t="s">
        <v>17385</v>
      </c>
      <c r="BB1215" s="82" t="s">
        <v>17385</v>
      </c>
      <c r="BC1215" s="82" t="s">
        <v>14310</v>
      </c>
      <c r="BD1215" s="82" t="s">
        <v>17550</v>
      </c>
      <c r="BE1215" s="77"/>
      <c r="BF1215" s="77"/>
      <c r="BG1215" s="77"/>
      <c r="BH1215" s="77"/>
      <c r="BI1215" s="77"/>
    </row>
    <row r="1216" spans="1:61" x14ac:dyDescent="0.25">
      <c r="A1216" s="62" t="s">
        <v>425</v>
      </c>
      <c r="B1216" s="62" t="s">
        <v>425</v>
      </c>
      <c r="C1216" s="63"/>
      <c r="D1216" s="64"/>
      <c r="E1216" s="65"/>
      <c r="F1216" s="66"/>
      <c r="G1216" s="63"/>
      <c r="H1216" s="67"/>
      <c r="I1216" s="68"/>
      <c r="J1216" s="68"/>
      <c r="K1216" s="32"/>
      <c r="L1216" s="75">
        <v>1216</v>
      </c>
      <c r="M1216" s="75"/>
      <c r="N1216" s="70"/>
      <c r="O1216" s="77" t="s">
        <v>179</v>
      </c>
      <c r="P1216" s="79">
        <v>45094.836689814816</v>
      </c>
      <c r="Q1216" s="77" t="s">
        <v>2007</v>
      </c>
      <c r="R1216" s="77">
        <v>0</v>
      </c>
      <c r="S1216" s="77">
        <v>0</v>
      </c>
      <c r="T1216" s="77">
        <v>0</v>
      </c>
      <c r="U1216" s="77">
        <v>0</v>
      </c>
      <c r="V1216" s="77">
        <v>502</v>
      </c>
      <c r="W1216" s="82" t="s">
        <v>5601</v>
      </c>
      <c r="X1216" s="80" t="str">
        <f>HYPERLINK("https://www.seudinheiro.com/2023/bolsa-dolar/sobe-e-desce-da-semana-braskem-brkm5-dispara-17-e-comanda-rali-do-ibovespa-renner-lren3-e-magalu-mglu3-lideram-perdas-vinp/")</f>
        <v>https://www.seudinheiro.com/2023/bolsa-dolar/sobe-e-desce-da-semana-braskem-brkm5-dispara-17-e-comanda-rali-do-ibovespa-renner-lren3-e-magalu-mglu3-lideram-perdas-vinp/</v>
      </c>
      <c r="Y1216" s="77" t="s">
        <v>7102</v>
      </c>
      <c r="Z1216" s="77"/>
      <c r="AA1216" s="77"/>
      <c r="AB1216" s="77"/>
      <c r="AC1216" s="82" t="s">
        <v>8255</v>
      </c>
      <c r="AD1216" s="77" t="s">
        <v>8286</v>
      </c>
      <c r="AE1216" s="80" t="str">
        <f>HYPERLINK("https://twitter.com/seu_dinheiro_br/status/1670160595436421120")</f>
        <v>https://twitter.com/seu_dinheiro_br/status/1670160595436421120</v>
      </c>
      <c r="AF1216" s="79">
        <v>45094.836689814816</v>
      </c>
      <c r="AG1216" s="85">
        <v>45094</v>
      </c>
      <c r="AH1216" s="82" t="s">
        <v>9364</v>
      </c>
      <c r="AI1216" s="77" t="b">
        <v>0</v>
      </c>
      <c r="AJ1216" s="77"/>
      <c r="AK1216" s="77"/>
      <c r="AL1216" s="77"/>
      <c r="AM1216" s="77"/>
      <c r="AN1216" s="77"/>
      <c r="AO1216" s="77"/>
      <c r="AP1216" s="77"/>
      <c r="AQ1216" s="77"/>
      <c r="AR1216" s="77"/>
      <c r="AS1216" s="77"/>
      <c r="AT1216" s="77"/>
      <c r="AU1216" s="77"/>
      <c r="AV1216" s="80" t="str">
        <f>HYPERLINK("https://pbs.twimg.com/profile_images/1041725334431952896/uaPtkYSp_normal.jpg")</f>
        <v>https://pbs.twimg.com/profile_images/1041725334431952896/uaPtkYSp_normal.jpg</v>
      </c>
      <c r="AW1216" s="82" t="s">
        <v>14311</v>
      </c>
      <c r="AX1216" s="82" t="s">
        <v>14311</v>
      </c>
      <c r="AY1216" s="77"/>
      <c r="AZ1216" s="82" t="s">
        <v>17385</v>
      </c>
      <c r="BA1216" s="82" t="s">
        <v>17385</v>
      </c>
      <c r="BB1216" s="82" t="s">
        <v>17385</v>
      </c>
      <c r="BC1216" s="82" t="s">
        <v>14311</v>
      </c>
      <c r="BD1216" s="82" t="s">
        <v>17550</v>
      </c>
      <c r="BE1216" s="77"/>
      <c r="BF1216" s="77"/>
      <c r="BG1216" s="77"/>
      <c r="BH1216" s="77"/>
      <c r="BI1216" s="77"/>
    </row>
    <row r="1217" spans="1:61" x14ac:dyDescent="0.25">
      <c r="A1217" s="62" t="s">
        <v>425</v>
      </c>
      <c r="B1217" s="62" t="s">
        <v>425</v>
      </c>
      <c r="C1217" s="63"/>
      <c r="D1217" s="64"/>
      <c r="E1217" s="65"/>
      <c r="F1217" s="66"/>
      <c r="G1217" s="63"/>
      <c r="H1217" s="67"/>
      <c r="I1217" s="68"/>
      <c r="J1217" s="68"/>
      <c r="K1217" s="32"/>
      <c r="L1217" s="75">
        <v>1217</v>
      </c>
      <c r="M1217" s="75"/>
      <c r="N1217" s="70"/>
      <c r="O1217" s="77" t="s">
        <v>179</v>
      </c>
      <c r="P1217" s="79">
        <v>45094.499930555554</v>
      </c>
      <c r="Q1217" s="77" t="s">
        <v>2008</v>
      </c>
      <c r="R1217" s="77">
        <v>0</v>
      </c>
      <c r="S1217" s="77">
        <v>1</v>
      </c>
      <c r="T1217" s="77">
        <v>0</v>
      </c>
      <c r="U1217" s="77">
        <v>0</v>
      </c>
      <c r="V1217" s="77">
        <v>443</v>
      </c>
      <c r="W1217" s="82" t="s">
        <v>5602</v>
      </c>
      <c r="X1217" s="80" t="str">
        <f>HYPERLINK("https://www.seudinheiro.com/2023/empresas/via-viia3-debentures-divida-vinp/")</f>
        <v>https://www.seudinheiro.com/2023/empresas/via-viia3-debentures-divida-vinp/</v>
      </c>
      <c r="Y1217" s="77" t="s">
        <v>7102</v>
      </c>
      <c r="Z1217" s="77"/>
      <c r="AA1217" s="77"/>
      <c r="AB1217" s="77"/>
      <c r="AC1217" s="82" t="s">
        <v>8255</v>
      </c>
      <c r="AD1217" s="77" t="s">
        <v>8278</v>
      </c>
      <c r="AE1217" s="80" t="str">
        <f>HYPERLINK("https://twitter.com/seu_dinheiro_br/status/1670038555576467462")</f>
        <v>https://twitter.com/seu_dinheiro_br/status/1670038555576467462</v>
      </c>
      <c r="AF1217" s="79">
        <v>45094.499930555554</v>
      </c>
      <c r="AG1217" s="85">
        <v>45094</v>
      </c>
      <c r="AH1217" s="82" t="s">
        <v>9365</v>
      </c>
      <c r="AI1217" s="77" t="b">
        <v>0</v>
      </c>
      <c r="AJ1217" s="77"/>
      <c r="AK1217" s="77"/>
      <c r="AL1217" s="77"/>
      <c r="AM1217" s="77"/>
      <c r="AN1217" s="77"/>
      <c r="AO1217" s="77"/>
      <c r="AP1217" s="77"/>
      <c r="AQ1217" s="77"/>
      <c r="AR1217" s="77"/>
      <c r="AS1217" s="77"/>
      <c r="AT1217" s="77"/>
      <c r="AU1217" s="77"/>
      <c r="AV1217" s="80" t="str">
        <f>HYPERLINK("https://pbs.twimg.com/profile_images/1041725334431952896/uaPtkYSp_normal.jpg")</f>
        <v>https://pbs.twimg.com/profile_images/1041725334431952896/uaPtkYSp_normal.jpg</v>
      </c>
      <c r="AW1217" s="82" t="s">
        <v>14312</v>
      </c>
      <c r="AX1217" s="82" t="s">
        <v>14312</v>
      </c>
      <c r="AY1217" s="77"/>
      <c r="AZ1217" s="82" t="s">
        <v>17385</v>
      </c>
      <c r="BA1217" s="82" t="s">
        <v>17385</v>
      </c>
      <c r="BB1217" s="82" t="s">
        <v>17385</v>
      </c>
      <c r="BC1217" s="82" t="s">
        <v>14312</v>
      </c>
      <c r="BD1217" s="82" t="s">
        <v>17550</v>
      </c>
      <c r="BE1217" s="77"/>
      <c r="BF1217" s="77"/>
      <c r="BG1217" s="77"/>
      <c r="BH1217" s="77"/>
      <c r="BI1217" s="77"/>
    </row>
    <row r="1218" spans="1:61" x14ac:dyDescent="0.25">
      <c r="A1218" s="62" t="s">
        <v>425</v>
      </c>
      <c r="B1218" s="62" t="s">
        <v>425</v>
      </c>
      <c r="C1218" s="63"/>
      <c r="D1218" s="64"/>
      <c r="E1218" s="65"/>
      <c r="F1218" s="66"/>
      <c r="G1218" s="63"/>
      <c r="H1218" s="67"/>
      <c r="I1218" s="68"/>
      <c r="J1218" s="68"/>
      <c r="K1218" s="32"/>
      <c r="L1218" s="75">
        <v>1218</v>
      </c>
      <c r="M1218" s="75"/>
      <c r="N1218" s="70"/>
      <c r="O1218" s="77" t="s">
        <v>179</v>
      </c>
      <c r="P1218" s="79">
        <v>45093.688576388886</v>
      </c>
      <c r="Q1218" s="77" t="s">
        <v>2009</v>
      </c>
      <c r="R1218" s="77">
        <v>0</v>
      </c>
      <c r="S1218" s="77">
        <v>1</v>
      </c>
      <c r="T1218" s="77">
        <v>0</v>
      </c>
      <c r="U1218" s="77">
        <v>0</v>
      </c>
      <c r="V1218" s="77">
        <v>293</v>
      </c>
      <c r="W1218" s="82" t="s">
        <v>5603</v>
      </c>
      <c r="X1218" s="80" t="str">
        <f>HYPERLINK("https://www.seudinheiro.com/2023/empresas/essa-small-cap-tem-potencial-de-valorizacao-de-50-e-e-a-nova-queridinha-do-itau-bba-entenda-o-otimismo-com-as-acoes-ccgg/")</f>
        <v>https://www.seudinheiro.com/2023/empresas/essa-small-cap-tem-potencial-de-valorizacao-de-50-e-e-a-nova-queridinha-do-itau-bba-entenda-o-otimismo-com-as-acoes-ccgg/</v>
      </c>
      <c r="Y1218" s="77" t="s">
        <v>7102</v>
      </c>
      <c r="Z1218" s="77"/>
      <c r="AA1218" s="77"/>
      <c r="AB1218" s="77"/>
      <c r="AC1218" s="82" t="s">
        <v>8255</v>
      </c>
      <c r="AD1218" s="77" t="s">
        <v>8278</v>
      </c>
      <c r="AE1218" s="80" t="str">
        <f>HYPERLINK("https://twitter.com/seu_dinheiro_br/status/1669744532974448642")</f>
        <v>https://twitter.com/seu_dinheiro_br/status/1669744532974448642</v>
      </c>
      <c r="AF1218" s="79">
        <v>45093.688576388886</v>
      </c>
      <c r="AG1218" s="85">
        <v>45093</v>
      </c>
      <c r="AH1218" s="82" t="s">
        <v>9366</v>
      </c>
      <c r="AI1218" s="77" t="b">
        <v>0</v>
      </c>
      <c r="AJ1218" s="77"/>
      <c r="AK1218" s="77"/>
      <c r="AL1218" s="77"/>
      <c r="AM1218" s="77"/>
      <c r="AN1218" s="77"/>
      <c r="AO1218" s="77"/>
      <c r="AP1218" s="77"/>
      <c r="AQ1218" s="77"/>
      <c r="AR1218" s="77"/>
      <c r="AS1218" s="77"/>
      <c r="AT1218" s="77"/>
      <c r="AU1218" s="77"/>
      <c r="AV1218" s="80" t="str">
        <f>HYPERLINK("https://pbs.twimg.com/profile_images/1041725334431952896/uaPtkYSp_normal.jpg")</f>
        <v>https://pbs.twimg.com/profile_images/1041725334431952896/uaPtkYSp_normal.jpg</v>
      </c>
      <c r="AW1218" s="82" t="s">
        <v>14313</v>
      </c>
      <c r="AX1218" s="82" t="s">
        <v>14313</v>
      </c>
      <c r="AY1218" s="77"/>
      <c r="AZ1218" s="82" t="s">
        <v>17385</v>
      </c>
      <c r="BA1218" s="82" t="s">
        <v>17385</v>
      </c>
      <c r="BB1218" s="82" t="s">
        <v>17385</v>
      </c>
      <c r="BC1218" s="82" t="s">
        <v>14313</v>
      </c>
      <c r="BD1218" s="82" t="s">
        <v>17550</v>
      </c>
      <c r="BE1218" s="77"/>
      <c r="BF1218" s="77"/>
      <c r="BG1218" s="77"/>
      <c r="BH1218" s="77"/>
      <c r="BI1218" s="77"/>
    </row>
    <row r="1219" spans="1:61" x14ac:dyDescent="0.25">
      <c r="A1219" s="62" t="s">
        <v>425</v>
      </c>
      <c r="B1219" s="62" t="s">
        <v>425</v>
      </c>
      <c r="C1219" s="63"/>
      <c r="D1219" s="64"/>
      <c r="E1219" s="65"/>
      <c r="F1219" s="66"/>
      <c r="G1219" s="63"/>
      <c r="H1219" s="67"/>
      <c r="I1219" s="68"/>
      <c r="J1219" s="68"/>
      <c r="K1219" s="32"/>
      <c r="L1219" s="75">
        <v>1219</v>
      </c>
      <c r="M1219" s="75"/>
      <c r="N1219" s="70"/>
      <c r="O1219" s="77" t="s">
        <v>179</v>
      </c>
      <c r="P1219" s="79">
        <v>45093.636180555557</v>
      </c>
      <c r="Q1219" s="77" t="s">
        <v>2010</v>
      </c>
      <c r="R1219" s="77">
        <v>0</v>
      </c>
      <c r="S1219" s="77">
        <v>1</v>
      </c>
      <c r="T1219" s="77">
        <v>1</v>
      </c>
      <c r="U1219" s="77">
        <v>0</v>
      </c>
      <c r="V1219" s="77">
        <v>297</v>
      </c>
      <c r="W1219" s="82" t="s">
        <v>5604</v>
      </c>
      <c r="X1219" s="80" t="str">
        <f>HYPERLINK("https://www.seudinheiro.com/2023/bolsa-dolar/ubs-bb-corta-preco-alvo-da-acao-da-eletrobras-elet6-lula-vinp/")</f>
        <v>https://www.seudinheiro.com/2023/bolsa-dolar/ubs-bb-corta-preco-alvo-da-acao-da-eletrobras-elet6-lula-vinp/</v>
      </c>
      <c r="Y1219" s="77" t="s">
        <v>7102</v>
      </c>
      <c r="Z1219" s="77"/>
      <c r="AA1219" s="77"/>
      <c r="AB1219" s="77"/>
      <c r="AC1219" s="82" t="s">
        <v>8255</v>
      </c>
      <c r="AD1219" s="77" t="s">
        <v>8278</v>
      </c>
      <c r="AE1219" s="80" t="str">
        <f>HYPERLINK("https://twitter.com/seu_dinheiro_br/status/1669725546333315072")</f>
        <v>https://twitter.com/seu_dinheiro_br/status/1669725546333315072</v>
      </c>
      <c r="AF1219" s="79">
        <v>45093.636180555557</v>
      </c>
      <c r="AG1219" s="85">
        <v>45093</v>
      </c>
      <c r="AH1219" s="82" t="s">
        <v>9367</v>
      </c>
      <c r="AI1219" s="77" t="b">
        <v>0</v>
      </c>
      <c r="AJ1219" s="77"/>
      <c r="AK1219" s="77"/>
      <c r="AL1219" s="77"/>
      <c r="AM1219" s="77"/>
      <c r="AN1219" s="77"/>
      <c r="AO1219" s="77"/>
      <c r="AP1219" s="77"/>
      <c r="AQ1219" s="77"/>
      <c r="AR1219" s="77"/>
      <c r="AS1219" s="77"/>
      <c r="AT1219" s="77"/>
      <c r="AU1219" s="77"/>
      <c r="AV1219" s="80" t="str">
        <f>HYPERLINK("https://pbs.twimg.com/profile_images/1041725334431952896/uaPtkYSp_normal.jpg")</f>
        <v>https://pbs.twimg.com/profile_images/1041725334431952896/uaPtkYSp_normal.jpg</v>
      </c>
      <c r="AW1219" s="82" t="s">
        <v>14314</v>
      </c>
      <c r="AX1219" s="82" t="s">
        <v>14314</v>
      </c>
      <c r="AY1219" s="77"/>
      <c r="AZ1219" s="82" t="s">
        <v>17385</v>
      </c>
      <c r="BA1219" s="82" t="s">
        <v>17385</v>
      </c>
      <c r="BB1219" s="82" t="s">
        <v>17385</v>
      </c>
      <c r="BC1219" s="82" t="s">
        <v>14314</v>
      </c>
      <c r="BD1219" s="82" t="s">
        <v>17550</v>
      </c>
      <c r="BE1219" s="77"/>
      <c r="BF1219" s="77"/>
      <c r="BG1219" s="77"/>
      <c r="BH1219" s="77"/>
      <c r="BI1219" s="77"/>
    </row>
    <row r="1220" spans="1:61" x14ac:dyDescent="0.25">
      <c r="A1220" s="62" t="s">
        <v>425</v>
      </c>
      <c r="B1220" s="62" t="s">
        <v>425</v>
      </c>
      <c r="C1220" s="63"/>
      <c r="D1220" s="64"/>
      <c r="E1220" s="65"/>
      <c r="F1220" s="66"/>
      <c r="G1220" s="63"/>
      <c r="H1220" s="67"/>
      <c r="I1220" s="68"/>
      <c r="J1220" s="68"/>
      <c r="K1220" s="32"/>
      <c r="L1220" s="75">
        <v>1220</v>
      </c>
      <c r="M1220" s="75"/>
      <c r="N1220" s="70"/>
      <c r="O1220" s="77" t="s">
        <v>179</v>
      </c>
      <c r="P1220" s="79">
        <v>45093.460486111115</v>
      </c>
      <c r="Q1220" s="77" t="s">
        <v>2011</v>
      </c>
      <c r="R1220" s="77">
        <v>1</v>
      </c>
      <c r="S1220" s="77">
        <v>1</v>
      </c>
      <c r="T1220" s="77">
        <v>0</v>
      </c>
      <c r="U1220" s="77">
        <v>0</v>
      </c>
      <c r="V1220" s="77">
        <v>377</v>
      </c>
      <c r="W1220" s="82" t="s">
        <v>5474</v>
      </c>
      <c r="X1220" s="80" t="str">
        <f>HYPERLINK("https://www.seudinheiro.com/2023/colunistas/day-trade-na-b3-saiba-como-lucrar-com-acoes-da-randon-rapt4-16-06-miql/")</f>
        <v>https://www.seudinheiro.com/2023/colunistas/day-trade-na-b3-saiba-como-lucrar-com-acoes-da-randon-rapt4-16-06-miql/</v>
      </c>
      <c r="Y1220" s="77" t="s">
        <v>7102</v>
      </c>
      <c r="Z1220" s="77"/>
      <c r="AA1220" s="77"/>
      <c r="AB1220" s="77"/>
      <c r="AC1220" s="82" t="s">
        <v>8255</v>
      </c>
      <c r="AD1220" s="77" t="s">
        <v>8278</v>
      </c>
      <c r="AE1220" s="80" t="str">
        <f>HYPERLINK("https://twitter.com/seu_dinheiro_br/status/1669661875028606979")</f>
        <v>https://twitter.com/seu_dinheiro_br/status/1669661875028606979</v>
      </c>
      <c r="AF1220" s="79">
        <v>45093.460486111115</v>
      </c>
      <c r="AG1220" s="85">
        <v>45093</v>
      </c>
      <c r="AH1220" s="82" t="s">
        <v>9368</v>
      </c>
      <c r="AI1220" s="77" t="b">
        <v>0</v>
      </c>
      <c r="AJ1220" s="77"/>
      <c r="AK1220" s="77"/>
      <c r="AL1220" s="77"/>
      <c r="AM1220" s="77"/>
      <c r="AN1220" s="77"/>
      <c r="AO1220" s="77"/>
      <c r="AP1220" s="77"/>
      <c r="AQ1220" s="77"/>
      <c r="AR1220" s="77"/>
      <c r="AS1220" s="77"/>
      <c r="AT1220" s="77"/>
      <c r="AU1220" s="77"/>
      <c r="AV1220" s="80" t="str">
        <f>HYPERLINK("https://pbs.twimg.com/profile_images/1041725334431952896/uaPtkYSp_normal.jpg")</f>
        <v>https://pbs.twimg.com/profile_images/1041725334431952896/uaPtkYSp_normal.jpg</v>
      </c>
      <c r="AW1220" s="82" t="s">
        <v>14315</v>
      </c>
      <c r="AX1220" s="82" t="s">
        <v>14315</v>
      </c>
      <c r="AY1220" s="77"/>
      <c r="AZ1220" s="82" t="s">
        <v>17385</v>
      </c>
      <c r="BA1220" s="82" t="s">
        <v>17385</v>
      </c>
      <c r="BB1220" s="82" t="s">
        <v>17385</v>
      </c>
      <c r="BC1220" s="82" t="s">
        <v>14315</v>
      </c>
      <c r="BD1220" s="82" t="s">
        <v>17550</v>
      </c>
      <c r="BE1220" s="77"/>
      <c r="BF1220" s="77"/>
      <c r="BG1220" s="77"/>
      <c r="BH1220" s="77"/>
      <c r="BI1220" s="77"/>
    </row>
    <row r="1221" spans="1:61" x14ac:dyDescent="0.25">
      <c r="A1221" s="62" t="s">
        <v>425</v>
      </c>
      <c r="B1221" s="62" t="s">
        <v>425</v>
      </c>
      <c r="C1221" s="63"/>
      <c r="D1221" s="64"/>
      <c r="E1221" s="65"/>
      <c r="F1221" s="66"/>
      <c r="G1221" s="63"/>
      <c r="H1221" s="67"/>
      <c r="I1221" s="68"/>
      <c r="J1221" s="68"/>
      <c r="K1221" s="32"/>
      <c r="L1221" s="75">
        <v>1221</v>
      </c>
      <c r="M1221" s="75"/>
      <c r="N1221" s="70"/>
      <c r="O1221" s="77" t="s">
        <v>179</v>
      </c>
      <c r="P1221" s="79">
        <v>45093.383402777778</v>
      </c>
      <c r="Q1221" s="77" t="s">
        <v>2012</v>
      </c>
      <c r="R1221" s="77">
        <v>0</v>
      </c>
      <c r="S1221" s="77">
        <v>1</v>
      </c>
      <c r="T1221" s="77">
        <v>0</v>
      </c>
      <c r="U1221" s="77">
        <v>0</v>
      </c>
      <c r="V1221" s="77">
        <v>391</v>
      </c>
      <c r="W1221" s="82" t="s">
        <v>5605</v>
      </c>
      <c r="X1221" s="80" t="str">
        <f>HYPERLINK("https://www.seudinheiro.com/2023/colunistas/na-petrobras-petr4-efeito-maria-vai-com-as-outras-como-lucrar-vvka/")</f>
        <v>https://www.seudinheiro.com/2023/colunistas/na-petrobras-petr4-efeito-maria-vai-com-as-outras-como-lucrar-vvka/</v>
      </c>
      <c r="Y1221" s="77" t="s">
        <v>7102</v>
      </c>
      <c r="Z1221" s="77"/>
      <c r="AA1221" s="77"/>
      <c r="AB1221" s="77"/>
      <c r="AC1221" s="82" t="s">
        <v>8255</v>
      </c>
      <c r="AD1221" s="77" t="s">
        <v>8278</v>
      </c>
      <c r="AE1221" s="80" t="str">
        <f>HYPERLINK("https://twitter.com/seu_dinheiro_br/status/1669633943098859520")</f>
        <v>https://twitter.com/seu_dinheiro_br/status/1669633943098859520</v>
      </c>
      <c r="AF1221" s="79">
        <v>45093.383402777778</v>
      </c>
      <c r="AG1221" s="85">
        <v>45093</v>
      </c>
      <c r="AH1221" s="82" t="s">
        <v>9369</v>
      </c>
      <c r="AI1221" s="77" t="b">
        <v>0</v>
      </c>
      <c r="AJ1221" s="77"/>
      <c r="AK1221" s="77"/>
      <c r="AL1221" s="77"/>
      <c r="AM1221" s="77"/>
      <c r="AN1221" s="77"/>
      <c r="AO1221" s="77"/>
      <c r="AP1221" s="77"/>
      <c r="AQ1221" s="77"/>
      <c r="AR1221" s="77"/>
      <c r="AS1221" s="77"/>
      <c r="AT1221" s="77"/>
      <c r="AU1221" s="77"/>
      <c r="AV1221" s="80" t="str">
        <f>HYPERLINK("https://pbs.twimg.com/profile_images/1041725334431952896/uaPtkYSp_normal.jpg")</f>
        <v>https://pbs.twimg.com/profile_images/1041725334431952896/uaPtkYSp_normal.jpg</v>
      </c>
      <c r="AW1221" s="82" t="s">
        <v>14316</v>
      </c>
      <c r="AX1221" s="82" t="s">
        <v>14316</v>
      </c>
      <c r="AY1221" s="77"/>
      <c r="AZ1221" s="82" t="s">
        <v>17385</v>
      </c>
      <c r="BA1221" s="82" t="s">
        <v>17385</v>
      </c>
      <c r="BB1221" s="82" t="s">
        <v>17385</v>
      </c>
      <c r="BC1221" s="82" t="s">
        <v>14316</v>
      </c>
      <c r="BD1221" s="82" t="s">
        <v>17550</v>
      </c>
      <c r="BE1221" s="77"/>
      <c r="BF1221" s="77"/>
      <c r="BG1221" s="77"/>
      <c r="BH1221" s="77"/>
      <c r="BI1221" s="77"/>
    </row>
    <row r="1222" spans="1:61" x14ac:dyDescent="0.25">
      <c r="A1222" s="62" t="s">
        <v>425</v>
      </c>
      <c r="B1222" s="62" t="s">
        <v>425</v>
      </c>
      <c r="C1222" s="63"/>
      <c r="D1222" s="64"/>
      <c r="E1222" s="65"/>
      <c r="F1222" s="66"/>
      <c r="G1222" s="63"/>
      <c r="H1222" s="67"/>
      <c r="I1222" s="68"/>
      <c r="J1222" s="68"/>
      <c r="K1222" s="32"/>
      <c r="L1222" s="75">
        <v>1222</v>
      </c>
      <c r="M1222" s="75"/>
      <c r="N1222" s="70"/>
      <c r="O1222" s="77" t="s">
        <v>179</v>
      </c>
      <c r="P1222" s="79">
        <v>45092.926192129627</v>
      </c>
      <c r="Q1222" s="77" t="s">
        <v>2013</v>
      </c>
      <c r="R1222" s="77">
        <v>0</v>
      </c>
      <c r="S1222" s="77">
        <v>0</v>
      </c>
      <c r="T1222" s="77">
        <v>0</v>
      </c>
      <c r="U1222" s="77">
        <v>0</v>
      </c>
      <c r="V1222" s="77">
        <v>433</v>
      </c>
      <c r="W1222" s="82" t="s">
        <v>5606</v>
      </c>
      <c r="X1222" s="80" t="str">
        <f>HYPERLINK("https://www.seudinheiro.com/2023/empresas/dividendos-e-jcp-bradesco-bbdc4-aprova-r-2-bilhoes-em-proventos-lvit-ccgg/")</f>
        <v>https://www.seudinheiro.com/2023/empresas/dividendos-e-jcp-bradesco-bbdc4-aprova-r-2-bilhoes-em-proventos-lvit-ccgg/</v>
      </c>
      <c r="Y1222" s="77" t="s">
        <v>7102</v>
      </c>
      <c r="Z1222" s="77"/>
      <c r="AA1222" s="77"/>
      <c r="AB1222" s="77"/>
      <c r="AC1222" s="82" t="s">
        <v>8255</v>
      </c>
      <c r="AD1222" s="77" t="s">
        <v>8278</v>
      </c>
      <c r="AE1222" s="80" t="str">
        <f>HYPERLINK("https://twitter.com/seu_dinheiro_br/status/1669468252341260288")</f>
        <v>https://twitter.com/seu_dinheiro_br/status/1669468252341260288</v>
      </c>
      <c r="AF1222" s="79">
        <v>45092.926192129627</v>
      </c>
      <c r="AG1222" s="85">
        <v>45092</v>
      </c>
      <c r="AH1222" s="82" t="s">
        <v>9370</v>
      </c>
      <c r="AI1222" s="77" t="b">
        <v>0</v>
      </c>
      <c r="AJ1222" s="77"/>
      <c r="AK1222" s="77"/>
      <c r="AL1222" s="77"/>
      <c r="AM1222" s="77"/>
      <c r="AN1222" s="77"/>
      <c r="AO1222" s="77"/>
      <c r="AP1222" s="77"/>
      <c r="AQ1222" s="77"/>
      <c r="AR1222" s="77"/>
      <c r="AS1222" s="77"/>
      <c r="AT1222" s="77"/>
      <c r="AU1222" s="77"/>
      <c r="AV1222" s="80" t="str">
        <f>HYPERLINK("https://pbs.twimg.com/profile_images/1041725334431952896/uaPtkYSp_normal.jpg")</f>
        <v>https://pbs.twimg.com/profile_images/1041725334431952896/uaPtkYSp_normal.jpg</v>
      </c>
      <c r="AW1222" s="82" t="s">
        <v>14317</v>
      </c>
      <c r="AX1222" s="82" t="s">
        <v>14317</v>
      </c>
      <c r="AY1222" s="77"/>
      <c r="AZ1222" s="82" t="s">
        <v>17385</v>
      </c>
      <c r="BA1222" s="82" t="s">
        <v>17385</v>
      </c>
      <c r="BB1222" s="82" t="s">
        <v>17385</v>
      </c>
      <c r="BC1222" s="82" t="s">
        <v>14317</v>
      </c>
      <c r="BD1222" s="82" t="s">
        <v>17550</v>
      </c>
      <c r="BE1222" s="77"/>
      <c r="BF1222" s="77"/>
      <c r="BG1222" s="77"/>
      <c r="BH1222" s="77"/>
      <c r="BI1222" s="77"/>
    </row>
    <row r="1223" spans="1:61" x14ac:dyDescent="0.25">
      <c r="A1223" s="62" t="s">
        <v>425</v>
      </c>
      <c r="B1223" s="62" t="s">
        <v>425</v>
      </c>
      <c r="C1223" s="63"/>
      <c r="D1223" s="64"/>
      <c r="E1223" s="65"/>
      <c r="F1223" s="66"/>
      <c r="G1223" s="63"/>
      <c r="H1223" s="67"/>
      <c r="I1223" s="68"/>
      <c r="J1223" s="68"/>
      <c r="K1223" s="32"/>
      <c r="L1223" s="75">
        <v>1223</v>
      </c>
      <c r="M1223" s="75"/>
      <c r="N1223" s="70"/>
      <c r="O1223" s="77" t="s">
        <v>179</v>
      </c>
      <c r="P1223" s="79">
        <v>45092.741446759261</v>
      </c>
      <c r="Q1223" s="77" t="s">
        <v>2014</v>
      </c>
      <c r="R1223" s="77">
        <v>1</v>
      </c>
      <c r="S1223" s="77">
        <v>1</v>
      </c>
      <c r="T1223" s="77">
        <v>0</v>
      </c>
      <c r="U1223" s="77">
        <v>0</v>
      </c>
      <c r="V1223" s="77">
        <v>254</v>
      </c>
      <c r="W1223" s="82" t="s">
        <v>5486</v>
      </c>
      <c r="X1223" s="80" t="str">
        <f>HYPERLINK("https://www.seudinheiro.com/2023/empresas/santander-eleva-preco-alvo-das-acoes-da-natura-para-r-18-e-hora-de-colocar-ntco3-na-sacola-de-compras-ccgg/")</f>
        <v>https://www.seudinheiro.com/2023/empresas/santander-eleva-preco-alvo-das-acoes-da-natura-para-r-18-e-hora-de-colocar-ntco3-na-sacola-de-compras-ccgg/</v>
      </c>
      <c r="Y1223" s="77" t="s">
        <v>7102</v>
      </c>
      <c r="Z1223" s="77"/>
      <c r="AA1223" s="77"/>
      <c r="AB1223" s="77"/>
      <c r="AC1223" s="82" t="s">
        <v>8255</v>
      </c>
      <c r="AD1223" s="77" t="s">
        <v>8278</v>
      </c>
      <c r="AE1223" s="80" t="str">
        <f>HYPERLINK("https://twitter.com/seu_dinheiro_br/status/1669401303028572160")</f>
        <v>https://twitter.com/seu_dinheiro_br/status/1669401303028572160</v>
      </c>
      <c r="AF1223" s="79">
        <v>45092.741446759261</v>
      </c>
      <c r="AG1223" s="85">
        <v>45092</v>
      </c>
      <c r="AH1223" s="82" t="s">
        <v>9371</v>
      </c>
      <c r="AI1223" s="77" t="b">
        <v>0</v>
      </c>
      <c r="AJ1223" s="77"/>
      <c r="AK1223" s="77"/>
      <c r="AL1223" s="77"/>
      <c r="AM1223" s="77"/>
      <c r="AN1223" s="77"/>
      <c r="AO1223" s="77"/>
      <c r="AP1223" s="77"/>
      <c r="AQ1223" s="77"/>
      <c r="AR1223" s="77"/>
      <c r="AS1223" s="77"/>
      <c r="AT1223" s="77"/>
      <c r="AU1223" s="77"/>
      <c r="AV1223" s="80" t="str">
        <f>HYPERLINK("https://pbs.twimg.com/profile_images/1041725334431952896/uaPtkYSp_normal.jpg")</f>
        <v>https://pbs.twimg.com/profile_images/1041725334431952896/uaPtkYSp_normal.jpg</v>
      </c>
      <c r="AW1223" s="82" t="s">
        <v>14318</v>
      </c>
      <c r="AX1223" s="82" t="s">
        <v>14318</v>
      </c>
      <c r="AY1223" s="77"/>
      <c r="AZ1223" s="82" t="s">
        <v>17385</v>
      </c>
      <c r="BA1223" s="82" t="s">
        <v>17385</v>
      </c>
      <c r="BB1223" s="82" t="s">
        <v>17385</v>
      </c>
      <c r="BC1223" s="82" t="s">
        <v>14318</v>
      </c>
      <c r="BD1223" s="82" t="s">
        <v>17550</v>
      </c>
      <c r="BE1223" s="77"/>
      <c r="BF1223" s="77"/>
      <c r="BG1223" s="77"/>
      <c r="BH1223" s="77"/>
      <c r="BI1223" s="77"/>
    </row>
    <row r="1224" spans="1:61" x14ac:dyDescent="0.25">
      <c r="A1224" s="62" t="s">
        <v>425</v>
      </c>
      <c r="B1224" s="62" t="s">
        <v>425</v>
      </c>
      <c r="C1224" s="63"/>
      <c r="D1224" s="64"/>
      <c r="E1224" s="65"/>
      <c r="F1224" s="66"/>
      <c r="G1224" s="63"/>
      <c r="H1224" s="67"/>
      <c r="I1224" s="68"/>
      <c r="J1224" s="68"/>
      <c r="K1224" s="32"/>
      <c r="L1224" s="75">
        <v>1224</v>
      </c>
      <c r="M1224" s="75"/>
      <c r="N1224" s="70"/>
      <c r="O1224" s="77" t="s">
        <v>179</v>
      </c>
      <c r="P1224" s="79">
        <v>45092.688530092593</v>
      </c>
      <c r="Q1224" s="77" t="s">
        <v>2015</v>
      </c>
      <c r="R1224" s="77">
        <v>0</v>
      </c>
      <c r="S1224" s="77">
        <v>1</v>
      </c>
      <c r="T1224" s="77">
        <v>0</v>
      </c>
      <c r="U1224" s="77">
        <v>0</v>
      </c>
      <c r="V1224" s="77">
        <v>256</v>
      </c>
      <c r="W1224" s="82" t="s">
        <v>5520</v>
      </c>
      <c r="X1224" s="80" t="str">
        <f>HYPERLINK("https://www.seudinheiro.com/2023/empresas/mrv-mrve3-divulga-previa-da-previa-do-segundo-trimestre-e-anima-analistas-lvit/")</f>
        <v>https://www.seudinheiro.com/2023/empresas/mrv-mrve3-divulga-previa-da-previa-do-segundo-trimestre-e-anima-analistas-lvit/</v>
      </c>
      <c r="Y1224" s="77" t="s">
        <v>7102</v>
      </c>
      <c r="Z1224" s="77"/>
      <c r="AA1224" s="77"/>
      <c r="AB1224" s="77"/>
      <c r="AC1224" s="82" t="s">
        <v>8255</v>
      </c>
      <c r="AD1224" s="77" t="s">
        <v>8278</v>
      </c>
      <c r="AE1224" s="80" t="str">
        <f>HYPERLINK("https://twitter.com/seu_dinheiro_br/status/1669382128340021248")</f>
        <v>https://twitter.com/seu_dinheiro_br/status/1669382128340021248</v>
      </c>
      <c r="AF1224" s="79">
        <v>45092.688530092593</v>
      </c>
      <c r="AG1224" s="85">
        <v>45092</v>
      </c>
      <c r="AH1224" s="82" t="s">
        <v>9372</v>
      </c>
      <c r="AI1224" s="77" t="b">
        <v>0</v>
      </c>
      <c r="AJ1224" s="77"/>
      <c r="AK1224" s="77"/>
      <c r="AL1224" s="77"/>
      <c r="AM1224" s="77"/>
      <c r="AN1224" s="77"/>
      <c r="AO1224" s="77"/>
      <c r="AP1224" s="77"/>
      <c r="AQ1224" s="77"/>
      <c r="AR1224" s="77"/>
      <c r="AS1224" s="77"/>
      <c r="AT1224" s="77"/>
      <c r="AU1224" s="77"/>
      <c r="AV1224" s="80" t="str">
        <f>HYPERLINK("https://pbs.twimg.com/profile_images/1041725334431952896/uaPtkYSp_normal.jpg")</f>
        <v>https://pbs.twimg.com/profile_images/1041725334431952896/uaPtkYSp_normal.jpg</v>
      </c>
      <c r="AW1224" s="82" t="s">
        <v>14319</v>
      </c>
      <c r="AX1224" s="82" t="s">
        <v>14319</v>
      </c>
      <c r="AY1224" s="77"/>
      <c r="AZ1224" s="82" t="s">
        <v>17385</v>
      </c>
      <c r="BA1224" s="82" t="s">
        <v>17385</v>
      </c>
      <c r="BB1224" s="82" t="s">
        <v>17385</v>
      </c>
      <c r="BC1224" s="82" t="s">
        <v>14319</v>
      </c>
      <c r="BD1224" s="82" t="s">
        <v>17550</v>
      </c>
      <c r="BE1224" s="77"/>
      <c r="BF1224" s="77"/>
      <c r="BG1224" s="77"/>
      <c r="BH1224" s="77"/>
      <c r="BI1224" s="77"/>
    </row>
    <row r="1225" spans="1:61" x14ac:dyDescent="0.25">
      <c r="A1225" s="62" t="s">
        <v>425</v>
      </c>
      <c r="B1225" s="62" t="s">
        <v>425</v>
      </c>
      <c r="C1225" s="63"/>
      <c r="D1225" s="64"/>
      <c r="E1225" s="65"/>
      <c r="F1225" s="66"/>
      <c r="G1225" s="63"/>
      <c r="H1225" s="67"/>
      <c r="I1225" s="68"/>
      <c r="J1225" s="68"/>
      <c r="K1225" s="32"/>
      <c r="L1225" s="75">
        <v>1225</v>
      </c>
      <c r="M1225" s="75"/>
      <c r="N1225" s="70"/>
      <c r="O1225" s="77" t="s">
        <v>179</v>
      </c>
      <c r="P1225" s="79">
        <v>45092.612627314818</v>
      </c>
      <c r="Q1225" s="77" t="s">
        <v>2016</v>
      </c>
      <c r="R1225" s="77">
        <v>0</v>
      </c>
      <c r="S1225" s="77">
        <v>2</v>
      </c>
      <c r="T1225" s="77">
        <v>0</v>
      </c>
      <c r="U1225" s="77">
        <v>0</v>
      </c>
      <c r="V1225" s="77">
        <v>325</v>
      </c>
      <c r="W1225" s="82" t="s">
        <v>5474</v>
      </c>
      <c r="X1225" s="80" t="str">
        <f>HYPERLINK("https://www.seudinheiro.com/2023/colunistas/faria-lima-condado-provinciano-brasileiros-nao-surfam-o-rali-da-bolsa-miql/")</f>
        <v>https://www.seudinheiro.com/2023/colunistas/faria-lima-condado-provinciano-brasileiros-nao-surfam-o-rali-da-bolsa-miql/</v>
      </c>
      <c r="Y1225" s="77" t="s">
        <v>7102</v>
      </c>
      <c r="Z1225" s="77"/>
      <c r="AA1225" s="77"/>
      <c r="AB1225" s="77"/>
      <c r="AC1225" s="82" t="s">
        <v>8255</v>
      </c>
      <c r="AD1225" s="77" t="s">
        <v>8278</v>
      </c>
      <c r="AE1225" s="80" t="str">
        <f>HYPERLINK("https://twitter.com/seu_dinheiro_br/status/1669354619401830400")</f>
        <v>https://twitter.com/seu_dinheiro_br/status/1669354619401830400</v>
      </c>
      <c r="AF1225" s="79">
        <v>45092.612627314818</v>
      </c>
      <c r="AG1225" s="85">
        <v>45092</v>
      </c>
      <c r="AH1225" s="82" t="s">
        <v>9373</v>
      </c>
      <c r="AI1225" s="77" t="b">
        <v>0</v>
      </c>
      <c r="AJ1225" s="77"/>
      <c r="AK1225" s="77"/>
      <c r="AL1225" s="77"/>
      <c r="AM1225" s="77"/>
      <c r="AN1225" s="77"/>
      <c r="AO1225" s="77"/>
      <c r="AP1225" s="77"/>
      <c r="AQ1225" s="77"/>
      <c r="AR1225" s="77"/>
      <c r="AS1225" s="77"/>
      <c r="AT1225" s="77"/>
      <c r="AU1225" s="77"/>
      <c r="AV1225" s="80" t="str">
        <f>HYPERLINK("https://pbs.twimg.com/profile_images/1041725334431952896/uaPtkYSp_normal.jpg")</f>
        <v>https://pbs.twimg.com/profile_images/1041725334431952896/uaPtkYSp_normal.jpg</v>
      </c>
      <c r="AW1225" s="82" t="s">
        <v>14320</v>
      </c>
      <c r="AX1225" s="82" t="s">
        <v>14320</v>
      </c>
      <c r="AY1225" s="77"/>
      <c r="AZ1225" s="82" t="s">
        <v>17385</v>
      </c>
      <c r="BA1225" s="82" t="s">
        <v>17385</v>
      </c>
      <c r="BB1225" s="82" t="s">
        <v>17385</v>
      </c>
      <c r="BC1225" s="82" t="s">
        <v>14320</v>
      </c>
      <c r="BD1225" s="82" t="s">
        <v>17550</v>
      </c>
      <c r="BE1225" s="77"/>
      <c r="BF1225" s="77"/>
      <c r="BG1225" s="77"/>
      <c r="BH1225" s="77"/>
      <c r="BI1225" s="77"/>
    </row>
    <row r="1226" spans="1:61" x14ac:dyDescent="0.25">
      <c r="A1226" s="62" t="s">
        <v>425</v>
      </c>
      <c r="B1226" s="62" t="s">
        <v>425</v>
      </c>
      <c r="C1226" s="63"/>
      <c r="D1226" s="64"/>
      <c r="E1226" s="65"/>
      <c r="F1226" s="66"/>
      <c r="G1226" s="63"/>
      <c r="H1226" s="67"/>
      <c r="I1226" s="68"/>
      <c r="J1226" s="68"/>
      <c r="K1226" s="32"/>
      <c r="L1226" s="75">
        <v>1226</v>
      </c>
      <c r="M1226" s="75"/>
      <c r="N1226" s="70"/>
      <c r="O1226" s="77" t="s">
        <v>179</v>
      </c>
      <c r="P1226" s="79">
        <v>45092.557800925926</v>
      </c>
      <c r="Q1226" s="77" t="s">
        <v>2017</v>
      </c>
      <c r="R1226" s="77">
        <v>0</v>
      </c>
      <c r="S1226" s="77">
        <v>1</v>
      </c>
      <c r="T1226" s="77">
        <v>0</v>
      </c>
      <c r="U1226" s="77">
        <v>0</v>
      </c>
      <c r="V1226" s="77">
        <v>253</v>
      </c>
      <c r="W1226" s="82" t="s">
        <v>5508</v>
      </c>
      <c r="X1226" s="80" t="str">
        <f>HYPERLINK("https://www.seudinheiro.com/2023/bolsa-dolar/saiu-o-pacote-da-cvc-cvcb3-empresa-lanca-oferta-de-acoes-para-aliviar-situacao-financeira-veja-as-condicoes/")</f>
        <v>https://www.seudinheiro.com/2023/bolsa-dolar/saiu-o-pacote-da-cvc-cvcb3-empresa-lanca-oferta-de-acoes-para-aliviar-situacao-financeira-veja-as-condicoes/</v>
      </c>
      <c r="Y1226" s="77" t="s">
        <v>7102</v>
      </c>
      <c r="Z1226" s="77"/>
      <c r="AA1226" s="77"/>
      <c r="AB1226" s="77"/>
      <c r="AC1226" s="82" t="s">
        <v>8255</v>
      </c>
      <c r="AD1226" s="77" t="s">
        <v>8278</v>
      </c>
      <c r="AE1226" s="80" t="str">
        <f>HYPERLINK("https://twitter.com/seu_dinheiro_br/status/1669334754515210240")</f>
        <v>https://twitter.com/seu_dinheiro_br/status/1669334754515210240</v>
      </c>
      <c r="AF1226" s="79">
        <v>45092.557800925926</v>
      </c>
      <c r="AG1226" s="85">
        <v>45092</v>
      </c>
      <c r="AH1226" s="82" t="s">
        <v>9374</v>
      </c>
      <c r="AI1226" s="77" t="b">
        <v>0</v>
      </c>
      <c r="AJ1226" s="77"/>
      <c r="AK1226" s="77"/>
      <c r="AL1226" s="77"/>
      <c r="AM1226" s="77"/>
      <c r="AN1226" s="77"/>
      <c r="AO1226" s="77"/>
      <c r="AP1226" s="77"/>
      <c r="AQ1226" s="77"/>
      <c r="AR1226" s="77"/>
      <c r="AS1226" s="77"/>
      <c r="AT1226" s="77"/>
      <c r="AU1226" s="77"/>
      <c r="AV1226" s="80" t="str">
        <f>HYPERLINK("https://pbs.twimg.com/profile_images/1041725334431952896/uaPtkYSp_normal.jpg")</f>
        <v>https://pbs.twimg.com/profile_images/1041725334431952896/uaPtkYSp_normal.jpg</v>
      </c>
      <c r="AW1226" s="82" t="s">
        <v>14321</v>
      </c>
      <c r="AX1226" s="82" t="s">
        <v>14321</v>
      </c>
      <c r="AY1226" s="77"/>
      <c r="AZ1226" s="82" t="s">
        <v>17385</v>
      </c>
      <c r="BA1226" s="82" t="s">
        <v>17385</v>
      </c>
      <c r="BB1226" s="82" t="s">
        <v>17385</v>
      </c>
      <c r="BC1226" s="82" t="s">
        <v>14321</v>
      </c>
      <c r="BD1226" s="82" t="s">
        <v>17550</v>
      </c>
      <c r="BE1226" s="77"/>
      <c r="BF1226" s="77"/>
      <c r="BG1226" s="77"/>
      <c r="BH1226" s="77"/>
      <c r="BI1226" s="77"/>
    </row>
    <row r="1227" spans="1:61" x14ac:dyDescent="0.25">
      <c r="A1227" s="62" t="s">
        <v>425</v>
      </c>
      <c r="B1227" s="62" t="s">
        <v>425</v>
      </c>
      <c r="C1227" s="63"/>
      <c r="D1227" s="64"/>
      <c r="E1227" s="65"/>
      <c r="F1227" s="66"/>
      <c r="G1227" s="63"/>
      <c r="H1227" s="67"/>
      <c r="I1227" s="68"/>
      <c r="J1227" s="68"/>
      <c r="K1227" s="32"/>
      <c r="L1227" s="75">
        <v>1227</v>
      </c>
      <c r="M1227" s="75"/>
      <c r="N1227" s="70"/>
      <c r="O1227" s="77" t="s">
        <v>179</v>
      </c>
      <c r="P1227" s="79">
        <v>45092.467326388891</v>
      </c>
      <c r="Q1227" s="77" t="s">
        <v>2018</v>
      </c>
      <c r="R1227" s="77">
        <v>1</v>
      </c>
      <c r="S1227" s="77">
        <v>1</v>
      </c>
      <c r="T1227" s="77">
        <v>0</v>
      </c>
      <c r="U1227" s="77">
        <v>0</v>
      </c>
      <c r="V1227" s="77">
        <v>334</v>
      </c>
      <c r="W1227" s="82" t="s">
        <v>5485</v>
      </c>
      <c r="X1227" s="80" t="str">
        <f>HYPERLINK("https://www.seudinheiro.com/2023/colunistas/day-trade-na-b3-saiba-como-lucrar-com-acoes-da-aliansce-sonae-also3-15-06-miql/")</f>
        <v>https://www.seudinheiro.com/2023/colunistas/day-trade-na-b3-saiba-como-lucrar-com-acoes-da-aliansce-sonae-also3-15-06-miql/</v>
      </c>
      <c r="Y1227" s="77" t="s">
        <v>7102</v>
      </c>
      <c r="Z1227" s="77"/>
      <c r="AA1227" s="77"/>
      <c r="AB1227" s="77"/>
      <c r="AC1227" s="82" t="s">
        <v>8255</v>
      </c>
      <c r="AD1227" s="77" t="s">
        <v>8278</v>
      </c>
      <c r="AE1227" s="80" t="str">
        <f>HYPERLINK("https://twitter.com/seu_dinheiro_br/status/1669301965665320960")</f>
        <v>https://twitter.com/seu_dinheiro_br/status/1669301965665320960</v>
      </c>
      <c r="AF1227" s="79">
        <v>45092.467326388891</v>
      </c>
      <c r="AG1227" s="85">
        <v>45092</v>
      </c>
      <c r="AH1227" s="82" t="s">
        <v>9375</v>
      </c>
      <c r="AI1227" s="77" t="b">
        <v>0</v>
      </c>
      <c r="AJ1227" s="77"/>
      <c r="AK1227" s="77"/>
      <c r="AL1227" s="77"/>
      <c r="AM1227" s="77"/>
      <c r="AN1227" s="77"/>
      <c r="AO1227" s="77"/>
      <c r="AP1227" s="77"/>
      <c r="AQ1227" s="77"/>
      <c r="AR1227" s="77"/>
      <c r="AS1227" s="77"/>
      <c r="AT1227" s="77"/>
      <c r="AU1227" s="77"/>
      <c r="AV1227" s="80" t="str">
        <f>HYPERLINK("https://pbs.twimg.com/profile_images/1041725334431952896/uaPtkYSp_normal.jpg")</f>
        <v>https://pbs.twimg.com/profile_images/1041725334431952896/uaPtkYSp_normal.jpg</v>
      </c>
      <c r="AW1227" s="82" t="s">
        <v>14322</v>
      </c>
      <c r="AX1227" s="82" t="s">
        <v>14322</v>
      </c>
      <c r="AY1227" s="77"/>
      <c r="AZ1227" s="82" t="s">
        <v>17385</v>
      </c>
      <c r="BA1227" s="82" t="s">
        <v>17385</v>
      </c>
      <c r="BB1227" s="82" t="s">
        <v>17385</v>
      </c>
      <c r="BC1227" s="82" t="s">
        <v>14322</v>
      </c>
      <c r="BD1227" s="82" t="s">
        <v>17550</v>
      </c>
      <c r="BE1227" s="77"/>
      <c r="BF1227" s="77"/>
      <c r="BG1227" s="77"/>
      <c r="BH1227" s="77"/>
      <c r="BI1227" s="77"/>
    </row>
    <row r="1228" spans="1:61" x14ac:dyDescent="0.25">
      <c r="A1228" s="62" t="s">
        <v>425</v>
      </c>
      <c r="B1228" s="62" t="s">
        <v>425</v>
      </c>
      <c r="C1228" s="63"/>
      <c r="D1228" s="64"/>
      <c r="E1228" s="65"/>
      <c r="F1228" s="66"/>
      <c r="G1228" s="63"/>
      <c r="H1228" s="67"/>
      <c r="I1228" s="68"/>
      <c r="J1228" s="68"/>
      <c r="K1228" s="32"/>
      <c r="L1228" s="75">
        <v>1228</v>
      </c>
      <c r="M1228" s="75"/>
      <c r="N1228" s="70"/>
      <c r="O1228" s="77" t="s">
        <v>179</v>
      </c>
      <c r="P1228" s="79">
        <v>45091.963240740741</v>
      </c>
      <c r="Q1228" s="77" t="s">
        <v>2019</v>
      </c>
      <c r="R1228" s="77">
        <v>0</v>
      </c>
      <c r="S1228" s="77">
        <v>0</v>
      </c>
      <c r="T1228" s="77">
        <v>0</v>
      </c>
      <c r="U1228" s="77">
        <v>0</v>
      </c>
      <c r="V1228" s="77">
        <v>329</v>
      </c>
      <c r="W1228" s="82" t="s">
        <v>5607</v>
      </c>
      <c r="X1228" s="80" t="str">
        <f>HYPERLINK("https://www.seudinheiro.com/2023/empresas/hapvida-esta-fora-de-perigo-citi-melhora-classificacao-de-hapv3-e-eleva-preco-alvo-para-r-6-ccgg/")</f>
        <v>https://www.seudinheiro.com/2023/empresas/hapvida-esta-fora-de-perigo-citi-melhora-classificacao-de-hapv3-e-eleva-preco-alvo-para-r-6-ccgg/</v>
      </c>
      <c r="Y1228" s="77" t="s">
        <v>7102</v>
      </c>
      <c r="Z1228" s="77"/>
      <c r="AA1228" s="77"/>
      <c r="AB1228" s="77"/>
      <c r="AC1228" s="82" t="s">
        <v>8255</v>
      </c>
      <c r="AD1228" s="77" t="s">
        <v>8278</v>
      </c>
      <c r="AE1228" s="80" t="str">
        <f>HYPERLINK("https://twitter.com/seu_dinheiro_br/status/1669119290757226496")</f>
        <v>https://twitter.com/seu_dinheiro_br/status/1669119290757226496</v>
      </c>
      <c r="AF1228" s="79">
        <v>45091.963240740741</v>
      </c>
      <c r="AG1228" s="85">
        <v>45091</v>
      </c>
      <c r="AH1228" s="82" t="s">
        <v>9376</v>
      </c>
      <c r="AI1228" s="77" t="b">
        <v>0</v>
      </c>
      <c r="AJ1228" s="77"/>
      <c r="AK1228" s="77"/>
      <c r="AL1228" s="77"/>
      <c r="AM1228" s="77"/>
      <c r="AN1228" s="77"/>
      <c r="AO1228" s="77"/>
      <c r="AP1228" s="77"/>
      <c r="AQ1228" s="77"/>
      <c r="AR1228" s="77"/>
      <c r="AS1228" s="77"/>
      <c r="AT1228" s="77"/>
      <c r="AU1228" s="77"/>
      <c r="AV1228" s="80" t="str">
        <f>HYPERLINK("https://pbs.twimg.com/profile_images/1041725334431952896/uaPtkYSp_normal.jpg")</f>
        <v>https://pbs.twimg.com/profile_images/1041725334431952896/uaPtkYSp_normal.jpg</v>
      </c>
      <c r="AW1228" s="82" t="s">
        <v>14323</v>
      </c>
      <c r="AX1228" s="82" t="s">
        <v>14323</v>
      </c>
      <c r="AY1228" s="77"/>
      <c r="AZ1228" s="82" t="s">
        <v>17385</v>
      </c>
      <c r="BA1228" s="82" t="s">
        <v>17385</v>
      </c>
      <c r="BB1228" s="82" t="s">
        <v>17385</v>
      </c>
      <c r="BC1228" s="82" t="s">
        <v>14323</v>
      </c>
      <c r="BD1228" s="82" t="s">
        <v>17550</v>
      </c>
      <c r="BE1228" s="77"/>
      <c r="BF1228" s="77"/>
      <c r="BG1228" s="77"/>
      <c r="BH1228" s="77"/>
      <c r="BI1228" s="77"/>
    </row>
    <row r="1229" spans="1:61" x14ac:dyDescent="0.25">
      <c r="A1229" s="62" t="s">
        <v>425</v>
      </c>
      <c r="B1229" s="62" t="s">
        <v>425</v>
      </c>
      <c r="C1229" s="63"/>
      <c r="D1229" s="64"/>
      <c r="E1229" s="65"/>
      <c r="F1229" s="66"/>
      <c r="G1229" s="63"/>
      <c r="H1229" s="67"/>
      <c r="I1229" s="68"/>
      <c r="J1229" s="68"/>
      <c r="K1229" s="32"/>
      <c r="L1229" s="75">
        <v>1229</v>
      </c>
      <c r="M1229" s="75"/>
      <c r="N1229" s="70"/>
      <c r="O1229" s="77" t="s">
        <v>179</v>
      </c>
      <c r="P1229" s="79">
        <v>45091.788900462961</v>
      </c>
      <c r="Q1229" s="77" t="s">
        <v>2020</v>
      </c>
      <c r="R1229" s="77">
        <v>0</v>
      </c>
      <c r="S1229" s="77">
        <v>2</v>
      </c>
      <c r="T1229" s="77">
        <v>0</v>
      </c>
      <c r="U1229" s="77">
        <v>0</v>
      </c>
      <c r="V1229" s="77">
        <v>322</v>
      </c>
      <c r="W1229" s="82" t="s">
        <v>5608</v>
      </c>
      <c r="X1229" s="80" t="str">
        <f>HYPERLINK("https://assets.seudinheiro.com/2023/bolsa-dolar/minoritarios-braskem-brkm5-petrobras-novonor-vinp/")</f>
        <v>https://assets.seudinheiro.com/2023/bolsa-dolar/minoritarios-braskem-brkm5-petrobras-novonor-vinp/</v>
      </c>
      <c r="Y1229" s="77" t="s">
        <v>7102</v>
      </c>
      <c r="Z1229" s="77"/>
      <c r="AA1229" s="77"/>
      <c r="AB1229" s="77"/>
      <c r="AC1229" s="82" t="s">
        <v>8255</v>
      </c>
      <c r="AD1229" s="77" t="s">
        <v>8278</v>
      </c>
      <c r="AE1229" s="80" t="str">
        <f>HYPERLINK("https://twitter.com/seu_dinheiro_br/status/1669056113164025856")</f>
        <v>https://twitter.com/seu_dinheiro_br/status/1669056113164025856</v>
      </c>
      <c r="AF1229" s="79">
        <v>45091.788900462961</v>
      </c>
      <c r="AG1229" s="85">
        <v>45091</v>
      </c>
      <c r="AH1229" s="82" t="s">
        <v>9377</v>
      </c>
      <c r="AI1229" s="77" t="b">
        <v>0</v>
      </c>
      <c r="AJ1229" s="77"/>
      <c r="AK1229" s="77"/>
      <c r="AL1229" s="77"/>
      <c r="AM1229" s="77"/>
      <c r="AN1229" s="77"/>
      <c r="AO1229" s="77"/>
      <c r="AP1229" s="77"/>
      <c r="AQ1229" s="77"/>
      <c r="AR1229" s="77"/>
      <c r="AS1229" s="77"/>
      <c r="AT1229" s="77"/>
      <c r="AU1229" s="77"/>
      <c r="AV1229" s="80" t="str">
        <f>HYPERLINK("https://pbs.twimg.com/profile_images/1041725334431952896/uaPtkYSp_normal.jpg")</f>
        <v>https://pbs.twimg.com/profile_images/1041725334431952896/uaPtkYSp_normal.jpg</v>
      </c>
      <c r="AW1229" s="82" t="s">
        <v>14324</v>
      </c>
      <c r="AX1229" s="82" t="s">
        <v>14324</v>
      </c>
      <c r="AY1229" s="77"/>
      <c r="AZ1229" s="82" t="s">
        <v>17385</v>
      </c>
      <c r="BA1229" s="82" t="s">
        <v>17385</v>
      </c>
      <c r="BB1229" s="82" t="s">
        <v>17385</v>
      </c>
      <c r="BC1229" s="82" t="s">
        <v>14324</v>
      </c>
      <c r="BD1229" s="82" t="s">
        <v>17550</v>
      </c>
      <c r="BE1229" s="77"/>
      <c r="BF1229" s="77"/>
      <c r="BG1229" s="77"/>
      <c r="BH1229" s="77"/>
      <c r="BI1229" s="77"/>
    </row>
    <row r="1230" spans="1:61" x14ac:dyDescent="0.25">
      <c r="A1230" s="62" t="s">
        <v>425</v>
      </c>
      <c r="B1230" s="62" t="s">
        <v>425</v>
      </c>
      <c r="C1230" s="63"/>
      <c r="D1230" s="64"/>
      <c r="E1230" s="65"/>
      <c r="F1230" s="66"/>
      <c r="G1230" s="63"/>
      <c r="H1230" s="67"/>
      <c r="I1230" s="68"/>
      <c r="J1230" s="68"/>
      <c r="K1230" s="32"/>
      <c r="L1230" s="75">
        <v>1230</v>
      </c>
      <c r="M1230" s="75"/>
      <c r="N1230" s="70"/>
      <c r="O1230" s="77" t="s">
        <v>179</v>
      </c>
      <c r="P1230" s="79">
        <v>45091.4612037037</v>
      </c>
      <c r="Q1230" s="77" t="s">
        <v>2021</v>
      </c>
      <c r="R1230" s="77">
        <v>1</v>
      </c>
      <c r="S1230" s="77">
        <v>1</v>
      </c>
      <c r="T1230" s="77">
        <v>0</v>
      </c>
      <c r="U1230" s="77">
        <v>0</v>
      </c>
      <c r="V1230" s="77">
        <v>322</v>
      </c>
      <c r="W1230" s="82" t="s">
        <v>5474</v>
      </c>
      <c r="X1230" s="80" t="str">
        <f>HYPERLINK("https://www.seudinheiro.com/2023/colunistas/day-trade-na-b3-saiba-como-lucrar-com-acoes-da-direcional-dirr3-14-06-miql/")</f>
        <v>https://www.seudinheiro.com/2023/colunistas/day-trade-na-b3-saiba-como-lucrar-com-acoes-da-direcional-dirr3-14-06-miql/</v>
      </c>
      <c r="Y1230" s="77" t="s">
        <v>7102</v>
      </c>
      <c r="Z1230" s="77"/>
      <c r="AA1230" s="77"/>
      <c r="AB1230" s="77"/>
      <c r="AC1230" s="82" t="s">
        <v>8255</v>
      </c>
      <c r="AD1230" s="77" t="s">
        <v>8278</v>
      </c>
      <c r="AE1230" s="80" t="str">
        <f>HYPERLINK("https://twitter.com/seu_dinheiro_br/status/1668937359583215617")</f>
        <v>https://twitter.com/seu_dinheiro_br/status/1668937359583215617</v>
      </c>
      <c r="AF1230" s="79">
        <v>45091.4612037037</v>
      </c>
      <c r="AG1230" s="85">
        <v>45091</v>
      </c>
      <c r="AH1230" s="82" t="s">
        <v>9378</v>
      </c>
      <c r="AI1230" s="77" t="b">
        <v>0</v>
      </c>
      <c r="AJ1230" s="77"/>
      <c r="AK1230" s="77"/>
      <c r="AL1230" s="77"/>
      <c r="AM1230" s="77"/>
      <c r="AN1230" s="77"/>
      <c r="AO1230" s="77"/>
      <c r="AP1230" s="77"/>
      <c r="AQ1230" s="77"/>
      <c r="AR1230" s="77"/>
      <c r="AS1230" s="77"/>
      <c r="AT1230" s="77"/>
      <c r="AU1230" s="77"/>
      <c r="AV1230" s="80" t="str">
        <f>HYPERLINK("https://pbs.twimg.com/profile_images/1041725334431952896/uaPtkYSp_normal.jpg")</f>
        <v>https://pbs.twimg.com/profile_images/1041725334431952896/uaPtkYSp_normal.jpg</v>
      </c>
      <c r="AW1230" s="82" t="s">
        <v>14325</v>
      </c>
      <c r="AX1230" s="82" t="s">
        <v>14325</v>
      </c>
      <c r="AY1230" s="77"/>
      <c r="AZ1230" s="82" t="s">
        <v>17385</v>
      </c>
      <c r="BA1230" s="82" t="s">
        <v>17385</v>
      </c>
      <c r="BB1230" s="82" t="s">
        <v>17385</v>
      </c>
      <c r="BC1230" s="82" t="s">
        <v>14325</v>
      </c>
      <c r="BD1230" s="82" t="s">
        <v>17550</v>
      </c>
      <c r="BE1230" s="77"/>
      <c r="BF1230" s="77"/>
      <c r="BG1230" s="77"/>
      <c r="BH1230" s="77"/>
      <c r="BI1230" s="77"/>
    </row>
    <row r="1231" spans="1:61" x14ac:dyDescent="0.25">
      <c r="A1231" s="62" t="s">
        <v>425</v>
      </c>
      <c r="B1231" s="62" t="s">
        <v>425</v>
      </c>
      <c r="C1231" s="63"/>
      <c r="D1231" s="64"/>
      <c r="E1231" s="65"/>
      <c r="F1231" s="66"/>
      <c r="G1231" s="63"/>
      <c r="H1231" s="67"/>
      <c r="I1231" s="68"/>
      <c r="J1231" s="68"/>
      <c r="K1231" s="32"/>
      <c r="L1231" s="75">
        <v>1231</v>
      </c>
      <c r="M1231" s="75"/>
      <c r="N1231" s="70"/>
      <c r="O1231" s="77" t="s">
        <v>179</v>
      </c>
      <c r="P1231" s="79">
        <v>45182.603506944448</v>
      </c>
      <c r="Q1231" s="77" t="s">
        <v>2022</v>
      </c>
      <c r="R1231" s="77">
        <v>1</v>
      </c>
      <c r="S1231" s="77">
        <v>3</v>
      </c>
      <c r="T1231" s="77">
        <v>0</v>
      </c>
      <c r="U1231" s="77">
        <v>0</v>
      </c>
      <c r="V1231" s="77">
        <v>254</v>
      </c>
      <c r="W1231" s="82" t="s">
        <v>5475</v>
      </c>
      <c r="X1231" s="80" t="str">
        <f>HYPERLINK("https://www.seudinheiro.com/2023/empresas/copel-cple6-vence-eletrobras-e-vira-a-acao-de-energia-favorita-do-btg-pactual-miql/")</f>
        <v>https://www.seudinheiro.com/2023/empresas/copel-cple6-vence-eletrobras-e-vira-a-acao-de-energia-favorita-do-btg-pactual-miql/</v>
      </c>
      <c r="Y1231" s="77" t="s">
        <v>7102</v>
      </c>
      <c r="Z1231" s="77"/>
      <c r="AA1231" s="77"/>
      <c r="AB1231" s="77"/>
      <c r="AC1231" s="82" t="s">
        <v>8255</v>
      </c>
      <c r="AD1231" s="77" t="s">
        <v>8278</v>
      </c>
      <c r="AE1231" s="80" t="str">
        <f>HYPERLINK("https://twitter.com/seu_dinheiro_br/status/1701966222332485673")</f>
        <v>https://twitter.com/seu_dinheiro_br/status/1701966222332485673</v>
      </c>
      <c r="AF1231" s="79">
        <v>45182.603506944448</v>
      </c>
      <c r="AG1231" s="85">
        <v>45182</v>
      </c>
      <c r="AH1231" s="82" t="s">
        <v>9379</v>
      </c>
      <c r="AI1231" s="77" t="b">
        <v>0</v>
      </c>
      <c r="AJ1231" s="77"/>
      <c r="AK1231" s="77"/>
      <c r="AL1231" s="77"/>
      <c r="AM1231" s="77"/>
      <c r="AN1231" s="77"/>
      <c r="AO1231" s="77"/>
      <c r="AP1231" s="77"/>
      <c r="AQ1231" s="77"/>
      <c r="AR1231" s="77"/>
      <c r="AS1231" s="77"/>
      <c r="AT1231" s="77"/>
      <c r="AU1231" s="77"/>
      <c r="AV1231" s="80" t="str">
        <f>HYPERLINK("https://pbs.twimg.com/profile_images/1041725334431952896/uaPtkYSp_normal.jpg")</f>
        <v>https://pbs.twimg.com/profile_images/1041725334431952896/uaPtkYSp_normal.jpg</v>
      </c>
      <c r="AW1231" s="82" t="s">
        <v>14326</v>
      </c>
      <c r="AX1231" s="82" t="s">
        <v>14326</v>
      </c>
      <c r="AY1231" s="77"/>
      <c r="AZ1231" s="82" t="s">
        <v>17385</v>
      </c>
      <c r="BA1231" s="82" t="s">
        <v>17385</v>
      </c>
      <c r="BB1231" s="82" t="s">
        <v>17385</v>
      </c>
      <c r="BC1231" s="82" t="s">
        <v>14326</v>
      </c>
      <c r="BD1231" s="82" t="s">
        <v>17550</v>
      </c>
      <c r="BE1231" s="77"/>
      <c r="BF1231" s="77"/>
      <c r="BG1231" s="77"/>
      <c r="BH1231" s="77"/>
      <c r="BI1231" s="77"/>
    </row>
    <row r="1232" spans="1:61" x14ac:dyDescent="0.25">
      <c r="A1232" s="62" t="s">
        <v>425</v>
      </c>
      <c r="B1232" s="62" t="s">
        <v>425</v>
      </c>
      <c r="C1232" s="63"/>
      <c r="D1232" s="64"/>
      <c r="E1232" s="65"/>
      <c r="F1232" s="66"/>
      <c r="G1232" s="63"/>
      <c r="H1232" s="67"/>
      <c r="I1232" s="68"/>
      <c r="J1232" s="68"/>
      <c r="K1232" s="32"/>
      <c r="L1232" s="75">
        <v>1232</v>
      </c>
      <c r="M1232" s="75"/>
      <c r="N1232" s="70"/>
      <c r="O1232" s="77" t="s">
        <v>179</v>
      </c>
      <c r="P1232" s="79">
        <v>45182.467048611114</v>
      </c>
      <c r="Q1232" s="77" t="s">
        <v>2023</v>
      </c>
      <c r="R1232" s="77">
        <v>1</v>
      </c>
      <c r="S1232" s="77">
        <v>1</v>
      </c>
      <c r="T1232" s="77">
        <v>0</v>
      </c>
      <c r="U1232" s="77">
        <v>0</v>
      </c>
      <c r="V1232" s="77">
        <v>379</v>
      </c>
      <c r="W1232" s="82" t="s">
        <v>5474</v>
      </c>
      <c r="X1232" s="80" t="str">
        <f>HYPERLINK("https://www.seudinheiro.com/2023/colunistas/day-trade-na-b3-como-lucrar-ate-9-com-acoes-da-oncoclinicas-do-brasil-onco3-hoje-duplicate-1/")</f>
        <v>https://www.seudinheiro.com/2023/colunistas/day-trade-na-b3-como-lucrar-ate-9-com-acoes-da-oncoclinicas-do-brasil-onco3-hoje-duplicate-1/</v>
      </c>
      <c r="Y1232" s="77" t="s">
        <v>7102</v>
      </c>
      <c r="Z1232" s="77"/>
      <c r="AA1232" s="77"/>
      <c r="AB1232" s="77"/>
      <c r="AC1232" s="82" t="s">
        <v>8255</v>
      </c>
      <c r="AD1232" s="77" t="s">
        <v>8278</v>
      </c>
      <c r="AE1232" s="80" t="str">
        <f>HYPERLINK("https://twitter.com/seu_dinheiro_br/status/1701916772394303571")</f>
        <v>https://twitter.com/seu_dinheiro_br/status/1701916772394303571</v>
      </c>
      <c r="AF1232" s="79">
        <v>45182.467048611114</v>
      </c>
      <c r="AG1232" s="85">
        <v>45182</v>
      </c>
      <c r="AH1232" s="82" t="s">
        <v>9380</v>
      </c>
      <c r="AI1232" s="77" t="b">
        <v>0</v>
      </c>
      <c r="AJ1232" s="77"/>
      <c r="AK1232" s="77"/>
      <c r="AL1232" s="77"/>
      <c r="AM1232" s="77"/>
      <c r="AN1232" s="77"/>
      <c r="AO1232" s="77"/>
      <c r="AP1232" s="77"/>
      <c r="AQ1232" s="77"/>
      <c r="AR1232" s="77"/>
      <c r="AS1232" s="77"/>
      <c r="AT1232" s="77"/>
      <c r="AU1232" s="77"/>
      <c r="AV1232" s="80" t="str">
        <f>HYPERLINK("https://pbs.twimg.com/profile_images/1041725334431952896/uaPtkYSp_normal.jpg")</f>
        <v>https://pbs.twimg.com/profile_images/1041725334431952896/uaPtkYSp_normal.jpg</v>
      </c>
      <c r="AW1232" s="82" t="s">
        <v>14327</v>
      </c>
      <c r="AX1232" s="82" t="s">
        <v>14327</v>
      </c>
      <c r="AY1232" s="77"/>
      <c r="AZ1232" s="82" t="s">
        <v>17385</v>
      </c>
      <c r="BA1232" s="82" t="s">
        <v>17385</v>
      </c>
      <c r="BB1232" s="82" t="s">
        <v>17385</v>
      </c>
      <c r="BC1232" s="82" t="s">
        <v>14327</v>
      </c>
      <c r="BD1232" s="82" t="s">
        <v>17550</v>
      </c>
      <c r="BE1232" s="77"/>
      <c r="BF1232" s="77"/>
      <c r="BG1232" s="77"/>
      <c r="BH1232" s="77"/>
      <c r="BI1232" s="77"/>
    </row>
    <row r="1233" spans="1:61" x14ac:dyDescent="0.25">
      <c r="A1233" s="62" t="s">
        <v>425</v>
      </c>
      <c r="B1233" s="62" t="s">
        <v>425</v>
      </c>
      <c r="C1233" s="63"/>
      <c r="D1233" s="64"/>
      <c r="E1233" s="65"/>
      <c r="F1233" s="66"/>
      <c r="G1233" s="63"/>
      <c r="H1233" s="67"/>
      <c r="I1233" s="68"/>
      <c r="J1233" s="68"/>
      <c r="K1233" s="32"/>
      <c r="L1233" s="75">
        <v>1233</v>
      </c>
      <c r="M1233" s="75"/>
      <c r="N1233" s="70"/>
      <c r="O1233" s="77" t="s">
        <v>179</v>
      </c>
      <c r="P1233" s="79">
        <v>45181.940092592595</v>
      </c>
      <c r="Q1233" s="77" t="s">
        <v>2024</v>
      </c>
      <c r="R1233" s="77">
        <v>0</v>
      </c>
      <c r="S1233" s="77">
        <v>1</v>
      </c>
      <c r="T1233" s="77">
        <v>0</v>
      </c>
      <c r="U1233" s="77">
        <v>0</v>
      </c>
      <c r="V1233" s="77">
        <v>271</v>
      </c>
      <c r="W1233" s="82" t="s">
        <v>5609</v>
      </c>
      <c r="X1233" s="80" t="str">
        <f>HYPERLINK("https://www.seudinheiro.com/2023/empresas/motivo-pelo-qual-voce-deve-fugir-dos-papeis-da-petrobras-agora-lbdr/")</f>
        <v>https://www.seudinheiro.com/2023/empresas/motivo-pelo-qual-voce-deve-fugir-dos-papeis-da-petrobras-agora-lbdr/</v>
      </c>
      <c r="Y1233" s="77" t="s">
        <v>7102</v>
      </c>
      <c r="Z1233" s="77"/>
      <c r="AA1233" s="77"/>
      <c r="AB1233" s="77"/>
      <c r="AC1233" s="82" t="s">
        <v>8255</v>
      </c>
      <c r="AD1233" s="77" t="s">
        <v>8278</v>
      </c>
      <c r="AE1233" s="80" t="str">
        <f>HYPERLINK("https://twitter.com/seu_dinheiro_br/status/1701725812808941929")</f>
        <v>https://twitter.com/seu_dinheiro_br/status/1701725812808941929</v>
      </c>
      <c r="AF1233" s="79">
        <v>45181.940092592595</v>
      </c>
      <c r="AG1233" s="85">
        <v>45181</v>
      </c>
      <c r="AH1233" s="82" t="s">
        <v>9381</v>
      </c>
      <c r="AI1233" s="77" t="b">
        <v>0</v>
      </c>
      <c r="AJ1233" s="77"/>
      <c r="AK1233" s="77"/>
      <c r="AL1233" s="77"/>
      <c r="AM1233" s="77"/>
      <c r="AN1233" s="77"/>
      <c r="AO1233" s="77"/>
      <c r="AP1233" s="77"/>
      <c r="AQ1233" s="77"/>
      <c r="AR1233" s="77"/>
      <c r="AS1233" s="77"/>
      <c r="AT1233" s="77"/>
      <c r="AU1233" s="77"/>
      <c r="AV1233" s="80" t="str">
        <f>HYPERLINK("https://pbs.twimg.com/profile_images/1041725334431952896/uaPtkYSp_normal.jpg")</f>
        <v>https://pbs.twimg.com/profile_images/1041725334431952896/uaPtkYSp_normal.jpg</v>
      </c>
      <c r="AW1233" s="82" t="s">
        <v>14328</v>
      </c>
      <c r="AX1233" s="82" t="s">
        <v>14328</v>
      </c>
      <c r="AY1233" s="77"/>
      <c r="AZ1233" s="82" t="s">
        <v>17385</v>
      </c>
      <c r="BA1233" s="82" t="s">
        <v>17385</v>
      </c>
      <c r="BB1233" s="82" t="s">
        <v>17385</v>
      </c>
      <c r="BC1233" s="82" t="s">
        <v>14328</v>
      </c>
      <c r="BD1233" s="82" t="s">
        <v>17550</v>
      </c>
      <c r="BE1233" s="77"/>
      <c r="BF1233" s="77"/>
      <c r="BG1233" s="77"/>
      <c r="BH1233" s="77"/>
      <c r="BI1233" s="77"/>
    </row>
    <row r="1234" spans="1:61" x14ac:dyDescent="0.25">
      <c r="A1234" s="62" t="s">
        <v>425</v>
      </c>
      <c r="B1234" s="62" t="s">
        <v>425</v>
      </c>
      <c r="C1234" s="63"/>
      <c r="D1234" s="64"/>
      <c r="E1234" s="65"/>
      <c r="F1234" s="66"/>
      <c r="G1234" s="63"/>
      <c r="H1234" s="67"/>
      <c r="I1234" s="68"/>
      <c r="J1234" s="68"/>
      <c r="K1234" s="32"/>
      <c r="L1234" s="75">
        <v>1234</v>
      </c>
      <c r="M1234" s="75"/>
      <c r="N1234" s="70"/>
      <c r="O1234" s="77" t="s">
        <v>179</v>
      </c>
      <c r="P1234" s="79">
        <v>45181.891087962962</v>
      </c>
      <c r="Q1234" s="77" t="s">
        <v>2025</v>
      </c>
      <c r="R1234" s="77">
        <v>1</v>
      </c>
      <c r="S1234" s="77">
        <v>0</v>
      </c>
      <c r="T1234" s="77">
        <v>0</v>
      </c>
      <c r="U1234" s="77">
        <v>0</v>
      </c>
      <c r="V1234" s="77">
        <v>260</v>
      </c>
      <c r="W1234" s="82" t="s">
        <v>5596</v>
      </c>
      <c r="X1234" s="80" t="str">
        <f>HYPERLINK("https://www.seudinheiro.com/2023/economia/entre-nubank-e-itau-brasileiro-elegeu-seu-banco-preferido-lbdr/")</f>
        <v>https://www.seudinheiro.com/2023/economia/entre-nubank-e-itau-brasileiro-elegeu-seu-banco-preferido-lbdr/</v>
      </c>
      <c r="Y1234" s="77" t="s">
        <v>7102</v>
      </c>
      <c r="Z1234" s="77"/>
      <c r="AA1234" s="77"/>
      <c r="AB1234" s="77"/>
      <c r="AC1234" s="82" t="s">
        <v>8255</v>
      </c>
      <c r="AD1234" s="77" t="s">
        <v>8278</v>
      </c>
      <c r="AE1234" s="80" t="str">
        <f>HYPERLINK("https://twitter.com/seu_dinheiro_br/status/1701708052787798191")</f>
        <v>https://twitter.com/seu_dinheiro_br/status/1701708052787798191</v>
      </c>
      <c r="AF1234" s="79">
        <v>45181.891087962962</v>
      </c>
      <c r="AG1234" s="85">
        <v>45181</v>
      </c>
      <c r="AH1234" s="82" t="s">
        <v>8531</v>
      </c>
      <c r="AI1234" s="77" t="b">
        <v>0</v>
      </c>
      <c r="AJ1234" s="77"/>
      <c r="AK1234" s="77"/>
      <c r="AL1234" s="77"/>
      <c r="AM1234" s="77"/>
      <c r="AN1234" s="77"/>
      <c r="AO1234" s="77"/>
      <c r="AP1234" s="77"/>
      <c r="AQ1234" s="77"/>
      <c r="AR1234" s="77"/>
      <c r="AS1234" s="77"/>
      <c r="AT1234" s="77"/>
      <c r="AU1234" s="77"/>
      <c r="AV1234" s="80" t="str">
        <f>HYPERLINK("https://pbs.twimg.com/profile_images/1041725334431952896/uaPtkYSp_normal.jpg")</f>
        <v>https://pbs.twimg.com/profile_images/1041725334431952896/uaPtkYSp_normal.jpg</v>
      </c>
      <c r="AW1234" s="82" t="s">
        <v>14329</v>
      </c>
      <c r="AX1234" s="82" t="s">
        <v>14329</v>
      </c>
      <c r="AY1234" s="77"/>
      <c r="AZ1234" s="82" t="s">
        <v>17385</v>
      </c>
      <c r="BA1234" s="82" t="s">
        <v>17385</v>
      </c>
      <c r="BB1234" s="82" t="s">
        <v>17385</v>
      </c>
      <c r="BC1234" s="82" t="s">
        <v>14329</v>
      </c>
      <c r="BD1234" s="82" t="s">
        <v>17550</v>
      </c>
      <c r="BE1234" s="77"/>
      <c r="BF1234" s="77"/>
      <c r="BG1234" s="77"/>
      <c r="BH1234" s="77"/>
      <c r="BI1234" s="77"/>
    </row>
    <row r="1235" spans="1:61" x14ac:dyDescent="0.25">
      <c r="A1235" s="62" t="s">
        <v>425</v>
      </c>
      <c r="B1235" s="62" t="s">
        <v>425</v>
      </c>
      <c r="C1235" s="63"/>
      <c r="D1235" s="64"/>
      <c r="E1235" s="65"/>
      <c r="F1235" s="66"/>
      <c r="G1235" s="63"/>
      <c r="H1235" s="67"/>
      <c r="I1235" s="68"/>
      <c r="J1235" s="68"/>
      <c r="K1235" s="32"/>
      <c r="L1235" s="75">
        <v>1235</v>
      </c>
      <c r="M1235" s="75"/>
      <c r="N1235" s="70"/>
      <c r="O1235" s="77" t="s">
        <v>179</v>
      </c>
      <c r="P1235" s="79">
        <v>45181.873506944445</v>
      </c>
      <c r="Q1235" s="77" t="s">
        <v>2026</v>
      </c>
      <c r="R1235" s="77">
        <v>0</v>
      </c>
      <c r="S1235" s="77">
        <v>0</v>
      </c>
      <c r="T1235" s="77">
        <v>0</v>
      </c>
      <c r="U1235" s="77">
        <v>0</v>
      </c>
      <c r="V1235" s="77">
        <v>256</v>
      </c>
      <c r="W1235" s="82" t="s">
        <v>5610</v>
      </c>
      <c r="X1235" s="80" t="str">
        <f>HYPERLINK("https://www.seudinheiro.com/2023/empresas/o-que-a-cosan-espera-com-a-fatia-que-comprou-da-vale-afinal-empresa-deixa-em-aberto-venda-ou-compra-de-mais-acoes-mas-deixa-pistas-entenda-dfon/")</f>
        <v>https://www.seudinheiro.com/2023/empresas/o-que-a-cosan-espera-com-a-fatia-que-comprou-da-vale-afinal-empresa-deixa-em-aberto-venda-ou-compra-de-mais-acoes-mas-deixa-pistas-entenda-dfon/</v>
      </c>
      <c r="Y1235" s="77" t="s">
        <v>7102</v>
      </c>
      <c r="Z1235" s="77"/>
      <c r="AA1235" s="77"/>
      <c r="AB1235" s="77"/>
      <c r="AC1235" s="82" t="s">
        <v>8255</v>
      </c>
      <c r="AD1235" s="77" t="s">
        <v>8278</v>
      </c>
      <c r="AE1235" s="80" t="str">
        <f>HYPERLINK("https://twitter.com/seu_dinheiro_br/status/1701701681157652935")</f>
        <v>https://twitter.com/seu_dinheiro_br/status/1701701681157652935</v>
      </c>
      <c r="AF1235" s="79">
        <v>45181.873506944445</v>
      </c>
      <c r="AG1235" s="85">
        <v>45181</v>
      </c>
      <c r="AH1235" s="82" t="s">
        <v>9382</v>
      </c>
      <c r="AI1235" s="77" t="b">
        <v>0</v>
      </c>
      <c r="AJ1235" s="77"/>
      <c r="AK1235" s="77"/>
      <c r="AL1235" s="77"/>
      <c r="AM1235" s="77"/>
      <c r="AN1235" s="77"/>
      <c r="AO1235" s="77"/>
      <c r="AP1235" s="77"/>
      <c r="AQ1235" s="77"/>
      <c r="AR1235" s="77"/>
      <c r="AS1235" s="77"/>
      <c r="AT1235" s="77"/>
      <c r="AU1235" s="77"/>
      <c r="AV1235" s="80" t="str">
        <f>HYPERLINK("https://pbs.twimg.com/profile_images/1041725334431952896/uaPtkYSp_normal.jpg")</f>
        <v>https://pbs.twimg.com/profile_images/1041725334431952896/uaPtkYSp_normal.jpg</v>
      </c>
      <c r="AW1235" s="82" t="s">
        <v>14330</v>
      </c>
      <c r="AX1235" s="82" t="s">
        <v>14330</v>
      </c>
      <c r="AY1235" s="77"/>
      <c r="AZ1235" s="82" t="s">
        <v>17385</v>
      </c>
      <c r="BA1235" s="82" t="s">
        <v>17385</v>
      </c>
      <c r="BB1235" s="82" t="s">
        <v>17385</v>
      </c>
      <c r="BC1235" s="82" t="s">
        <v>14330</v>
      </c>
      <c r="BD1235" s="82" t="s">
        <v>17550</v>
      </c>
      <c r="BE1235" s="77"/>
      <c r="BF1235" s="77"/>
      <c r="BG1235" s="77"/>
      <c r="BH1235" s="77"/>
      <c r="BI1235" s="77"/>
    </row>
    <row r="1236" spans="1:61" x14ac:dyDescent="0.25">
      <c r="A1236" s="62" t="s">
        <v>425</v>
      </c>
      <c r="B1236" s="62" t="s">
        <v>425</v>
      </c>
      <c r="C1236" s="63"/>
      <c r="D1236" s="64"/>
      <c r="E1236" s="65"/>
      <c r="F1236" s="66"/>
      <c r="G1236" s="63"/>
      <c r="H1236" s="67"/>
      <c r="I1236" s="68"/>
      <c r="J1236" s="68"/>
      <c r="K1236" s="32"/>
      <c r="L1236" s="75">
        <v>1236</v>
      </c>
      <c r="M1236" s="75"/>
      <c r="N1236" s="70"/>
      <c r="O1236" s="77" t="s">
        <v>179</v>
      </c>
      <c r="P1236" s="79">
        <v>45181.858622685184</v>
      </c>
      <c r="Q1236" s="77" t="s">
        <v>2027</v>
      </c>
      <c r="R1236" s="77">
        <v>0</v>
      </c>
      <c r="S1236" s="77">
        <v>2</v>
      </c>
      <c r="T1236" s="77">
        <v>0</v>
      </c>
      <c r="U1236" s="77">
        <v>0</v>
      </c>
      <c r="V1236" s="77">
        <v>307</v>
      </c>
      <c r="W1236" s="82" t="s">
        <v>5611</v>
      </c>
      <c r="X1236" s="80" t="str">
        <f>HYPERLINK("https://www.seudinheiro.com/2023/empresas/iphone-15-preco-nova-geracao-rens/")</f>
        <v>https://www.seudinheiro.com/2023/empresas/iphone-15-preco-nova-geracao-rens/</v>
      </c>
      <c r="Y1236" s="77" t="s">
        <v>7102</v>
      </c>
      <c r="Z1236" s="77"/>
      <c r="AA1236" s="77"/>
      <c r="AB1236" s="77"/>
      <c r="AC1236" s="82" t="s">
        <v>8255</v>
      </c>
      <c r="AD1236" s="77" t="s">
        <v>8278</v>
      </c>
      <c r="AE1236" s="80" t="str">
        <f>HYPERLINK("https://twitter.com/seu_dinheiro_br/status/1701696288738160942")</f>
        <v>https://twitter.com/seu_dinheiro_br/status/1701696288738160942</v>
      </c>
      <c r="AF1236" s="79">
        <v>45181.858622685184</v>
      </c>
      <c r="AG1236" s="85">
        <v>45181</v>
      </c>
      <c r="AH1236" s="82" t="s">
        <v>9383</v>
      </c>
      <c r="AI1236" s="77" t="b">
        <v>0</v>
      </c>
      <c r="AJ1236" s="77"/>
      <c r="AK1236" s="77"/>
      <c r="AL1236" s="77"/>
      <c r="AM1236" s="77"/>
      <c r="AN1236" s="77"/>
      <c r="AO1236" s="77"/>
      <c r="AP1236" s="77"/>
      <c r="AQ1236" s="77"/>
      <c r="AR1236" s="77"/>
      <c r="AS1236" s="77"/>
      <c r="AT1236" s="77"/>
      <c r="AU1236" s="77"/>
      <c r="AV1236" s="80" t="str">
        <f>HYPERLINK("https://pbs.twimg.com/profile_images/1041725334431952896/uaPtkYSp_normal.jpg")</f>
        <v>https://pbs.twimg.com/profile_images/1041725334431952896/uaPtkYSp_normal.jpg</v>
      </c>
      <c r="AW1236" s="82" t="s">
        <v>14331</v>
      </c>
      <c r="AX1236" s="82" t="s">
        <v>14331</v>
      </c>
      <c r="AY1236" s="77"/>
      <c r="AZ1236" s="82" t="s">
        <v>17385</v>
      </c>
      <c r="BA1236" s="82" t="s">
        <v>17385</v>
      </c>
      <c r="BB1236" s="82" t="s">
        <v>17385</v>
      </c>
      <c r="BC1236" s="82" t="s">
        <v>14331</v>
      </c>
      <c r="BD1236" s="82" t="s">
        <v>17550</v>
      </c>
      <c r="BE1236" s="77"/>
      <c r="BF1236" s="77"/>
      <c r="BG1236" s="77"/>
      <c r="BH1236" s="77"/>
      <c r="BI1236" s="77"/>
    </row>
    <row r="1237" spans="1:61" x14ac:dyDescent="0.25">
      <c r="A1237" s="62" t="s">
        <v>425</v>
      </c>
      <c r="B1237" s="62" t="s">
        <v>425</v>
      </c>
      <c r="C1237" s="63"/>
      <c r="D1237" s="64"/>
      <c r="E1237" s="65"/>
      <c r="F1237" s="66"/>
      <c r="G1237" s="63"/>
      <c r="H1237" s="67"/>
      <c r="I1237" s="68"/>
      <c r="J1237" s="68"/>
      <c r="K1237" s="32"/>
      <c r="L1237" s="75">
        <v>1237</v>
      </c>
      <c r="M1237" s="75"/>
      <c r="N1237" s="70"/>
      <c r="O1237" s="77" t="s">
        <v>179</v>
      </c>
      <c r="P1237" s="79">
        <v>45180.697210648148</v>
      </c>
      <c r="Q1237" s="77" t="s">
        <v>2028</v>
      </c>
      <c r="R1237" s="77">
        <v>0</v>
      </c>
      <c r="S1237" s="77">
        <v>1</v>
      </c>
      <c r="T1237" s="77">
        <v>0</v>
      </c>
      <c r="U1237" s="77">
        <v>0</v>
      </c>
      <c r="V1237" s="77">
        <v>213</v>
      </c>
      <c r="W1237" s="82" t="s">
        <v>5495</v>
      </c>
      <c r="X1237" s="80" t="str">
        <f>HYPERLINK("https://www.seudinheiro.com/2023/empresas/por-que-a-xp-considera-perigoso-comprar-acoes-da-braskem-brkm5-com-aposta-na-venda-da-fatia-da-ex-odebrecht-dfon/")</f>
        <v>https://www.seudinheiro.com/2023/empresas/por-que-a-xp-considera-perigoso-comprar-acoes-da-braskem-brkm5-com-aposta-na-venda-da-fatia-da-ex-odebrecht-dfon/</v>
      </c>
      <c r="Y1237" s="77" t="s">
        <v>7102</v>
      </c>
      <c r="Z1237" s="77"/>
      <c r="AA1237" s="77"/>
      <c r="AB1237" s="77"/>
      <c r="AC1237" s="82" t="s">
        <v>8255</v>
      </c>
      <c r="AD1237" s="77" t="s">
        <v>8278</v>
      </c>
      <c r="AE1237" s="80" t="str">
        <f>HYPERLINK("https://twitter.com/seu_dinheiro_br/status/1701275403795464634")</f>
        <v>https://twitter.com/seu_dinheiro_br/status/1701275403795464634</v>
      </c>
      <c r="AF1237" s="79">
        <v>45180.697210648148</v>
      </c>
      <c r="AG1237" s="85">
        <v>45180</v>
      </c>
      <c r="AH1237" s="82" t="s">
        <v>9384</v>
      </c>
      <c r="AI1237" s="77" t="b">
        <v>0</v>
      </c>
      <c r="AJ1237" s="77"/>
      <c r="AK1237" s="77"/>
      <c r="AL1237" s="77"/>
      <c r="AM1237" s="77"/>
      <c r="AN1237" s="77"/>
      <c r="AO1237" s="77"/>
      <c r="AP1237" s="77"/>
      <c r="AQ1237" s="77"/>
      <c r="AR1237" s="77"/>
      <c r="AS1237" s="77"/>
      <c r="AT1237" s="77"/>
      <c r="AU1237" s="77"/>
      <c r="AV1237" s="80" t="str">
        <f>HYPERLINK("https://pbs.twimg.com/profile_images/1041725334431952896/uaPtkYSp_normal.jpg")</f>
        <v>https://pbs.twimg.com/profile_images/1041725334431952896/uaPtkYSp_normal.jpg</v>
      </c>
      <c r="AW1237" s="82" t="s">
        <v>14332</v>
      </c>
      <c r="AX1237" s="82" t="s">
        <v>14332</v>
      </c>
      <c r="AY1237" s="77"/>
      <c r="AZ1237" s="82" t="s">
        <v>17385</v>
      </c>
      <c r="BA1237" s="82" t="s">
        <v>17385</v>
      </c>
      <c r="BB1237" s="82" t="s">
        <v>17385</v>
      </c>
      <c r="BC1237" s="82" t="s">
        <v>14332</v>
      </c>
      <c r="BD1237" s="82" t="s">
        <v>17550</v>
      </c>
      <c r="BE1237" s="77"/>
      <c r="BF1237" s="77"/>
      <c r="BG1237" s="77"/>
      <c r="BH1237" s="77"/>
      <c r="BI1237" s="77"/>
    </row>
    <row r="1238" spans="1:61" x14ac:dyDescent="0.25">
      <c r="A1238" s="62" t="s">
        <v>425</v>
      </c>
      <c r="B1238" s="62" t="s">
        <v>425</v>
      </c>
      <c r="C1238" s="63"/>
      <c r="D1238" s="64"/>
      <c r="E1238" s="65"/>
      <c r="F1238" s="66"/>
      <c r="G1238" s="63"/>
      <c r="H1238" s="67"/>
      <c r="I1238" s="68"/>
      <c r="J1238" s="68"/>
      <c r="K1238" s="32"/>
      <c r="L1238" s="75">
        <v>1238</v>
      </c>
      <c r="M1238" s="75"/>
      <c r="N1238" s="70"/>
      <c r="O1238" s="77" t="s">
        <v>179</v>
      </c>
      <c r="P1238" s="79">
        <v>45180.617407407408</v>
      </c>
      <c r="Q1238" s="77" t="s">
        <v>2029</v>
      </c>
      <c r="R1238" s="77">
        <v>0</v>
      </c>
      <c r="S1238" s="77">
        <v>1</v>
      </c>
      <c r="T1238" s="77">
        <v>0</v>
      </c>
      <c r="U1238" s="77">
        <v>0</v>
      </c>
      <c r="V1238" s="77">
        <v>237</v>
      </c>
      <c r="W1238" s="82" t="s">
        <v>5534</v>
      </c>
      <c r="X1238" s="80" t="str">
        <f>HYPERLINK("https://www.seudinheiro.com/2023/empresas/nubank-passa-itau-e-se-torna-o-principal-banco-de-1-em-cada-4-brasileiros-miql/")</f>
        <v>https://www.seudinheiro.com/2023/empresas/nubank-passa-itau-e-se-torna-o-principal-banco-de-1-em-cada-4-brasileiros-miql/</v>
      </c>
      <c r="Y1238" s="77" t="s">
        <v>7102</v>
      </c>
      <c r="Z1238" s="77"/>
      <c r="AA1238" s="77"/>
      <c r="AB1238" s="77"/>
      <c r="AC1238" s="82" t="s">
        <v>8255</v>
      </c>
      <c r="AD1238" s="77" t="s">
        <v>8278</v>
      </c>
      <c r="AE1238" s="80" t="str">
        <f>HYPERLINK("https://twitter.com/seu_dinheiro_br/status/1701246485025702282")</f>
        <v>https://twitter.com/seu_dinheiro_br/status/1701246485025702282</v>
      </c>
      <c r="AF1238" s="79">
        <v>45180.617407407408</v>
      </c>
      <c r="AG1238" s="85">
        <v>45180</v>
      </c>
      <c r="AH1238" s="82" t="s">
        <v>9385</v>
      </c>
      <c r="AI1238" s="77" t="b">
        <v>0</v>
      </c>
      <c r="AJ1238" s="77"/>
      <c r="AK1238" s="77"/>
      <c r="AL1238" s="77"/>
      <c r="AM1238" s="77"/>
      <c r="AN1238" s="77"/>
      <c r="AO1238" s="77"/>
      <c r="AP1238" s="77"/>
      <c r="AQ1238" s="77"/>
      <c r="AR1238" s="77"/>
      <c r="AS1238" s="77"/>
      <c r="AT1238" s="77"/>
      <c r="AU1238" s="77"/>
      <c r="AV1238" s="80" t="str">
        <f>HYPERLINK("https://pbs.twimg.com/profile_images/1041725334431952896/uaPtkYSp_normal.jpg")</f>
        <v>https://pbs.twimg.com/profile_images/1041725334431952896/uaPtkYSp_normal.jpg</v>
      </c>
      <c r="AW1238" s="82" t="s">
        <v>14333</v>
      </c>
      <c r="AX1238" s="82" t="s">
        <v>14333</v>
      </c>
      <c r="AY1238" s="77"/>
      <c r="AZ1238" s="82" t="s">
        <v>17385</v>
      </c>
      <c r="BA1238" s="82" t="s">
        <v>17385</v>
      </c>
      <c r="BB1238" s="82" t="s">
        <v>17385</v>
      </c>
      <c r="BC1238" s="82" t="s">
        <v>14333</v>
      </c>
      <c r="BD1238" s="82" t="s">
        <v>17550</v>
      </c>
      <c r="BE1238" s="77"/>
      <c r="BF1238" s="77"/>
      <c r="BG1238" s="77"/>
      <c r="BH1238" s="77"/>
      <c r="BI1238" s="77"/>
    </row>
    <row r="1239" spans="1:61" x14ac:dyDescent="0.25">
      <c r="A1239" s="62" t="s">
        <v>425</v>
      </c>
      <c r="B1239" s="62" t="s">
        <v>425</v>
      </c>
      <c r="C1239" s="63"/>
      <c r="D1239" s="64"/>
      <c r="E1239" s="65"/>
      <c r="F1239" s="66"/>
      <c r="G1239" s="63"/>
      <c r="H1239" s="67"/>
      <c r="I1239" s="68"/>
      <c r="J1239" s="68"/>
      <c r="K1239" s="32"/>
      <c r="L1239" s="75">
        <v>1239</v>
      </c>
      <c r="M1239" s="75"/>
      <c r="N1239" s="70"/>
      <c r="O1239" s="77" t="s">
        <v>179</v>
      </c>
      <c r="P1239" s="79">
        <v>45180.535798611112</v>
      </c>
      <c r="Q1239" s="77" t="s">
        <v>2030</v>
      </c>
      <c r="R1239" s="77">
        <v>0</v>
      </c>
      <c r="S1239" s="77">
        <v>1</v>
      </c>
      <c r="T1239" s="77">
        <v>0</v>
      </c>
      <c r="U1239" s="77">
        <v>0</v>
      </c>
      <c r="V1239" s="77">
        <v>184</v>
      </c>
      <c r="W1239" s="82" t="s">
        <v>5529</v>
      </c>
      <c r="X1239" s="80" t="str">
        <f>HYPERLINK("https://www.seudinheiro.com/2023/empresas/americanas-amer3-apresenta-tres-supostas-provas-contra-ex-ceo-vinp/")</f>
        <v>https://www.seudinheiro.com/2023/empresas/americanas-amer3-apresenta-tres-supostas-provas-contra-ex-ceo-vinp/</v>
      </c>
      <c r="Y1239" s="77" t="s">
        <v>7102</v>
      </c>
      <c r="Z1239" s="77"/>
      <c r="AA1239" s="77"/>
      <c r="AB1239" s="77"/>
      <c r="AC1239" s="82" t="s">
        <v>8255</v>
      </c>
      <c r="AD1239" s="77" t="s">
        <v>8278</v>
      </c>
      <c r="AE1239" s="80" t="str">
        <f>HYPERLINK("https://twitter.com/seu_dinheiro_br/status/1701216910413644068")</f>
        <v>https://twitter.com/seu_dinheiro_br/status/1701216910413644068</v>
      </c>
      <c r="AF1239" s="79">
        <v>45180.535798611112</v>
      </c>
      <c r="AG1239" s="85">
        <v>45180</v>
      </c>
      <c r="AH1239" s="82" t="s">
        <v>9386</v>
      </c>
      <c r="AI1239" s="77" t="b">
        <v>0</v>
      </c>
      <c r="AJ1239" s="77"/>
      <c r="AK1239" s="77"/>
      <c r="AL1239" s="77"/>
      <c r="AM1239" s="77"/>
      <c r="AN1239" s="77"/>
      <c r="AO1239" s="77"/>
      <c r="AP1239" s="77"/>
      <c r="AQ1239" s="77"/>
      <c r="AR1239" s="77"/>
      <c r="AS1239" s="77"/>
      <c r="AT1239" s="77"/>
      <c r="AU1239" s="77"/>
      <c r="AV1239" s="80" t="str">
        <f>HYPERLINK("https://pbs.twimg.com/profile_images/1041725334431952896/uaPtkYSp_normal.jpg")</f>
        <v>https://pbs.twimg.com/profile_images/1041725334431952896/uaPtkYSp_normal.jpg</v>
      </c>
      <c r="AW1239" s="82" t="s">
        <v>14334</v>
      </c>
      <c r="AX1239" s="82" t="s">
        <v>14334</v>
      </c>
      <c r="AY1239" s="77"/>
      <c r="AZ1239" s="82" t="s">
        <v>17385</v>
      </c>
      <c r="BA1239" s="82" t="s">
        <v>17385</v>
      </c>
      <c r="BB1239" s="82" t="s">
        <v>17385</v>
      </c>
      <c r="BC1239" s="82" t="s">
        <v>14334</v>
      </c>
      <c r="BD1239" s="82" t="s">
        <v>17550</v>
      </c>
      <c r="BE1239" s="77"/>
      <c r="BF1239" s="77"/>
      <c r="BG1239" s="77"/>
      <c r="BH1239" s="77"/>
      <c r="BI1239" s="77"/>
    </row>
    <row r="1240" spans="1:61" x14ac:dyDescent="0.25">
      <c r="A1240" s="62" t="s">
        <v>425</v>
      </c>
      <c r="B1240" s="62" t="s">
        <v>425</v>
      </c>
      <c r="C1240" s="63"/>
      <c r="D1240" s="64"/>
      <c r="E1240" s="65"/>
      <c r="F1240" s="66"/>
      <c r="G1240" s="63"/>
      <c r="H1240" s="67"/>
      <c r="I1240" s="68"/>
      <c r="J1240" s="68"/>
      <c r="K1240" s="32"/>
      <c r="L1240" s="75">
        <v>1240</v>
      </c>
      <c r="M1240" s="75"/>
      <c r="N1240" s="70"/>
      <c r="O1240" s="77" t="s">
        <v>179</v>
      </c>
      <c r="P1240" s="79">
        <v>45180.469641203701</v>
      </c>
      <c r="Q1240" s="77" t="s">
        <v>2031</v>
      </c>
      <c r="R1240" s="77">
        <v>0</v>
      </c>
      <c r="S1240" s="77">
        <v>2</v>
      </c>
      <c r="T1240" s="77">
        <v>0</v>
      </c>
      <c r="U1240" s="77">
        <v>0</v>
      </c>
      <c r="V1240" s="77">
        <v>394</v>
      </c>
      <c r="W1240" s="82" t="s">
        <v>5474</v>
      </c>
      <c r="X1240" s="80" t="str">
        <f>HYPERLINK("https://www.seudinheiro.com/2023/colunistas/day-trade-na-b3-como-lucrar-ate-6-com-acoes-da-3r-petroleum-rrrp3-hoje/")</f>
        <v>https://www.seudinheiro.com/2023/colunistas/day-trade-na-b3-como-lucrar-ate-6-com-acoes-da-3r-petroleum-rrrp3-hoje/</v>
      </c>
      <c r="Y1240" s="77" t="s">
        <v>7102</v>
      </c>
      <c r="Z1240" s="77"/>
      <c r="AA1240" s="77"/>
      <c r="AB1240" s="77"/>
      <c r="AC1240" s="82" t="s">
        <v>8255</v>
      </c>
      <c r="AD1240" s="77" t="s">
        <v>8278</v>
      </c>
      <c r="AE1240" s="80" t="str">
        <f>HYPERLINK("https://twitter.com/seu_dinheiro_br/status/1701192936820511063")</f>
        <v>https://twitter.com/seu_dinheiro_br/status/1701192936820511063</v>
      </c>
      <c r="AF1240" s="79">
        <v>45180.469641203701</v>
      </c>
      <c r="AG1240" s="85">
        <v>45180</v>
      </c>
      <c r="AH1240" s="82" t="s">
        <v>9387</v>
      </c>
      <c r="AI1240" s="77" t="b">
        <v>0</v>
      </c>
      <c r="AJ1240" s="77"/>
      <c r="AK1240" s="77"/>
      <c r="AL1240" s="77"/>
      <c r="AM1240" s="77"/>
      <c r="AN1240" s="77"/>
      <c r="AO1240" s="77"/>
      <c r="AP1240" s="77"/>
      <c r="AQ1240" s="77"/>
      <c r="AR1240" s="77"/>
      <c r="AS1240" s="77"/>
      <c r="AT1240" s="77"/>
      <c r="AU1240" s="77"/>
      <c r="AV1240" s="80" t="str">
        <f>HYPERLINK("https://pbs.twimg.com/profile_images/1041725334431952896/uaPtkYSp_normal.jpg")</f>
        <v>https://pbs.twimg.com/profile_images/1041725334431952896/uaPtkYSp_normal.jpg</v>
      </c>
      <c r="AW1240" s="82" t="s">
        <v>14335</v>
      </c>
      <c r="AX1240" s="82" t="s">
        <v>14335</v>
      </c>
      <c r="AY1240" s="77"/>
      <c r="AZ1240" s="82" t="s">
        <v>17385</v>
      </c>
      <c r="BA1240" s="82" t="s">
        <v>17385</v>
      </c>
      <c r="BB1240" s="82" t="s">
        <v>17385</v>
      </c>
      <c r="BC1240" s="82" t="s">
        <v>14335</v>
      </c>
      <c r="BD1240" s="82" t="s">
        <v>17550</v>
      </c>
      <c r="BE1240" s="77"/>
      <c r="BF1240" s="77"/>
      <c r="BG1240" s="77"/>
      <c r="BH1240" s="77"/>
      <c r="BI1240" s="77"/>
    </row>
    <row r="1241" spans="1:61" x14ac:dyDescent="0.25">
      <c r="A1241" s="62" t="s">
        <v>425</v>
      </c>
      <c r="B1241" s="62" t="s">
        <v>425</v>
      </c>
      <c r="C1241" s="63"/>
      <c r="D1241" s="64"/>
      <c r="E1241" s="65"/>
      <c r="F1241" s="66"/>
      <c r="G1241" s="63"/>
      <c r="H1241" s="67"/>
      <c r="I1241" s="68"/>
      <c r="J1241" s="68"/>
      <c r="K1241" s="32"/>
      <c r="L1241" s="75">
        <v>1241</v>
      </c>
      <c r="M1241" s="75"/>
      <c r="N1241" s="70"/>
      <c r="O1241" s="77" t="s">
        <v>179</v>
      </c>
      <c r="P1241" s="79">
        <v>45180.409814814811</v>
      </c>
      <c r="Q1241" s="77" t="s">
        <v>2032</v>
      </c>
      <c r="R1241" s="77">
        <v>0</v>
      </c>
      <c r="S1241" s="77">
        <v>0</v>
      </c>
      <c r="T1241" s="77">
        <v>0</v>
      </c>
      <c r="U1241" s="77">
        <v>0</v>
      </c>
      <c r="V1241" s="77">
        <v>306</v>
      </c>
      <c r="W1241" s="82" t="s">
        <v>5474</v>
      </c>
      <c r="X1241" s="80" t="str">
        <f>HYPERLINK("https://www.seudinheiro.com/2023/empresas/e-hora-de-voltar-a-investir-na-vale-vale3-dfon/")</f>
        <v>https://www.seudinheiro.com/2023/empresas/e-hora-de-voltar-a-investir-na-vale-vale3-dfon/</v>
      </c>
      <c r="Y1241" s="77" t="s">
        <v>7102</v>
      </c>
      <c r="Z1241" s="77"/>
      <c r="AA1241" s="77"/>
      <c r="AB1241" s="77"/>
      <c r="AC1241" s="82" t="s">
        <v>8255</v>
      </c>
      <c r="AD1241" s="77" t="s">
        <v>8278</v>
      </c>
      <c r="AE1241" s="80" t="str">
        <f>HYPERLINK("https://twitter.com/seu_dinheiro_br/status/1701171254961570018")</f>
        <v>https://twitter.com/seu_dinheiro_br/status/1701171254961570018</v>
      </c>
      <c r="AF1241" s="79">
        <v>45180.409814814811</v>
      </c>
      <c r="AG1241" s="85">
        <v>45180</v>
      </c>
      <c r="AH1241" s="82" t="s">
        <v>9388</v>
      </c>
      <c r="AI1241" s="77" t="b">
        <v>0</v>
      </c>
      <c r="AJ1241" s="77"/>
      <c r="AK1241" s="77"/>
      <c r="AL1241" s="77"/>
      <c r="AM1241" s="77"/>
      <c r="AN1241" s="77"/>
      <c r="AO1241" s="77"/>
      <c r="AP1241" s="77"/>
      <c r="AQ1241" s="77"/>
      <c r="AR1241" s="77"/>
      <c r="AS1241" s="77"/>
      <c r="AT1241" s="77"/>
      <c r="AU1241" s="77"/>
      <c r="AV1241" s="80" t="str">
        <f>HYPERLINK("https://pbs.twimg.com/profile_images/1041725334431952896/uaPtkYSp_normal.jpg")</f>
        <v>https://pbs.twimg.com/profile_images/1041725334431952896/uaPtkYSp_normal.jpg</v>
      </c>
      <c r="AW1241" s="82" t="s">
        <v>14336</v>
      </c>
      <c r="AX1241" s="82" t="s">
        <v>14336</v>
      </c>
      <c r="AY1241" s="77"/>
      <c r="AZ1241" s="82" t="s">
        <v>17385</v>
      </c>
      <c r="BA1241" s="82" t="s">
        <v>17385</v>
      </c>
      <c r="BB1241" s="82" t="s">
        <v>17385</v>
      </c>
      <c r="BC1241" s="82" t="s">
        <v>14336</v>
      </c>
      <c r="BD1241" s="82" t="s">
        <v>17550</v>
      </c>
      <c r="BE1241" s="77"/>
      <c r="BF1241" s="77"/>
      <c r="BG1241" s="77"/>
      <c r="BH1241" s="77"/>
      <c r="BI1241" s="77"/>
    </row>
    <row r="1242" spans="1:61" x14ac:dyDescent="0.25">
      <c r="A1242" s="62" t="s">
        <v>425</v>
      </c>
      <c r="B1242" s="62" t="s">
        <v>425</v>
      </c>
      <c r="C1242" s="63"/>
      <c r="D1242" s="64"/>
      <c r="E1242" s="65"/>
      <c r="F1242" s="66"/>
      <c r="G1242" s="63"/>
      <c r="H1242" s="67"/>
      <c r="I1242" s="68"/>
      <c r="J1242" s="68"/>
      <c r="K1242" s="32"/>
      <c r="L1242" s="75">
        <v>1242</v>
      </c>
      <c r="M1242" s="75"/>
      <c r="N1242" s="70"/>
      <c r="O1242" s="77" t="s">
        <v>179</v>
      </c>
      <c r="P1242" s="79">
        <v>45179.679050925923</v>
      </c>
      <c r="Q1242" s="77" t="s">
        <v>2033</v>
      </c>
      <c r="R1242" s="77">
        <v>0</v>
      </c>
      <c r="S1242" s="77">
        <v>2</v>
      </c>
      <c r="T1242" s="77">
        <v>0</v>
      </c>
      <c r="U1242" s="77">
        <v>0</v>
      </c>
      <c r="V1242" s="77">
        <v>336</v>
      </c>
      <c r="W1242" s="82" t="s">
        <v>5612</v>
      </c>
      <c r="X1242" s="80" t="str">
        <f>HYPERLINK("https://www.seudinheiro.com/2023/internacional/china-afrouxa-regras-para-seguradoras-investirem-em-acoes-em-novo-estimulo-a-economia-julw/")</f>
        <v>https://www.seudinheiro.com/2023/internacional/china-afrouxa-regras-para-seguradoras-investirem-em-acoes-em-novo-estimulo-a-economia-julw/</v>
      </c>
      <c r="Y1242" s="77" t="s">
        <v>7102</v>
      </c>
      <c r="Z1242" s="77"/>
      <c r="AA1242" s="77"/>
      <c r="AB1242" s="77"/>
      <c r="AC1242" s="82" t="s">
        <v>8255</v>
      </c>
      <c r="AD1242" s="77" t="s">
        <v>8278</v>
      </c>
      <c r="AE1242" s="80" t="str">
        <f>HYPERLINK("https://twitter.com/seu_dinheiro_br/status/1700906436396548141")</f>
        <v>https://twitter.com/seu_dinheiro_br/status/1700906436396548141</v>
      </c>
      <c r="AF1242" s="79">
        <v>45179.679050925923</v>
      </c>
      <c r="AG1242" s="85">
        <v>45179</v>
      </c>
      <c r="AH1242" s="82" t="s">
        <v>9389</v>
      </c>
      <c r="AI1242" s="77" t="b">
        <v>0</v>
      </c>
      <c r="AJ1242" s="77"/>
      <c r="AK1242" s="77"/>
      <c r="AL1242" s="77"/>
      <c r="AM1242" s="77"/>
      <c r="AN1242" s="77"/>
      <c r="AO1242" s="77"/>
      <c r="AP1242" s="77"/>
      <c r="AQ1242" s="77"/>
      <c r="AR1242" s="77"/>
      <c r="AS1242" s="77"/>
      <c r="AT1242" s="77"/>
      <c r="AU1242" s="77"/>
      <c r="AV1242" s="80" t="str">
        <f>HYPERLINK("https://pbs.twimg.com/profile_images/1041725334431952896/uaPtkYSp_normal.jpg")</f>
        <v>https://pbs.twimg.com/profile_images/1041725334431952896/uaPtkYSp_normal.jpg</v>
      </c>
      <c r="AW1242" s="82" t="s">
        <v>14337</v>
      </c>
      <c r="AX1242" s="82" t="s">
        <v>14337</v>
      </c>
      <c r="AY1242" s="77"/>
      <c r="AZ1242" s="82" t="s">
        <v>17385</v>
      </c>
      <c r="BA1242" s="82" t="s">
        <v>17385</v>
      </c>
      <c r="BB1242" s="82" t="s">
        <v>17385</v>
      </c>
      <c r="BC1242" s="82" t="s">
        <v>14337</v>
      </c>
      <c r="BD1242" s="82" t="s">
        <v>17550</v>
      </c>
      <c r="BE1242" s="77"/>
      <c r="BF1242" s="77"/>
      <c r="BG1242" s="77"/>
      <c r="BH1242" s="77"/>
      <c r="BI1242" s="77"/>
    </row>
    <row r="1243" spans="1:61" x14ac:dyDescent="0.25">
      <c r="A1243" s="62" t="s">
        <v>425</v>
      </c>
      <c r="B1243" s="62" t="s">
        <v>425</v>
      </c>
      <c r="C1243" s="63"/>
      <c r="D1243" s="64"/>
      <c r="E1243" s="65"/>
      <c r="F1243" s="66"/>
      <c r="G1243" s="63"/>
      <c r="H1243" s="67"/>
      <c r="I1243" s="68"/>
      <c r="J1243" s="68"/>
      <c r="K1243" s="32"/>
      <c r="L1243" s="75">
        <v>1243</v>
      </c>
      <c r="M1243" s="75"/>
      <c r="N1243" s="70"/>
      <c r="O1243" s="77" t="s">
        <v>179</v>
      </c>
      <c r="P1243" s="79">
        <v>45176.574629629627</v>
      </c>
      <c r="Q1243" s="77" t="s">
        <v>2034</v>
      </c>
      <c r="R1243" s="77">
        <v>0</v>
      </c>
      <c r="S1243" s="77">
        <v>1</v>
      </c>
      <c r="T1243" s="77">
        <v>0</v>
      </c>
      <c r="U1243" s="77">
        <v>0</v>
      </c>
      <c r="V1243" s="77">
        <v>207</v>
      </c>
      <c r="W1243" s="82" t="s">
        <v>5613</v>
      </c>
      <c r="X1243" s="80" t="str">
        <f>HYPERLINK("https://www.seudinheiro.com/2023/internacional/apple-china-acoes-restricoes-iphone-vinp/")</f>
        <v>https://www.seudinheiro.com/2023/internacional/apple-china-acoes-restricoes-iphone-vinp/</v>
      </c>
      <c r="Y1243" s="77" t="s">
        <v>7102</v>
      </c>
      <c r="Z1243" s="77"/>
      <c r="AA1243" s="77"/>
      <c r="AB1243" s="77"/>
      <c r="AC1243" s="82" t="s">
        <v>8255</v>
      </c>
      <c r="AD1243" s="77" t="s">
        <v>8278</v>
      </c>
      <c r="AE1243" s="80" t="str">
        <f>HYPERLINK("https://twitter.com/seu_dinheiro_br/status/1699781430669443242")</f>
        <v>https://twitter.com/seu_dinheiro_br/status/1699781430669443242</v>
      </c>
      <c r="AF1243" s="79">
        <v>45176.574629629627</v>
      </c>
      <c r="AG1243" s="85">
        <v>45176</v>
      </c>
      <c r="AH1243" s="82" t="s">
        <v>9390</v>
      </c>
      <c r="AI1243" s="77" t="b">
        <v>0</v>
      </c>
      <c r="AJ1243" s="77"/>
      <c r="AK1243" s="77"/>
      <c r="AL1243" s="77"/>
      <c r="AM1243" s="77"/>
      <c r="AN1243" s="77"/>
      <c r="AO1243" s="77"/>
      <c r="AP1243" s="77"/>
      <c r="AQ1243" s="77"/>
      <c r="AR1243" s="77"/>
      <c r="AS1243" s="77"/>
      <c r="AT1243" s="77"/>
      <c r="AU1243" s="77"/>
      <c r="AV1243" s="80" t="str">
        <f>HYPERLINK("https://pbs.twimg.com/profile_images/1041725334431952896/uaPtkYSp_normal.jpg")</f>
        <v>https://pbs.twimg.com/profile_images/1041725334431952896/uaPtkYSp_normal.jpg</v>
      </c>
      <c r="AW1243" s="82" t="s">
        <v>14338</v>
      </c>
      <c r="AX1243" s="82" t="s">
        <v>14338</v>
      </c>
      <c r="AY1243" s="77"/>
      <c r="AZ1243" s="82" t="s">
        <v>17385</v>
      </c>
      <c r="BA1243" s="82" t="s">
        <v>17385</v>
      </c>
      <c r="BB1243" s="82" t="s">
        <v>17385</v>
      </c>
      <c r="BC1243" s="82" t="s">
        <v>14338</v>
      </c>
      <c r="BD1243" s="82" t="s">
        <v>17550</v>
      </c>
      <c r="BE1243" s="77"/>
      <c r="BF1243" s="77"/>
      <c r="BG1243" s="77"/>
      <c r="BH1243" s="77"/>
      <c r="BI1243" s="77"/>
    </row>
    <row r="1244" spans="1:61" x14ac:dyDescent="0.25">
      <c r="A1244" s="62" t="s">
        <v>425</v>
      </c>
      <c r="B1244" s="62" t="s">
        <v>425</v>
      </c>
      <c r="C1244" s="63"/>
      <c r="D1244" s="64"/>
      <c r="E1244" s="65"/>
      <c r="F1244" s="66"/>
      <c r="G1244" s="63"/>
      <c r="H1244" s="67"/>
      <c r="I1244" s="68"/>
      <c r="J1244" s="68"/>
      <c r="K1244" s="32"/>
      <c r="L1244" s="75">
        <v>1244</v>
      </c>
      <c r="M1244" s="75"/>
      <c r="N1244" s="70"/>
      <c r="O1244" s="77" t="s">
        <v>179</v>
      </c>
      <c r="P1244" s="79">
        <v>45175.716064814813</v>
      </c>
      <c r="Q1244" s="77" t="s">
        <v>2035</v>
      </c>
      <c r="R1244" s="77">
        <v>0</v>
      </c>
      <c r="S1244" s="77">
        <v>1</v>
      </c>
      <c r="T1244" s="77">
        <v>0</v>
      </c>
      <c r="U1244" s="77">
        <v>0</v>
      </c>
      <c r="V1244" s="77">
        <v>178</v>
      </c>
      <c r="W1244" s="82" t="s">
        <v>5474</v>
      </c>
      <c r="X1244" s="80" t="str">
        <f>HYPERLINK("https://www.seudinheiro.com/2023/empresas/analistas-elevam-projecao-e-indicam-compra-de-acoes-de-ccr-e-ecorodovias-ccgg/")</f>
        <v>https://www.seudinheiro.com/2023/empresas/analistas-elevam-projecao-e-indicam-compra-de-acoes-de-ccr-e-ecorodovias-ccgg/</v>
      </c>
      <c r="Y1244" s="77" t="s">
        <v>7102</v>
      </c>
      <c r="Z1244" s="77"/>
      <c r="AA1244" s="77"/>
      <c r="AB1244" s="77"/>
      <c r="AC1244" s="82" t="s">
        <v>8255</v>
      </c>
      <c r="AD1244" s="77" t="s">
        <v>8278</v>
      </c>
      <c r="AE1244" s="80" t="str">
        <f>HYPERLINK("https://twitter.com/seu_dinheiro_br/status/1699470297408168180")</f>
        <v>https://twitter.com/seu_dinheiro_br/status/1699470297408168180</v>
      </c>
      <c r="AF1244" s="79">
        <v>45175.716064814813</v>
      </c>
      <c r="AG1244" s="85">
        <v>45175</v>
      </c>
      <c r="AH1244" s="82" t="s">
        <v>9391</v>
      </c>
      <c r="AI1244" s="77" t="b">
        <v>0</v>
      </c>
      <c r="AJ1244" s="77"/>
      <c r="AK1244" s="77"/>
      <c r="AL1244" s="77"/>
      <c r="AM1244" s="77"/>
      <c r="AN1244" s="77"/>
      <c r="AO1244" s="77"/>
      <c r="AP1244" s="77"/>
      <c r="AQ1244" s="77"/>
      <c r="AR1244" s="77"/>
      <c r="AS1244" s="77"/>
      <c r="AT1244" s="77"/>
      <c r="AU1244" s="77"/>
      <c r="AV1244" s="80" t="str">
        <f>HYPERLINK("https://pbs.twimg.com/profile_images/1041725334431952896/uaPtkYSp_normal.jpg")</f>
        <v>https://pbs.twimg.com/profile_images/1041725334431952896/uaPtkYSp_normal.jpg</v>
      </c>
      <c r="AW1244" s="82" t="s">
        <v>14339</v>
      </c>
      <c r="AX1244" s="82" t="s">
        <v>14339</v>
      </c>
      <c r="AY1244" s="77"/>
      <c r="AZ1244" s="82" t="s">
        <v>17385</v>
      </c>
      <c r="BA1244" s="82" t="s">
        <v>17385</v>
      </c>
      <c r="BB1244" s="82" t="s">
        <v>17385</v>
      </c>
      <c r="BC1244" s="82" t="s">
        <v>14339</v>
      </c>
      <c r="BD1244" s="82" t="s">
        <v>17550</v>
      </c>
      <c r="BE1244" s="77"/>
      <c r="BF1244" s="77"/>
      <c r="BG1244" s="77"/>
      <c r="BH1244" s="77"/>
      <c r="BI1244" s="77"/>
    </row>
    <row r="1245" spans="1:61" x14ac:dyDescent="0.25">
      <c r="A1245" s="62" t="s">
        <v>425</v>
      </c>
      <c r="B1245" s="62" t="s">
        <v>425</v>
      </c>
      <c r="C1245" s="63"/>
      <c r="D1245" s="64"/>
      <c r="E1245" s="65"/>
      <c r="F1245" s="66"/>
      <c r="G1245" s="63"/>
      <c r="H1245" s="67"/>
      <c r="I1245" s="68"/>
      <c r="J1245" s="68"/>
      <c r="K1245" s="32"/>
      <c r="L1245" s="75">
        <v>1245</v>
      </c>
      <c r="M1245" s="75"/>
      <c r="N1245" s="70"/>
      <c r="O1245" s="77" t="s">
        <v>179</v>
      </c>
      <c r="P1245" s="79">
        <v>45175.60355324074</v>
      </c>
      <c r="Q1245" s="77" t="s">
        <v>2036</v>
      </c>
      <c r="R1245" s="77">
        <v>0</v>
      </c>
      <c r="S1245" s="77">
        <v>1</v>
      </c>
      <c r="T1245" s="77">
        <v>0</v>
      </c>
      <c r="U1245" s="77">
        <v>0</v>
      </c>
      <c r="V1245" s="77">
        <v>289</v>
      </c>
      <c r="W1245" s="82" t="s">
        <v>5475</v>
      </c>
      <c r="X1245" s="80" t="str">
        <f>HYPERLINK("https://www.seudinheiro.com/2023/empresas/infracommerce-ifcm3-pretende-captar-milhoes-em-oferta-de-acoes-follow-on-miql/")</f>
        <v>https://www.seudinheiro.com/2023/empresas/infracommerce-ifcm3-pretende-captar-milhoes-em-oferta-de-acoes-follow-on-miql/</v>
      </c>
      <c r="Y1245" s="77" t="s">
        <v>7102</v>
      </c>
      <c r="Z1245" s="77"/>
      <c r="AA1245" s="77"/>
      <c r="AB1245" s="77"/>
      <c r="AC1245" s="82" t="s">
        <v>8255</v>
      </c>
      <c r="AD1245" s="77" t="s">
        <v>8278</v>
      </c>
      <c r="AE1245" s="80" t="str">
        <f>HYPERLINK("https://twitter.com/seu_dinheiro_br/status/1699429524654416109")</f>
        <v>https://twitter.com/seu_dinheiro_br/status/1699429524654416109</v>
      </c>
      <c r="AF1245" s="79">
        <v>45175.60355324074</v>
      </c>
      <c r="AG1245" s="85">
        <v>45175</v>
      </c>
      <c r="AH1245" s="82" t="s">
        <v>9392</v>
      </c>
      <c r="AI1245" s="77" t="b">
        <v>0</v>
      </c>
      <c r="AJ1245" s="77"/>
      <c r="AK1245" s="77"/>
      <c r="AL1245" s="77"/>
      <c r="AM1245" s="77"/>
      <c r="AN1245" s="77"/>
      <c r="AO1245" s="77"/>
      <c r="AP1245" s="77"/>
      <c r="AQ1245" s="77"/>
      <c r="AR1245" s="77"/>
      <c r="AS1245" s="77"/>
      <c r="AT1245" s="77"/>
      <c r="AU1245" s="77"/>
      <c r="AV1245" s="80" t="str">
        <f>HYPERLINK("https://pbs.twimg.com/profile_images/1041725334431952896/uaPtkYSp_normal.jpg")</f>
        <v>https://pbs.twimg.com/profile_images/1041725334431952896/uaPtkYSp_normal.jpg</v>
      </c>
      <c r="AW1245" s="82" t="s">
        <v>14340</v>
      </c>
      <c r="AX1245" s="82" t="s">
        <v>14340</v>
      </c>
      <c r="AY1245" s="77"/>
      <c r="AZ1245" s="82" t="s">
        <v>17385</v>
      </c>
      <c r="BA1245" s="82" t="s">
        <v>17385</v>
      </c>
      <c r="BB1245" s="82" t="s">
        <v>17385</v>
      </c>
      <c r="BC1245" s="82" t="s">
        <v>14340</v>
      </c>
      <c r="BD1245" s="82" t="s">
        <v>17550</v>
      </c>
      <c r="BE1245" s="77"/>
      <c r="BF1245" s="77"/>
      <c r="BG1245" s="77"/>
      <c r="BH1245" s="77"/>
      <c r="BI1245" s="77"/>
    </row>
    <row r="1246" spans="1:61" x14ac:dyDescent="0.25">
      <c r="A1246" s="62" t="s">
        <v>425</v>
      </c>
      <c r="B1246" s="62" t="s">
        <v>425</v>
      </c>
      <c r="C1246" s="63"/>
      <c r="D1246" s="64"/>
      <c r="E1246" s="65"/>
      <c r="F1246" s="66"/>
      <c r="G1246" s="63"/>
      <c r="H1246" s="67"/>
      <c r="I1246" s="68"/>
      <c r="J1246" s="68"/>
      <c r="K1246" s="32"/>
      <c r="L1246" s="75">
        <v>1246</v>
      </c>
      <c r="M1246" s="75"/>
      <c r="N1246" s="70"/>
      <c r="O1246" s="77" t="s">
        <v>179</v>
      </c>
      <c r="P1246" s="79">
        <v>45175.50141203704</v>
      </c>
      <c r="Q1246" s="77" t="s">
        <v>2037</v>
      </c>
      <c r="R1246" s="77">
        <v>1</v>
      </c>
      <c r="S1246" s="77">
        <v>2</v>
      </c>
      <c r="T1246" s="77">
        <v>0</v>
      </c>
      <c r="U1246" s="77">
        <v>0</v>
      </c>
      <c r="V1246" s="77">
        <v>213</v>
      </c>
      <c r="W1246" s="82" t="s">
        <v>5475</v>
      </c>
      <c r="X1246" s="80" t="str">
        <f>HYPERLINK("https://assets.seudinheiro.com/2023/colunistas/day-trade-na-b3-como-lucrar-com-acao-da-da-mrv-mrve3-hoje-06-09-davs/")</f>
        <v>https://assets.seudinheiro.com/2023/colunistas/day-trade-na-b3-como-lucrar-com-acao-da-da-mrv-mrve3-hoje-06-09-davs/</v>
      </c>
      <c r="Y1246" s="77" t="s">
        <v>7102</v>
      </c>
      <c r="Z1246" s="77"/>
      <c r="AA1246" s="77"/>
      <c r="AB1246" s="77"/>
      <c r="AC1246" s="82" t="s">
        <v>8255</v>
      </c>
      <c r="AD1246" s="77" t="s">
        <v>8278</v>
      </c>
      <c r="AE1246" s="80" t="str">
        <f>HYPERLINK("https://twitter.com/seu_dinheiro_br/status/1699392511582605538")</f>
        <v>https://twitter.com/seu_dinheiro_br/status/1699392511582605538</v>
      </c>
      <c r="AF1246" s="79">
        <v>45175.50141203704</v>
      </c>
      <c r="AG1246" s="85">
        <v>45175</v>
      </c>
      <c r="AH1246" s="82" t="s">
        <v>9393</v>
      </c>
      <c r="AI1246" s="77" t="b">
        <v>0</v>
      </c>
      <c r="AJ1246" s="77"/>
      <c r="AK1246" s="77"/>
      <c r="AL1246" s="77"/>
      <c r="AM1246" s="77"/>
      <c r="AN1246" s="77"/>
      <c r="AO1246" s="77"/>
      <c r="AP1246" s="77"/>
      <c r="AQ1246" s="77"/>
      <c r="AR1246" s="77"/>
      <c r="AS1246" s="77"/>
      <c r="AT1246" s="77"/>
      <c r="AU1246" s="77"/>
      <c r="AV1246" s="80" t="str">
        <f>HYPERLINK("https://pbs.twimg.com/profile_images/1041725334431952896/uaPtkYSp_normal.jpg")</f>
        <v>https://pbs.twimg.com/profile_images/1041725334431952896/uaPtkYSp_normal.jpg</v>
      </c>
      <c r="AW1246" s="82" t="s">
        <v>14341</v>
      </c>
      <c r="AX1246" s="82" t="s">
        <v>14341</v>
      </c>
      <c r="AY1246" s="77"/>
      <c r="AZ1246" s="82" t="s">
        <v>17385</v>
      </c>
      <c r="BA1246" s="82" t="s">
        <v>17385</v>
      </c>
      <c r="BB1246" s="82" t="s">
        <v>17385</v>
      </c>
      <c r="BC1246" s="82" t="s">
        <v>14341</v>
      </c>
      <c r="BD1246" s="82" t="s">
        <v>17550</v>
      </c>
      <c r="BE1246" s="77"/>
      <c r="BF1246" s="77"/>
      <c r="BG1246" s="77"/>
      <c r="BH1246" s="77"/>
      <c r="BI1246" s="77"/>
    </row>
    <row r="1247" spans="1:61" x14ac:dyDescent="0.25">
      <c r="A1247" s="62" t="s">
        <v>425</v>
      </c>
      <c r="B1247" s="62" t="s">
        <v>425</v>
      </c>
      <c r="C1247" s="63"/>
      <c r="D1247" s="64"/>
      <c r="E1247" s="65"/>
      <c r="F1247" s="66"/>
      <c r="G1247" s="63"/>
      <c r="H1247" s="67"/>
      <c r="I1247" s="68"/>
      <c r="J1247" s="68"/>
      <c r="K1247" s="32"/>
      <c r="L1247" s="75">
        <v>1247</v>
      </c>
      <c r="M1247" s="75"/>
      <c r="N1247" s="70"/>
      <c r="O1247" s="77" t="s">
        <v>179</v>
      </c>
      <c r="P1247" s="79">
        <v>45174.448252314818</v>
      </c>
      <c r="Q1247" s="77" t="s">
        <v>2038</v>
      </c>
      <c r="R1247" s="77">
        <v>0</v>
      </c>
      <c r="S1247" s="77">
        <v>1</v>
      </c>
      <c r="T1247" s="77">
        <v>0</v>
      </c>
      <c r="U1247" s="77">
        <v>0</v>
      </c>
      <c r="V1247" s="77">
        <v>204</v>
      </c>
      <c r="W1247" s="82" t="s">
        <v>5475</v>
      </c>
      <c r="X1247" s="80" t="str">
        <f>HYPERLINK("https://www.seudinheiro.com/2023/colunistas/day-trade-na-b3-como-lucrar-com-acao-da-hidrovias-do-brasil-hbsa3-hoje-05-09-miql/")</f>
        <v>https://www.seudinheiro.com/2023/colunistas/day-trade-na-b3-como-lucrar-com-acao-da-hidrovias-do-brasil-hbsa3-hoje-05-09-miql/</v>
      </c>
      <c r="Y1247" s="77" t="s">
        <v>7102</v>
      </c>
      <c r="Z1247" s="77"/>
      <c r="AA1247" s="77"/>
      <c r="AB1247" s="77"/>
      <c r="AC1247" s="82" t="s">
        <v>8255</v>
      </c>
      <c r="AD1247" s="77" t="s">
        <v>8278</v>
      </c>
      <c r="AE1247" s="80" t="str">
        <f>HYPERLINK("https://twitter.com/seu_dinheiro_br/status/1699010859211669935")</f>
        <v>https://twitter.com/seu_dinheiro_br/status/1699010859211669935</v>
      </c>
      <c r="AF1247" s="79">
        <v>45174.448252314818</v>
      </c>
      <c r="AG1247" s="85">
        <v>45174</v>
      </c>
      <c r="AH1247" s="82" t="s">
        <v>9394</v>
      </c>
      <c r="AI1247" s="77" t="b">
        <v>0</v>
      </c>
      <c r="AJ1247" s="77"/>
      <c r="AK1247" s="77"/>
      <c r="AL1247" s="77"/>
      <c r="AM1247" s="77"/>
      <c r="AN1247" s="77"/>
      <c r="AO1247" s="77"/>
      <c r="AP1247" s="77"/>
      <c r="AQ1247" s="77"/>
      <c r="AR1247" s="77"/>
      <c r="AS1247" s="77"/>
      <c r="AT1247" s="77"/>
      <c r="AU1247" s="77"/>
      <c r="AV1247" s="80" t="str">
        <f>HYPERLINK("https://pbs.twimg.com/profile_images/1041725334431952896/uaPtkYSp_normal.jpg")</f>
        <v>https://pbs.twimg.com/profile_images/1041725334431952896/uaPtkYSp_normal.jpg</v>
      </c>
      <c r="AW1247" s="82" t="s">
        <v>14342</v>
      </c>
      <c r="AX1247" s="82" t="s">
        <v>14342</v>
      </c>
      <c r="AY1247" s="77"/>
      <c r="AZ1247" s="82" t="s">
        <v>17385</v>
      </c>
      <c r="BA1247" s="82" t="s">
        <v>17385</v>
      </c>
      <c r="BB1247" s="82" t="s">
        <v>17385</v>
      </c>
      <c r="BC1247" s="82" t="s">
        <v>14342</v>
      </c>
      <c r="BD1247" s="82" t="s">
        <v>17550</v>
      </c>
      <c r="BE1247" s="77"/>
      <c r="BF1247" s="77"/>
      <c r="BG1247" s="77"/>
      <c r="BH1247" s="77"/>
      <c r="BI1247" s="77"/>
    </row>
    <row r="1248" spans="1:61" x14ac:dyDescent="0.25">
      <c r="A1248" s="62" t="s">
        <v>425</v>
      </c>
      <c r="B1248" s="62" t="s">
        <v>425</v>
      </c>
      <c r="C1248" s="63"/>
      <c r="D1248" s="64"/>
      <c r="E1248" s="65"/>
      <c r="F1248" s="66"/>
      <c r="G1248" s="63"/>
      <c r="H1248" s="67"/>
      <c r="I1248" s="68"/>
      <c r="J1248" s="68"/>
      <c r="K1248" s="32"/>
      <c r="L1248" s="75">
        <v>1248</v>
      </c>
      <c r="M1248" s="75"/>
      <c r="N1248" s="70"/>
      <c r="O1248" s="77" t="s">
        <v>179</v>
      </c>
      <c r="P1248" s="79">
        <v>45173.896932870368</v>
      </c>
      <c r="Q1248" s="77" t="s">
        <v>2039</v>
      </c>
      <c r="R1248" s="77">
        <v>0</v>
      </c>
      <c r="S1248" s="77">
        <v>0</v>
      </c>
      <c r="T1248" s="77">
        <v>0</v>
      </c>
      <c r="U1248" s="77">
        <v>0</v>
      </c>
      <c r="V1248" s="77">
        <v>304</v>
      </c>
      <c r="W1248" s="82" t="s">
        <v>5614</v>
      </c>
      <c r="X1248" s="80" t="str">
        <f>HYPERLINK("https://www.seudinheiro.com/2023/empresas/as-acoes-da-localiza-rent3-ainda-valem-a-pena-banco-conta-por-que-segue-otimista-com-a-locadora-de-veiculos-mesmo-apos-piora-no-ultimo-trimestre-dfon/")</f>
        <v>https://www.seudinheiro.com/2023/empresas/as-acoes-da-localiza-rent3-ainda-valem-a-pena-banco-conta-por-que-segue-otimista-com-a-locadora-de-veiculos-mesmo-apos-piora-no-ultimo-trimestre-dfon/</v>
      </c>
      <c r="Y1248" s="77" t="s">
        <v>7102</v>
      </c>
      <c r="Z1248" s="77"/>
      <c r="AA1248" s="77"/>
      <c r="AB1248" s="77"/>
      <c r="AC1248" s="82" t="s">
        <v>8255</v>
      </c>
      <c r="AD1248" s="77" t="s">
        <v>8278</v>
      </c>
      <c r="AE1248" s="80" t="str">
        <f>HYPERLINK("https://twitter.com/seu_dinheiro_br/status/1698811068900892724")</f>
        <v>https://twitter.com/seu_dinheiro_br/status/1698811068900892724</v>
      </c>
      <c r="AF1248" s="79">
        <v>45173.896932870368</v>
      </c>
      <c r="AG1248" s="85">
        <v>45173</v>
      </c>
      <c r="AH1248" s="82" t="s">
        <v>9395</v>
      </c>
      <c r="AI1248" s="77" t="b">
        <v>0</v>
      </c>
      <c r="AJ1248" s="77"/>
      <c r="AK1248" s="77"/>
      <c r="AL1248" s="77"/>
      <c r="AM1248" s="77"/>
      <c r="AN1248" s="77"/>
      <c r="AO1248" s="77"/>
      <c r="AP1248" s="77"/>
      <c r="AQ1248" s="77"/>
      <c r="AR1248" s="77"/>
      <c r="AS1248" s="77"/>
      <c r="AT1248" s="77"/>
      <c r="AU1248" s="77"/>
      <c r="AV1248" s="80" t="str">
        <f>HYPERLINK("https://pbs.twimg.com/profile_images/1041725334431952896/uaPtkYSp_normal.jpg")</f>
        <v>https://pbs.twimg.com/profile_images/1041725334431952896/uaPtkYSp_normal.jpg</v>
      </c>
      <c r="AW1248" s="82" t="s">
        <v>14343</v>
      </c>
      <c r="AX1248" s="82" t="s">
        <v>14343</v>
      </c>
      <c r="AY1248" s="77"/>
      <c r="AZ1248" s="82" t="s">
        <v>17385</v>
      </c>
      <c r="BA1248" s="82" t="s">
        <v>17385</v>
      </c>
      <c r="BB1248" s="82" t="s">
        <v>17385</v>
      </c>
      <c r="BC1248" s="82" t="s">
        <v>14343</v>
      </c>
      <c r="BD1248" s="82" t="s">
        <v>17550</v>
      </c>
      <c r="BE1248" s="77"/>
      <c r="BF1248" s="77"/>
      <c r="BG1248" s="77"/>
      <c r="BH1248" s="77"/>
      <c r="BI1248" s="77"/>
    </row>
    <row r="1249" spans="1:61" x14ac:dyDescent="0.25">
      <c r="A1249" s="62" t="s">
        <v>425</v>
      </c>
      <c r="B1249" s="62" t="s">
        <v>425</v>
      </c>
      <c r="C1249" s="63"/>
      <c r="D1249" s="64"/>
      <c r="E1249" s="65"/>
      <c r="F1249" s="66"/>
      <c r="G1249" s="63"/>
      <c r="H1249" s="67"/>
      <c r="I1249" s="68"/>
      <c r="J1249" s="68"/>
      <c r="K1249" s="32"/>
      <c r="L1249" s="75">
        <v>1249</v>
      </c>
      <c r="M1249" s="75"/>
      <c r="N1249" s="70"/>
      <c r="O1249" s="77" t="s">
        <v>179</v>
      </c>
      <c r="P1249" s="79">
        <v>45173.674201388887</v>
      </c>
      <c r="Q1249" s="77" t="s">
        <v>2040</v>
      </c>
      <c r="R1249" s="77">
        <v>0</v>
      </c>
      <c r="S1249" s="77">
        <v>0</v>
      </c>
      <c r="T1249" s="77">
        <v>0</v>
      </c>
      <c r="U1249" s="77">
        <v>0</v>
      </c>
      <c r="V1249" s="77">
        <v>305</v>
      </c>
      <c r="W1249" s="82" t="s">
        <v>5521</v>
      </c>
      <c r="X1249" s="80" t="str">
        <f>HYPERLINK("https://www.seudinheiro.com/2023/empresas/jbs-jbss3-propoe-mudanca-na-estrutura-da-dupla-listagem-das-acoes-em-ny-e-na-b3-o-que-muda-para-o-investidor-dfon/")</f>
        <v>https://www.seudinheiro.com/2023/empresas/jbs-jbss3-propoe-mudanca-na-estrutura-da-dupla-listagem-das-acoes-em-ny-e-na-b3-o-que-muda-para-o-investidor-dfon/</v>
      </c>
      <c r="Y1249" s="77" t="s">
        <v>7102</v>
      </c>
      <c r="Z1249" s="77"/>
      <c r="AA1249" s="77"/>
      <c r="AB1249" s="77"/>
      <c r="AC1249" s="82" t="s">
        <v>8255</v>
      </c>
      <c r="AD1249" s="77" t="s">
        <v>8278</v>
      </c>
      <c r="AE1249" s="80" t="str">
        <f>HYPERLINK("https://twitter.com/seu_dinheiro_br/status/1698730352888492537")</f>
        <v>https://twitter.com/seu_dinheiro_br/status/1698730352888492537</v>
      </c>
      <c r="AF1249" s="79">
        <v>45173.674201388887</v>
      </c>
      <c r="AG1249" s="85">
        <v>45173</v>
      </c>
      <c r="AH1249" s="82" t="s">
        <v>9396</v>
      </c>
      <c r="AI1249" s="77" t="b">
        <v>0</v>
      </c>
      <c r="AJ1249" s="77"/>
      <c r="AK1249" s="77"/>
      <c r="AL1249" s="77"/>
      <c r="AM1249" s="77"/>
      <c r="AN1249" s="77"/>
      <c r="AO1249" s="77"/>
      <c r="AP1249" s="77"/>
      <c r="AQ1249" s="77"/>
      <c r="AR1249" s="77"/>
      <c r="AS1249" s="77"/>
      <c r="AT1249" s="77"/>
      <c r="AU1249" s="77"/>
      <c r="AV1249" s="80" t="str">
        <f>HYPERLINK("https://pbs.twimg.com/profile_images/1041725334431952896/uaPtkYSp_normal.jpg")</f>
        <v>https://pbs.twimg.com/profile_images/1041725334431952896/uaPtkYSp_normal.jpg</v>
      </c>
      <c r="AW1249" s="82" t="s">
        <v>14344</v>
      </c>
      <c r="AX1249" s="82" t="s">
        <v>14344</v>
      </c>
      <c r="AY1249" s="77"/>
      <c r="AZ1249" s="82" t="s">
        <v>17385</v>
      </c>
      <c r="BA1249" s="82" t="s">
        <v>17385</v>
      </c>
      <c r="BB1249" s="82" t="s">
        <v>17385</v>
      </c>
      <c r="BC1249" s="82" t="s">
        <v>14344</v>
      </c>
      <c r="BD1249" s="82" t="s">
        <v>17550</v>
      </c>
      <c r="BE1249" s="77"/>
      <c r="BF1249" s="77"/>
      <c r="BG1249" s="77"/>
      <c r="BH1249" s="77"/>
      <c r="BI1249" s="77"/>
    </row>
    <row r="1250" spans="1:61" x14ac:dyDescent="0.25">
      <c r="A1250" s="62" t="s">
        <v>425</v>
      </c>
      <c r="B1250" s="62" t="s">
        <v>425</v>
      </c>
      <c r="C1250" s="63"/>
      <c r="D1250" s="64"/>
      <c r="E1250" s="65"/>
      <c r="F1250" s="66"/>
      <c r="G1250" s="63"/>
      <c r="H1250" s="67"/>
      <c r="I1250" s="68"/>
      <c r="J1250" s="68"/>
      <c r="K1250" s="32"/>
      <c r="L1250" s="75">
        <v>1250</v>
      </c>
      <c r="M1250" s="75"/>
      <c r="N1250" s="70"/>
      <c r="O1250" s="77" t="s">
        <v>179</v>
      </c>
      <c r="P1250" s="79">
        <v>45163.852187500001</v>
      </c>
      <c r="Q1250" s="77" t="s">
        <v>2041</v>
      </c>
      <c r="R1250" s="77">
        <v>0</v>
      </c>
      <c r="S1250" s="77">
        <v>1</v>
      </c>
      <c r="T1250" s="77">
        <v>0</v>
      </c>
      <c r="U1250" s="77">
        <v>0</v>
      </c>
      <c r="V1250" s="77">
        <v>346</v>
      </c>
      <c r="W1250" s="82" t="s">
        <v>5530</v>
      </c>
      <c r="X1250" s="80" t="str">
        <f>HYPERLINK("https://www.seudinheiro.com/2023/empresas/bradesco-bbdc4-favorito-de-warren-buffett-de-londrina-cesar-paiva-miql/")</f>
        <v>https://www.seudinheiro.com/2023/empresas/bradesco-bbdc4-favorito-de-warren-buffett-de-londrina-cesar-paiva-miql/</v>
      </c>
      <c r="Y1250" s="77" t="s">
        <v>7102</v>
      </c>
      <c r="Z1250" s="77"/>
      <c r="AA1250" s="77"/>
      <c r="AB1250" s="77"/>
      <c r="AC1250" s="82" t="s">
        <v>8255</v>
      </c>
      <c r="AD1250" s="77" t="s">
        <v>8279</v>
      </c>
      <c r="AE1250" s="80" t="str">
        <f>HYPERLINK("https://twitter.com/seu_dinheiro_br/status/1695170973639561294")</f>
        <v>https://twitter.com/seu_dinheiro_br/status/1695170973639561294</v>
      </c>
      <c r="AF1250" s="79">
        <v>45163.852187500001</v>
      </c>
      <c r="AG1250" s="85">
        <v>45163</v>
      </c>
      <c r="AH1250" s="82" t="s">
        <v>9397</v>
      </c>
      <c r="AI1250" s="77" t="b">
        <v>0</v>
      </c>
      <c r="AJ1250" s="77"/>
      <c r="AK1250" s="77"/>
      <c r="AL1250" s="77"/>
      <c r="AM1250" s="77"/>
      <c r="AN1250" s="77"/>
      <c r="AO1250" s="77"/>
      <c r="AP1250" s="77"/>
      <c r="AQ1250" s="77"/>
      <c r="AR1250" s="77"/>
      <c r="AS1250" s="77"/>
      <c r="AT1250" s="77"/>
      <c r="AU1250" s="77"/>
      <c r="AV1250" s="80" t="str">
        <f>HYPERLINK("https://pbs.twimg.com/profile_images/1041725334431952896/uaPtkYSp_normal.jpg")</f>
        <v>https://pbs.twimg.com/profile_images/1041725334431952896/uaPtkYSp_normal.jpg</v>
      </c>
      <c r="AW1250" s="82" t="s">
        <v>14345</v>
      </c>
      <c r="AX1250" s="82" t="s">
        <v>14345</v>
      </c>
      <c r="AY1250" s="77"/>
      <c r="AZ1250" s="82" t="s">
        <v>17385</v>
      </c>
      <c r="BA1250" s="82" t="s">
        <v>17385</v>
      </c>
      <c r="BB1250" s="82" t="s">
        <v>17385</v>
      </c>
      <c r="BC1250" s="82" t="s">
        <v>14345</v>
      </c>
      <c r="BD1250" s="82" t="s">
        <v>17550</v>
      </c>
      <c r="BE1250" s="77"/>
      <c r="BF1250" s="77"/>
      <c r="BG1250" s="77"/>
      <c r="BH1250" s="77"/>
      <c r="BI1250" s="77"/>
    </row>
    <row r="1251" spans="1:61" x14ac:dyDescent="0.25">
      <c r="A1251" s="62" t="s">
        <v>425</v>
      </c>
      <c r="B1251" s="62" t="s">
        <v>425</v>
      </c>
      <c r="C1251" s="63"/>
      <c r="D1251" s="64"/>
      <c r="E1251" s="65"/>
      <c r="F1251" s="66"/>
      <c r="G1251" s="63"/>
      <c r="H1251" s="67"/>
      <c r="I1251" s="68"/>
      <c r="J1251" s="68"/>
      <c r="K1251" s="32"/>
      <c r="L1251" s="75">
        <v>1251</v>
      </c>
      <c r="M1251" s="75"/>
      <c r="N1251" s="70"/>
      <c r="O1251" s="77" t="s">
        <v>179</v>
      </c>
      <c r="P1251" s="79">
        <v>45163.83488425926</v>
      </c>
      <c r="Q1251" s="77" t="s">
        <v>2042</v>
      </c>
      <c r="R1251" s="77">
        <v>0</v>
      </c>
      <c r="S1251" s="77">
        <v>0</v>
      </c>
      <c r="T1251" s="77">
        <v>0</v>
      </c>
      <c r="U1251" s="77">
        <v>0</v>
      </c>
      <c r="V1251" s="77">
        <v>246</v>
      </c>
      <c r="W1251" s="82" t="s">
        <v>5474</v>
      </c>
      <c r="X1251" s="80" t="str">
        <f>HYPERLINK("https://www.seudinheiro.com/2023/empresas/culpa-do-bolsonaro-por-que-a-rolex-derrubou-as-acoes-de-uma-varejista-de-luxo-na-suica-papeis-derreteram-quase-30-hoje-ccgg/")</f>
        <v>https://www.seudinheiro.com/2023/empresas/culpa-do-bolsonaro-por-que-a-rolex-derrubou-as-acoes-de-uma-varejista-de-luxo-na-suica-papeis-derreteram-quase-30-hoje-ccgg/</v>
      </c>
      <c r="Y1251" s="77" t="s">
        <v>7102</v>
      </c>
      <c r="Z1251" s="77"/>
      <c r="AA1251" s="77"/>
      <c r="AB1251" s="77"/>
      <c r="AC1251" s="82" t="s">
        <v>8255</v>
      </c>
      <c r="AD1251" s="77" t="s">
        <v>8278</v>
      </c>
      <c r="AE1251" s="80" t="str">
        <f>HYPERLINK("https://twitter.com/seu_dinheiro_br/status/1695164703247344041")</f>
        <v>https://twitter.com/seu_dinheiro_br/status/1695164703247344041</v>
      </c>
      <c r="AF1251" s="79">
        <v>45163.83488425926</v>
      </c>
      <c r="AG1251" s="85">
        <v>45163</v>
      </c>
      <c r="AH1251" s="82" t="s">
        <v>9398</v>
      </c>
      <c r="AI1251" s="77" t="b">
        <v>0</v>
      </c>
      <c r="AJ1251" s="77"/>
      <c r="AK1251" s="77"/>
      <c r="AL1251" s="77"/>
      <c r="AM1251" s="77"/>
      <c r="AN1251" s="77"/>
      <c r="AO1251" s="77"/>
      <c r="AP1251" s="77"/>
      <c r="AQ1251" s="77"/>
      <c r="AR1251" s="77"/>
      <c r="AS1251" s="77"/>
      <c r="AT1251" s="77"/>
      <c r="AU1251" s="77"/>
      <c r="AV1251" s="80" t="str">
        <f>HYPERLINK("https://pbs.twimg.com/profile_images/1041725334431952896/uaPtkYSp_normal.jpg")</f>
        <v>https://pbs.twimg.com/profile_images/1041725334431952896/uaPtkYSp_normal.jpg</v>
      </c>
      <c r="AW1251" s="82" t="s">
        <v>14346</v>
      </c>
      <c r="AX1251" s="82" t="s">
        <v>14346</v>
      </c>
      <c r="AY1251" s="77"/>
      <c r="AZ1251" s="82" t="s">
        <v>17385</v>
      </c>
      <c r="BA1251" s="82" t="s">
        <v>17385</v>
      </c>
      <c r="BB1251" s="82" t="s">
        <v>17385</v>
      </c>
      <c r="BC1251" s="82" t="s">
        <v>14346</v>
      </c>
      <c r="BD1251" s="82" t="s">
        <v>17550</v>
      </c>
      <c r="BE1251" s="77"/>
      <c r="BF1251" s="77"/>
      <c r="BG1251" s="77"/>
      <c r="BH1251" s="77"/>
      <c r="BI1251" s="77"/>
    </row>
    <row r="1252" spans="1:61" x14ac:dyDescent="0.25">
      <c r="A1252" s="62" t="s">
        <v>425</v>
      </c>
      <c r="B1252" s="62" t="s">
        <v>425</v>
      </c>
      <c r="C1252" s="63"/>
      <c r="D1252" s="64"/>
      <c r="E1252" s="65"/>
      <c r="F1252" s="66"/>
      <c r="G1252" s="63"/>
      <c r="H1252" s="67"/>
      <c r="I1252" s="68"/>
      <c r="J1252" s="68"/>
      <c r="K1252" s="32"/>
      <c r="L1252" s="75">
        <v>1252</v>
      </c>
      <c r="M1252" s="75"/>
      <c r="N1252" s="70"/>
      <c r="O1252" s="77" t="s">
        <v>179</v>
      </c>
      <c r="P1252" s="79">
        <v>45163.766886574071</v>
      </c>
      <c r="Q1252" s="77" t="s">
        <v>2043</v>
      </c>
      <c r="R1252" s="77">
        <v>0</v>
      </c>
      <c r="S1252" s="77">
        <v>0</v>
      </c>
      <c r="T1252" s="77">
        <v>0</v>
      </c>
      <c r="U1252" s="77">
        <v>0</v>
      </c>
      <c r="V1252" s="77">
        <v>283</v>
      </c>
      <c r="W1252" s="82" t="s">
        <v>5475</v>
      </c>
      <c r="X1252" s="80" t="str">
        <f>HYPERLINK("https://www.seudinheiro.com/2023/empresas/mercado-livre-meli34-e-a-maior-aposta-da-encore-asset-carteira-da-gestora-miql/")</f>
        <v>https://www.seudinheiro.com/2023/empresas/mercado-livre-meli34-e-a-maior-aposta-da-encore-asset-carteira-da-gestora-miql/</v>
      </c>
      <c r="Y1252" s="77" t="s">
        <v>7102</v>
      </c>
      <c r="Z1252" s="77"/>
      <c r="AA1252" s="77"/>
      <c r="AB1252" s="77"/>
      <c r="AC1252" s="82" t="s">
        <v>8255</v>
      </c>
      <c r="AD1252" s="77" t="s">
        <v>8278</v>
      </c>
      <c r="AE1252" s="80" t="str">
        <f>HYPERLINK("https://twitter.com/seu_dinheiro_br/status/1695140059874226385")</f>
        <v>https://twitter.com/seu_dinheiro_br/status/1695140059874226385</v>
      </c>
      <c r="AF1252" s="79">
        <v>45163.766886574071</v>
      </c>
      <c r="AG1252" s="85">
        <v>45163</v>
      </c>
      <c r="AH1252" s="82" t="s">
        <v>9399</v>
      </c>
      <c r="AI1252" s="77" t="b">
        <v>0</v>
      </c>
      <c r="AJ1252" s="77"/>
      <c r="AK1252" s="77"/>
      <c r="AL1252" s="77"/>
      <c r="AM1252" s="77"/>
      <c r="AN1252" s="77"/>
      <c r="AO1252" s="77"/>
      <c r="AP1252" s="77"/>
      <c r="AQ1252" s="77"/>
      <c r="AR1252" s="77"/>
      <c r="AS1252" s="77"/>
      <c r="AT1252" s="77"/>
      <c r="AU1252" s="77"/>
      <c r="AV1252" s="80" t="str">
        <f>HYPERLINK("https://pbs.twimg.com/profile_images/1041725334431952896/uaPtkYSp_normal.jpg")</f>
        <v>https://pbs.twimg.com/profile_images/1041725334431952896/uaPtkYSp_normal.jpg</v>
      </c>
      <c r="AW1252" s="82" t="s">
        <v>14347</v>
      </c>
      <c r="AX1252" s="82" t="s">
        <v>14347</v>
      </c>
      <c r="AY1252" s="77"/>
      <c r="AZ1252" s="82" t="s">
        <v>17385</v>
      </c>
      <c r="BA1252" s="82" t="s">
        <v>17385</v>
      </c>
      <c r="BB1252" s="82" t="s">
        <v>17385</v>
      </c>
      <c r="BC1252" s="82" t="s">
        <v>14347</v>
      </c>
      <c r="BD1252" s="82" t="s">
        <v>17550</v>
      </c>
      <c r="BE1252" s="77"/>
      <c r="BF1252" s="77"/>
      <c r="BG1252" s="77"/>
      <c r="BH1252" s="77"/>
      <c r="BI1252" s="77"/>
    </row>
    <row r="1253" spans="1:61" x14ac:dyDescent="0.25">
      <c r="A1253" s="62" t="s">
        <v>425</v>
      </c>
      <c r="B1253" s="62" t="s">
        <v>425</v>
      </c>
      <c r="C1253" s="63"/>
      <c r="D1253" s="64"/>
      <c r="E1253" s="65"/>
      <c r="F1253" s="66"/>
      <c r="G1253" s="63"/>
      <c r="H1253" s="67"/>
      <c r="I1253" s="68"/>
      <c r="J1253" s="68"/>
      <c r="K1253" s="32"/>
      <c r="L1253" s="75">
        <v>1253</v>
      </c>
      <c r="M1253" s="75"/>
      <c r="N1253" s="70"/>
      <c r="O1253" s="77" t="s">
        <v>179</v>
      </c>
      <c r="P1253" s="79">
        <v>45156.796157407407</v>
      </c>
      <c r="Q1253" s="77" t="s">
        <v>2044</v>
      </c>
      <c r="R1253" s="77">
        <v>0</v>
      </c>
      <c r="S1253" s="77">
        <v>0</v>
      </c>
      <c r="T1253" s="77">
        <v>1</v>
      </c>
      <c r="U1253" s="77">
        <v>0</v>
      </c>
      <c r="V1253" s="77">
        <v>323</v>
      </c>
      <c r="W1253" s="82" t="s">
        <v>5479</v>
      </c>
      <c r="X1253" s="80" t="str">
        <f>HYPERLINK("https://www.seudinheiro.com/2023/empresas/acoes-xp-investimentos-btg-rens/")</f>
        <v>https://www.seudinheiro.com/2023/empresas/acoes-xp-investimentos-btg-rens/</v>
      </c>
      <c r="Y1253" s="77" t="s">
        <v>7102</v>
      </c>
      <c r="Z1253" s="77"/>
      <c r="AA1253" s="77"/>
      <c r="AB1253" s="77"/>
      <c r="AC1253" s="82" t="s">
        <v>8255</v>
      </c>
      <c r="AD1253" s="77" t="s">
        <v>8278</v>
      </c>
      <c r="AE1253" s="80" t="str">
        <f>HYPERLINK("https://twitter.com/seu_dinheiro_br/status/1692613954478932044")</f>
        <v>https://twitter.com/seu_dinheiro_br/status/1692613954478932044</v>
      </c>
      <c r="AF1253" s="79">
        <v>45156.796157407407</v>
      </c>
      <c r="AG1253" s="85">
        <v>45156</v>
      </c>
      <c r="AH1253" s="82" t="s">
        <v>9400</v>
      </c>
      <c r="AI1253" s="77" t="b">
        <v>0</v>
      </c>
      <c r="AJ1253" s="77"/>
      <c r="AK1253" s="77"/>
      <c r="AL1253" s="77"/>
      <c r="AM1253" s="77"/>
      <c r="AN1253" s="77"/>
      <c r="AO1253" s="77"/>
      <c r="AP1253" s="77"/>
      <c r="AQ1253" s="77"/>
      <c r="AR1253" s="77"/>
      <c r="AS1253" s="77"/>
      <c r="AT1253" s="77"/>
      <c r="AU1253" s="77"/>
      <c r="AV1253" s="80" t="str">
        <f>HYPERLINK("https://pbs.twimg.com/profile_images/1041725334431952896/uaPtkYSp_normal.jpg")</f>
        <v>https://pbs.twimg.com/profile_images/1041725334431952896/uaPtkYSp_normal.jpg</v>
      </c>
      <c r="AW1253" s="82" t="s">
        <v>14348</v>
      </c>
      <c r="AX1253" s="82" t="s">
        <v>14348</v>
      </c>
      <c r="AY1253" s="77"/>
      <c r="AZ1253" s="82" t="s">
        <v>17385</v>
      </c>
      <c r="BA1253" s="82" t="s">
        <v>17385</v>
      </c>
      <c r="BB1253" s="82" t="s">
        <v>17385</v>
      </c>
      <c r="BC1253" s="82" t="s">
        <v>14348</v>
      </c>
      <c r="BD1253" s="82" t="s">
        <v>17550</v>
      </c>
      <c r="BE1253" s="77"/>
      <c r="BF1253" s="77"/>
      <c r="BG1253" s="77"/>
      <c r="BH1253" s="77"/>
      <c r="BI1253" s="77"/>
    </row>
    <row r="1254" spans="1:61" x14ac:dyDescent="0.25">
      <c r="A1254" s="62" t="s">
        <v>425</v>
      </c>
      <c r="B1254" s="62" t="s">
        <v>425</v>
      </c>
      <c r="C1254" s="63"/>
      <c r="D1254" s="64"/>
      <c r="E1254" s="65"/>
      <c r="F1254" s="66"/>
      <c r="G1254" s="63"/>
      <c r="H1254" s="67"/>
      <c r="I1254" s="68"/>
      <c r="J1254" s="68"/>
      <c r="K1254" s="32"/>
      <c r="L1254" s="75">
        <v>1254</v>
      </c>
      <c r="M1254" s="75"/>
      <c r="N1254" s="70"/>
      <c r="O1254" s="77" t="s">
        <v>179</v>
      </c>
      <c r="P1254" s="79">
        <v>45156.579189814816</v>
      </c>
      <c r="Q1254" s="77" t="s">
        <v>2045</v>
      </c>
      <c r="R1254" s="77">
        <v>0</v>
      </c>
      <c r="S1254" s="77">
        <v>0</v>
      </c>
      <c r="T1254" s="77">
        <v>0</v>
      </c>
      <c r="U1254" s="77">
        <v>0</v>
      </c>
      <c r="V1254" s="77">
        <v>197</v>
      </c>
      <c r="W1254" s="82" t="s">
        <v>5474</v>
      </c>
      <c r="X1254" s="80" t="str">
        <f>HYPERLINK("https://www.seudinheiro.com/2023/colunistas/o-erro-do-trader-que-opera-pelas-manchetes-vinp/")</f>
        <v>https://www.seudinheiro.com/2023/colunistas/o-erro-do-trader-que-opera-pelas-manchetes-vinp/</v>
      </c>
      <c r="Y1254" s="77" t="s">
        <v>7102</v>
      </c>
      <c r="Z1254" s="77"/>
      <c r="AA1254" s="77"/>
      <c r="AB1254" s="77"/>
      <c r="AC1254" s="82" t="s">
        <v>8255</v>
      </c>
      <c r="AD1254" s="77" t="s">
        <v>8278</v>
      </c>
      <c r="AE1254" s="80" t="str">
        <f>HYPERLINK("https://twitter.com/seu_dinheiro_br/status/1692535326852407310")</f>
        <v>https://twitter.com/seu_dinheiro_br/status/1692535326852407310</v>
      </c>
      <c r="AF1254" s="79">
        <v>45156.579189814816</v>
      </c>
      <c r="AG1254" s="85">
        <v>45156</v>
      </c>
      <c r="AH1254" s="82" t="s">
        <v>9401</v>
      </c>
      <c r="AI1254" s="77" t="b">
        <v>0</v>
      </c>
      <c r="AJ1254" s="77"/>
      <c r="AK1254" s="77"/>
      <c r="AL1254" s="77"/>
      <c r="AM1254" s="77"/>
      <c r="AN1254" s="77"/>
      <c r="AO1254" s="77"/>
      <c r="AP1254" s="77"/>
      <c r="AQ1254" s="77"/>
      <c r="AR1254" s="77"/>
      <c r="AS1254" s="77"/>
      <c r="AT1254" s="77"/>
      <c r="AU1254" s="77"/>
      <c r="AV1254" s="80" t="str">
        <f>HYPERLINK("https://pbs.twimg.com/profile_images/1041725334431952896/uaPtkYSp_normal.jpg")</f>
        <v>https://pbs.twimg.com/profile_images/1041725334431952896/uaPtkYSp_normal.jpg</v>
      </c>
      <c r="AW1254" s="82" t="s">
        <v>14349</v>
      </c>
      <c r="AX1254" s="82" t="s">
        <v>14349</v>
      </c>
      <c r="AY1254" s="77"/>
      <c r="AZ1254" s="82" t="s">
        <v>17385</v>
      </c>
      <c r="BA1254" s="82" t="s">
        <v>17385</v>
      </c>
      <c r="BB1254" s="82" t="s">
        <v>17385</v>
      </c>
      <c r="BC1254" s="82" t="s">
        <v>14349</v>
      </c>
      <c r="BD1254" s="82" t="s">
        <v>17550</v>
      </c>
      <c r="BE1254" s="77"/>
      <c r="BF1254" s="77"/>
      <c r="BG1254" s="77"/>
      <c r="BH1254" s="77"/>
      <c r="BI1254" s="77"/>
    </row>
    <row r="1255" spans="1:61" x14ac:dyDescent="0.25">
      <c r="A1255" s="62" t="s">
        <v>425</v>
      </c>
      <c r="B1255" s="62" t="s">
        <v>425</v>
      </c>
      <c r="C1255" s="63"/>
      <c r="D1255" s="64"/>
      <c r="E1255" s="65"/>
      <c r="F1255" s="66"/>
      <c r="G1255" s="63"/>
      <c r="H1255" s="67"/>
      <c r="I1255" s="68"/>
      <c r="J1255" s="68"/>
      <c r="K1255" s="32"/>
      <c r="L1255" s="75">
        <v>1255</v>
      </c>
      <c r="M1255" s="75"/>
      <c r="N1255" s="70"/>
      <c r="O1255" s="77" t="s">
        <v>179</v>
      </c>
      <c r="P1255" s="79">
        <v>45156.49009259259</v>
      </c>
      <c r="Q1255" s="77" t="s">
        <v>2046</v>
      </c>
      <c r="R1255" s="77">
        <v>0</v>
      </c>
      <c r="S1255" s="77">
        <v>0</v>
      </c>
      <c r="T1255" s="77">
        <v>0</v>
      </c>
      <c r="U1255" s="77">
        <v>0</v>
      </c>
      <c r="V1255" s="77">
        <v>223</v>
      </c>
      <c r="W1255" s="82" t="s">
        <v>5475</v>
      </c>
      <c r="X1255" s="80" t="str">
        <f>HYPERLINK("https://www.seudinheiro.com/2023/colunistas/day-trade-na-b3-acao-da-tim-tims3-pode-render-lucro-hoje-18-08-miql/")</f>
        <v>https://www.seudinheiro.com/2023/colunistas/day-trade-na-b3-acao-da-tim-tims3-pode-render-lucro-hoje-18-08-miql/</v>
      </c>
      <c r="Y1255" s="77" t="s">
        <v>7102</v>
      </c>
      <c r="Z1255" s="77"/>
      <c r="AA1255" s="77"/>
      <c r="AB1255" s="77"/>
      <c r="AC1255" s="82" t="s">
        <v>8255</v>
      </c>
      <c r="AD1255" s="77" t="s">
        <v>8278</v>
      </c>
      <c r="AE1255" s="80" t="str">
        <f>HYPERLINK("https://twitter.com/seu_dinheiro_br/status/1692503038827610315")</f>
        <v>https://twitter.com/seu_dinheiro_br/status/1692503038827610315</v>
      </c>
      <c r="AF1255" s="79">
        <v>45156.49009259259</v>
      </c>
      <c r="AG1255" s="85">
        <v>45156</v>
      </c>
      <c r="AH1255" s="82" t="s">
        <v>9402</v>
      </c>
      <c r="AI1255" s="77" t="b">
        <v>0</v>
      </c>
      <c r="AJ1255" s="77"/>
      <c r="AK1255" s="77"/>
      <c r="AL1255" s="77"/>
      <c r="AM1255" s="77"/>
      <c r="AN1255" s="77"/>
      <c r="AO1255" s="77"/>
      <c r="AP1255" s="77"/>
      <c r="AQ1255" s="77"/>
      <c r="AR1255" s="77"/>
      <c r="AS1255" s="77"/>
      <c r="AT1255" s="77"/>
      <c r="AU1255" s="77"/>
      <c r="AV1255" s="80" t="str">
        <f>HYPERLINK("https://pbs.twimg.com/profile_images/1041725334431952896/uaPtkYSp_normal.jpg")</f>
        <v>https://pbs.twimg.com/profile_images/1041725334431952896/uaPtkYSp_normal.jpg</v>
      </c>
      <c r="AW1255" s="82" t="s">
        <v>14350</v>
      </c>
      <c r="AX1255" s="82" t="s">
        <v>14350</v>
      </c>
      <c r="AY1255" s="77"/>
      <c r="AZ1255" s="82" t="s">
        <v>17385</v>
      </c>
      <c r="BA1255" s="82" t="s">
        <v>17385</v>
      </c>
      <c r="BB1255" s="82" t="s">
        <v>17385</v>
      </c>
      <c r="BC1255" s="82" t="s">
        <v>14350</v>
      </c>
      <c r="BD1255" s="82" t="s">
        <v>17550</v>
      </c>
      <c r="BE1255" s="77"/>
      <c r="BF1255" s="77"/>
      <c r="BG1255" s="77"/>
      <c r="BH1255" s="77"/>
      <c r="BI1255" s="77"/>
    </row>
    <row r="1256" spans="1:61" x14ac:dyDescent="0.25">
      <c r="A1256" s="62" t="s">
        <v>425</v>
      </c>
      <c r="B1256" s="62" t="s">
        <v>425</v>
      </c>
      <c r="C1256" s="63"/>
      <c r="D1256" s="64"/>
      <c r="E1256" s="65"/>
      <c r="F1256" s="66"/>
      <c r="G1256" s="63"/>
      <c r="H1256" s="67"/>
      <c r="I1256" s="68"/>
      <c r="J1256" s="68"/>
      <c r="K1256" s="32"/>
      <c r="L1256" s="75">
        <v>1256</v>
      </c>
      <c r="M1256" s="75"/>
      <c r="N1256" s="70"/>
      <c r="O1256" s="77" t="s">
        <v>179</v>
      </c>
      <c r="P1256" s="79">
        <v>45155.683506944442</v>
      </c>
      <c r="Q1256" s="77" t="s">
        <v>2047</v>
      </c>
      <c r="R1256" s="77">
        <v>0</v>
      </c>
      <c r="S1256" s="77">
        <v>1</v>
      </c>
      <c r="T1256" s="77">
        <v>0</v>
      </c>
      <c r="U1256" s="77">
        <v>0</v>
      </c>
      <c r="V1256" s="77">
        <v>225</v>
      </c>
      <c r="W1256" s="82" t="s">
        <v>5492</v>
      </c>
      <c r="X1256" s="80" t="str">
        <f>HYPERLINK("https://www.seudinheiro.com/2023/empresas/stone-stoc31-acoes-levam-um-tombo-apos-lucro-subir-quase-500-no-2t23-quem-e-o-vilao-dessa-queda-ccgg/")</f>
        <v>https://www.seudinheiro.com/2023/empresas/stone-stoc31-acoes-levam-um-tombo-apos-lucro-subir-quase-500-no-2t23-quem-e-o-vilao-dessa-queda-ccgg/</v>
      </c>
      <c r="Y1256" s="77" t="s">
        <v>7102</v>
      </c>
      <c r="Z1256" s="77"/>
      <c r="AA1256" s="77"/>
      <c r="AB1256" s="77"/>
      <c r="AC1256" s="82" t="s">
        <v>8255</v>
      </c>
      <c r="AD1256" s="77" t="s">
        <v>8278</v>
      </c>
      <c r="AE1256" s="80" t="str">
        <f>HYPERLINK("https://twitter.com/seu_dinheiro_br/status/1692210742932516867")</f>
        <v>https://twitter.com/seu_dinheiro_br/status/1692210742932516867</v>
      </c>
      <c r="AF1256" s="79">
        <v>45155.683506944442</v>
      </c>
      <c r="AG1256" s="85">
        <v>45155</v>
      </c>
      <c r="AH1256" s="82" t="s">
        <v>9403</v>
      </c>
      <c r="AI1256" s="77" t="b">
        <v>0</v>
      </c>
      <c r="AJ1256" s="77"/>
      <c r="AK1256" s="77"/>
      <c r="AL1256" s="77"/>
      <c r="AM1256" s="77"/>
      <c r="AN1256" s="77"/>
      <c r="AO1256" s="77"/>
      <c r="AP1256" s="77"/>
      <c r="AQ1256" s="77"/>
      <c r="AR1256" s="77"/>
      <c r="AS1256" s="77"/>
      <c r="AT1256" s="77"/>
      <c r="AU1256" s="77"/>
      <c r="AV1256" s="80" t="str">
        <f>HYPERLINK("https://pbs.twimg.com/profile_images/1041725334431952896/uaPtkYSp_normal.jpg")</f>
        <v>https://pbs.twimg.com/profile_images/1041725334431952896/uaPtkYSp_normal.jpg</v>
      </c>
      <c r="AW1256" s="82" t="s">
        <v>14351</v>
      </c>
      <c r="AX1256" s="82" t="s">
        <v>14351</v>
      </c>
      <c r="AY1256" s="77"/>
      <c r="AZ1256" s="82" t="s">
        <v>17385</v>
      </c>
      <c r="BA1256" s="82" t="s">
        <v>17385</v>
      </c>
      <c r="BB1256" s="82" t="s">
        <v>17385</v>
      </c>
      <c r="BC1256" s="82" t="s">
        <v>14351</v>
      </c>
      <c r="BD1256" s="82" t="s">
        <v>17550</v>
      </c>
      <c r="BE1256" s="77"/>
      <c r="BF1256" s="77"/>
      <c r="BG1256" s="77"/>
      <c r="BH1256" s="77"/>
      <c r="BI1256" s="77"/>
    </row>
    <row r="1257" spans="1:61" x14ac:dyDescent="0.25">
      <c r="A1257" s="62" t="s">
        <v>425</v>
      </c>
      <c r="B1257" s="62" t="s">
        <v>425</v>
      </c>
      <c r="C1257" s="63"/>
      <c r="D1257" s="64"/>
      <c r="E1257" s="65"/>
      <c r="F1257" s="66"/>
      <c r="G1257" s="63"/>
      <c r="H1257" s="67"/>
      <c r="I1257" s="68"/>
      <c r="J1257" s="68"/>
      <c r="K1257" s="32"/>
      <c r="L1257" s="75">
        <v>1257</v>
      </c>
      <c r="M1257" s="75"/>
      <c r="N1257" s="70"/>
      <c r="O1257" s="77" t="s">
        <v>179</v>
      </c>
      <c r="P1257" s="79">
        <v>45147.771655092591</v>
      </c>
      <c r="Q1257" s="77" t="s">
        <v>2048</v>
      </c>
      <c r="R1257" s="77">
        <v>0</v>
      </c>
      <c r="S1257" s="77">
        <v>2</v>
      </c>
      <c r="T1257" s="77">
        <v>0</v>
      </c>
      <c r="U1257" s="77">
        <v>0</v>
      </c>
      <c r="V1257" s="77">
        <v>366</v>
      </c>
      <c r="W1257" s="82" t="s">
        <v>5492</v>
      </c>
      <c r="X1257" s="80" t="str">
        <f>HYPERLINK("https://www.seudinheiro.com/2023/empresas/bank-of-america-eleva-o-preco-alvo-do-inter-antes-do-balanco-o-que-o-banco-americano-viu-nos-papeis-inbr32-ccgg/")</f>
        <v>https://www.seudinheiro.com/2023/empresas/bank-of-america-eleva-o-preco-alvo-do-inter-antes-do-balanco-o-que-o-banco-americano-viu-nos-papeis-inbr32-ccgg/</v>
      </c>
      <c r="Y1257" s="77" t="s">
        <v>7102</v>
      </c>
      <c r="Z1257" s="77"/>
      <c r="AA1257" s="77"/>
      <c r="AB1257" s="77"/>
      <c r="AC1257" s="82" t="s">
        <v>8255</v>
      </c>
      <c r="AD1257" s="77" t="s">
        <v>8278</v>
      </c>
      <c r="AE1257" s="80" t="str">
        <f>HYPERLINK("https://twitter.com/seu_dinheiro_br/status/1689343584321916928")</f>
        <v>https://twitter.com/seu_dinheiro_br/status/1689343584321916928</v>
      </c>
      <c r="AF1257" s="79">
        <v>45147.771655092591</v>
      </c>
      <c r="AG1257" s="85">
        <v>45147</v>
      </c>
      <c r="AH1257" s="82" t="s">
        <v>9404</v>
      </c>
      <c r="AI1257" s="77" t="b">
        <v>0</v>
      </c>
      <c r="AJ1257" s="77"/>
      <c r="AK1257" s="77"/>
      <c r="AL1257" s="77"/>
      <c r="AM1257" s="77"/>
      <c r="AN1257" s="77"/>
      <c r="AO1257" s="77"/>
      <c r="AP1257" s="77"/>
      <c r="AQ1257" s="77"/>
      <c r="AR1257" s="77"/>
      <c r="AS1257" s="77"/>
      <c r="AT1257" s="77"/>
      <c r="AU1257" s="77"/>
      <c r="AV1257" s="80" t="str">
        <f>HYPERLINK("https://pbs.twimg.com/profile_images/1041725334431952896/uaPtkYSp_normal.jpg")</f>
        <v>https://pbs.twimg.com/profile_images/1041725334431952896/uaPtkYSp_normal.jpg</v>
      </c>
      <c r="AW1257" s="82" t="s">
        <v>14352</v>
      </c>
      <c r="AX1257" s="82" t="s">
        <v>14352</v>
      </c>
      <c r="AY1257" s="77"/>
      <c r="AZ1257" s="82" t="s">
        <v>17385</v>
      </c>
      <c r="BA1257" s="82" t="s">
        <v>17385</v>
      </c>
      <c r="BB1257" s="82" t="s">
        <v>17385</v>
      </c>
      <c r="BC1257" s="82" t="s">
        <v>14352</v>
      </c>
      <c r="BD1257" s="82" t="s">
        <v>17550</v>
      </c>
      <c r="BE1257" s="77"/>
      <c r="BF1257" s="77"/>
      <c r="BG1257" s="77"/>
      <c r="BH1257" s="77"/>
      <c r="BI1257" s="77"/>
    </row>
    <row r="1258" spans="1:61" x14ac:dyDescent="0.25">
      <c r="A1258" s="62" t="s">
        <v>425</v>
      </c>
      <c r="B1258" s="62" t="s">
        <v>425</v>
      </c>
      <c r="C1258" s="63"/>
      <c r="D1258" s="64"/>
      <c r="E1258" s="65"/>
      <c r="F1258" s="66"/>
      <c r="G1258" s="63"/>
      <c r="H1258" s="67"/>
      <c r="I1258" s="68"/>
      <c r="J1258" s="68"/>
      <c r="K1258" s="32"/>
      <c r="L1258" s="75">
        <v>1258</v>
      </c>
      <c r="M1258" s="75"/>
      <c r="N1258" s="70"/>
      <c r="O1258" s="77" t="s">
        <v>179</v>
      </c>
      <c r="P1258" s="79">
        <v>45147.457766203705</v>
      </c>
      <c r="Q1258" s="77" t="s">
        <v>2049</v>
      </c>
      <c r="R1258" s="77">
        <v>0</v>
      </c>
      <c r="S1258" s="77">
        <v>1</v>
      </c>
      <c r="T1258" s="77">
        <v>0</v>
      </c>
      <c r="U1258" s="77">
        <v>0</v>
      </c>
      <c r="V1258" s="77">
        <v>320</v>
      </c>
      <c r="W1258" s="82" t="s">
        <v>5475</v>
      </c>
      <c r="X1258" s="80" t="str">
        <f>HYPERLINK("https://www.seudinheiro.com/2023/colunistas/day-trade-na-b3-acao-da-cosan-csan3-pode-render-lucro-hoje-09-08-miql/")</f>
        <v>https://www.seudinheiro.com/2023/colunistas/day-trade-na-b3-acao-da-cosan-csan3-pode-render-lucro-hoje-09-08-miql/</v>
      </c>
      <c r="Y1258" s="77" t="s">
        <v>7102</v>
      </c>
      <c r="Z1258" s="77"/>
      <c r="AA1258" s="77"/>
      <c r="AB1258" s="77"/>
      <c r="AC1258" s="82" t="s">
        <v>8255</v>
      </c>
      <c r="AD1258" s="77" t="s">
        <v>8278</v>
      </c>
      <c r="AE1258" s="80" t="str">
        <f>HYPERLINK("https://twitter.com/seu_dinheiro_br/status/1689229834927435776")</f>
        <v>https://twitter.com/seu_dinheiro_br/status/1689229834927435776</v>
      </c>
      <c r="AF1258" s="79">
        <v>45147.457766203705</v>
      </c>
      <c r="AG1258" s="85">
        <v>45147</v>
      </c>
      <c r="AH1258" s="82" t="s">
        <v>9405</v>
      </c>
      <c r="AI1258" s="77" t="b">
        <v>0</v>
      </c>
      <c r="AJ1258" s="77"/>
      <c r="AK1258" s="77"/>
      <c r="AL1258" s="77"/>
      <c r="AM1258" s="77"/>
      <c r="AN1258" s="77"/>
      <c r="AO1258" s="77"/>
      <c r="AP1258" s="77"/>
      <c r="AQ1258" s="77"/>
      <c r="AR1258" s="77"/>
      <c r="AS1258" s="77"/>
      <c r="AT1258" s="77"/>
      <c r="AU1258" s="77"/>
      <c r="AV1258" s="80" t="str">
        <f>HYPERLINK("https://pbs.twimg.com/profile_images/1041725334431952896/uaPtkYSp_normal.jpg")</f>
        <v>https://pbs.twimg.com/profile_images/1041725334431952896/uaPtkYSp_normal.jpg</v>
      </c>
      <c r="AW1258" s="82" t="s">
        <v>14353</v>
      </c>
      <c r="AX1258" s="82" t="s">
        <v>14353</v>
      </c>
      <c r="AY1258" s="77"/>
      <c r="AZ1258" s="82" t="s">
        <v>17385</v>
      </c>
      <c r="BA1258" s="82" t="s">
        <v>17385</v>
      </c>
      <c r="BB1258" s="82" t="s">
        <v>17385</v>
      </c>
      <c r="BC1258" s="82" t="s">
        <v>14353</v>
      </c>
      <c r="BD1258" s="82" t="s">
        <v>17550</v>
      </c>
      <c r="BE1258" s="77"/>
      <c r="BF1258" s="77"/>
      <c r="BG1258" s="77"/>
      <c r="BH1258" s="77"/>
      <c r="BI1258" s="77"/>
    </row>
    <row r="1259" spans="1:61" x14ac:dyDescent="0.25">
      <c r="A1259" s="62" t="s">
        <v>425</v>
      </c>
      <c r="B1259" s="62" t="s">
        <v>425</v>
      </c>
      <c r="C1259" s="63"/>
      <c r="D1259" s="64"/>
      <c r="E1259" s="65"/>
      <c r="F1259" s="66"/>
      <c r="G1259" s="63"/>
      <c r="H1259" s="67"/>
      <c r="I1259" s="68"/>
      <c r="J1259" s="68"/>
      <c r="K1259" s="32"/>
      <c r="L1259" s="75">
        <v>1259</v>
      </c>
      <c r="M1259" s="75"/>
      <c r="N1259" s="70"/>
      <c r="O1259" s="77" t="s">
        <v>179</v>
      </c>
      <c r="P1259" s="79">
        <v>45147.443981481483</v>
      </c>
      <c r="Q1259" s="77" t="s">
        <v>2050</v>
      </c>
      <c r="R1259" s="77">
        <v>0</v>
      </c>
      <c r="S1259" s="77">
        <v>0</v>
      </c>
      <c r="T1259" s="77">
        <v>0</v>
      </c>
      <c r="U1259" s="77">
        <v>0</v>
      </c>
      <c r="V1259" s="77">
        <v>387</v>
      </c>
      <c r="W1259" s="82" t="s">
        <v>5492</v>
      </c>
      <c r="X1259" s="80" t="str">
        <f>HYPERLINK("https://www.seudinheiro.com/2023/empresas/btg-pactual-bpac11-lucro-2t23-vinp/")</f>
        <v>https://www.seudinheiro.com/2023/empresas/btg-pactual-bpac11-lucro-2t23-vinp/</v>
      </c>
      <c r="Y1259" s="77" t="s">
        <v>7102</v>
      </c>
      <c r="Z1259" s="77"/>
      <c r="AA1259" s="77"/>
      <c r="AB1259" s="77"/>
      <c r="AC1259" s="82" t="s">
        <v>8255</v>
      </c>
      <c r="AD1259" s="77" t="s">
        <v>8278</v>
      </c>
      <c r="AE1259" s="80" t="str">
        <f>HYPERLINK("https://twitter.com/seu_dinheiro_br/status/1689224840278888448")</f>
        <v>https://twitter.com/seu_dinheiro_br/status/1689224840278888448</v>
      </c>
      <c r="AF1259" s="79">
        <v>45147.443981481483</v>
      </c>
      <c r="AG1259" s="85">
        <v>45147</v>
      </c>
      <c r="AH1259" s="82" t="s">
        <v>9406</v>
      </c>
      <c r="AI1259" s="77" t="b">
        <v>0</v>
      </c>
      <c r="AJ1259" s="77"/>
      <c r="AK1259" s="77"/>
      <c r="AL1259" s="77"/>
      <c r="AM1259" s="77"/>
      <c r="AN1259" s="77"/>
      <c r="AO1259" s="77"/>
      <c r="AP1259" s="77"/>
      <c r="AQ1259" s="77"/>
      <c r="AR1259" s="77"/>
      <c r="AS1259" s="77"/>
      <c r="AT1259" s="77"/>
      <c r="AU1259" s="77"/>
      <c r="AV1259" s="80" t="str">
        <f>HYPERLINK("https://pbs.twimg.com/profile_images/1041725334431952896/uaPtkYSp_normal.jpg")</f>
        <v>https://pbs.twimg.com/profile_images/1041725334431952896/uaPtkYSp_normal.jpg</v>
      </c>
      <c r="AW1259" s="82" t="s">
        <v>14354</v>
      </c>
      <c r="AX1259" s="82" t="s">
        <v>14354</v>
      </c>
      <c r="AY1259" s="77"/>
      <c r="AZ1259" s="82" t="s">
        <v>17385</v>
      </c>
      <c r="BA1259" s="82" t="s">
        <v>17385</v>
      </c>
      <c r="BB1259" s="82" t="s">
        <v>17385</v>
      </c>
      <c r="BC1259" s="82" t="s">
        <v>14354</v>
      </c>
      <c r="BD1259" s="82" t="s">
        <v>17550</v>
      </c>
      <c r="BE1259" s="77"/>
      <c r="BF1259" s="77"/>
      <c r="BG1259" s="77"/>
      <c r="BH1259" s="77"/>
      <c r="BI1259" s="77"/>
    </row>
    <row r="1260" spans="1:61" x14ac:dyDescent="0.25">
      <c r="A1260" s="62" t="s">
        <v>425</v>
      </c>
      <c r="B1260" s="62" t="s">
        <v>425</v>
      </c>
      <c r="C1260" s="63"/>
      <c r="D1260" s="64"/>
      <c r="E1260" s="65"/>
      <c r="F1260" s="66"/>
      <c r="G1260" s="63"/>
      <c r="H1260" s="67"/>
      <c r="I1260" s="68"/>
      <c r="J1260" s="68"/>
      <c r="K1260" s="32"/>
      <c r="L1260" s="75">
        <v>1260</v>
      </c>
      <c r="M1260" s="75"/>
      <c r="N1260" s="70"/>
      <c r="O1260" s="77" t="s">
        <v>179</v>
      </c>
      <c r="P1260" s="79">
        <v>45146.967662037037</v>
      </c>
      <c r="Q1260" s="77" t="s">
        <v>2051</v>
      </c>
      <c r="R1260" s="77">
        <v>1</v>
      </c>
      <c r="S1260" s="77">
        <v>2</v>
      </c>
      <c r="T1260" s="77">
        <v>0</v>
      </c>
      <c r="U1260" s="77">
        <v>0</v>
      </c>
      <c r="V1260" s="77">
        <v>472</v>
      </c>
      <c r="W1260" s="82" t="s">
        <v>5615</v>
      </c>
      <c r="X1260" s="80" t="str">
        <f>HYPERLINK("https://www.seudinheiro.com/2023/empresas/grupo-pao-de-acucar-bdrs-exito-rens/")</f>
        <v>https://www.seudinheiro.com/2023/empresas/grupo-pao-de-acucar-bdrs-exito-rens/</v>
      </c>
      <c r="Y1260" s="77" t="s">
        <v>7102</v>
      </c>
      <c r="Z1260" s="77"/>
      <c r="AA1260" s="77"/>
      <c r="AB1260" s="77"/>
      <c r="AC1260" s="82" t="s">
        <v>8255</v>
      </c>
      <c r="AD1260" s="77" t="s">
        <v>8278</v>
      </c>
      <c r="AE1260" s="80" t="str">
        <f>HYPERLINK("https://twitter.com/seu_dinheiro_br/status/1689052228445716481")</f>
        <v>https://twitter.com/seu_dinheiro_br/status/1689052228445716481</v>
      </c>
      <c r="AF1260" s="79">
        <v>45146.967662037037</v>
      </c>
      <c r="AG1260" s="85">
        <v>45146</v>
      </c>
      <c r="AH1260" s="82" t="s">
        <v>9407</v>
      </c>
      <c r="AI1260" s="77" t="b">
        <v>0</v>
      </c>
      <c r="AJ1260" s="77"/>
      <c r="AK1260" s="77"/>
      <c r="AL1260" s="77"/>
      <c r="AM1260" s="77"/>
      <c r="AN1260" s="77"/>
      <c r="AO1260" s="77"/>
      <c r="AP1260" s="77"/>
      <c r="AQ1260" s="77"/>
      <c r="AR1260" s="77"/>
      <c r="AS1260" s="77"/>
      <c r="AT1260" s="77"/>
      <c r="AU1260" s="77"/>
      <c r="AV1260" s="80" t="str">
        <f>HYPERLINK("https://pbs.twimg.com/profile_images/1041725334431952896/uaPtkYSp_normal.jpg")</f>
        <v>https://pbs.twimg.com/profile_images/1041725334431952896/uaPtkYSp_normal.jpg</v>
      </c>
      <c r="AW1260" s="82" t="s">
        <v>14355</v>
      </c>
      <c r="AX1260" s="82" t="s">
        <v>14355</v>
      </c>
      <c r="AY1260" s="77"/>
      <c r="AZ1260" s="82" t="s">
        <v>17385</v>
      </c>
      <c r="BA1260" s="82" t="s">
        <v>17385</v>
      </c>
      <c r="BB1260" s="82" t="s">
        <v>17385</v>
      </c>
      <c r="BC1260" s="82" t="s">
        <v>14355</v>
      </c>
      <c r="BD1260" s="82" t="s">
        <v>17550</v>
      </c>
      <c r="BE1260" s="77"/>
      <c r="BF1260" s="77"/>
      <c r="BG1260" s="77"/>
      <c r="BH1260" s="77"/>
      <c r="BI1260" s="77"/>
    </row>
    <row r="1261" spans="1:61" x14ac:dyDescent="0.25">
      <c r="A1261" s="62" t="s">
        <v>425</v>
      </c>
      <c r="B1261" s="62" t="s">
        <v>425</v>
      </c>
      <c r="C1261" s="63"/>
      <c r="D1261" s="64"/>
      <c r="E1261" s="65"/>
      <c r="F1261" s="66"/>
      <c r="G1261" s="63"/>
      <c r="H1261" s="67"/>
      <c r="I1261" s="68"/>
      <c r="J1261" s="68"/>
      <c r="K1261" s="32"/>
      <c r="L1261" s="75">
        <v>1261</v>
      </c>
      <c r="M1261" s="75"/>
      <c r="N1261" s="70"/>
      <c r="O1261" s="77" t="s">
        <v>179</v>
      </c>
      <c r="P1261" s="79">
        <v>45146.909895833334</v>
      </c>
      <c r="Q1261" s="77" t="s">
        <v>2052</v>
      </c>
      <c r="R1261" s="77">
        <v>0</v>
      </c>
      <c r="S1261" s="77">
        <v>2</v>
      </c>
      <c r="T1261" s="77">
        <v>0</v>
      </c>
      <c r="U1261" s="77">
        <v>0</v>
      </c>
      <c r="V1261" s="77">
        <v>352</v>
      </c>
      <c r="W1261" s="82" t="s">
        <v>5616</v>
      </c>
      <c r="X1261" s="80" t="str">
        <f>HYPERLINK("https://www.seudinheiro.com/2023/empresas/cvc-cvcb3-prejuizo-2t23/")</f>
        <v>https://www.seudinheiro.com/2023/empresas/cvc-cvcb3-prejuizo-2t23/</v>
      </c>
      <c r="Y1261" s="77" t="s">
        <v>7102</v>
      </c>
      <c r="Z1261" s="77"/>
      <c r="AA1261" s="77"/>
      <c r="AB1261" s="77"/>
      <c r="AC1261" s="82" t="s">
        <v>8255</v>
      </c>
      <c r="AD1261" s="77" t="s">
        <v>8278</v>
      </c>
      <c r="AE1261" s="80" t="str">
        <f>HYPERLINK("https://twitter.com/seu_dinheiro_br/status/1689031293722304513")</f>
        <v>https://twitter.com/seu_dinheiro_br/status/1689031293722304513</v>
      </c>
      <c r="AF1261" s="79">
        <v>45146.909895833334</v>
      </c>
      <c r="AG1261" s="85">
        <v>45146</v>
      </c>
      <c r="AH1261" s="82" t="s">
        <v>9408</v>
      </c>
      <c r="AI1261" s="77" t="b">
        <v>0</v>
      </c>
      <c r="AJ1261" s="77"/>
      <c r="AK1261" s="77"/>
      <c r="AL1261" s="77"/>
      <c r="AM1261" s="77"/>
      <c r="AN1261" s="77"/>
      <c r="AO1261" s="77"/>
      <c r="AP1261" s="77"/>
      <c r="AQ1261" s="77"/>
      <c r="AR1261" s="77"/>
      <c r="AS1261" s="77"/>
      <c r="AT1261" s="77"/>
      <c r="AU1261" s="77"/>
      <c r="AV1261" s="80" t="str">
        <f>HYPERLINK("https://pbs.twimg.com/profile_images/1041725334431952896/uaPtkYSp_normal.jpg")</f>
        <v>https://pbs.twimg.com/profile_images/1041725334431952896/uaPtkYSp_normal.jpg</v>
      </c>
      <c r="AW1261" s="82" t="s">
        <v>14356</v>
      </c>
      <c r="AX1261" s="82" t="s">
        <v>14356</v>
      </c>
      <c r="AY1261" s="77"/>
      <c r="AZ1261" s="82" t="s">
        <v>17385</v>
      </c>
      <c r="BA1261" s="82" t="s">
        <v>17385</v>
      </c>
      <c r="BB1261" s="82" t="s">
        <v>17385</v>
      </c>
      <c r="BC1261" s="82" t="s">
        <v>14356</v>
      </c>
      <c r="BD1261" s="82" t="s">
        <v>17550</v>
      </c>
      <c r="BE1261" s="77"/>
      <c r="BF1261" s="77"/>
      <c r="BG1261" s="77"/>
      <c r="BH1261" s="77"/>
      <c r="BI1261" s="77"/>
    </row>
    <row r="1262" spans="1:61" x14ac:dyDescent="0.25">
      <c r="A1262" s="62" t="s">
        <v>425</v>
      </c>
      <c r="B1262" s="62" t="s">
        <v>425</v>
      </c>
      <c r="C1262" s="63"/>
      <c r="D1262" s="64"/>
      <c r="E1262" s="65"/>
      <c r="F1262" s="66"/>
      <c r="G1262" s="63"/>
      <c r="H1262" s="67"/>
      <c r="I1262" s="68"/>
      <c r="J1262" s="68"/>
      <c r="K1262" s="32"/>
      <c r="L1262" s="75">
        <v>1262</v>
      </c>
      <c r="M1262" s="75"/>
      <c r="N1262" s="70"/>
      <c r="O1262" s="77" t="s">
        <v>179</v>
      </c>
      <c r="P1262" s="79">
        <v>45146.765266203707</v>
      </c>
      <c r="Q1262" s="77" t="s">
        <v>2053</v>
      </c>
      <c r="R1262" s="77">
        <v>1</v>
      </c>
      <c r="S1262" s="77">
        <v>3</v>
      </c>
      <c r="T1262" s="77">
        <v>1</v>
      </c>
      <c r="U1262" s="77">
        <v>0</v>
      </c>
      <c r="V1262" s="77">
        <v>248</v>
      </c>
      <c r="W1262" s="82" t="s">
        <v>5548</v>
      </c>
      <c r="X1262" s="80" t="str">
        <f>HYPERLINK("https://www.seudinheiro.com/2023/empresas/eletrobras-elet3-tem-melhor-balanco-desde-a-privatizacao-santander-miql-rsgp-lils/")</f>
        <v>https://www.seudinheiro.com/2023/empresas/eletrobras-elet3-tem-melhor-balanco-desde-a-privatizacao-santander-miql-rsgp-lils/</v>
      </c>
      <c r="Y1262" s="77" t="s">
        <v>7102</v>
      </c>
      <c r="Z1262" s="77"/>
      <c r="AA1262" s="77"/>
      <c r="AB1262" s="77"/>
      <c r="AC1262" s="82" t="s">
        <v>8255</v>
      </c>
      <c r="AD1262" s="77" t="s">
        <v>8278</v>
      </c>
      <c r="AE1262" s="80" t="str">
        <f>HYPERLINK("https://twitter.com/seu_dinheiro_br/status/1688978878579068929")</f>
        <v>https://twitter.com/seu_dinheiro_br/status/1688978878579068929</v>
      </c>
      <c r="AF1262" s="79">
        <v>45146.765266203707</v>
      </c>
      <c r="AG1262" s="85">
        <v>45146</v>
      </c>
      <c r="AH1262" s="82" t="s">
        <v>9409</v>
      </c>
      <c r="AI1262" s="77" t="b">
        <v>0</v>
      </c>
      <c r="AJ1262" s="77"/>
      <c r="AK1262" s="77"/>
      <c r="AL1262" s="77"/>
      <c r="AM1262" s="77"/>
      <c r="AN1262" s="77"/>
      <c r="AO1262" s="77"/>
      <c r="AP1262" s="77"/>
      <c r="AQ1262" s="77"/>
      <c r="AR1262" s="77"/>
      <c r="AS1262" s="77"/>
      <c r="AT1262" s="77"/>
      <c r="AU1262" s="77"/>
      <c r="AV1262" s="80" t="str">
        <f>HYPERLINK("https://pbs.twimg.com/profile_images/1041725334431952896/uaPtkYSp_normal.jpg")</f>
        <v>https://pbs.twimg.com/profile_images/1041725334431952896/uaPtkYSp_normal.jpg</v>
      </c>
      <c r="AW1262" s="82" t="s">
        <v>14357</v>
      </c>
      <c r="AX1262" s="82" t="s">
        <v>14357</v>
      </c>
      <c r="AY1262" s="77"/>
      <c r="AZ1262" s="82" t="s">
        <v>17385</v>
      </c>
      <c r="BA1262" s="82" t="s">
        <v>17385</v>
      </c>
      <c r="BB1262" s="82" t="s">
        <v>17385</v>
      </c>
      <c r="BC1262" s="82" t="s">
        <v>14357</v>
      </c>
      <c r="BD1262" s="82" t="s">
        <v>17550</v>
      </c>
      <c r="BE1262" s="77"/>
      <c r="BF1262" s="77"/>
      <c r="BG1262" s="77"/>
      <c r="BH1262" s="77"/>
      <c r="BI1262" s="77"/>
    </row>
    <row r="1263" spans="1:61" x14ac:dyDescent="0.25">
      <c r="A1263" s="62" t="s">
        <v>425</v>
      </c>
      <c r="B1263" s="62" t="s">
        <v>425</v>
      </c>
      <c r="C1263" s="63"/>
      <c r="D1263" s="64"/>
      <c r="E1263" s="65"/>
      <c r="F1263" s="66"/>
      <c r="G1263" s="63"/>
      <c r="H1263" s="67"/>
      <c r="I1263" s="68"/>
      <c r="J1263" s="68"/>
      <c r="K1263" s="32"/>
      <c r="L1263" s="75">
        <v>1263</v>
      </c>
      <c r="M1263" s="75"/>
      <c r="N1263" s="70"/>
      <c r="O1263" s="77" t="s">
        <v>179</v>
      </c>
      <c r="P1263" s="79">
        <v>45146.759768518517</v>
      </c>
      <c r="Q1263" s="77" t="s">
        <v>2054</v>
      </c>
      <c r="R1263" s="77">
        <v>1</v>
      </c>
      <c r="S1263" s="77">
        <v>1</v>
      </c>
      <c r="T1263" s="77">
        <v>0</v>
      </c>
      <c r="U1263" s="77">
        <v>0</v>
      </c>
      <c r="V1263" s="77">
        <v>243</v>
      </c>
      <c r="W1263" s="82" t="s">
        <v>5531</v>
      </c>
      <c r="X1263" s="80" t="str">
        <f>HYPERLINK("https://www.seudinheiro.com/2023/empresas/locaweb-bank-of-america-melhora-recomendacao-e-acoes-lideram-alta-do-ibovespa-por-que-o-banco-esta-tao-otimista-com-lwsa3-ccgg/")</f>
        <v>https://www.seudinheiro.com/2023/empresas/locaweb-bank-of-america-melhora-recomendacao-e-acoes-lideram-alta-do-ibovespa-por-que-o-banco-esta-tao-otimista-com-lwsa3-ccgg/</v>
      </c>
      <c r="Y1263" s="77" t="s">
        <v>7102</v>
      </c>
      <c r="Z1263" s="77"/>
      <c r="AA1263" s="77"/>
      <c r="AB1263" s="77"/>
      <c r="AC1263" s="82" t="s">
        <v>8255</v>
      </c>
      <c r="AD1263" s="77" t="s">
        <v>8278</v>
      </c>
      <c r="AE1263" s="80" t="str">
        <f>HYPERLINK("https://twitter.com/seu_dinheiro_br/status/1688976888880832512")</f>
        <v>https://twitter.com/seu_dinheiro_br/status/1688976888880832512</v>
      </c>
      <c r="AF1263" s="79">
        <v>45146.759768518517</v>
      </c>
      <c r="AG1263" s="85">
        <v>45146</v>
      </c>
      <c r="AH1263" s="82" t="s">
        <v>9410</v>
      </c>
      <c r="AI1263" s="77" t="b">
        <v>0</v>
      </c>
      <c r="AJ1263" s="77"/>
      <c r="AK1263" s="77"/>
      <c r="AL1263" s="77"/>
      <c r="AM1263" s="77"/>
      <c r="AN1263" s="77"/>
      <c r="AO1263" s="77"/>
      <c r="AP1263" s="77"/>
      <c r="AQ1263" s="77"/>
      <c r="AR1263" s="77"/>
      <c r="AS1263" s="77"/>
      <c r="AT1263" s="77"/>
      <c r="AU1263" s="77"/>
      <c r="AV1263" s="80" t="str">
        <f>HYPERLINK("https://pbs.twimg.com/profile_images/1041725334431952896/uaPtkYSp_normal.jpg")</f>
        <v>https://pbs.twimg.com/profile_images/1041725334431952896/uaPtkYSp_normal.jpg</v>
      </c>
      <c r="AW1263" s="82" t="s">
        <v>14358</v>
      </c>
      <c r="AX1263" s="82" t="s">
        <v>14358</v>
      </c>
      <c r="AY1263" s="77"/>
      <c r="AZ1263" s="82" t="s">
        <v>17385</v>
      </c>
      <c r="BA1263" s="82" t="s">
        <v>17385</v>
      </c>
      <c r="BB1263" s="82" t="s">
        <v>17385</v>
      </c>
      <c r="BC1263" s="82" t="s">
        <v>14358</v>
      </c>
      <c r="BD1263" s="82" t="s">
        <v>17550</v>
      </c>
      <c r="BE1263" s="77"/>
      <c r="BF1263" s="77"/>
      <c r="BG1263" s="77"/>
      <c r="BH1263" s="77"/>
      <c r="BI1263" s="77"/>
    </row>
    <row r="1264" spans="1:61" x14ac:dyDescent="0.25">
      <c r="A1264" s="62" t="s">
        <v>425</v>
      </c>
      <c r="B1264" s="62" t="s">
        <v>425</v>
      </c>
      <c r="C1264" s="63"/>
      <c r="D1264" s="64"/>
      <c r="E1264" s="65"/>
      <c r="F1264" s="66"/>
      <c r="G1264" s="63"/>
      <c r="H1264" s="67"/>
      <c r="I1264" s="68"/>
      <c r="J1264" s="68"/>
      <c r="K1264" s="32"/>
      <c r="L1264" s="75">
        <v>1264</v>
      </c>
      <c r="M1264" s="75"/>
      <c r="N1264" s="70"/>
      <c r="O1264" s="77" t="s">
        <v>179</v>
      </c>
      <c r="P1264" s="79">
        <v>45146.749965277777</v>
      </c>
      <c r="Q1264" s="77" t="s">
        <v>2055</v>
      </c>
      <c r="R1264" s="77">
        <v>0</v>
      </c>
      <c r="S1264" s="77">
        <v>2</v>
      </c>
      <c r="T1264" s="77">
        <v>0</v>
      </c>
      <c r="U1264" s="77">
        <v>0</v>
      </c>
      <c r="V1264" s="77">
        <v>201</v>
      </c>
      <c r="W1264" s="82" t="s">
        <v>5617</v>
      </c>
      <c r="X1264" s="80" t="str">
        <f>HYPERLINK("https://www.seudinheiro.com/2023/bolsa-dolar/fundo-verde-aposta-na-queda-do-dolar-apesar-da-selic-menor-vinp/")</f>
        <v>https://www.seudinheiro.com/2023/bolsa-dolar/fundo-verde-aposta-na-queda-do-dolar-apesar-da-selic-menor-vinp/</v>
      </c>
      <c r="Y1264" s="77" t="s">
        <v>7102</v>
      </c>
      <c r="Z1264" s="77"/>
      <c r="AA1264" s="77"/>
      <c r="AB1264" s="77"/>
      <c r="AC1264" s="82" t="s">
        <v>8255</v>
      </c>
      <c r="AD1264" s="77" t="s">
        <v>8278</v>
      </c>
      <c r="AE1264" s="80" t="str">
        <f>HYPERLINK("https://twitter.com/seu_dinheiro_br/status/1688973334925479940")</f>
        <v>https://twitter.com/seu_dinheiro_br/status/1688973334925479940</v>
      </c>
      <c r="AF1264" s="79">
        <v>45146.749965277777</v>
      </c>
      <c r="AG1264" s="85">
        <v>45146</v>
      </c>
      <c r="AH1264" s="82" t="s">
        <v>9411</v>
      </c>
      <c r="AI1264" s="77" t="b">
        <v>0</v>
      </c>
      <c r="AJ1264" s="77"/>
      <c r="AK1264" s="77"/>
      <c r="AL1264" s="77"/>
      <c r="AM1264" s="77"/>
      <c r="AN1264" s="77"/>
      <c r="AO1264" s="77"/>
      <c r="AP1264" s="77"/>
      <c r="AQ1264" s="77"/>
      <c r="AR1264" s="77"/>
      <c r="AS1264" s="77"/>
      <c r="AT1264" s="77"/>
      <c r="AU1264" s="77"/>
      <c r="AV1264" s="80" t="str">
        <f>HYPERLINK("https://pbs.twimg.com/profile_images/1041725334431952896/uaPtkYSp_normal.jpg")</f>
        <v>https://pbs.twimg.com/profile_images/1041725334431952896/uaPtkYSp_normal.jpg</v>
      </c>
      <c r="AW1264" s="82" t="s">
        <v>14359</v>
      </c>
      <c r="AX1264" s="82" t="s">
        <v>14359</v>
      </c>
      <c r="AY1264" s="77"/>
      <c r="AZ1264" s="82" t="s">
        <v>17385</v>
      </c>
      <c r="BA1264" s="82" t="s">
        <v>17385</v>
      </c>
      <c r="BB1264" s="82" t="s">
        <v>17385</v>
      </c>
      <c r="BC1264" s="82" t="s">
        <v>14359</v>
      </c>
      <c r="BD1264" s="82" t="s">
        <v>17550</v>
      </c>
      <c r="BE1264" s="77"/>
      <c r="BF1264" s="77"/>
      <c r="BG1264" s="77"/>
      <c r="BH1264" s="77"/>
      <c r="BI1264" s="77"/>
    </row>
    <row r="1265" spans="1:61" x14ac:dyDescent="0.25">
      <c r="A1265" s="62" t="s">
        <v>425</v>
      </c>
      <c r="B1265" s="62" t="s">
        <v>425</v>
      </c>
      <c r="C1265" s="63"/>
      <c r="D1265" s="64"/>
      <c r="E1265" s="65"/>
      <c r="F1265" s="66"/>
      <c r="G1265" s="63"/>
      <c r="H1265" s="67"/>
      <c r="I1265" s="68"/>
      <c r="J1265" s="68"/>
      <c r="K1265" s="32"/>
      <c r="L1265" s="75">
        <v>1265</v>
      </c>
      <c r="M1265" s="75"/>
      <c r="N1265" s="70"/>
      <c r="O1265" s="77" t="s">
        <v>179</v>
      </c>
      <c r="P1265" s="79">
        <v>45146.661053240743</v>
      </c>
      <c r="Q1265" s="77" t="s">
        <v>2056</v>
      </c>
      <c r="R1265" s="77">
        <v>0</v>
      </c>
      <c r="S1265" s="77">
        <v>1</v>
      </c>
      <c r="T1265" s="77">
        <v>0</v>
      </c>
      <c r="U1265" s="77">
        <v>0</v>
      </c>
      <c r="V1265" s="77">
        <v>359</v>
      </c>
      <c r="W1265" s="82" t="s">
        <v>5548</v>
      </c>
      <c r="X1265" s="80" t="str">
        <f>HYPERLINK("https://www.seudinheiro.com/2023/empresas/onde-o-calo-aperta-com-balanco-2t23-acao-da-centauro-sbfg3-despenca-na-b3-miql/")</f>
        <v>https://www.seudinheiro.com/2023/empresas/onde-o-calo-aperta-com-balanco-2t23-acao-da-centauro-sbfg3-despenca-na-b3-miql/</v>
      </c>
      <c r="Y1265" s="77" t="s">
        <v>7102</v>
      </c>
      <c r="Z1265" s="77"/>
      <c r="AA1265" s="77"/>
      <c r="AB1265" s="77"/>
      <c r="AC1265" s="82" t="s">
        <v>8255</v>
      </c>
      <c r="AD1265" s="77" t="s">
        <v>8278</v>
      </c>
      <c r="AE1265" s="80" t="str">
        <f>HYPERLINK("https://twitter.com/seu_dinheiro_br/status/1688941114684813313")</f>
        <v>https://twitter.com/seu_dinheiro_br/status/1688941114684813313</v>
      </c>
      <c r="AF1265" s="79">
        <v>45146.661053240743</v>
      </c>
      <c r="AG1265" s="85">
        <v>45146</v>
      </c>
      <c r="AH1265" s="82" t="s">
        <v>9412</v>
      </c>
      <c r="AI1265" s="77" t="b">
        <v>0</v>
      </c>
      <c r="AJ1265" s="77"/>
      <c r="AK1265" s="77"/>
      <c r="AL1265" s="77"/>
      <c r="AM1265" s="77"/>
      <c r="AN1265" s="77"/>
      <c r="AO1265" s="77"/>
      <c r="AP1265" s="77"/>
      <c r="AQ1265" s="77"/>
      <c r="AR1265" s="77"/>
      <c r="AS1265" s="77"/>
      <c r="AT1265" s="77"/>
      <c r="AU1265" s="77"/>
      <c r="AV1265" s="80" t="str">
        <f>HYPERLINK("https://pbs.twimg.com/profile_images/1041725334431952896/uaPtkYSp_normal.jpg")</f>
        <v>https://pbs.twimg.com/profile_images/1041725334431952896/uaPtkYSp_normal.jpg</v>
      </c>
      <c r="AW1265" s="82" t="s">
        <v>14360</v>
      </c>
      <c r="AX1265" s="82" t="s">
        <v>14360</v>
      </c>
      <c r="AY1265" s="77"/>
      <c r="AZ1265" s="82" t="s">
        <v>17385</v>
      </c>
      <c r="BA1265" s="82" t="s">
        <v>17385</v>
      </c>
      <c r="BB1265" s="82" t="s">
        <v>17385</v>
      </c>
      <c r="BC1265" s="82" t="s">
        <v>14360</v>
      </c>
      <c r="BD1265" s="82" t="s">
        <v>17550</v>
      </c>
      <c r="BE1265" s="77"/>
      <c r="BF1265" s="77"/>
      <c r="BG1265" s="77"/>
      <c r="BH1265" s="77"/>
      <c r="BI1265" s="77"/>
    </row>
    <row r="1266" spans="1:61" x14ac:dyDescent="0.25">
      <c r="A1266" s="62" t="s">
        <v>425</v>
      </c>
      <c r="B1266" s="62" t="s">
        <v>425</v>
      </c>
      <c r="C1266" s="63"/>
      <c r="D1266" s="64"/>
      <c r="E1266" s="65"/>
      <c r="F1266" s="66"/>
      <c r="G1266" s="63"/>
      <c r="H1266" s="67"/>
      <c r="I1266" s="68"/>
      <c r="J1266" s="68"/>
      <c r="K1266" s="32"/>
      <c r="L1266" s="75">
        <v>1266</v>
      </c>
      <c r="M1266" s="75"/>
      <c r="N1266" s="70"/>
      <c r="O1266" s="77" t="s">
        <v>179</v>
      </c>
      <c r="P1266" s="79">
        <v>45146.431620370371</v>
      </c>
      <c r="Q1266" s="77" t="s">
        <v>2057</v>
      </c>
      <c r="R1266" s="77">
        <v>0</v>
      </c>
      <c r="S1266" s="77">
        <v>1</v>
      </c>
      <c r="T1266" s="77">
        <v>0</v>
      </c>
      <c r="U1266" s="77">
        <v>0</v>
      </c>
      <c r="V1266" s="77">
        <v>406</v>
      </c>
      <c r="W1266" s="82" t="s">
        <v>5475</v>
      </c>
      <c r="X1266" s="80" t="str">
        <f>HYPERLINK("https://www.seudinheiro.com/2023/colunistas/day-trade-na-b3-acoes-da-neoenergia-neoe3-lucro-hoje-recomendacao-08-08-miql/")</f>
        <v>https://www.seudinheiro.com/2023/colunistas/day-trade-na-b3-acoes-da-neoenergia-neoe3-lucro-hoje-recomendacao-08-08-miql/</v>
      </c>
      <c r="Y1266" s="77" t="s">
        <v>7102</v>
      </c>
      <c r="Z1266" s="77"/>
      <c r="AA1266" s="77"/>
      <c r="AB1266" s="77"/>
      <c r="AC1266" s="82" t="s">
        <v>8255</v>
      </c>
      <c r="AD1266" s="77" t="s">
        <v>8278</v>
      </c>
      <c r="AE1266" s="80" t="str">
        <f>HYPERLINK("https://twitter.com/seu_dinheiro_br/status/1688857971940261888")</f>
        <v>https://twitter.com/seu_dinheiro_br/status/1688857971940261888</v>
      </c>
      <c r="AF1266" s="79">
        <v>45146.431620370371</v>
      </c>
      <c r="AG1266" s="85">
        <v>45146</v>
      </c>
      <c r="AH1266" s="82" t="s">
        <v>9413</v>
      </c>
      <c r="AI1266" s="77" t="b">
        <v>0</v>
      </c>
      <c r="AJ1266" s="77"/>
      <c r="AK1266" s="77"/>
      <c r="AL1266" s="77"/>
      <c r="AM1266" s="77"/>
      <c r="AN1266" s="77"/>
      <c r="AO1266" s="77"/>
      <c r="AP1266" s="77"/>
      <c r="AQ1266" s="77"/>
      <c r="AR1266" s="77"/>
      <c r="AS1266" s="77"/>
      <c r="AT1266" s="77"/>
      <c r="AU1266" s="77"/>
      <c r="AV1266" s="80" t="str">
        <f>HYPERLINK("https://pbs.twimg.com/profile_images/1041725334431952896/uaPtkYSp_normal.jpg")</f>
        <v>https://pbs.twimg.com/profile_images/1041725334431952896/uaPtkYSp_normal.jpg</v>
      </c>
      <c r="AW1266" s="82" t="s">
        <v>14361</v>
      </c>
      <c r="AX1266" s="82" t="s">
        <v>14361</v>
      </c>
      <c r="AY1266" s="77"/>
      <c r="AZ1266" s="82" t="s">
        <v>17385</v>
      </c>
      <c r="BA1266" s="82" t="s">
        <v>17385</v>
      </c>
      <c r="BB1266" s="82" t="s">
        <v>17385</v>
      </c>
      <c r="BC1266" s="82" t="s">
        <v>14361</v>
      </c>
      <c r="BD1266" s="82" t="s">
        <v>17550</v>
      </c>
      <c r="BE1266" s="77"/>
      <c r="BF1266" s="77"/>
      <c r="BG1266" s="77"/>
      <c r="BH1266" s="77"/>
      <c r="BI1266" s="77"/>
    </row>
    <row r="1267" spans="1:61" x14ac:dyDescent="0.25">
      <c r="A1267" s="62" t="s">
        <v>425</v>
      </c>
      <c r="B1267" s="62" t="s">
        <v>425</v>
      </c>
      <c r="C1267" s="63"/>
      <c r="D1267" s="64"/>
      <c r="E1267" s="65"/>
      <c r="F1267" s="66"/>
      <c r="G1267" s="63"/>
      <c r="H1267" s="67"/>
      <c r="I1267" s="68"/>
      <c r="J1267" s="68"/>
      <c r="K1267" s="32"/>
      <c r="L1267" s="75">
        <v>1267</v>
      </c>
      <c r="M1267" s="75"/>
      <c r="N1267" s="70"/>
      <c r="O1267" s="77" t="s">
        <v>179</v>
      </c>
      <c r="P1267" s="79">
        <v>45145.961030092592</v>
      </c>
      <c r="Q1267" s="77" t="s">
        <v>2058</v>
      </c>
      <c r="R1267" s="77">
        <v>0</v>
      </c>
      <c r="S1267" s="77">
        <v>1</v>
      </c>
      <c r="T1267" s="77">
        <v>0</v>
      </c>
      <c r="U1267" s="77">
        <v>0</v>
      </c>
      <c r="V1267" s="77">
        <v>274</v>
      </c>
      <c r="W1267" s="82" t="s">
        <v>5494</v>
      </c>
      <c r="X1267" s="80" t="str">
        <f>HYPERLINK("https://www.seudinheiro.com/2023/colunistas/ibovespa-a-200-mil-pontos-e-possivel-vvka/")</f>
        <v>https://www.seudinheiro.com/2023/colunistas/ibovespa-a-200-mil-pontos-e-possivel-vvka/</v>
      </c>
      <c r="Y1267" s="77" t="s">
        <v>7102</v>
      </c>
      <c r="Z1267" s="77"/>
      <c r="AA1267" s="77"/>
      <c r="AB1267" s="77"/>
      <c r="AC1267" s="82" t="s">
        <v>8255</v>
      </c>
      <c r="AD1267" s="77" t="s">
        <v>8278</v>
      </c>
      <c r="AE1267" s="80" t="str">
        <f>HYPERLINK("https://twitter.com/seu_dinheiro_br/status/1688687435931107328")</f>
        <v>https://twitter.com/seu_dinheiro_br/status/1688687435931107328</v>
      </c>
      <c r="AF1267" s="79">
        <v>45145.961030092592</v>
      </c>
      <c r="AG1267" s="85">
        <v>45145</v>
      </c>
      <c r="AH1267" s="82" t="s">
        <v>9414</v>
      </c>
      <c r="AI1267" s="77" t="b">
        <v>0</v>
      </c>
      <c r="AJ1267" s="77"/>
      <c r="AK1267" s="77"/>
      <c r="AL1267" s="77"/>
      <c r="AM1267" s="77"/>
      <c r="AN1267" s="77"/>
      <c r="AO1267" s="77"/>
      <c r="AP1267" s="77"/>
      <c r="AQ1267" s="77"/>
      <c r="AR1267" s="77"/>
      <c r="AS1267" s="77"/>
      <c r="AT1267" s="77"/>
      <c r="AU1267" s="77"/>
      <c r="AV1267" s="80" t="str">
        <f>HYPERLINK("https://pbs.twimg.com/profile_images/1041725334431952896/uaPtkYSp_normal.jpg")</f>
        <v>https://pbs.twimg.com/profile_images/1041725334431952896/uaPtkYSp_normal.jpg</v>
      </c>
      <c r="AW1267" s="82" t="s">
        <v>14362</v>
      </c>
      <c r="AX1267" s="82" t="s">
        <v>14362</v>
      </c>
      <c r="AY1267" s="77"/>
      <c r="AZ1267" s="82" t="s">
        <v>17385</v>
      </c>
      <c r="BA1267" s="82" t="s">
        <v>17385</v>
      </c>
      <c r="BB1267" s="82" t="s">
        <v>17385</v>
      </c>
      <c r="BC1267" s="82" t="s">
        <v>14362</v>
      </c>
      <c r="BD1267" s="82" t="s">
        <v>17550</v>
      </c>
      <c r="BE1267" s="77"/>
      <c r="BF1267" s="77"/>
      <c r="BG1267" s="77"/>
      <c r="BH1267" s="77"/>
      <c r="BI1267" s="77"/>
    </row>
    <row r="1268" spans="1:61" x14ac:dyDescent="0.25">
      <c r="A1268" s="62" t="s">
        <v>425</v>
      </c>
      <c r="B1268" s="62" t="s">
        <v>425</v>
      </c>
      <c r="C1268" s="63"/>
      <c r="D1268" s="64"/>
      <c r="E1268" s="65"/>
      <c r="F1268" s="66"/>
      <c r="G1268" s="63"/>
      <c r="H1268" s="67"/>
      <c r="I1268" s="68"/>
      <c r="J1268" s="68"/>
      <c r="K1268" s="32"/>
      <c r="L1268" s="75">
        <v>1268</v>
      </c>
      <c r="M1268" s="75"/>
      <c r="N1268" s="70"/>
      <c r="O1268" s="77" t="s">
        <v>179</v>
      </c>
      <c r="P1268" s="79">
        <v>45145.812893518516</v>
      </c>
      <c r="Q1268" s="77" t="s">
        <v>2059</v>
      </c>
      <c r="R1268" s="77">
        <v>1</v>
      </c>
      <c r="S1268" s="77">
        <v>1</v>
      </c>
      <c r="T1268" s="77">
        <v>0</v>
      </c>
      <c r="U1268" s="77">
        <v>0</v>
      </c>
      <c r="V1268" s="77">
        <v>200</v>
      </c>
      <c r="W1268" s="82" t="s">
        <v>5618</v>
      </c>
      <c r="X1268" s="80" t="str">
        <f>HYPERLINK("https://www.seudinheiro.com/2023/empresas/selic-mais-baixa-ajudou-bank-of-america-melhora-recomendacao-para-assai-asai3-e-acao-sobe-na-b3-ccgg/")</f>
        <v>https://www.seudinheiro.com/2023/empresas/selic-mais-baixa-ajudou-bank-of-america-melhora-recomendacao-para-assai-asai3-e-acao-sobe-na-b3-ccgg/</v>
      </c>
      <c r="Y1268" s="77" t="s">
        <v>7102</v>
      </c>
      <c r="Z1268" s="77"/>
      <c r="AA1268" s="77"/>
      <c r="AB1268" s="77"/>
      <c r="AC1268" s="82" t="s">
        <v>8255</v>
      </c>
      <c r="AD1268" s="77" t="s">
        <v>8278</v>
      </c>
      <c r="AE1268" s="80" t="str">
        <f>HYPERLINK("https://twitter.com/seu_dinheiro_br/status/1688633751557857281")</f>
        <v>https://twitter.com/seu_dinheiro_br/status/1688633751557857281</v>
      </c>
      <c r="AF1268" s="79">
        <v>45145.812893518516</v>
      </c>
      <c r="AG1268" s="85">
        <v>45145</v>
      </c>
      <c r="AH1268" s="82" t="s">
        <v>9415</v>
      </c>
      <c r="AI1268" s="77" t="b">
        <v>0</v>
      </c>
      <c r="AJ1268" s="77"/>
      <c r="AK1268" s="77"/>
      <c r="AL1268" s="77"/>
      <c r="AM1268" s="77"/>
      <c r="AN1268" s="77"/>
      <c r="AO1268" s="77"/>
      <c r="AP1268" s="77"/>
      <c r="AQ1268" s="77"/>
      <c r="AR1268" s="77"/>
      <c r="AS1268" s="77"/>
      <c r="AT1268" s="77"/>
      <c r="AU1268" s="77"/>
      <c r="AV1268" s="80" t="str">
        <f>HYPERLINK("https://pbs.twimg.com/profile_images/1041725334431952896/uaPtkYSp_normal.jpg")</f>
        <v>https://pbs.twimg.com/profile_images/1041725334431952896/uaPtkYSp_normal.jpg</v>
      </c>
      <c r="AW1268" s="82" t="s">
        <v>14363</v>
      </c>
      <c r="AX1268" s="82" t="s">
        <v>14363</v>
      </c>
      <c r="AY1268" s="77"/>
      <c r="AZ1268" s="82" t="s">
        <v>17385</v>
      </c>
      <c r="BA1268" s="82" t="s">
        <v>17385</v>
      </c>
      <c r="BB1268" s="82" t="s">
        <v>17385</v>
      </c>
      <c r="BC1268" s="82" t="s">
        <v>14363</v>
      </c>
      <c r="BD1268" s="82" t="s">
        <v>17550</v>
      </c>
      <c r="BE1268" s="77"/>
      <c r="BF1268" s="77"/>
      <c r="BG1268" s="77"/>
      <c r="BH1268" s="77"/>
      <c r="BI1268" s="77"/>
    </row>
    <row r="1269" spans="1:61" x14ac:dyDescent="0.25">
      <c r="A1269" s="62" t="s">
        <v>425</v>
      </c>
      <c r="B1269" s="62" t="s">
        <v>425</v>
      </c>
      <c r="C1269" s="63"/>
      <c r="D1269" s="64"/>
      <c r="E1269" s="65"/>
      <c r="F1269" s="66"/>
      <c r="G1269" s="63"/>
      <c r="H1269" s="67"/>
      <c r="I1269" s="68"/>
      <c r="J1269" s="68"/>
      <c r="K1269" s="32"/>
      <c r="L1269" s="75">
        <v>1269</v>
      </c>
      <c r="M1269" s="75"/>
      <c r="N1269" s="70"/>
      <c r="O1269" s="77" t="s">
        <v>179</v>
      </c>
      <c r="P1269" s="79">
        <v>45145.714201388888</v>
      </c>
      <c r="Q1269" s="77" t="s">
        <v>2060</v>
      </c>
      <c r="R1269" s="77">
        <v>0</v>
      </c>
      <c r="S1269" s="77">
        <v>3</v>
      </c>
      <c r="T1269" s="77">
        <v>0</v>
      </c>
      <c r="U1269" s="77">
        <v>0</v>
      </c>
      <c r="V1269" s="77">
        <v>280</v>
      </c>
      <c r="W1269" s="82" t="s">
        <v>5517</v>
      </c>
      <c r="X1269" s="80" t="str">
        <f>HYPERLINK("https://www.seudinheiro.com/2023/empresas/bb-seguridade-bbse3-a-acao-defensiva-com-potencial-de-crescimento-e-dividendos-gordos-so-em-agosto-serao-pagos-r-32-bilhoes-ccg/")</f>
        <v>https://www.seudinheiro.com/2023/empresas/bb-seguridade-bbse3-a-acao-defensiva-com-potencial-de-crescimento-e-dividendos-gordos-so-em-agosto-serao-pagos-r-32-bilhoes-ccg/</v>
      </c>
      <c r="Y1269" s="77" t="s">
        <v>7102</v>
      </c>
      <c r="Z1269" s="77"/>
      <c r="AA1269" s="77"/>
      <c r="AB1269" s="77"/>
      <c r="AC1269" s="82" t="s">
        <v>8255</v>
      </c>
      <c r="AD1269" s="77" t="s">
        <v>8278</v>
      </c>
      <c r="AE1269" s="80" t="str">
        <f>HYPERLINK("https://twitter.com/seu_dinheiro_br/status/1688597987910467602")</f>
        <v>https://twitter.com/seu_dinheiro_br/status/1688597987910467602</v>
      </c>
      <c r="AF1269" s="79">
        <v>45145.714201388888</v>
      </c>
      <c r="AG1269" s="85">
        <v>45145</v>
      </c>
      <c r="AH1269" s="82" t="s">
        <v>9416</v>
      </c>
      <c r="AI1269" s="77" t="b">
        <v>0</v>
      </c>
      <c r="AJ1269" s="77"/>
      <c r="AK1269" s="77"/>
      <c r="AL1269" s="77"/>
      <c r="AM1269" s="77"/>
      <c r="AN1269" s="77"/>
      <c r="AO1269" s="77"/>
      <c r="AP1269" s="77"/>
      <c r="AQ1269" s="77"/>
      <c r="AR1269" s="77"/>
      <c r="AS1269" s="77"/>
      <c r="AT1269" s="77"/>
      <c r="AU1269" s="77"/>
      <c r="AV1269" s="80" t="str">
        <f>HYPERLINK("https://pbs.twimg.com/profile_images/1041725334431952896/uaPtkYSp_normal.jpg")</f>
        <v>https://pbs.twimg.com/profile_images/1041725334431952896/uaPtkYSp_normal.jpg</v>
      </c>
      <c r="AW1269" s="82" t="s">
        <v>14364</v>
      </c>
      <c r="AX1269" s="82" t="s">
        <v>14364</v>
      </c>
      <c r="AY1269" s="77"/>
      <c r="AZ1269" s="82" t="s">
        <v>17385</v>
      </c>
      <c r="BA1269" s="82" t="s">
        <v>17385</v>
      </c>
      <c r="BB1269" s="82" t="s">
        <v>17385</v>
      </c>
      <c r="BC1269" s="82" t="s">
        <v>14364</v>
      </c>
      <c r="BD1269" s="82" t="s">
        <v>17550</v>
      </c>
      <c r="BE1269" s="77"/>
      <c r="BF1269" s="77"/>
      <c r="BG1269" s="77"/>
      <c r="BH1269" s="77"/>
      <c r="BI1269" s="77"/>
    </row>
    <row r="1270" spans="1:61" x14ac:dyDescent="0.25">
      <c r="A1270" s="62" t="s">
        <v>425</v>
      </c>
      <c r="B1270" s="62" t="s">
        <v>425</v>
      </c>
      <c r="C1270" s="63"/>
      <c r="D1270" s="64"/>
      <c r="E1270" s="65"/>
      <c r="F1270" s="66"/>
      <c r="G1270" s="63"/>
      <c r="H1270" s="67"/>
      <c r="I1270" s="68"/>
      <c r="J1270" s="68"/>
      <c r="K1270" s="32"/>
      <c r="L1270" s="75">
        <v>1270</v>
      </c>
      <c r="M1270" s="75"/>
      <c r="N1270" s="70"/>
      <c r="O1270" s="77" t="s">
        <v>179</v>
      </c>
      <c r="P1270" s="79">
        <v>45114.437939814816</v>
      </c>
      <c r="Q1270" s="77" t="s">
        <v>2061</v>
      </c>
      <c r="R1270" s="77">
        <v>0</v>
      </c>
      <c r="S1270" s="77">
        <v>1</v>
      </c>
      <c r="T1270" s="77">
        <v>0</v>
      </c>
      <c r="U1270" s="77">
        <v>0</v>
      </c>
      <c r="V1270" s="77">
        <v>336</v>
      </c>
      <c r="W1270" s="82" t="s">
        <v>5474</v>
      </c>
      <c r="X1270" s="80" t="str">
        <f>HYPERLINK("https://www.seudinheiro.com/2023/colunistas/day-trade-na-b3-como-lucrar-com-acoes-da-construtora-tenda-tend3-07-07-miql/")</f>
        <v>https://www.seudinheiro.com/2023/colunistas/day-trade-na-b3-como-lucrar-com-acoes-da-construtora-tenda-tend3-07-07-miql/</v>
      </c>
      <c r="Y1270" s="77" t="s">
        <v>7102</v>
      </c>
      <c r="Z1270" s="77"/>
      <c r="AA1270" s="77"/>
      <c r="AB1270" s="77"/>
      <c r="AC1270" s="82" t="s">
        <v>8255</v>
      </c>
      <c r="AD1270" s="77" t="s">
        <v>8278</v>
      </c>
      <c r="AE1270" s="80" t="str">
        <f>HYPERLINK("https://twitter.com/seu_dinheiro_br/status/1677263849227993088")</f>
        <v>https://twitter.com/seu_dinheiro_br/status/1677263849227993088</v>
      </c>
      <c r="AF1270" s="79">
        <v>45114.437939814816</v>
      </c>
      <c r="AG1270" s="85">
        <v>45114</v>
      </c>
      <c r="AH1270" s="82" t="s">
        <v>9417</v>
      </c>
      <c r="AI1270" s="77" t="b">
        <v>0</v>
      </c>
      <c r="AJ1270" s="77"/>
      <c r="AK1270" s="77"/>
      <c r="AL1270" s="77"/>
      <c r="AM1270" s="77"/>
      <c r="AN1270" s="77"/>
      <c r="AO1270" s="77"/>
      <c r="AP1270" s="77"/>
      <c r="AQ1270" s="77"/>
      <c r="AR1270" s="77"/>
      <c r="AS1270" s="77"/>
      <c r="AT1270" s="77"/>
      <c r="AU1270" s="77"/>
      <c r="AV1270" s="80" t="str">
        <f>HYPERLINK("https://pbs.twimg.com/profile_images/1041725334431952896/uaPtkYSp_normal.jpg")</f>
        <v>https://pbs.twimg.com/profile_images/1041725334431952896/uaPtkYSp_normal.jpg</v>
      </c>
      <c r="AW1270" s="82" t="s">
        <v>14365</v>
      </c>
      <c r="AX1270" s="82" t="s">
        <v>14365</v>
      </c>
      <c r="AY1270" s="77"/>
      <c r="AZ1270" s="82" t="s">
        <v>17385</v>
      </c>
      <c r="BA1270" s="82" t="s">
        <v>17385</v>
      </c>
      <c r="BB1270" s="82" t="s">
        <v>17385</v>
      </c>
      <c r="BC1270" s="82" t="s">
        <v>14365</v>
      </c>
      <c r="BD1270" s="82" t="s">
        <v>17550</v>
      </c>
      <c r="BE1270" s="77"/>
      <c r="BF1270" s="77"/>
      <c r="BG1270" s="77"/>
      <c r="BH1270" s="77"/>
      <c r="BI1270" s="77"/>
    </row>
    <row r="1271" spans="1:61" x14ac:dyDescent="0.25">
      <c r="A1271" s="62" t="s">
        <v>425</v>
      </c>
      <c r="B1271" s="62" t="s">
        <v>425</v>
      </c>
      <c r="C1271" s="63"/>
      <c r="D1271" s="64"/>
      <c r="E1271" s="65"/>
      <c r="F1271" s="66"/>
      <c r="G1271" s="63"/>
      <c r="H1271" s="67"/>
      <c r="I1271" s="68"/>
      <c r="J1271" s="68"/>
      <c r="K1271" s="32"/>
      <c r="L1271" s="75">
        <v>1271</v>
      </c>
      <c r="M1271" s="75"/>
      <c r="N1271" s="70"/>
      <c r="O1271" s="77" t="s">
        <v>179</v>
      </c>
      <c r="P1271" s="79">
        <v>45114.414664351854</v>
      </c>
      <c r="Q1271" s="77" t="s">
        <v>2062</v>
      </c>
      <c r="R1271" s="77">
        <v>0</v>
      </c>
      <c r="S1271" s="77">
        <v>1</v>
      </c>
      <c r="T1271" s="77">
        <v>0</v>
      </c>
      <c r="U1271" s="77">
        <v>0</v>
      </c>
      <c r="V1271" s="77">
        <v>290</v>
      </c>
      <c r="W1271" s="82" t="s">
        <v>5558</v>
      </c>
      <c r="X1271" s="80" t="str">
        <f>HYPERLINK("https://www.seudinheiro.com/2023/colunistas/por-que-um-dos-melhores-investimentos-ate-aqui-em-2023-tem-bons-motivos-para-ser-um-dos-melhores-do-segundo-semestre-tambem-ccgg/")</f>
        <v>https://www.seudinheiro.com/2023/colunistas/por-que-um-dos-melhores-investimentos-ate-aqui-em-2023-tem-bons-motivos-para-ser-um-dos-melhores-do-segundo-semestre-tambem-ccgg/</v>
      </c>
      <c r="Y1271" s="77" t="s">
        <v>7102</v>
      </c>
      <c r="Z1271" s="77"/>
      <c r="AA1271" s="77"/>
      <c r="AB1271" s="77"/>
      <c r="AC1271" s="82" t="s">
        <v>8255</v>
      </c>
      <c r="AD1271" s="77" t="s">
        <v>8278</v>
      </c>
      <c r="AE1271" s="80" t="str">
        <f>HYPERLINK("https://twitter.com/seu_dinheiro_br/status/1677255413912203265")</f>
        <v>https://twitter.com/seu_dinheiro_br/status/1677255413912203265</v>
      </c>
      <c r="AF1271" s="79">
        <v>45114.414664351854</v>
      </c>
      <c r="AG1271" s="85">
        <v>45114</v>
      </c>
      <c r="AH1271" s="82" t="s">
        <v>9418</v>
      </c>
      <c r="AI1271" s="77" t="b">
        <v>0</v>
      </c>
      <c r="AJ1271" s="77"/>
      <c r="AK1271" s="77"/>
      <c r="AL1271" s="77"/>
      <c r="AM1271" s="77"/>
      <c r="AN1271" s="77"/>
      <c r="AO1271" s="77"/>
      <c r="AP1271" s="77"/>
      <c r="AQ1271" s="77"/>
      <c r="AR1271" s="77"/>
      <c r="AS1271" s="77"/>
      <c r="AT1271" s="77"/>
      <c r="AU1271" s="77"/>
      <c r="AV1271" s="80" t="str">
        <f>HYPERLINK("https://pbs.twimg.com/profile_images/1041725334431952896/uaPtkYSp_normal.jpg")</f>
        <v>https://pbs.twimg.com/profile_images/1041725334431952896/uaPtkYSp_normal.jpg</v>
      </c>
      <c r="AW1271" s="82" t="s">
        <v>14366</v>
      </c>
      <c r="AX1271" s="82" t="s">
        <v>14366</v>
      </c>
      <c r="AY1271" s="77"/>
      <c r="AZ1271" s="82" t="s">
        <v>17385</v>
      </c>
      <c r="BA1271" s="82" t="s">
        <v>17385</v>
      </c>
      <c r="BB1271" s="82" t="s">
        <v>17385</v>
      </c>
      <c r="BC1271" s="82" t="s">
        <v>14366</v>
      </c>
      <c r="BD1271" s="82" t="s">
        <v>17550</v>
      </c>
      <c r="BE1271" s="77"/>
      <c r="BF1271" s="77"/>
      <c r="BG1271" s="77"/>
      <c r="BH1271" s="77"/>
      <c r="BI1271" s="77"/>
    </row>
    <row r="1272" spans="1:61" x14ac:dyDescent="0.25">
      <c r="A1272" s="62" t="s">
        <v>425</v>
      </c>
      <c r="B1272" s="62" t="s">
        <v>425</v>
      </c>
      <c r="C1272" s="63"/>
      <c r="D1272" s="64"/>
      <c r="E1272" s="65"/>
      <c r="F1272" s="66"/>
      <c r="G1272" s="63"/>
      <c r="H1272" s="67"/>
      <c r="I1272" s="68"/>
      <c r="J1272" s="68"/>
      <c r="K1272" s="32"/>
      <c r="L1272" s="75">
        <v>1272</v>
      </c>
      <c r="M1272" s="75"/>
      <c r="N1272" s="70"/>
      <c r="O1272" s="77" t="s">
        <v>179</v>
      </c>
      <c r="P1272" s="79">
        <v>45113.830034722225</v>
      </c>
      <c r="Q1272" s="77" t="s">
        <v>2063</v>
      </c>
      <c r="R1272" s="77">
        <v>0</v>
      </c>
      <c r="S1272" s="77">
        <v>0</v>
      </c>
      <c r="T1272" s="77">
        <v>0</v>
      </c>
      <c r="U1272" s="77">
        <v>0</v>
      </c>
      <c r="V1272" s="77">
        <v>313</v>
      </c>
      <c r="W1272" s="82" t="s">
        <v>5619</v>
      </c>
      <c r="X1272" s="80" t="str">
        <f>HYPERLINK("https://www.seudinheiro.com/2023/empresas/klabin-klbn11-perde-para-a-suzano-suzb3-na-preferencia-do-itau-bba-sabia-por-que-ccgg/")</f>
        <v>https://www.seudinheiro.com/2023/empresas/klabin-klbn11-perde-para-a-suzano-suzb3-na-preferencia-do-itau-bba-sabia-por-que-ccgg/</v>
      </c>
      <c r="Y1272" s="77" t="s">
        <v>7102</v>
      </c>
      <c r="Z1272" s="77"/>
      <c r="AA1272" s="77"/>
      <c r="AB1272" s="77"/>
      <c r="AC1272" s="82" t="s">
        <v>8255</v>
      </c>
      <c r="AD1272" s="77" t="s">
        <v>8278</v>
      </c>
      <c r="AE1272" s="80" t="str">
        <f>HYPERLINK("https://twitter.com/seu_dinheiro_br/status/1677043554374303747")</f>
        <v>https://twitter.com/seu_dinheiro_br/status/1677043554374303747</v>
      </c>
      <c r="AF1272" s="79">
        <v>45113.830034722225</v>
      </c>
      <c r="AG1272" s="85">
        <v>45113</v>
      </c>
      <c r="AH1272" s="82" t="s">
        <v>9419</v>
      </c>
      <c r="AI1272" s="77" t="b">
        <v>0</v>
      </c>
      <c r="AJ1272" s="77"/>
      <c r="AK1272" s="77"/>
      <c r="AL1272" s="77"/>
      <c r="AM1272" s="77"/>
      <c r="AN1272" s="77"/>
      <c r="AO1272" s="77"/>
      <c r="AP1272" s="77"/>
      <c r="AQ1272" s="77"/>
      <c r="AR1272" s="77"/>
      <c r="AS1272" s="77"/>
      <c r="AT1272" s="77"/>
      <c r="AU1272" s="77"/>
      <c r="AV1272" s="80" t="str">
        <f>HYPERLINK("https://pbs.twimg.com/profile_images/1041725334431952896/uaPtkYSp_normal.jpg")</f>
        <v>https://pbs.twimg.com/profile_images/1041725334431952896/uaPtkYSp_normal.jpg</v>
      </c>
      <c r="AW1272" s="82" t="s">
        <v>14367</v>
      </c>
      <c r="AX1272" s="82" t="s">
        <v>14367</v>
      </c>
      <c r="AY1272" s="77"/>
      <c r="AZ1272" s="82" t="s">
        <v>17385</v>
      </c>
      <c r="BA1272" s="82" t="s">
        <v>17385</v>
      </c>
      <c r="BB1272" s="82" t="s">
        <v>17385</v>
      </c>
      <c r="BC1272" s="82" t="s">
        <v>14367</v>
      </c>
      <c r="BD1272" s="82" t="s">
        <v>17550</v>
      </c>
      <c r="BE1272" s="77"/>
      <c r="BF1272" s="77"/>
      <c r="BG1272" s="77"/>
      <c r="BH1272" s="77"/>
      <c r="BI1272" s="77"/>
    </row>
    <row r="1273" spans="1:61" x14ac:dyDescent="0.25">
      <c r="A1273" s="62" t="s">
        <v>425</v>
      </c>
      <c r="B1273" s="62" t="s">
        <v>425</v>
      </c>
      <c r="C1273" s="63"/>
      <c r="D1273" s="64"/>
      <c r="E1273" s="65"/>
      <c r="F1273" s="66"/>
      <c r="G1273" s="63"/>
      <c r="H1273" s="67"/>
      <c r="I1273" s="68"/>
      <c r="J1273" s="68"/>
      <c r="K1273" s="32"/>
      <c r="L1273" s="75">
        <v>1273</v>
      </c>
      <c r="M1273" s="75"/>
      <c r="N1273" s="70"/>
      <c r="O1273" s="77" t="s">
        <v>179</v>
      </c>
      <c r="P1273" s="79">
        <v>45113.754305555558</v>
      </c>
      <c r="Q1273" s="77" t="s">
        <v>2064</v>
      </c>
      <c r="R1273" s="77">
        <v>0</v>
      </c>
      <c r="S1273" s="77">
        <v>0</v>
      </c>
      <c r="T1273" s="77">
        <v>0</v>
      </c>
      <c r="U1273" s="77">
        <v>0</v>
      </c>
      <c r="V1273" s="77">
        <v>253</v>
      </c>
      <c r="W1273" s="82" t="s">
        <v>5598</v>
      </c>
      <c r="X1273" s="80" t="str">
        <f>HYPERLINK("https://www.seudinheiro.com/2023/bolsa-dolar/gol-goll4-recua-7-e-arrasta-azul-azul4-mas-nao-e-apenas-culpa-do-dolar-o-que-esta-por-tras-da-queda-das-companhias-aereas/")</f>
        <v>https://www.seudinheiro.com/2023/bolsa-dolar/gol-goll4-recua-7-e-arrasta-azul-azul4-mas-nao-e-apenas-culpa-do-dolar-o-que-esta-por-tras-da-queda-das-companhias-aereas/</v>
      </c>
      <c r="Y1273" s="77" t="s">
        <v>7102</v>
      </c>
      <c r="Z1273" s="77"/>
      <c r="AA1273" s="77"/>
      <c r="AB1273" s="77"/>
      <c r="AC1273" s="82" t="s">
        <v>8255</v>
      </c>
      <c r="AD1273" s="77" t="s">
        <v>8278</v>
      </c>
      <c r="AE1273" s="80" t="str">
        <f>HYPERLINK("https://twitter.com/seu_dinheiro_br/status/1677016110044962821")</f>
        <v>https://twitter.com/seu_dinheiro_br/status/1677016110044962821</v>
      </c>
      <c r="AF1273" s="79">
        <v>45113.754305555558</v>
      </c>
      <c r="AG1273" s="85">
        <v>45113</v>
      </c>
      <c r="AH1273" s="82" t="s">
        <v>9420</v>
      </c>
      <c r="AI1273" s="77" t="b">
        <v>0</v>
      </c>
      <c r="AJ1273" s="77"/>
      <c r="AK1273" s="77"/>
      <c r="AL1273" s="77"/>
      <c r="AM1273" s="77"/>
      <c r="AN1273" s="77"/>
      <c r="AO1273" s="77"/>
      <c r="AP1273" s="77"/>
      <c r="AQ1273" s="77"/>
      <c r="AR1273" s="77"/>
      <c r="AS1273" s="77"/>
      <c r="AT1273" s="77"/>
      <c r="AU1273" s="77"/>
      <c r="AV1273" s="80" t="str">
        <f>HYPERLINK("https://pbs.twimg.com/profile_images/1041725334431952896/uaPtkYSp_normal.jpg")</f>
        <v>https://pbs.twimg.com/profile_images/1041725334431952896/uaPtkYSp_normal.jpg</v>
      </c>
      <c r="AW1273" s="82" t="s">
        <v>14368</v>
      </c>
      <c r="AX1273" s="82" t="s">
        <v>14368</v>
      </c>
      <c r="AY1273" s="77"/>
      <c r="AZ1273" s="82" t="s">
        <v>17385</v>
      </c>
      <c r="BA1273" s="82" t="s">
        <v>17385</v>
      </c>
      <c r="BB1273" s="82" t="s">
        <v>17385</v>
      </c>
      <c r="BC1273" s="82" t="s">
        <v>14368</v>
      </c>
      <c r="BD1273" s="82" t="s">
        <v>17550</v>
      </c>
      <c r="BE1273" s="77"/>
      <c r="BF1273" s="77"/>
      <c r="BG1273" s="77"/>
      <c r="BH1273" s="77"/>
      <c r="BI1273" s="77"/>
    </row>
    <row r="1274" spans="1:61" x14ac:dyDescent="0.25">
      <c r="A1274" s="62" t="s">
        <v>425</v>
      </c>
      <c r="B1274" s="62" t="s">
        <v>425</v>
      </c>
      <c r="C1274" s="63"/>
      <c r="D1274" s="64"/>
      <c r="E1274" s="65"/>
      <c r="F1274" s="66"/>
      <c r="G1274" s="63"/>
      <c r="H1274" s="67"/>
      <c r="I1274" s="68"/>
      <c r="J1274" s="68"/>
      <c r="K1274" s="32"/>
      <c r="L1274" s="75">
        <v>1274</v>
      </c>
      <c r="M1274" s="75"/>
      <c r="N1274" s="70"/>
      <c r="O1274" s="77" t="s">
        <v>179</v>
      </c>
      <c r="P1274" s="79">
        <v>45113.711562500001</v>
      </c>
      <c r="Q1274" s="77" t="s">
        <v>2065</v>
      </c>
      <c r="R1274" s="77">
        <v>1</v>
      </c>
      <c r="S1274" s="77">
        <v>3</v>
      </c>
      <c r="T1274" s="77">
        <v>0</v>
      </c>
      <c r="U1274" s="77">
        <v>0</v>
      </c>
      <c r="V1274" s="77">
        <v>223</v>
      </c>
      <c r="W1274" s="82" t="s">
        <v>5620</v>
      </c>
      <c r="X1274" s="80" t="str">
        <f>HYPERLINK("https://www.seudinheiro.com/2023/bolsa-dolar/o-numero-que-faz-o-dolar-tocar-os-r-495-derruba-as-bolsas-mundo-afora-e-nao-poupa-nem-o-petroleo-ccgg/")</f>
        <v>https://www.seudinheiro.com/2023/bolsa-dolar/o-numero-que-faz-o-dolar-tocar-os-r-495-derruba-as-bolsas-mundo-afora-e-nao-poupa-nem-o-petroleo-ccgg/</v>
      </c>
      <c r="Y1274" s="77" t="s">
        <v>7102</v>
      </c>
      <c r="Z1274" s="77"/>
      <c r="AA1274" s="77"/>
      <c r="AB1274" s="77"/>
      <c r="AC1274" s="82" t="s">
        <v>8255</v>
      </c>
      <c r="AD1274" s="77" t="s">
        <v>8278</v>
      </c>
      <c r="AE1274" s="80" t="str">
        <f>HYPERLINK("https://twitter.com/seu_dinheiro_br/status/1677000620522233856")</f>
        <v>https://twitter.com/seu_dinheiro_br/status/1677000620522233856</v>
      </c>
      <c r="AF1274" s="79">
        <v>45113.711562500001</v>
      </c>
      <c r="AG1274" s="85">
        <v>45113</v>
      </c>
      <c r="AH1274" s="82" t="s">
        <v>9421</v>
      </c>
      <c r="AI1274" s="77" t="b">
        <v>0</v>
      </c>
      <c r="AJ1274" s="77"/>
      <c r="AK1274" s="77"/>
      <c r="AL1274" s="77"/>
      <c r="AM1274" s="77"/>
      <c r="AN1274" s="77"/>
      <c r="AO1274" s="77"/>
      <c r="AP1274" s="77"/>
      <c r="AQ1274" s="77"/>
      <c r="AR1274" s="77"/>
      <c r="AS1274" s="77"/>
      <c r="AT1274" s="77"/>
      <c r="AU1274" s="77"/>
      <c r="AV1274" s="80" t="str">
        <f>HYPERLINK("https://pbs.twimg.com/profile_images/1041725334431952896/uaPtkYSp_normal.jpg")</f>
        <v>https://pbs.twimg.com/profile_images/1041725334431952896/uaPtkYSp_normal.jpg</v>
      </c>
      <c r="AW1274" s="82" t="s">
        <v>14369</v>
      </c>
      <c r="AX1274" s="82" t="s">
        <v>14369</v>
      </c>
      <c r="AY1274" s="77"/>
      <c r="AZ1274" s="82" t="s">
        <v>17385</v>
      </c>
      <c r="BA1274" s="82" t="s">
        <v>17385</v>
      </c>
      <c r="BB1274" s="82" t="s">
        <v>17385</v>
      </c>
      <c r="BC1274" s="82" t="s">
        <v>14369</v>
      </c>
      <c r="BD1274" s="82" t="s">
        <v>17550</v>
      </c>
      <c r="BE1274" s="77"/>
      <c r="BF1274" s="77"/>
      <c r="BG1274" s="77"/>
      <c r="BH1274" s="77"/>
      <c r="BI1274" s="77"/>
    </row>
    <row r="1275" spans="1:61" x14ac:dyDescent="0.25">
      <c r="A1275" s="62" t="s">
        <v>425</v>
      </c>
      <c r="B1275" s="62" t="s">
        <v>425</v>
      </c>
      <c r="C1275" s="63"/>
      <c r="D1275" s="64"/>
      <c r="E1275" s="65"/>
      <c r="F1275" s="66"/>
      <c r="G1275" s="63"/>
      <c r="H1275" s="67"/>
      <c r="I1275" s="68"/>
      <c r="J1275" s="68"/>
      <c r="K1275" s="32"/>
      <c r="L1275" s="75">
        <v>1275</v>
      </c>
      <c r="M1275" s="75"/>
      <c r="N1275" s="70"/>
      <c r="O1275" s="77" t="s">
        <v>179</v>
      </c>
      <c r="P1275" s="79">
        <v>45113.552766203706</v>
      </c>
      <c r="Q1275" s="77" t="s">
        <v>2066</v>
      </c>
      <c r="R1275" s="77">
        <v>0</v>
      </c>
      <c r="S1275" s="77">
        <v>2</v>
      </c>
      <c r="T1275" s="77">
        <v>0</v>
      </c>
      <c r="U1275" s="77">
        <v>0</v>
      </c>
      <c r="V1275" s="77">
        <v>409</v>
      </c>
      <c r="W1275" s="82" t="s">
        <v>5621</v>
      </c>
      <c r="X1275" s="80" t="str">
        <f>HYPERLINK("https://www.seudinheiro.com/2023/empresas/magazine-luiza-mglu3-e-via-viia3-estao-tecnicamente-quebradas-americanas-miql/")</f>
        <v>https://www.seudinheiro.com/2023/empresas/magazine-luiza-mglu3-e-via-viia3-estao-tecnicamente-quebradas-americanas-miql/</v>
      </c>
      <c r="Y1275" s="77" t="s">
        <v>7102</v>
      </c>
      <c r="Z1275" s="77"/>
      <c r="AA1275" s="77"/>
      <c r="AB1275" s="77"/>
      <c r="AC1275" s="82" t="s">
        <v>8255</v>
      </c>
      <c r="AD1275" s="77" t="s">
        <v>8278</v>
      </c>
      <c r="AE1275" s="80" t="str">
        <f>HYPERLINK("https://twitter.com/seu_dinheiro_br/status/1676943073455099906")</f>
        <v>https://twitter.com/seu_dinheiro_br/status/1676943073455099906</v>
      </c>
      <c r="AF1275" s="79">
        <v>45113.552766203706</v>
      </c>
      <c r="AG1275" s="85">
        <v>45113</v>
      </c>
      <c r="AH1275" s="82" t="s">
        <v>9422</v>
      </c>
      <c r="AI1275" s="77" t="b">
        <v>0</v>
      </c>
      <c r="AJ1275" s="77"/>
      <c r="AK1275" s="77"/>
      <c r="AL1275" s="77"/>
      <c r="AM1275" s="77"/>
      <c r="AN1275" s="77"/>
      <c r="AO1275" s="77"/>
      <c r="AP1275" s="77"/>
      <c r="AQ1275" s="77"/>
      <c r="AR1275" s="77"/>
      <c r="AS1275" s="77"/>
      <c r="AT1275" s="77"/>
      <c r="AU1275" s="77"/>
      <c r="AV1275" s="80" t="str">
        <f>HYPERLINK("https://pbs.twimg.com/profile_images/1041725334431952896/uaPtkYSp_normal.jpg")</f>
        <v>https://pbs.twimg.com/profile_images/1041725334431952896/uaPtkYSp_normal.jpg</v>
      </c>
      <c r="AW1275" s="82" t="s">
        <v>14370</v>
      </c>
      <c r="AX1275" s="82" t="s">
        <v>14370</v>
      </c>
      <c r="AY1275" s="77"/>
      <c r="AZ1275" s="82" t="s">
        <v>17385</v>
      </c>
      <c r="BA1275" s="82" t="s">
        <v>17385</v>
      </c>
      <c r="BB1275" s="82" t="s">
        <v>17385</v>
      </c>
      <c r="BC1275" s="82" t="s">
        <v>14370</v>
      </c>
      <c r="BD1275" s="82" t="s">
        <v>17550</v>
      </c>
      <c r="BE1275" s="77"/>
      <c r="BF1275" s="77"/>
      <c r="BG1275" s="77"/>
      <c r="BH1275" s="77"/>
      <c r="BI1275" s="77"/>
    </row>
    <row r="1276" spans="1:61" x14ac:dyDescent="0.25">
      <c r="A1276" s="62" t="s">
        <v>425</v>
      </c>
      <c r="B1276" s="62" t="s">
        <v>425</v>
      </c>
      <c r="C1276" s="63"/>
      <c r="D1276" s="64"/>
      <c r="E1276" s="65"/>
      <c r="F1276" s="66"/>
      <c r="G1276" s="63"/>
      <c r="H1276" s="67"/>
      <c r="I1276" s="68"/>
      <c r="J1276" s="68"/>
      <c r="K1276" s="32"/>
      <c r="L1276" s="75">
        <v>1276</v>
      </c>
      <c r="M1276" s="75"/>
      <c r="N1276" s="70"/>
      <c r="O1276" s="77" t="s">
        <v>179</v>
      </c>
      <c r="P1276" s="79">
        <v>45113.433518518519</v>
      </c>
      <c r="Q1276" s="77" t="s">
        <v>2067</v>
      </c>
      <c r="R1276" s="77">
        <v>0</v>
      </c>
      <c r="S1276" s="77">
        <v>0</v>
      </c>
      <c r="T1276" s="77">
        <v>0</v>
      </c>
      <c r="U1276" s="77">
        <v>0</v>
      </c>
      <c r="V1276" s="77">
        <v>293</v>
      </c>
      <c r="W1276" s="82" t="s">
        <v>5474</v>
      </c>
      <c r="X1276" s="80" t="str">
        <f>HYPERLINK("https://www.seudinheiro.com/2023/colunistas/day-trade-na-b3-como-lucrar-com-acoes-da-sao-martinho-smto3-06-07-miql/")</f>
        <v>https://www.seudinheiro.com/2023/colunistas/day-trade-na-b3-como-lucrar-com-acoes-da-sao-martinho-smto3-06-07-miql/</v>
      </c>
      <c r="Y1276" s="77" t="s">
        <v>7102</v>
      </c>
      <c r="Z1276" s="77"/>
      <c r="AA1276" s="77"/>
      <c r="AB1276" s="77"/>
      <c r="AC1276" s="82" t="s">
        <v>8255</v>
      </c>
      <c r="AD1276" s="77" t="s">
        <v>8278</v>
      </c>
      <c r="AE1276" s="80" t="str">
        <f>HYPERLINK("https://twitter.com/seu_dinheiro_br/status/1676899860224569345")</f>
        <v>https://twitter.com/seu_dinheiro_br/status/1676899860224569345</v>
      </c>
      <c r="AF1276" s="79">
        <v>45113.433518518519</v>
      </c>
      <c r="AG1276" s="85">
        <v>45113</v>
      </c>
      <c r="AH1276" s="82" t="s">
        <v>9423</v>
      </c>
      <c r="AI1276" s="77" t="b">
        <v>0</v>
      </c>
      <c r="AJ1276" s="77"/>
      <c r="AK1276" s="77"/>
      <c r="AL1276" s="77"/>
      <c r="AM1276" s="77"/>
      <c r="AN1276" s="77"/>
      <c r="AO1276" s="77"/>
      <c r="AP1276" s="77"/>
      <c r="AQ1276" s="77"/>
      <c r="AR1276" s="77"/>
      <c r="AS1276" s="77"/>
      <c r="AT1276" s="77"/>
      <c r="AU1276" s="77"/>
      <c r="AV1276" s="80" t="str">
        <f>HYPERLINK("https://pbs.twimg.com/profile_images/1041725334431952896/uaPtkYSp_normal.jpg")</f>
        <v>https://pbs.twimg.com/profile_images/1041725334431952896/uaPtkYSp_normal.jpg</v>
      </c>
      <c r="AW1276" s="82" t="s">
        <v>14371</v>
      </c>
      <c r="AX1276" s="82" t="s">
        <v>14371</v>
      </c>
      <c r="AY1276" s="77"/>
      <c r="AZ1276" s="82" t="s">
        <v>17385</v>
      </c>
      <c r="BA1276" s="82" t="s">
        <v>17385</v>
      </c>
      <c r="BB1276" s="82" t="s">
        <v>17385</v>
      </c>
      <c r="BC1276" s="82" t="s">
        <v>14371</v>
      </c>
      <c r="BD1276" s="82" t="s">
        <v>17550</v>
      </c>
      <c r="BE1276" s="77"/>
      <c r="BF1276" s="77"/>
      <c r="BG1276" s="77"/>
      <c r="BH1276" s="77"/>
      <c r="BI1276" s="77"/>
    </row>
    <row r="1277" spans="1:61" x14ac:dyDescent="0.25">
      <c r="A1277" s="62" t="s">
        <v>425</v>
      </c>
      <c r="B1277" s="62" t="s">
        <v>425</v>
      </c>
      <c r="C1277" s="63"/>
      <c r="D1277" s="64"/>
      <c r="E1277" s="65"/>
      <c r="F1277" s="66"/>
      <c r="G1277" s="63"/>
      <c r="H1277" s="67"/>
      <c r="I1277" s="68"/>
      <c r="J1277" s="68"/>
      <c r="K1277" s="32"/>
      <c r="L1277" s="75">
        <v>1277</v>
      </c>
      <c r="M1277" s="75"/>
      <c r="N1277" s="70"/>
      <c r="O1277" s="77" t="s">
        <v>179</v>
      </c>
      <c r="P1277" s="79">
        <v>45113.380011574074</v>
      </c>
      <c r="Q1277" s="77" t="s">
        <v>2068</v>
      </c>
      <c r="R1277" s="77">
        <v>0</v>
      </c>
      <c r="S1277" s="77">
        <v>1</v>
      </c>
      <c r="T1277" s="77">
        <v>0</v>
      </c>
      <c r="U1277" s="77">
        <v>0</v>
      </c>
      <c r="V1277" s="77">
        <v>287</v>
      </c>
      <c r="W1277" s="82" t="s">
        <v>5622</v>
      </c>
      <c r="X1277" s="80" t="str">
        <f>HYPERLINK("https://www.seudinheiro.com/2023/colunistas/onde-investir-em-tecnologia-no-segundo-semestre-de-2023-apos-a-disparada-do-nasdaq-vinp/")</f>
        <v>https://www.seudinheiro.com/2023/colunistas/onde-investir-em-tecnologia-no-segundo-semestre-de-2023-apos-a-disparada-do-nasdaq-vinp/</v>
      </c>
      <c r="Y1277" s="77" t="s">
        <v>7102</v>
      </c>
      <c r="Z1277" s="77"/>
      <c r="AA1277" s="77"/>
      <c r="AB1277" s="77"/>
      <c r="AC1277" s="82" t="s">
        <v>8255</v>
      </c>
      <c r="AD1277" s="77" t="s">
        <v>8278</v>
      </c>
      <c r="AE1277" s="80" t="str">
        <f>HYPERLINK("https://twitter.com/seu_dinheiro_br/status/1676880469185507329")</f>
        <v>https://twitter.com/seu_dinheiro_br/status/1676880469185507329</v>
      </c>
      <c r="AF1277" s="79">
        <v>45113.380011574074</v>
      </c>
      <c r="AG1277" s="85">
        <v>45113</v>
      </c>
      <c r="AH1277" s="82" t="s">
        <v>9424</v>
      </c>
      <c r="AI1277" s="77" t="b">
        <v>0</v>
      </c>
      <c r="AJ1277" s="77"/>
      <c r="AK1277" s="77"/>
      <c r="AL1277" s="77"/>
      <c r="AM1277" s="77"/>
      <c r="AN1277" s="77"/>
      <c r="AO1277" s="77"/>
      <c r="AP1277" s="77"/>
      <c r="AQ1277" s="77"/>
      <c r="AR1277" s="77"/>
      <c r="AS1277" s="77"/>
      <c r="AT1277" s="77"/>
      <c r="AU1277" s="77"/>
      <c r="AV1277" s="80" t="str">
        <f>HYPERLINK("https://pbs.twimg.com/profile_images/1041725334431952896/uaPtkYSp_normal.jpg")</f>
        <v>https://pbs.twimg.com/profile_images/1041725334431952896/uaPtkYSp_normal.jpg</v>
      </c>
      <c r="AW1277" s="82" t="s">
        <v>14372</v>
      </c>
      <c r="AX1277" s="82" t="s">
        <v>14372</v>
      </c>
      <c r="AY1277" s="77"/>
      <c r="AZ1277" s="82" t="s">
        <v>17385</v>
      </c>
      <c r="BA1277" s="82" t="s">
        <v>17385</v>
      </c>
      <c r="BB1277" s="82" t="s">
        <v>17385</v>
      </c>
      <c r="BC1277" s="82" t="s">
        <v>14372</v>
      </c>
      <c r="BD1277" s="82" t="s">
        <v>17550</v>
      </c>
      <c r="BE1277" s="77"/>
      <c r="BF1277" s="77"/>
      <c r="BG1277" s="77"/>
      <c r="BH1277" s="77"/>
      <c r="BI1277" s="77"/>
    </row>
    <row r="1278" spans="1:61" x14ac:dyDescent="0.25">
      <c r="A1278" s="62" t="s">
        <v>425</v>
      </c>
      <c r="B1278" s="62" t="s">
        <v>425</v>
      </c>
      <c r="C1278" s="63"/>
      <c r="D1278" s="64"/>
      <c r="E1278" s="65"/>
      <c r="F1278" s="66"/>
      <c r="G1278" s="63"/>
      <c r="H1278" s="67"/>
      <c r="I1278" s="68"/>
      <c r="J1278" s="68"/>
      <c r="K1278" s="32"/>
      <c r="L1278" s="75">
        <v>1278</v>
      </c>
      <c r="M1278" s="75"/>
      <c r="N1278" s="70"/>
      <c r="O1278" s="77" t="s">
        <v>179</v>
      </c>
      <c r="P1278" s="79">
        <v>45112.774027777778</v>
      </c>
      <c r="Q1278" s="77" t="s">
        <v>2069</v>
      </c>
      <c r="R1278" s="77">
        <v>0</v>
      </c>
      <c r="S1278" s="77">
        <v>0</v>
      </c>
      <c r="T1278" s="77">
        <v>0</v>
      </c>
      <c r="U1278" s="77">
        <v>0</v>
      </c>
      <c r="V1278" s="77">
        <v>199</v>
      </c>
      <c r="W1278" s="82" t="s">
        <v>5623</v>
      </c>
      <c r="X1278" s="80" t="str">
        <f>HYPERLINK("https://www.seudinheiro.com/2023/select/ibovespa-em-bull-market-10-acoes-para-julho-fii-com-potencial-lbrdmg031/")</f>
        <v>https://www.seudinheiro.com/2023/select/ibovespa-em-bull-market-10-acoes-para-julho-fii-com-potencial-lbrdmg031/</v>
      </c>
      <c r="Y1278" s="77" t="s">
        <v>7102</v>
      </c>
      <c r="Z1278" s="77"/>
      <c r="AA1278" s="77"/>
      <c r="AB1278" s="77"/>
      <c r="AC1278" s="82" t="s">
        <v>8255</v>
      </c>
      <c r="AD1278" s="77" t="s">
        <v>8278</v>
      </c>
      <c r="AE1278" s="80" t="str">
        <f>HYPERLINK("https://twitter.com/seu_dinheiro_br/status/1676660867943878672")</f>
        <v>https://twitter.com/seu_dinheiro_br/status/1676660867943878672</v>
      </c>
      <c r="AF1278" s="79">
        <v>45112.774027777778</v>
      </c>
      <c r="AG1278" s="85">
        <v>45112</v>
      </c>
      <c r="AH1278" s="82" t="s">
        <v>9425</v>
      </c>
      <c r="AI1278" s="77" t="b">
        <v>0</v>
      </c>
      <c r="AJ1278" s="77"/>
      <c r="AK1278" s="77"/>
      <c r="AL1278" s="77"/>
      <c r="AM1278" s="77"/>
      <c r="AN1278" s="77"/>
      <c r="AO1278" s="77"/>
      <c r="AP1278" s="77"/>
      <c r="AQ1278" s="77"/>
      <c r="AR1278" s="77"/>
      <c r="AS1278" s="77"/>
      <c r="AT1278" s="77"/>
      <c r="AU1278" s="77"/>
      <c r="AV1278" s="80" t="str">
        <f>HYPERLINK("https://pbs.twimg.com/profile_images/1041725334431952896/uaPtkYSp_normal.jpg")</f>
        <v>https://pbs.twimg.com/profile_images/1041725334431952896/uaPtkYSp_normal.jpg</v>
      </c>
      <c r="AW1278" s="82" t="s">
        <v>14373</v>
      </c>
      <c r="AX1278" s="82" t="s">
        <v>14373</v>
      </c>
      <c r="AY1278" s="77"/>
      <c r="AZ1278" s="82" t="s">
        <v>17385</v>
      </c>
      <c r="BA1278" s="82" t="s">
        <v>17385</v>
      </c>
      <c r="BB1278" s="82" t="s">
        <v>17385</v>
      </c>
      <c r="BC1278" s="82" t="s">
        <v>14373</v>
      </c>
      <c r="BD1278" s="82" t="s">
        <v>17550</v>
      </c>
      <c r="BE1278" s="77"/>
      <c r="BF1278" s="77"/>
      <c r="BG1278" s="77"/>
      <c r="BH1278" s="77"/>
      <c r="BI1278" s="77"/>
    </row>
    <row r="1279" spans="1:61" x14ac:dyDescent="0.25">
      <c r="A1279" s="62" t="s">
        <v>425</v>
      </c>
      <c r="B1279" s="62" t="s">
        <v>425</v>
      </c>
      <c r="C1279" s="63"/>
      <c r="D1279" s="64"/>
      <c r="E1279" s="65"/>
      <c r="F1279" s="66"/>
      <c r="G1279" s="63"/>
      <c r="H1279" s="67"/>
      <c r="I1279" s="68"/>
      <c r="J1279" s="68"/>
      <c r="K1279" s="32"/>
      <c r="L1279" s="75">
        <v>1279</v>
      </c>
      <c r="M1279" s="75"/>
      <c r="N1279" s="70"/>
      <c r="O1279" s="77" t="s">
        <v>179</v>
      </c>
      <c r="P1279" s="79">
        <v>45112.682025462964</v>
      </c>
      <c r="Q1279" s="77" t="s">
        <v>2070</v>
      </c>
      <c r="R1279" s="77">
        <v>0</v>
      </c>
      <c r="S1279" s="77">
        <v>0</v>
      </c>
      <c r="T1279" s="77">
        <v>1</v>
      </c>
      <c r="U1279" s="77">
        <v>0</v>
      </c>
      <c r="V1279" s="77">
        <v>295</v>
      </c>
      <c r="W1279" s="82" t="s">
        <v>5624</v>
      </c>
      <c r="X1279" s="80" t="str">
        <f>HYPERLINK("https://www.seudinheiro.com/2023/empresas/nem-vale-vale3-nem-csn-mineracao-cmin3-xp-cautela-acoes-miql/")</f>
        <v>https://www.seudinheiro.com/2023/empresas/nem-vale-vale3-nem-csn-mineracao-cmin3-xp-cautela-acoes-miql/</v>
      </c>
      <c r="Y1279" s="77" t="s">
        <v>7102</v>
      </c>
      <c r="Z1279" s="77"/>
      <c r="AA1279" s="77"/>
      <c r="AB1279" s="77"/>
      <c r="AC1279" s="82" t="s">
        <v>8255</v>
      </c>
      <c r="AD1279" s="77" t="s">
        <v>8278</v>
      </c>
      <c r="AE1279" s="80" t="str">
        <f>HYPERLINK("https://twitter.com/seu_dinheiro_br/status/1676627528616669184")</f>
        <v>https://twitter.com/seu_dinheiro_br/status/1676627528616669184</v>
      </c>
      <c r="AF1279" s="79">
        <v>45112.682025462964</v>
      </c>
      <c r="AG1279" s="85">
        <v>45112</v>
      </c>
      <c r="AH1279" s="82" t="s">
        <v>9426</v>
      </c>
      <c r="AI1279" s="77" t="b">
        <v>0</v>
      </c>
      <c r="AJ1279" s="77"/>
      <c r="AK1279" s="77"/>
      <c r="AL1279" s="77"/>
      <c r="AM1279" s="77"/>
      <c r="AN1279" s="77"/>
      <c r="AO1279" s="77"/>
      <c r="AP1279" s="77"/>
      <c r="AQ1279" s="77"/>
      <c r="AR1279" s="77"/>
      <c r="AS1279" s="77"/>
      <c r="AT1279" s="77"/>
      <c r="AU1279" s="77"/>
      <c r="AV1279" s="80" t="str">
        <f>HYPERLINK("https://pbs.twimg.com/profile_images/1041725334431952896/uaPtkYSp_normal.jpg")</f>
        <v>https://pbs.twimg.com/profile_images/1041725334431952896/uaPtkYSp_normal.jpg</v>
      </c>
      <c r="AW1279" s="82" t="s">
        <v>14374</v>
      </c>
      <c r="AX1279" s="82" t="s">
        <v>14374</v>
      </c>
      <c r="AY1279" s="77"/>
      <c r="AZ1279" s="82" t="s">
        <v>17385</v>
      </c>
      <c r="BA1279" s="82" t="s">
        <v>17385</v>
      </c>
      <c r="BB1279" s="82" t="s">
        <v>17385</v>
      </c>
      <c r="BC1279" s="82" t="s">
        <v>14374</v>
      </c>
      <c r="BD1279" s="82" t="s">
        <v>17550</v>
      </c>
      <c r="BE1279" s="77"/>
      <c r="BF1279" s="77"/>
      <c r="BG1279" s="77"/>
      <c r="BH1279" s="77"/>
      <c r="BI1279" s="77"/>
    </row>
    <row r="1280" spans="1:61" x14ac:dyDescent="0.25">
      <c r="A1280" s="62" t="s">
        <v>425</v>
      </c>
      <c r="B1280" s="62" t="s">
        <v>425</v>
      </c>
      <c r="C1280" s="63"/>
      <c r="D1280" s="64"/>
      <c r="E1280" s="65"/>
      <c r="F1280" s="66"/>
      <c r="G1280" s="63"/>
      <c r="H1280" s="67"/>
      <c r="I1280" s="68"/>
      <c r="J1280" s="68"/>
      <c r="K1280" s="32"/>
      <c r="L1280" s="75">
        <v>1280</v>
      </c>
      <c r="M1280" s="75"/>
      <c r="N1280" s="70"/>
      <c r="O1280" s="77" t="s">
        <v>179</v>
      </c>
      <c r="P1280" s="79">
        <v>45112.61613425926</v>
      </c>
      <c r="Q1280" s="77" t="s">
        <v>2071</v>
      </c>
      <c r="R1280" s="77">
        <v>0</v>
      </c>
      <c r="S1280" s="77">
        <v>0</v>
      </c>
      <c r="T1280" s="77">
        <v>0</v>
      </c>
      <c r="U1280" s="77">
        <v>0</v>
      </c>
      <c r="V1280" s="77">
        <v>207</v>
      </c>
      <c r="W1280" s="82" t="s">
        <v>5624</v>
      </c>
      <c r="X1280" s="80" t="str">
        <f>HYPERLINK("https://www.seudinheiro.com/2023/empresas/gerdau-ggbr4-ou-csn-csna3-xp-acoes-favorita-miql/")</f>
        <v>https://www.seudinheiro.com/2023/empresas/gerdau-ggbr4-ou-csn-csna3-xp-acoes-favorita-miql/</v>
      </c>
      <c r="Y1280" s="77" t="s">
        <v>7102</v>
      </c>
      <c r="Z1280" s="77"/>
      <c r="AA1280" s="77"/>
      <c r="AB1280" s="77"/>
      <c r="AC1280" s="82" t="s">
        <v>8255</v>
      </c>
      <c r="AD1280" s="77" t="s">
        <v>8278</v>
      </c>
      <c r="AE1280" s="80" t="str">
        <f>HYPERLINK("https://twitter.com/seu_dinheiro_br/status/1676603648669892608")</f>
        <v>https://twitter.com/seu_dinheiro_br/status/1676603648669892608</v>
      </c>
      <c r="AF1280" s="79">
        <v>45112.61613425926</v>
      </c>
      <c r="AG1280" s="85">
        <v>45112</v>
      </c>
      <c r="AH1280" s="82" t="s">
        <v>9427</v>
      </c>
      <c r="AI1280" s="77" t="b">
        <v>0</v>
      </c>
      <c r="AJ1280" s="77"/>
      <c r="AK1280" s="77"/>
      <c r="AL1280" s="77"/>
      <c r="AM1280" s="77"/>
      <c r="AN1280" s="77"/>
      <c r="AO1280" s="77"/>
      <c r="AP1280" s="77"/>
      <c r="AQ1280" s="77"/>
      <c r="AR1280" s="77"/>
      <c r="AS1280" s="77"/>
      <c r="AT1280" s="77"/>
      <c r="AU1280" s="77"/>
      <c r="AV1280" s="80" t="str">
        <f>HYPERLINK("https://pbs.twimg.com/profile_images/1041725334431952896/uaPtkYSp_normal.jpg")</f>
        <v>https://pbs.twimg.com/profile_images/1041725334431952896/uaPtkYSp_normal.jpg</v>
      </c>
      <c r="AW1280" s="82" t="s">
        <v>14375</v>
      </c>
      <c r="AX1280" s="82" t="s">
        <v>14375</v>
      </c>
      <c r="AY1280" s="77"/>
      <c r="AZ1280" s="82" t="s">
        <v>17385</v>
      </c>
      <c r="BA1280" s="82" t="s">
        <v>17385</v>
      </c>
      <c r="BB1280" s="82" t="s">
        <v>17385</v>
      </c>
      <c r="BC1280" s="82" t="s">
        <v>14375</v>
      </c>
      <c r="BD1280" s="82" t="s">
        <v>17550</v>
      </c>
      <c r="BE1280" s="77"/>
      <c r="BF1280" s="77"/>
      <c r="BG1280" s="77"/>
      <c r="BH1280" s="77"/>
      <c r="BI1280" s="77"/>
    </row>
    <row r="1281" spans="1:61" x14ac:dyDescent="0.25">
      <c r="A1281" s="62" t="s">
        <v>425</v>
      </c>
      <c r="B1281" s="62" t="s">
        <v>425</v>
      </c>
      <c r="C1281" s="63"/>
      <c r="D1281" s="64"/>
      <c r="E1281" s="65"/>
      <c r="F1281" s="66"/>
      <c r="G1281" s="63"/>
      <c r="H1281" s="67"/>
      <c r="I1281" s="68"/>
      <c r="J1281" s="68"/>
      <c r="K1281" s="32"/>
      <c r="L1281" s="75">
        <v>1281</v>
      </c>
      <c r="M1281" s="75"/>
      <c r="N1281" s="70"/>
      <c r="O1281" s="77" t="s">
        <v>179</v>
      </c>
      <c r="P1281" s="79">
        <v>45112.437395833331</v>
      </c>
      <c r="Q1281" s="77" t="s">
        <v>2072</v>
      </c>
      <c r="R1281" s="77">
        <v>0</v>
      </c>
      <c r="S1281" s="77">
        <v>0</v>
      </c>
      <c r="T1281" s="77">
        <v>0</v>
      </c>
      <c r="U1281" s="77">
        <v>0</v>
      </c>
      <c r="V1281" s="77">
        <v>322</v>
      </c>
      <c r="W1281" s="82" t="s">
        <v>5474</v>
      </c>
      <c r="X1281" s="80" t="str">
        <f>HYPERLINK("https://www.seudinheiro.com/2023/colunistas/day-trade-na-b3-como-lucrar-com-acoes-da-enauta-enat3-05-07-miql/")</f>
        <v>https://www.seudinheiro.com/2023/colunistas/day-trade-na-b3-como-lucrar-com-acoes-da-enauta-enat3-05-07-miql/</v>
      </c>
      <c r="Y1281" s="77" t="s">
        <v>7102</v>
      </c>
      <c r="Z1281" s="77"/>
      <c r="AA1281" s="77"/>
      <c r="AB1281" s="77"/>
      <c r="AC1281" s="82" t="s">
        <v>8255</v>
      </c>
      <c r="AD1281" s="77" t="s">
        <v>8278</v>
      </c>
      <c r="AE1281" s="80" t="str">
        <f>HYPERLINK("https://twitter.com/seu_dinheiro_br/status/1676538876733603840")</f>
        <v>https://twitter.com/seu_dinheiro_br/status/1676538876733603840</v>
      </c>
      <c r="AF1281" s="79">
        <v>45112.437395833331</v>
      </c>
      <c r="AG1281" s="85">
        <v>45112</v>
      </c>
      <c r="AH1281" s="82" t="s">
        <v>9428</v>
      </c>
      <c r="AI1281" s="77" t="b">
        <v>0</v>
      </c>
      <c r="AJ1281" s="77"/>
      <c r="AK1281" s="77"/>
      <c r="AL1281" s="77"/>
      <c r="AM1281" s="77"/>
      <c r="AN1281" s="77"/>
      <c r="AO1281" s="77"/>
      <c r="AP1281" s="77"/>
      <c r="AQ1281" s="77"/>
      <c r="AR1281" s="77"/>
      <c r="AS1281" s="77"/>
      <c r="AT1281" s="77"/>
      <c r="AU1281" s="77"/>
      <c r="AV1281" s="80" t="str">
        <f>HYPERLINK("https://pbs.twimg.com/profile_images/1041725334431952896/uaPtkYSp_normal.jpg")</f>
        <v>https://pbs.twimg.com/profile_images/1041725334431952896/uaPtkYSp_normal.jpg</v>
      </c>
      <c r="AW1281" s="82" t="s">
        <v>14376</v>
      </c>
      <c r="AX1281" s="82" t="s">
        <v>14376</v>
      </c>
      <c r="AY1281" s="77"/>
      <c r="AZ1281" s="82" t="s">
        <v>17385</v>
      </c>
      <c r="BA1281" s="82" t="s">
        <v>17385</v>
      </c>
      <c r="BB1281" s="82" t="s">
        <v>17385</v>
      </c>
      <c r="BC1281" s="82" t="s">
        <v>14376</v>
      </c>
      <c r="BD1281" s="82" t="s">
        <v>17550</v>
      </c>
      <c r="BE1281" s="77"/>
      <c r="BF1281" s="77"/>
      <c r="BG1281" s="77"/>
      <c r="BH1281" s="77"/>
      <c r="BI1281" s="77"/>
    </row>
    <row r="1282" spans="1:61" x14ac:dyDescent="0.25">
      <c r="A1282" s="62" t="s">
        <v>425</v>
      </c>
      <c r="B1282" s="62" t="s">
        <v>425</v>
      </c>
      <c r="C1282" s="63"/>
      <c r="D1282" s="64"/>
      <c r="E1282" s="65"/>
      <c r="F1282" s="66"/>
      <c r="G1282" s="63"/>
      <c r="H1282" s="67"/>
      <c r="I1282" s="68"/>
      <c r="J1282" s="68"/>
      <c r="K1282" s="32"/>
      <c r="L1282" s="75">
        <v>1282</v>
      </c>
      <c r="M1282" s="75"/>
      <c r="N1282" s="70"/>
      <c r="O1282" s="77" t="s">
        <v>179</v>
      </c>
      <c r="P1282" s="79">
        <v>45112.419525462959</v>
      </c>
      <c r="Q1282" s="77" t="s">
        <v>2073</v>
      </c>
      <c r="R1282" s="77">
        <v>0</v>
      </c>
      <c r="S1282" s="77">
        <v>2</v>
      </c>
      <c r="T1282" s="77">
        <v>0</v>
      </c>
      <c r="U1282" s="77">
        <v>0</v>
      </c>
      <c r="V1282" s="77">
        <v>346</v>
      </c>
      <c r="W1282" s="82" t="s">
        <v>5482</v>
      </c>
      <c r="X1282" s="80" t="str">
        <f>HYPERLINK("https://www.seudinheiro.com/2023/bolsa-dolar/onde-investir-ibovespa-acoes-recomendadas-alta-esperada-da-bolsa-no-segundo-semestre-lils/")</f>
        <v>https://www.seudinheiro.com/2023/bolsa-dolar/onde-investir-ibovespa-acoes-recomendadas-alta-esperada-da-bolsa-no-segundo-semestre-lils/</v>
      </c>
      <c r="Y1282" s="77" t="s">
        <v>7102</v>
      </c>
      <c r="Z1282" s="77"/>
      <c r="AA1282" s="77"/>
      <c r="AB1282" s="77"/>
      <c r="AC1282" s="82" t="s">
        <v>8255</v>
      </c>
      <c r="AD1282" s="77" t="s">
        <v>8278</v>
      </c>
      <c r="AE1282" s="80" t="str">
        <f>HYPERLINK("https://twitter.com/seu_dinheiro_br/status/1676532399260196866")</f>
        <v>https://twitter.com/seu_dinheiro_br/status/1676532399260196866</v>
      </c>
      <c r="AF1282" s="79">
        <v>45112.419525462959</v>
      </c>
      <c r="AG1282" s="85">
        <v>45112</v>
      </c>
      <c r="AH1282" s="82" t="s">
        <v>9429</v>
      </c>
      <c r="AI1282" s="77" t="b">
        <v>0</v>
      </c>
      <c r="AJ1282" s="77"/>
      <c r="AK1282" s="77"/>
      <c r="AL1282" s="77"/>
      <c r="AM1282" s="77"/>
      <c r="AN1282" s="77"/>
      <c r="AO1282" s="77"/>
      <c r="AP1282" s="77"/>
      <c r="AQ1282" s="77"/>
      <c r="AR1282" s="77"/>
      <c r="AS1282" s="77"/>
      <c r="AT1282" s="77"/>
      <c r="AU1282" s="77"/>
      <c r="AV1282" s="80" t="str">
        <f>HYPERLINK("https://pbs.twimg.com/profile_images/1041725334431952896/uaPtkYSp_normal.jpg")</f>
        <v>https://pbs.twimg.com/profile_images/1041725334431952896/uaPtkYSp_normal.jpg</v>
      </c>
      <c r="AW1282" s="82" t="s">
        <v>14377</v>
      </c>
      <c r="AX1282" s="82" t="s">
        <v>14377</v>
      </c>
      <c r="AY1282" s="77"/>
      <c r="AZ1282" s="82" t="s">
        <v>17385</v>
      </c>
      <c r="BA1282" s="82" t="s">
        <v>17385</v>
      </c>
      <c r="BB1282" s="82" t="s">
        <v>17385</v>
      </c>
      <c r="BC1282" s="82" t="s">
        <v>14377</v>
      </c>
      <c r="BD1282" s="82" t="s">
        <v>17550</v>
      </c>
      <c r="BE1282" s="77"/>
      <c r="BF1282" s="77"/>
      <c r="BG1282" s="77"/>
      <c r="BH1282" s="77"/>
      <c r="BI1282" s="77"/>
    </row>
    <row r="1283" spans="1:61" x14ac:dyDescent="0.25">
      <c r="A1283" s="62" t="s">
        <v>425</v>
      </c>
      <c r="B1283" s="62" t="s">
        <v>425</v>
      </c>
      <c r="C1283" s="63"/>
      <c r="D1283" s="64"/>
      <c r="E1283" s="65"/>
      <c r="F1283" s="66"/>
      <c r="G1283" s="63"/>
      <c r="H1283" s="67"/>
      <c r="I1283" s="68"/>
      <c r="J1283" s="68"/>
      <c r="K1283" s="32"/>
      <c r="L1283" s="75">
        <v>1283</v>
      </c>
      <c r="M1283" s="75"/>
      <c r="N1283" s="70"/>
      <c r="O1283" s="77" t="s">
        <v>179</v>
      </c>
      <c r="P1283" s="79">
        <v>45111.925011574072</v>
      </c>
      <c r="Q1283" s="77" t="s">
        <v>2074</v>
      </c>
      <c r="R1283" s="77">
        <v>1</v>
      </c>
      <c r="S1283" s="77">
        <v>0</v>
      </c>
      <c r="T1283" s="77">
        <v>0</v>
      </c>
      <c r="U1283" s="77">
        <v>0</v>
      </c>
      <c r="V1283" s="77">
        <v>402</v>
      </c>
      <c r="W1283" s="82" t="s">
        <v>5625</v>
      </c>
      <c r="X1283" s="80" t="str">
        <f>HYPERLINK("https://www.seudinheiro.com/2023/empresas/uma-salvacao-para-o-pao-de-acucar-por-que-as-acoes-pcar3-subiram-10-e-reinaram-no-ibovespa-hoje-ccgg/")</f>
        <v>https://www.seudinheiro.com/2023/empresas/uma-salvacao-para-o-pao-de-acucar-por-que-as-acoes-pcar3-subiram-10-e-reinaram-no-ibovespa-hoje-ccgg/</v>
      </c>
      <c r="Y1283" s="77" t="s">
        <v>7102</v>
      </c>
      <c r="Z1283" s="77"/>
      <c r="AA1283" s="77"/>
      <c r="AB1283" s="77"/>
      <c r="AC1283" s="82" t="s">
        <v>8255</v>
      </c>
      <c r="AD1283" s="77" t="s">
        <v>8278</v>
      </c>
      <c r="AE1283" s="80" t="str">
        <f>HYPERLINK("https://twitter.com/seu_dinheiro_br/status/1676353193377161221")</f>
        <v>https://twitter.com/seu_dinheiro_br/status/1676353193377161221</v>
      </c>
      <c r="AF1283" s="79">
        <v>45111.925011574072</v>
      </c>
      <c r="AG1283" s="85">
        <v>45111</v>
      </c>
      <c r="AH1283" s="82" t="s">
        <v>9430</v>
      </c>
      <c r="AI1283" s="77" t="b">
        <v>0</v>
      </c>
      <c r="AJ1283" s="77"/>
      <c r="AK1283" s="77"/>
      <c r="AL1283" s="77"/>
      <c r="AM1283" s="77"/>
      <c r="AN1283" s="77"/>
      <c r="AO1283" s="77"/>
      <c r="AP1283" s="77"/>
      <c r="AQ1283" s="77"/>
      <c r="AR1283" s="77"/>
      <c r="AS1283" s="77"/>
      <c r="AT1283" s="77"/>
      <c r="AU1283" s="77"/>
      <c r="AV1283" s="80" t="str">
        <f>HYPERLINK("https://pbs.twimg.com/profile_images/1041725334431952896/uaPtkYSp_normal.jpg")</f>
        <v>https://pbs.twimg.com/profile_images/1041725334431952896/uaPtkYSp_normal.jpg</v>
      </c>
      <c r="AW1283" s="82" t="s">
        <v>14378</v>
      </c>
      <c r="AX1283" s="82" t="s">
        <v>14378</v>
      </c>
      <c r="AY1283" s="77"/>
      <c r="AZ1283" s="82" t="s">
        <v>17385</v>
      </c>
      <c r="BA1283" s="82" t="s">
        <v>17385</v>
      </c>
      <c r="BB1283" s="82" t="s">
        <v>17385</v>
      </c>
      <c r="BC1283" s="82" t="s">
        <v>14378</v>
      </c>
      <c r="BD1283" s="82" t="s">
        <v>17550</v>
      </c>
      <c r="BE1283" s="77"/>
      <c r="BF1283" s="77"/>
      <c r="BG1283" s="77"/>
      <c r="BH1283" s="77"/>
      <c r="BI1283" s="77"/>
    </row>
    <row r="1284" spans="1:61" x14ac:dyDescent="0.25">
      <c r="A1284" s="62" t="s">
        <v>425</v>
      </c>
      <c r="B1284" s="62" t="s">
        <v>425</v>
      </c>
      <c r="C1284" s="63"/>
      <c r="D1284" s="64"/>
      <c r="E1284" s="65"/>
      <c r="F1284" s="66"/>
      <c r="G1284" s="63"/>
      <c r="H1284" s="67"/>
      <c r="I1284" s="68"/>
      <c r="J1284" s="68"/>
      <c r="K1284" s="32"/>
      <c r="L1284" s="75">
        <v>1284</v>
      </c>
      <c r="M1284" s="75"/>
      <c r="N1284" s="70"/>
      <c r="O1284" s="77" t="s">
        <v>179</v>
      </c>
      <c r="P1284" s="79">
        <v>45090.5702662037</v>
      </c>
      <c r="Q1284" s="77" t="s">
        <v>2075</v>
      </c>
      <c r="R1284" s="77">
        <v>0</v>
      </c>
      <c r="S1284" s="77">
        <v>1</v>
      </c>
      <c r="T1284" s="77">
        <v>0</v>
      </c>
      <c r="U1284" s="77">
        <v>0</v>
      </c>
      <c r="V1284" s="77">
        <v>233</v>
      </c>
      <c r="W1284" s="82" t="s">
        <v>5482</v>
      </c>
      <c r="X1284" s="80" t="str">
        <f>HYPERLINK("https://www.seudinheiro.com/2023/colunistas/bolsa-barata-e-queda-de-juros-entenda-por-que-nao-baixar-a-guarda-mesmo-com-o-ceu-se-abrindo-para-o-mercado-financeiro-miql/")</f>
        <v>https://www.seudinheiro.com/2023/colunistas/bolsa-barata-e-queda-de-juros-entenda-por-que-nao-baixar-a-guarda-mesmo-com-o-ceu-se-abrindo-para-o-mercado-financeiro-miql/</v>
      </c>
      <c r="Y1284" s="77" t="s">
        <v>7102</v>
      </c>
      <c r="Z1284" s="77"/>
      <c r="AA1284" s="77"/>
      <c r="AB1284" s="77"/>
      <c r="AC1284" s="82" t="s">
        <v>8255</v>
      </c>
      <c r="AD1284" s="77" t="s">
        <v>8278</v>
      </c>
      <c r="AE1284" s="80" t="str">
        <f>HYPERLINK("https://twitter.com/seu_dinheiro_br/status/1668614492630949889")</f>
        <v>https://twitter.com/seu_dinheiro_br/status/1668614492630949889</v>
      </c>
      <c r="AF1284" s="79">
        <v>45090.5702662037</v>
      </c>
      <c r="AG1284" s="85">
        <v>45090</v>
      </c>
      <c r="AH1284" s="82" t="s">
        <v>9431</v>
      </c>
      <c r="AI1284" s="77" t="b">
        <v>0</v>
      </c>
      <c r="AJ1284" s="77"/>
      <c r="AK1284" s="77"/>
      <c r="AL1284" s="77"/>
      <c r="AM1284" s="77"/>
      <c r="AN1284" s="77"/>
      <c r="AO1284" s="77"/>
      <c r="AP1284" s="77"/>
      <c r="AQ1284" s="77"/>
      <c r="AR1284" s="77"/>
      <c r="AS1284" s="77"/>
      <c r="AT1284" s="77"/>
      <c r="AU1284" s="77"/>
      <c r="AV1284" s="80" t="str">
        <f>HYPERLINK("https://pbs.twimg.com/profile_images/1041725334431952896/uaPtkYSp_normal.jpg")</f>
        <v>https://pbs.twimg.com/profile_images/1041725334431952896/uaPtkYSp_normal.jpg</v>
      </c>
      <c r="AW1284" s="82" t="s">
        <v>14379</v>
      </c>
      <c r="AX1284" s="82" t="s">
        <v>14379</v>
      </c>
      <c r="AY1284" s="77"/>
      <c r="AZ1284" s="82" t="s">
        <v>17385</v>
      </c>
      <c r="BA1284" s="82" t="s">
        <v>17385</v>
      </c>
      <c r="BB1284" s="82" t="s">
        <v>17385</v>
      </c>
      <c r="BC1284" s="82" t="s">
        <v>14379</v>
      </c>
      <c r="BD1284" s="82" t="s">
        <v>17550</v>
      </c>
      <c r="BE1284" s="77"/>
      <c r="BF1284" s="77"/>
      <c r="BG1284" s="77"/>
      <c r="BH1284" s="77"/>
      <c r="BI1284" s="77"/>
    </row>
    <row r="1285" spans="1:61" x14ac:dyDescent="0.25">
      <c r="A1285" s="62" t="s">
        <v>425</v>
      </c>
      <c r="B1285" s="62" t="s">
        <v>425</v>
      </c>
      <c r="C1285" s="63"/>
      <c r="D1285" s="64"/>
      <c r="E1285" s="65"/>
      <c r="F1285" s="66"/>
      <c r="G1285" s="63"/>
      <c r="H1285" s="67"/>
      <c r="I1285" s="68"/>
      <c r="J1285" s="68"/>
      <c r="K1285" s="32"/>
      <c r="L1285" s="75">
        <v>1285</v>
      </c>
      <c r="M1285" s="75"/>
      <c r="N1285" s="70"/>
      <c r="O1285" s="77" t="s">
        <v>179</v>
      </c>
      <c r="P1285" s="79">
        <v>45090.53266203704</v>
      </c>
      <c r="Q1285" s="77" t="s">
        <v>2076</v>
      </c>
      <c r="R1285" s="77">
        <v>3</v>
      </c>
      <c r="S1285" s="77">
        <v>5</v>
      </c>
      <c r="T1285" s="77">
        <v>0</v>
      </c>
      <c r="U1285" s="77">
        <v>0</v>
      </c>
      <c r="V1285" s="77">
        <v>507</v>
      </c>
      <c r="W1285" s="82" t="s">
        <v>5529</v>
      </c>
      <c r="X1285" s="80" t="str">
        <f>HYPERLINK("https://www.seudinheiro.com/2023/empresas/americanas-amer3-enfim-revela-como-a-diretoria-anterior-provocou-o-rombo-contabil-bilionario-vinp/")</f>
        <v>https://www.seudinheiro.com/2023/empresas/americanas-amer3-enfim-revela-como-a-diretoria-anterior-provocou-o-rombo-contabil-bilionario-vinp/</v>
      </c>
      <c r="Y1285" s="77" t="s">
        <v>7102</v>
      </c>
      <c r="Z1285" s="77"/>
      <c r="AA1285" s="77"/>
      <c r="AB1285" s="77"/>
      <c r="AC1285" s="82" t="s">
        <v>8255</v>
      </c>
      <c r="AD1285" s="77" t="s">
        <v>8278</v>
      </c>
      <c r="AE1285" s="80" t="str">
        <f>HYPERLINK("https://twitter.com/seu_dinheiro_br/status/1668600867359006722")</f>
        <v>https://twitter.com/seu_dinheiro_br/status/1668600867359006722</v>
      </c>
      <c r="AF1285" s="79">
        <v>45090.53266203704</v>
      </c>
      <c r="AG1285" s="85">
        <v>45090</v>
      </c>
      <c r="AH1285" s="82" t="s">
        <v>9432</v>
      </c>
      <c r="AI1285" s="77" t="b">
        <v>0</v>
      </c>
      <c r="AJ1285" s="77"/>
      <c r="AK1285" s="77"/>
      <c r="AL1285" s="77"/>
      <c r="AM1285" s="77"/>
      <c r="AN1285" s="77"/>
      <c r="AO1285" s="77"/>
      <c r="AP1285" s="77"/>
      <c r="AQ1285" s="77"/>
      <c r="AR1285" s="77"/>
      <c r="AS1285" s="77"/>
      <c r="AT1285" s="77"/>
      <c r="AU1285" s="77"/>
      <c r="AV1285" s="80" t="str">
        <f>HYPERLINK("https://pbs.twimg.com/profile_images/1041725334431952896/uaPtkYSp_normal.jpg")</f>
        <v>https://pbs.twimg.com/profile_images/1041725334431952896/uaPtkYSp_normal.jpg</v>
      </c>
      <c r="AW1285" s="82" t="s">
        <v>14380</v>
      </c>
      <c r="AX1285" s="82" t="s">
        <v>14380</v>
      </c>
      <c r="AY1285" s="77"/>
      <c r="AZ1285" s="82" t="s">
        <v>17385</v>
      </c>
      <c r="BA1285" s="82" t="s">
        <v>17385</v>
      </c>
      <c r="BB1285" s="82" t="s">
        <v>17385</v>
      </c>
      <c r="BC1285" s="82" t="s">
        <v>14380</v>
      </c>
      <c r="BD1285" s="82" t="s">
        <v>17550</v>
      </c>
      <c r="BE1285" s="77"/>
      <c r="BF1285" s="77"/>
      <c r="BG1285" s="77"/>
      <c r="BH1285" s="77"/>
      <c r="BI1285" s="77"/>
    </row>
    <row r="1286" spans="1:61" x14ac:dyDescent="0.25">
      <c r="A1286" s="62" t="s">
        <v>425</v>
      </c>
      <c r="B1286" s="62" t="s">
        <v>425</v>
      </c>
      <c r="C1286" s="63"/>
      <c r="D1286" s="64"/>
      <c r="E1286" s="65"/>
      <c r="F1286" s="66"/>
      <c r="G1286" s="63"/>
      <c r="H1286" s="67"/>
      <c r="I1286" s="68"/>
      <c r="J1286" s="68"/>
      <c r="K1286" s="32"/>
      <c r="L1286" s="75">
        <v>1286</v>
      </c>
      <c r="M1286" s="75"/>
      <c r="N1286" s="70"/>
      <c r="O1286" s="77" t="s">
        <v>179</v>
      </c>
      <c r="P1286" s="79">
        <v>45090.480567129627</v>
      </c>
      <c r="Q1286" s="77" t="s">
        <v>2077</v>
      </c>
      <c r="R1286" s="77">
        <v>0</v>
      </c>
      <c r="S1286" s="77">
        <v>1</v>
      </c>
      <c r="T1286" s="77">
        <v>0</v>
      </c>
      <c r="U1286" s="77">
        <v>0</v>
      </c>
      <c r="V1286" s="77">
        <v>293</v>
      </c>
      <c r="W1286" s="82" t="s">
        <v>5534</v>
      </c>
      <c r="X1286" s="80" t="str">
        <f>HYPERLINK("https://www.seudinheiro.com/2023/empresas/santander-sanb11-stf-provisao-vinp/")</f>
        <v>https://www.seudinheiro.com/2023/empresas/santander-sanb11-stf-provisao-vinp/</v>
      </c>
      <c r="Y1286" s="77" t="s">
        <v>7102</v>
      </c>
      <c r="Z1286" s="77"/>
      <c r="AA1286" s="77"/>
      <c r="AB1286" s="77"/>
      <c r="AC1286" s="82" t="s">
        <v>8255</v>
      </c>
      <c r="AD1286" s="77" t="s">
        <v>8278</v>
      </c>
      <c r="AE1286" s="80" t="str">
        <f>HYPERLINK("https://twitter.com/seu_dinheiro_br/status/1668581987831934977")</f>
        <v>https://twitter.com/seu_dinheiro_br/status/1668581987831934977</v>
      </c>
      <c r="AF1286" s="79">
        <v>45090.480567129627</v>
      </c>
      <c r="AG1286" s="85">
        <v>45090</v>
      </c>
      <c r="AH1286" s="82" t="s">
        <v>9433</v>
      </c>
      <c r="AI1286" s="77" t="b">
        <v>0</v>
      </c>
      <c r="AJ1286" s="77"/>
      <c r="AK1286" s="77"/>
      <c r="AL1286" s="77"/>
      <c r="AM1286" s="77"/>
      <c r="AN1286" s="77"/>
      <c r="AO1286" s="77"/>
      <c r="AP1286" s="77"/>
      <c r="AQ1286" s="77"/>
      <c r="AR1286" s="77"/>
      <c r="AS1286" s="77"/>
      <c r="AT1286" s="77"/>
      <c r="AU1286" s="77"/>
      <c r="AV1286" s="80" t="str">
        <f>HYPERLINK("https://pbs.twimg.com/profile_images/1041725334431952896/uaPtkYSp_normal.jpg")</f>
        <v>https://pbs.twimg.com/profile_images/1041725334431952896/uaPtkYSp_normal.jpg</v>
      </c>
      <c r="AW1286" s="82" t="s">
        <v>14381</v>
      </c>
      <c r="AX1286" s="82" t="s">
        <v>14381</v>
      </c>
      <c r="AY1286" s="77"/>
      <c r="AZ1286" s="82" t="s">
        <v>17385</v>
      </c>
      <c r="BA1286" s="82" t="s">
        <v>17385</v>
      </c>
      <c r="BB1286" s="82" t="s">
        <v>17385</v>
      </c>
      <c r="BC1286" s="82" t="s">
        <v>14381</v>
      </c>
      <c r="BD1286" s="82" t="s">
        <v>17550</v>
      </c>
      <c r="BE1286" s="77"/>
      <c r="BF1286" s="77"/>
      <c r="BG1286" s="77"/>
      <c r="BH1286" s="77"/>
      <c r="BI1286" s="77"/>
    </row>
    <row r="1287" spans="1:61" x14ac:dyDescent="0.25">
      <c r="A1287" s="62" t="s">
        <v>425</v>
      </c>
      <c r="B1287" s="62" t="s">
        <v>425</v>
      </c>
      <c r="C1287" s="63"/>
      <c r="D1287" s="64"/>
      <c r="E1287" s="65"/>
      <c r="F1287" s="66"/>
      <c r="G1287" s="63"/>
      <c r="H1287" s="67"/>
      <c r="I1287" s="68"/>
      <c r="J1287" s="68"/>
      <c r="K1287" s="32"/>
      <c r="L1287" s="75">
        <v>1287</v>
      </c>
      <c r="M1287" s="75"/>
      <c r="N1287" s="70"/>
      <c r="O1287" s="77" t="s">
        <v>179</v>
      </c>
      <c r="P1287" s="79">
        <v>45090.466747685183</v>
      </c>
      <c r="Q1287" s="77" t="s">
        <v>2078</v>
      </c>
      <c r="R1287" s="77">
        <v>1</v>
      </c>
      <c r="S1287" s="77">
        <v>1</v>
      </c>
      <c r="T1287" s="77">
        <v>0</v>
      </c>
      <c r="U1287" s="77">
        <v>0</v>
      </c>
      <c r="V1287" s="77">
        <v>357</v>
      </c>
      <c r="W1287" s="82" t="s">
        <v>5474</v>
      </c>
      <c r="X1287" s="80" t="str">
        <f>HYPERLINK("https://www.seudinheiro.com/2023/colunistas/day-trade-na-b3-saiba-como-lucrar-ate-9-com-acoes-da-sanepar-sapr4-13-06-miql/")</f>
        <v>https://www.seudinheiro.com/2023/colunistas/day-trade-na-b3-saiba-como-lucrar-ate-9-com-acoes-da-sanepar-sapr4-13-06-miql/</v>
      </c>
      <c r="Y1287" s="77" t="s">
        <v>7102</v>
      </c>
      <c r="Z1287" s="77"/>
      <c r="AA1287" s="77"/>
      <c r="AB1287" s="77"/>
      <c r="AC1287" s="82" t="s">
        <v>8255</v>
      </c>
      <c r="AD1287" s="77" t="s">
        <v>8278</v>
      </c>
      <c r="AE1287" s="80" t="str">
        <f>HYPERLINK("https://twitter.com/seu_dinheiro_br/status/1668576980810211328")</f>
        <v>https://twitter.com/seu_dinheiro_br/status/1668576980810211328</v>
      </c>
      <c r="AF1287" s="79">
        <v>45090.466747685183</v>
      </c>
      <c r="AG1287" s="85">
        <v>45090</v>
      </c>
      <c r="AH1287" s="82" t="s">
        <v>9434</v>
      </c>
      <c r="AI1287" s="77" t="b">
        <v>0</v>
      </c>
      <c r="AJ1287" s="77"/>
      <c r="AK1287" s="77"/>
      <c r="AL1287" s="77"/>
      <c r="AM1287" s="77"/>
      <c r="AN1287" s="77"/>
      <c r="AO1287" s="77"/>
      <c r="AP1287" s="77"/>
      <c r="AQ1287" s="77"/>
      <c r="AR1287" s="77"/>
      <c r="AS1287" s="77"/>
      <c r="AT1287" s="77"/>
      <c r="AU1287" s="77"/>
      <c r="AV1287" s="80" t="str">
        <f>HYPERLINK("https://pbs.twimg.com/profile_images/1041725334431952896/uaPtkYSp_normal.jpg")</f>
        <v>https://pbs.twimg.com/profile_images/1041725334431952896/uaPtkYSp_normal.jpg</v>
      </c>
      <c r="AW1287" s="82" t="s">
        <v>14382</v>
      </c>
      <c r="AX1287" s="82" t="s">
        <v>14382</v>
      </c>
      <c r="AY1287" s="77"/>
      <c r="AZ1287" s="82" t="s">
        <v>17385</v>
      </c>
      <c r="BA1287" s="82" t="s">
        <v>17385</v>
      </c>
      <c r="BB1287" s="82" t="s">
        <v>17385</v>
      </c>
      <c r="BC1287" s="82" t="s">
        <v>14382</v>
      </c>
      <c r="BD1287" s="82" t="s">
        <v>17550</v>
      </c>
      <c r="BE1287" s="77"/>
      <c r="BF1287" s="77"/>
      <c r="BG1287" s="77"/>
      <c r="BH1287" s="77"/>
      <c r="BI1287" s="77"/>
    </row>
    <row r="1288" spans="1:61" x14ac:dyDescent="0.25">
      <c r="A1288" s="62" t="s">
        <v>425</v>
      </c>
      <c r="B1288" s="62" t="s">
        <v>425</v>
      </c>
      <c r="C1288" s="63"/>
      <c r="D1288" s="64"/>
      <c r="E1288" s="65"/>
      <c r="F1288" s="66"/>
      <c r="G1288" s="63"/>
      <c r="H1288" s="67"/>
      <c r="I1288" s="68"/>
      <c r="J1288" s="68"/>
      <c r="K1288" s="32"/>
      <c r="L1288" s="75">
        <v>1288</v>
      </c>
      <c r="M1288" s="75"/>
      <c r="N1288" s="70"/>
      <c r="O1288" s="77" t="s">
        <v>179</v>
      </c>
      <c r="P1288" s="79">
        <v>45089.961145833331</v>
      </c>
      <c r="Q1288" s="77" t="s">
        <v>2079</v>
      </c>
      <c r="R1288" s="77">
        <v>0</v>
      </c>
      <c r="S1288" s="77">
        <v>0</v>
      </c>
      <c r="T1288" s="77">
        <v>0</v>
      </c>
      <c r="U1288" s="77">
        <v>0</v>
      </c>
      <c r="V1288" s="77">
        <v>318</v>
      </c>
      <c r="W1288" s="82" t="s">
        <v>5494</v>
      </c>
      <c r="X1288" s="80" t="str">
        <f>HYPERLINK("https://www.seudinheiro.com/2023/colunistas/no-mercado-de-acoes-mentiras-sinceras-me-interessam-vvka/")</f>
        <v>https://www.seudinheiro.com/2023/colunistas/no-mercado-de-acoes-mentiras-sinceras-me-interessam-vvka/</v>
      </c>
      <c r="Y1288" s="77" t="s">
        <v>7102</v>
      </c>
      <c r="Z1288" s="77"/>
      <c r="AA1288" s="77"/>
      <c r="AB1288" s="77"/>
      <c r="AC1288" s="82" t="s">
        <v>8255</v>
      </c>
      <c r="AD1288" s="77" t="s">
        <v>8278</v>
      </c>
      <c r="AE1288" s="80" t="str">
        <f>HYPERLINK("https://twitter.com/seu_dinheiro_br/status/1668393758235164673")</f>
        <v>https://twitter.com/seu_dinheiro_br/status/1668393758235164673</v>
      </c>
      <c r="AF1288" s="79">
        <v>45089.961145833331</v>
      </c>
      <c r="AG1288" s="85">
        <v>45089</v>
      </c>
      <c r="AH1288" s="82" t="s">
        <v>9435</v>
      </c>
      <c r="AI1288" s="77" t="b">
        <v>0</v>
      </c>
      <c r="AJ1288" s="77"/>
      <c r="AK1288" s="77"/>
      <c r="AL1288" s="77"/>
      <c r="AM1288" s="77"/>
      <c r="AN1288" s="77"/>
      <c r="AO1288" s="77"/>
      <c r="AP1288" s="77"/>
      <c r="AQ1288" s="77"/>
      <c r="AR1288" s="77"/>
      <c r="AS1288" s="77"/>
      <c r="AT1288" s="77"/>
      <c r="AU1288" s="77"/>
      <c r="AV1288" s="80" t="str">
        <f>HYPERLINK("https://pbs.twimg.com/profile_images/1041725334431952896/uaPtkYSp_normal.jpg")</f>
        <v>https://pbs.twimg.com/profile_images/1041725334431952896/uaPtkYSp_normal.jpg</v>
      </c>
      <c r="AW1288" s="82" t="s">
        <v>14383</v>
      </c>
      <c r="AX1288" s="82" t="s">
        <v>14383</v>
      </c>
      <c r="AY1288" s="77"/>
      <c r="AZ1288" s="82" t="s">
        <v>17385</v>
      </c>
      <c r="BA1288" s="82" t="s">
        <v>17385</v>
      </c>
      <c r="BB1288" s="82" t="s">
        <v>17385</v>
      </c>
      <c r="BC1288" s="82" t="s">
        <v>14383</v>
      </c>
      <c r="BD1288" s="82" t="s">
        <v>17550</v>
      </c>
      <c r="BE1288" s="77"/>
      <c r="BF1288" s="77"/>
      <c r="BG1288" s="77"/>
      <c r="BH1288" s="77"/>
      <c r="BI1288" s="77"/>
    </row>
    <row r="1289" spans="1:61" x14ac:dyDescent="0.25">
      <c r="A1289" s="62" t="s">
        <v>425</v>
      </c>
      <c r="B1289" s="62" t="s">
        <v>425</v>
      </c>
      <c r="C1289" s="63"/>
      <c r="D1289" s="64"/>
      <c r="E1289" s="65"/>
      <c r="F1289" s="66"/>
      <c r="G1289" s="63"/>
      <c r="H1289" s="67"/>
      <c r="I1289" s="68"/>
      <c r="J1289" s="68"/>
      <c r="K1289" s="32"/>
      <c r="L1289" s="75">
        <v>1289</v>
      </c>
      <c r="M1289" s="75"/>
      <c r="N1289" s="70"/>
      <c r="O1289" s="77" t="s">
        <v>179</v>
      </c>
      <c r="P1289" s="79">
        <v>45089.858298611114</v>
      </c>
      <c r="Q1289" s="77" t="s">
        <v>2080</v>
      </c>
      <c r="R1289" s="77">
        <v>0</v>
      </c>
      <c r="S1289" s="77">
        <v>1</v>
      </c>
      <c r="T1289" s="77">
        <v>0</v>
      </c>
      <c r="U1289" s="77">
        <v>0</v>
      </c>
      <c r="V1289" s="77">
        <v>329</v>
      </c>
      <c r="W1289" s="82" t="s">
        <v>5626</v>
      </c>
      <c r="X1289" s="80" t="str">
        <f>HYPERLINK("https://www.seudinheiro.com/2023/empresas/perdeu-petrobras-outra-petroleira-queridinha-dos-analistas-para-junho-lbdr/")</f>
        <v>https://www.seudinheiro.com/2023/empresas/perdeu-petrobras-outra-petroleira-queridinha-dos-analistas-para-junho-lbdr/</v>
      </c>
      <c r="Y1289" s="77" t="s">
        <v>7102</v>
      </c>
      <c r="Z1289" s="77"/>
      <c r="AA1289" s="77"/>
      <c r="AB1289" s="77"/>
      <c r="AC1289" s="82" t="s">
        <v>8255</v>
      </c>
      <c r="AD1289" s="77" t="s">
        <v>8278</v>
      </c>
      <c r="AE1289" s="80" t="str">
        <f>HYPERLINK("https://twitter.com/seu_dinheiro_br/status/1668356487796645912")</f>
        <v>https://twitter.com/seu_dinheiro_br/status/1668356487796645912</v>
      </c>
      <c r="AF1289" s="79">
        <v>45089.858298611114</v>
      </c>
      <c r="AG1289" s="85">
        <v>45089</v>
      </c>
      <c r="AH1289" s="82" t="s">
        <v>9436</v>
      </c>
      <c r="AI1289" s="77" t="b">
        <v>0</v>
      </c>
      <c r="AJ1289" s="77"/>
      <c r="AK1289" s="77"/>
      <c r="AL1289" s="77"/>
      <c r="AM1289" s="77"/>
      <c r="AN1289" s="77"/>
      <c r="AO1289" s="77"/>
      <c r="AP1289" s="77"/>
      <c r="AQ1289" s="77"/>
      <c r="AR1289" s="77"/>
      <c r="AS1289" s="77"/>
      <c r="AT1289" s="77"/>
      <c r="AU1289" s="77"/>
      <c r="AV1289" s="80" t="str">
        <f>HYPERLINK("https://pbs.twimg.com/profile_images/1041725334431952896/uaPtkYSp_normal.jpg")</f>
        <v>https://pbs.twimg.com/profile_images/1041725334431952896/uaPtkYSp_normal.jpg</v>
      </c>
      <c r="AW1289" s="82" t="s">
        <v>14384</v>
      </c>
      <c r="AX1289" s="82" t="s">
        <v>14384</v>
      </c>
      <c r="AY1289" s="77"/>
      <c r="AZ1289" s="82" t="s">
        <v>17385</v>
      </c>
      <c r="BA1289" s="82" t="s">
        <v>17385</v>
      </c>
      <c r="BB1289" s="82" t="s">
        <v>17385</v>
      </c>
      <c r="BC1289" s="82" t="s">
        <v>14384</v>
      </c>
      <c r="BD1289" s="82" t="s">
        <v>17550</v>
      </c>
      <c r="BE1289" s="77"/>
      <c r="BF1289" s="77"/>
      <c r="BG1289" s="77"/>
      <c r="BH1289" s="77"/>
      <c r="BI1289" s="77"/>
    </row>
    <row r="1290" spans="1:61" x14ac:dyDescent="0.25">
      <c r="A1290" s="62" t="s">
        <v>425</v>
      </c>
      <c r="B1290" s="62" t="s">
        <v>425</v>
      </c>
      <c r="C1290" s="63"/>
      <c r="D1290" s="64"/>
      <c r="E1290" s="65"/>
      <c r="F1290" s="66"/>
      <c r="G1290" s="63"/>
      <c r="H1290" s="67"/>
      <c r="I1290" s="68"/>
      <c r="J1290" s="68"/>
      <c r="K1290" s="32"/>
      <c r="L1290" s="75">
        <v>1290</v>
      </c>
      <c r="M1290" s="75"/>
      <c r="N1290" s="70"/>
      <c r="O1290" s="77" t="s">
        <v>179</v>
      </c>
      <c r="P1290" s="79">
        <v>45089.706319444442</v>
      </c>
      <c r="Q1290" s="77" t="s">
        <v>2081</v>
      </c>
      <c r="R1290" s="77">
        <v>1</v>
      </c>
      <c r="S1290" s="77">
        <v>1</v>
      </c>
      <c r="T1290" s="77">
        <v>0</v>
      </c>
      <c r="U1290" s="77">
        <v>0</v>
      </c>
      <c r="V1290" s="77">
        <v>518</v>
      </c>
      <c r="W1290" s="82" t="s">
        <v>5627</v>
      </c>
      <c r="X1290" s="80" t="str">
        <f>HYPERLINK("https://www.seudinheiro.com/2023/empresas/jp-morgan-tambem-se-rende-a-petrobras-petr4-por-que-o-banco-se-juntou-a-lista-dos-que-recomendam-a-compra-das-acoes-da-estatal-ccgg/")</f>
        <v>https://www.seudinheiro.com/2023/empresas/jp-morgan-tambem-se-rende-a-petrobras-petr4-por-que-o-banco-se-juntou-a-lista-dos-que-recomendam-a-compra-das-acoes-da-estatal-ccgg/</v>
      </c>
      <c r="Y1290" s="77" t="s">
        <v>7102</v>
      </c>
      <c r="Z1290" s="77"/>
      <c r="AA1290" s="77"/>
      <c r="AB1290" s="77"/>
      <c r="AC1290" s="82" t="s">
        <v>8255</v>
      </c>
      <c r="AD1290" s="77" t="s">
        <v>8278</v>
      </c>
      <c r="AE1290" s="80" t="str">
        <f>HYPERLINK("https://twitter.com/seu_dinheiro_br/status/1668301410436362241")</f>
        <v>https://twitter.com/seu_dinheiro_br/status/1668301410436362241</v>
      </c>
      <c r="AF1290" s="79">
        <v>45089.706319444442</v>
      </c>
      <c r="AG1290" s="85">
        <v>45089</v>
      </c>
      <c r="AH1290" s="82" t="s">
        <v>9437</v>
      </c>
      <c r="AI1290" s="77" t="b">
        <v>0</v>
      </c>
      <c r="AJ1290" s="77"/>
      <c r="AK1290" s="77"/>
      <c r="AL1290" s="77"/>
      <c r="AM1290" s="77"/>
      <c r="AN1290" s="77"/>
      <c r="AO1290" s="77"/>
      <c r="AP1290" s="77"/>
      <c r="AQ1290" s="77"/>
      <c r="AR1290" s="77"/>
      <c r="AS1290" s="77"/>
      <c r="AT1290" s="77"/>
      <c r="AU1290" s="77"/>
      <c r="AV1290" s="80" t="str">
        <f>HYPERLINK("https://pbs.twimg.com/profile_images/1041725334431952896/uaPtkYSp_normal.jpg")</f>
        <v>https://pbs.twimg.com/profile_images/1041725334431952896/uaPtkYSp_normal.jpg</v>
      </c>
      <c r="AW1290" s="82" t="s">
        <v>14385</v>
      </c>
      <c r="AX1290" s="82" t="s">
        <v>14385</v>
      </c>
      <c r="AY1290" s="77"/>
      <c r="AZ1290" s="82" t="s">
        <v>17385</v>
      </c>
      <c r="BA1290" s="82" t="s">
        <v>17385</v>
      </c>
      <c r="BB1290" s="82" t="s">
        <v>17385</v>
      </c>
      <c r="BC1290" s="82" t="s">
        <v>14385</v>
      </c>
      <c r="BD1290" s="82" t="s">
        <v>17550</v>
      </c>
      <c r="BE1290" s="77"/>
      <c r="BF1290" s="77"/>
      <c r="BG1290" s="77"/>
      <c r="BH1290" s="77"/>
      <c r="BI1290" s="77"/>
    </row>
    <row r="1291" spans="1:61" x14ac:dyDescent="0.25">
      <c r="A1291" s="62" t="s">
        <v>425</v>
      </c>
      <c r="B1291" s="62" t="s">
        <v>425</v>
      </c>
      <c r="C1291" s="63"/>
      <c r="D1291" s="64"/>
      <c r="E1291" s="65"/>
      <c r="F1291" s="66"/>
      <c r="G1291" s="63"/>
      <c r="H1291" s="67"/>
      <c r="I1291" s="68"/>
      <c r="J1291" s="68"/>
      <c r="K1291" s="32"/>
      <c r="L1291" s="75">
        <v>1291</v>
      </c>
      <c r="M1291" s="75"/>
      <c r="N1291" s="70"/>
      <c r="O1291" s="77" t="s">
        <v>179</v>
      </c>
      <c r="P1291" s="79">
        <v>45077.960949074077</v>
      </c>
      <c r="Q1291" s="77" t="s">
        <v>2082</v>
      </c>
      <c r="R1291" s="77">
        <v>0</v>
      </c>
      <c r="S1291" s="77">
        <v>0</v>
      </c>
      <c r="T1291" s="77">
        <v>0</v>
      </c>
      <c r="U1291" s="77">
        <v>0</v>
      </c>
      <c r="V1291" s="77">
        <v>262</v>
      </c>
      <c r="W1291" s="82" t="s">
        <v>5628</v>
      </c>
      <c r="X1291" s="80" t="str">
        <f>HYPERLINK("https://www.seudinheiro.com/2023/colunistas/commodities-bolsa-problema-solucao-vice-versa-vvka/")</f>
        <v>https://www.seudinheiro.com/2023/colunistas/commodities-bolsa-problema-solucao-vice-versa-vvka/</v>
      </c>
      <c r="Y1291" s="77" t="s">
        <v>7102</v>
      </c>
      <c r="Z1291" s="77"/>
      <c r="AA1291" s="77"/>
      <c r="AB1291" s="77"/>
      <c r="AC1291" s="82" t="s">
        <v>8255</v>
      </c>
      <c r="AD1291" s="77" t="s">
        <v>8278</v>
      </c>
      <c r="AE1291" s="80" t="str">
        <f>HYPERLINK("https://twitter.com/seu_dinheiro_br/status/1664045029352960000")</f>
        <v>https://twitter.com/seu_dinheiro_br/status/1664045029352960000</v>
      </c>
      <c r="AF1291" s="79">
        <v>45077.960949074077</v>
      </c>
      <c r="AG1291" s="85">
        <v>45077</v>
      </c>
      <c r="AH1291" s="82" t="s">
        <v>9438</v>
      </c>
      <c r="AI1291" s="77" t="b">
        <v>0</v>
      </c>
      <c r="AJ1291" s="77"/>
      <c r="AK1291" s="77"/>
      <c r="AL1291" s="77"/>
      <c r="AM1291" s="77"/>
      <c r="AN1291" s="77"/>
      <c r="AO1291" s="77"/>
      <c r="AP1291" s="77"/>
      <c r="AQ1291" s="77"/>
      <c r="AR1291" s="77"/>
      <c r="AS1291" s="77"/>
      <c r="AT1291" s="77"/>
      <c r="AU1291" s="77"/>
      <c r="AV1291" s="80" t="str">
        <f>HYPERLINK("https://pbs.twimg.com/profile_images/1041725334431952896/uaPtkYSp_normal.jpg")</f>
        <v>https://pbs.twimg.com/profile_images/1041725334431952896/uaPtkYSp_normal.jpg</v>
      </c>
      <c r="AW1291" s="82" t="s">
        <v>14386</v>
      </c>
      <c r="AX1291" s="82" t="s">
        <v>14386</v>
      </c>
      <c r="AY1291" s="77"/>
      <c r="AZ1291" s="82" t="s">
        <v>17385</v>
      </c>
      <c r="BA1291" s="82" t="s">
        <v>17385</v>
      </c>
      <c r="BB1291" s="82" t="s">
        <v>17385</v>
      </c>
      <c r="BC1291" s="82" t="s">
        <v>14386</v>
      </c>
      <c r="BD1291" s="82" t="s">
        <v>17550</v>
      </c>
      <c r="BE1291" s="77"/>
      <c r="BF1291" s="77"/>
      <c r="BG1291" s="77"/>
      <c r="BH1291" s="77"/>
      <c r="BI1291" s="77"/>
    </row>
    <row r="1292" spans="1:61" x14ac:dyDescent="0.25">
      <c r="A1292" s="62" t="s">
        <v>425</v>
      </c>
      <c r="B1292" s="62" t="s">
        <v>425</v>
      </c>
      <c r="C1292" s="63"/>
      <c r="D1292" s="64"/>
      <c r="E1292" s="65"/>
      <c r="F1292" s="66"/>
      <c r="G1292" s="63"/>
      <c r="H1292" s="67"/>
      <c r="I1292" s="68"/>
      <c r="J1292" s="68"/>
      <c r="K1292" s="32"/>
      <c r="L1292" s="75">
        <v>1292</v>
      </c>
      <c r="M1292" s="75"/>
      <c r="N1292" s="70"/>
      <c r="O1292" s="77" t="s">
        <v>179</v>
      </c>
      <c r="P1292" s="79">
        <v>45077.628229166665</v>
      </c>
      <c r="Q1292" s="77" t="s">
        <v>2083</v>
      </c>
      <c r="R1292" s="77">
        <v>0</v>
      </c>
      <c r="S1292" s="77">
        <v>1</v>
      </c>
      <c r="T1292" s="77">
        <v>0</v>
      </c>
      <c r="U1292" s="77">
        <v>0</v>
      </c>
      <c r="V1292" s="77">
        <v>220</v>
      </c>
      <c r="W1292" s="82" t="s">
        <v>5548</v>
      </c>
      <c r="X1292" s="80" t="str">
        <f>HYPERLINK("https://www.seudinheiro.com/2023/empresas/com-corte-da-selic-no-segundo-semestre-acoes-da-b3-b3sa3-podem-subir-mais-de-30-projeta-bofa-flal/")</f>
        <v>https://www.seudinheiro.com/2023/empresas/com-corte-da-selic-no-segundo-semestre-acoes-da-b3-b3sa3-podem-subir-mais-de-30-projeta-bofa-flal/</v>
      </c>
      <c r="Y1292" s="77" t="s">
        <v>7102</v>
      </c>
      <c r="Z1292" s="77"/>
      <c r="AA1292" s="77"/>
      <c r="AB1292" s="77"/>
      <c r="AC1292" s="82" t="s">
        <v>8255</v>
      </c>
      <c r="AD1292" s="77" t="s">
        <v>8278</v>
      </c>
      <c r="AE1292" s="80" t="str">
        <f>HYPERLINK("https://twitter.com/seu_dinheiro_br/status/1663924459235942400")</f>
        <v>https://twitter.com/seu_dinheiro_br/status/1663924459235942400</v>
      </c>
      <c r="AF1292" s="79">
        <v>45077.628229166665</v>
      </c>
      <c r="AG1292" s="85">
        <v>45077</v>
      </c>
      <c r="AH1292" s="82" t="s">
        <v>9439</v>
      </c>
      <c r="AI1292" s="77" t="b">
        <v>0</v>
      </c>
      <c r="AJ1292" s="77"/>
      <c r="AK1292" s="77"/>
      <c r="AL1292" s="77"/>
      <c r="AM1292" s="77"/>
      <c r="AN1292" s="77"/>
      <c r="AO1292" s="77"/>
      <c r="AP1292" s="77"/>
      <c r="AQ1292" s="77"/>
      <c r="AR1292" s="77"/>
      <c r="AS1292" s="77"/>
      <c r="AT1292" s="77"/>
      <c r="AU1292" s="77"/>
      <c r="AV1292" s="80" t="str">
        <f>HYPERLINK("https://pbs.twimg.com/profile_images/1041725334431952896/uaPtkYSp_normal.jpg")</f>
        <v>https://pbs.twimg.com/profile_images/1041725334431952896/uaPtkYSp_normal.jpg</v>
      </c>
      <c r="AW1292" s="82" t="s">
        <v>14387</v>
      </c>
      <c r="AX1292" s="82" t="s">
        <v>14387</v>
      </c>
      <c r="AY1292" s="77"/>
      <c r="AZ1292" s="82" t="s">
        <v>17385</v>
      </c>
      <c r="BA1292" s="82" t="s">
        <v>17385</v>
      </c>
      <c r="BB1292" s="82" t="s">
        <v>17385</v>
      </c>
      <c r="BC1292" s="82" t="s">
        <v>14387</v>
      </c>
      <c r="BD1292" s="82" t="s">
        <v>17550</v>
      </c>
      <c r="BE1292" s="77"/>
      <c r="BF1292" s="77"/>
      <c r="BG1292" s="77"/>
      <c r="BH1292" s="77"/>
      <c r="BI1292" s="77"/>
    </row>
    <row r="1293" spans="1:61" x14ac:dyDescent="0.25">
      <c r="A1293" s="62" t="s">
        <v>425</v>
      </c>
      <c r="B1293" s="62" t="s">
        <v>425</v>
      </c>
      <c r="C1293" s="63"/>
      <c r="D1293" s="64"/>
      <c r="E1293" s="65"/>
      <c r="F1293" s="66"/>
      <c r="G1293" s="63"/>
      <c r="H1293" s="67"/>
      <c r="I1293" s="68"/>
      <c r="J1293" s="68"/>
      <c r="K1293" s="32"/>
      <c r="L1293" s="75">
        <v>1293</v>
      </c>
      <c r="M1293" s="75"/>
      <c r="N1293" s="70"/>
      <c r="O1293" s="77" t="s">
        <v>179</v>
      </c>
      <c r="P1293" s="79">
        <v>45077.564351851855</v>
      </c>
      <c r="Q1293" s="77" t="s">
        <v>2084</v>
      </c>
      <c r="R1293" s="77">
        <v>0</v>
      </c>
      <c r="S1293" s="77">
        <v>0</v>
      </c>
      <c r="T1293" s="77">
        <v>0</v>
      </c>
      <c r="U1293" s="77">
        <v>0</v>
      </c>
      <c r="V1293" s="77">
        <v>193</v>
      </c>
      <c r="W1293" s="82" t="s">
        <v>5475</v>
      </c>
      <c r="X1293" s="80" t="str">
        <f>HYPERLINK("https://www.seudinheiro.com/2023/empresas/taesa-taee11-aval-ons-linha-de-transmissao-rs-acnn-miql/")</f>
        <v>https://www.seudinheiro.com/2023/empresas/taesa-taee11-aval-ons-linha-de-transmissao-rs-acnn-miql/</v>
      </c>
      <c r="Y1293" s="77" t="s">
        <v>7102</v>
      </c>
      <c r="Z1293" s="77"/>
      <c r="AA1293" s="77"/>
      <c r="AB1293" s="77"/>
      <c r="AC1293" s="82" t="s">
        <v>8255</v>
      </c>
      <c r="AD1293" s="77" t="s">
        <v>8278</v>
      </c>
      <c r="AE1293" s="80" t="str">
        <f>HYPERLINK("https://twitter.com/seu_dinheiro_br/status/1663901307336290307")</f>
        <v>https://twitter.com/seu_dinheiro_br/status/1663901307336290307</v>
      </c>
      <c r="AF1293" s="79">
        <v>45077.564351851855</v>
      </c>
      <c r="AG1293" s="85">
        <v>45077</v>
      </c>
      <c r="AH1293" s="82" t="s">
        <v>9440</v>
      </c>
      <c r="AI1293" s="77" t="b">
        <v>0</v>
      </c>
      <c r="AJ1293" s="77"/>
      <c r="AK1293" s="77"/>
      <c r="AL1293" s="77"/>
      <c r="AM1293" s="77"/>
      <c r="AN1293" s="77"/>
      <c r="AO1293" s="77"/>
      <c r="AP1293" s="77"/>
      <c r="AQ1293" s="77"/>
      <c r="AR1293" s="77"/>
      <c r="AS1293" s="77"/>
      <c r="AT1293" s="77"/>
      <c r="AU1293" s="77"/>
      <c r="AV1293" s="80" t="str">
        <f>HYPERLINK("https://pbs.twimg.com/profile_images/1041725334431952896/uaPtkYSp_normal.jpg")</f>
        <v>https://pbs.twimg.com/profile_images/1041725334431952896/uaPtkYSp_normal.jpg</v>
      </c>
      <c r="AW1293" s="82" t="s">
        <v>14388</v>
      </c>
      <c r="AX1293" s="82" t="s">
        <v>14388</v>
      </c>
      <c r="AY1293" s="77"/>
      <c r="AZ1293" s="82" t="s">
        <v>17385</v>
      </c>
      <c r="BA1293" s="82" t="s">
        <v>17385</v>
      </c>
      <c r="BB1293" s="82" t="s">
        <v>17385</v>
      </c>
      <c r="BC1293" s="82" t="s">
        <v>14388</v>
      </c>
      <c r="BD1293" s="82" t="s">
        <v>17550</v>
      </c>
      <c r="BE1293" s="77"/>
      <c r="BF1293" s="77"/>
      <c r="BG1293" s="77"/>
      <c r="BH1293" s="77"/>
      <c r="BI1293" s="77"/>
    </row>
    <row r="1294" spans="1:61" x14ac:dyDescent="0.25">
      <c r="A1294" s="62" t="s">
        <v>425</v>
      </c>
      <c r="B1294" s="62" t="s">
        <v>425</v>
      </c>
      <c r="C1294" s="63"/>
      <c r="D1294" s="64"/>
      <c r="E1294" s="65"/>
      <c r="F1294" s="66"/>
      <c r="G1294" s="63"/>
      <c r="H1294" s="67"/>
      <c r="I1294" s="68"/>
      <c r="J1294" s="68"/>
      <c r="K1294" s="32"/>
      <c r="L1294" s="75">
        <v>1294</v>
      </c>
      <c r="M1294" s="75"/>
      <c r="N1294" s="70"/>
      <c r="O1294" s="77" t="s">
        <v>179</v>
      </c>
      <c r="P1294" s="79">
        <v>45077.466493055559</v>
      </c>
      <c r="Q1294" s="77" t="s">
        <v>2085</v>
      </c>
      <c r="R1294" s="77">
        <v>0</v>
      </c>
      <c r="S1294" s="77">
        <v>0</v>
      </c>
      <c r="T1294" s="77">
        <v>0</v>
      </c>
      <c r="U1294" s="77">
        <v>0</v>
      </c>
      <c r="V1294" s="77">
        <v>238</v>
      </c>
      <c r="W1294" s="82" t="s">
        <v>5478</v>
      </c>
      <c r="X1294" s="80" t="str">
        <f>HYPERLINK("https://www.seudinheiro.com/2023/empresas/netflix-lancamentos-junho-novas-temporadas-black-mirror-the-witcher-miql/")</f>
        <v>https://www.seudinheiro.com/2023/empresas/netflix-lancamentos-junho-novas-temporadas-black-mirror-the-witcher-miql/</v>
      </c>
      <c r="Y1294" s="77" t="s">
        <v>7102</v>
      </c>
      <c r="Z1294" s="77"/>
      <c r="AA1294" s="77"/>
      <c r="AB1294" s="77"/>
      <c r="AC1294" s="82" t="s">
        <v>8255</v>
      </c>
      <c r="AD1294" s="77" t="s">
        <v>8278</v>
      </c>
      <c r="AE1294" s="80" t="str">
        <f>HYPERLINK("https://twitter.com/seu_dinheiro_br/status/1663865846962241540")</f>
        <v>https://twitter.com/seu_dinheiro_br/status/1663865846962241540</v>
      </c>
      <c r="AF1294" s="79">
        <v>45077.466493055559</v>
      </c>
      <c r="AG1294" s="85">
        <v>45077</v>
      </c>
      <c r="AH1294" s="82" t="s">
        <v>9441</v>
      </c>
      <c r="AI1294" s="77" t="b">
        <v>0</v>
      </c>
      <c r="AJ1294" s="77"/>
      <c r="AK1294" s="77"/>
      <c r="AL1294" s="77"/>
      <c r="AM1294" s="77"/>
      <c r="AN1294" s="77"/>
      <c r="AO1294" s="77"/>
      <c r="AP1294" s="77"/>
      <c r="AQ1294" s="77"/>
      <c r="AR1294" s="77"/>
      <c r="AS1294" s="77"/>
      <c r="AT1294" s="77"/>
      <c r="AU1294" s="77"/>
      <c r="AV1294" s="80" t="str">
        <f>HYPERLINK("https://pbs.twimg.com/profile_images/1041725334431952896/uaPtkYSp_normal.jpg")</f>
        <v>https://pbs.twimg.com/profile_images/1041725334431952896/uaPtkYSp_normal.jpg</v>
      </c>
      <c r="AW1294" s="82" t="s">
        <v>14389</v>
      </c>
      <c r="AX1294" s="82" t="s">
        <v>14389</v>
      </c>
      <c r="AY1294" s="77"/>
      <c r="AZ1294" s="82" t="s">
        <v>17385</v>
      </c>
      <c r="BA1294" s="82" t="s">
        <v>17385</v>
      </c>
      <c r="BB1294" s="82" t="s">
        <v>17385</v>
      </c>
      <c r="BC1294" s="82" t="s">
        <v>14389</v>
      </c>
      <c r="BD1294" s="82" t="s">
        <v>17550</v>
      </c>
      <c r="BE1294" s="77"/>
      <c r="BF1294" s="77"/>
      <c r="BG1294" s="77"/>
      <c r="BH1294" s="77"/>
      <c r="BI1294" s="77"/>
    </row>
    <row r="1295" spans="1:61" x14ac:dyDescent="0.25">
      <c r="A1295" s="62" t="s">
        <v>425</v>
      </c>
      <c r="B1295" s="62" t="s">
        <v>425</v>
      </c>
      <c r="C1295" s="63"/>
      <c r="D1295" s="64"/>
      <c r="E1295" s="65"/>
      <c r="F1295" s="66"/>
      <c r="G1295" s="63"/>
      <c r="H1295" s="67"/>
      <c r="I1295" s="68"/>
      <c r="J1295" s="68"/>
      <c r="K1295" s="32"/>
      <c r="L1295" s="75">
        <v>1295</v>
      </c>
      <c r="M1295" s="75"/>
      <c r="N1295" s="70"/>
      <c r="O1295" s="77" t="s">
        <v>179</v>
      </c>
      <c r="P1295" s="79">
        <v>45077.404803240737</v>
      </c>
      <c r="Q1295" s="77" t="s">
        <v>2086</v>
      </c>
      <c r="R1295" s="77">
        <v>0</v>
      </c>
      <c r="S1295" s="77">
        <v>1</v>
      </c>
      <c r="T1295" s="77">
        <v>0</v>
      </c>
      <c r="U1295" s="77">
        <v>0</v>
      </c>
      <c r="V1295" s="77">
        <v>327</v>
      </c>
      <c r="W1295" s="82" t="s">
        <v>5629</v>
      </c>
      <c r="X1295" s="80" t="str">
        <f>HYPERLINK("https://www.seudinheiro.com/2023/empresas/slc-agricola-slce3-mira-biocombustiveis-startups-para-crescer-mas-sem-deixar-de-engordar-conta-dos-acionistas-com-dividendos-acnn/")</f>
        <v>https://www.seudinheiro.com/2023/empresas/slc-agricola-slce3-mira-biocombustiveis-startups-para-crescer-mas-sem-deixar-de-engordar-conta-dos-acionistas-com-dividendos-acnn/</v>
      </c>
      <c r="Y1295" s="77" t="s">
        <v>7102</v>
      </c>
      <c r="Z1295" s="77"/>
      <c r="AA1295" s="77"/>
      <c r="AB1295" s="77"/>
      <c r="AC1295" s="82" t="s">
        <v>8255</v>
      </c>
      <c r="AD1295" s="77" t="s">
        <v>8278</v>
      </c>
      <c r="AE1295" s="80" t="str">
        <f>HYPERLINK("https://twitter.com/seu_dinheiro_br/status/1663843489417764865")</f>
        <v>https://twitter.com/seu_dinheiro_br/status/1663843489417764865</v>
      </c>
      <c r="AF1295" s="79">
        <v>45077.404803240737</v>
      </c>
      <c r="AG1295" s="85">
        <v>45077</v>
      </c>
      <c r="AH1295" s="82" t="s">
        <v>9442</v>
      </c>
      <c r="AI1295" s="77" t="b">
        <v>0</v>
      </c>
      <c r="AJ1295" s="77"/>
      <c r="AK1295" s="77"/>
      <c r="AL1295" s="77"/>
      <c r="AM1295" s="77"/>
      <c r="AN1295" s="77"/>
      <c r="AO1295" s="77"/>
      <c r="AP1295" s="77"/>
      <c r="AQ1295" s="77"/>
      <c r="AR1295" s="77"/>
      <c r="AS1295" s="77"/>
      <c r="AT1295" s="77"/>
      <c r="AU1295" s="77"/>
      <c r="AV1295" s="80" t="str">
        <f>HYPERLINK("https://pbs.twimg.com/profile_images/1041725334431952896/uaPtkYSp_normal.jpg")</f>
        <v>https://pbs.twimg.com/profile_images/1041725334431952896/uaPtkYSp_normal.jpg</v>
      </c>
      <c r="AW1295" s="82" t="s">
        <v>14390</v>
      </c>
      <c r="AX1295" s="82" t="s">
        <v>14390</v>
      </c>
      <c r="AY1295" s="77"/>
      <c r="AZ1295" s="82" t="s">
        <v>17385</v>
      </c>
      <c r="BA1295" s="82" t="s">
        <v>17385</v>
      </c>
      <c r="BB1295" s="82" t="s">
        <v>17385</v>
      </c>
      <c r="BC1295" s="82" t="s">
        <v>14390</v>
      </c>
      <c r="BD1295" s="82" t="s">
        <v>17550</v>
      </c>
      <c r="BE1295" s="77"/>
      <c r="BF1295" s="77"/>
      <c r="BG1295" s="77"/>
      <c r="BH1295" s="77"/>
      <c r="BI1295" s="77"/>
    </row>
    <row r="1296" spans="1:61" x14ac:dyDescent="0.25">
      <c r="A1296" s="62" t="s">
        <v>425</v>
      </c>
      <c r="B1296" s="62" t="s">
        <v>425</v>
      </c>
      <c r="C1296" s="63"/>
      <c r="D1296" s="64"/>
      <c r="E1296" s="65"/>
      <c r="F1296" s="66"/>
      <c r="G1296" s="63"/>
      <c r="H1296" s="67"/>
      <c r="I1296" s="68"/>
      <c r="J1296" s="68"/>
      <c r="K1296" s="32"/>
      <c r="L1296" s="75">
        <v>1296</v>
      </c>
      <c r="M1296" s="75"/>
      <c r="N1296" s="70"/>
      <c r="O1296" s="77" t="s">
        <v>179</v>
      </c>
      <c r="P1296" s="79">
        <v>45076.705462962964</v>
      </c>
      <c r="Q1296" s="77" t="s">
        <v>2087</v>
      </c>
      <c r="R1296" s="77">
        <v>0</v>
      </c>
      <c r="S1296" s="77">
        <v>0</v>
      </c>
      <c r="T1296" s="77">
        <v>0</v>
      </c>
      <c r="U1296" s="77">
        <v>0</v>
      </c>
      <c r="V1296" s="77">
        <v>222</v>
      </c>
      <c r="W1296" s="82" t="s">
        <v>5482</v>
      </c>
      <c r="X1296" s="80" t="str">
        <f>HYPERLINK("https://www.seudinheiro.com/2023/colunistas/o-poker-dos-investimentos-saiba-o-risco-que-voce-quer-correr-miql/")</f>
        <v>https://www.seudinheiro.com/2023/colunistas/o-poker-dos-investimentos-saiba-o-risco-que-voce-quer-correr-miql/</v>
      </c>
      <c r="Y1296" s="77" t="s">
        <v>7102</v>
      </c>
      <c r="Z1296" s="77"/>
      <c r="AA1296" s="77"/>
      <c r="AB1296" s="77"/>
      <c r="AC1296" s="82" t="s">
        <v>8255</v>
      </c>
      <c r="AD1296" s="77" t="s">
        <v>8278</v>
      </c>
      <c r="AE1296" s="80" t="str">
        <f>HYPERLINK("https://twitter.com/seu_dinheiro_br/status/1663590057452634115")</f>
        <v>https://twitter.com/seu_dinheiro_br/status/1663590057452634115</v>
      </c>
      <c r="AF1296" s="79">
        <v>45076.705462962964</v>
      </c>
      <c r="AG1296" s="85">
        <v>45076</v>
      </c>
      <c r="AH1296" s="82" t="s">
        <v>9443</v>
      </c>
      <c r="AI1296" s="77" t="b">
        <v>0</v>
      </c>
      <c r="AJ1296" s="77"/>
      <c r="AK1296" s="77"/>
      <c r="AL1296" s="77"/>
      <c r="AM1296" s="77"/>
      <c r="AN1296" s="77"/>
      <c r="AO1296" s="77"/>
      <c r="AP1296" s="77"/>
      <c r="AQ1296" s="77"/>
      <c r="AR1296" s="77"/>
      <c r="AS1296" s="77"/>
      <c r="AT1296" s="77"/>
      <c r="AU1296" s="77"/>
      <c r="AV1296" s="80" t="str">
        <f>HYPERLINK("https://pbs.twimg.com/profile_images/1041725334431952896/uaPtkYSp_normal.jpg")</f>
        <v>https://pbs.twimg.com/profile_images/1041725334431952896/uaPtkYSp_normal.jpg</v>
      </c>
      <c r="AW1296" s="82" t="s">
        <v>14391</v>
      </c>
      <c r="AX1296" s="82" t="s">
        <v>14391</v>
      </c>
      <c r="AY1296" s="77"/>
      <c r="AZ1296" s="82" t="s">
        <v>17385</v>
      </c>
      <c r="BA1296" s="82" t="s">
        <v>17385</v>
      </c>
      <c r="BB1296" s="82" t="s">
        <v>17385</v>
      </c>
      <c r="BC1296" s="82" t="s">
        <v>14391</v>
      </c>
      <c r="BD1296" s="82" t="s">
        <v>17550</v>
      </c>
      <c r="BE1296" s="77"/>
      <c r="BF1296" s="77"/>
      <c r="BG1296" s="77"/>
      <c r="BH1296" s="77"/>
      <c r="BI1296" s="77"/>
    </row>
    <row r="1297" spans="1:61" x14ac:dyDescent="0.25">
      <c r="A1297" s="62" t="s">
        <v>425</v>
      </c>
      <c r="B1297" s="62" t="s">
        <v>425</v>
      </c>
      <c r="C1297" s="63"/>
      <c r="D1297" s="64"/>
      <c r="E1297" s="65"/>
      <c r="F1297" s="66"/>
      <c r="G1297" s="63"/>
      <c r="H1297" s="67"/>
      <c r="I1297" s="68"/>
      <c r="J1297" s="68"/>
      <c r="K1297" s="32"/>
      <c r="L1297" s="75">
        <v>1297</v>
      </c>
      <c r="M1297" s="75"/>
      <c r="N1297" s="70"/>
      <c r="O1297" s="77" t="s">
        <v>179</v>
      </c>
      <c r="P1297" s="79">
        <v>45075.955625000002</v>
      </c>
      <c r="Q1297" s="77" t="s">
        <v>2088</v>
      </c>
      <c r="R1297" s="77">
        <v>0</v>
      </c>
      <c r="S1297" s="77">
        <v>2</v>
      </c>
      <c r="T1297" s="77">
        <v>0</v>
      </c>
      <c r="U1297" s="77">
        <v>0</v>
      </c>
      <c r="V1297" s="77">
        <v>357</v>
      </c>
      <c r="W1297" s="82" t="s">
        <v>5630</v>
      </c>
      <c r="X1297" s="80" t="str">
        <f>HYPERLINK("https://www.seudinheiro.com/2023/colunistas/cafe-com-warren-buffett-elon-musk-vvka/")</f>
        <v>https://www.seudinheiro.com/2023/colunistas/cafe-com-warren-buffett-elon-musk-vvka/</v>
      </c>
      <c r="Y1297" s="77" t="s">
        <v>7102</v>
      </c>
      <c r="Z1297" s="77"/>
      <c r="AA1297" s="77"/>
      <c r="AB1297" s="77"/>
      <c r="AC1297" s="82" t="s">
        <v>8255</v>
      </c>
      <c r="AD1297" s="77" t="s">
        <v>8281</v>
      </c>
      <c r="AE1297" s="80" t="str">
        <f>HYPERLINK("https://twitter.com/seu_dinheiro_br/status/1663318324917288962")</f>
        <v>https://twitter.com/seu_dinheiro_br/status/1663318324917288962</v>
      </c>
      <c r="AF1297" s="79">
        <v>45075.955625000002</v>
      </c>
      <c r="AG1297" s="85">
        <v>45075</v>
      </c>
      <c r="AH1297" s="82" t="s">
        <v>9444</v>
      </c>
      <c r="AI1297" s="77" t="b">
        <v>0</v>
      </c>
      <c r="AJ1297" s="77"/>
      <c r="AK1297" s="77"/>
      <c r="AL1297" s="77"/>
      <c r="AM1297" s="77"/>
      <c r="AN1297" s="77"/>
      <c r="AO1297" s="77"/>
      <c r="AP1297" s="77"/>
      <c r="AQ1297" s="77"/>
      <c r="AR1297" s="77"/>
      <c r="AS1297" s="77"/>
      <c r="AT1297" s="77"/>
      <c r="AU1297" s="77"/>
      <c r="AV1297" s="80" t="str">
        <f>HYPERLINK("https://pbs.twimg.com/profile_images/1041725334431952896/uaPtkYSp_normal.jpg")</f>
        <v>https://pbs.twimg.com/profile_images/1041725334431952896/uaPtkYSp_normal.jpg</v>
      </c>
      <c r="AW1297" s="82" t="s">
        <v>14392</v>
      </c>
      <c r="AX1297" s="82" t="s">
        <v>14392</v>
      </c>
      <c r="AY1297" s="77"/>
      <c r="AZ1297" s="82" t="s">
        <v>17385</v>
      </c>
      <c r="BA1297" s="82" t="s">
        <v>17385</v>
      </c>
      <c r="BB1297" s="82" t="s">
        <v>17385</v>
      </c>
      <c r="BC1297" s="82" t="s">
        <v>14392</v>
      </c>
      <c r="BD1297" s="82" t="s">
        <v>17550</v>
      </c>
      <c r="BE1297" s="77"/>
      <c r="BF1297" s="77"/>
      <c r="BG1297" s="77"/>
      <c r="BH1297" s="77"/>
      <c r="BI1297" s="77"/>
    </row>
    <row r="1298" spans="1:61" x14ac:dyDescent="0.25">
      <c r="A1298" s="62" t="s">
        <v>425</v>
      </c>
      <c r="B1298" s="62" t="s">
        <v>425</v>
      </c>
      <c r="C1298" s="63"/>
      <c r="D1298" s="64"/>
      <c r="E1298" s="65"/>
      <c r="F1298" s="66"/>
      <c r="G1298" s="63"/>
      <c r="H1298" s="67"/>
      <c r="I1298" s="68"/>
      <c r="J1298" s="68"/>
      <c r="K1298" s="32"/>
      <c r="L1298" s="75">
        <v>1298</v>
      </c>
      <c r="M1298" s="75"/>
      <c r="N1298" s="70"/>
      <c r="O1298" s="77" t="s">
        <v>179</v>
      </c>
      <c r="P1298" s="79">
        <v>45075.602673611109</v>
      </c>
      <c r="Q1298" s="77" t="s">
        <v>2089</v>
      </c>
      <c r="R1298" s="77">
        <v>0</v>
      </c>
      <c r="S1298" s="77">
        <v>2</v>
      </c>
      <c r="T1298" s="77">
        <v>0</v>
      </c>
      <c r="U1298" s="77">
        <v>0</v>
      </c>
      <c r="V1298" s="77">
        <v>324</v>
      </c>
      <c r="W1298" s="82" t="s">
        <v>5631</v>
      </c>
      <c r="X1298" s="80" t="str">
        <f>HYPERLINK("https://www.seudinheiro.com/2023/empresas/cvm-petrobras-petr4-dividendos-vinp/")</f>
        <v>https://www.seudinheiro.com/2023/empresas/cvm-petrobras-petr4-dividendos-vinp/</v>
      </c>
      <c r="Y1298" s="77" t="s">
        <v>7102</v>
      </c>
      <c r="Z1298" s="77"/>
      <c r="AA1298" s="77"/>
      <c r="AB1298" s="77"/>
      <c r="AC1298" s="82" t="s">
        <v>8255</v>
      </c>
      <c r="AD1298" s="77" t="s">
        <v>8278</v>
      </c>
      <c r="AE1298" s="80" t="str">
        <f>HYPERLINK("https://twitter.com/seu_dinheiro_br/status/1663190422120718337")</f>
        <v>https://twitter.com/seu_dinheiro_br/status/1663190422120718337</v>
      </c>
      <c r="AF1298" s="79">
        <v>45075.602673611109</v>
      </c>
      <c r="AG1298" s="85">
        <v>45075</v>
      </c>
      <c r="AH1298" s="82" t="s">
        <v>9445</v>
      </c>
      <c r="AI1298" s="77" t="b">
        <v>0</v>
      </c>
      <c r="AJ1298" s="77"/>
      <c r="AK1298" s="77"/>
      <c r="AL1298" s="77"/>
      <c r="AM1298" s="77"/>
      <c r="AN1298" s="77"/>
      <c r="AO1298" s="77"/>
      <c r="AP1298" s="77"/>
      <c r="AQ1298" s="77"/>
      <c r="AR1298" s="77"/>
      <c r="AS1298" s="77"/>
      <c r="AT1298" s="77"/>
      <c r="AU1298" s="77"/>
      <c r="AV1298" s="80" t="str">
        <f>HYPERLINK("https://pbs.twimg.com/profile_images/1041725334431952896/uaPtkYSp_normal.jpg")</f>
        <v>https://pbs.twimg.com/profile_images/1041725334431952896/uaPtkYSp_normal.jpg</v>
      </c>
      <c r="AW1298" s="82" t="s">
        <v>14393</v>
      </c>
      <c r="AX1298" s="82" t="s">
        <v>14393</v>
      </c>
      <c r="AY1298" s="77"/>
      <c r="AZ1298" s="82" t="s">
        <v>17385</v>
      </c>
      <c r="BA1298" s="82" t="s">
        <v>17385</v>
      </c>
      <c r="BB1298" s="82" t="s">
        <v>17385</v>
      </c>
      <c r="BC1298" s="82" t="s">
        <v>14393</v>
      </c>
      <c r="BD1298" s="82" t="s">
        <v>17550</v>
      </c>
      <c r="BE1298" s="77"/>
      <c r="BF1298" s="77"/>
      <c r="BG1298" s="77"/>
      <c r="BH1298" s="77"/>
      <c r="BI1298" s="77"/>
    </row>
    <row r="1299" spans="1:61" x14ac:dyDescent="0.25">
      <c r="A1299" s="62" t="s">
        <v>425</v>
      </c>
      <c r="B1299" s="62" t="s">
        <v>425</v>
      </c>
      <c r="C1299" s="63"/>
      <c r="D1299" s="64"/>
      <c r="E1299" s="65"/>
      <c r="F1299" s="66"/>
      <c r="G1299" s="63"/>
      <c r="H1299" s="67"/>
      <c r="I1299" s="68"/>
      <c r="J1299" s="68"/>
      <c r="K1299" s="32"/>
      <c r="L1299" s="75">
        <v>1299</v>
      </c>
      <c r="M1299" s="75"/>
      <c r="N1299" s="70"/>
      <c r="O1299" s="77" t="s">
        <v>179</v>
      </c>
      <c r="P1299" s="79">
        <v>45075.540138888886</v>
      </c>
      <c r="Q1299" s="77" t="s">
        <v>2090</v>
      </c>
      <c r="R1299" s="77">
        <v>1</v>
      </c>
      <c r="S1299" s="77">
        <v>1</v>
      </c>
      <c r="T1299" s="77">
        <v>0</v>
      </c>
      <c r="U1299" s="77">
        <v>0</v>
      </c>
      <c r="V1299" s="77">
        <v>285</v>
      </c>
      <c r="W1299" s="82" t="s">
        <v>5486</v>
      </c>
      <c r="X1299" s="80" t="str">
        <f>HYPERLINK("https://www.seudinheiro.com/2023/empresas/movida-movi3-revisa-rota-muda-projecoes-para-proximos-anos-veja-acnn/")</f>
        <v>https://www.seudinheiro.com/2023/empresas/movida-movi3-revisa-rota-muda-projecoes-para-proximos-anos-veja-acnn/</v>
      </c>
      <c r="Y1299" s="77" t="s">
        <v>7102</v>
      </c>
      <c r="Z1299" s="77"/>
      <c r="AA1299" s="77"/>
      <c r="AB1299" s="77"/>
      <c r="AC1299" s="82" t="s">
        <v>8255</v>
      </c>
      <c r="AD1299" s="77" t="s">
        <v>8278</v>
      </c>
      <c r="AE1299" s="80" t="str">
        <f>HYPERLINK("https://twitter.com/seu_dinheiro_br/status/1663167756785557504")</f>
        <v>https://twitter.com/seu_dinheiro_br/status/1663167756785557504</v>
      </c>
      <c r="AF1299" s="79">
        <v>45075.540138888886</v>
      </c>
      <c r="AG1299" s="85">
        <v>45075</v>
      </c>
      <c r="AH1299" s="82" t="s">
        <v>9446</v>
      </c>
      <c r="AI1299" s="77" t="b">
        <v>0</v>
      </c>
      <c r="AJ1299" s="77"/>
      <c r="AK1299" s="77"/>
      <c r="AL1299" s="77"/>
      <c r="AM1299" s="77"/>
      <c r="AN1299" s="77"/>
      <c r="AO1299" s="77"/>
      <c r="AP1299" s="77"/>
      <c r="AQ1299" s="77"/>
      <c r="AR1299" s="77"/>
      <c r="AS1299" s="77"/>
      <c r="AT1299" s="77"/>
      <c r="AU1299" s="77"/>
      <c r="AV1299" s="80" t="str">
        <f>HYPERLINK("https://pbs.twimg.com/profile_images/1041725334431952896/uaPtkYSp_normal.jpg")</f>
        <v>https://pbs.twimg.com/profile_images/1041725334431952896/uaPtkYSp_normal.jpg</v>
      </c>
      <c r="AW1299" s="82" t="s">
        <v>14394</v>
      </c>
      <c r="AX1299" s="82" t="s">
        <v>14394</v>
      </c>
      <c r="AY1299" s="77"/>
      <c r="AZ1299" s="82" t="s">
        <v>17385</v>
      </c>
      <c r="BA1299" s="82" t="s">
        <v>17385</v>
      </c>
      <c r="BB1299" s="82" t="s">
        <v>17385</v>
      </c>
      <c r="BC1299" s="82" t="s">
        <v>14394</v>
      </c>
      <c r="BD1299" s="82" t="s">
        <v>17550</v>
      </c>
      <c r="BE1299" s="77"/>
      <c r="BF1299" s="77"/>
      <c r="BG1299" s="77"/>
      <c r="BH1299" s="77"/>
      <c r="BI1299" s="77"/>
    </row>
    <row r="1300" spans="1:61" x14ac:dyDescent="0.25">
      <c r="A1300" s="62" t="s">
        <v>425</v>
      </c>
      <c r="B1300" s="62" t="s">
        <v>425</v>
      </c>
      <c r="C1300" s="63"/>
      <c r="D1300" s="64"/>
      <c r="E1300" s="65"/>
      <c r="F1300" s="66"/>
      <c r="G1300" s="63"/>
      <c r="H1300" s="67"/>
      <c r="I1300" s="68"/>
      <c r="J1300" s="68"/>
      <c r="K1300" s="32"/>
      <c r="L1300" s="75">
        <v>1300</v>
      </c>
      <c r="M1300" s="75"/>
      <c r="N1300" s="70"/>
      <c r="O1300" s="77" t="s">
        <v>179</v>
      </c>
      <c r="P1300" s="79">
        <v>45190.661874999998</v>
      </c>
      <c r="Q1300" s="77" t="s">
        <v>2091</v>
      </c>
      <c r="R1300" s="77">
        <v>0</v>
      </c>
      <c r="S1300" s="77">
        <v>0</v>
      </c>
      <c r="T1300" s="77">
        <v>0</v>
      </c>
      <c r="U1300" s="77">
        <v>0</v>
      </c>
      <c r="V1300" s="77">
        <v>258</v>
      </c>
      <c r="W1300" s="82" t="s">
        <v>5632</v>
      </c>
      <c r="X1300" s="80" t="str">
        <f>HYPERLINK("https://www.seudinheiro.com/2023/internacional/o-black-pink-vai-acabar-risco-preocupa-investidores-e-acoes-da-yg-entertainment-derretem-na-bolsa-de-seul-davs/")</f>
        <v>https://www.seudinheiro.com/2023/internacional/o-black-pink-vai-acabar-risco-preocupa-investidores-e-acoes-da-yg-entertainment-derretem-na-bolsa-de-seul-davs/</v>
      </c>
      <c r="Y1300" s="77" t="s">
        <v>7102</v>
      </c>
      <c r="Z1300" s="77"/>
      <c r="AA1300" s="77"/>
      <c r="AB1300" s="77"/>
      <c r="AC1300" s="82" t="s">
        <v>8232</v>
      </c>
      <c r="AD1300" s="77" t="s">
        <v>8278</v>
      </c>
      <c r="AE1300" s="80" t="str">
        <f>HYPERLINK("https://twitter.com/seu_dinheiro_br/status/1704886478319264026")</f>
        <v>https://twitter.com/seu_dinheiro_br/status/1704886478319264026</v>
      </c>
      <c r="AF1300" s="79">
        <v>45190.661874999998</v>
      </c>
      <c r="AG1300" s="85">
        <v>45190</v>
      </c>
      <c r="AH1300" s="82" t="s">
        <v>9447</v>
      </c>
      <c r="AI1300" s="77" t="b">
        <v>0</v>
      </c>
      <c r="AJ1300" s="77"/>
      <c r="AK1300" s="77"/>
      <c r="AL1300" s="77"/>
      <c r="AM1300" s="77"/>
      <c r="AN1300" s="77"/>
      <c r="AO1300" s="77"/>
      <c r="AP1300" s="77"/>
      <c r="AQ1300" s="77"/>
      <c r="AR1300" s="77"/>
      <c r="AS1300" s="77"/>
      <c r="AT1300" s="77"/>
      <c r="AU1300" s="77"/>
      <c r="AV1300" s="80" t="str">
        <f>HYPERLINK("https://pbs.twimg.com/profile_images/1041725334431952896/uaPtkYSp_normal.jpg")</f>
        <v>https://pbs.twimg.com/profile_images/1041725334431952896/uaPtkYSp_normal.jpg</v>
      </c>
      <c r="AW1300" s="82" t="s">
        <v>14395</v>
      </c>
      <c r="AX1300" s="82" t="s">
        <v>14395</v>
      </c>
      <c r="AY1300" s="77"/>
      <c r="AZ1300" s="82" t="s">
        <v>17385</v>
      </c>
      <c r="BA1300" s="82" t="s">
        <v>17385</v>
      </c>
      <c r="BB1300" s="82" t="s">
        <v>17385</v>
      </c>
      <c r="BC1300" s="82" t="s">
        <v>14395</v>
      </c>
      <c r="BD1300" s="82" t="s">
        <v>17550</v>
      </c>
      <c r="BE1300" s="77"/>
      <c r="BF1300" s="77"/>
      <c r="BG1300" s="77"/>
      <c r="BH1300" s="77"/>
      <c r="BI1300" s="77"/>
    </row>
    <row r="1301" spans="1:61" x14ac:dyDescent="0.25">
      <c r="A1301" s="62" t="s">
        <v>425</v>
      </c>
      <c r="B1301" s="62" t="s">
        <v>425</v>
      </c>
      <c r="C1301" s="63"/>
      <c r="D1301" s="64"/>
      <c r="E1301" s="65"/>
      <c r="F1301" s="66"/>
      <c r="G1301" s="63"/>
      <c r="H1301" s="67"/>
      <c r="I1301" s="68"/>
      <c r="J1301" s="68"/>
      <c r="K1301" s="32"/>
      <c r="L1301" s="75">
        <v>1301</v>
      </c>
      <c r="M1301" s="75"/>
      <c r="N1301" s="70"/>
      <c r="O1301" s="77" t="s">
        <v>179</v>
      </c>
      <c r="P1301" s="79">
        <v>45170.630844907406</v>
      </c>
      <c r="Q1301" s="77" t="s">
        <v>2092</v>
      </c>
      <c r="R1301" s="77">
        <v>0</v>
      </c>
      <c r="S1301" s="77">
        <v>0</v>
      </c>
      <c r="T1301" s="77">
        <v>0</v>
      </c>
      <c r="U1301" s="77">
        <v>0</v>
      </c>
      <c r="V1301" s="77">
        <v>239</v>
      </c>
      <c r="W1301" s="82" t="s">
        <v>5633</v>
      </c>
      <c r="X1301" s="80" t="str">
        <f>HYPERLINK("https://www.seudinheiro.com/2023/empresas/vale-a-pena-para-jp-morgan-chegou-a-hora-de-comprar-vale3-mas-acoes-sobem-por-outros-motivos-descubra-quais-ccgg/")</f>
        <v>https://www.seudinheiro.com/2023/empresas/vale-a-pena-para-jp-morgan-chegou-a-hora-de-comprar-vale3-mas-acoes-sobem-por-outros-motivos-descubra-quais-ccgg/</v>
      </c>
      <c r="Y1301" s="77" t="s">
        <v>7102</v>
      </c>
      <c r="Z1301" s="77"/>
      <c r="AA1301" s="77"/>
      <c r="AB1301" s="77"/>
      <c r="AC1301" s="82" t="s">
        <v>8255</v>
      </c>
      <c r="AD1301" s="77" t="s">
        <v>8278</v>
      </c>
      <c r="AE1301" s="80" t="str">
        <f>HYPERLINK("https://twitter.com/seu_dinheiro_br/status/1697627476455731595")</f>
        <v>https://twitter.com/seu_dinheiro_br/status/1697627476455731595</v>
      </c>
      <c r="AF1301" s="79">
        <v>45170.630844907406</v>
      </c>
      <c r="AG1301" s="85">
        <v>45170</v>
      </c>
      <c r="AH1301" s="82" t="s">
        <v>9448</v>
      </c>
      <c r="AI1301" s="77" t="b">
        <v>0</v>
      </c>
      <c r="AJ1301" s="77"/>
      <c r="AK1301" s="77"/>
      <c r="AL1301" s="77"/>
      <c r="AM1301" s="77"/>
      <c r="AN1301" s="77"/>
      <c r="AO1301" s="77"/>
      <c r="AP1301" s="77"/>
      <c r="AQ1301" s="77"/>
      <c r="AR1301" s="77"/>
      <c r="AS1301" s="77"/>
      <c r="AT1301" s="77"/>
      <c r="AU1301" s="77"/>
      <c r="AV1301" s="80" t="str">
        <f>HYPERLINK("https://pbs.twimg.com/profile_images/1041725334431952896/uaPtkYSp_normal.jpg")</f>
        <v>https://pbs.twimg.com/profile_images/1041725334431952896/uaPtkYSp_normal.jpg</v>
      </c>
      <c r="AW1301" s="82" t="s">
        <v>14396</v>
      </c>
      <c r="AX1301" s="82" t="s">
        <v>14396</v>
      </c>
      <c r="AY1301" s="77"/>
      <c r="AZ1301" s="82" t="s">
        <v>17385</v>
      </c>
      <c r="BA1301" s="82" t="s">
        <v>17385</v>
      </c>
      <c r="BB1301" s="82" t="s">
        <v>17385</v>
      </c>
      <c r="BC1301" s="82" t="s">
        <v>14396</v>
      </c>
      <c r="BD1301" s="82" t="s">
        <v>17550</v>
      </c>
      <c r="BE1301" s="77"/>
      <c r="BF1301" s="77"/>
      <c r="BG1301" s="77"/>
      <c r="BH1301" s="77"/>
      <c r="BI1301" s="77"/>
    </row>
    <row r="1302" spans="1:61" x14ac:dyDescent="0.25">
      <c r="A1302" s="62" t="s">
        <v>425</v>
      </c>
      <c r="B1302" s="62" t="s">
        <v>425</v>
      </c>
      <c r="C1302" s="63"/>
      <c r="D1302" s="64"/>
      <c r="E1302" s="65"/>
      <c r="F1302" s="66"/>
      <c r="G1302" s="63"/>
      <c r="H1302" s="67"/>
      <c r="I1302" s="68"/>
      <c r="J1302" s="68"/>
      <c r="K1302" s="32"/>
      <c r="L1302" s="75">
        <v>1302</v>
      </c>
      <c r="M1302" s="75"/>
      <c r="N1302" s="70"/>
      <c r="O1302" s="77" t="s">
        <v>179</v>
      </c>
      <c r="P1302" s="79">
        <v>45170.464641203704</v>
      </c>
      <c r="Q1302" s="77" t="s">
        <v>2093</v>
      </c>
      <c r="R1302" s="77">
        <v>1</v>
      </c>
      <c r="S1302" s="77">
        <v>1</v>
      </c>
      <c r="T1302" s="77">
        <v>0</v>
      </c>
      <c r="U1302" s="77">
        <v>0</v>
      </c>
      <c r="V1302" s="77">
        <v>449</v>
      </c>
      <c r="W1302" s="82" t="s">
        <v>5475</v>
      </c>
      <c r="X1302" s="80" t="str">
        <f>HYPERLINK("https://www.seudinheiro.com/2023/colunistas/day-trade-na-b3-como-lucrar-com-acao-do-helbor-hbor3-hoje-01-09-miql/")</f>
        <v>https://www.seudinheiro.com/2023/colunistas/day-trade-na-b3-como-lucrar-com-acao-do-helbor-hbor3-hoje-01-09-miql/</v>
      </c>
      <c r="Y1302" s="77" t="s">
        <v>7102</v>
      </c>
      <c r="Z1302" s="77"/>
      <c r="AA1302" s="77"/>
      <c r="AB1302" s="77"/>
      <c r="AC1302" s="82" t="s">
        <v>8255</v>
      </c>
      <c r="AD1302" s="77" t="s">
        <v>8278</v>
      </c>
      <c r="AE1302" s="80" t="str">
        <f>HYPERLINK("https://twitter.com/seu_dinheiro_br/status/1697567245860213014")</f>
        <v>https://twitter.com/seu_dinheiro_br/status/1697567245860213014</v>
      </c>
      <c r="AF1302" s="79">
        <v>45170.464641203704</v>
      </c>
      <c r="AG1302" s="85">
        <v>45170</v>
      </c>
      <c r="AH1302" s="82" t="s">
        <v>9449</v>
      </c>
      <c r="AI1302" s="77" t="b">
        <v>0</v>
      </c>
      <c r="AJ1302" s="77"/>
      <c r="AK1302" s="77"/>
      <c r="AL1302" s="77"/>
      <c r="AM1302" s="77"/>
      <c r="AN1302" s="77"/>
      <c r="AO1302" s="77"/>
      <c r="AP1302" s="77"/>
      <c r="AQ1302" s="77"/>
      <c r="AR1302" s="77"/>
      <c r="AS1302" s="77"/>
      <c r="AT1302" s="77"/>
      <c r="AU1302" s="77"/>
      <c r="AV1302" s="80" t="str">
        <f>HYPERLINK("https://pbs.twimg.com/profile_images/1041725334431952896/uaPtkYSp_normal.jpg")</f>
        <v>https://pbs.twimg.com/profile_images/1041725334431952896/uaPtkYSp_normal.jpg</v>
      </c>
      <c r="AW1302" s="82" t="s">
        <v>14397</v>
      </c>
      <c r="AX1302" s="82" t="s">
        <v>14397</v>
      </c>
      <c r="AY1302" s="77"/>
      <c r="AZ1302" s="82" t="s">
        <v>17385</v>
      </c>
      <c r="BA1302" s="82" t="s">
        <v>17385</v>
      </c>
      <c r="BB1302" s="82" t="s">
        <v>17385</v>
      </c>
      <c r="BC1302" s="82" t="s">
        <v>14397</v>
      </c>
      <c r="BD1302" s="82" t="s">
        <v>17550</v>
      </c>
      <c r="BE1302" s="77"/>
      <c r="BF1302" s="77"/>
      <c r="BG1302" s="77"/>
      <c r="BH1302" s="77"/>
      <c r="BI1302" s="77"/>
    </row>
    <row r="1303" spans="1:61" x14ac:dyDescent="0.25">
      <c r="A1303" s="62" t="s">
        <v>425</v>
      </c>
      <c r="B1303" s="62" t="s">
        <v>425</v>
      </c>
      <c r="C1303" s="63"/>
      <c r="D1303" s="64"/>
      <c r="E1303" s="65"/>
      <c r="F1303" s="66"/>
      <c r="G1303" s="63"/>
      <c r="H1303" s="67"/>
      <c r="I1303" s="68"/>
      <c r="J1303" s="68"/>
      <c r="K1303" s="32"/>
      <c r="L1303" s="75">
        <v>1303</v>
      </c>
      <c r="M1303" s="75"/>
      <c r="N1303" s="70"/>
      <c r="O1303" s="77" t="s">
        <v>179</v>
      </c>
      <c r="P1303" s="79">
        <v>45170.384097222224</v>
      </c>
      <c r="Q1303" s="77" t="s">
        <v>2094</v>
      </c>
      <c r="R1303" s="77">
        <v>0</v>
      </c>
      <c r="S1303" s="77">
        <v>0</v>
      </c>
      <c r="T1303" s="77">
        <v>0</v>
      </c>
      <c r="U1303" s="77">
        <v>0</v>
      </c>
      <c r="V1303" s="77">
        <v>346</v>
      </c>
      <c r="W1303" s="82" t="s">
        <v>5634</v>
      </c>
      <c r="X1303" s="80" t="str">
        <f>HYPERLINK("https://www.seudinheiro.com/2023/colunistas/vale-vale3-por-que-comprar-acoes-da-mineradora-apesar-do-risco-china-vinp/")</f>
        <v>https://www.seudinheiro.com/2023/colunistas/vale-vale3-por-que-comprar-acoes-da-mineradora-apesar-do-risco-china-vinp/</v>
      </c>
      <c r="Y1303" s="77" t="s">
        <v>7102</v>
      </c>
      <c r="Z1303" s="77"/>
      <c r="AA1303" s="77"/>
      <c r="AB1303" s="77"/>
      <c r="AC1303" s="82" t="s">
        <v>8255</v>
      </c>
      <c r="AD1303" s="77" t="s">
        <v>8278</v>
      </c>
      <c r="AE1303" s="80" t="str">
        <f>HYPERLINK("https://twitter.com/seu_dinheiro_br/status/1697538056943767932")</f>
        <v>https://twitter.com/seu_dinheiro_br/status/1697538056943767932</v>
      </c>
      <c r="AF1303" s="79">
        <v>45170.384097222224</v>
      </c>
      <c r="AG1303" s="85">
        <v>45170</v>
      </c>
      <c r="AH1303" s="82" t="s">
        <v>9450</v>
      </c>
      <c r="AI1303" s="77" t="b">
        <v>0</v>
      </c>
      <c r="AJ1303" s="77"/>
      <c r="AK1303" s="77"/>
      <c r="AL1303" s="77"/>
      <c r="AM1303" s="77"/>
      <c r="AN1303" s="77"/>
      <c r="AO1303" s="77"/>
      <c r="AP1303" s="77"/>
      <c r="AQ1303" s="77"/>
      <c r="AR1303" s="77"/>
      <c r="AS1303" s="77"/>
      <c r="AT1303" s="77"/>
      <c r="AU1303" s="77"/>
      <c r="AV1303" s="80" t="str">
        <f>HYPERLINK("https://pbs.twimg.com/profile_images/1041725334431952896/uaPtkYSp_normal.jpg")</f>
        <v>https://pbs.twimg.com/profile_images/1041725334431952896/uaPtkYSp_normal.jpg</v>
      </c>
      <c r="AW1303" s="82" t="s">
        <v>14398</v>
      </c>
      <c r="AX1303" s="82" t="s">
        <v>14398</v>
      </c>
      <c r="AY1303" s="77"/>
      <c r="AZ1303" s="82" t="s">
        <v>17385</v>
      </c>
      <c r="BA1303" s="82" t="s">
        <v>17385</v>
      </c>
      <c r="BB1303" s="82" t="s">
        <v>17385</v>
      </c>
      <c r="BC1303" s="82" t="s">
        <v>14398</v>
      </c>
      <c r="BD1303" s="82" t="s">
        <v>17550</v>
      </c>
      <c r="BE1303" s="77"/>
      <c r="BF1303" s="77"/>
      <c r="BG1303" s="77"/>
      <c r="BH1303" s="77"/>
      <c r="BI1303" s="77"/>
    </row>
    <row r="1304" spans="1:61" x14ac:dyDescent="0.25">
      <c r="A1304" s="62" t="s">
        <v>425</v>
      </c>
      <c r="B1304" s="62" t="s">
        <v>425</v>
      </c>
      <c r="C1304" s="63"/>
      <c r="D1304" s="64"/>
      <c r="E1304" s="65"/>
      <c r="F1304" s="66"/>
      <c r="G1304" s="63"/>
      <c r="H1304" s="67"/>
      <c r="I1304" s="68"/>
      <c r="J1304" s="68"/>
      <c r="K1304" s="32"/>
      <c r="L1304" s="75">
        <v>1304</v>
      </c>
      <c r="M1304" s="75"/>
      <c r="N1304" s="70"/>
      <c r="O1304" s="77" t="s">
        <v>179</v>
      </c>
      <c r="P1304" s="79">
        <v>45163.449166666665</v>
      </c>
      <c r="Q1304" s="77" t="s">
        <v>2095</v>
      </c>
      <c r="R1304" s="77">
        <v>0</v>
      </c>
      <c r="S1304" s="77">
        <v>2</v>
      </c>
      <c r="T1304" s="77">
        <v>0</v>
      </c>
      <c r="U1304" s="77">
        <v>0</v>
      </c>
      <c r="V1304" s="77">
        <v>349</v>
      </c>
      <c r="W1304" s="82" t="s">
        <v>5475</v>
      </c>
      <c r="X1304" s="80" t="str">
        <f>HYPERLINK("https://www.seudinheiro.com/2023/colunistas/day-trade-na-b3-como-lucrar-com-acao-da-copasa-csmg3-hoje-25-08-miql/")</f>
        <v>https://www.seudinheiro.com/2023/colunistas/day-trade-na-b3-como-lucrar-com-acao-da-copasa-csmg3-hoje-25-08-miql/</v>
      </c>
      <c r="Y1304" s="77" t="s">
        <v>7102</v>
      </c>
      <c r="Z1304" s="77"/>
      <c r="AA1304" s="77"/>
      <c r="AB1304" s="77"/>
      <c r="AC1304" s="82" t="s">
        <v>8255</v>
      </c>
      <c r="AD1304" s="77" t="s">
        <v>8278</v>
      </c>
      <c r="AE1304" s="80" t="str">
        <f>HYPERLINK("https://twitter.com/seu_dinheiro_br/status/1695024923763261896")</f>
        <v>https://twitter.com/seu_dinheiro_br/status/1695024923763261896</v>
      </c>
      <c r="AF1304" s="79">
        <v>45163.449166666665</v>
      </c>
      <c r="AG1304" s="85">
        <v>45163</v>
      </c>
      <c r="AH1304" s="82" t="s">
        <v>9451</v>
      </c>
      <c r="AI1304" s="77" t="b">
        <v>0</v>
      </c>
      <c r="AJ1304" s="77"/>
      <c r="AK1304" s="77"/>
      <c r="AL1304" s="77"/>
      <c r="AM1304" s="77"/>
      <c r="AN1304" s="77"/>
      <c r="AO1304" s="77"/>
      <c r="AP1304" s="77"/>
      <c r="AQ1304" s="77"/>
      <c r="AR1304" s="77"/>
      <c r="AS1304" s="77"/>
      <c r="AT1304" s="77"/>
      <c r="AU1304" s="77"/>
      <c r="AV1304" s="80" t="str">
        <f>HYPERLINK("https://pbs.twimg.com/profile_images/1041725334431952896/uaPtkYSp_normal.jpg")</f>
        <v>https://pbs.twimg.com/profile_images/1041725334431952896/uaPtkYSp_normal.jpg</v>
      </c>
      <c r="AW1304" s="82" t="s">
        <v>14399</v>
      </c>
      <c r="AX1304" s="82" t="s">
        <v>14399</v>
      </c>
      <c r="AY1304" s="77"/>
      <c r="AZ1304" s="82" t="s">
        <v>17385</v>
      </c>
      <c r="BA1304" s="82" t="s">
        <v>17385</v>
      </c>
      <c r="BB1304" s="82" t="s">
        <v>17385</v>
      </c>
      <c r="BC1304" s="82" t="s">
        <v>14399</v>
      </c>
      <c r="BD1304" s="82" t="s">
        <v>17550</v>
      </c>
      <c r="BE1304" s="77"/>
      <c r="BF1304" s="77"/>
      <c r="BG1304" s="77"/>
      <c r="BH1304" s="77"/>
      <c r="BI1304" s="77"/>
    </row>
    <row r="1305" spans="1:61" x14ac:dyDescent="0.25">
      <c r="A1305" s="62" t="s">
        <v>425</v>
      </c>
      <c r="B1305" s="62" t="s">
        <v>425</v>
      </c>
      <c r="C1305" s="63"/>
      <c r="D1305" s="64"/>
      <c r="E1305" s="65"/>
      <c r="F1305" s="66"/>
      <c r="G1305" s="63"/>
      <c r="H1305" s="67"/>
      <c r="I1305" s="68"/>
      <c r="J1305" s="68"/>
      <c r="K1305" s="32"/>
      <c r="L1305" s="75">
        <v>1305</v>
      </c>
      <c r="M1305" s="75"/>
      <c r="N1305" s="70"/>
      <c r="O1305" s="77" t="s">
        <v>179</v>
      </c>
      <c r="P1305" s="79">
        <v>45155.444571759261</v>
      </c>
      <c r="Q1305" s="77" t="s">
        <v>2096</v>
      </c>
      <c r="R1305" s="77">
        <v>0</v>
      </c>
      <c r="S1305" s="77">
        <v>1</v>
      </c>
      <c r="T1305" s="77">
        <v>0</v>
      </c>
      <c r="U1305" s="77">
        <v>0</v>
      </c>
      <c r="V1305" s="77">
        <v>321</v>
      </c>
      <c r="W1305" s="82" t="s">
        <v>5475</v>
      </c>
      <c r="X1305" s="80" t="str">
        <f>HYPERLINK("https://www.seudinheiro.com/2023/colunistas/day-trade-na-b3-acao-da-copasa-csmg3-pode-render-lucro-hoje-17-08-miql/")</f>
        <v>https://www.seudinheiro.com/2023/colunistas/day-trade-na-b3-acao-da-copasa-csmg3-pode-render-lucro-hoje-17-08-miql/</v>
      </c>
      <c r="Y1305" s="77" t="s">
        <v>7102</v>
      </c>
      <c r="Z1305" s="77"/>
      <c r="AA1305" s="77"/>
      <c r="AB1305" s="77"/>
      <c r="AC1305" s="82" t="s">
        <v>8255</v>
      </c>
      <c r="AD1305" s="77" t="s">
        <v>8278</v>
      </c>
      <c r="AE1305" s="80" t="str">
        <f>HYPERLINK("https://twitter.com/seu_dinheiro_br/status/1692124156056195398")</f>
        <v>https://twitter.com/seu_dinheiro_br/status/1692124156056195398</v>
      </c>
      <c r="AF1305" s="79">
        <v>45155.444571759261</v>
      </c>
      <c r="AG1305" s="85">
        <v>45155</v>
      </c>
      <c r="AH1305" s="82" t="s">
        <v>9452</v>
      </c>
      <c r="AI1305" s="77" t="b">
        <v>0</v>
      </c>
      <c r="AJ1305" s="77"/>
      <c r="AK1305" s="77"/>
      <c r="AL1305" s="77"/>
      <c r="AM1305" s="77"/>
      <c r="AN1305" s="77"/>
      <c r="AO1305" s="77"/>
      <c r="AP1305" s="77"/>
      <c r="AQ1305" s="77"/>
      <c r="AR1305" s="77"/>
      <c r="AS1305" s="77"/>
      <c r="AT1305" s="77"/>
      <c r="AU1305" s="77"/>
      <c r="AV1305" s="80" t="str">
        <f>HYPERLINK("https://pbs.twimg.com/profile_images/1041725334431952896/uaPtkYSp_normal.jpg")</f>
        <v>https://pbs.twimg.com/profile_images/1041725334431952896/uaPtkYSp_normal.jpg</v>
      </c>
      <c r="AW1305" s="82" t="s">
        <v>14400</v>
      </c>
      <c r="AX1305" s="82" t="s">
        <v>14400</v>
      </c>
      <c r="AY1305" s="77"/>
      <c r="AZ1305" s="82" t="s">
        <v>17385</v>
      </c>
      <c r="BA1305" s="82" t="s">
        <v>17385</v>
      </c>
      <c r="BB1305" s="82" t="s">
        <v>17385</v>
      </c>
      <c r="BC1305" s="82" t="s">
        <v>14400</v>
      </c>
      <c r="BD1305" s="82" t="s">
        <v>17550</v>
      </c>
      <c r="BE1305" s="77"/>
      <c r="BF1305" s="77"/>
      <c r="BG1305" s="77"/>
      <c r="BH1305" s="77"/>
      <c r="BI1305" s="77"/>
    </row>
    <row r="1306" spans="1:61" x14ac:dyDescent="0.25">
      <c r="A1306" s="62" t="s">
        <v>425</v>
      </c>
      <c r="B1306" s="62" t="s">
        <v>425</v>
      </c>
      <c r="C1306" s="63"/>
      <c r="D1306" s="64"/>
      <c r="E1306" s="65"/>
      <c r="F1306" s="66"/>
      <c r="G1306" s="63"/>
      <c r="H1306" s="67"/>
      <c r="I1306" s="68"/>
      <c r="J1306" s="68"/>
      <c r="K1306" s="32"/>
      <c r="L1306" s="75">
        <v>1306</v>
      </c>
      <c r="M1306" s="75"/>
      <c r="N1306" s="70"/>
      <c r="O1306" s="77" t="s">
        <v>179</v>
      </c>
      <c r="P1306" s="79">
        <v>45155.395243055558</v>
      </c>
      <c r="Q1306" s="77" t="s">
        <v>2097</v>
      </c>
      <c r="R1306" s="77">
        <v>1</v>
      </c>
      <c r="S1306" s="77">
        <v>1</v>
      </c>
      <c r="T1306" s="77">
        <v>0</v>
      </c>
      <c r="U1306" s="77">
        <v>0</v>
      </c>
      <c r="V1306" s="77">
        <v>320</v>
      </c>
      <c r="W1306" s="82" t="s">
        <v>5635</v>
      </c>
      <c r="X1306" s="80" t="str">
        <f>HYPERLINK("https://www.seudinheiro.com/2023/colunistas/o-duolingo-vale-mais-que-o-magazine-luiza-voce-deveria-investir-vinp/")</f>
        <v>https://www.seudinheiro.com/2023/colunistas/o-duolingo-vale-mais-que-o-magazine-luiza-voce-deveria-investir-vinp/</v>
      </c>
      <c r="Y1306" s="77" t="s">
        <v>7102</v>
      </c>
      <c r="Z1306" s="77"/>
      <c r="AA1306" s="77"/>
      <c r="AB1306" s="77"/>
      <c r="AC1306" s="82" t="s">
        <v>8255</v>
      </c>
      <c r="AD1306" s="77" t="s">
        <v>8278</v>
      </c>
      <c r="AE1306" s="80" t="str">
        <f>HYPERLINK("https://twitter.com/seu_dinheiro_br/status/1692106280960221198")</f>
        <v>https://twitter.com/seu_dinheiro_br/status/1692106280960221198</v>
      </c>
      <c r="AF1306" s="79">
        <v>45155.395243055558</v>
      </c>
      <c r="AG1306" s="85">
        <v>45155</v>
      </c>
      <c r="AH1306" s="82" t="s">
        <v>9453</v>
      </c>
      <c r="AI1306" s="77" t="b">
        <v>0</v>
      </c>
      <c r="AJ1306" s="77"/>
      <c r="AK1306" s="77"/>
      <c r="AL1306" s="77"/>
      <c r="AM1306" s="77"/>
      <c r="AN1306" s="77"/>
      <c r="AO1306" s="77"/>
      <c r="AP1306" s="77"/>
      <c r="AQ1306" s="77"/>
      <c r="AR1306" s="77"/>
      <c r="AS1306" s="77"/>
      <c r="AT1306" s="77"/>
      <c r="AU1306" s="77"/>
      <c r="AV1306" s="80" t="str">
        <f>HYPERLINK("https://pbs.twimg.com/profile_images/1041725334431952896/uaPtkYSp_normal.jpg")</f>
        <v>https://pbs.twimg.com/profile_images/1041725334431952896/uaPtkYSp_normal.jpg</v>
      </c>
      <c r="AW1306" s="82" t="s">
        <v>14401</v>
      </c>
      <c r="AX1306" s="82" t="s">
        <v>14401</v>
      </c>
      <c r="AY1306" s="77"/>
      <c r="AZ1306" s="82" t="s">
        <v>17385</v>
      </c>
      <c r="BA1306" s="82" t="s">
        <v>17385</v>
      </c>
      <c r="BB1306" s="82" t="s">
        <v>17385</v>
      </c>
      <c r="BC1306" s="82" t="s">
        <v>14401</v>
      </c>
      <c r="BD1306" s="82" t="s">
        <v>17550</v>
      </c>
      <c r="BE1306" s="77"/>
      <c r="BF1306" s="77"/>
      <c r="BG1306" s="77"/>
      <c r="BH1306" s="77"/>
      <c r="BI1306" s="77"/>
    </row>
    <row r="1307" spans="1:61" x14ac:dyDescent="0.25">
      <c r="A1307" s="62" t="s">
        <v>425</v>
      </c>
      <c r="B1307" s="62" t="s">
        <v>425</v>
      </c>
      <c r="C1307" s="63"/>
      <c r="D1307" s="64"/>
      <c r="E1307" s="65"/>
      <c r="F1307" s="66"/>
      <c r="G1307" s="63"/>
      <c r="H1307" s="67"/>
      <c r="I1307" s="68"/>
      <c r="J1307" s="68"/>
      <c r="K1307" s="32"/>
      <c r="L1307" s="75">
        <v>1307</v>
      </c>
      <c r="M1307" s="75"/>
      <c r="N1307" s="70"/>
      <c r="O1307" s="77" t="s">
        <v>179</v>
      </c>
      <c r="P1307" s="79">
        <v>45154.82675925926</v>
      </c>
      <c r="Q1307" s="77" t="s">
        <v>2098</v>
      </c>
      <c r="R1307" s="77">
        <v>3</v>
      </c>
      <c r="S1307" s="77">
        <v>3</v>
      </c>
      <c r="T1307" s="77">
        <v>0</v>
      </c>
      <c r="U1307" s="77">
        <v>0</v>
      </c>
      <c r="V1307" s="77">
        <v>260</v>
      </c>
      <c r="W1307" s="82" t="s">
        <v>5532</v>
      </c>
      <c r="X1307" s="80" t="str">
        <f>HYPERLINK("https://www.seudinheiro.com/2023/empresas/sabesp-privatizacao-sbsp3-rens/")</f>
        <v>https://www.seudinheiro.com/2023/empresas/sabesp-privatizacao-sbsp3-rens/</v>
      </c>
      <c r="Y1307" s="77" t="s">
        <v>7102</v>
      </c>
      <c r="Z1307" s="77"/>
      <c r="AA1307" s="77"/>
      <c r="AB1307" s="77"/>
      <c r="AC1307" s="82" t="s">
        <v>8255</v>
      </c>
      <c r="AD1307" s="77" t="s">
        <v>8278</v>
      </c>
      <c r="AE1307" s="80" t="str">
        <f>HYPERLINK("https://twitter.com/seu_dinheiro_br/status/1691900266902082015")</f>
        <v>https://twitter.com/seu_dinheiro_br/status/1691900266902082015</v>
      </c>
      <c r="AF1307" s="79">
        <v>45154.82675925926</v>
      </c>
      <c r="AG1307" s="85">
        <v>45154</v>
      </c>
      <c r="AH1307" s="82" t="s">
        <v>9454</v>
      </c>
      <c r="AI1307" s="77" t="b">
        <v>0</v>
      </c>
      <c r="AJ1307" s="77"/>
      <c r="AK1307" s="77"/>
      <c r="AL1307" s="77"/>
      <c r="AM1307" s="77"/>
      <c r="AN1307" s="77"/>
      <c r="AO1307" s="77"/>
      <c r="AP1307" s="77"/>
      <c r="AQ1307" s="77"/>
      <c r="AR1307" s="77"/>
      <c r="AS1307" s="77"/>
      <c r="AT1307" s="77"/>
      <c r="AU1307" s="77"/>
      <c r="AV1307" s="80" t="str">
        <f>HYPERLINK("https://pbs.twimg.com/profile_images/1041725334431952896/uaPtkYSp_normal.jpg")</f>
        <v>https://pbs.twimg.com/profile_images/1041725334431952896/uaPtkYSp_normal.jpg</v>
      </c>
      <c r="AW1307" s="82" t="s">
        <v>14402</v>
      </c>
      <c r="AX1307" s="82" t="s">
        <v>14402</v>
      </c>
      <c r="AY1307" s="77"/>
      <c r="AZ1307" s="82" t="s">
        <v>17385</v>
      </c>
      <c r="BA1307" s="82" t="s">
        <v>17385</v>
      </c>
      <c r="BB1307" s="82" t="s">
        <v>17385</v>
      </c>
      <c r="BC1307" s="82" t="s">
        <v>14402</v>
      </c>
      <c r="BD1307" s="82" t="s">
        <v>17550</v>
      </c>
      <c r="BE1307" s="77"/>
      <c r="BF1307" s="77"/>
      <c r="BG1307" s="77"/>
      <c r="BH1307" s="77"/>
      <c r="BI1307" s="77"/>
    </row>
    <row r="1308" spans="1:61" x14ac:dyDescent="0.25">
      <c r="A1308" s="62" t="s">
        <v>425</v>
      </c>
      <c r="B1308" s="62" t="s">
        <v>425</v>
      </c>
      <c r="C1308" s="63"/>
      <c r="D1308" s="64"/>
      <c r="E1308" s="65"/>
      <c r="F1308" s="66"/>
      <c r="G1308" s="63"/>
      <c r="H1308" s="67"/>
      <c r="I1308" s="68"/>
      <c r="J1308" s="68"/>
      <c r="K1308" s="32"/>
      <c r="L1308" s="75">
        <v>1308</v>
      </c>
      <c r="M1308" s="75"/>
      <c r="N1308" s="70"/>
      <c r="O1308" s="77" t="s">
        <v>179</v>
      </c>
      <c r="P1308" s="79">
        <v>45154.823634259257</v>
      </c>
      <c r="Q1308" s="77" t="s">
        <v>2099</v>
      </c>
      <c r="R1308" s="77">
        <v>0</v>
      </c>
      <c r="S1308" s="77">
        <v>1</v>
      </c>
      <c r="T1308" s="77">
        <v>0</v>
      </c>
      <c r="U1308" s="77">
        <v>0</v>
      </c>
      <c r="V1308" s="77">
        <v>185</v>
      </c>
      <c r="W1308" s="82" t="s">
        <v>5636</v>
      </c>
      <c r="X1308" s="80" t="str">
        <f>HYPERLINK("https://www.seudinheiro.com/2023/economia/vinfast-montadora-vietnamita-que-superou-ford-bmw-valor-de-mercado-miql/")</f>
        <v>https://www.seudinheiro.com/2023/economia/vinfast-montadora-vietnamita-que-superou-ford-bmw-valor-de-mercado-miql/</v>
      </c>
      <c r="Y1308" s="77" t="s">
        <v>7102</v>
      </c>
      <c r="Z1308" s="77"/>
      <c r="AA1308" s="77"/>
      <c r="AB1308" s="77"/>
      <c r="AC1308" s="82" t="s">
        <v>8255</v>
      </c>
      <c r="AD1308" s="77" t="s">
        <v>8278</v>
      </c>
      <c r="AE1308" s="80" t="str">
        <f>HYPERLINK("https://twitter.com/seu_dinheiro_br/status/1691899136881074545")</f>
        <v>https://twitter.com/seu_dinheiro_br/status/1691899136881074545</v>
      </c>
      <c r="AF1308" s="79">
        <v>45154.823634259257</v>
      </c>
      <c r="AG1308" s="85">
        <v>45154</v>
      </c>
      <c r="AH1308" s="82" t="s">
        <v>9455</v>
      </c>
      <c r="AI1308" s="77" t="b">
        <v>0</v>
      </c>
      <c r="AJ1308" s="77"/>
      <c r="AK1308" s="77"/>
      <c r="AL1308" s="77"/>
      <c r="AM1308" s="77"/>
      <c r="AN1308" s="77"/>
      <c r="AO1308" s="77"/>
      <c r="AP1308" s="77"/>
      <c r="AQ1308" s="77"/>
      <c r="AR1308" s="77"/>
      <c r="AS1308" s="77"/>
      <c r="AT1308" s="77"/>
      <c r="AU1308" s="77"/>
      <c r="AV1308" s="80" t="str">
        <f>HYPERLINK("https://pbs.twimg.com/profile_images/1041725334431952896/uaPtkYSp_normal.jpg")</f>
        <v>https://pbs.twimg.com/profile_images/1041725334431952896/uaPtkYSp_normal.jpg</v>
      </c>
      <c r="AW1308" s="82" t="s">
        <v>14403</v>
      </c>
      <c r="AX1308" s="82" t="s">
        <v>14403</v>
      </c>
      <c r="AY1308" s="77"/>
      <c r="AZ1308" s="82" t="s">
        <v>17385</v>
      </c>
      <c r="BA1308" s="82" t="s">
        <v>17385</v>
      </c>
      <c r="BB1308" s="82" t="s">
        <v>17385</v>
      </c>
      <c r="BC1308" s="82" t="s">
        <v>14403</v>
      </c>
      <c r="BD1308" s="82" t="s">
        <v>17550</v>
      </c>
      <c r="BE1308" s="77"/>
      <c r="BF1308" s="77"/>
      <c r="BG1308" s="77"/>
      <c r="BH1308" s="77"/>
      <c r="BI1308" s="77"/>
    </row>
    <row r="1309" spans="1:61" x14ac:dyDescent="0.25">
      <c r="A1309" s="62" t="s">
        <v>425</v>
      </c>
      <c r="B1309" s="62" t="s">
        <v>425</v>
      </c>
      <c r="C1309" s="63"/>
      <c r="D1309" s="64"/>
      <c r="E1309" s="65"/>
      <c r="F1309" s="66"/>
      <c r="G1309" s="63"/>
      <c r="H1309" s="67"/>
      <c r="I1309" s="68"/>
      <c r="J1309" s="68"/>
      <c r="K1309" s="32"/>
      <c r="L1309" s="75">
        <v>1309</v>
      </c>
      <c r="M1309" s="75"/>
      <c r="N1309" s="70"/>
      <c r="O1309" s="77" t="s">
        <v>179</v>
      </c>
      <c r="P1309" s="79">
        <v>45154.680868055555</v>
      </c>
      <c r="Q1309" s="77" t="s">
        <v>2100</v>
      </c>
      <c r="R1309" s="77">
        <v>0</v>
      </c>
      <c r="S1309" s="77">
        <v>1</v>
      </c>
      <c r="T1309" s="77">
        <v>0</v>
      </c>
      <c r="U1309" s="77">
        <v>0</v>
      </c>
      <c r="V1309" s="77">
        <v>209</v>
      </c>
      <c r="W1309" s="82" t="s">
        <v>5548</v>
      </c>
      <c r="X1309" s="80" t="str">
        <f>HYPERLINK("https://www.seudinheiro.com/2023/empresas/irb-irbr3-dispara-13-e-lidera-os-ganhos-do-ibovespa-apos-nova-recomendacao-do-citi-o-que-fez-os-analistas-mudarem-de-opiniao-sobre-as-acoes-ccgg/")</f>
        <v>https://www.seudinheiro.com/2023/empresas/irb-irbr3-dispara-13-e-lidera-os-ganhos-do-ibovespa-apos-nova-recomendacao-do-citi-o-que-fez-os-analistas-mudarem-de-opiniao-sobre-as-acoes-ccgg/</v>
      </c>
      <c r="Y1309" s="77" t="s">
        <v>7102</v>
      </c>
      <c r="Z1309" s="77"/>
      <c r="AA1309" s="77"/>
      <c r="AB1309" s="77"/>
      <c r="AC1309" s="82" t="s">
        <v>8255</v>
      </c>
      <c r="AD1309" s="77" t="s">
        <v>8278</v>
      </c>
      <c r="AE1309" s="80" t="str">
        <f>HYPERLINK("https://twitter.com/seu_dinheiro_br/status/1691847396756520969")</f>
        <v>https://twitter.com/seu_dinheiro_br/status/1691847396756520969</v>
      </c>
      <c r="AF1309" s="79">
        <v>45154.680868055555</v>
      </c>
      <c r="AG1309" s="85">
        <v>45154</v>
      </c>
      <c r="AH1309" s="82" t="s">
        <v>9456</v>
      </c>
      <c r="AI1309" s="77" t="b">
        <v>0</v>
      </c>
      <c r="AJ1309" s="77"/>
      <c r="AK1309" s="77"/>
      <c r="AL1309" s="77"/>
      <c r="AM1309" s="77"/>
      <c r="AN1309" s="77"/>
      <c r="AO1309" s="77"/>
      <c r="AP1309" s="77"/>
      <c r="AQ1309" s="77"/>
      <c r="AR1309" s="77"/>
      <c r="AS1309" s="77"/>
      <c r="AT1309" s="77"/>
      <c r="AU1309" s="77"/>
      <c r="AV1309" s="80" t="str">
        <f>HYPERLINK("https://pbs.twimg.com/profile_images/1041725334431952896/uaPtkYSp_normal.jpg")</f>
        <v>https://pbs.twimg.com/profile_images/1041725334431952896/uaPtkYSp_normal.jpg</v>
      </c>
      <c r="AW1309" s="82" t="s">
        <v>14404</v>
      </c>
      <c r="AX1309" s="82" t="s">
        <v>14404</v>
      </c>
      <c r="AY1309" s="77"/>
      <c r="AZ1309" s="82" t="s">
        <v>17385</v>
      </c>
      <c r="BA1309" s="82" t="s">
        <v>17385</v>
      </c>
      <c r="BB1309" s="82" t="s">
        <v>17385</v>
      </c>
      <c r="BC1309" s="82" t="s">
        <v>14404</v>
      </c>
      <c r="BD1309" s="82" t="s">
        <v>17550</v>
      </c>
      <c r="BE1309" s="77"/>
      <c r="BF1309" s="77"/>
      <c r="BG1309" s="77"/>
      <c r="BH1309" s="77"/>
      <c r="BI1309" s="77"/>
    </row>
    <row r="1310" spans="1:61" x14ac:dyDescent="0.25">
      <c r="A1310" s="62" t="s">
        <v>425</v>
      </c>
      <c r="B1310" s="62" t="s">
        <v>425</v>
      </c>
      <c r="C1310" s="63"/>
      <c r="D1310" s="64"/>
      <c r="E1310" s="65"/>
      <c r="F1310" s="66"/>
      <c r="G1310" s="63"/>
      <c r="H1310" s="67"/>
      <c r="I1310" s="68"/>
      <c r="J1310" s="68"/>
      <c r="K1310" s="32"/>
      <c r="L1310" s="75">
        <v>1310</v>
      </c>
      <c r="M1310" s="75"/>
      <c r="N1310" s="70"/>
      <c r="O1310" s="77" t="s">
        <v>179</v>
      </c>
      <c r="P1310" s="79">
        <v>45145.546342592592</v>
      </c>
      <c r="Q1310" s="77" t="s">
        <v>2101</v>
      </c>
      <c r="R1310" s="77">
        <v>1</v>
      </c>
      <c r="S1310" s="77">
        <v>2</v>
      </c>
      <c r="T1310" s="77">
        <v>0</v>
      </c>
      <c r="U1310" s="77">
        <v>0</v>
      </c>
      <c r="V1310" s="77">
        <v>405</v>
      </c>
      <c r="W1310" s="82" t="s">
        <v>5534</v>
      </c>
      <c r="X1310" s="80" t="str">
        <f>HYPERLINK("https://www.seudinheiro.com/2023/empresas/itau-itub4-fora-do-ar-aplicativo-do-banco-registra-instabilidade-pela-manha-miql/")</f>
        <v>https://www.seudinheiro.com/2023/empresas/itau-itub4-fora-do-ar-aplicativo-do-banco-registra-instabilidade-pela-manha-miql/</v>
      </c>
      <c r="Y1310" s="77" t="s">
        <v>7102</v>
      </c>
      <c r="Z1310" s="77"/>
      <c r="AA1310" s="77"/>
      <c r="AB1310" s="77"/>
      <c r="AC1310" s="82" t="s">
        <v>8255</v>
      </c>
      <c r="AD1310" s="77" t="s">
        <v>8278</v>
      </c>
      <c r="AE1310" s="80" t="str">
        <f>HYPERLINK("https://twitter.com/seu_dinheiro_br/status/1688537158959718401")</f>
        <v>https://twitter.com/seu_dinheiro_br/status/1688537158959718401</v>
      </c>
      <c r="AF1310" s="79">
        <v>45145.546342592592</v>
      </c>
      <c r="AG1310" s="85">
        <v>45145</v>
      </c>
      <c r="AH1310" s="82" t="s">
        <v>9457</v>
      </c>
      <c r="AI1310" s="77" t="b">
        <v>0</v>
      </c>
      <c r="AJ1310" s="77"/>
      <c r="AK1310" s="77"/>
      <c r="AL1310" s="77"/>
      <c r="AM1310" s="77"/>
      <c r="AN1310" s="77"/>
      <c r="AO1310" s="77"/>
      <c r="AP1310" s="77"/>
      <c r="AQ1310" s="77"/>
      <c r="AR1310" s="77"/>
      <c r="AS1310" s="77"/>
      <c r="AT1310" s="77"/>
      <c r="AU1310" s="77"/>
      <c r="AV1310" s="80" t="str">
        <f>HYPERLINK("https://pbs.twimg.com/profile_images/1041725334431952896/uaPtkYSp_normal.jpg")</f>
        <v>https://pbs.twimg.com/profile_images/1041725334431952896/uaPtkYSp_normal.jpg</v>
      </c>
      <c r="AW1310" s="82" t="s">
        <v>14405</v>
      </c>
      <c r="AX1310" s="82" t="s">
        <v>14405</v>
      </c>
      <c r="AY1310" s="77"/>
      <c r="AZ1310" s="82" t="s">
        <v>17385</v>
      </c>
      <c r="BA1310" s="82" t="s">
        <v>17385</v>
      </c>
      <c r="BB1310" s="82" t="s">
        <v>17385</v>
      </c>
      <c r="BC1310" s="82" t="s">
        <v>14405</v>
      </c>
      <c r="BD1310" s="82" t="s">
        <v>17550</v>
      </c>
      <c r="BE1310" s="77"/>
      <c r="BF1310" s="77"/>
      <c r="BG1310" s="77"/>
      <c r="BH1310" s="77"/>
      <c r="BI1310" s="77"/>
    </row>
    <row r="1311" spans="1:61" x14ac:dyDescent="0.25">
      <c r="A1311" s="62" t="s">
        <v>425</v>
      </c>
      <c r="B1311" s="62" t="s">
        <v>425</v>
      </c>
      <c r="C1311" s="63"/>
      <c r="D1311" s="64"/>
      <c r="E1311" s="65"/>
      <c r="F1311" s="66"/>
      <c r="G1311" s="63"/>
      <c r="H1311" s="67"/>
      <c r="I1311" s="68"/>
      <c r="J1311" s="68"/>
      <c r="K1311" s="32"/>
      <c r="L1311" s="75">
        <v>1311</v>
      </c>
      <c r="M1311" s="75"/>
      <c r="N1311" s="70"/>
      <c r="O1311" s="77" t="s">
        <v>179</v>
      </c>
      <c r="P1311" s="79">
        <v>45145.491689814815</v>
      </c>
      <c r="Q1311" s="77" t="s">
        <v>2102</v>
      </c>
      <c r="R1311" s="77">
        <v>0</v>
      </c>
      <c r="S1311" s="77">
        <v>1</v>
      </c>
      <c r="T1311" s="77">
        <v>0</v>
      </c>
      <c r="U1311" s="77">
        <v>0</v>
      </c>
      <c r="V1311" s="77">
        <v>333</v>
      </c>
      <c r="W1311" s="82" t="s">
        <v>5492</v>
      </c>
      <c r="X1311" s="80" t="str">
        <f>HYPERLINK("https://www.seudinheiro.com/2023/bolsa-dolar/bancoes-privados-itau-itub4-destoa-lucro-deve-crescer-2t23-vvka/")</f>
        <v>https://www.seudinheiro.com/2023/bolsa-dolar/bancoes-privados-itau-itub4-destoa-lucro-deve-crescer-2t23-vvka/</v>
      </c>
      <c r="Y1311" s="77" t="s">
        <v>7102</v>
      </c>
      <c r="Z1311" s="77"/>
      <c r="AA1311" s="77"/>
      <c r="AB1311" s="77"/>
      <c r="AC1311" s="82" t="s">
        <v>8255</v>
      </c>
      <c r="AD1311" s="77" t="s">
        <v>8278</v>
      </c>
      <c r="AE1311" s="80" t="str">
        <f>HYPERLINK("https://twitter.com/seu_dinheiro_br/status/1688517350012690434")</f>
        <v>https://twitter.com/seu_dinheiro_br/status/1688517350012690434</v>
      </c>
      <c r="AF1311" s="79">
        <v>45145.491689814815</v>
      </c>
      <c r="AG1311" s="85">
        <v>45145</v>
      </c>
      <c r="AH1311" s="82" t="s">
        <v>9458</v>
      </c>
      <c r="AI1311" s="77" t="b">
        <v>0</v>
      </c>
      <c r="AJ1311" s="77"/>
      <c r="AK1311" s="77"/>
      <c r="AL1311" s="77"/>
      <c r="AM1311" s="77"/>
      <c r="AN1311" s="77"/>
      <c r="AO1311" s="77"/>
      <c r="AP1311" s="77"/>
      <c r="AQ1311" s="77"/>
      <c r="AR1311" s="77"/>
      <c r="AS1311" s="77"/>
      <c r="AT1311" s="77"/>
      <c r="AU1311" s="77"/>
      <c r="AV1311" s="80" t="str">
        <f>HYPERLINK("https://pbs.twimg.com/profile_images/1041725334431952896/uaPtkYSp_normal.jpg")</f>
        <v>https://pbs.twimg.com/profile_images/1041725334431952896/uaPtkYSp_normal.jpg</v>
      </c>
      <c r="AW1311" s="82" t="s">
        <v>14406</v>
      </c>
      <c r="AX1311" s="82" t="s">
        <v>14406</v>
      </c>
      <c r="AY1311" s="77"/>
      <c r="AZ1311" s="82" t="s">
        <v>17385</v>
      </c>
      <c r="BA1311" s="82" t="s">
        <v>17385</v>
      </c>
      <c r="BB1311" s="82" t="s">
        <v>17385</v>
      </c>
      <c r="BC1311" s="82" t="s">
        <v>14406</v>
      </c>
      <c r="BD1311" s="82" t="s">
        <v>17550</v>
      </c>
      <c r="BE1311" s="77"/>
      <c r="BF1311" s="77"/>
      <c r="BG1311" s="77"/>
      <c r="BH1311" s="77"/>
      <c r="BI1311" s="77"/>
    </row>
    <row r="1312" spans="1:61" x14ac:dyDescent="0.25">
      <c r="A1312" s="62" t="s">
        <v>425</v>
      </c>
      <c r="B1312" s="62" t="s">
        <v>425</v>
      </c>
      <c r="C1312" s="63"/>
      <c r="D1312" s="64"/>
      <c r="E1312" s="65"/>
      <c r="F1312" s="66"/>
      <c r="G1312" s="63"/>
      <c r="H1312" s="67"/>
      <c r="I1312" s="68"/>
      <c r="J1312" s="68"/>
      <c r="K1312" s="32"/>
      <c r="L1312" s="75">
        <v>1312</v>
      </c>
      <c r="M1312" s="75"/>
      <c r="N1312" s="70"/>
      <c r="O1312" s="77" t="s">
        <v>179</v>
      </c>
      <c r="P1312" s="79">
        <v>45145.437199074076</v>
      </c>
      <c r="Q1312" s="77" t="s">
        <v>2103</v>
      </c>
      <c r="R1312" s="77">
        <v>0</v>
      </c>
      <c r="S1312" s="77">
        <v>1</v>
      </c>
      <c r="T1312" s="77">
        <v>0</v>
      </c>
      <c r="U1312" s="77">
        <v>0</v>
      </c>
      <c r="V1312" s="77">
        <v>302</v>
      </c>
      <c r="W1312" s="82" t="s">
        <v>5475</v>
      </c>
      <c r="X1312" s="80" t="str">
        <f>HYPERLINK("https://www.seudinheiro.com/2023/colunistas/day-trade-na-b3-compra-dos-papeis-da-qualicorp-qual3-07-08-miql/")</f>
        <v>https://www.seudinheiro.com/2023/colunistas/day-trade-na-b3-compra-dos-papeis-da-qualicorp-qual3-07-08-miql/</v>
      </c>
      <c r="Y1312" s="77" t="s">
        <v>7102</v>
      </c>
      <c r="Z1312" s="77"/>
      <c r="AA1312" s="77"/>
      <c r="AB1312" s="77"/>
      <c r="AC1312" s="82" t="s">
        <v>8255</v>
      </c>
      <c r="AD1312" s="77" t="s">
        <v>8278</v>
      </c>
      <c r="AE1312" s="80" t="str">
        <f>HYPERLINK("https://twitter.com/seu_dinheiro_br/status/1688497603867037697")</f>
        <v>https://twitter.com/seu_dinheiro_br/status/1688497603867037697</v>
      </c>
      <c r="AF1312" s="79">
        <v>45145.437199074076</v>
      </c>
      <c r="AG1312" s="85">
        <v>45145</v>
      </c>
      <c r="AH1312" s="82" t="s">
        <v>9459</v>
      </c>
      <c r="AI1312" s="77" t="b">
        <v>0</v>
      </c>
      <c r="AJ1312" s="77"/>
      <c r="AK1312" s="77"/>
      <c r="AL1312" s="77"/>
      <c r="AM1312" s="77"/>
      <c r="AN1312" s="77"/>
      <c r="AO1312" s="77"/>
      <c r="AP1312" s="77"/>
      <c r="AQ1312" s="77"/>
      <c r="AR1312" s="77"/>
      <c r="AS1312" s="77"/>
      <c r="AT1312" s="77"/>
      <c r="AU1312" s="77"/>
      <c r="AV1312" s="80" t="str">
        <f>HYPERLINK("https://pbs.twimg.com/profile_images/1041725334431952896/uaPtkYSp_normal.jpg")</f>
        <v>https://pbs.twimg.com/profile_images/1041725334431952896/uaPtkYSp_normal.jpg</v>
      </c>
      <c r="AW1312" s="82" t="s">
        <v>14407</v>
      </c>
      <c r="AX1312" s="82" t="s">
        <v>14407</v>
      </c>
      <c r="AY1312" s="77"/>
      <c r="AZ1312" s="82" t="s">
        <v>17385</v>
      </c>
      <c r="BA1312" s="82" t="s">
        <v>17385</v>
      </c>
      <c r="BB1312" s="82" t="s">
        <v>17385</v>
      </c>
      <c r="BC1312" s="82" t="s">
        <v>14407</v>
      </c>
      <c r="BD1312" s="82" t="s">
        <v>17550</v>
      </c>
      <c r="BE1312" s="77"/>
      <c r="BF1312" s="77"/>
      <c r="BG1312" s="77"/>
      <c r="BH1312" s="77"/>
      <c r="BI1312" s="77"/>
    </row>
    <row r="1313" spans="1:61" x14ac:dyDescent="0.25">
      <c r="A1313" s="62" t="s">
        <v>425</v>
      </c>
      <c r="B1313" s="62" t="s">
        <v>425</v>
      </c>
      <c r="C1313" s="63"/>
      <c r="D1313" s="64"/>
      <c r="E1313" s="65"/>
      <c r="F1313" s="66"/>
      <c r="G1313" s="63"/>
      <c r="H1313" s="67"/>
      <c r="I1313" s="68"/>
      <c r="J1313" s="68"/>
      <c r="K1313" s="32"/>
      <c r="L1313" s="75">
        <v>1313</v>
      </c>
      <c r="M1313" s="75"/>
      <c r="N1313" s="70"/>
      <c r="O1313" s="77" t="s">
        <v>179</v>
      </c>
      <c r="P1313" s="79">
        <v>45144.756898148145</v>
      </c>
      <c r="Q1313" s="77" t="s">
        <v>2104</v>
      </c>
      <c r="R1313" s="77">
        <v>0</v>
      </c>
      <c r="S1313" s="77">
        <v>1</v>
      </c>
      <c r="T1313" s="77">
        <v>0</v>
      </c>
      <c r="U1313" s="77">
        <v>0</v>
      </c>
      <c r="V1313" s="77">
        <v>332</v>
      </c>
      <c r="W1313" s="82" t="s">
        <v>5637</v>
      </c>
      <c r="X1313" s="80" t="str">
        <f>HYPERLINK("https://www.seudinheiro.com/2023/bolsa-dolar/confira-qual-banco-conseguiu-superar-o-ibovespa-com-a-carteira-recomendada-de-acoes-veja-o-ranking-de-julho-lvit/")</f>
        <v>https://www.seudinheiro.com/2023/bolsa-dolar/confira-qual-banco-conseguiu-superar-o-ibovespa-com-a-carteira-recomendada-de-acoes-veja-o-ranking-de-julho-lvit/</v>
      </c>
      <c r="Y1313" s="77" t="s">
        <v>7102</v>
      </c>
      <c r="Z1313" s="77"/>
      <c r="AA1313" s="77"/>
      <c r="AB1313" s="77"/>
      <c r="AC1313" s="82" t="s">
        <v>8255</v>
      </c>
      <c r="AD1313" s="77" t="s">
        <v>8278</v>
      </c>
      <c r="AE1313" s="80" t="str">
        <f>HYPERLINK("https://twitter.com/seu_dinheiro_br/status/1688251073092268032")</f>
        <v>https://twitter.com/seu_dinheiro_br/status/1688251073092268032</v>
      </c>
      <c r="AF1313" s="79">
        <v>45144.756898148145</v>
      </c>
      <c r="AG1313" s="85">
        <v>45144</v>
      </c>
      <c r="AH1313" s="82" t="s">
        <v>9460</v>
      </c>
      <c r="AI1313" s="77" t="b">
        <v>0</v>
      </c>
      <c r="AJ1313" s="77"/>
      <c r="AK1313" s="77"/>
      <c r="AL1313" s="77"/>
      <c r="AM1313" s="77"/>
      <c r="AN1313" s="77"/>
      <c r="AO1313" s="77"/>
      <c r="AP1313" s="77"/>
      <c r="AQ1313" s="77"/>
      <c r="AR1313" s="77"/>
      <c r="AS1313" s="77"/>
      <c r="AT1313" s="77"/>
      <c r="AU1313" s="77"/>
      <c r="AV1313" s="80" t="str">
        <f>HYPERLINK("https://pbs.twimg.com/profile_images/1041725334431952896/uaPtkYSp_normal.jpg")</f>
        <v>https://pbs.twimg.com/profile_images/1041725334431952896/uaPtkYSp_normal.jpg</v>
      </c>
      <c r="AW1313" s="82" t="s">
        <v>14408</v>
      </c>
      <c r="AX1313" s="82" t="s">
        <v>14408</v>
      </c>
      <c r="AY1313" s="77"/>
      <c r="AZ1313" s="82" t="s">
        <v>17385</v>
      </c>
      <c r="BA1313" s="82" t="s">
        <v>17385</v>
      </c>
      <c r="BB1313" s="82" t="s">
        <v>17385</v>
      </c>
      <c r="BC1313" s="82" t="s">
        <v>14408</v>
      </c>
      <c r="BD1313" s="82" t="s">
        <v>17550</v>
      </c>
      <c r="BE1313" s="77"/>
      <c r="BF1313" s="77"/>
      <c r="BG1313" s="77"/>
      <c r="BH1313" s="77"/>
      <c r="BI1313" s="77"/>
    </row>
    <row r="1314" spans="1:61" x14ac:dyDescent="0.25">
      <c r="A1314" s="62" t="s">
        <v>425</v>
      </c>
      <c r="B1314" s="62" t="s">
        <v>425</v>
      </c>
      <c r="C1314" s="63"/>
      <c r="D1314" s="64"/>
      <c r="E1314" s="65"/>
      <c r="F1314" s="66"/>
      <c r="G1314" s="63"/>
      <c r="H1314" s="67"/>
      <c r="I1314" s="68"/>
      <c r="J1314" s="68"/>
      <c r="K1314" s="32"/>
      <c r="L1314" s="75">
        <v>1314</v>
      </c>
      <c r="M1314" s="75"/>
      <c r="N1314" s="70"/>
      <c r="O1314" s="77" t="s">
        <v>179</v>
      </c>
      <c r="P1314" s="79">
        <v>45143.780532407407</v>
      </c>
      <c r="Q1314" s="77" t="s">
        <v>2105</v>
      </c>
      <c r="R1314" s="77">
        <v>0</v>
      </c>
      <c r="S1314" s="77">
        <v>0</v>
      </c>
      <c r="T1314" s="77">
        <v>0</v>
      </c>
      <c r="U1314" s="77">
        <v>0</v>
      </c>
      <c r="V1314" s="77">
        <v>418</v>
      </c>
      <c r="W1314" s="82" t="s">
        <v>5638</v>
      </c>
      <c r="X1314" s="80" t="str">
        <f>HYPERLINK("https://assets.seudinheiro.com/2023/bolsa-dolar/via-viia3-despenca-12-mesmo-apos-corte-na-selic-e-registra-maior-queda-do-ibovespa-na-semana-lvit/")</f>
        <v>https://assets.seudinheiro.com/2023/bolsa-dolar/via-viia3-despenca-12-mesmo-apos-corte-na-selic-e-registra-maior-queda-do-ibovespa-na-semana-lvit/</v>
      </c>
      <c r="Y1314" s="77" t="s">
        <v>7102</v>
      </c>
      <c r="Z1314" s="77"/>
      <c r="AA1314" s="77"/>
      <c r="AB1314" s="77"/>
      <c r="AC1314" s="82" t="s">
        <v>8255</v>
      </c>
      <c r="AD1314" s="77" t="s">
        <v>8278</v>
      </c>
      <c r="AE1314" s="80" t="str">
        <f>HYPERLINK("https://twitter.com/seu_dinheiro_br/status/1687897249726988288")</f>
        <v>https://twitter.com/seu_dinheiro_br/status/1687897249726988288</v>
      </c>
      <c r="AF1314" s="79">
        <v>45143.780532407407</v>
      </c>
      <c r="AG1314" s="85">
        <v>45143</v>
      </c>
      <c r="AH1314" s="82" t="s">
        <v>9461</v>
      </c>
      <c r="AI1314" s="77" t="b">
        <v>0</v>
      </c>
      <c r="AJ1314" s="77"/>
      <c r="AK1314" s="77"/>
      <c r="AL1314" s="77"/>
      <c r="AM1314" s="77"/>
      <c r="AN1314" s="77"/>
      <c r="AO1314" s="77"/>
      <c r="AP1314" s="77"/>
      <c r="AQ1314" s="77"/>
      <c r="AR1314" s="77"/>
      <c r="AS1314" s="77"/>
      <c r="AT1314" s="77"/>
      <c r="AU1314" s="77"/>
      <c r="AV1314" s="80" t="str">
        <f>HYPERLINK("https://pbs.twimg.com/profile_images/1041725334431952896/uaPtkYSp_normal.jpg")</f>
        <v>https://pbs.twimg.com/profile_images/1041725334431952896/uaPtkYSp_normal.jpg</v>
      </c>
      <c r="AW1314" s="82" t="s">
        <v>14409</v>
      </c>
      <c r="AX1314" s="82" t="s">
        <v>14409</v>
      </c>
      <c r="AY1314" s="77"/>
      <c r="AZ1314" s="82" t="s">
        <v>17385</v>
      </c>
      <c r="BA1314" s="82" t="s">
        <v>17385</v>
      </c>
      <c r="BB1314" s="82" t="s">
        <v>17385</v>
      </c>
      <c r="BC1314" s="82" t="s">
        <v>14409</v>
      </c>
      <c r="BD1314" s="82" t="s">
        <v>17550</v>
      </c>
      <c r="BE1314" s="77"/>
      <c r="BF1314" s="77"/>
      <c r="BG1314" s="77"/>
      <c r="BH1314" s="77"/>
      <c r="BI1314" s="77"/>
    </row>
    <row r="1315" spans="1:61" x14ac:dyDescent="0.25">
      <c r="A1315" s="62" t="s">
        <v>425</v>
      </c>
      <c r="B1315" s="62" t="s">
        <v>425</v>
      </c>
      <c r="C1315" s="63"/>
      <c r="D1315" s="64"/>
      <c r="E1315" s="65"/>
      <c r="F1315" s="66"/>
      <c r="G1315" s="63"/>
      <c r="H1315" s="67"/>
      <c r="I1315" s="68"/>
      <c r="J1315" s="68"/>
      <c r="K1315" s="32"/>
      <c r="L1315" s="75">
        <v>1315</v>
      </c>
      <c r="M1315" s="75"/>
      <c r="N1315" s="70"/>
      <c r="O1315" s="77" t="s">
        <v>179</v>
      </c>
      <c r="P1315" s="79">
        <v>45136.570798611108</v>
      </c>
      <c r="Q1315" s="77" t="s">
        <v>2106</v>
      </c>
      <c r="R1315" s="77">
        <v>0</v>
      </c>
      <c r="S1315" s="77">
        <v>0</v>
      </c>
      <c r="T1315" s="77">
        <v>0</v>
      </c>
      <c r="U1315" s="77">
        <v>0</v>
      </c>
      <c r="V1315" s="77">
        <v>403</v>
      </c>
      <c r="W1315" s="82" t="s">
        <v>5537</v>
      </c>
      <c r="X1315" s="80" t="str">
        <f>HYPERLINK("https://www.seudinheiro.com/2023/bolsa-dolar/meliuz-cash3-lidera-pelotao-dos-ganhos-do-ibovespa-e-irb-irbr3-vai-na-direcao-oposta-veja-o-que-foi-destaque-na-bolsa-na-semana-ccgg/")</f>
        <v>https://www.seudinheiro.com/2023/bolsa-dolar/meliuz-cash3-lidera-pelotao-dos-ganhos-do-ibovespa-e-irb-irbr3-vai-na-direcao-oposta-veja-o-que-foi-destaque-na-bolsa-na-semana-ccgg/</v>
      </c>
      <c r="Y1315" s="77" t="s">
        <v>7102</v>
      </c>
      <c r="Z1315" s="77"/>
      <c r="AA1315" s="77"/>
      <c r="AB1315" s="77"/>
      <c r="AC1315" s="82" t="s">
        <v>8255</v>
      </c>
      <c r="AD1315" s="77" t="s">
        <v>8278</v>
      </c>
      <c r="AE1315" s="80" t="str">
        <f>HYPERLINK("https://twitter.com/seu_dinheiro_br/status/1685284530901442561")</f>
        <v>https://twitter.com/seu_dinheiro_br/status/1685284530901442561</v>
      </c>
      <c r="AF1315" s="79">
        <v>45136.570798611108</v>
      </c>
      <c r="AG1315" s="85">
        <v>45136</v>
      </c>
      <c r="AH1315" s="82" t="s">
        <v>9462</v>
      </c>
      <c r="AI1315" s="77" t="b">
        <v>0</v>
      </c>
      <c r="AJ1315" s="77"/>
      <c r="AK1315" s="77"/>
      <c r="AL1315" s="77"/>
      <c r="AM1315" s="77"/>
      <c r="AN1315" s="77"/>
      <c r="AO1315" s="77"/>
      <c r="AP1315" s="77"/>
      <c r="AQ1315" s="77"/>
      <c r="AR1315" s="77"/>
      <c r="AS1315" s="77"/>
      <c r="AT1315" s="77"/>
      <c r="AU1315" s="77"/>
      <c r="AV1315" s="80" t="str">
        <f>HYPERLINK("https://pbs.twimg.com/profile_images/1041725334431952896/uaPtkYSp_normal.jpg")</f>
        <v>https://pbs.twimg.com/profile_images/1041725334431952896/uaPtkYSp_normal.jpg</v>
      </c>
      <c r="AW1315" s="82" t="s">
        <v>14410</v>
      </c>
      <c r="AX1315" s="82" t="s">
        <v>14410</v>
      </c>
      <c r="AY1315" s="77"/>
      <c r="AZ1315" s="82" t="s">
        <v>17385</v>
      </c>
      <c r="BA1315" s="82" t="s">
        <v>17385</v>
      </c>
      <c r="BB1315" s="82" t="s">
        <v>17385</v>
      </c>
      <c r="BC1315" s="82" t="s">
        <v>14410</v>
      </c>
      <c r="BD1315" s="82" t="s">
        <v>17550</v>
      </c>
      <c r="BE1315" s="77"/>
      <c r="BF1315" s="77"/>
      <c r="BG1315" s="77"/>
      <c r="BH1315" s="77"/>
      <c r="BI1315" s="77"/>
    </row>
    <row r="1316" spans="1:61" x14ac:dyDescent="0.25">
      <c r="A1316" s="62" t="s">
        <v>425</v>
      </c>
      <c r="B1316" s="62" t="s">
        <v>425</v>
      </c>
      <c r="C1316" s="63"/>
      <c r="D1316" s="64"/>
      <c r="E1316" s="65"/>
      <c r="F1316" s="66"/>
      <c r="G1316" s="63"/>
      <c r="H1316" s="67"/>
      <c r="I1316" s="68"/>
      <c r="J1316" s="68"/>
      <c r="K1316" s="32"/>
      <c r="L1316" s="75">
        <v>1316</v>
      </c>
      <c r="M1316" s="75"/>
      <c r="N1316" s="70"/>
      <c r="O1316" s="77" t="s">
        <v>179</v>
      </c>
      <c r="P1316" s="79">
        <v>45135.752523148149</v>
      </c>
      <c r="Q1316" s="77" t="s">
        <v>2107</v>
      </c>
      <c r="R1316" s="77">
        <v>0</v>
      </c>
      <c r="S1316" s="77">
        <v>0</v>
      </c>
      <c r="T1316" s="77">
        <v>0</v>
      </c>
      <c r="U1316" s="77">
        <v>0</v>
      </c>
      <c r="V1316" s="77">
        <v>290</v>
      </c>
      <c r="W1316" s="82" t="s">
        <v>5486</v>
      </c>
      <c r="X1316" s="80" t="str">
        <f>HYPERLINK("https://www.seudinheiro.com/2023/empresas/usiminas-e-hora-de-vender-usim5-acoes-lideram-perdas-do-ibovespa-apos-balanco-do-2t23-ccgg/")</f>
        <v>https://www.seudinheiro.com/2023/empresas/usiminas-e-hora-de-vender-usim5-acoes-lideram-perdas-do-ibovespa-apos-balanco-do-2t23-ccgg/</v>
      </c>
      <c r="Y1316" s="77" t="s">
        <v>7102</v>
      </c>
      <c r="Z1316" s="77"/>
      <c r="AA1316" s="77"/>
      <c r="AB1316" s="77"/>
      <c r="AC1316" s="82" t="s">
        <v>8255</v>
      </c>
      <c r="AD1316" s="77" t="s">
        <v>8278</v>
      </c>
      <c r="AE1316" s="80" t="str">
        <f>HYPERLINK("https://twitter.com/seu_dinheiro_br/status/1684987995097575438")</f>
        <v>https://twitter.com/seu_dinheiro_br/status/1684987995097575438</v>
      </c>
      <c r="AF1316" s="79">
        <v>45135.752523148149</v>
      </c>
      <c r="AG1316" s="85">
        <v>45135</v>
      </c>
      <c r="AH1316" s="82" t="s">
        <v>9463</v>
      </c>
      <c r="AI1316" s="77" t="b">
        <v>0</v>
      </c>
      <c r="AJ1316" s="77"/>
      <c r="AK1316" s="77"/>
      <c r="AL1316" s="77"/>
      <c r="AM1316" s="77"/>
      <c r="AN1316" s="77"/>
      <c r="AO1316" s="77"/>
      <c r="AP1316" s="77"/>
      <c r="AQ1316" s="77"/>
      <c r="AR1316" s="77"/>
      <c r="AS1316" s="77"/>
      <c r="AT1316" s="77"/>
      <c r="AU1316" s="77"/>
      <c r="AV1316" s="80" t="str">
        <f>HYPERLINK("https://pbs.twimg.com/profile_images/1041725334431952896/uaPtkYSp_normal.jpg")</f>
        <v>https://pbs.twimg.com/profile_images/1041725334431952896/uaPtkYSp_normal.jpg</v>
      </c>
      <c r="AW1316" s="82" t="s">
        <v>14411</v>
      </c>
      <c r="AX1316" s="82" t="s">
        <v>14411</v>
      </c>
      <c r="AY1316" s="77"/>
      <c r="AZ1316" s="82" t="s">
        <v>17385</v>
      </c>
      <c r="BA1316" s="82" t="s">
        <v>17385</v>
      </c>
      <c r="BB1316" s="82" t="s">
        <v>17385</v>
      </c>
      <c r="BC1316" s="82" t="s">
        <v>14411</v>
      </c>
      <c r="BD1316" s="82" t="s">
        <v>17550</v>
      </c>
      <c r="BE1316" s="77"/>
      <c r="BF1316" s="77"/>
      <c r="BG1316" s="77"/>
      <c r="BH1316" s="77"/>
      <c r="BI1316" s="77"/>
    </row>
    <row r="1317" spans="1:61" x14ac:dyDescent="0.25">
      <c r="A1317" s="62" t="s">
        <v>425</v>
      </c>
      <c r="B1317" s="62" t="s">
        <v>425</v>
      </c>
      <c r="C1317" s="63"/>
      <c r="D1317" s="64"/>
      <c r="E1317" s="65"/>
      <c r="F1317" s="66"/>
      <c r="G1317" s="63"/>
      <c r="H1317" s="67"/>
      <c r="I1317" s="68"/>
      <c r="J1317" s="68"/>
      <c r="K1317" s="32"/>
      <c r="L1317" s="75">
        <v>1317</v>
      </c>
      <c r="M1317" s="75"/>
      <c r="N1317" s="70"/>
      <c r="O1317" s="77" t="s">
        <v>179</v>
      </c>
      <c r="P1317" s="79">
        <v>45135.47146990741</v>
      </c>
      <c r="Q1317" s="77" t="s">
        <v>2108</v>
      </c>
      <c r="R1317" s="77">
        <v>0</v>
      </c>
      <c r="S1317" s="77">
        <v>1</v>
      </c>
      <c r="T1317" s="77">
        <v>0</v>
      </c>
      <c r="U1317" s="77">
        <v>0</v>
      </c>
      <c r="V1317" s="77">
        <v>303</v>
      </c>
      <c r="W1317" s="82" t="s">
        <v>5475</v>
      </c>
      <c r="X1317" s="80" t="str">
        <f>HYPERLINK("https://www.seudinheiro.com/2023/colunistas/day-trade-na-b3-acao-cecorodovias-ecor3-28-07-rens/")</f>
        <v>https://www.seudinheiro.com/2023/colunistas/day-trade-na-b3-acao-cecorodovias-ecor3-28-07-rens/</v>
      </c>
      <c r="Y1317" s="77" t="s">
        <v>7102</v>
      </c>
      <c r="Z1317" s="77"/>
      <c r="AA1317" s="77"/>
      <c r="AB1317" s="77"/>
      <c r="AC1317" s="82" t="s">
        <v>8255</v>
      </c>
      <c r="AD1317" s="77" t="s">
        <v>8278</v>
      </c>
      <c r="AE1317" s="80" t="str">
        <f>HYPERLINK("https://twitter.com/seu_dinheiro_br/status/1684886145803395072")</f>
        <v>https://twitter.com/seu_dinheiro_br/status/1684886145803395072</v>
      </c>
      <c r="AF1317" s="79">
        <v>45135.47146990741</v>
      </c>
      <c r="AG1317" s="85">
        <v>45135</v>
      </c>
      <c r="AH1317" s="82" t="s">
        <v>9464</v>
      </c>
      <c r="AI1317" s="77" t="b">
        <v>0</v>
      </c>
      <c r="AJ1317" s="77"/>
      <c r="AK1317" s="77"/>
      <c r="AL1317" s="77"/>
      <c r="AM1317" s="77"/>
      <c r="AN1317" s="77"/>
      <c r="AO1317" s="77"/>
      <c r="AP1317" s="77"/>
      <c r="AQ1317" s="77"/>
      <c r="AR1317" s="77"/>
      <c r="AS1317" s="77"/>
      <c r="AT1317" s="77"/>
      <c r="AU1317" s="77"/>
      <c r="AV1317" s="80" t="str">
        <f>HYPERLINK("https://pbs.twimg.com/profile_images/1041725334431952896/uaPtkYSp_normal.jpg")</f>
        <v>https://pbs.twimg.com/profile_images/1041725334431952896/uaPtkYSp_normal.jpg</v>
      </c>
      <c r="AW1317" s="82" t="s">
        <v>14412</v>
      </c>
      <c r="AX1317" s="82" t="s">
        <v>14412</v>
      </c>
      <c r="AY1317" s="77"/>
      <c r="AZ1317" s="82" t="s">
        <v>17385</v>
      </c>
      <c r="BA1317" s="82" t="s">
        <v>17385</v>
      </c>
      <c r="BB1317" s="82" t="s">
        <v>17385</v>
      </c>
      <c r="BC1317" s="82" t="s">
        <v>14412</v>
      </c>
      <c r="BD1317" s="82" t="s">
        <v>17550</v>
      </c>
      <c r="BE1317" s="77"/>
      <c r="BF1317" s="77"/>
      <c r="BG1317" s="77"/>
      <c r="BH1317" s="77"/>
      <c r="BI1317" s="77"/>
    </row>
    <row r="1318" spans="1:61" x14ac:dyDescent="0.25">
      <c r="A1318" s="62" t="s">
        <v>425</v>
      </c>
      <c r="B1318" s="62" t="s">
        <v>425</v>
      </c>
      <c r="C1318" s="63"/>
      <c r="D1318" s="64"/>
      <c r="E1318" s="65"/>
      <c r="F1318" s="66"/>
      <c r="G1318" s="63"/>
      <c r="H1318" s="67"/>
      <c r="I1318" s="68"/>
      <c r="J1318" s="68"/>
      <c r="K1318" s="32"/>
      <c r="L1318" s="75">
        <v>1318</v>
      </c>
      <c r="M1318" s="75"/>
      <c r="N1318" s="70"/>
      <c r="O1318" s="77" t="s">
        <v>179</v>
      </c>
      <c r="P1318" s="79">
        <v>45135.381261574075</v>
      </c>
      <c r="Q1318" s="77" t="s">
        <v>2109</v>
      </c>
      <c r="R1318" s="77">
        <v>1</v>
      </c>
      <c r="S1318" s="77">
        <v>1</v>
      </c>
      <c r="T1318" s="77">
        <v>0</v>
      </c>
      <c r="U1318" s="77">
        <v>0</v>
      </c>
      <c r="V1318" s="77">
        <v>278</v>
      </c>
      <c r="W1318" s="82" t="s">
        <v>5528</v>
      </c>
      <c r="X1318" s="80" t="str">
        <f>HYPERLINK("https://www.seudinheiro.com/2023/colunistas/vivo-vivt3-otimos-resultados-2t23-futuros-dividendos-vvka/")</f>
        <v>https://www.seudinheiro.com/2023/colunistas/vivo-vivt3-otimos-resultados-2t23-futuros-dividendos-vvka/</v>
      </c>
      <c r="Y1318" s="77" t="s">
        <v>7102</v>
      </c>
      <c r="Z1318" s="77"/>
      <c r="AA1318" s="77"/>
      <c r="AB1318" s="77"/>
      <c r="AC1318" s="82" t="s">
        <v>8255</v>
      </c>
      <c r="AD1318" s="77" t="s">
        <v>8278</v>
      </c>
      <c r="AE1318" s="80" t="str">
        <f>HYPERLINK("https://twitter.com/seu_dinheiro_br/status/1684853454940803072")</f>
        <v>https://twitter.com/seu_dinheiro_br/status/1684853454940803072</v>
      </c>
      <c r="AF1318" s="79">
        <v>45135.381261574075</v>
      </c>
      <c r="AG1318" s="85">
        <v>45135</v>
      </c>
      <c r="AH1318" s="82" t="s">
        <v>9465</v>
      </c>
      <c r="AI1318" s="77" t="b">
        <v>0</v>
      </c>
      <c r="AJ1318" s="77"/>
      <c r="AK1318" s="77"/>
      <c r="AL1318" s="77"/>
      <c r="AM1318" s="77"/>
      <c r="AN1318" s="77"/>
      <c r="AO1318" s="77"/>
      <c r="AP1318" s="77"/>
      <c r="AQ1318" s="77"/>
      <c r="AR1318" s="77"/>
      <c r="AS1318" s="77"/>
      <c r="AT1318" s="77"/>
      <c r="AU1318" s="77"/>
      <c r="AV1318" s="80" t="str">
        <f>HYPERLINK("https://pbs.twimg.com/profile_images/1041725334431952896/uaPtkYSp_normal.jpg")</f>
        <v>https://pbs.twimg.com/profile_images/1041725334431952896/uaPtkYSp_normal.jpg</v>
      </c>
      <c r="AW1318" s="82" t="s">
        <v>14413</v>
      </c>
      <c r="AX1318" s="82" t="s">
        <v>14413</v>
      </c>
      <c r="AY1318" s="77"/>
      <c r="AZ1318" s="82" t="s">
        <v>17385</v>
      </c>
      <c r="BA1318" s="82" t="s">
        <v>17385</v>
      </c>
      <c r="BB1318" s="82" t="s">
        <v>17385</v>
      </c>
      <c r="BC1318" s="82" t="s">
        <v>14413</v>
      </c>
      <c r="BD1318" s="82" t="s">
        <v>17550</v>
      </c>
      <c r="BE1318" s="77"/>
      <c r="BF1318" s="77"/>
      <c r="BG1318" s="77"/>
      <c r="BH1318" s="77"/>
      <c r="BI1318" s="77"/>
    </row>
    <row r="1319" spans="1:61" x14ac:dyDescent="0.25">
      <c r="A1319" s="62" t="s">
        <v>425</v>
      </c>
      <c r="B1319" s="62" t="s">
        <v>425</v>
      </c>
      <c r="C1319" s="63"/>
      <c r="D1319" s="64"/>
      <c r="E1319" s="65"/>
      <c r="F1319" s="66"/>
      <c r="G1319" s="63"/>
      <c r="H1319" s="67"/>
      <c r="I1319" s="68"/>
      <c r="J1319" s="68"/>
      <c r="K1319" s="32"/>
      <c r="L1319" s="75">
        <v>1319</v>
      </c>
      <c r="M1319" s="75"/>
      <c r="N1319" s="70"/>
      <c r="O1319" s="77" t="s">
        <v>179</v>
      </c>
      <c r="P1319" s="79">
        <v>45134.698958333334</v>
      </c>
      <c r="Q1319" s="77" t="s">
        <v>2110</v>
      </c>
      <c r="R1319" s="77">
        <v>0</v>
      </c>
      <c r="S1319" s="77">
        <v>0</v>
      </c>
      <c r="T1319" s="77">
        <v>0</v>
      </c>
      <c r="U1319" s="77">
        <v>0</v>
      </c>
      <c r="V1319" s="77">
        <v>248</v>
      </c>
      <c r="W1319" s="82" t="s">
        <v>5618</v>
      </c>
      <c r="X1319" s="80" t="str">
        <f>HYPERLINK("https://www.seudinheiro.com/2023/empresas/assai-lucro-cai-a-metade-mas-acoes-lideram-a-ponta-positiva-do-ibovespa-vale-encher-o-carrinho-com-asai3-ccgg/")</f>
        <v>https://www.seudinheiro.com/2023/empresas/assai-lucro-cai-a-metade-mas-acoes-lideram-a-ponta-positiva-do-ibovespa-vale-encher-o-carrinho-com-asai3-ccgg/</v>
      </c>
      <c r="Y1319" s="77" t="s">
        <v>7102</v>
      </c>
      <c r="Z1319" s="77"/>
      <c r="AA1319" s="77"/>
      <c r="AB1319" s="77"/>
      <c r="AC1319" s="82" t="s">
        <v>8255</v>
      </c>
      <c r="AD1319" s="77" t="s">
        <v>8278</v>
      </c>
      <c r="AE1319" s="80" t="str">
        <f>HYPERLINK("https://twitter.com/seu_dinheiro_br/status/1684606196756381703")</f>
        <v>https://twitter.com/seu_dinheiro_br/status/1684606196756381703</v>
      </c>
      <c r="AF1319" s="79">
        <v>45134.698958333334</v>
      </c>
      <c r="AG1319" s="85">
        <v>45134</v>
      </c>
      <c r="AH1319" s="82" t="s">
        <v>9466</v>
      </c>
      <c r="AI1319" s="77" t="b">
        <v>0</v>
      </c>
      <c r="AJ1319" s="77"/>
      <c r="AK1319" s="77"/>
      <c r="AL1319" s="77"/>
      <c r="AM1319" s="77"/>
      <c r="AN1319" s="77"/>
      <c r="AO1319" s="77"/>
      <c r="AP1319" s="77"/>
      <c r="AQ1319" s="77"/>
      <c r="AR1319" s="77"/>
      <c r="AS1319" s="77"/>
      <c r="AT1319" s="77"/>
      <c r="AU1319" s="77"/>
      <c r="AV1319" s="80" t="str">
        <f>HYPERLINK("https://pbs.twimg.com/profile_images/1041725334431952896/uaPtkYSp_normal.jpg")</f>
        <v>https://pbs.twimg.com/profile_images/1041725334431952896/uaPtkYSp_normal.jpg</v>
      </c>
      <c r="AW1319" s="82" t="s">
        <v>14414</v>
      </c>
      <c r="AX1319" s="82" t="s">
        <v>14414</v>
      </c>
      <c r="AY1319" s="77"/>
      <c r="AZ1319" s="82" t="s">
        <v>17385</v>
      </c>
      <c r="BA1319" s="82" t="s">
        <v>17385</v>
      </c>
      <c r="BB1319" s="82" t="s">
        <v>17385</v>
      </c>
      <c r="BC1319" s="82" t="s">
        <v>14414</v>
      </c>
      <c r="BD1319" s="82" t="s">
        <v>17550</v>
      </c>
      <c r="BE1319" s="77"/>
      <c r="BF1319" s="77"/>
      <c r="BG1319" s="77"/>
      <c r="BH1319" s="77"/>
      <c r="BI1319" s="77"/>
    </row>
    <row r="1320" spans="1:61" x14ac:dyDescent="0.25">
      <c r="A1320" s="62" t="s">
        <v>425</v>
      </c>
      <c r="B1320" s="62" t="s">
        <v>425</v>
      </c>
      <c r="C1320" s="63"/>
      <c r="D1320" s="64"/>
      <c r="E1320" s="65"/>
      <c r="F1320" s="66"/>
      <c r="G1320" s="63"/>
      <c r="H1320" s="67"/>
      <c r="I1320" s="68"/>
      <c r="J1320" s="68"/>
      <c r="K1320" s="32"/>
      <c r="L1320" s="75">
        <v>1320</v>
      </c>
      <c r="M1320" s="75"/>
      <c r="N1320" s="70"/>
      <c r="O1320" s="77" t="s">
        <v>179</v>
      </c>
      <c r="P1320" s="79">
        <v>45134.475104166668</v>
      </c>
      <c r="Q1320" s="77" t="s">
        <v>2111</v>
      </c>
      <c r="R1320" s="77">
        <v>0</v>
      </c>
      <c r="S1320" s="77">
        <v>1</v>
      </c>
      <c r="T1320" s="77">
        <v>1</v>
      </c>
      <c r="U1320" s="77">
        <v>0</v>
      </c>
      <c r="V1320" s="77">
        <v>438</v>
      </c>
      <c r="W1320" s="82" t="s">
        <v>5475</v>
      </c>
      <c r="X1320" s="80" t="str">
        <f>HYPERLINK("https://www.seudinheiro.com/2023/colunistas/day-trade-na-b3-acao-cielo-ciel3-csn-mineracao-cmin3-27-07-rens/")</f>
        <v>https://www.seudinheiro.com/2023/colunistas/day-trade-na-b3-acao-cielo-ciel3-csn-mineracao-cmin3-27-07-rens/</v>
      </c>
      <c r="Y1320" s="77" t="s">
        <v>7102</v>
      </c>
      <c r="Z1320" s="77"/>
      <c r="AA1320" s="77"/>
      <c r="AB1320" s="77"/>
      <c r="AC1320" s="82" t="s">
        <v>8255</v>
      </c>
      <c r="AD1320" s="77" t="s">
        <v>8278</v>
      </c>
      <c r="AE1320" s="80" t="str">
        <f>HYPERLINK("https://twitter.com/seu_dinheiro_br/status/1684525076870230017")</f>
        <v>https://twitter.com/seu_dinheiro_br/status/1684525076870230017</v>
      </c>
      <c r="AF1320" s="79">
        <v>45134.475104166668</v>
      </c>
      <c r="AG1320" s="85">
        <v>45134</v>
      </c>
      <c r="AH1320" s="82" t="s">
        <v>9467</v>
      </c>
      <c r="AI1320" s="77" t="b">
        <v>0</v>
      </c>
      <c r="AJ1320" s="77"/>
      <c r="AK1320" s="77"/>
      <c r="AL1320" s="77"/>
      <c r="AM1320" s="77"/>
      <c r="AN1320" s="77"/>
      <c r="AO1320" s="77"/>
      <c r="AP1320" s="77"/>
      <c r="AQ1320" s="77"/>
      <c r="AR1320" s="77"/>
      <c r="AS1320" s="77"/>
      <c r="AT1320" s="77"/>
      <c r="AU1320" s="77"/>
      <c r="AV1320" s="80" t="str">
        <f>HYPERLINK("https://pbs.twimg.com/profile_images/1041725334431952896/uaPtkYSp_normal.jpg")</f>
        <v>https://pbs.twimg.com/profile_images/1041725334431952896/uaPtkYSp_normal.jpg</v>
      </c>
      <c r="AW1320" s="82" t="s">
        <v>14415</v>
      </c>
      <c r="AX1320" s="82" t="s">
        <v>14415</v>
      </c>
      <c r="AY1320" s="77"/>
      <c r="AZ1320" s="82" t="s">
        <v>17385</v>
      </c>
      <c r="BA1320" s="82" t="s">
        <v>17385</v>
      </c>
      <c r="BB1320" s="82" t="s">
        <v>17385</v>
      </c>
      <c r="BC1320" s="82" t="s">
        <v>14415</v>
      </c>
      <c r="BD1320" s="82" t="s">
        <v>17550</v>
      </c>
      <c r="BE1320" s="77"/>
      <c r="BF1320" s="77"/>
      <c r="BG1320" s="77"/>
      <c r="BH1320" s="77"/>
      <c r="BI1320" s="77"/>
    </row>
    <row r="1321" spans="1:61" x14ac:dyDescent="0.25">
      <c r="A1321" s="62" t="s">
        <v>425</v>
      </c>
      <c r="B1321" s="62" t="s">
        <v>425</v>
      </c>
      <c r="C1321" s="63"/>
      <c r="D1321" s="64"/>
      <c r="E1321" s="65"/>
      <c r="F1321" s="66"/>
      <c r="G1321" s="63"/>
      <c r="H1321" s="67"/>
      <c r="I1321" s="68"/>
      <c r="J1321" s="68"/>
      <c r="K1321" s="32"/>
      <c r="L1321" s="75">
        <v>1321</v>
      </c>
      <c r="M1321" s="75"/>
      <c r="N1321" s="70"/>
      <c r="O1321" s="77" t="s">
        <v>179</v>
      </c>
      <c r="P1321" s="79">
        <v>45134.379953703705</v>
      </c>
      <c r="Q1321" s="77" t="s">
        <v>2112</v>
      </c>
      <c r="R1321" s="77">
        <v>0</v>
      </c>
      <c r="S1321" s="77">
        <v>1</v>
      </c>
      <c r="T1321" s="77">
        <v>0</v>
      </c>
      <c r="U1321" s="77">
        <v>0</v>
      </c>
      <c r="V1321" s="77">
        <v>315</v>
      </c>
      <c r="W1321" s="82" t="s">
        <v>5528</v>
      </c>
      <c r="X1321" s="80" t="str">
        <f>HYPERLINK("https://www.seudinheiro.com/2023/colunistas/netflix-acoes-caem-apos-balanco-2t23-hora-de-comprar-vvka/")</f>
        <v>https://www.seudinheiro.com/2023/colunistas/netflix-acoes-caem-apos-balanco-2t23-hora-de-comprar-vvka/</v>
      </c>
      <c r="Y1321" s="77" t="s">
        <v>7102</v>
      </c>
      <c r="Z1321" s="77"/>
      <c r="AA1321" s="77"/>
      <c r="AB1321" s="77"/>
      <c r="AC1321" s="82" t="s">
        <v>8255</v>
      </c>
      <c r="AD1321" s="77" t="s">
        <v>8278</v>
      </c>
      <c r="AE1321" s="80" t="str">
        <f>HYPERLINK("https://twitter.com/seu_dinheiro_br/status/1684490593781555200")</f>
        <v>https://twitter.com/seu_dinheiro_br/status/1684490593781555200</v>
      </c>
      <c r="AF1321" s="79">
        <v>45134.379953703705</v>
      </c>
      <c r="AG1321" s="85">
        <v>45134</v>
      </c>
      <c r="AH1321" s="82" t="s">
        <v>9355</v>
      </c>
      <c r="AI1321" s="77" t="b">
        <v>0</v>
      </c>
      <c r="AJ1321" s="77"/>
      <c r="AK1321" s="77"/>
      <c r="AL1321" s="77"/>
      <c r="AM1321" s="77"/>
      <c r="AN1321" s="77"/>
      <c r="AO1321" s="77"/>
      <c r="AP1321" s="77"/>
      <c r="AQ1321" s="77"/>
      <c r="AR1321" s="77"/>
      <c r="AS1321" s="77"/>
      <c r="AT1321" s="77"/>
      <c r="AU1321" s="77"/>
      <c r="AV1321" s="80" t="str">
        <f>HYPERLINK("https://pbs.twimg.com/profile_images/1041725334431952896/uaPtkYSp_normal.jpg")</f>
        <v>https://pbs.twimg.com/profile_images/1041725334431952896/uaPtkYSp_normal.jpg</v>
      </c>
      <c r="AW1321" s="82" t="s">
        <v>14416</v>
      </c>
      <c r="AX1321" s="82" t="s">
        <v>14416</v>
      </c>
      <c r="AY1321" s="77"/>
      <c r="AZ1321" s="82" t="s">
        <v>17385</v>
      </c>
      <c r="BA1321" s="82" t="s">
        <v>17385</v>
      </c>
      <c r="BB1321" s="82" t="s">
        <v>17385</v>
      </c>
      <c r="BC1321" s="82" t="s">
        <v>14416</v>
      </c>
      <c r="BD1321" s="82" t="s">
        <v>17550</v>
      </c>
      <c r="BE1321" s="77"/>
      <c r="BF1321" s="77"/>
      <c r="BG1321" s="77"/>
      <c r="BH1321" s="77"/>
      <c r="BI1321" s="77"/>
    </row>
    <row r="1322" spans="1:61" x14ac:dyDescent="0.25">
      <c r="A1322" s="62" t="s">
        <v>425</v>
      </c>
      <c r="B1322" s="62" t="s">
        <v>425</v>
      </c>
      <c r="C1322" s="63"/>
      <c r="D1322" s="64"/>
      <c r="E1322" s="65"/>
      <c r="F1322" s="66"/>
      <c r="G1322" s="63"/>
      <c r="H1322" s="67"/>
      <c r="I1322" s="68"/>
      <c r="J1322" s="68"/>
      <c r="K1322" s="32"/>
      <c r="L1322" s="75">
        <v>1322</v>
      </c>
      <c r="M1322" s="75"/>
      <c r="N1322" s="70"/>
      <c r="O1322" s="77" t="s">
        <v>179</v>
      </c>
      <c r="P1322" s="79">
        <v>45133.710497685184</v>
      </c>
      <c r="Q1322" s="77" t="s">
        <v>2113</v>
      </c>
      <c r="R1322" s="77">
        <v>0</v>
      </c>
      <c r="S1322" s="77">
        <v>2</v>
      </c>
      <c r="T1322" s="77">
        <v>0</v>
      </c>
      <c r="U1322" s="77">
        <v>0</v>
      </c>
      <c r="V1322" s="77">
        <v>277</v>
      </c>
      <c r="W1322" s="82" t="s">
        <v>5639</v>
      </c>
      <c r="X1322" s="80" t="str">
        <f>HYPERLINK("https://www.seudinheiro.com/2023/bolsa-dolar/itau-passa-a-oferecer-carteira-automatizada-de-acoes-com-base-nas-recomendacoes-da-itau-top-5-e-da-carteira-dividendos-julw/")</f>
        <v>https://www.seudinheiro.com/2023/bolsa-dolar/itau-passa-a-oferecer-carteira-automatizada-de-acoes-com-base-nas-recomendacoes-da-itau-top-5-e-da-carteira-dividendos-julw/</v>
      </c>
      <c r="Y1322" s="77" t="s">
        <v>7102</v>
      </c>
      <c r="Z1322" s="77"/>
      <c r="AA1322" s="77"/>
      <c r="AB1322" s="77"/>
      <c r="AC1322" s="82" t="s">
        <v>8255</v>
      </c>
      <c r="AD1322" s="77" t="s">
        <v>8278</v>
      </c>
      <c r="AE1322" s="80" t="str">
        <f>HYPERLINK("https://twitter.com/seu_dinheiro_br/status/1684247988959313941")</f>
        <v>https://twitter.com/seu_dinheiro_br/status/1684247988959313941</v>
      </c>
      <c r="AF1322" s="79">
        <v>45133.710497685184</v>
      </c>
      <c r="AG1322" s="85">
        <v>45133</v>
      </c>
      <c r="AH1322" s="82" t="s">
        <v>9468</v>
      </c>
      <c r="AI1322" s="77" t="b">
        <v>0</v>
      </c>
      <c r="AJ1322" s="77"/>
      <c r="AK1322" s="77"/>
      <c r="AL1322" s="77"/>
      <c r="AM1322" s="77"/>
      <c r="AN1322" s="77"/>
      <c r="AO1322" s="77"/>
      <c r="AP1322" s="77"/>
      <c r="AQ1322" s="77"/>
      <c r="AR1322" s="77"/>
      <c r="AS1322" s="77"/>
      <c r="AT1322" s="77"/>
      <c r="AU1322" s="77"/>
      <c r="AV1322" s="80" t="str">
        <f>HYPERLINK("https://pbs.twimg.com/profile_images/1041725334431952896/uaPtkYSp_normal.jpg")</f>
        <v>https://pbs.twimg.com/profile_images/1041725334431952896/uaPtkYSp_normal.jpg</v>
      </c>
      <c r="AW1322" s="82" t="s">
        <v>14417</v>
      </c>
      <c r="AX1322" s="82" t="s">
        <v>14417</v>
      </c>
      <c r="AY1322" s="77"/>
      <c r="AZ1322" s="82" t="s">
        <v>17385</v>
      </c>
      <c r="BA1322" s="82" t="s">
        <v>17385</v>
      </c>
      <c r="BB1322" s="82" t="s">
        <v>17385</v>
      </c>
      <c r="BC1322" s="82" t="s">
        <v>14417</v>
      </c>
      <c r="BD1322" s="82" t="s">
        <v>17550</v>
      </c>
      <c r="BE1322" s="77"/>
      <c r="BF1322" s="77"/>
      <c r="BG1322" s="77"/>
      <c r="BH1322" s="77"/>
      <c r="BI1322" s="77"/>
    </row>
    <row r="1323" spans="1:61" x14ac:dyDescent="0.25">
      <c r="A1323" s="62" t="s">
        <v>425</v>
      </c>
      <c r="B1323" s="62" t="s">
        <v>425</v>
      </c>
      <c r="C1323" s="63"/>
      <c r="D1323" s="64"/>
      <c r="E1323" s="65"/>
      <c r="F1323" s="66"/>
      <c r="G1323" s="63"/>
      <c r="H1323" s="67"/>
      <c r="I1323" s="68"/>
      <c r="J1323" s="68"/>
      <c r="K1323" s="32"/>
      <c r="L1323" s="75">
        <v>1323</v>
      </c>
      <c r="M1323" s="75"/>
      <c r="N1323" s="70"/>
      <c r="O1323" s="77" t="s">
        <v>179</v>
      </c>
      <c r="P1323" s="79">
        <v>45133.620081018518</v>
      </c>
      <c r="Q1323" s="77" t="s">
        <v>2114</v>
      </c>
      <c r="R1323" s="77">
        <v>0</v>
      </c>
      <c r="S1323" s="77">
        <v>0</v>
      </c>
      <c r="T1323" s="77">
        <v>0</v>
      </c>
      <c r="U1323" s="77">
        <v>0</v>
      </c>
      <c r="V1323" s="77">
        <v>276</v>
      </c>
      <c r="W1323" s="82" t="s">
        <v>5640</v>
      </c>
      <c r="X1323" s="80" t="str">
        <f>HYPERLINK("https://www.seudinheiro.com/2023/bolsa-dolar/acoes-da-copel-cple3-cple6-avancam-com-lancamento-da-oferta-publica-que-privatizara-a-companhia-julw/")</f>
        <v>https://www.seudinheiro.com/2023/bolsa-dolar/acoes-da-copel-cple3-cple6-avancam-com-lancamento-da-oferta-publica-que-privatizara-a-companhia-julw/</v>
      </c>
      <c r="Y1323" s="77" t="s">
        <v>7102</v>
      </c>
      <c r="Z1323" s="77"/>
      <c r="AA1323" s="77"/>
      <c r="AB1323" s="77"/>
      <c r="AC1323" s="82" t="s">
        <v>8255</v>
      </c>
      <c r="AD1323" s="77" t="s">
        <v>8278</v>
      </c>
      <c r="AE1323" s="80" t="str">
        <f>HYPERLINK("https://twitter.com/seu_dinheiro_br/status/1684215223090024448")</f>
        <v>https://twitter.com/seu_dinheiro_br/status/1684215223090024448</v>
      </c>
      <c r="AF1323" s="79">
        <v>45133.620081018518</v>
      </c>
      <c r="AG1323" s="85">
        <v>45133</v>
      </c>
      <c r="AH1323" s="82" t="s">
        <v>9469</v>
      </c>
      <c r="AI1323" s="77" t="b">
        <v>0</v>
      </c>
      <c r="AJ1323" s="77"/>
      <c r="AK1323" s="77"/>
      <c r="AL1323" s="77"/>
      <c r="AM1323" s="77"/>
      <c r="AN1323" s="77"/>
      <c r="AO1323" s="77"/>
      <c r="AP1323" s="77"/>
      <c r="AQ1323" s="77"/>
      <c r="AR1323" s="77"/>
      <c r="AS1323" s="77"/>
      <c r="AT1323" s="77"/>
      <c r="AU1323" s="77"/>
      <c r="AV1323" s="80" t="str">
        <f>HYPERLINK("https://pbs.twimg.com/profile_images/1041725334431952896/uaPtkYSp_normal.jpg")</f>
        <v>https://pbs.twimg.com/profile_images/1041725334431952896/uaPtkYSp_normal.jpg</v>
      </c>
      <c r="AW1323" s="82" t="s">
        <v>14418</v>
      </c>
      <c r="AX1323" s="82" t="s">
        <v>14418</v>
      </c>
      <c r="AY1323" s="77"/>
      <c r="AZ1323" s="82" t="s">
        <v>17385</v>
      </c>
      <c r="BA1323" s="82" t="s">
        <v>17385</v>
      </c>
      <c r="BB1323" s="82" t="s">
        <v>17385</v>
      </c>
      <c r="BC1323" s="82" t="s">
        <v>14418</v>
      </c>
      <c r="BD1323" s="82" t="s">
        <v>17550</v>
      </c>
      <c r="BE1323" s="77"/>
      <c r="BF1323" s="77"/>
      <c r="BG1323" s="77"/>
      <c r="BH1323" s="77"/>
      <c r="BI1323" s="77"/>
    </row>
    <row r="1324" spans="1:61" x14ac:dyDescent="0.25">
      <c r="A1324" s="62" t="s">
        <v>425</v>
      </c>
      <c r="B1324" s="62" t="s">
        <v>425</v>
      </c>
      <c r="C1324" s="63"/>
      <c r="D1324" s="64"/>
      <c r="E1324" s="65"/>
      <c r="F1324" s="66"/>
      <c r="G1324" s="63"/>
      <c r="H1324" s="67"/>
      <c r="I1324" s="68"/>
      <c r="J1324" s="68"/>
      <c r="K1324" s="32"/>
      <c r="L1324" s="75">
        <v>1324</v>
      </c>
      <c r="M1324" s="75"/>
      <c r="N1324" s="70"/>
      <c r="O1324" s="77" t="s">
        <v>179</v>
      </c>
      <c r="P1324" s="79">
        <v>45133.544652777775</v>
      </c>
      <c r="Q1324" s="77" t="s">
        <v>2115</v>
      </c>
      <c r="R1324" s="77">
        <v>1</v>
      </c>
      <c r="S1324" s="77">
        <v>2</v>
      </c>
      <c r="T1324" s="77">
        <v>0</v>
      </c>
      <c r="U1324" s="77">
        <v>0</v>
      </c>
      <c r="V1324" s="77">
        <v>368</v>
      </c>
      <c r="W1324" s="82" t="s">
        <v>5641</v>
      </c>
      <c r="X1324" s="80" t="str">
        <f>HYPERLINK("https://www.seudinheiro.com/2023/empresas/vale-vale3-venda-metais-basicos-fundo-saudita-rens/")</f>
        <v>https://www.seudinheiro.com/2023/empresas/vale-vale3-venda-metais-basicos-fundo-saudita-rens/</v>
      </c>
      <c r="Y1324" s="77" t="s">
        <v>7102</v>
      </c>
      <c r="Z1324" s="77"/>
      <c r="AA1324" s="77"/>
      <c r="AB1324" s="77"/>
      <c r="AC1324" s="82" t="s">
        <v>8255</v>
      </c>
      <c r="AD1324" s="77" t="s">
        <v>8278</v>
      </c>
      <c r="AE1324" s="80" t="str">
        <f>HYPERLINK("https://twitter.com/seu_dinheiro_br/status/1684187892053168129")</f>
        <v>https://twitter.com/seu_dinheiro_br/status/1684187892053168129</v>
      </c>
      <c r="AF1324" s="79">
        <v>45133.544652777775</v>
      </c>
      <c r="AG1324" s="85">
        <v>45133</v>
      </c>
      <c r="AH1324" s="82" t="s">
        <v>9470</v>
      </c>
      <c r="AI1324" s="77" t="b">
        <v>0</v>
      </c>
      <c r="AJ1324" s="77"/>
      <c r="AK1324" s="77"/>
      <c r="AL1324" s="77"/>
      <c r="AM1324" s="77"/>
      <c r="AN1324" s="77"/>
      <c r="AO1324" s="77"/>
      <c r="AP1324" s="77"/>
      <c r="AQ1324" s="77"/>
      <c r="AR1324" s="77"/>
      <c r="AS1324" s="77"/>
      <c r="AT1324" s="77"/>
      <c r="AU1324" s="77"/>
      <c r="AV1324" s="80" t="str">
        <f>HYPERLINK("https://pbs.twimg.com/profile_images/1041725334431952896/uaPtkYSp_normal.jpg")</f>
        <v>https://pbs.twimg.com/profile_images/1041725334431952896/uaPtkYSp_normal.jpg</v>
      </c>
      <c r="AW1324" s="82" t="s">
        <v>14419</v>
      </c>
      <c r="AX1324" s="82" t="s">
        <v>14419</v>
      </c>
      <c r="AY1324" s="77"/>
      <c r="AZ1324" s="82" t="s">
        <v>17385</v>
      </c>
      <c r="BA1324" s="82" t="s">
        <v>17385</v>
      </c>
      <c r="BB1324" s="82" t="s">
        <v>17385</v>
      </c>
      <c r="BC1324" s="82" t="s">
        <v>14419</v>
      </c>
      <c r="BD1324" s="82" t="s">
        <v>17550</v>
      </c>
      <c r="BE1324" s="77"/>
      <c r="BF1324" s="77"/>
      <c r="BG1324" s="77"/>
      <c r="BH1324" s="77"/>
      <c r="BI1324" s="77"/>
    </row>
    <row r="1325" spans="1:61" x14ac:dyDescent="0.25">
      <c r="A1325" s="62" t="s">
        <v>425</v>
      </c>
      <c r="B1325" s="62" t="s">
        <v>425</v>
      </c>
      <c r="C1325" s="63"/>
      <c r="D1325" s="64"/>
      <c r="E1325" s="65"/>
      <c r="F1325" s="66"/>
      <c r="G1325" s="63"/>
      <c r="H1325" s="67"/>
      <c r="I1325" s="68"/>
      <c r="J1325" s="68"/>
      <c r="K1325" s="32"/>
      <c r="L1325" s="75">
        <v>1325</v>
      </c>
      <c r="M1325" s="75"/>
      <c r="N1325" s="70"/>
      <c r="O1325" s="77" t="s">
        <v>179</v>
      </c>
      <c r="P1325" s="79">
        <v>45133.466423611113</v>
      </c>
      <c r="Q1325" s="77" t="s">
        <v>2116</v>
      </c>
      <c r="R1325" s="77">
        <v>0</v>
      </c>
      <c r="S1325" s="77">
        <v>2</v>
      </c>
      <c r="T1325" s="77">
        <v>0</v>
      </c>
      <c r="U1325" s="77">
        <v>0</v>
      </c>
      <c r="V1325" s="77">
        <v>296</v>
      </c>
      <c r="W1325" s="82" t="s">
        <v>5475</v>
      </c>
      <c r="X1325" s="80" t="str">
        <f>HYPERLINK("https://www.seudinheiro.com/2023/colunistas/day-trade-na-b3-acao-telefonica-brasil-vivt3-25-07-rens/")</f>
        <v>https://www.seudinheiro.com/2023/colunistas/day-trade-na-b3-acao-telefonica-brasil-vivt3-25-07-rens/</v>
      </c>
      <c r="Y1325" s="77" t="s">
        <v>7102</v>
      </c>
      <c r="Z1325" s="77"/>
      <c r="AA1325" s="77"/>
      <c r="AB1325" s="77"/>
      <c r="AC1325" s="82" t="s">
        <v>8255</v>
      </c>
      <c r="AD1325" s="77" t="s">
        <v>8278</v>
      </c>
      <c r="AE1325" s="80" t="str">
        <f>HYPERLINK("https://twitter.com/seu_dinheiro_br/status/1684159541334642692")</f>
        <v>https://twitter.com/seu_dinheiro_br/status/1684159541334642692</v>
      </c>
      <c r="AF1325" s="79">
        <v>45133.466423611113</v>
      </c>
      <c r="AG1325" s="85">
        <v>45133</v>
      </c>
      <c r="AH1325" s="82" t="s">
        <v>9471</v>
      </c>
      <c r="AI1325" s="77" t="b">
        <v>0</v>
      </c>
      <c r="AJ1325" s="77"/>
      <c r="AK1325" s="77"/>
      <c r="AL1325" s="77"/>
      <c r="AM1325" s="77"/>
      <c r="AN1325" s="77"/>
      <c r="AO1325" s="77"/>
      <c r="AP1325" s="77"/>
      <c r="AQ1325" s="77"/>
      <c r="AR1325" s="77"/>
      <c r="AS1325" s="77"/>
      <c r="AT1325" s="77"/>
      <c r="AU1325" s="77"/>
      <c r="AV1325" s="80" t="str">
        <f>HYPERLINK("https://pbs.twimg.com/profile_images/1041725334431952896/uaPtkYSp_normal.jpg")</f>
        <v>https://pbs.twimg.com/profile_images/1041725334431952896/uaPtkYSp_normal.jpg</v>
      </c>
      <c r="AW1325" s="82" t="s">
        <v>14420</v>
      </c>
      <c r="AX1325" s="82" t="s">
        <v>14420</v>
      </c>
      <c r="AY1325" s="77"/>
      <c r="AZ1325" s="82" t="s">
        <v>17385</v>
      </c>
      <c r="BA1325" s="82" t="s">
        <v>17385</v>
      </c>
      <c r="BB1325" s="82" t="s">
        <v>17385</v>
      </c>
      <c r="BC1325" s="82" t="s">
        <v>14420</v>
      </c>
      <c r="BD1325" s="82" t="s">
        <v>17550</v>
      </c>
      <c r="BE1325" s="77"/>
      <c r="BF1325" s="77"/>
      <c r="BG1325" s="77"/>
      <c r="BH1325" s="77"/>
      <c r="BI1325" s="77"/>
    </row>
    <row r="1326" spans="1:61" x14ac:dyDescent="0.25">
      <c r="A1326" s="62" t="s">
        <v>425</v>
      </c>
      <c r="B1326" s="62" t="s">
        <v>425</v>
      </c>
      <c r="C1326" s="63"/>
      <c r="D1326" s="64"/>
      <c r="E1326" s="65"/>
      <c r="F1326" s="66"/>
      <c r="G1326" s="63"/>
      <c r="H1326" s="67"/>
      <c r="I1326" s="68"/>
      <c r="J1326" s="68"/>
      <c r="K1326" s="32"/>
      <c r="L1326" s="75">
        <v>1326</v>
      </c>
      <c r="M1326" s="75"/>
      <c r="N1326" s="70"/>
      <c r="O1326" s="77" t="s">
        <v>179</v>
      </c>
      <c r="P1326" s="79">
        <v>45106.569467592592</v>
      </c>
      <c r="Q1326" s="77" t="s">
        <v>2117</v>
      </c>
      <c r="R1326" s="77">
        <v>0</v>
      </c>
      <c r="S1326" s="77">
        <v>0</v>
      </c>
      <c r="T1326" s="77">
        <v>0</v>
      </c>
      <c r="U1326" s="77">
        <v>0</v>
      </c>
      <c r="V1326" s="77">
        <v>206</v>
      </c>
      <c r="W1326" s="82" t="s">
        <v>5642</v>
      </c>
      <c r="X1326" s="80" t="str">
        <f>HYPERLINK("https://www.seudinheiro.com/2023/empresas/vamos-vamo3-define-preco-de-oferta-de-acoes-para-expansao-de-frota-que-movimentara-r-13-bilhao-julw/")</f>
        <v>https://www.seudinheiro.com/2023/empresas/vamos-vamo3-define-preco-de-oferta-de-acoes-para-expansao-de-frota-que-movimentara-r-13-bilhao-julw/</v>
      </c>
      <c r="Y1326" s="77" t="s">
        <v>7102</v>
      </c>
      <c r="Z1326" s="77"/>
      <c r="AA1326" s="77"/>
      <c r="AB1326" s="77"/>
      <c r="AC1326" s="82" t="s">
        <v>8255</v>
      </c>
      <c r="AD1326" s="77" t="s">
        <v>8278</v>
      </c>
      <c r="AE1326" s="80" t="str">
        <f>HYPERLINK("https://twitter.com/seu_dinheiro_br/status/1674412409094647809")</f>
        <v>https://twitter.com/seu_dinheiro_br/status/1674412409094647809</v>
      </c>
      <c r="AF1326" s="79">
        <v>45106.569467592592</v>
      </c>
      <c r="AG1326" s="85">
        <v>45106</v>
      </c>
      <c r="AH1326" s="82" t="s">
        <v>9472</v>
      </c>
      <c r="AI1326" s="77" t="b">
        <v>0</v>
      </c>
      <c r="AJ1326" s="77"/>
      <c r="AK1326" s="77"/>
      <c r="AL1326" s="77"/>
      <c r="AM1326" s="77"/>
      <c r="AN1326" s="77"/>
      <c r="AO1326" s="77"/>
      <c r="AP1326" s="77"/>
      <c r="AQ1326" s="77"/>
      <c r="AR1326" s="77"/>
      <c r="AS1326" s="77"/>
      <c r="AT1326" s="77"/>
      <c r="AU1326" s="77"/>
      <c r="AV1326" s="80" t="str">
        <f>HYPERLINK("https://pbs.twimg.com/profile_images/1041725334431952896/uaPtkYSp_normal.jpg")</f>
        <v>https://pbs.twimg.com/profile_images/1041725334431952896/uaPtkYSp_normal.jpg</v>
      </c>
      <c r="AW1326" s="82" t="s">
        <v>14421</v>
      </c>
      <c r="AX1326" s="82" t="s">
        <v>14421</v>
      </c>
      <c r="AY1326" s="77"/>
      <c r="AZ1326" s="82" t="s">
        <v>17385</v>
      </c>
      <c r="BA1326" s="82" t="s">
        <v>17385</v>
      </c>
      <c r="BB1326" s="82" t="s">
        <v>17385</v>
      </c>
      <c r="BC1326" s="82" t="s">
        <v>14421</v>
      </c>
      <c r="BD1326" s="82" t="s">
        <v>17550</v>
      </c>
      <c r="BE1326" s="77"/>
      <c r="BF1326" s="77"/>
      <c r="BG1326" s="77"/>
      <c r="BH1326" s="77"/>
      <c r="BI1326" s="77"/>
    </row>
    <row r="1327" spans="1:61" x14ac:dyDescent="0.25">
      <c r="A1327" s="62" t="s">
        <v>425</v>
      </c>
      <c r="B1327" s="62" t="s">
        <v>425</v>
      </c>
      <c r="C1327" s="63"/>
      <c r="D1327" s="64"/>
      <c r="E1327" s="65"/>
      <c r="F1327" s="66"/>
      <c r="G1327" s="63"/>
      <c r="H1327" s="67"/>
      <c r="I1327" s="68"/>
      <c r="J1327" s="68"/>
      <c r="K1327" s="32"/>
      <c r="L1327" s="75">
        <v>1327</v>
      </c>
      <c r="M1327" s="75"/>
      <c r="N1327" s="70"/>
      <c r="O1327" s="77" t="s">
        <v>179</v>
      </c>
      <c r="P1327" s="79">
        <v>45106.433993055558</v>
      </c>
      <c r="Q1327" s="77" t="s">
        <v>2118</v>
      </c>
      <c r="R1327" s="77">
        <v>0</v>
      </c>
      <c r="S1327" s="77">
        <v>0</v>
      </c>
      <c r="T1327" s="77">
        <v>0</v>
      </c>
      <c r="U1327" s="77">
        <v>0</v>
      </c>
      <c r="V1327" s="77">
        <v>464</v>
      </c>
      <c r="W1327" s="82" t="s">
        <v>5643</v>
      </c>
      <c r="X1327" s="80" t="str">
        <f>HYPERLINK("https://www.seudinheiro.com/2023/colunistas/day-trade-na-b3-saiba-como-lucrar-com-acoes-da-ambipar-ambp3-29-06-miql/")</f>
        <v>https://www.seudinheiro.com/2023/colunistas/day-trade-na-b3-saiba-como-lucrar-com-acoes-da-ambipar-ambp3-29-06-miql/</v>
      </c>
      <c r="Y1327" s="77" t="s">
        <v>7102</v>
      </c>
      <c r="Z1327" s="77"/>
      <c r="AA1327" s="77"/>
      <c r="AB1327" s="77"/>
      <c r="AC1327" s="82" t="s">
        <v>8255</v>
      </c>
      <c r="AD1327" s="77" t="s">
        <v>8278</v>
      </c>
      <c r="AE1327" s="80" t="str">
        <f>HYPERLINK("https://twitter.com/seu_dinheiro_br/status/1674363317752672256")</f>
        <v>https://twitter.com/seu_dinheiro_br/status/1674363317752672256</v>
      </c>
      <c r="AF1327" s="79">
        <v>45106.433993055558</v>
      </c>
      <c r="AG1327" s="85">
        <v>45106</v>
      </c>
      <c r="AH1327" s="82" t="s">
        <v>9473</v>
      </c>
      <c r="AI1327" s="77" t="b">
        <v>0</v>
      </c>
      <c r="AJ1327" s="77"/>
      <c r="AK1327" s="77"/>
      <c r="AL1327" s="77"/>
      <c r="AM1327" s="77"/>
      <c r="AN1327" s="77"/>
      <c r="AO1327" s="77"/>
      <c r="AP1327" s="77"/>
      <c r="AQ1327" s="77"/>
      <c r="AR1327" s="77"/>
      <c r="AS1327" s="77"/>
      <c r="AT1327" s="77"/>
      <c r="AU1327" s="77"/>
      <c r="AV1327" s="80" t="str">
        <f>HYPERLINK("https://pbs.twimg.com/profile_images/1041725334431952896/uaPtkYSp_normal.jpg")</f>
        <v>https://pbs.twimg.com/profile_images/1041725334431952896/uaPtkYSp_normal.jpg</v>
      </c>
      <c r="AW1327" s="82" t="s">
        <v>14422</v>
      </c>
      <c r="AX1327" s="82" t="s">
        <v>14422</v>
      </c>
      <c r="AY1327" s="77"/>
      <c r="AZ1327" s="82" t="s">
        <v>17385</v>
      </c>
      <c r="BA1327" s="82" t="s">
        <v>17385</v>
      </c>
      <c r="BB1327" s="82" t="s">
        <v>17385</v>
      </c>
      <c r="BC1327" s="82" t="s">
        <v>14422</v>
      </c>
      <c r="BD1327" s="82" t="s">
        <v>17550</v>
      </c>
      <c r="BE1327" s="77"/>
      <c r="BF1327" s="77"/>
      <c r="BG1327" s="77"/>
      <c r="BH1327" s="77"/>
      <c r="BI1327" s="77"/>
    </row>
    <row r="1328" spans="1:61" x14ac:dyDescent="0.25">
      <c r="A1328" s="62" t="s">
        <v>425</v>
      </c>
      <c r="B1328" s="62" t="s">
        <v>425</v>
      </c>
      <c r="C1328" s="63"/>
      <c r="D1328" s="64"/>
      <c r="E1328" s="65"/>
      <c r="F1328" s="66"/>
      <c r="G1328" s="63"/>
      <c r="H1328" s="67"/>
      <c r="I1328" s="68"/>
      <c r="J1328" s="68"/>
      <c r="K1328" s="32"/>
      <c r="L1328" s="75">
        <v>1328</v>
      </c>
      <c r="M1328" s="75"/>
      <c r="N1328" s="70"/>
      <c r="O1328" s="77" t="s">
        <v>179</v>
      </c>
      <c r="P1328" s="79">
        <v>45106.401412037034</v>
      </c>
      <c r="Q1328" s="77" t="s">
        <v>2119</v>
      </c>
      <c r="R1328" s="77">
        <v>0</v>
      </c>
      <c r="S1328" s="77">
        <v>0</v>
      </c>
      <c r="T1328" s="77">
        <v>0</v>
      </c>
      <c r="U1328" s="77">
        <v>0</v>
      </c>
      <c r="V1328" s="77">
        <v>253</v>
      </c>
      <c r="W1328" s="82" t="s">
        <v>5644</v>
      </c>
      <c r="X1328" s="80" t="str">
        <f>HYPERLINK("https://www.seudinheiro.com/2023/colunistas/existe-um-cenario-em-que-voce-pode-obter-retorno-com-esta-acao-paypal-vinp/")</f>
        <v>https://www.seudinheiro.com/2023/colunistas/existe-um-cenario-em-que-voce-pode-obter-retorno-com-esta-acao-paypal-vinp/</v>
      </c>
      <c r="Y1328" s="77" t="s">
        <v>7102</v>
      </c>
      <c r="Z1328" s="77"/>
      <c r="AA1328" s="77"/>
      <c r="AB1328" s="77"/>
      <c r="AC1328" s="82" t="s">
        <v>8255</v>
      </c>
      <c r="AD1328" s="77" t="s">
        <v>8278</v>
      </c>
      <c r="AE1328" s="80" t="str">
        <f>HYPERLINK("https://twitter.com/seu_dinheiro_br/status/1674351508471595008")</f>
        <v>https://twitter.com/seu_dinheiro_br/status/1674351508471595008</v>
      </c>
      <c r="AF1328" s="79">
        <v>45106.401412037034</v>
      </c>
      <c r="AG1328" s="85">
        <v>45106</v>
      </c>
      <c r="AH1328" s="82" t="s">
        <v>9474</v>
      </c>
      <c r="AI1328" s="77" t="b">
        <v>0</v>
      </c>
      <c r="AJ1328" s="77"/>
      <c r="AK1328" s="77"/>
      <c r="AL1328" s="77"/>
      <c r="AM1328" s="77"/>
      <c r="AN1328" s="77"/>
      <c r="AO1328" s="77"/>
      <c r="AP1328" s="77"/>
      <c r="AQ1328" s="77"/>
      <c r="AR1328" s="77"/>
      <c r="AS1328" s="77"/>
      <c r="AT1328" s="77"/>
      <c r="AU1328" s="77"/>
      <c r="AV1328" s="80" t="str">
        <f>HYPERLINK("https://pbs.twimg.com/profile_images/1041725334431952896/uaPtkYSp_normal.jpg")</f>
        <v>https://pbs.twimg.com/profile_images/1041725334431952896/uaPtkYSp_normal.jpg</v>
      </c>
      <c r="AW1328" s="82" t="s">
        <v>14423</v>
      </c>
      <c r="AX1328" s="82" t="s">
        <v>14423</v>
      </c>
      <c r="AY1328" s="77"/>
      <c r="AZ1328" s="82" t="s">
        <v>17385</v>
      </c>
      <c r="BA1328" s="82" t="s">
        <v>17385</v>
      </c>
      <c r="BB1328" s="82" t="s">
        <v>17385</v>
      </c>
      <c r="BC1328" s="82" t="s">
        <v>14423</v>
      </c>
      <c r="BD1328" s="82" t="s">
        <v>17550</v>
      </c>
      <c r="BE1328" s="77"/>
      <c r="BF1328" s="77"/>
      <c r="BG1328" s="77"/>
      <c r="BH1328" s="77"/>
      <c r="BI1328" s="77"/>
    </row>
    <row r="1329" spans="1:61" x14ac:dyDescent="0.25">
      <c r="A1329" s="62" t="s">
        <v>425</v>
      </c>
      <c r="B1329" s="62" t="s">
        <v>425</v>
      </c>
      <c r="C1329" s="63"/>
      <c r="D1329" s="64"/>
      <c r="E1329" s="65"/>
      <c r="F1329" s="66"/>
      <c r="G1329" s="63"/>
      <c r="H1329" s="67"/>
      <c r="I1329" s="68"/>
      <c r="J1329" s="68"/>
      <c r="K1329" s="32"/>
      <c r="L1329" s="75">
        <v>1329</v>
      </c>
      <c r="M1329" s="75"/>
      <c r="N1329" s="70"/>
      <c r="O1329" s="77" t="s">
        <v>179</v>
      </c>
      <c r="P1329" s="79">
        <v>45105.915393518517</v>
      </c>
      <c r="Q1329" s="77" t="s">
        <v>2120</v>
      </c>
      <c r="R1329" s="77">
        <v>1</v>
      </c>
      <c r="S1329" s="77">
        <v>2</v>
      </c>
      <c r="T1329" s="77">
        <v>2</v>
      </c>
      <c r="U1329" s="77">
        <v>0</v>
      </c>
      <c r="V1329" s="77">
        <v>651</v>
      </c>
      <c r="W1329" s="82" t="s">
        <v>5645</v>
      </c>
      <c r="X1329" s="80" t="str">
        <f>HYPERLINK("https://www.seudinheiro.com/2023/empresas/cvm-da-sinal-verde-para-nubank-fechar-capital-no-brasil-como-ficam-os-investidores-e-nusocios-vinp-lvit/")</f>
        <v>https://www.seudinheiro.com/2023/empresas/cvm-da-sinal-verde-para-nubank-fechar-capital-no-brasil-como-ficam-os-investidores-e-nusocios-vinp-lvit/</v>
      </c>
      <c r="Y1329" s="77" t="s">
        <v>7102</v>
      </c>
      <c r="Z1329" s="77"/>
      <c r="AA1329" s="77"/>
      <c r="AB1329" s="77"/>
      <c r="AC1329" s="82" t="s">
        <v>8255</v>
      </c>
      <c r="AD1329" s="77" t="s">
        <v>8278</v>
      </c>
      <c r="AE1329" s="80" t="str">
        <f>HYPERLINK("https://twitter.com/seu_dinheiro_br/status/1674175383531409412")</f>
        <v>https://twitter.com/seu_dinheiro_br/status/1674175383531409412</v>
      </c>
      <c r="AF1329" s="79">
        <v>45105.915393518517</v>
      </c>
      <c r="AG1329" s="85">
        <v>45105</v>
      </c>
      <c r="AH1329" s="82" t="s">
        <v>9475</v>
      </c>
      <c r="AI1329" s="77" t="b">
        <v>0</v>
      </c>
      <c r="AJ1329" s="77"/>
      <c r="AK1329" s="77"/>
      <c r="AL1329" s="77"/>
      <c r="AM1329" s="77"/>
      <c r="AN1329" s="77"/>
      <c r="AO1329" s="77"/>
      <c r="AP1329" s="77"/>
      <c r="AQ1329" s="77"/>
      <c r="AR1329" s="77"/>
      <c r="AS1329" s="77"/>
      <c r="AT1329" s="77"/>
      <c r="AU1329" s="77"/>
      <c r="AV1329" s="80" t="str">
        <f>HYPERLINK("https://pbs.twimg.com/profile_images/1041725334431952896/uaPtkYSp_normal.jpg")</f>
        <v>https://pbs.twimg.com/profile_images/1041725334431952896/uaPtkYSp_normal.jpg</v>
      </c>
      <c r="AW1329" s="82" t="s">
        <v>14424</v>
      </c>
      <c r="AX1329" s="82" t="s">
        <v>14424</v>
      </c>
      <c r="AY1329" s="77"/>
      <c r="AZ1329" s="82" t="s">
        <v>17385</v>
      </c>
      <c r="BA1329" s="82" t="s">
        <v>17385</v>
      </c>
      <c r="BB1329" s="82" t="s">
        <v>17385</v>
      </c>
      <c r="BC1329" s="82" t="s">
        <v>14424</v>
      </c>
      <c r="BD1329" s="82" t="s">
        <v>17550</v>
      </c>
      <c r="BE1329" s="77"/>
      <c r="BF1329" s="77"/>
      <c r="BG1329" s="77"/>
      <c r="BH1329" s="77"/>
      <c r="BI1329" s="77"/>
    </row>
    <row r="1330" spans="1:61" x14ac:dyDescent="0.25">
      <c r="A1330" s="62" t="s">
        <v>425</v>
      </c>
      <c r="B1330" s="62" t="s">
        <v>425</v>
      </c>
      <c r="C1330" s="63"/>
      <c r="D1330" s="64"/>
      <c r="E1330" s="65"/>
      <c r="F1330" s="66"/>
      <c r="G1330" s="63"/>
      <c r="H1330" s="67"/>
      <c r="I1330" s="68"/>
      <c r="J1330" s="68"/>
      <c r="K1330" s="32"/>
      <c r="L1330" s="75">
        <v>1330</v>
      </c>
      <c r="M1330" s="75"/>
      <c r="N1330" s="70"/>
      <c r="O1330" s="77" t="s">
        <v>179</v>
      </c>
      <c r="P1330" s="79">
        <v>45105.734305555554</v>
      </c>
      <c r="Q1330" s="77" t="s">
        <v>2121</v>
      </c>
      <c r="R1330" s="77">
        <v>0</v>
      </c>
      <c r="S1330" s="77">
        <v>0</v>
      </c>
      <c r="T1330" s="77">
        <v>0</v>
      </c>
      <c r="U1330" s="77">
        <v>0</v>
      </c>
      <c r="V1330" s="77">
        <v>329</v>
      </c>
      <c r="W1330" s="82" t="s">
        <v>5480</v>
      </c>
      <c r="X1330" s="80" t="str">
        <f>HYPERLINK("https://www.seudinheiro.com/2023/empresas/destaques-da-b3-brf-brfs3-e-vale-vale3-lideram-perdas-do-ibovespa-saiba-o-que-derruba-as-acoes-hoje-ccgg/")</f>
        <v>https://www.seudinheiro.com/2023/empresas/destaques-da-b3-brf-brfs3-e-vale-vale3-lideram-perdas-do-ibovespa-saiba-o-que-derruba-as-acoes-hoje-ccgg/</v>
      </c>
      <c r="Y1330" s="77" t="s">
        <v>7102</v>
      </c>
      <c r="Z1330" s="77"/>
      <c r="AA1330" s="77"/>
      <c r="AB1330" s="77"/>
      <c r="AC1330" s="82" t="s">
        <v>8255</v>
      </c>
      <c r="AD1330" s="77" t="s">
        <v>8278</v>
      </c>
      <c r="AE1330" s="80" t="str">
        <f>HYPERLINK("https://twitter.com/seu_dinheiro_br/status/1674109760126189594")</f>
        <v>https://twitter.com/seu_dinheiro_br/status/1674109760126189594</v>
      </c>
      <c r="AF1330" s="79">
        <v>45105.734305555554</v>
      </c>
      <c r="AG1330" s="85">
        <v>45105</v>
      </c>
      <c r="AH1330" s="82" t="s">
        <v>9476</v>
      </c>
      <c r="AI1330" s="77" t="b">
        <v>0</v>
      </c>
      <c r="AJ1330" s="77"/>
      <c r="AK1330" s="77"/>
      <c r="AL1330" s="77"/>
      <c r="AM1330" s="77"/>
      <c r="AN1330" s="77"/>
      <c r="AO1330" s="77"/>
      <c r="AP1330" s="77"/>
      <c r="AQ1330" s="77"/>
      <c r="AR1330" s="77"/>
      <c r="AS1330" s="77"/>
      <c r="AT1330" s="77"/>
      <c r="AU1330" s="77"/>
      <c r="AV1330" s="80" t="str">
        <f>HYPERLINK("https://pbs.twimg.com/profile_images/1041725334431952896/uaPtkYSp_normal.jpg")</f>
        <v>https://pbs.twimg.com/profile_images/1041725334431952896/uaPtkYSp_normal.jpg</v>
      </c>
      <c r="AW1330" s="82" t="s">
        <v>14425</v>
      </c>
      <c r="AX1330" s="82" t="s">
        <v>14425</v>
      </c>
      <c r="AY1330" s="77"/>
      <c r="AZ1330" s="82" t="s">
        <v>17385</v>
      </c>
      <c r="BA1330" s="82" t="s">
        <v>17385</v>
      </c>
      <c r="BB1330" s="82" t="s">
        <v>17385</v>
      </c>
      <c r="BC1330" s="82" t="s">
        <v>14425</v>
      </c>
      <c r="BD1330" s="82" t="s">
        <v>17550</v>
      </c>
      <c r="BE1330" s="77"/>
      <c r="BF1330" s="77"/>
      <c r="BG1330" s="77"/>
      <c r="BH1330" s="77"/>
      <c r="BI1330" s="77"/>
    </row>
    <row r="1331" spans="1:61" x14ac:dyDescent="0.25">
      <c r="A1331" s="62" t="s">
        <v>425</v>
      </c>
      <c r="B1331" s="62" t="s">
        <v>425</v>
      </c>
      <c r="C1331" s="63"/>
      <c r="D1331" s="64"/>
      <c r="E1331" s="65"/>
      <c r="F1331" s="66"/>
      <c r="G1331" s="63"/>
      <c r="H1331" s="67"/>
      <c r="I1331" s="68"/>
      <c r="J1331" s="68"/>
      <c r="K1331" s="32"/>
      <c r="L1331" s="75">
        <v>1331</v>
      </c>
      <c r="M1331" s="75"/>
      <c r="N1331" s="70"/>
      <c r="O1331" s="77" t="s">
        <v>179</v>
      </c>
      <c r="P1331" s="79">
        <v>45105.681041666663</v>
      </c>
      <c r="Q1331" s="77" t="s">
        <v>2122</v>
      </c>
      <c r="R1331" s="77">
        <v>0</v>
      </c>
      <c r="S1331" s="77">
        <v>0</v>
      </c>
      <c r="T1331" s="77">
        <v>0</v>
      </c>
      <c r="U1331" s="77">
        <v>0</v>
      </c>
      <c r="V1331" s="77">
        <v>198</v>
      </c>
      <c r="W1331" s="82" t="s">
        <v>5598</v>
      </c>
      <c r="X1331" s="80" t="str">
        <f>HYPERLINK("https://www.seudinheiro.com/2023/empresas/esquadrilha-da-fumaca-embraer-voa-junto-com-gol-e-azul-por-que-as-aereas-dao-rasante-na-b3-hoje-ccgg/")</f>
        <v>https://www.seudinheiro.com/2023/empresas/esquadrilha-da-fumaca-embraer-voa-junto-com-gol-e-azul-por-que-as-aereas-dao-rasante-na-b3-hoje-ccgg/</v>
      </c>
      <c r="Y1331" s="77" t="s">
        <v>7102</v>
      </c>
      <c r="Z1331" s="77"/>
      <c r="AA1331" s="77"/>
      <c r="AB1331" s="77"/>
      <c r="AC1331" s="82" t="s">
        <v>8255</v>
      </c>
      <c r="AD1331" s="77" t="s">
        <v>8278</v>
      </c>
      <c r="AE1331" s="80" t="str">
        <f>HYPERLINK("https://twitter.com/seu_dinheiro_br/status/1674090458002194432")</f>
        <v>https://twitter.com/seu_dinheiro_br/status/1674090458002194432</v>
      </c>
      <c r="AF1331" s="79">
        <v>45105.681041666663</v>
      </c>
      <c r="AG1331" s="85">
        <v>45105</v>
      </c>
      <c r="AH1331" s="82" t="s">
        <v>9477</v>
      </c>
      <c r="AI1331" s="77" t="b">
        <v>0</v>
      </c>
      <c r="AJ1331" s="77"/>
      <c r="AK1331" s="77"/>
      <c r="AL1331" s="77"/>
      <c r="AM1331" s="77"/>
      <c r="AN1331" s="77"/>
      <c r="AO1331" s="77"/>
      <c r="AP1331" s="77"/>
      <c r="AQ1331" s="77"/>
      <c r="AR1331" s="77"/>
      <c r="AS1331" s="77"/>
      <c r="AT1331" s="77"/>
      <c r="AU1331" s="77"/>
      <c r="AV1331" s="80" t="str">
        <f>HYPERLINK("https://pbs.twimg.com/profile_images/1041725334431952896/uaPtkYSp_normal.jpg")</f>
        <v>https://pbs.twimg.com/profile_images/1041725334431952896/uaPtkYSp_normal.jpg</v>
      </c>
      <c r="AW1331" s="82" t="s">
        <v>14426</v>
      </c>
      <c r="AX1331" s="82" t="s">
        <v>14426</v>
      </c>
      <c r="AY1331" s="77"/>
      <c r="AZ1331" s="82" t="s">
        <v>17385</v>
      </c>
      <c r="BA1331" s="82" t="s">
        <v>17385</v>
      </c>
      <c r="BB1331" s="82" t="s">
        <v>17385</v>
      </c>
      <c r="BC1331" s="82" t="s">
        <v>14426</v>
      </c>
      <c r="BD1331" s="82" t="s">
        <v>17550</v>
      </c>
      <c r="BE1331" s="77"/>
      <c r="BF1331" s="77"/>
      <c r="BG1331" s="77"/>
      <c r="BH1331" s="77"/>
      <c r="BI1331" s="77"/>
    </row>
    <row r="1332" spans="1:61" x14ac:dyDescent="0.25">
      <c r="A1332" s="62" t="s">
        <v>425</v>
      </c>
      <c r="B1332" s="62" t="s">
        <v>425</v>
      </c>
      <c r="C1332" s="63"/>
      <c r="D1332" s="64"/>
      <c r="E1332" s="65"/>
      <c r="F1332" s="66"/>
      <c r="G1332" s="63"/>
      <c r="H1332" s="67"/>
      <c r="I1332" s="68"/>
      <c r="J1332" s="68"/>
      <c r="K1332" s="32"/>
      <c r="L1332" s="75">
        <v>1332</v>
      </c>
      <c r="M1332" s="75"/>
      <c r="N1332" s="70"/>
      <c r="O1332" s="77" t="s">
        <v>179</v>
      </c>
      <c r="P1332" s="79">
        <v>45105.43037037037</v>
      </c>
      <c r="Q1332" s="77" t="s">
        <v>2123</v>
      </c>
      <c r="R1332" s="77">
        <v>0</v>
      </c>
      <c r="S1332" s="77">
        <v>1</v>
      </c>
      <c r="T1332" s="77">
        <v>0</v>
      </c>
      <c r="U1332" s="77">
        <v>0</v>
      </c>
      <c r="V1332" s="77">
        <v>301</v>
      </c>
      <c r="W1332" s="82" t="s">
        <v>5474</v>
      </c>
      <c r="X1332" s="80" t="str">
        <f>HYPERLINK("https://www.seudinheiro.com/2023/colunistas/day-trade-na-b3-saiba-como-lucrar-com-acoes-da-embraer-embr3-28-06-miql/")</f>
        <v>https://www.seudinheiro.com/2023/colunistas/day-trade-na-b3-saiba-como-lucrar-com-acoes-da-embraer-embr3-28-06-miql/</v>
      </c>
      <c r="Y1332" s="77" t="s">
        <v>7102</v>
      </c>
      <c r="Z1332" s="77"/>
      <c r="AA1332" s="77"/>
      <c r="AB1332" s="77"/>
      <c r="AC1332" s="82" t="s">
        <v>8255</v>
      </c>
      <c r="AD1332" s="77" t="s">
        <v>8278</v>
      </c>
      <c r="AE1332" s="80" t="str">
        <f>HYPERLINK("https://twitter.com/seu_dinheiro_br/status/1673999616084258816")</f>
        <v>https://twitter.com/seu_dinheiro_br/status/1673999616084258816</v>
      </c>
      <c r="AF1332" s="79">
        <v>45105.43037037037</v>
      </c>
      <c r="AG1332" s="85">
        <v>45105</v>
      </c>
      <c r="AH1332" s="82" t="s">
        <v>9478</v>
      </c>
      <c r="AI1332" s="77" t="b">
        <v>0</v>
      </c>
      <c r="AJ1332" s="77"/>
      <c r="AK1332" s="77"/>
      <c r="AL1332" s="77"/>
      <c r="AM1332" s="77"/>
      <c r="AN1332" s="77"/>
      <c r="AO1332" s="77"/>
      <c r="AP1332" s="77"/>
      <c r="AQ1332" s="77"/>
      <c r="AR1332" s="77"/>
      <c r="AS1332" s="77"/>
      <c r="AT1332" s="77"/>
      <c r="AU1332" s="77"/>
      <c r="AV1332" s="80" t="str">
        <f>HYPERLINK("https://pbs.twimg.com/profile_images/1041725334431952896/uaPtkYSp_normal.jpg")</f>
        <v>https://pbs.twimg.com/profile_images/1041725334431952896/uaPtkYSp_normal.jpg</v>
      </c>
      <c r="AW1332" s="82" t="s">
        <v>14427</v>
      </c>
      <c r="AX1332" s="82" t="s">
        <v>14427</v>
      </c>
      <c r="AY1332" s="77"/>
      <c r="AZ1332" s="82" t="s">
        <v>17385</v>
      </c>
      <c r="BA1332" s="82" t="s">
        <v>17385</v>
      </c>
      <c r="BB1332" s="82" t="s">
        <v>17385</v>
      </c>
      <c r="BC1332" s="82" t="s">
        <v>14427</v>
      </c>
      <c r="BD1332" s="82" t="s">
        <v>17550</v>
      </c>
      <c r="BE1332" s="77"/>
      <c r="BF1332" s="77"/>
      <c r="BG1332" s="77"/>
      <c r="BH1332" s="77"/>
      <c r="BI1332" s="77"/>
    </row>
    <row r="1333" spans="1:61" x14ac:dyDescent="0.25">
      <c r="A1333" s="62" t="s">
        <v>425</v>
      </c>
      <c r="B1333" s="62" t="s">
        <v>425</v>
      </c>
      <c r="C1333" s="63"/>
      <c r="D1333" s="64"/>
      <c r="E1333" s="65"/>
      <c r="F1333" s="66"/>
      <c r="G1333" s="63"/>
      <c r="H1333" s="67"/>
      <c r="I1333" s="68"/>
      <c r="J1333" s="68"/>
      <c r="K1333" s="32"/>
      <c r="L1333" s="75">
        <v>1333</v>
      </c>
      <c r="M1333" s="75"/>
      <c r="N1333" s="70"/>
      <c r="O1333" s="77" t="s">
        <v>179</v>
      </c>
      <c r="P1333" s="79">
        <v>45104.666921296295</v>
      </c>
      <c r="Q1333" s="77" t="s">
        <v>2124</v>
      </c>
      <c r="R1333" s="77">
        <v>0</v>
      </c>
      <c r="S1333" s="77">
        <v>0</v>
      </c>
      <c r="T1333" s="77">
        <v>0</v>
      </c>
      <c r="U1333" s="77">
        <v>0</v>
      </c>
      <c r="V1333" s="77">
        <v>204</v>
      </c>
      <c r="W1333" s="82" t="s">
        <v>5627</v>
      </c>
      <c r="X1333" s="80" t="str">
        <f>HYPERLINK("https://www.seudinheiro.com/2023/empresas/mais-viva-do-que-nunca-empresa-na-b3-pode-pagar-ate-30-mais-dividendos-nos-proximos-anos-diz-ubs-bb-ccgg/")</f>
        <v>https://www.seudinheiro.com/2023/empresas/mais-viva-do-que-nunca-empresa-na-b3-pode-pagar-ate-30-mais-dividendos-nos-proximos-anos-diz-ubs-bb-ccgg/</v>
      </c>
      <c r="Y1333" s="77" t="s">
        <v>7102</v>
      </c>
      <c r="Z1333" s="77"/>
      <c r="AA1333" s="77"/>
      <c r="AB1333" s="77"/>
      <c r="AC1333" s="82" t="s">
        <v>8255</v>
      </c>
      <c r="AD1333" s="77" t="s">
        <v>8278</v>
      </c>
      <c r="AE1333" s="80" t="str">
        <f>HYPERLINK("https://twitter.com/seu_dinheiro_br/status/1673722949927354369")</f>
        <v>https://twitter.com/seu_dinheiro_br/status/1673722949927354369</v>
      </c>
      <c r="AF1333" s="79">
        <v>45104.666921296295</v>
      </c>
      <c r="AG1333" s="85">
        <v>45104</v>
      </c>
      <c r="AH1333" s="82" t="s">
        <v>9479</v>
      </c>
      <c r="AI1333" s="77" t="b">
        <v>0</v>
      </c>
      <c r="AJ1333" s="77"/>
      <c r="AK1333" s="77"/>
      <c r="AL1333" s="77"/>
      <c r="AM1333" s="77"/>
      <c r="AN1333" s="77"/>
      <c r="AO1333" s="77"/>
      <c r="AP1333" s="77"/>
      <c r="AQ1333" s="77"/>
      <c r="AR1333" s="77"/>
      <c r="AS1333" s="77"/>
      <c r="AT1333" s="77"/>
      <c r="AU1333" s="77"/>
      <c r="AV1333" s="80" t="str">
        <f>HYPERLINK("https://pbs.twimg.com/profile_images/1041725334431952896/uaPtkYSp_normal.jpg")</f>
        <v>https://pbs.twimg.com/profile_images/1041725334431952896/uaPtkYSp_normal.jpg</v>
      </c>
      <c r="AW1333" s="82" t="s">
        <v>14428</v>
      </c>
      <c r="AX1333" s="82" t="s">
        <v>14428</v>
      </c>
      <c r="AY1333" s="77"/>
      <c r="AZ1333" s="82" t="s">
        <v>17385</v>
      </c>
      <c r="BA1333" s="82" t="s">
        <v>17385</v>
      </c>
      <c r="BB1333" s="82" t="s">
        <v>17385</v>
      </c>
      <c r="BC1333" s="82" t="s">
        <v>14428</v>
      </c>
      <c r="BD1333" s="82" t="s">
        <v>17550</v>
      </c>
      <c r="BE1333" s="77"/>
      <c r="BF1333" s="77"/>
      <c r="BG1333" s="77"/>
      <c r="BH1333" s="77"/>
      <c r="BI1333" s="77"/>
    </row>
    <row r="1334" spans="1:61" x14ac:dyDescent="0.25">
      <c r="A1334" s="62" t="s">
        <v>425</v>
      </c>
      <c r="B1334" s="62" t="s">
        <v>425</v>
      </c>
      <c r="C1334" s="63"/>
      <c r="D1334" s="64"/>
      <c r="E1334" s="65"/>
      <c r="F1334" s="66"/>
      <c r="G1334" s="63"/>
      <c r="H1334" s="67"/>
      <c r="I1334" s="68"/>
      <c r="J1334" s="68"/>
      <c r="K1334" s="32"/>
      <c r="L1334" s="75">
        <v>1334</v>
      </c>
      <c r="M1334" s="75"/>
      <c r="N1334" s="70"/>
      <c r="O1334" s="77" t="s">
        <v>179</v>
      </c>
      <c r="P1334" s="79">
        <v>45104.628599537034</v>
      </c>
      <c r="Q1334" s="77" t="s">
        <v>2125</v>
      </c>
      <c r="R1334" s="77">
        <v>0</v>
      </c>
      <c r="S1334" s="77">
        <v>0</v>
      </c>
      <c r="T1334" s="77">
        <v>0</v>
      </c>
      <c r="U1334" s="77">
        <v>0</v>
      </c>
      <c r="V1334" s="77">
        <v>239</v>
      </c>
      <c r="W1334" s="82" t="s">
        <v>5482</v>
      </c>
      <c r="X1334" s="80" t="str">
        <f>HYPERLINK("https://www.seudinheiro.com/2023/colunistas/mercado-margem-de-seguranca-e-roic-pilares-analise-fundamentalista-acoes-miql/")</f>
        <v>https://www.seudinheiro.com/2023/colunistas/mercado-margem-de-seguranca-e-roic-pilares-analise-fundamentalista-acoes-miql/</v>
      </c>
      <c r="Y1334" s="77" t="s">
        <v>7102</v>
      </c>
      <c r="Z1334" s="77"/>
      <c r="AA1334" s="77"/>
      <c r="AB1334" s="77"/>
      <c r="AC1334" s="82" t="s">
        <v>8255</v>
      </c>
      <c r="AD1334" s="77" t="s">
        <v>8278</v>
      </c>
      <c r="AE1334" s="80" t="str">
        <f>HYPERLINK("https://twitter.com/seu_dinheiro_br/status/1673709063941632002")</f>
        <v>https://twitter.com/seu_dinheiro_br/status/1673709063941632002</v>
      </c>
      <c r="AF1334" s="79">
        <v>45104.628599537034</v>
      </c>
      <c r="AG1334" s="85">
        <v>45104</v>
      </c>
      <c r="AH1334" s="82" t="s">
        <v>9480</v>
      </c>
      <c r="AI1334" s="77" t="b">
        <v>0</v>
      </c>
      <c r="AJ1334" s="77"/>
      <c r="AK1334" s="77"/>
      <c r="AL1334" s="77"/>
      <c r="AM1334" s="77"/>
      <c r="AN1334" s="77"/>
      <c r="AO1334" s="77"/>
      <c r="AP1334" s="77"/>
      <c r="AQ1334" s="77"/>
      <c r="AR1334" s="77"/>
      <c r="AS1334" s="77"/>
      <c r="AT1334" s="77"/>
      <c r="AU1334" s="77"/>
      <c r="AV1334" s="80" t="str">
        <f>HYPERLINK("https://pbs.twimg.com/profile_images/1041725334431952896/uaPtkYSp_normal.jpg")</f>
        <v>https://pbs.twimg.com/profile_images/1041725334431952896/uaPtkYSp_normal.jpg</v>
      </c>
      <c r="AW1334" s="82" t="s">
        <v>14429</v>
      </c>
      <c r="AX1334" s="82" t="s">
        <v>14429</v>
      </c>
      <c r="AY1334" s="77"/>
      <c r="AZ1334" s="82" t="s">
        <v>17385</v>
      </c>
      <c r="BA1334" s="82" t="s">
        <v>17385</v>
      </c>
      <c r="BB1334" s="82" t="s">
        <v>17385</v>
      </c>
      <c r="BC1334" s="82" t="s">
        <v>14429</v>
      </c>
      <c r="BD1334" s="82" t="s">
        <v>17550</v>
      </c>
      <c r="BE1334" s="77"/>
      <c r="BF1334" s="77"/>
      <c r="BG1334" s="77"/>
      <c r="BH1334" s="77"/>
      <c r="BI1334" s="77"/>
    </row>
    <row r="1335" spans="1:61" x14ac:dyDescent="0.25">
      <c r="A1335" s="62" t="s">
        <v>425</v>
      </c>
      <c r="B1335" s="62" t="s">
        <v>425</v>
      </c>
      <c r="C1335" s="63"/>
      <c r="D1335" s="64"/>
      <c r="E1335" s="65"/>
      <c r="F1335" s="66"/>
      <c r="G1335" s="63"/>
      <c r="H1335" s="67"/>
      <c r="I1335" s="68"/>
      <c r="J1335" s="68"/>
      <c r="K1335" s="32"/>
      <c r="L1335" s="75">
        <v>1335</v>
      </c>
      <c r="M1335" s="75"/>
      <c r="N1335" s="70"/>
      <c r="O1335" s="77" t="s">
        <v>179</v>
      </c>
      <c r="P1335" s="79">
        <v>45104.548032407409</v>
      </c>
      <c r="Q1335" s="77" t="s">
        <v>2126</v>
      </c>
      <c r="R1335" s="77">
        <v>0</v>
      </c>
      <c r="S1335" s="77">
        <v>0</v>
      </c>
      <c r="T1335" s="77">
        <v>0</v>
      </c>
      <c r="U1335" s="77">
        <v>0</v>
      </c>
      <c r="V1335" s="77">
        <v>175</v>
      </c>
      <c r="W1335" s="82" t="s">
        <v>5475</v>
      </c>
      <c r="X1335" s="80" t="str">
        <f>HYPERLINK("https://www.seudinheiro.com/2023/empresas/petrobras-petr4-onda-positiva-mercados-capta-titulos-de-divida-dolar-miql-vinp/")</f>
        <v>https://www.seudinheiro.com/2023/empresas/petrobras-petr4-onda-positiva-mercados-capta-titulos-de-divida-dolar-miql-vinp/</v>
      </c>
      <c r="Y1335" s="77" t="s">
        <v>7102</v>
      </c>
      <c r="Z1335" s="77"/>
      <c r="AA1335" s="77"/>
      <c r="AB1335" s="77"/>
      <c r="AC1335" s="82" t="s">
        <v>8255</v>
      </c>
      <c r="AD1335" s="77" t="s">
        <v>8278</v>
      </c>
      <c r="AE1335" s="80" t="str">
        <f>HYPERLINK("https://twitter.com/seu_dinheiro_br/status/1673679867596898306")</f>
        <v>https://twitter.com/seu_dinheiro_br/status/1673679867596898306</v>
      </c>
      <c r="AF1335" s="79">
        <v>45104.548032407409</v>
      </c>
      <c r="AG1335" s="85">
        <v>45104</v>
      </c>
      <c r="AH1335" s="82" t="s">
        <v>9481</v>
      </c>
      <c r="AI1335" s="77" t="b">
        <v>0</v>
      </c>
      <c r="AJ1335" s="77"/>
      <c r="AK1335" s="77"/>
      <c r="AL1335" s="77"/>
      <c r="AM1335" s="77"/>
      <c r="AN1335" s="77"/>
      <c r="AO1335" s="77"/>
      <c r="AP1335" s="77"/>
      <c r="AQ1335" s="77"/>
      <c r="AR1335" s="77"/>
      <c r="AS1335" s="77"/>
      <c r="AT1335" s="77"/>
      <c r="AU1335" s="77"/>
      <c r="AV1335" s="80" t="str">
        <f>HYPERLINK("https://pbs.twimg.com/profile_images/1041725334431952896/uaPtkYSp_normal.jpg")</f>
        <v>https://pbs.twimg.com/profile_images/1041725334431952896/uaPtkYSp_normal.jpg</v>
      </c>
      <c r="AW1335" s="82" t="s">
        <v>14430</v>
      </c>
      <c r="AX1335" s="82" t="s">
        <v>14430</v>
      </c>
      <c r="AY1335" s="77"/>
      <c r="AZ1335" s="82" t="s">
        <v>17385</v>
      </c>
      <c r="BA1335" s="82" t="s">
        <v>17385</v>
      </c>
      <c r="BB1335" s="82" t="s">
        <v>17385</v>
      </c>
      <c r="BC1335" s="82" t="s">
        <v>14430</v>
      </c>
      <c r="BD1335" s="82" t="s">
        <v>17550</v>
      </c>
      <c r="BE1335" s="77"/>
      <c r="BF1335" s="77"/>
      <c r="BG1335" s="77"/>
      <c r="BH1335" s="77"/>
      <c r="BI1335" s="77"/>
    </row>
    <row r="1336" spans="1:61" x14ac:dyDescent="0.25">
      <c r="A1336" s="62" t="s">
        <v>425</v>
      </c>
      <c r="B1336" s="62" t="s">
        <v>425</v>
      </c>
      <c r="C1336" s="63"/>
      <c r="D1336" s="64"/>
      <c r="E1336" s="65"/>
      <c r="F1336" s="66"/>
      <c r="G1336" s="63"/>
      <c r="H1336" s="67"/>
      <c r="I1336" s="68"/>
      <c r="J1336" s="68"/>
      <c r="K1336" s="32"/>
      <c r="L1336" s="75">
        <v>1336</v>
      </c>
      <c r="M1336" s="75"/>
      <c r="N1336" s="70"/>
      <c r="O1336" s="77" t="s">
        <v>179</v>
      </c>
      <c r="P1336" s="79">
        <v>45104.445798611108</v>
      </c>
      <c r="Q1336" s="77" t="s">
        <v>2127</v>
      </c>
      <c r="R1336" s="77">
        <v>0</v>
      </c>
      <c r="S1336" s="77">
        <v>2</v>
      </c>
      <c r="T1336" s="77">
        <v>0</v>
      </c>
      <c r="U1336" s="77">
        <v>0</v>
      </c>
      <c r="V1336" s="77">
        <v>266</v>
      </c>
      <c r="W1336" s="82" t="s">
        <v>5474</v>
      </c>
      <c r="X1336" s="80" t="str">
        <f>HYPERLINK("https://www.seudinheiro.com/2023/colunistas/day-trade-na-b3-saiba-como-lucrar-com-acoes-da-metalurgica-gerdau-goau4-27-06-miql/")</f>
        <v>https://www.seudinheiro.com/2023/colunistas/day-trade-na-b3-saiba-como-lucrar-com-acoes-da-metalurgica-gerdau-goau4-27-06-miql/</v>
      </c>
      <c r="Y1336" s="77" t="s">
        <v>7102</v>
      </c>
      <c r="Z1336" s="77"/>
      <c r="AA1336" s="77"/>
      <c r="AB1336" s="77"/>
      <c r="AC1336" s="82" t="s">
        <v>8255</v>
      </c>
      <c r="AD1336" s="77" t="s">
        <v>8278</v>
      </c>
      <c r="AE1336" s="80" t="str">
        <f>HYPERLINK("https://twitter.com/seu_dinheiro_br/status/1673642821058809856")</f>
        <v>https://twitter.com/seu_dinheiro_br/status/1673642821058809856</v>
      </c>
      <c r="AF1336" s="79">
        <v>45104.445798611108</v>
      </c>
      <c r="AG1336" s="85">
        <v>45104</v>
      </c>
      <c r="AH1336" s="82" t="s">
        <v>9482</v>
      </c>
      <c r="AI1336" s="77" t="b">
        <v>0</v>
      </c>
      <c r="AJ1336" s="77"/>
      <c r="AK1336" s="77"/>
      <c r="AL1336" s="77"/>
      <c r="AM1336" s="77"/>
      <c r="AN1336" s="77"/>
      <c r="AO1336" s="77"/>
      <c r="AP1336" s="77"/>
      <c r="AQ1336" s="77"/>
      <c r="AR1336" s="77"/>
      <c r="AS1336" s="77"/>
      <c r="AT1336" s="77"/>
      <c r="AU1336" s="77"/>
      <c r="AV1336" s="80" t="str">
        <f>HYPERLINK("https://pbs.twimg.com/profile_images/1041725334431952896/uaPtkYSp_normal.jpg")</f>
        <v>https://pbs.twimg.com/profile_images/1041725334431952896/uaPtkYSp_normal.jpg</v>
      </c>
      <c r="AW1336" s="82" t="s">
        <v>14431</v>
      </c>
      <c r="AX1336" s="82" t="s">
        <v>14431</v>
      </c>
      <c r="AY1336" s="77"/>
      <c r="AZ1336" s="82" t="s">
        <v>17385</v>
      </c>
      <c r="BA1336" s="82" t="s">
        <v>17385</v>
      </c>
      <c r="BB1336" s="82" t="s">
        <v>17385</v>
      </c>
      <c r="BC1336" s="82" t="s">
        <v>14431</v>
      </c>
      <c r="BD1336" s="82" t="s">
        <v>17550</v>
      </c>
      <c r="BE1336" s="77"/>
      <c r="BF1336" s="77"/>
      <c r="BG1336" s="77"/>
      <c r="BH1336" s="77"/>
      <c r="BI1336" s="77"/>
    </row>
    <row r="1337" spans="1:61" x14ac:dyDescent="0.25">
      <c r="A1337" s="62" t="s">
        <v>425</v>
      </c>
      <c r="B1337" s="62" t="s">
        <v>425</v>
      </c>
      <c r="C1337" s="63"/>
      <c r="D1337" s="64"/>
      <c r="E1337" s="65"/>
      <c r="F1337" s="66"/>
      <c r="G1337" s="63"/>
      <c r="H1337" s="67"/>
      <c r="I1337" s="68"/>
      <c r="J1337" s="68"/>
      <c r="K1337" s="32"/>
      <c r="L1337" s="75">
        <v>1337</v>
      </c>
      <c r="M1337" s="75"/>
      <c r="N1337" s="70"/>
      <c r="O1337" s="77" t="s">
        <v>179</v>
      </c>
      <c r="P1337" s="79">
        <v>45083.684814814813</v>
      </c>
      <c r="Q1337" s="77" t="s">
        <v>2128</v>
      </c>
      <c r="R1337" s="77">
        <v>0</v>
      </c>
      <c r="S1337" s="77">
        <v>1</v>
      </c>
      <c r="T1337" s="77">
        <v>0</v>
      </c>
      <c r="U1337" s="77">
        <v>0</v>
      </c>
      <c r="V1337" s="77">
        <v>254</v>
      </c>
      <c r="W1337" s="82" t="s">
        <v>5475</v>
      </c>
      <c r="X1337" s="80" t="str">
        <f>HYPERLINK("https://www.seudinheiro.com/2023/empresas/cielo-ciel3-corrida-das-maquininhas-rival-jp-morgan-miql/")</f>
        <v>https://www.seudinheiro.com/2023/empresas/cielo-ciel3-corrida-das-maquininhas-rival-jp-morgan-miql/</v>
      </c>
      <c r="Y1337" s="77" t="s">
        <v>7102</v>
      </c>
      <c r="Z1337" s="77"/>
      <c r="AA1337" s="77"/>
      <c r="AB1337" s="77"/>
      <c r="AC1337" s="82" t="s">
        <v>8255</v>
      </c>
      <c r="AD1337" s="77" t="s">
        <v>8278</v>
      </c>
      <c r="AE1337" s="80" t="str">
        <f>HYPERLINK("https://twitter.com/seu_dinheiro_br/status/1666119288397213699")</f>
        <v>https://twitter.com/seu_dinheiro_br/status/1666119288397213699</v>
      </c>
      <c r="AF1337" s="79">
        <v>45083.684814814813</v>
      </c>
      <c r="AG1337" s="85">
        <v>45083</v>
      </c>
      <c r="AH1337" s="82" t="s">
        <v>9483</v>
      </c>
      <c r="AI1337" s="77" t="b">
        <v>0</v>
      </c>
      <c r="AJ1337" s="77"/>
      <c r="AK1337" s="77"/>
      <c r="AL1337" s="77"/>
      <c r="AM1337" s="77"/>
      <c r="AN1337" s="77"/>
      <c r="AO1337" s="77"/>
      <c r="AP1337" s="77"/>
      <c r="AQ1337" s="77"/>
      <c r="AR1337" s="77"/>
      <c r="AS1337" s="77"/>
      <c r="AT1337" s="77"/>
      <c r="AU1337" s="77"/>
      <c r="AV1337" s="80" t="str">
        <f>HYPERLINK("https://pbs.twimg.com/profile_images/1041725334431952896/uaPtkYSp_normal.jpg")</f>
        <v>https://pbs.twimg.com/profile_images/1041725334431952896/uaPtkYSp_normal.jpg</v>
      </c>
      <c r="AW1337" s="82" t="s">
        <v>14432</v>
      </c>
      <c r="AX1337" s="82" t="s">
        <v>14432</v>
      </c>
      <c r="AY1337" s="77"/>
      <c r="AZ1337" s="82" t="s">
        <v>17385</v>
      </c>
      <c r="BA1337" s="82" t="s">
        <v>17385</v>
      </c>
      <c r="BB1337" s="82" t="s">
        <v>17385</v>
      </c>
      <c r="BC1337" s="82" t="s">
        <v>14432</v>
      </c>
      <c r="BD1337" s="82" t="s">
        <v>17550</v>
      </c>
      <c r="BE1337" s="77"/>
      <c r="BF1337" s="77"/>
      <c r="BG1337" s="77"/>
      <c r="BH1337" s="77"/>
      <c r="BI1337" s="77"/>
    </row>
    <row r="1338" spans="1:61" x14ac:dyDescent="0.25">
      <c r="A1338" s="62" t="s">
        <v>425</v>
      </c>
      <c r="B1338" s="62" t="s">
        <v>425</v>
      </c>
      <c r="C1338" s="63"/>
      <c r="D1338" s="64"/>
      <c r="E1338" s="65"/>
      <c r="F1338" s="66"/>
      <c r="G1338" s="63"/>
      <c r="H1338" s="67"/>
      <c r="I1338" s="68"/>
      <c r="J1338" s="68"/>
      <c r="K1338" s="32"/>
      <c r="L1338" s="75">
        <v>1338</v>
      </c>
      <c r="M1338" s="75"/>
      <c r="N1338" s="70"/>
      <c r="O1338" s="77" t="s">
        <v>179</v>
      </c>
      <c r="P1338" s="79">
        <v>45083.588055555556</v>
      </c>
      <c r="Q1338" s="77" t="s">
        <v>2129</v>
      </c>
      <c r="R1338" s="77">
        <v>0</v>
      </c>
      <c r="S1338" s="77">
        <v>1</v>
      </c>
      <c r="T1338" s="77">
        <v>0</v>
      </c>
      <c r="U1338" s="77">
        <v>0</v>
      </c>
      <c r="V1338" s="77">
        <v>208</v>
      </c>
      <c r="W1338" s="82" t="s">
        <v>5482</v>
      </c>
      <c r="X1338" s="80" t="str">
        <f>HYPERLINK("https://www.seudinheiro.com/2023/colunistas/acao-retorno-2023-continua-barata-empresa-fora-do-radar-grandes-investidores-miql/")</f>
        <v>https://www.seudinheiro.com/2023/colunistas/acao-retorno-2023-continua-barata-empresa-fora-do-radar-grandes-investidores-miql/</v>
      </c>
      <c r="Y1338" s="77" t="s">
        <v>7102</v>
      </c>
      <c r="Z1338" s="77"/>
      <c r="AA1338" s="77"/>
      <c r="AB1338" s="77"/>
      <c r="AC1338" s="82" t="s">
        <v>8255</v>
      </c>
      <c r="AD1338" s="77" t="s">
        <v>8278</v>
      </c>
      <c r="AE1338" s="80" t="str">
        <f>HYPERLINK("https://twitter.com/seu_dinheiro_br/status/1666084227325251587")</f>
        <v>https://twitter.com/seu_dinheiro_br/status/1666084227325251587</v>
      </c>
      <c r="AF1338" s="79">
        <v>45083.588055555556</v>
      </c>
      <c r="AG1338" s="85">
        <v>45083</v>
      </c>
      <c r="AH1338" s="82" t="s">
        <v>9484</v>
      </c>
      <c r="AI1338" s="77" t="b">
        <v>0</v>
      </c>
      <c r="AJ1338" s="77"/>
      <c r="AK1338" s="77"/>
      <c r="AL1338" s="77"/>
      <c r="AM1338" s="77"/>
      <c r="AN1338" s="77"/>
      <c r="AO1338" s="77"/>
      <c r="AP1338" s="77"/>
      <c r="AQ1338" s="77"/>
      <c r="AR1338" s="77"/>
      <c r="AS1338" s="77"/>
      <c r="AT1338" s="77"/>
      <c r="AU1338" s="77"/>
      <c r="AV1338" s="80" t="str">
        <f>HYPERLINK("https://pbs.twimg.com/profile_images/1041725334431952896/uaPtkYSp_normal.jpg")</f>
        <v>https://pbs.twimg.com/profile_images/1041725334431952896/uaPtkYSp_normal.jpg</v>
      </c>
      <c r="AW1338" s="82" t="s">
        <v>14433</v>
      </c>
      <c r="AX1338" s="82" t="s">
        <v>14433</v>
      </c>
      <c r="AY1338" s="77"/>
      <c r="AZ1338" s="82" t="s">
        <v>17385</v>
      </c>
      <c r="BA1338" s="82" t="s">
        <v>17385</v>
      </c>
      <c r="BB1338" s="82" t="s">
        <v>17385</v>
      </c>
      <c r="BC1338" s="82" t="s">
        <v>14433</v>
      </c>
      <c r="BD1338" s="82" t="s">
        <v>17550</v>
      </c>
      <c r="BE1338" s="77"/>
      <c r="BF1338" s="77"/>
      <c r="BG1338" s="77"/>
      <c r="BH1338" s="77"/>
      <c r="BI1338" s="77"/>
    </row>
    <row r="1339" spans="1:61" x14ac:dyDescent="0.25">
      <c r="A1339" s="62" t="s">
        <v>425</v>
      </c>
      <c r="B1339" s="62" t="s">
        <v>425</v>
      </c>
      <c r="C1339" s="63"/>
      <c r="D1339" s="64"/>
      <c r="E1339" s="65"/>
      <c r="F1339" s="66"/>
      <c r="G1339" s="63"/>
      <c r="H1339" s="67"/>
      <c r="I1339" s="68"/>
      <c r="J1339" s="68"/>
      <c r="K1339" s="32"/>
      <c r="L1339" s="75">
        <v>1339</v>
      </c>
      <c r="M1339" s="75"/>
      <c r="N1339" s="70"/>
      <c r="O1339" s="77" t="s">
        <v>179</v>
      </c>
      <c r="P1339" s="79">
        <v>45083.493877314817</v>
      </c>
      <c r="Q1339" s="77" t="s">
        <v>2130</v>
      </c>
      <c r="R1339" s="77">
        <v>0</v>
      </c>
      <c r="S1339" s="77">
        <v>3</v>
      </c>
      <c r="T1339" s="77">
        <v>0</v>
      </c>
      <c r="U1339" s="77">
        <v>0</v>
      </c>
      <c r="V1339" s="77">
        <v>356</v>
      </c>
      <c r="W1339" s="82" t="s">
        <v>5565</v>
      </c>
      <c r="X1339" s="80" t="str">
        <f>HYPERLINK("https://www.seudinheiro.com/2023/bolsa-dolar/luiz-barsi-aumenta-participacao-em-empresa-de-energia-na-b3-vinp/")</f>
        <v>https://www.seudinheiro.com/2023/bolsa-dolar/luiz-barsi-aumenta-participacao-em-empresa-de-energia-na-b3-vinp/</v>
      </c>
      <c r="Y1339" s="77" t="s">
        <v>7102</v>
      </c>
      <c r="Z1339" s="77"/>
      <c r="AA1339" s="77"/>
      <c r="AB1339" s="77"/>
      <c r="AC1339" s="82" t="s">
        <v>8255</v>
      </c>
      <c r="AD1339" s="77" t="s">
        <v>8278</v>
      </c>
      <c r="AE1339" s="80" t="str">
        <f>HYPERLINK("https://twitter.com/seu_dinheiro_br/status/1666050096012701702")</f>
        <v>https://twitter.com/seu_dinheiro_br/status/1666050096012701702</v>
      </c>
      <c r="AF1339" s="79">
        <v>45083.493877314817</v>
      </c>
      <c r="AG1339" s="85">
        <v>45083</v>
      </c>
      <c r="AH1339" s="82" t="s">
        <v>9485</v>
      </c>
      <c r="AI1339" s="77" t="b">
        <v>0</v>
      </c>
      <c r="AJ1339" s="77"/>
      <c r="AK1339" s="77"/>
      <c r="AL1339" s="77"/>
      <c r="AM1339" s="77"/>
      <c r="AN1339" s="77"/>
      <c r="AO1339" s="77"/>
      <c r="AP1339" s="77"/>
      <c r="AQ1339" s="77"/>
      <c r="AR1339" s="77"/>
      <c r="AS1339" s="77"/>
      <c r="AT1339" s="77"/>
      <c r="AU1339" s="77"/>
      <c r="AV1339" s="80" t="str">
        <f>HYPERLINK("https://pbs.twimg.com/profile_images/1041725334431952896/uaPtkYSp_normal.jpg")</f>
        <v>https://pbs.twimg.com/profile_images/1041725334431952896/uaPtkYSp_normal.jpg</v>
      </c>
      <c r="AW1339" s="82" t="s">
        <v>14434</v>
      </c>
      <c r="AX1339" s="82" t="s">
        <v>14434</v>
      </c>
      <c r="AY1339" s="77"/>
      <c r="AZ1339" s="82" t="s">
        <v>17385</v>
      </c>
      <c r="BA1339" s="82" t="s">
        <v>17385</v>
      </c>
      <c r="BB1339" s="82" t="s">
        <v>17385</v>
      </c>
      <c r="BC1339" s="82" t="s">
        <v>14434</v>
      </c>
      <c r="BD1339" s="82" t="s">
        <v>17550</v>
      </c>
      <c r="BE1339" s="77"/>
      <c r="BF1339" s="77"/>
      <c r="BG1339" s="77"/>
      <c r="BH1339" s="77"/>
      <c r="BI1339" s="77"/>
    </row>
    <row r="1340" spans="1:61" x14ac:dyDescent="0.25">
      <c r="A1340" s="62" t="s">
        <v>425</v>
      </c>
      <c r="B1340" s="62" t="s">
        <v>425</v>
      </c>
      <c r="C1340" s="63"/>
      <c r="D1340" s="64"/>
      <c r="E1340" s="65"/>
      <c r="F1340" s="66"/>
      <c r="G1340" s="63"/>
      <c r="H1340" s="67"/>
      <c r="I1340" s="68"/>
      <c r="J1340" s="68"/>
      <c r="K1340" s="32"/>
      <c r="L1340" s="75">
        <v>1340</v>
      </c>
      <c r="M1340" s="75"/>
      <c r="N1340" s="70"/>
      <c r="O1340" s="77" t="s">
        <v>179</v>
      </c>
      <c r="P1340" s="79">
        <v>45083.462581018517</v>
      </c>
      <c r="Q1340" s="77" t="s">
        <v>2131</v>
      </c>
      <c r="R1340" s="77">
        <v>0</v>
      </c>
      <c r="S1340" s="77">
        <v>1</v>
      </c>
      <c r="T1340" s="77">
        <v>0</v>
      </c>
      <c r="U1340" s="77">
        <v>0</v>
      </c>
      <c r="V1340" s="77">
        <v>326</v>
      </c>
      <c r="W1340" s="82" t="s">
        <v>5474</v>
      </c>
      <c r="X1340" s="80" t="str">
        <f>HYPERLINK("https://www.seudinheiro.com/2023/colunistas/day-trade-na-b3-como-lucrar-com-acoes-da-anima-educacao-anim3-06-06-miql/")</f>
        <v>https://www.seudinheiro.com/2023/colunistas/day-trade-na-b3-como-lucrar-com-acoes-da-anima-educacao-anim3-06-06-miql/</v>
      </c>
      <c r="Y1340" s="77" t="s">
        <v>7102</v>
      </c>
      <c r="Z1340" s="77"/>
      <c r="AA1340" s="77"/>
      <c r="AB1340" s="77"/>
      <c r="AC1340" s="82" t="s">
        <v>8255</v>
      </c>
      <c r="AD1340" s="77" t="s">
        <v>8278</v>
      </c>
      <c r="AE1340" s="80" t="str">
        <f>HYPERLINK("https://twitter.com/seu_dinheiro_br/status/1666038753830268929")</f>
        <v>https://twitter.com/seu_dinheiro_br/status/1666038753830268929</v>
      </c>
      <c r="AF1340" s="79">
        <v>45083.462581018517</v>
      </c>
      <c r="AG1340" s="85">
        <v>45083</v>
      </c>
      <c r="AH1340" s="82" t="s">
        <v>9486</v>
      </c>
      <c r="AI1340" s="77" t="b">
        <v>0</v>
      </c>
      <c r="AJ1340" s="77"/>
      <c r="AK1340" s="77"/>
      <c r="AL1340" s="77"/>
      <c r="AM1340" s="77"/>
      <c r="AN1340" s="77"/>
      <c r="AO1340" s="77"/>
      <c r="AP1340" s="77"/>
      <c r="AQ1340" s="77"/>
      <c r="AR1340" s="77"/>
      <c r="AS1340" s="77"/>
      <c r="AT1340" s="77"/>
      <c r="AU1340" s="77"/>
      <c r="AV1340" s="80" t="str">
        <f>HYPERLINK("https://pbs.twimg.com/profile_images/1041725334431952896/uaPtkYSp_normal.jpg")</f>
        <v>https://pbs.twimg.com/profile_images/1041725334431952896/uaPtkYSp_normal.jpg</v>
      </c>
      <c r="AW1340" s="82" t="s">
        <v>14435</v>
      </c>
      <c r="AX1340" s="82" t="s">
        <v>14435</v>
      </c>
      <c r="AY1340" s="77"/>
      <c r="AZ1340" s="82" t="s">
        <v>17385</v>
      </c>
      <c r="BA1340" s="82" t="s">
        <v>17385</v>
      </c>
      <c r="BB1340" s="82" t="s">
        <v>17385</v>
      </c>
      <c r="BC1340" s="82" t="s">
        <v>14435</v>
      </c>
      <c r="BD1340" s="82" t="s">
        <v>17550</v>
      </c>
      <c r="BE1340" s="77"/>
      <c r="BF1340" s="77"/>
      <c r="BG1340" s="77"/>
      <c r="BH1340" s="77"/>
      <c r="BI1340" s="77"/>
    </row>
    <row r="1341" spans="1:61" x14ac:dyDescent="0.25">
      <c r="A1341" s="62" t="s">
        <v>425</v>
      </c>
      <c r="B1341" s="62" t="s">
        <v>425</v>
      </c>
      <c r="C1341" s="63"/>
      <c r="D1341" s="64"/>
      <c r="E1341" s="65"/>
      <c r="F1341" s="66"/>
      <c r="G1341" s="63"/>
      <c r="H1341" s="67"/>
      <c r="I1341" s="68"/>
      <c r="J1341" s="68"/>
      <c r="K1341" s="32"/>
      <c r="L1341" s="75">
        <v>1341</v>
      </c>
      <c r="M1341" s="75"/>
      <c r="N1341" s="70"/>
      <c r="O1341" s="77" t="s">
        <v>179</v>
      </c>
      <c r="P1341" s="79">
        <v>45083.38045138889</v>
      </c>
      <c r="Q1341" s="77" t="s">
        <v>2132</v>
      </c>
      <c r="R1341" s="77">
        <v>0</v>
      </c>
      <c r="S1341" s="77">
        <v>4</v>
      </c>
      <c r="T1341" s="77">
        <v>2</v>
      </c>
      <c r="U1341" s="77">
        <v>0</v>
      </c>
      <c r="V1341" s="77">
        <v>544</v>
      </c>
      <c r="W1341" s="82" t="s">
        <v>5646</v>
      </c>
      <c r="X1341" s="80" t="str">
        <f>HYPERLINK("https://www.seudinheiro.com/2023/financas-pessoais/investiu-o-fgts-na-eletrobras-como-fazer-a-portabilidade-para-um-fmp-carteira-livre-julw/")</f>
        <v>https://www.seudinheiro.com/2023/financas-pessoais/investiu-o-fgts-na-eletrobras-como-fazer-a-portabilidade-para-um-fmp-carteira-livre-julw/</v>
      </c>
      <c r="Y1341" s="77" t="s">
        <v>7102</v>
      </c>
      <c r="Z1341" s="77"/>
      <c r="AA1341" s="77"/>
      <c r="AB1341" s="77"/>
      <c r="AC1341" s="82" t="s">
        <v>8255</v>
      </c>
      <c r="AD1341" s="77" t="s">
        <v>8278</v>
      </c>
      <c r="AE1341" s="80" t="str">
        <f>HYPERLINK("https://twitter.com/seu_dinheiro_br/status/1666008992961769472")</f>
        <v>https://twitter.com/seu_dinheiro_br/status/1666008992961769472</v>
      </c>
      <c r="AF1341" s="79">
        <v>45083.38045138889</v>
      </c>
      <c r="AG1341" s="85">
        <v>45083</v>
      </c>
      <c r="AH1341" s="82" t="s">
        <v>9487</v>
      </c>
      <c r="AI1341" s="77" t="b">
        <v>0</v>
      </c>
      <c r="AJ1341" s="77"/>
      <c r="AK1341" s="77"/>
      <c r="AL1341" s="77"/>
      <c r="AM1341" s="77"/>
      <c r="AN1341" s="77"/>
      <c r="AO1341" s="77"/>
      <c r="AP1341" s="77"/>
      <c r="AQ1341" s="77"/>
      <c r="AR1341" s="77"/>
      <c r="AS1341" s="77"/>
      <c r="AT1341" s="77"/>
      <c r="AU1341" s="77"/>
      <c r="AV1341" s="80" t="str">
        <f>HYPERLINK("https://pbs.twimg.com/profile_images/1041725334431952896/uaPtkYSp_normal.jpg")</f>
        <v>https://pbs.twimg.com/profile_images/1041725334431952896/uaPtkYSp_normal.jpg</v>
      </c>
      <c r="AW1341" s="82" t="s">
        <v>14436</v>
      </c>
      <c r="AX1341" s="82" t="s">
        <v>14436</v>
      </c>
      <c r="AY1341" s="77"/>
      <c r="AZ1341" s="82" t="s">
        <v>17385</v>
      </c>
      <c r="BA1341" s="82" t="s">
        <v>17385</v>
      </c>
      <c r="BB1341" s="82" t="s">
        <v>17385</v>
      </c>
      <c r="BC1341" s="82" t="s">
        <v>14436</v>
      </c>
      <c r="BD1341" s="82" t="s">
        <v>17550</v>
      </c>
      <c r="BE1341" s="77"/>
      <c r="BF1341" s="77"/>
      <c r="BG1341" s="77"/>
      <c r="BH1341" s="77"/>
      <c r="BI1341" s="77"/>
    </row>
    <row r="1342" spans="1:61" x14ac:dyDescent="0.25">
      <c r="A1342" s="62" t="s">
        <v>425</v>
      </c>
      <c r="B1342" s="62" t="s">
        <v>425</v>
      </c>
      <c r="C1342" s="63"/>
      <c r="D1342" s="64"/>
      <c r="E1342" s="65"/>
      <c r="F1342" s="66"/>
      <c r="G1342" s="63"/>
      <c r="H1342" s="67"/>
      <c r="I1342" s="68"/>
      <c r="J1342" s="68"/>
      <c r="K1342" s="32"/>
      <c r="L1342" s="75">
        <v>1342</v>
      </c>
      <c r="M1342" s="75"/>
      <c r="N1342" s="70"/>
      <c r="O1342" s="77" t="s">
        <v>179</v>
      </c>
      <c r="P1342" s="79">
        <v>45082.959837962961</v>
      </c>
      <c r="Q1342" s="77" t="s">
        <v>2133</v>
      </c>
      <c r="R1342" s="77">
        <v>0</v>
      </c>
      <c r="S1342" s="77">
        <v>1</v>
      </c>
      <c r="T1342" s="77">
        <v>0</v>
      </c>
      <c r="U1342" s="77">
        <v>0</v>
      </c>
      <c r="V1342" s="77">
        <v>309</v>
      </c>
      <c r="W1342" s="82" t="s">
        <v>5494</v>
      </c>
      <c r="X1342" s="80" t="str">
        <f>HYPERLINK("https://www.seudinheiro.com/2023/colunistas/farsa-jair-pereira-vvka/")</f>
        <v>https://www.seudinheiro.com/2023/colunistas/farsa-jair-pereira-vvka/</v>
      </c>
      <c r="Y1342" s="77" t="s">
        <v>7102</v>
      </c>
      <c r="Z1342" s="77"/>
      <c r="AA1342" s="77"/>
      <c r="AB1342" s="77"/>
      <c r="AC1342" s="82" t="s">
        <v>8255</v>
      </c>
      <c r="AD1342" s="77" t="s">
        <v>8278</v>
      </c>
      <c r="AE1342" s="80" t="str">
        <f>HYPERLINK("https://twitter.com/seu_dinheiro_br/status/1665856566614974464")</f>
        <v>https://twitter.com/seu_dinheiro_br/status/1665856566614974464</v>
      </c>
      <c r="AF1342" s="79">
        <v>45082.959837962961</v>
      </c>
      <c r="AG1342" s="85">
        <v>45082</v>
      </c>
      <c r="AH1342" s="82" t="s">
        <v>9488</v>
      </c>
      <c r="AI1342" s="77" t="b">
        <v>0</v>
      </c>
      <c r="AJ1342" s="77"/>
      <c r="AK1342" s="77"/>
      <c r="AL1342" s="77"/>
      <c r="AM1342" s="77"/>
      <c r="AN1342" s="77"/>
      <c r="AO1342" s="77"/>
      <c r="AP1342" s="77"/>
      <c r="AQ1342" s="77"/>
      <c r="AR1342" s="77"/>
      <c r="AS1342" s="77"/>
      <c r="AT1342" s="77"/>
      <c r="AU1342" s="77"/>
      <c r="AV1342" s="80" t="str">
        <f>HYPERLINK("https://pbs.twimg.com/profile_images/1041725334431952896/uaPtkYSp_normal.jpg")</f>
        <v>https://pbs.twimg.com/profile_images/1041725334431952896/uaPtkYSp_normal.jpg</v>
      </c>
      <c r="AW1342" s="82" t="s">
        <v>14437</v>
      </c>
      <c r="AX1342" s="82" t="s">
        <v>14437</v>
      </c>
      <c r="AY1342" s="77"/>
      <c r="AZ1342" s="82" t="s">
        <v>17385</v>
      </c>
      <c r="BA1342" s="82" t="s">
        <v>17385</v>
      </c>
      <c r="BB1342" s="82" t="s">
        <v>17385</v>
      </c>
      <c r="BC1342" s="82" t="s">
        <v>14437</v>
      </c>
      <c r="BD1342" s="82" t="s">
        <v>17550</v>
      </c>
      <c r="BE1342" s="77"/>
      <c r="BF1342" s="77"/>
      <c r="BG1342" s="77"/>
      <c r="BH1342" s="77"/>
      <c r="BI1342" s="77"/>
    </row>
    <row r="1343" spans="1:61" x14ac:dyDescent="0.25">
      <c r="A1343" s="62" t="s">
        <v>425</v>
      </c>
      <c r="B1343" s="62" t="s">
        <v>425</v>
      </c>
      <c r="C1343" s="63"/>
      <c r="D1343" s="64"/>
      <c r="E1343" s="65"/>
      <c r="F1343" s="66"/>
      <c r="G1343" s="63"/>
      <c r="H1343" s="67"/>
      <c r="I1343" s="68"/>
      <c r="J1343" s="68"/>
      <c r="K1343" s="32"/>
      <c r="L1343" s="75">
        <v>1343</v>
      </c>
      <c r="M1343" s="75"/>
      <c r="N1343" s="70"/>
      <c r="O1343" s="77" t="s">
        <v>179</v>
      </c>
      <c r="P1343" s="79">
        <v>45082.795451388891</v>
      </c>
      <c r="Q1343" s="77" t="s">
        <v>2134</v>
      </c>
      <c r="R1343" s="77">
        <v>0</v>
      </c>
      <c r="S1343" s="77">
        <v>1</v>
      </c>
      <c r="T1343" s="77">
        <v>0</v>
      </c>
      <c r="U1343" s="77">
        <v>0</v>
      </c>
      <c r="V1343" s="77">
        <v>266</v>
      </c>
      <c r="W1343" s="82" t="s">
        <v>5647</v>
      </c>
      <c r="X1343" s="80" t="str">
        <f>HYPERLINK("https://www.seudinheiro.com/2023/empresas/a-eneva-ficou-no-escuro-enev3-lidera-perdas-do-ibovepa-depois-de-mudanca-feita-pelo-ubs-bb-ccgg/")</f>
        <v>https://www.seudinheiro.com/2023/empresas/a-eneva-ficou-no-escuro-enev3-lidera-perdas-do-ibovepa-depois-de-mudanca-feita-pelo-ubs-bb-ccgg/</v>
      </c>
      <c r="Y1343" s="77" t="s">
        <v>7102</v>
      </c>
      <c r="Z1343" s="77"/>
      <c r="AA1343" s="77"/>
      <c r="AB1343" s="77"/>
      <c r="AC1343" s="82" t="s">
        <v>8255</v>
      </c>
      <c r="AD1343" s="77" t="s">
        <v>8278</v>
      </c>
      <c r="AE1343" s="80" t="str">
        <f>HYPERLINK("https://twitter.com/seu_dinheiro_br/status/1665796996811177993")</f>
        <v>https://twitter.com/seu_dinheiro_br/status/1665796996811177993</v>
      </c>
      <c r="AF1343" s="79">
        <v>45082.795451388891</v>
      </c>
      <c r="AG1343" s="85">
        <v>45082</v>
      </c>
      <c r="AH1343" s="82" t="s">
        <v>9489</v>
      </c>
      <c r="AI1343" s="77" t="b">
        <v>0</v>
      </c>
      <c r="AJ1343" s="77"/>
      <c r="AK1343" s="77"/>
      <c r="AL1343" s="77"/>
      <c r="AM1343" s="77"/>
      <c r="AN1343" s="77"/>
      <c r="AO1343" s="77"/>
      <c r="AP1343" s="77"/>
      <c r="AQ1343" s="77"/>
      <c r="AR1343" s="77"/>
      <c r="AS1343" s="77"/>
      <c r="AT1343" s="77"/>
      <c r="AU1343" s="77"/>
      <c r="AV1343" s="80" t="str">
        <f>HYPERLINK("https://pbs.twimg.com/profile_images/1041725334431952896/uaPtkYSp_normal.jpg")</f>
        <v>https://pbs.twimg.com/profile_images/1041725334431952896/uaPtkYSp_normal.jpg</v>
      </c>
      <c r="AW1343" s="82" t="s">
        <v>14438</v>
      </c>
      <c r="AX1343" s="82" t="s">
        <v>14438</v>
      </c>
      <c r="AY1343" s="77"/>
      <c r="AZ1343" s="82" t="s">
        <v>17385</v>
      </c>
      <c r="BA1343" s="82" t="s">
        <v>17385</v>
      </c>
      <c r="BB1343" s="82" t="s">
        <v>17385</v>
      </c>
      <c r="BC1343" s="82" t="s">
        <v>14438</v>
      </c>
      <c r="BD1343" s="82" t="s">
        <v>17550</v>
      </c>
      <c r="BE1343" s="77"/>
      <c r="BF1343" s="77"/>
      <c r="BG1343" s="77"/>
      <c r="BH1343" s="77"/>
      <c r="BI1343" s="77"/>
    </row>
    <row r="1344" spans="1:61" x14ac:dyDescent="0.25">
      <c r="A1344" s="62" t="s">
        <v>425</v>
      </c>
      <c r="B1344" s="62" t="s">
        <v>425</v>
      </c>
      <c r="C1344" s="63"/>
      <c r="D1344" s="64"/>
      <c r="E1344" s="65"/>
      <c r="F1344" s="66"/>
      <c r="G1344" s="63"/>
      <c r="H1344" s="67"/>
      <c r="I1344" s="68"/>
      <c r="J1344" s="68"/>
      <c r="K1344" s="32"/>
      <c r="L1344" s="75">
        <v>1344</v>
      </c>
      <c r="M1344" s="75"/>
      <c r="N1344" s="70"/>
      <c r="O1344" s="77" t="s">
        <v>179</v>
      </c>
      <c r="P1344" s="79">
        <v>45082.725405092591</v>
      </c>
      <c r="Q1344" s="77" t="s">
        <v>2135</v>
      </c>
      <c r="R1344" s="77">
        <v>0</v>
      </c>
      <c r="S1344" s="77">
        <v>1</v>
      </c>
      <c r="T1344" s="77">
        <v>0</v>
      </c>
      <c r="U1344" s="77">
        <v>0</v>
      </c>
      <c r="V1344" s="77">
        <v>252</v>
      </c>
      <c r="W1344" s="82" t="s">
        <v>5478</v>
      </c>
      <c r="X1344" s="80" t="str">
        <f>HYPERLINK("https://www.seudinheiro.com/2023/empresas/homem-aranha-atraves-do-aranhaverso-bilheterias-vingadores-ultimato-criticas-miql/")</f>
        <v>https://www.seudinheiro.com/2023/empresas/homem-aranha-atraves-do-aranhaverso-bilheterias-vingadores-ultimato-criticas-miql/</v>
      </c>
      <c r="Y1344" s="77" t="s">
        <v>7102</v>
      </c>
      <c r="Z1344" s="77"/>
      <c r="AA1344" s="77"/>
      <c r="AB1344" s="77"/>
      <c r="AC1344" s="82" t="s">
        <v>8255</v>
      </c>
      <c r="AD1344" s="77" t="s">
        <v>8278</v>
      </c>
      <c r="AE1344" s="80" t="str">
        <f>HYPERLINK("https://twitter.com/seu_dinheiro_br/status/1665771610333216769")</f>
        <v>https://twitter.com/seu_dinheiro_br/status/1665771610333216769</v>
      </c>
      <c r="AF1344" s="79">
        <v>45082.725405092591</v>
      </c>
      <c r="AG1344" s="85">
        <v>45082</v>
      </c>
      <c r="AH1344" s="82" t="s">
        <v>9490</v>
      </c>
      <c r="AI1344" s="77" t="b">
        <v>0</v>
      </c>
      <c r="AJ1344" s="77"/>
      <c r="AK1344" s="77"/>
      <c r="AL1344" s="77"/>
      <c r="AM1344" s="77"/>
      <c r="AN1344" s="77"/>
      <c r="AO1344" s="77"/>
      <c r="AP1344" s="77"/>
      <c r="AQ1344" s="77"/>
      <c r="AR1344" s="77"/>
      <c r="AS1344" s="77"/>
      <c r="AT1344" s="77"/>
      <c r="AU1344" s="77"/>
      <c r="AV1344" s="80" t="str">
        <f>HYPERLINK("https://pbs.twimg.com/profile_images/1041725334431952896/uaPtkYSp_normal.jpg")</f>
        <v>https://pbs.twimg.com/profile_images/1041725334431952896/uaPtkYSp_normal.jpg</v>
      </c>
      <c r="AW1344" s="82" t="s">
        <v>14439</v>
      </c>
      <c r="AX1344" s="82" t="s">
        <v>14439</v>
      </c>
      <c r="AY1344" s="77"/>
      <c r="AZ1344" s="82" t="s">
        <v>17385</v>
      </c>
      <c r="BA1344" s="82" t="s">
        <v>17385</v>
      </c>
      <c r="BB1344" s="82" t="s">
        <v>17385</v>
      </c>
      <c r="BC1344" s="82" t="s">
        <v>14439</v>
      </c>
      <c r="BD1344" s="82" t="s">
        <v>17550</v>
      </c>
      <c r="BE1344" s="77"/>
      <c r="BF1344" s="77"/>
      <c r="BG1344" s="77"/>
      <c r="BH1344" s="77"/>
      <c r="BI1344" s="77"/>
    </row>
    <row r="1345" spans="1:61" x14ac:dyDescent="0.25">
      <c r="A1345" s="62" t="s">
        <v>426</v>
      </c>
      <c r="B1345" s="62" t="s">
        <v>426</v>
      </c>
      <c r="C1345" s="63"/>
      <c r="D1345" s="64"/>
      <c r="E1345" s="65"/>
      <c r="F1345" s="66"/>
      <c r="G1345" s="63"/>
      <c r="H1345" s="67"/>
      <c r="I1345" s="68"/>
      <c r="J1345" s="68"/>
      <c r="K1345" s="32"/>
      <c r="L1345" s="75">
        <v>1345</v>
      </c>
      <c r="M1345" s="75"/>
      <c r="N1345" s="70"/>
      <c r="O1345" s="77" t="s">
        <v>179</v>
      </c>
      <c r="P1345" s="79">
        <v>45061.698807870373</v>
      </c>
      <c r="Q1345" s="77" t="s">
        <v>2136</v>
      </c>
      <c r="R1345" s="77">
        <v>0</v>
      </c>
      <c r="S1345" s="77">
        <v>2</v>
      </c>
      <c r="T1345" s="77">
        <v>0</v>
      </c>
      <c r="U1345" s="77">
        <v>0</v>
      </c>
      <c r="V1345" s="77">
        <v>110</v>
      </c>
      <c r="W1345" s="82" t="s">
        <v>5648</v>
      </c>
      <c r="X1345" s="80" t="str">
        <f>HYPERLINK("https://www.istoedinheiro.com.br/azul-reverte-lucro-e-tem-prejuizo-liquido-de-r-3222-milhoes-no-1o-trimestre/")</f>
        <v>https://www.istoedinheiro.com.br/azul-reverte-lucro-e-tem-prejuizo-liquido-de-r-3222-milhoes-no-1o-trimestre/</v>
      </c>
      <c r="Y1345" s="77" t="s">
        <v>7053</v>
      </c>
      <c r="Z1345" s="77"/>
      <c r="AA1345" s="77"/>
      <c r="AB1345" s="77"/>
      <c r="AC1345" s="82" t="s">
        <v>8232</v>
      </c>
      <c r="AD1345" s="77" t="s">
        <v>8278</v>
      </c>
      <c r="AE1345" s="80" t="str">
        <f>HYPERLINK("https://twitter.com/motorshow_ed3/status/1658151829077733385")</f>
        <v>https://twitter.com/motorshow_ed3/status/1658151829077733385</v>
      </c>
      <c r="AF1345" s="79">
        <v>45061.698807870373</v>
      </c>
      <c r="AG1345" s="85">
        <v>45061</v>
      </c>
      <c r="AH1345" s="82" t="s">
        <v>9491</v>
      </c>
      <c r="AI1345" s="77" t="b">
        <v>0</v>
      </c>
      <c r="AJ1345" s="77"/>
      <c r="AK1345" s="77"/>
      <c r="AL1345" s="77"/>
      <c r="AM1345" s="77"/>
      <c r="AN1345" s="77"/>
      <c r="AO1345" s="77"/>
      <c r="AP1345" s="77"/>
      <c r="AQ1345" s="77"/>
      <c r="AR1345" s="77"/>
      <c r="AS1345" s="77"/>
      <c r="AT1345" s="77"/>
      <c r="AU1345" s="77"/>
      <c r="AV1345" s="80" t="str">
        <f>HYPERLINK("https://pbs.twimg.com/profile_images/927616517377810432/VhTC5JuQ_normal.jpg")</f>
        <v>https://pbs.twimg.com/profile_images/927616517377810432/VhTC5JuQ_normal.jpg</v>
      </c>
      <c r="AW1345" s="82" t="s">
        <v>14440</v>
      </c>
      <c r="AX1345" s="82" t="s">
        <v>14440</v>
      </c>
      <c r="AY1345" s="77"/>
      <c r="AZ1345" s="82" t="s">
        <v>17385</v>
      </c>
      <c r="BA1345" s="82" t="s">
        <v>17385</v>
      </c>
      <c r="BB1345" s="82" t="s">
        <v>17385</v>
      </c>
      <c r="BC1345" s="82" t="s">
        <v>14440</v>
      </c>
      <c r="BD1345" s="77">
        <v>116852305</v>
      </c>
      <c r="BE1345" s="77"/>
      <c r="BF1345" s="77"/>
      <c r="BG1345" s="77"/>
      <c r="BH1345" s="77"/>
      <c r="BI1345" s="77"/>
    </row>
    <row r="1346" spans="1:61" x14ac:dyDescent="0.25">
      <c r="A1346" s="62" t="s">
        <v>427</v>
      </c>
      <c r="B1346" s="62" t="s">
        <v>427</v>
      </c>
      <c r="C1346" s="63"/>
      <c r="D1346" s="64"/>
      <c r="E1346" s="65"/>
      <c r="F1346" s="66"/>
      <c r="G1346" s="63"/>
      <c r="H1346" s="67"/>
      <c r="I1346" s="68"/>
      <c r="J1346" s="68"/>
      <c r="K1346" s="32"/>
      <c r="L1346" s="75">
        <v>1346</v>
      </c>
      <c r="M1346" s="75"/>
      <c r="N1346" s="70"/>
      <c r="O1346" s="77" t="s">
        <v>179</v>
      </c>
      <c r="P1346" s="79">
        <v>45098.023287037038</v>
      </c>
      <c r="Q1346" s="77" t="s">
        <v>2137</v>
      </c>
      <c r="R1346" s="77">
        <v>0</v>
      </c>
      <c r="S1346" s="77">
        <v>2</v>
      </c>
      <c r="T1346" s="77">
        <v>0</v>
      </c>
      <c r="U1346" s="77">
        <v>0</v>
      </c>
      <c r="V1346" s="77">
        <v>58</v>
      </c>
      <c r="W1346" s="82" t="s">
        <v>5649</v>
      </c>
      <c r="X1346" s="77"/>
      <c r="Y1346" s="77"/>
      <c r="Z1346" s="77"/>
      <c r="AA1346" s="77" t="s">
        <v>7676</v>
      </c>
      <c r="AB1346" s="77" t="s">
        <v>8225</v>
      </c>
      <c r="AC1346" s="82" t="s">
        <v>8232</v>
      </c>
      <c r="AD1346" s="77" t="s">
        <v>8278</v>
      </c>
      <c r="AE1346" s="80" t="str">
        <f>HYPERLINK("https://twitter.com/financad/status/1671315377236705281")</f>
        <v>https://twitter.com/financad/status/1671315377236705281</v>
      </c>
      <c r="AF1346" s="79">
        <v>45098.023287037038</v>
      </c>
      <c r="AG1346" s="85">
        <v>45098</v>
      </c>
      <c r="AH1346" s="82" t="s">
        <v>9492</v>
      </c>
      <c r="AI1346" s="77" t="b">
        <v>0</v>
      </c>
      <c r="AJ1346" s="77"/>
      <c r="AK1346" s="77"/>
      <c r="AL1346" s="77"/>
      <c r="AM1346" s="77"/>
      <c r="AN1346" s="77"/>
      <c r="AO1346" s="77"/>
      <c r="AP1346" s="77"/>
      <c r="AQ1346" s="77" t="s">
        <v>12561</v>
      </c>
      <c r="AR1346" s="77"/>
      <c r="AS1346" s="77"/>
      <c r="AT1346" s="77"/>
      <c r="AU1346" s="77"/>
      <c r="AV1346" s="80" t="str">
        <f>HYPERLINK("https://pbs.twimg.com/media/FzG0TGpXoAAOtyN.jpg")</f>
        <v>https://pbs.twimg.com/media/FzG0TGpXoAAOtyN.jpg</v>
      </c>
      <c r="AW1346" s="82" t="s">
        <v>14441</v>
      </c>
      <c r="AX1346" s="82" t="s">
        <v>14441</v>
      </c>
      <c r="AY1346" s="77"/>
      <c r="AZ1346" s="82" t="s">
        <v>17385</v>
      </c>
      <c r="BA1346" s="82" t="s">
        <v>17385</v>
      </c>
      <c r="BB1346" s="82" t="s">
        <v>17385</v>
      </c>
      <c r="BC1346" s="82" t="s">
        <v>14441</v>
      </c>
      <c r="BD1346" s="82" t="s">
        <v>17551</v>
      </c>
      <c r="BE1346" s="77"/>
      <c r="BF1346" s="77"/>
      <c r="BG1346" s="77"/>
      <c r="BH1346" s="77"/>
      <c r="BI1346" s="77"/>
    </row>
    <row r="1347" spans="1:61" x14ac:dyDescent="0.25">
      <c r="A1347" s="62" t="s">
        <v>427</v>
      </c>
      <c r="B1347" s="62" t="s">
        <v>427</v>
      </c>
      <c r="C1347" s="63"/>
      <c r="D1347" s="64"/>
      <c r="E1347" s="65"/>
      <c r="F1347" s="66"/>
      <c r="G1347" s="63"/>
      <c r="H1347" s="67"/>
      <c r="I1347" s="68"/>
      <c r="J1347" s="68"/>
      <c r="K1347" s="32"/>
      <c r="L1347" s="75">
        <v>1347</v>
      </c>
      <c r="M1347" s="75"/>
      <c r="N1347" s="70"/>
      <c r="O1347" s="77" t="s">
        <v>179</v>
      </c>
      <c r="P1347" s="79">
        <v>45138.750775462962</v>
      </c>
      <c r="Q1347" s="77" t="s">
        <v>2138</v>
      </c>
      <c r="R1347" s="77">
        <v>0</v>
      </c>
      <c r="S1347" s="77">
        <v>1</v>
      </c>
      <c r="T1347" s="77">
        <v>0</v>
      </c>
      <c r="U1347" s="77">
        <v>0</v>
      </c>
      <c r="V1347" s="77">
        <v>40</v>
      </c>
      <c r="W1347" s="82" t="s">
        <v>5650</v>
      </c>
      <c r="X1347" s="77"/>
      <c r="Y1347" s="77"/>
      <c r="Z1347" s="77"/>
      <c r="AA1347" s="77" t="s">
        <v>7677</v>
      </c>
      <c r="AB1347" s="77" t="s">
        <v>8225</v>
      </c>
      <c r="AC1347" s="82" t="s">
        <v>8232</v>
      </c>
      <c r="AD1347" s="77" t="s">
        <v>8278</v>
      </c>
      <c r="AE1347" s="80" t="str">
        <f>HYPERLINK("https://twitter.com/financad/status/1686074527569100806")</f>
        <v>https://twitter.com/financad/status/1686074527569100806</v>
      </c>
      <c r="AF1347" s="79">
        <v>45138.750775462962</v>
      </c>
      <c r="AG1347" s="85">
        <v>45138</v>
      </c>
      <c r="AH1347" s="82" t="s">
        <v>9493</v>
      </c>
      <c r="AI1347" s="77" t="b">
        <v>0</v>
      </c>
      <c r="AJ1347" s="77"/>
      <c r="AK1347" s="77"/>
      <c r="AL1347" s="77"/>
      <c r="AM1347" s="77"/>
      <c r="AN1347" s="77"/>
      <c r="AO1347" s="77"/>
      <c r="AP1347" s="77"/>
      <c r="AQ1347" s="77" t="s">
        <v>12562</v>
      </c>
      <c r="AR1347" s="77"/>
      <c r="AS1347" s="77"/>
      <c r="AT1347" s="77"/>
      <c r="AU1347" s="77"/>
      <c r="AV1347" s="80" t="str">
        <f>HYPERLINK("https://pbs.twimg.com/media/F2YjqVGXQAcN_fT.jpg")</f>
        <v>https://pbs.twimg.com/media/F2YjqVGXQAcN_fT.jpg</v>
      </c>
      <c r="AW1347" s="82" t="s">
        <v>14442</v>
      </c>
      <c r="AX1347" s="82" t="s">
        <v>14442</v>
      </c>
      <c r="AY1347" s="77"/>
      <c r="AZ1347" s="82" t="s">
        <v>17385</v>
      </c>
      <c r="BA1347" s="82" t="s">
        <v>17385</v>
      </c>
      <c r="BB1347" s="82" t="s">
        <v>17385</v>
      </c>
      <c r="BC1347" s="82" t="s">
        <v>14442</v>
      </c>
      <c r="BD1347" s="82" t="s">
        <v>17551</v>
      </c>
      <c r="BE1347" s="77"/>
      <c r="BF1347" s="77"/>
      <c r="BG1347" s="77"/>
      <c r="BH1347" s="77"/>
      <c r="BI1347" s="77"/>
    </row>
    <row r="1348" spans="1:61" x14ac:dyDescent="0.25">
      <c r="A1348" s="62" t="s">
        <v>428</v>
      </c>
      <c r="B1348" s="62" t="s">
        <v>428</v>
      </c>
      <c r="C1348" s="63"/>
      <c r="D1348" s="64"/>
      <c r="E1348" s="65"/>
      <c r="F1348" s="66"/>
      <c r="G1348" s="63"/>
      <c r="H1348" s="67"/>
      <c r="I1348" s="68"/>
      <c r="J1348" s="68"/>
      <c r="K1348" s="32"/>
      <c r="L1348" s="75">
        <v>1348</v>
      </c>
      <c r="M1348" s="75"/>
      <c r="N1348" s="70"/>
      <c r="O1348" s="77" t="s">
        <v>179</v>
      </c>
      <c r="P1348" s="79">
        <v>45051.807754629626</v>
      </c>
      <c r="Q1348" s="77" t="s">
        <v>2139</v>
      </c>
      <c r="R1348" s="77">
        <v>0</v>
      </c>
      <c r="S1348" s="77">
        <v>0</v>
      </c>
      <c r="T1348" s="77">
        <v>0</v>
      </c>
      <c r="U1348" s="77">
        <v>0</v>
      </c>
      <c r="V1348" s="77">
        <v>32</v>
      </c>
      <c r="W1348" s="82" t="s">
        <v>4982</v>
      </c>
      <c r="X1348" s="77"/>
      <c r="Y1348" s="77"/>
      <c r="Z1348" s="77"/>
      <c r="AA1348" s="77" t="s">
        <v>7678</v>
      </c>
      <c r="AB1348" s="77" t="s">
        <v>8225</v>
      </c>
      <c r="AC1348" s="82" t="s">
        <v>8234</v>
      </c>
      <c r="AD1348" s="77" t="s">
        <v>8278</v>
      </c>
      <c r="AE1348" s="80" t="str">
        <f>HYPERLINK("https://twitter.com/vnc_005/status/1654567429752725504")</f>
        <v>https://twitter.com/vnc_005/status/1654567429752725504</v>
      </c>
      <c r="AF1348" s="79">
        <v>45051.807754629626</v>
      </c>
      <c r="AG1348" s="85">
        <v>45051</v>
      </c>
      <c r="AH1348" s="82" t="s">
        <v>9494</v>
      </c>
      <c r="AI1348" s="77" t="b">
        <v>0</v>
      </c>
      <c r="AJ1348" s="77"/>
      <c r="AK1348" s="77"/>
      <c r="AL1348" s="77"/>
      <c r="AM1348" s="77"/>
      <c r="AN1348" s="77"/>
      <c r="AO1348" s="77"/>
      <c r="AP1348" s="77"/>
      <c r="AQ1348" s="77" t="s">
        <v>12563</v>
      </c>
      <c r="AR1348" s="77"/>
      <c r="AS1348" s="77"/>
      <c r="AT1348" s="77"/>
      <c r="AU1348" s="77"/>
      <c r="AV1348" s="80" t="str">
        <f>HYPERLINK("https://pbs.twimg.com/media/FvY0TwRWcAAvyZQ.jpg")</f>
        <v>https://pbs.twimg.com/media/FvY0TwRWcAAvyZQ.jpg</v>
      </c>
      <c r="AW1348" s="82" t="s">
        <v>14443</v>
      </c>
      <c r="AX1348" s="82" t="s">
        <v>14443</v>
      </c>
      <c r="AY1348" s="77"/>
      <c r="AZ1348" s="82" t="s">
        <v>17385</v>
      </c>
      <c r="BA1348" s="82" t="s">
        <v>17385</v>
      </c>
      <c r="BB1348" s="82" t="s">
        <v>17385</v>
      </c>
      <c r="BC1348" s="82" t="s">
        <v>14443</v>
      </c>
      <c r="BD1348" s="82" t="s">
        <v>17552</v>
      </c>
      <c r="BE1348" s="77"/>
      <c r="BF1348" s="77"/>
      <c r="BG1348" s="77"/>
      <c r="BH1348" s="77"/>
      <c r="BI1348" s="77"/>
    </row>
    <row r="1349" spans="1:61" x14ac:dyDescent="0.25">
      <c r="A1349" s="62" t="s">
        <v>429</v>
      </c>
      <c r="B1349" s="62" t="s">
        <v>429</v>
      </c>
      <c r="C1349" s="63"/>
      <c r="D1349" s="64"/>
      <c r="E1349" s="65"/>
      <c r="F1349" s="66"/>
      <c r="G1349" s="63"/>
      <c r="H1349" s="67"/>
      <c r="I1349" s="68"/>
      <c r="J1349" s="68"/>
      <c r="K1349" s="32"/>
      <c r="L1349" s="75">
        <v>1349</v>
      </c>
      <c r="M1349" s="75"/>
      <c r="N1349" s="70"/>
      <c r="O1349" s="77" t="s">
        <v>179</v>
      </c>
      <c r="P1349" s="79">
        <v>45073.969861111109</v>
      </c>
      <c r="Q1349" s="77" t="s">
        <v>2140</v>
      </c>
      <c r="R1349" s="77">
        <v>0</v>
      </c>
      <c r="S1349" s="77">
        <v>0</v>
      </c>
      <c r="T1349" s="77">
        <v>0</v>
      </c>
      <c r="U1349" s="77">
        <v>0</v>
      </c>
      <c r="V1349" s="77">
        <v>16</v>
      </c>
      <c r="W1349" s="82" t="s">
        <v>5651</v>
      </c>
      <c r="X1349" s="77"/>
      <c r="Y1349" s="77"/>
      <c r="Z1349" s="77"/>
      <c r="AA1349" s="77" t="s">
        <v>7679</v>
      </c>
      <c r="AB1349" s="77" t="s">
        <v>8225</v>
      </c>
      <c r="AC1349" s="82" t="s">
        <v>8234</v>
      </c>
      <c r="AD1349" s="77" t="s">
        <v>8278</v>
      </c>
      <c r="AE1349" s="80" t="str">
        <f>HYPERLINK("https://twitter.com/pittertrader/status/1662598709396357121")</f>
        <v>https://twitter.com/pittertrader/status/1662598709396357121</v>
      </c>
      <c r="AF1349" s="79">
        <v>45073.969861111109</v>
      </c>
      <c r="AG1349" s="85">
        <v>45073</v>
      </c>
      <c r="AH1349" s="82" t="s">
        <v>9495</v>
      </c>
      <c r="AI1349" s="77" t="b">
        <v>0</v>
      </c>
      <c r="AJ1349" s="77" t="s">
        <v>12003</v>
      </c>
      <c r="AK1349" s="77" t="s">
        <v>12007</v>
      </c>
      <c r="AL1349" s="77" t="s">
        <v>12010</v>
      </c>
      <c r="AM1349" s="77" t="s">
        <v>12022</v>
      </c>
      <c r="AN1349" s="77" t="s">
        <v>12035</v>
      </c>
      <c r="AO1349" s="77" t="s">
        <v>12048</v>
      </c>
      <c r="AP1349" s="77" t="s">
        <v>12051</v>
      </c>
      <c r="AQ1349" s="77" t="s">
        <v>12564</v>
      </c>
      <c r="AR1349" s="77"/>
      <c r="AS1349" s="77"/>
      <c r="AT1349" s="77"/>
      <c r="AU1349" s="77"/>
      <c r="AV1349" s="80" t="str">
        <f>HYPERLINK("https://pbs.twimg.com/media/FxK8tyjWwAAVjT2.jpg")</f>
        <v>https://pbs.twimg.com/media/FxK8tyjWwAAVjT2.jpg</v>
      </c>
      <c r="AW1349" s="82" t="s">
        <v>14444</v>
      </c>
      <c r="AX1349" s="82" t="s">
        <v>14444</v>
      </c>
      <c r="AY1349" s="77"/>
      <c r="AZ1349" s="82" t="s">
        <v>17385</v>
      </c>
      <c r="BA1349" s="82" t="s">
        <v>17385</v>
      </c>
      <c r="BB1349" s="82" t="s">
        <v>17385</v>
      </c>
      <c r="BC1349" s="82" t="s">
        <v>14444</v>
      </c>
      <c r="BD1349" s="82" t="s">
        <v>17553</v>
      </c>
      <c r="BE1349" s="77"/>
      <c r="BF1349" s="77"/>
      <c r="BG1349" s="77"/>
      <c r="BH1349" s="77"/>
      <c r="BI1349" s="77"/>
    </row>
    <row r="1350" spans="1:61" x14ac:dyDescent="0.25">
      <c r="A1350" s="62" t="s">
        <v>429</v>
      </c>
      <c r="B1350" s="62" t="s">
        <v>429</v>
      </c>
      <c r="C1350" s="63"/>
      <c r="D1350" s="64"/>
      <c r="E1350" s="65"/>
      <c r="F1350" s="66"/>
      <c r="G1350" s="63"/>
      <c r="H1350" s="67"/>
      <c r="I1350" s="68"/>
      <c r="J1350" s="68"/>
      <c r="K1350" s="32"/>
      <c r="L1350" s="75">
        <v>1350</v>
      </c>
      <c r="M1350" s="75"/>
      <c r="N1350" s="70"/>
      <c r="O1350" s="77" t="s">
        <v>179</v>
      </c>
      <c r="P1350" s="79">
        <v>45073.968946759262</v>
      </c>
      <c r="Q1350" s="77" t="s">
        <v>2141</v>
      </c>
      <c r="R1350" s="77">
        <v>0</v>
      </c>
      <c r="S1350" s="77">
        <v>0</v>
      </c>
      <c r="T1350" s="77">
        <v>0</v>
      </c>
      <c r="U1350" s="77">
        <v>0</v>
      </c>
      <c r="V1350" s="77">
        <v>31</v>
      </c>
      <c r="W1350" s="82" t="s">
        <v>5652</v>
      </c>
      <c r="X1350" s="77"/>
      <c r="Y1350" s="77"/>
      <c r="Z1350" s="77"/>
      <c r="AA1350" s="77" t="s">
        <v>7680</v>
      </c>
      <c r="AB1350" s="77" t="s">
        <v>8225</v>
      </c>
      <c r="AC1350" s="82" t="s">
        <v>8234</v>
      </c>
      <c r="AD1350" s="77" t="s">
        <v>8278</v>
      </c>
      <c r="AE1350" s="80" t="str">
        <f>HYPERLINK("https://twitter.com/pittertrader/status/1662598379644280832")</f>
        <v>https://twitter.com/pittertrader/status/1662598379644280832</v>
      </c>
      <c r="AF1350" s="79">
        <v>45073.968946759262</v>
      </c>
      <c r="AG1350" s="85">
        <v>45073</v>
      </c>
      <c r="AH1350" s="82" t="s">
        <v>9496</v>
      </c>
      <c r="AI1350" s="77" t="b">
        <v>0</v>
      </c>
      <c r="AJ1350" s="77" t="s">
        <v>12003</v>
      </c>
      <c r="AK1350" s="77" t="s">
        <v>12007</v>
      </c>
      <c r="AL1350" s="77" t="s">
        <v>12010</v>
      </c>
      <c r="AM1350" s="77" t="s">
        <v>12022</v>
      </c>
      <c r="AN1350" s="77" t="s">
        <v>12035</v>
      </c>
      <c r="AO1350" s="77" t="s">
        <v>12048</v>
      </c>
      <c r="AP1350" s="77" t="s">
        <v>12051</v>
      </c>
      <c r="AQ1350" s="77" t="s">
        <v>12565</v>
      </c>
      <c r="AR1350" s="77"/>
      <c r="AS1350" s="77"/>
      <c r="AT1350" s="77"/>
      <c r="AU1350" s="77"/>
      <c r="AV1350" s="80" t="str">
        <f>HYPERLINK("https://pbs.twimg.com/media/FxK8ajIXwAAADki.jpg")</f>
        <v>https://pbs.twimg.com/media/FxK8ajIXwAAADki.jpg</v>
      </c>
      <c r="AW1350" s="82" t="s">
        <v>14445</v>
      </c>
      <c r="AX1350" s="82" t="s">
        <v>14445</v>
      </c>
      <c r="AY1350" s="77"/>
      <c r="AZ1350" s="82" t="s">
        <v>17385</v>
      </c>
      <c r="BA1350" s="82" t="s">
        <v>17385</v>
      </c>
      <c r="BB1350" s="82" t="s">
        <v>17385</v>
      </c>
      <c r="BC1350" s="82" t="s">
        <v>14445</v>
      </c>
      <c r="BD1350" s="82" t="s">
        <v>17553</v>
      </c>
      <c r="BE1350" s="77"/>
      <c r="BF1350" s="77"/>
      <c r="BG1350" s="77"/>
      <c r="BH1350" s="77"/>
      <c r="BI1350" s="77"/>
    </row>
    <row r="1351" spans="1:61" x14ac:dyDescent="0.25">
      <c r="A1351" s="62" t="s">
        <v>430</v>
      </c>
      <c r="B1351" s="62" t="s">
        <v>430</v>
      </c>
      <c r="C1351" s="63"/>
      <c r="D1351" s="64"/>
      <c r="E1351" s="65"/>
      <c r="F1351" s="66"/>
      <c r="G1351" s="63"/>
      <c r="H1351" s="67"/>
      <c r="I1351" s="68"/>
      <c r="J1351" s="68"/>
      <c r="K1351" s="32"/>
      <c r="L1351" s="75">
        <v>1351</v>
      </c>
      <c r="M1351" s="75"/>
      <c r="N1351" s="70"/>
      <c r="O1351" s="77" t="s">
        <v>179</v>
      </c>
      <c r="P1351" s="79">
        <v>45048.582604166666</v>
      </c>
      <c r="Q1351" s="77" t="s">
        <v>2142</v>
      </c>
      <c r="R1351" s="77">
        <v>1</v>
      </c>
      <c r="S1351" s="77">
        <v>3</v>
      </c>
      <c r="T1351" s="77">
        <v>0</v>
      </c>
      <c r="U1351" s="77">
        <v>0</v>
      </c>
      <c r="V1351" s="77">
        <v>10</v>
      </c>
      <c r="W1351" s="82" t="s">
        <v>5653</v>
      </c>
      <c r="X1351" s="80" t="str">
        <f>HYPERLINK("https://moneymarkets.com.br/noticias/futuros-de-acoes-dos-eua-oscilam-antes-de-reuniao-do-fed/")</f>
        <v>https://moneymarkets.com.br/noticias/futuros-de-acoes-dos-eua-oscilam-antes-de-reuniao-do-fed/</v>
      </c>
      <c r="Y1351" s="77" t="s">
        <v>7053</v>
      </c>
      <c r="Z1351" s="77"/>
      <c r="AA1351" s="77"/>
      <c r="AB1351" s="77"/>
      <c r="AC1351" s="82" t="s">
        <v>8261</v>
      </c>
      <c r="AD1351" s="77" t="s">
        <v>8278</v>
      </c>
      <c r="AE1351" s="80" t="str">
        <f>HYPERLINK("https://twitter.com/moneymarkets_br/status/1653398677052956676")</f>
        <v>https://twitter.com/moneymarkets_br/status/1653398677052956676</v>
      </c>
      <c r="AF1351" s="79">
        <v>45048.582604166666</v>
      </c>
      <c r="AG1351" s="85">
        <v>45048</v>
      </c>
      <c r="AH1351" s="82" t="s">
        <v>9497</v>
      </c>
      <c r="AI1351" s="77" t="b">
        <v>0</v>
      </c>
      <c r="AJ1351" s="77"/>
      <c r="AK1351" s="77"/>
      <c r="AL1351" s="77"/>
      <c r="AM1351" s="77"/>
      <c r="AN1351" s="77"/>
      <c r="AO1351" s="77"/>
      <c r="AP1351" s="77"/>
      <c r="AQ1351" s="77"/>
      <c r="AR1351" s="77"/>
      <c r="AS1351" s="77"/>
      <c r="AT1351" s="77"/>
      <c r="AU1351" s="77"/>
      <c r="AV1351" s="80" t="str">
        <f>HYPERLINK("https://pbs.twimg.com/profile_images/1650837777649418241/jnGKtY2v_normal.jpg")</f>
        <v>https://pbs.twimg.com/profile_images/1650837777649418241/jnGKtY2v_normal.jpg</v>
      </c>
      <c r="AW1351" s="82" t="s">
        <v>14446</v>
      </c>
      <c r="AX1351" s="82" t="s">
        <v>14446</v>
      </c>
      <c r="AY1351" s="77"/>
      <c r="AZ1351" s="82" t="s">
        <v>17385</v>
      </c>
      <c r="BA1351" s="82" t="s">
        <v>17385</v>
      </c>
      <c r="BB1351" s="82" t="s">
        <v>17385</v>
      </c>
      <c r="BC1351" s="82" t="s">
        <v>14446</v>
      </c>
      <c r="BD1351" s="82" t="s">
        <v>17554</v>
      </c>
      <c r="BE1351" s="77"/>
      <c r="BF1351" s="77"/>
      <c r="BG1351" s="77"/>
      <c r="BH1351" s="77"/>
      <c r="BI1351" s="77"/>
    </row>
    <row r="1352" spans="1:61" x14ac:dyDescent="0.25">
      <c r="A1352" s="62" t="s">
        <v>430</v>
      </c>
      <c r="B1352" s="62" t="s">
        <v>430</v>
      </c>
      <c r="C1352" s="63"/>
      <c r="D1352" s="64"/>
      <c r="E1352" s="65"/>
      <c r="F1352" s="66"/>
      <c r="G1352" s="63"/>
      <c r="H1352" s="67"/>
      <c r="I1352" s="68"/>
      <c r="J1352" s="68"/>
      <c r="K1352" s="32"/>
      <c r="L1352" s="75">
        <v>1352</v>
      </c>
      <c r="M1352" s="75"/>
      <c r="N1352" s="70"/>
      <c r="O1352" s="77" t="s">
        <v>179</v>
      </c>
      <c r="P1352" s="79">
        <v>45064.560011574074</v>
      </c>
      <c r="Q1352" s="77" t="s">
        <v>2143</v>
      </c>
      <c r="R1352" s="77">
        <v>0</v>
      </c>
      <c r="S1352" s="77">
        <v>2</v>
      </c>
      <c r="T1352" s="77">
        <v>0</v>
      </c>
      <c r="U1352" s="77">
        <v>1</v>
      </c>
      <c r="V1352" s="77">
        <v>19</v>
      </c>
      <c r="W1352" s="82" t="s">
        <v>5654</v>
      </c>
      <c r="X1352" s="80" t="str">
        <f>HYPERLINK("https://buff.ly/3MG2jag")</f>
        <v>https://buff.ly/3MG2jag</v>
      </c>
      <c r="Y1352" s="77" t="s">
        <v>7082</v>
      </c>
      <c r="Z1352" s="77"/>
      <c r="AA1352" s="77" t="s">
        <v>7681</v>
      </c>
      <c r="AB1352" s="77" t="s">
        <v>8225</v>
      </c>
      <c r="AC1352" s="82" t="s">
        <v>8252</v>
      </c>
      <c r="AD1352" s="77" t="s">
        <v>8278</v>
      </c>
      <c r="AE1352" s="80" t="str">
        <f>HYPERLINK("https://twitter.com/moneymarkets_br/status/1659188693012299776")</f>
        <v>https://twitter.com/moneymarkets_br/status/1659188693012299776</v>
      </c>
      <c r="AF1352" s="79">
        <v>45064.560011574074</v>
      </c>
      <c r="AG1352" s="85">
        <v>45064</v>
      </c>
      <c r="AH1352" s="82" t="s">
        <v>9498</v>
      </c>
      <c r="AI1352" s="77" t="b">
        <v>0</v>
      </c>
      <c r="AJ1352" s="77"/>
      <c r="AK1352" s="77"/>
      <c r="AL1352" s="77"/>
      <c r="AM1352" s="77"/>
      <c r="AN1352" s="77"/>
      <c r="AO1352" s="77"/>
      <c r="AP1352" s="77"/>
      <c r="AQ1352" s="77" t="s">
        <v>12566</v>
      </c>
      <c r="AR1352" s="77"/>
      <c r="AS1352" s="77"/>
      <c r="AT1352" s="77"/>
      <c r="AU1352" s="77"/>
      <c r="AV1352" s="80" t="str">
        <f>HYPERLINK("https://pbs.twimg.com/media/FwafUotXoAAywZs.jpg")</f>
        <v>https://pbs.twimg.com/media/FwafUotXoAAywZs.jpg</v>
      </c>
      <c r="AW1352" s="82" t="s">
        <v>14447</v>
      </c>
      <c r="AX1352" s="82" t="s">
        <v>14447</v>
      </c>
      <c r="AY1352" s="77"/>
      <c r="AZ1352" s="82" t="s">
        <v>17385</v>
      </c>
      <c r="BA1352" s="82" t="s">
        <v>17385</v>
      </c>
      <c r="BB1352" s="82" t="s">
        <v>17385</v>
      </c>
      <c r="BC1352" s="82" t="s">
        <v>14447</v>
      </c>
      <c r="BD1352" s="82" t="s">
        <v>17554</v>
      </c>
      <c r="BE1352" s="77"/>
      <c r="BF1352" s="77"/>
      <c r="BG1352" s="77"/>
      <c r="BH1352" s="77"/>
      <c r="BI1352" s="77"/>
    </row>
    <row r="1353" spans="1:61" x14ac:dyDescent="0.25">
      <c r="A1353" s="62" t="s">
        <v>430</v>
      </c>
      <c r="B1353" s="62" t="s">
        <v>430</v>
      </c>
      <c r="C1353" s="63"/>
      <c r="D1353" s="64"/>
      <c r="E1353" s="65"/>
      <c r="F1353" s="66"/>
      <c r="G1353" s="63"/>
      <c r="H1353" s="67"/>
      <c r="I1353" s="68"/>
      <c r="J1353" s="68"/>
      <c r="K1353" s="32"/>
      <c r="L1353" s="75">
        <v>1353</v>
      </c>
      <c r="M1353" s="75"/>
      <c r="N1353" s="70"/>
      <c r="O1353" s="77" t="s">
        <v>179</v>
      </c>
      <c r="P1353" s="79">
        <v>45076.943009259259</v>
      </c>
      <c r="Q1353" s="77" t="s">
        <v>2144</v>
      </c>
      <c r="R1353" s="77">
        <v>2</v>
      </c>
      <c r="S1353" s="77">
        <v>3</v>
      </c>
      <c r="T1353" s="77">
        <v>0</v>
      </c>
      <c r="U1353" s="77">
        <v>0</v>
      </c>
      <c r="V1353" s="77">
        <v>28</v>
      </c>
      <c r="W1353" s="82" t="s">
        <v>5655</v>
      </c>
      <c r="X1353" s="80" t="str">
        <f>HYPERLINK("https://buff.ly/3ovxsE5")</f>
        <v>https://buff.ly/3ovxsE5</v>
      </c>
      <c r="Y1353" s="77" t="s">
        <v>7082</v>
      </c>
      <c r="Z1353" s="77"/>
      <c r="AA1353" s="77"/>
      <c r="AB1353" s="77"/>
      <c r="AC1353" s="82" t="s">
        <v>8252</v>
      </c>
      <c r="AD1353" s="77" t="s">
        <v>8278</v>
      </c>
      <c r="AE1353" s="80" t="str">
        <f>HYPERLINK("https://twitter.com/moneymarkets_br/status/1663676141326983168")</f>
        <v>https://twitter.com/moneymarkets_br/status/1663676141326983168</v>
      </c>
      <c r="AF1353" s="79">
        <v>45076.943009259259</v>
      </c>
      <c r="AG1353" s="85">
        <v>45076</v>
      </c>
      <c r="AH1353" s="82" t="s">
        <v>9499</v>
      </c>
      <c r="AI1353" s="77" t="b">
        <v>0</v>
      </c>
      <c r="AJ1353" s="77"/>
      <c r="AK1353" s="77"/>
      <c r="AL1353" s="77"/>
      <c r="AM1353" s="77"/>
      <c r="AN1353" s="77"/>
      <c r="AO1353" s="77"/>
      <c r="AP1353" s="77"/>
      <c r="AQ1353" s="77"/>
      <c r="AR1353" s="77"/>
      <c r="AS1353" s="77"/>
      <c r="AT1353" s="77"/>
      <c r="AU1353" s="77"/>
      <c r="AV1353" s="80" t="str">
        <f>HYPERLINK("https://pbs.twimg.com/profile_images/1650837777649418241/jnGKtY2v_normal.jpg")</f>
        <v>https://pbs.twimg.com/profile_images/1650837777649418241/jnGKtY2v_normal.jpg</v>
      </c>
      <c r="AW1353" s="82" t="s">
        <v>14448</v>
      </c>
      <c r="AX1353" s="82" t="s">
        <v>14448</v>
      </c>
      <c r="AY1353" s="77"/>
      <c r="AZ1353" s="82" t="s">
        <v>17385</v>
      </c>
      <c r="BA1353" s="82" t="s">
        <v>17385</v>
      </c>
      <c r="BB1353" s="82" t="s">
        <v>17385</v>
      </c>
      <c r="BC1353" s="82" t="s">
        <v>14448</v>
      </c>
      <c r="BD1353" s="82" t="s">
        <v>17554</v>
      </c>
      <c r="BE1353" s="77"/>
      <c r="BF1353" s="77"/>
      <c r="BG1353" s="77"/>
      <c r="BH1353" s="77"/>
      <c r="BI1353" s="77"/>
    </row>
    <row r="1354" spans="1:61" x14ac:dyDescent="0.25">
      <c r="A1354" s="62" t="s">
        <v>430</v>
      </c>
      <c r="B1354" s="62" t="s">
        <v>430</v>
      </c>
      <c r="C1354" s="63"/>
      <c r="D1354" s="64"/>
      <c r="E1354" s="65"/>
      <c r="F1354" s="66"/>
      <c r="G1354" s="63"/>
      <c r="H1354" s="67"/>
      <c r="I1354" s="68"/>
      <c r="J1354" s="68"/>
      <c r="K1354" s="32"/>
      <c r="L1354" s="75">
        <v>1354</v>
      </c>
      <c r="M1354" s="75"/>
      <c r="N1354" s="70"/>
      <c r="O1354" s="77" t="s">
        <v>179</v>
      </c>
      <c r="P1354" s="79">
        <v>45043.889826388891</v>
      </c>
      <c r="Q1354" s="77" t="s">
        <v>2145</v>
      </c>
      <c r="R1354" s="77">
        <v>1</v>
      </c>
      <c r="S1354" s="77">
        <v>1</v>
      </c>
      <c r="T1354" s="77">
        <v>0</v>
      </c>
      <c r="U1354" s="77">
        <v>0</v>
      </c>
      <c r="V1354" s="77">
        <v>9</v>
      </c>
      <c r="W1354" s="82" t="s">
        <v>5656</v>
      </c>
      <c r="X1354" s="80" t="str">
        <f>HYPERLINK("https://moneymarkets.com.br/noticias/us-politics/wall-street-tem-maior-ganho-em-meses-e-rendimentos-do-tesouro-sobem-com-resultados-solidos/")</f>
        <v>https://moneymarkets.com.br/noticias/us-politics/wall-street-tem-maior-ganho-em-meses-e-rendimentos-do-tesouro-sobem-com-resultados-solidos/</v>
      </c>
      <c r="Y1354" s="77" t="s">
        <v>7053</v>
      </c>
      <c r="Z1354" s="77"/>
      <c r="AA1354" s="77"/>
      <c r="AB1354" s="77"/>
      <c r="AC1354" s="82" t="s">
        <v>8261</v>
      </c>
      <c r="AD1354" s="77" t="s">
        <v>8278</v>
      </c>
      <c r="AE1354" s="80" t="str">
        <f>HYPERLINK("https://twitter.com/moneymarkets_br/status/1651698067467382784")</f>
        <v>https://twitter.com/moneymarkets_br/status/1651698067467382784</v>
      </c>
      <c r="AF1354" s="79">
        <v>45043.889826388891</v>
      </c>
      <c r="AG1354" s="85">
        <v>45043</v>
      </c>
      <c r="AH1354" s="82" t="s">
        <v>9500</v>
      </c>
      <c r="AI1354" s="77" t="b">
        <v>0</v>
      </c>
      <c r="AJ1354" s="77"/>
      <c r="AK1354" s="77"/>
      <c r="AL1354" s="77"/>
      <c r="AM1354" s="77"/>
      <c r="AN1354" s="77"/>
      <c r="AO1354" s="77"/>
      <c r="AP1354" s="77"/>
      <c r="AQ1354" s="77"/>
      <c r="AR1354" s="77"/>
      <c r="AS1354" s="77"/>
      <c r="AT1354" s="77"/>
      <c r="AU1354" s="77"/>
      <c r="AV1354" s="80" t="str">
        <f>HYPERLINK("https://pbs.twimg.com/profile_images/1650837777649418241/jnGKtY2v_normal.jpg")</f>
        <v>https://pbs.twimg.com/profile_images/1650837777649418241/jnGKtY2v_normal.jpg</v>
      </c>
      <c r="AW1354" s="82" t="s">
        <v>14449</v>
      </c>
      <c r="AX1354" s="82" t="s">
        <v>14449</v>
      </c>
      <c r="AY1354" s="77"/>
      <c r="AZ1354" s="82" t="s">
        <v>17385</v>
      </c>
      <c r="BA1354" s="82" t="s">
        <v>17385</v>
      </c>
      <c r="BB1354" s="82" t="s">
        <v>17385</v>
      </c>
      <c r="BC1354" s="82" t="s">
        <v>14449</v>
      </c>
      <c r="BD1354" s="82" t="s">
        <v>17554</v>
      </c>
      <c r="BE1354" s="77"/>
      <c r="BF1354" s="77"/>
      <c r="BG1354" s="77"/>
      <c r="BH1354" s="77"/>
      <c r="BI1354" s="77"/>
    </row>
    <row r="1355" spans="1:61" x14ac:dyDescent="0.25">
      <c r="A1355" s="62" t="s">
        <v>430</v>
      </c>
      <c r="B1355" s="62" t="s">
        <v>430</v>
      </c>
      <c r="C1355" s="63"/>
      <c r="D1355" s="64"/>
      <c r="E1355" s="65"/>
      <c r="F1355" s="66"/>
      <c r="G1355" s="63"/>
      <c r="H1355" s="67"/>
      <c r="I1355" s="68"/>
      <c r="J1355" s="68"/>
      <c r="K1355" s="32"/>
      <c r="L1355" s="75">
        <v>1355</v>
      </c>
      <c r="M1355" s="75"/>
      <c r="N1355" s="70"/>
      <c r="O1355" s="77" t="s">
        <v>179</v>
      </c>
      <c r="P1355" s="79">
        <v>45071.806134259263</v>
      </c>
      <c r="Q1355" s="77" t="s">
        <v>2146</v>
      </c>
      <c r="R1355" s="77">
        <v>1</v>
      </c>
      <c r="S1355" s="77">
        <v>3</v>
      </c>
      <c r="T1355" s="77">
        <v>0</v>
      </c>
      <c r="U1355" s="77">
        <v>0</v>
      </c>
      <c r="V1355" s="77">
        <v>22</v>
      </c>
      <c r="W1355" s="82" t="s">
        <v>5657</v>
      </c>
      <c r="X1355" s="80" t="str">
        <f>HYPERLINK("https://buff.ly/43jq2Ta")</f>
        <v>https://buff.ly/43jq2Ta</v>
      </c>
      <c r="Y1355" s="77" t="s">
        <v>7082</v>
      </c>
      <c r="Z1355" s="77"/>
      <c r="AA1355" s="77" t="s">
        <v>7682</v>
      </c>
      <c r="AB1355" s="77" t="s">
        <v>8225</v>
      </c>
      <c r="AC1355" s="82" t="s">
        <v>8252</v>
      </c>
      <c r="AD1355" s="77" t="s">
        <v>8278</v>
      </c>
      <c r="AE1355" s="80" t="str">
        <f>HYPERLINK("https://twitter.com/moneymarkets_br/status/1661814599178485803")</f>
        <v>https://twitter.com/moneymarkets_br/status/1661814599178485803</v>
      </c>
      <c r="AF1355" s="79">
        <v>45071.806134259263</v>
      </c>
      <c r="AG1355" s="85">
        <v>45071</v>
      </c>
      <c r="AH1355" s="82" t="s">
        <v>9501</v>
      </c>
      <c r="AI1355" s="77" t="b">
        <v>0</v>
      </c>
      <c r="AJ1355" s="77"/>
      <c r="AK1355" s="77"/>
      <c r="AL1355" s="77"/>
      <c r="AM1355" s="77"/>
      <c r="AN1355" s="77"/>
      <c r="AO1355" s="77"/>
      <c r="AP1355" s="77"/>
      <c r="AQ1355" s="77" t="s">
        <v>12567</v>
      </c>
      <c r="AR1355" s="77"/>
      <c r="AS1355" s="77"/>
      <c r="AT1355" s="77"/>
      <c r="AU1355" s="77"/>
      <c r="AV1355" s="80" t="str">
        <f>HYPERLINK("https://pbs.twimg.com/media/Fw_zkcwXgAEGxNT.jpg")</f>
        <v>https://pbs.twimg.com/media/Fw_zkcwXgAEGxNT.jpg</v>
      </c>
      <c r="AW1355" s="82" t="s">
        <v>14450</v>
      </c>
      <c r="AX1355" s="82" t="s">
        <v>14450</v>
      </c>
      <c r="AY1355" s="77"/>
      <c r="AZ1355" s="82" t="s">
        <v>17385</v>
      </c>
      <c r="BA1355" s="82" t="s">
        <v>17385</v>
      </c>
      <c r="BB1355" s="82" t="s">
        <v>17385</v>
      </c>
      <c r="BC1355" s="82" t="s">
        <v>14450</v>
      </c>
      <c r="BD1355" s="82" t="s">
        <v>17554</v>
      </c>
      <c r="BE1355" s="77"/>
      <c r="BF1355" s="77"/>
      <c r="BG1355" s="77"/>
      <c r="BH1355" s="77"/>
      <c r="BI1355" s="77"/>
    </row>
    <row r="1356" spans="1:61" x14ac:dyDescent="0.25">
      <c r="A1356" s="62" t="s">
        <v>430</v>
      </c>
      <c r="B1356" s="62" t="s">
        <v>430</v>
      </c>
      <c r="C1356" s="63"/>
      <c r="D1356" s="64"/>
      <c r="E1356" s="65"/>
      <c r="F1356" s="66"/>
      <c r="G1356" s="63"/>
      <c r="H1356" s="67"/>
      <c r="I1356" s="68"/>
      <c r="J1356" s="68"/>
      <c r="K1356" s="32"/>
      <c r="L1356" s="75">
        <v>1356</v>
      </c>
      <c r="M1356" s="75"/>
      <c r="N1356" s="70"/>
      <c r="O1356" s="77" t="s">
        <v>179</v>
      </c>
      <c r="P1356" s="79">
        <v>45068.785983796297</v>
      </c>
      <c r="Q1356" s="77" t="s">
        <v>2147</v>
      </c>
      <c r="R1356" s="77">
        <v>0</v>
      </c>
      <c r="S1356" s="77">
        <v>3</v>
      </c>
      <c r="T1356" s="77">
        <v>0</v>
      </c>
      <c r="U1356" s="77">
        <v>1</v>
      </c>
      <c r="V1356" s="77">
        <v>58</v>
      </c>
      <c r="W1356" s="82" t="s">
        <v>5658</v>
      </c>
      <c r="X1356" s="80" t="str">
        <f>HYPERLINK("https://buff.ly/3MkeA2A")</f>
        <v>https://buff.ly/3MkeA2A</v>
      </c>
      <c r="Y1356" s="77" t="s">
        <v>7082</v>
      </c>
      <c r="Z1356" s="77"/>
      <c r="AA1356" s="77"/>
      <c r="AB1356" s="77"/>
      <c r="AC1356" s="82" t="s">
        <v>8252</v>
      </c>
      <c r="AD1356" s="77" t="s">
        <v>8278</v>
      </c>
      <c r="AE1356" s="80" t="str">
        <f>HYPERLINK("https://twitter.com/moneymarkets_br/status/1660720136905433107")</f>
        <v>https://twitter.com/moneymarkets_br/status/1660720136905433107</v>
      </c>
      <c r="AF1356" s="79">
        <v>45068.785983796297</v>
      </c>
      <c r="AG1356" s="85">
        <v>45068</v>
      </c>
      <c r="AH1356" s="82" t="s">
        <v>9502</v>
      </c>
      <c r="AI1356" s="77" t="b">
        <v>0</v>
      </c>
      <c r="AJ1356" s="77"/>
      <c r="AK1356" s="77"/>
      <c r="AL1356" s="77"/>
      <c r="AM1356" s="77"/>
      <c r="AN1356" s="77"/>
      <c r="AO1356" s="77"/>
      <c r="AP1356" s="77"/>
      <c r="AQ1356" s="77"/>
      <c r="AR1356" s="77"/>
      <c r="AS1356" s="77"/>
      <c r="AT1356" s="77"/>
      <c r="AU1356" s="77"/>
      <c r="AV1356" s="80" t="str">
        <f>HYPERLINK("https://pbs.twimg.com/profile_images/1650837777649418241/jnGKtY2v_normal.jpg")</f>
        <v>https://pbs.twimg.com/profile_images/1650837777649418241/jnGKtY2v_normal.jpg</v>
      </c>
      <c r="AW1356" s="82" t="s">
        <v>14451</v>
      </c>
      <c r="AX1356" s="82" t="s">
        <v>14451</v>
      </c>
      <c r="AY1356" s="77"/>
      <c r="AZ1356" s="82" t="s">
        <v>17385</v>
      </c>
      <c r="BA1356" s="82" t="s">
        <v>17385</v>
      </c>
      <c r="BB1356" s="82" t="s">
        <v>17385</v>
      </c>
      <c r="BC1356" s="82" t="s">
        <v>14451</v>
      </c>
      <c r="BD1356" s="82" t="s">
        <v>17554</v>
      </c>
      <c r="BE1356" s="77"/>
      <c r="BF1356" s="77"/>
      <c r="BG1356" s="77"/>
      <c r="BH1356" s="77"/>
      <c r="BI1356" s="77"/>
    </row>
    <row r="1357" spans="1:61" x14ac:dyDescent="0.25">
      <c r="A1357" s="62" t="s">
        <v>430</v>
      </c>
      <c r="B1357" s="62" t="s">
        <v>430</v>
      </c>
      <c r="C1357" s="63"/>
      <c r="D1357" s="64"/>
      <c r="E1357" s="65"/>
      <c r="F1357" s="66"/>
      <c r="G1357" s="63"/>
      <c r="H1357" s="67"/>
      <c r="I1357" s="68"/>
      <c r="J1357" s="68"/>
      <c r="K1357" s="32"/>
      <c r="L1357" s="75">
        <v>1357</v>
      </c>
      <c r="M1357" s="75"/>
      <c r="N1357" s="70"/>
      <c r="O1357" s="77" t="s">
        <v>179</v>
      </c>
      <c r="P1357" s="79">
        <v>45065.457002314812</v>
      </c>
      <c r="Q1357" s="77" t="s">
        <v>2148</v>
      </c>
      <c r="R1357" s="77">
        <v>0</v>
      </c>
      <c r="S1357" s="77">
        <v>1</v>
      </c>
      <c r="T1357" s="77">
        <v>0</v>
      </c>
      <c r="U1357" s="77">
        <v>0</v>
      </c>
      <c r="V1357" s="77">
        <v>18</v>
      </c>
      <c r="W1357" s="82" t="s">
        <v>5659</v>
      </c>
      <c r="X1357" s="80" t="str">
        <f>HYPERLINK("https://buff.ly/3MbC4qo")</f>
        <v>https://buff.ly/3MbC4qo</v>
      </c>
      <c r="Y1357" s="77" t="s">
        <v>7082</v>
      </c>
      <c r="Z1357" s="77"/>
      <c r="AA1357" s="77"/>
      <c r="AB1357" s="77"/>
      <c r="AC1357" s="82" t="s">
        <v>8252</v>
      </c>
      <c r="AD1357" s="77" t="s">
        <v>8278</v>
      </c>
      <c r="AE1357" s="80" t="str">
        <f>HYPERLINK("https://twitter.com/moneymarkets_br/status/1659513752931164160")</f>
        <v>https://twitter.com/moneymarkets_br/status/1659513752931164160</v>
      </c>
      <c r="AF1357" s="79">
        <v>45065.457002314812</v>
      </c>
      <c r="AG1357" s="85">
        <v>45065</v>
      </c>
      <c r="AH1357" s="82" t="s">
        <v>9503</v>
      </c>
      <c r="AI1357" s="77" t="b">
        <v>0</v>
      </c>
      <c r="AJ1357" s="77"/>
      <c r="AK1357" s="77"/>
      <c r="AL1357" s="77"/>
      <c r="AM1357" s="77"/>
      <c r="AN1357" s="77"/>
      <c r="AO1357" s="77"/>
      <c r="AP1357" s="77"/>
      <c r="AQ1357" s="77"/>
      <c r="AR1357" s="77"/>
      <c r="AS1357" s="77"/>
      <c r="AT1357" s="77"/>
      <c r="AU1357" s="77"/>
      <c r="AV1357" s="80" t="str">
        <f>HYPERLINK("https://pbs.twimg.com/profile_images/1650837777649418241/jnGKtY2v_normal.jpg")</f>
        <v>https://pbs.twimg.com/profile_images/1650837777649418241/jnGKtY2v_normal.jpg</v>
      </c>
      <c r="AW1357" s="82" t="s">
        <v>14452</v>
      </c>
      <c r="AX1357" s="82" t="s">
        <v>14452</v>
      </c>
      <c r="AY1357" s="77"/>
      <c r="AZ1357" s="82" t="s">
        <v>17385</v>
      </c>
      <c r="BA1357" s="82" t="s">
        <v>17385</v>
      </c>
      <c r="BB1357" s="82" t="s">
        <v>17385</v>
      </c>
      <c r="BC1357" s="82" t="s">
        <v>14452</v>
      </c>
      <c r="BD1357" s="82" t="s">
        <v>17554</v>
      </c>
      <c r="BE1357" s="77"/>
      <c r="BF1357" s="77"/>
      <c r="BG1357" s="77"/>
      <c r="BH1357" s="77"/>
      <c r="BI1357" s="77"/>
    </row>
    <row r="1358" spans="1:61" x14ac:dyDescent="0.25">
      <c r="A1358" s="62" t="s">
        <v>431</v>
      </c>
      <c r="B1358" s="62" t="s">
        <v>431</v>
      </c>
      <c r="C1358" s="63"/>
      <c r="D1358" s="64"/>
      <c r="E1358" s="65"/>
      <c r="F1358" s="66"/>
      <c r="G1358" s="63"/>
      <c r="H1358" s="67"/>
      <c r="I1358" s="68"/>
      <c r="J1358" s="68"/>
      <c r="K1358" s="32"/>
      <c r="L1358" s="75">
        <v>1358</v>
      </c>
      <c r="M1358" s="75"/>
      <c r="N1358" s="70"/>
      <c r="O1358" s="77" t="s">
        <v>179</v>
      </c>
      <c r="P1358" s="79">
        <v>45141.823125000003</v>
      </c>
      <c r="Q1358" s="77" t="s">
        <v>2149</v>
      </c>
      <c r="R1358" s="77">
        <v>0</v>
      </c>
      <c r="S1358" s="77">
        <v>0</v>
      </c>
      <c r="T1358" s="77">
        <v>0</v>
      </c>
      <c r="U1358" s="77">
        <v>0</v>
      </c>
      <c r="V1358" s="77">
        <v>108</v>
      </c>
      <c r="W1358" s="82" t="s">
        <v>5660</v>
      </c>
      <c r="X1358" s="80" t="str">
        <f>HYPERLINK("https://euqueroinvestir.com/acoes/veja-5-acoes-que-pagam-dividendos-acima-selic")</f>
        <v>https://euqueroinvestir.com/acoes/veja-5-acoes-que-pagam-dividendos-acima-selic</v>
      </c>
      <c r="Y1358" s="77" t="s">
        <v>7103</v>
      </c>
      <c r="Z1358" s="77"/>
      <c r="AA1358" s="77"/>
      <c r="AB1358" s="77"/>
      <c r="AC1358" s="82" t="s">
        <v>8232</v>
      </c>
      <c r="AD1358" s="77" t="s">
        <v>8278</v>
      </c>
      <c r="AE1358" s="80" t="str">
        <f>HYPERLINK("https://twitter.com/euqueroinvestir/status/1687187908195737601")</f>
        <v>https://twitter.com/euqueroinvestir/status/1687187908195737601</v>
      </c>
      <c r="AF1358" s="79">
        <v>45141.823125000003</v>
      </c>
      <c r="AG1358" s="85">
        <v>45141</v>
      </c>
      <c r="AH1358" s="82" t="s">
        <v>9504</v>
      </c>
      <c r="AI1358" s="77" t="b">
        <v>0</v>
      </c>
      <c r="AJ1358" s="77"/>
      <c r="AK1358" s="77"/>
      <c r="AL1358" s="77"/>
      <c r="AM1358" s="77"/>
      <c r="AN1358" s="77"/>
      <c r="AO1358" s="77"/>
      <c r="AP1358" s="77"/>
      <c r="AQ1358" s="77"/>
      <c r="AR1358" s="77"/>
      <c r="AS1358" s="77"/>
      <c r="AT1358" s="77"/>
      <c r="AU1358" s="77"/>
      <c r="AV1358" s="80" t="str">
        <f>HYPERLINK("https://pbs.twimg.com/profile_images/1678560901010452480/AKRnhp2X_normal.jpg")</f>
        <v>https://pbs.twimg.com/profile_images/1678560901010452480/AKRnhp2X_normal.jpg</v>
      </c>
      <c r="AW1358" s="82" t="s">
        <v>14453</v>
      </c>
      <c r="AX1358" s="82" t="s">
        <v>14453</v>
      </c>
      <c r="AY1358" s="77"/>
      <c r="AZ1358" s="82" t="s">
        <v>17385</v>
      </c>
      <c r="BA1358" s="82" t="s">
        <v>17385</v>
      </c>
      <c r="BB1358" s="82" t="s">
        <v>17385</v>
      </c>
      <c r="BC1358" s="82" t="s">
        <v>14453</v>
      </c>
      <c r="BD1358" s="77">
        <v>2421006511</v>
      </c>
      <c r="BE1358" s="77"/>
      <c r="BF1358" s="77"/>
      <c r="BG1358" s="77"/>
      <c r="BH1358" s="77"/>
      <c r="BI1358" s="77"/>
    </row>
    <row r="1359" spans="1:61" x14ac:dyDescent="0.25">
      <c r="A1359" s="62" t="s">
        <v>432</v>
      </c>
      <c r="B1359" s="62" t="s">
        <v>432</v>
      </c>
      <c r="C1359" s="63"/>
      <c r="D1359" s="64"/>
      <c r="E1359" s="65"/>
      <c r="F1359" s="66"/>
      <c r="G1359" s="63"/>
      <c r="H1359" s="67"/>
      <c r="I1359" s="68"/>
      <c r="J1359" s="68"/>
      <c r="K1359" s="32"/>
      <c r="L1359" s="75">
        <v>1359</v>
      </c>
      <c r="M1359" s="75"/>
      <c r="N1359" s="70"/>
      <c r="O1359" s="77" t="s">
        <v>179</v>
      </c>
      <c r="P1359" s="79">
        <v>45079.753622685188</v>
      </c>
      <c r="Q1359" s="77" t="s">
        <v>2150</v>
      </c>
      <c r="R1359" s="77">
        <v>0</v>
      </c>
      <c r="S1359" s="77">
        <v>0</v>
      </c>
      <c r="T1359" s="77">
        <v>0</v>
      </c>
      <c r="U1359" s="77">
        <v>0</v>
      </c>
      <c r="V1359" s="77">
        <v>40</v>
      </c>
      <c r="W1359" s="82" t="s">
        <v>5661</v>
      </c>
      <c r="X1359" s="77"/>
      <c r="Y1359" s="77"/>
      <c r="Z1359" s="77"/>
      <c r="AA1359" s="77" t="s">
        <v>7683</v>
      </c>
      <c r="AB1359" s="77" t="s">
        <v>8226</v>
      </c>
      <c r="AC1359" s="82" t="s">
        <v>8232</v>
      </c>
      <c r="AD1359" s="77" t="s">
        <v>8278</v>
      </c>
      <c r="AE1359" s="80" t="str">
        <f>HYPERLINK("https://twitter.com/paivapiovesan/status/1664694674978754561")</f>
        <v>https://twitter.com/paivapiovesan/status/1664694674978754561</v>
      </c>
      <c r="AF1359" s="79">
        <v>45079.753622685188</v>
      </c>
      <c r="AG1359" s="85">
        <v>45079</v>
      </c>
      <c r="AH1359" s="82" t="s">
        <v>9505</v>
      </c>
      <c r="AI1359" s="77" t="b">
        <v>0</v>
      </c>
      <c r="AJ1359" s="77"/>
      <c r="AK1359" s="77"/>
      <c r="AL1359" s="77"/>
      <c r="AM1359" s="77"/>
      <c r="AN1359" s="77"/>
      <c r="AO1359" s="77"/>
      <c r="AP1359" s="77"/>
      <c r="AQ1359" s="77" t="s">
        <v>12568</v>
      </c>
      <c r="AR1359" s="77"/>
      <c r="AS1359" s="77"/>
      <c r="AT1359" s="77"/>
      <c r="AU1359" s="77"/>
      <c r="AV1359" s="80" t="str">
        <f>HYPERLINK("https://pbs.twimg.com/media/Fxou3DDXsAQwdrd.jpg")</f>
        <v>https://pbs.twimg.com/media/Fxou3DDXsAQwdrd.jpg</v>
      </c>
      <c r="AW1359" s="82" t="s">
        <v>14454</v>
      </c>
      <c r="AX1359" s="82" t="s">
        <v>14454</v>
      </c>
      <c r="AY1359" s="77"/>
      <c r="AZ1359" s="82" t="s">
        <v>17385</v>
      </c>
      <c r="BA1359" s="82" t="s">
        <v>17385</v>
      </c>
      <c r="BB1359" s="82" t="s">
        <v>17385</v>
      </c>
      <c r="BC1359" s="82" t="s">
        <v>14454</v>
      </c>
      <c r="BD1359" s="77">
        <v>43351877</v>
      </c>
      <c r="BE1359" s="77"/>
      <c r="BF1359" s="77"/>
      <c r="BG1359" s="77"/>
      <c r="BH1359" s="77"/>
      <c r="BI1359" s="77"/>
    </row>
    <row r="1360" spans="1:61" x14ac:dyDescent="0.25">
      <c r="A1360" s="62" t="s">
        <v>433</v>
      </c>
      <c r="B1360" s="62" t="s">
        <v>433</v>
      </c>
      <c r="C1360" s="63"/>
      <c r="D1360" s="64"/>
      <c r="E1360" s="65"/>
      <c r="F1360" s="66"/>
      <c r="G1360" s="63"/>
      <c r="H1360" s="67"/>
      <c r="I1360" s="68"/>
      <c r="J1360" s="68"/>
      <c r="K1360" s="32"/>
      <c r="L1360" s="75">
        <v>1360</v>
      </c>
      <c r="M1360" s="75"/>
      <c r="N1360" s="70"/>
      <c r="O1360" s="77" t="s">
        <v>179</v>
      </c>
      <c r="P1360" s="79">
        <v>45183.554594907408</v>
      </c>
      <c r="Q1360" s="77" t="s">
        <v>2151</v>
      </c>
      <c r="R1360" s="77">
        <v>0</v>
      </c>
      <c r="S1360" s="77">
        <v>1</v>
      </c>
      <c r="T1360" s="77">
        <v>0</v>
      </c>
      <c r="U1360" s="77">
        <v>0</v>
      </c>
      <c r="V1360" s="77">
        <v>165</v>
      </c>
      <c r="W1360" s="82" t="s">
        <v>5662</v>
      </c>
      <c r="X1360" s="77"/>
      <c r="Y1360" s="77"/>
      <c r="Z1360" s="77"/>
      <c r="AA1360" s="77"/>
      <c r="AB1360" s="77"/>
      <c r="AC1360" s="82" t="s">
        <v>8232</v>
      </c>
      <c r="AD1360" s="77" t="s">
        <v>8278</v>
      </c>
      <c r="AE1360" s="80" t="str">
        <f>HYPERLINK("https://twitter.com/o_turco_/status/1702310885094457798")</f>
        <v>https://twitter.com/o_turco_/status/1702310885094457798</v>
      </c>
      <c r="AF1360" s="79">
        <v>45183.554594907408</v>
      </c>
      <c r="AG1360" s="85">
        <v>45183</v>
      </c>
      <c r="AH1360" s="82" t="s">
        <v>9506</v>
      </c>
      <c r="AI1360" s="77"/>
      <c r="AJ1360" s="77"/>
      <c r="AK1360" s="77"/>
      <c r="AL1360" s="77"/>
      <c r="AM1360" s="77"/>
      <c r="AN1360" s="77"/>
      <c r="AO1360" s="77"/>
      <c r="AP1360" s="77"/>
      <c r="AQ1360" s="77"/>
      <c r="AR1360" s="77"/>
      <c r="AS1360" s="77"/>
      <c r="AT1360" s="77"/>
      <c r="AU1360" s="77"/>
      <c r="AV1360" s="80" t="str">
        <f>HYPERLINK("https://pbs.twimg.com/profile_images/1701311218097541120/rDP8vMkB_normal.jpg")</f>
        <v>https://pbs.twimg.com/profile_images/1701311218097541120/rDP8vMkB_normal.jpg</v>
      </c>
      <c r="AW1360" s="82" t="s">
        <v>14455</v>
      </c>
      <c r="AX1360" s="82" t="s">
        <v>14455</v>
      </c>
      <c r="AY1360" s="77"/>
      <c r="AZ1360" s="82" t="s">
        <v>17385</v>
      </c>
      <c r="BA1360" s="82" t="s">
        <v>17385</v>
      </c>
      <c r="BB1360" s="82" t="s">
        <v>17385</v>
      </c>
      <c r="BC1360" s="82" t="s">
        <v>14455</v>
      </c>
      <c r="BD1360" s="82" t="s">
        <v>17555</v>
      </c>
      <c r="BE1360" s="77"/>
      <c r="BF1360" s="77"/>
      <c r="BG1360" s="77"/>
      <c r="BH1360" s="77"/>
      <c r="BI1360" s="77"/>
    </row>
    <row r="1361" spans="1:61" x14ac:dyDescent="0.25">
      <c r="A1361" s="62" t="s">
        <v>434</v>
      </c>
      <c r="B1361" s="62" t="s">
        <v>434</v>
      </c>
      <c r="C1361" s="63"/>
      <c r="D1361" s="64"/>
      <c r="E1361" s="65"/>
      <c r="F1361" s="66"/>
      <c r="G1361" s="63"/>
      <c r="H1361" s="67"/>
      <c r="I1361" s="68"/>
      <c r="J1361" s="68"/>
      <c r="K1361" s="32"/>
      <c r="L1361" s="75">
        <v>1361</v>
      </c>
      <c r="M1361" s="75"/>
      <c r="N1361" s="70"/>
      <c r="O1361" s="77" t="s">
        <v>179</v>
      </c>
      <c r="P1361" s="79">
        <v>45096.945081018515</v>
      </c>
      <c r="Q1361" s="77" t="s">
        <v>2152</v>
      </c>
      <c r="R1361" s="77">
        <v>1</v>
      </c>
      <c r="S1361" s="77">
        <v>1</v>
      </c>
      <c r="T1361" s="77">
        <v>1</v>
      </c>
      <c r="U1361" s="77">
        <v>0</v>
      </c>
      <c r="V1361" s="77">
        <v>2</v>
      </c>
      <c r="W1361" s="82" t="s">
        <v>5663</v>
      </c>
      <c r="X1361" s="80" t="str">
        <f>HYPERLINK("https://brasilparticipativo.presidencia.gov.br/processes/programas/f/2/proposals/867")</f>
        <v>https://brasilparticipativo.presidencia.gov.br/processes/programas/f/2/proposals/867</v>
      </c>
      <c r="Y1361" s="77" t="s">
        <v>7104</v>
      </c>
      <c r="Z1361" s="77"/>
      <c r="AA1361" s="77" t="s">
        <v>7684</v>
      </c>
      <c r="AB1361" s="77" t="s">
        <v>8225</v>
      </c>
      <c r="AC1361" s="82" t="s">
        <v>8234</v>
      </c>
      <c r="AD1361" s="77" t="s">
        <v>8278</v>
      </c>
      <c r="AE1361" s="80" t="str">
        <f>HYPERLINK("https://twitter.com/monicabrisolla/status/1670924649364897796")</f>
        <v>https://twitter.com/monicabrisolla/status/1670924649364897796</v>
      </c>
      <c r="AF1361" s="79">
        <v>45096.945081018515</v>
      </c>
      <c r="AG1361" s="85">
        <v>45096</v>
      </c>
      <c r="AH1361" s="82" t="s">
        <v>9507</v>
      </c>
      <c r="AI1361" s="77" t="b">
        <v>0</v>
      </c>
      <c r="AJ1361" s="77"/>
      <c r="AK1361" s="77"/>
      <c r="AL1361" s="77"/>
      <c r="AM1361" s="77"/>
      <c r="AN1361" s="77"/>
      <c r="AO1361" s="77"/>
      <c r="AP1361" s="77"/>
      <c r="AQ1361" s="77" t="s">
        <v>12569</v>
      </c>
      <c r="AR1361" s="77"/>
      <c r="AS1361" s="77"/>
      <c r="AT1361" s="77"/>
      <c r="AU1361" s="77"/>
      <c r="AV1361" s="80" t="str">
        <f>HYPERLINK("https://pbs.twimg.com/media/FzBRHRcXgAcdGju.jpg")</f>
        <v>https://pbs.twimg.com/media/FzBRHRcXgAcdGju.jpg</v>
      </c>
      <c r="AW1361" s="82" t="s">
        <v>14456</v>
      </c>
      <c r="AX1361" s="82" t="s">
        <v>14456</v>
      </c>
      <c r="AY1361" s="77"/>
      <c r="AZ1361" s="82" t="s">
        <v>17385</v>
      </c>
      <c r="BA1361" s="82" t="s">
        <v>17385</v>
      </c>
      <c r="BB1361" s="82" t="s">
        <v>17385</v>
      </c>
      <c r="BC1361" s="82" t="s">
        <v>14456</v>
      </c>
      <c r="BD1361" s="82" t="s">
        <v>17556</v>
      </c>
      <c r="BE1361" s="77"/>
      <c r="BF1361" s="77"/>
      <c r="BG1361" s="77"/>
      <c r="BH1361" s="77"/>
      <c r="BI1361" s="77"/>
    </row>
    <row r="1362" spans="1:61" x14ac:dyDescent="0.25">
      <c r="A1362" s="62" t="s">
        <v>435</v>
      </c>
      <c r="B1362" s="62" t="s">
        <v>764</v>
      </c>
      <c r="C1362" s="63"/>
      <c r="D1362" s="64"/>
      <c r="E1362" s="65"/>
      <c r="F1362" s="66"/>
      <c r="G1362" s="63"/>
      <c r="H1362" s="67"/>
      <c r="I1362" s="68"/>
      <c r="J1362" s="68"/>
      <c r="K1362" s="32"/>
      <c r="L1362" s="75">
        <v>1362</v>
      </c>
      <c r="M1362" s="75"/>
      <c r="N1362" s="70"/>
      <c r="O1362" s="77" t="s">
        <v>802</v>
      </c>
      <c r="P1362" s="79">
        <v>45140.773819444446</v>
      </c>
      <c r="Q1362" s="77" t="s">
        <v>2153</v>
      </c>
      <c r="R1362" s="77">
        <v>0</v>
      </c>
      <c r="S1362" s="77">
        <v>5</v>
      </c>
      <c r="T1362" s="77">
        <v>0</v>
      </c>
      <c r="U1362" s="77">
        <v>0</v>
      </c>
      <c r="V1362" s="77">
        <v>335</v>
      </c>
      <c r="W1362" s="82" t="s">
        <v>5664</v>
      </c>
      <c r="X1362" s="80" t="str">
        <f>HYPERLINK("https://flj.com.br/noticia/prio-prio3-reduz-custo-de-extracao-mas-resultado-do-2o-tri-deve-cair")</f>
        <v>https://flj.com.br/noticia/prio-prio3-reduz-custo-de-extracao-mas-resultado-do-2o-tri-deve-cair</v>
      </c>
      <c r="Y1362" s="77" t="s">
        <v>7053</v>
      </c>
      <c r="Z1362" s="77" t="s">
        <v>764</v>
      </c>
      <c r="AA1362" s="77"/>
      <c r="AB1362" s="77"/>
      <c r="AC1362" s="82" t="s">
        <v>8232</v>
      </c>
      <c r="AD1362" s="77" t="s">
        <v>8278</v>
      </c>
      <c r="AE1362" s="80" t="str">
        <f>HYPERLINK("https://twitter.com/leiaflj/status/1686807653807177740")</f>
        <v>https://twitter.com/leiaflj/status/1686807653807177740</v>
      </c>
      <c r="AF1362" s="79">
        <v>45140.773819444446</v>
      </c>
      <c r="AG1362" s="85">
        <v>45140</v>
      </c>
      <c r="AH1362" s="82" t="s">
        <v>9508</v>
      </c>
      <c r="AI1362" s="77" t="b">
        <v>0</v>
      </c>
      <c r="AJ1362" s="77"/>
      <c r="AK1362" s="77"/>
      <c r="AL1362" s="77"/>
      <c r="AM1362" s="77"/>
      <c r="AN1362" s="77"/>
      <c r="AO1362" s="77"/>
      <c r="AP1362" s="77"/>
      <c r="AQ1362" s="77"/>
      <c r="AR1362" s="77"/>
      <c r="AS1362" s="77"/>
      <c r="AT1362" s="77"/>
      <c r="AU1362" s="77"/>
      <c r="AV1362" s="80" t="str">
        <f>HYPERLINK("https://pbs.twimg.com/profile_images/1620068456165933060/TShADQck_normal.jpg")</f>
        <v>https://pbs.twimg.com/profile_images/1620068456165933060/TShADQck_normal.jpg</v>
      </c>
      <c r="AW1362" s="82" t="s">
        <v>14457</v>
      </c>
      <c r="AX1362" s="82" t="s">
        <v>14457</v>
      </c>
      <c r="AY1362" s="77"/>
      <c r="AZ1362" s="82" t="s">
        <v>17385</v>
      </c>
      <c r="BA1362" s="82" t="s">
        <v>17385</v>
      </c>
      <c r="BB1362" s="82" t="s">
        <v>17385</v>
      </c>
      <c r="BC1362" s="82" t="s">
        <v>14457</v>
      </c>
      <c r="BD1362" s="82" t="s">
        <v>17557</v>
      </c>
      <c r="BE1362" s="77"/>
      <c r="BF1362" s="77"/>
      <c r="BG1362" s="77"/>
      <c r="BH1362" s="77"/>
      <c r="BI1362" s="77"/>
    </row>
    <row r="1363" spans="1:61" x14ac:dyDescent="0.25">
      <c r="A1363" s="62" t="s">
        <v>436</v>
      </c>
      <c r="B1363" s="62" t="s">
        <v>436</v>
      </c>
      <c r="C1363" s="63"/>
      <c r="D1363" s="64"/>
      <c r="E1363" s="65"/>
      <c r="F1363" s="66"/>
      <c r="G1363" s="63"/>
      <c r="H1363" s="67"/>
      <c r="I1363" s="68"/>
      <c r="J1363" s="68"/>
      <c r="K1363" s="32"/>
      <c r="L1363" s="75">
        <v>1363</v>
      </c>
      <c r="M1363" s="75"/>
      <c r="N1363" s="70"/>
      <c r="O1363" s="77" t="s">
        <v>800</v>
      </c>
      <c r="P1363" s="79">
        <v>45059.646377314813</v>
      </c>
      <c r="Q1363" s="77" t="s">
        <v>2154</v>
      </c>
      <c r="R1363" s="77">
        <v>0</v>
      </c>
      <c r="S1363" s="77">
        <v>0</v>
      </c>
      <c r="T1363" s="77">
        <v>0</v>
      </c>
      <c r="U1363" s="77">
        <v>0</v>
      </c>
      <c r="V1363" s="77">
        <v>42</v>
      </c>
      <c r="W1363" s="82" t="s">
        <v>5665</v>
      </c>
      <c r="X1363" s="77"/>
      <c r="Y1363" s="77"/>
      <c r="Z1363" s="77"/>
      <c r="AA1363" s="77"/>
      <c r="AB1363" s="77"/>
      <c r="AC1363" s="82" t="s">
        <v>8232</v>
      </c>
      <c r="AD1363" s="77" t="s">
        <v>8278</v>
      </c>
      <c r="AE1363" s="80" t="str">
        <f>HYPERLINK("https://twitter.com/czambelo/status/1657408053233307650")</f>
        <v>https://twitter.com/czambelo/status/1657408053233307650</v>
      </c>
      <c r="AF1363" s="79">
        <v>45059.646377314813</v>
      </c>
      <c r="AG1363" s="85">
        <v>45059</v>
      </c>
      <c r="AH1363" s="82" t="s">
        <v>9509</v>
      </c>
      <c r="AI1363" s="77"/>
      <c r="AJ1363" s="77"/>
      <c r="AK1363" s="77"/>
      <c r="AL1363" s="77"/>
      <c r="AM1363" s="77"/>
      <c r="AN1363" s="77"/>
      <c r="AO1363" s="77"/>
      <c r="AP1363" s="77"/>
      <c r="AQ1363" s="77"/>
      <c r="AR1363" s="77"/>
      <c r="AS1363" s="77"/>
      <c r="AT1363" s="77"/>
      <c r="AU1363" s="77"/>
      <c r="AV1363" s="80" t="str">
        <f>HYPERLINK("https://pbs.twimg.com/profile_images/1124885071410888704/eth6sYa8_normal.png")</f>
        <v>https://pbs.twimg.com/profile_images/1124885071410888704/eth6sYa8_normal.png</v>
      </c>
      <c r="AW1363" s="82" t="s">
        <v>14458</v>
      </c>
      <c r="AX1363" s="82" t="s">
        <v>17172</v>
      </c>
      <c r="AY1363" s="82" t="s">
        <v>17346</v>
      </c>
      <c r="AZ1363" s="82" t="s">
        <v>17407</v>
      </c>
      <c r="BA1363" s="82" t="s">
        <v>17385</v>
      </c>
      <c r="BB1363" s="82" t="s">
        <v>17385</v>
      </c>
      <c r="BC1363" s="82" t="s">
        <v>17407</v>
      </c>
      <c r="BD1363" s="82" t="s">
        <v>17346</v>
      </c>
      <c r="BE1363" s="77"/>
      <c r="BF1363" s="77"/>
      <c r="BG1363" s="77"/>
      <c r="BH1363" s="77"/>
      <c r="BI1363" s="77"/>
    </row>
    <row r="1364" spans="1:61" x14ac:dyDescent="0.25">
      <c r="A1364" s="62" t="s">
        <v>437</v>
      </c>
      <c r="B1364" s="62" t="s">
        <v>437</v>
      </c>
      <c r="C1364" s="63"/>
      <c r="D1364" s="64"/>
      <c r="E1364" s="65"/>
      <c r="F1364" s="66"/>
      <c r="G1364" s="63"/>
      <c r="H1364" s="67"/>
      <c r="I1364" s="68"/>
      <c r="J1364" s="68"/>
      <c r="K1364" s="32"/>
      <c r="L1364" s="75">
        <v>1364</v>
      </c>
      <c r="M1364" s="75"/>
      <c r="N1364" s="70"/>
      <c r="O1364" s="77" t="s">
        <v>179</v>
      </c>
      <c r="P1364" s="79">
        <v>45146.902569444443</v>
      </c>
      <c r="Q1364" s="77" t="s">
        <v>2155</v>
      </c>
      <c r="R1364" s="77">
        <v>1</v>
      </c>
      <c r="S1364" s="77">
        <v>0</v>
      </c>
      <c r="T1364" s="77">
        <v>0</v>
      </c>
      <c r="U1364" s="77">
        <v>0</v>
      </c>
      <c r="V1364" s="77">
        <v>4</v>
      </c>
      <c r="W1364" s="82" t="s">
        <v>5666</v>
      </c>
      <c r="X1364" s="77"/>
      <c r="Y1364" s="77"/>
      <c r="Z1364" s="77"/>
      <c r="AA1364" s="77"/>
      <c r="AB1364" s="77"/>
      <c r="AC1364" s="82" t="s">
        <v>8232</v>
      </c>
      <c r="AD1364" s="77" t="s">
        <v>8278</v>
      </c>
      <c r="AE1364" s="80" t="str">
        <f>HYPERLINK("https://twitter.com/maribh2/status/1689028638430101504")</f>
        <v>https://twitter.com/maribh2/status/1689028638430101504</v>
      </c>
      <c r="AF1364" s="79">
        <v>45146.902569444443</v>
      </c>
      <c r="AG1364" s="85">
        <v>45146</v>
      </c>
      <c r="AH1364" s="82" t="s">
        <v>9510</v>
      </c>
      <c r="AI1364" s="77"/>
      <c r="AJ1364" s="77"/>
      <c r="AK1364" s="77"/>
      <c r="AL1364" s="77"/>
      <c r="AM1364" s="77"/>
      <c r="AN1364" s="77"/>
      <c r="AO1364" s="77"/>
      <c r="AP1364" s="77"/>
      <c r="AQ1364" s="77"/>
      <c r="AR1364" s="77"/>
      <c r="AS1364" s="77"/>
      <c r="AT1364" s="77"/>
      <c r="AU1364" s="77"/>
      <c r="AV1364" s="80" t="str">
        <f>HYPERLINK("https://pbs.twimg.com/profile_images/1135695260724711429/8kzWQQ8m_normal.jpg")</f>
        <v>https://pbs.twimg.com/profile_images/1135695260724711429/8kzWQQ8m_normal.jpg</v>
      </c>
      <c r="AW1364" s="82" t="s">
        <v>14459</v>
      </c>
      <c r="AX1364" s="82" t="s">
        <v>14459</v>
      </c>
      <c r="AY1364" s="77"/>
      <c r="AZ1364" s="82" t="s">
        <v>17385</v>
      </c>
      <c r="BA1364" s="82" t="s">
        <v>17385</v>
      </c>
      <c r="BB1364" s="82" t="s">
        <v>17385</v>
      </c>
      <c r="BC1364" s="82" t="s">
        <v>14459</v>
      </c>
      <c r="BD1364" s="77">
        <v>257906367</v>
      </c>
      <c r="BE1364" s="77"/>
      <c r="BF1364" s="77"/>
      <c r="BG1364" s="77"/>
      <c r="BH1364" s="77"/>
      <c r="BI1364" s="77"/>
    </row>
    <row r="1365" spans="1:61" x14ac:dyDescent="0.25">
      <c r="A1365" s="62" t="s">
        <v>438</v>
      </c>
      <c r="B1365" s="62" t="s">
        <v>438</v>
      </c>
      <c r="C1365" s="63"/>
      <c r="D1365" s="64"/>
      <c r="E1365" s="65"/>
      <c r="F1365" s="66"/>
      <c r="G1365" s="63"/>
      <c r="H1365" s="67"/>
      <c r="I1365" s="68"/>
      <c r="J1365" s="68"/>
      <c r="K1365" s="32"/>
      <c r="L1365" s="75">
        <v>1365</v>
      </c>
      <c r="M1365" s="75"/>
      <c r="N1365" s="70"/>
      <c r="O1365" s="77" t="s">
        <v>179</v>
      </c>
      <c r="P1365" s="79">
        <v>45061.451226851852</v>
      </c>
      <c r="Q1365" s="77" t="s">
        <v>2156</v>
      </c>
      <c r="R1365" s="77">
        <v>0</v>
      </c>
      <c r="S1365" s="77">
        <v>1</v>
      </c>
      <c r="T1365" s="77">
        <v>0</v>
      </c>
      <c r="U1365" s="77">
        <v>0</v>
      </c>
      <c r="V1365" s="77">
        <v>220</v>
      </c>
      <c r="W1365" s="82" t="s">
        <v>5667</v>
      </c>
      <c r="X1365" s="77"/>
      <c r="Y1365" s="77"/>
      <c r="Z1365" s="77"/>
      <c r="AA1365" s="77" t="s">
        <v>7685</v>
      </c>
      <c r="AB1365" s="77" t="s">
        <v>8225</v>
      </c>
      <c r="AC1365" s="82" t="s">
        <v>8234</v>
      </c>
      <c r="AD1365" s="77" t="s">
        <v>8278</v>
      </c>
      <c r="AE1365" s="80" t="str">
        <f>HYPERLINK("https://twitter.com/israelborba/status/1658062108825645057")</f>
        <v>https://twitter.com/israelborba/status/1658062108825645057</v>
      </c>
      <c r="AF1365" s="79">
        <v>45061.451226851852</v>
      </c>
      <c r="AG1365" s="85">
        <v>45061</v>
      </c>
      <c r="AH1365" s="82" t="s">
        <v>9511</v>
      </c>
      <c r="AI1365" s="77" t="b">
        <v>0</v>
      </c>
      <c r="AJ1365" s="77"/>
      <c r="AK1365" s="77"/>
      <c r="AL1365" s="77"/>
      <c r="AM1365" s="77"/>
      <c r="AN1365" s="77"/>
      <c r="AO1365" s="77"/>
      <c r="AP1365" s="77"/>
      <c r="AQ1365" s="77" t="s">
        <v>12570</v>
      </c>
      <c r="AR1365" s="77"/>
      <c r="AS1365" s="77"/>
      <c r="AT1365" s="77"/>
      <c r="AU1365" s="77"/>
      <c r="AV1365" s="80" t="str">
        <f>HYPERLINK("https://pbs.twimg.com/media/FwKes0pWIAEw2mq.jpg")</f>
        <v>https://pbs.twimg.com/media/FwKes0pWIAEw2mq.jpg</v>
      </c>
      <c r="AW1365" s="82" t="s">
        <v>14460</v>
      </c>
      <c r="AX1365" s="82" t="s">
        <v>14460</v>
      </c>
      <c r="AY1365" s="77"/>
      <c r="AZ1365" s="82" t="s">
        <v>17385</v>
      </c>
      <c r="BA1365" s="82" t="s">
        <v>17385</v>
      </c>
      <c r="BB1365" s="82" t="s">
        <v>17385</v>
      </c>
      <c r="BC1365" s="82" t="s">
        <v>14460</v>
      </c>
      <c r="BD1365" s="77">
        <v>2270546359</v>
      </c>
      <c r="BE1365" s="77"/>
      <c r="BF1365" s="77"/>
      <c r="BG1365" s="77"/>
      <c r="BH1365" s="77"/>
      <c r="BI1365" s="77"/>
    </row>
    <row r="1366" spans="1:61" x14ac:dyDescent="0.25">
      <c r="A1366" s="62" t="s">
        <v>439</v>
      </c>
      <c r="B1366" s="62" t="s">
        <v>439</v>
      </c>
      <c r="C1366" s="63"/>
      <c r="D1366" s="64"/>
      <c r="E1366" s="65"/>
      <c r="F1366" s="66"/>
      <c r="G1366" s="63"/>
      <c r="H1366" s="67"/>
      <c r="I1366" s="68"/>
      <c r="J1366" s="68"/>
      <c r="K1366" s="32"/>
      <c r="L1366" s="75">
        <v>1366</v>
      </c>
      <c r="M1366" s="75"/>
      <c r="N1366" s="70"/>
      <c r="O1366" s="77" t="s">
        <v>179</v>
      </c>
      <c r="P1366" s="79">
        <v>45077.417893518519</v>
      </c>
      <c r="Q1366" s="77" t="s">
        <v>2157</v>
      </c>
      <c r="R1366" s="77">
        <v>2</v>
      </c>
      <c r="S1366" s="77">
        <v>6</v>
      </c>
      <c r="T1366" s="77">
        <v>0</v>
      </c>
      <c r="U1366" s="77">
        <v>0</v>
      </c>
      <c r="V1366" s="77">
        <v>466</v>
      </c>
      <c r="W1366" s="82" t="s">
        <v>5668</v>
      </c>
      <c r="X1366" s="80" t="str">
        <f>HYPERLINK("https://www.sonoticiaboa.com.br/2023/05/31/4-habitos-simples-vida-mais-feliz-ensina-especialista")</f>
        <v>https://www.sonoticiaboa.com.br/2023/05/31/4-habitos-simples-vida-mais-feliz-ensina-especialista</v>
      </c>
      <c r="Y1366" s="77" t="s">
        <v>7053</v>
      </c>
      <c r="Z1366" s="77"/>
      <c r="AA1366" s="77"/>
      <c r="AB1366" s="77"/>
      <c r="AC1366" s="82" t="s">
        <v>8232</v>
      </c>
      <c r="AD1366" s="77" t="s">
        <v>8278</v>
      </c>
      <c r="AE1366" s="80" t="str">
        <f>HYPERLINK("https://twitter.com/sonoticiaboaofc/status/1663848233913798656")</f>
        <v>https://twitter.com/sonoticiaboaofc/status/1663848233913798656</v>
      </c>
      <c r="AF1366" s="79">
        <v>45077.417893518519</v>
      </c>
      <c r="AG1366" s="85">
        <v>45077</v>
      </c>
      <c r="AH1366" s="82" t="s">
        <v>9512</v>
      </c>
      <c r="AI1366" s="77" t="b">
        <v>1</v>
      </c>
      <c r="AJ1366" s="77"/>
      <c r="AK1366" s="77"/>
      <c r="AL1366" s="77"/>
      <c r="AM1366" s="77"/>
      <c r="AN1366" s="77"/>
      <c r="AO1366" s="77"/>
      <c r="AP1366" s="77"/>
      <c r="AQ1366" s="77"/>
      <c r="AR1366" s="77"/>
      <c r="AS1366" s="77"/>
      <c r="AT1366" s="77"/>
      <c r="AU1366" s="77"/>
      <c r="AV1366" s="80" t="str">
        <f>HYPERLINK("https://pbs.twimg.com/profile_images/1157780273112715264/VrTYn4Si_normal.jpg")</f>
        <v>https://pbs.twimg.com/profile_images/1157780273112715264/VrTYn4Si_normal.jpg</v>
      </c>
      <c r="AW1366" s="82" t="s">
        <v>14461</v>
      </c>
      <c r="AX1366" s="82" t="s">
        <v>14461</v>
      </c>
      <c r="AY1366" s="77"/>
      <c r="AZ1366" s="82" t="s">
        <v>17385</v>
      </c>
      <c r="BA1366" s="82" t="s">
        <v>17385</v>
      </c>
      <c r="BB1366" s="82" t="s">
        <v>17385</v>
      </c>
      <c r="BC1366" s="82" t="s">
        <v>14461</v>
      </c>
      <c r="BD1366" s="77">
        <v>329857969</v>
      </c>
      <c r="BE1366" s="77"/>
      <c r="BF1366" s="77"/>
      <c r="BG1366" s="77"/>
      <c r="BH1366" s="77"/>
      <c r="BI1366" s="77"/>
    </row>
    <row r="1367" spans="1:61" x14ac:dyDescent="0.25">
      <c r="A1367" s="62" t="s">
        <v>440</v>
      </c>
      <c r="B1367" s="62" t="s">
        <v>440</v>
      </c>
      <c r="C1367" s="63"/>
      <c r="D1367" s="64"/>
      <c r="E1367" s="65"/>
      <c r="F1367" s="66"/>
      <c r="G1367" s="63"/>
      <c r="H1367" s="67"/>
      <c r="I1367" s="68"/>
      <c r="J1367" s="68"/>
      <c r="K1367" s="32"/>
      <c r="L1367" s="75">
        <v>1367</v>
      </c>
      <c r="M1367" s="75"/>
      <c r="N1367" s="70"/>
      <c r="O1367" s="77" t="s">
        <v>179</v>
      </c>
      <c r="P1367" s="79">
        <v>45108.020196759258</v>
      </c>
      <c r="Q1367" s="77" t="s">
        <v>2158</v>
      </c>
      <c r="R1367" s="77">
        <v>0</v>
      </c>
      <c r="S1367" s="77">
        <v>0</v>
      </c>
      <c r="T1367" s="77">
        <v>0</v>
      </c>
      <c r="U1367" s="77">
        <v>0</v>
      </c>
      <c r="V1367" s="77">
        <v>16</v>
      </c>
      <c r="W1367" s="82" t="s">
        <v>5669</v>
      </c>
      <c r="X1367" s="77"/>
      <c r="Y1367" s="77"/>
      <c r="Z1367" s="77"/>
      <c r="AA1367" s="77" t="s">
        <v>7686</v>
      </c>
      <c r="AB1367" s="77" t="s">
        <v>8227</v>
      </c>
      <c r="AC1367" s="82" t="s">
        <v>8233</v>
      </c>
      <c r="AD1367" s="77" t="s">
        <v>8278</v>
      </c>
      <c r="AE1367" s="80" t="str">
        <f>HYPERLINK("https://twitter.com/casal_trader/status/1674938139066920964")</f>
        <v>https://twitter.com/casal_trader/status/1674938139066920964</v>
      </c>
      <c r="AF1367" s="79">
        <v>45108.020196759258</v>
      </c>
      <c r="AG1367" s="85">
        <v>45108</v>
      </c>
      <c r="AH1367" s="82" t="s">
        <v>9513</v>
      </c>
      <c r="AI1367" s="77" t="b">
        <v>0</v>
      </c>
      <c r="AJ1367" s="77"/>
      <c r="AK1367" s="77"/>
      <c r="AL1367" s="77"/>
      <c r="AM1367" s="77"/>
      <c r="AN1367" s="77"/>
      <c r="AO1367" s="77"/>
      <c r="AP1367" s="77"/>
      <c r="AQ1367" s="77" t="s">
        <v>12571</v>
      </c>
      <c r="AR1367" s="77">
        <v>68733</v>
      </c>
      <c r="AS1367" s="77"/>
      <c r="AT1367" s="77"/>
      <c r="AU1367" s="77"/>
      <c r="AV1367" s="80" t="str">
        <f>HYPERLINK("https://pbs.twimg.com/ext_tw_video_thumb/1674938011992178688/pu/img/jyfpGegJMaPnO1RQ.jpg")</f>
        <v>https://pbs.twimg.com/ext_tw_video_thumb/1674938011992178688/pu/img/jyfpGegJMaPnO1RQ.jpg</v>
      </c>
      <c r="AW1367" s="82" t="s">
        <v>14462</v>
      </c>
      <c r="AX1367" s="82" t="s">
        <v>14462</v>
      </c>
      <c r="AY1367" s="77"/>
      <c r="AZ1367" s="82" t="s">
        <v>17385</v>
      </c>
      <c r="BA1367" s="82" t="s">
        <v>17385</v>
      </c>
      <c r="BB1367" s="82" t="s">
        <v>17385</v>
      </c>
      <c r="BC1367" s="82" t="s">
        <v>14462</v>
      </c>
      <c r="BD1367" s="82" t="s">
        <v>17558</v>
      </c>
      <c r="BE1367" s="77"/>
      <c r="BF1367" s="77"/>
      <c r="BG1367" s="77"/>
      <c r="BH1367" s="77"/>
      <c r="BI1367" s="77"/>
    </row>
    <row r="1368" spans="1:61" x14ac:dyDescent="0.25">
      <c r="A1368" s="62" t="s">
        <v>440</v>
      </c>
      <c r="B1368" s="62" t="s">
        <v>440</v>
      </c>
      <c r="C1368" s="63"/>
      <c r="D1368" s="64"/>
      <c r="E1368" s="65"/>
      <c r="F1368" s="66"/>
      <c r="G1368" s="63"/>
      <c r="H1368" s="67"/>
      <c r="I1368" s="68"/>
      <c r="J1368" s="68"/>
      <c r="K1368" s="32"/>
      <c r="L1368" s="75">
        <v>1368</v>
      </c>
      <c r="M1368" s="75"/>
      <c r="N1368" s="70"/>
      <c r="O1368" s="77" t="s">
        <v>179</v>
      </c>
      <c r="P1368" s="79">
        <v>45122.75886574074</v>
      </c>
      <c r="Q1368" s="77" t="s">
        <v>2159</v>
      </c>
      <c r="R1368" s="77">
        <v>0</v>
      </c>
      <c r="S1368" s="77">
        <v>0</v>
      </c>
      <c r="T1368" s="77">
        <v>0</v>
      </c>
      <c r="U1368" s="77">
        <v>0</v>
      </c>
      <c r="V1368" s="77">
        <v>29</v>
      </c>
      <c r="W1368" s="82" t="s">
        <v>5670</v>
      </c>
      <c r="X1368" s="77"/>
      <c r="Y1368" s="77"/>
      <c r="Z1368" s="77"/>
      <c r="AA1368" s="77" t="s">
        <v>7687</v>
      </c>
      <c r="AB1368" s="77" t="s">
        <v>8227</v>
      </c>
      <c r="AC1368" s="82" t="s">
        <v>8233</v>
      </c>
      <c r="AD1368" s="77" t="s">
        <v>8278</v>
      </c>
      <c r="AE1368" s="80" t="str">
        <f>HYPERLINK("https://twitter.com/casal_trader/status/1680279251910553605")</f>
        <v>https://twitter.com/casal_trader/status/1680279251910553605</v>
      </c>
      <c r="AF1368" s="79">
        <v>45122.75886574074</v>
      </c>
      <c r="AG1368" s="85">
        <v>45122</v>
      </c>
      <c r="AH1368" s="82" t="s">
        <v>9514</v>
      </c>
      <c r="AI1368" s="77" t="b">
        <v>0</v>
      </c>
      <c r="AJ1368" s="77"/>
      <c r="AK1368" s="77"/>
      <c r="AL1368" s="77"/>
      <c r="AM1368" s="77"/>
      <c r="AN1368" s="77"/>
      <c r="AO1368" s="77"/>
      <c r="AP1368" s="77"/>
      <c r="AQ1368" s="77" t="s">
        <v>12572</v>
      </c>
      <c r="AR1368" s="77">
        <v>77633</v>
      </c>
      <c r="AS1368" s="77"/>
      <c r="AT1368" s="77"/>
      <c r="AU1368" s="77"/>
      <c r="AV1368" s="80" t="str">
        <f>HYPERLINK("https://pbs.twimg.com/ext_tw_video_thumb/1680279097866346496/pu/img/4P2vhasKjI_meiY7.jpg")</f>
        <v>https://pbs.twimg.com/ext_tw_video_thumb/1680279097866346496/pu/img/4P2vhasKjI_meiY7.jpg</v>
      </c>
      <c r="AW1368" s="82" t="s">
        <v>14463</v>
      </c>
      <c r="AX1368" s="82" t="s">
        <v>14463</v>
      </c>
      <c r="AY1368" s="77"/>
      <c r="AZ1368" s="82" t="s">
        <v>17385</v>
      </c>
      <c r="BA1368" s="82" t="s">
        <v>17385</v>
      </c>
      <c r="BB1368" s="82" t="s">
        <v>17385</v>
      </c>
      <c r="BC1368" s="82" t="s">
        <v>14463</v>
      </c>
      <c r="BD1368" s="82" t="s">
        <v>17558</v>
      </c>
      <c r="BE1368" s="77"/>
      <c r="BF1368" s="77"/>
      <c r="BG1368" s="77"/>
      <c r="BH1368" s="77"/>
      <c r="BI1368" s="77"/>
    </row>
    <row r="1369" spans="1:61" x14ac:dyDescent="0.25">
      <c r="A1369" s="62" t="s">
        <v>440</v>
      </c>
      <c r="B1369" s="62" t="s">
        <v>440</v>
      </c>
      <c r="C1369" s="63"/>
      <c r="D1369" s="64"/>
      <c r="E1369" s="65"/>
      <c r="F1369" s="66"/>
      <c r="G1369" s="63"/>
      <c r="H1369" s="67"/>
      <c r="I1369" s="68"/>
      <c r="J1369" s="68"/>
      <c r="K1369" s="32"/>
      <c r="L1369" s="75">
        <v>1369</v>
      </c>
      <c r="M1369" s="75"/>
      <c r="N1369" s="70"/>
      <c r="O1369" s="77" t="s">
        <v>179</v>
      </c>
      <c r="P1369" s="79">
        <v>45111.036562499998</v>
      </c>
      <c r="Q1369" s="77" t="s">
        <v>2160</v>
      </c>
      <c r="R1369" s="77">
        <v>0</v>
      </c>
      <c r="S1369" s="77">
        <v>0</v>
      </c>
      <c r="T1369" s="77">
        <v>0</v>
      </c>
      <c r="U1369" s="77">
        <v>0</v>
      </c>
      <c r="V1369" s="77">
        <v>69</v>
      </c>
      <c r="W1369" s="82" t="s">
        <v>5671</v>
      </c>
      <c r="X1369" s="77"/>
      <c r="Y1369" s="77"/>
      <c r="Z1369" s="77"/>
      <c r="AA1369" s="77" t="s">
        <v>7688</v>
      </c>
      <c r="AB1369" s="77" t="s">
        <v>8227</v>
      </c>
      <c r="AC1369" s="82" t="s">
        <v>8233</v>
      </c>
      <c r="AD1369" s="77" t="s">
        <v>8278</v>
      </c>
      <c r="AE1369" s="80" t="str">
        <f>HYPERLINK("https://twitter.com/casal_trader/status/1676031232860102656")</f>
        <v>https://twitter.com/casal_trader/status/1676031232860102656</v>
      </c>
      <c r="AF1369" s="79">
        <v>45111.036562499998</v>
      </c>
      <c r="AG1369" s="85">
        <v>45111</v>
      </c>
      <c r="AH1369" s="82" t="s">
        <v>9515</v>
      </c>
      <c r="AI1369" s="77" t="b">
        <v>0</v>
      </c>
      <c r="AJ1369" s="77"/>
      <c r="AK1369" s="77"/>
      <c r="AL1369" s="77"/>
      <c r="AM1369" s="77"/>
      <c r="AN1369" s="77"/>
      <c r="AO1369" s="77"/>
      <c r="AP1369" s="77"/>
      <c r="AQ1369" s="77" t="s">
        <v>12573</v>
      </c>
      <c r="AR1369" s="77">
        <v>66533</v>
      </c>
      <c r="AS1369" s="77"/>
      <c r="AT1369" s="77"/>
      <c r="AU1369" s="77"/>
      <c r="AV1369" s="80" t="str">
        <f>HYPERLINK("https://pbs.twimg.com/ext_tw_video_thumb/1676031045177597953/pu/img/5yMtdp30NINbs45t.jpg")</f>
        <v>https://pbs.twimg.com/ext_tw_video_thumb/1676031045177597953/pu/img/5yMtdp30NINbs45t.jpg</v>
      </c>
      <c r="AW1369" s="82" t="s">
        <v>14464</v>
      </c>
      <c r="AX1369" s="82" t="s">
        <v>14464</v>
      </c>
      <c r="AY1369" s="77"/>
      <c r="AZ1369" s="82" t="s">
        <v>17385</v>
      </c>
      <c r="BA1369" s="82" t="s">
        <v>17385</v>
      </c>
      <c r="BB1369" s="82" t="s">
        <v>17385</v>
      </c>
      <c r="BC1369" s="82" t="s">
        <v>14464</v>
      </c>
      <c r="BD1369" s="82" t="s">
        <v>17558</v>
      </c>
      <c r="BE1369" s="77"/>
      <c r="BF1369" s="77"/>
      <c r="BG1369" s="77"/>
      <c r="BH1369" s="77"/>
      <c r="BI1369" s="77"/>
    </row>
    <row r="1370" spans="1:61" x14ac:dyDescent="0.25">
      <c r="A1370" s="62" t="s">
        <v>440</v>
      </c>
      <c r="B1370" s="62" t="s">
        <v>440</v>
      </c>
      <c r="C1370" s="63"/>
      <c r="D1370" s="64"/>
      <c r="E1370" s="65"/>
      <c r="F1370" s="66"/>
      <c r="G1370" s="63"/>
      <c r="H1370" s="67"/>
      <c r="I1370" s="68"/>
      <c r="J1370" s="68"/>
      <c r="K1370" s="32"/>
      <c r="L1370" s="75">
        <v>1370</v>
      </c>
      <c r="M1370" s="75"/>
      <c r="N1370" s="70"/>
      <c r="O1370" s="77" t="s">
        <v>179</v>
      </c>
      <c r="P1370" s="79">
        <v>45110.026134259257</v>
      </c>
      <c r="Q1370" s="77" t="s">
        <v>2161</v>
      </c>
      <c r="R1370" s="77">
        <v>1</v>
      </c>
      <c r="S1370" s="77">
        <v>1</v>
      </c>
      <c r="T1370" s="77">
        <v>0</v>
      </c>
      <c r="U1370" s="77">
        <v>0</v>
      </c>
      <c r="V1370" s="77">
        <v>59</v>
      </c>
      <c r="W1370" s="82" t="s">
        <v>5672</v>
      </c>
      <c r="X1370" s="77"/>
      <c r="Y1370" s="77"/>
      <c r="Z1370" s="77"/>
      <c r="AA1370" s="77" t="s">
        <v>7689</v>
      </c>
      <c r="AB1370" s="77" t="s">
        <v>8227</v>
      </c>
      <c r="AC1370" s="82" t="s">
        <v>8234</v>
      </c>
      <c r="AD1370" s="77" t="s">
        <v>8278</v>
      </c>
      <c r="AE1370" s="80" t="str">
        <f>HYPERLINK("https://twitter.com/casal_trader/status/1675665063573614592")</f>
        <v>https://twitter.com/casal_trader/status/1675665063573614592</v>
      </c>
      <c r="AF1370" s="79">
        <v>45110.026134259257</v>
      </c>
      <c r="AG1370" s="85">
        <v>45110</v>
      </c>
      <c r="AH1370" s="82" t="s">
        <v>9516</v>
      </c>
      <c r="AI1370" s="77" t="b">
        <v>0</v>
      </c>
      <c r="AJ1370" s="77"/>
      <c r="AK1370" s="77"/>
      <c r="AL1370" s="77"/>
      <c r="AM1370" s="77"/>
      <c r="AN1370" s="77"/>
      <c r="AO1370" s="77"/>
      <c r="AP1370" s="77"/>
      <c r="AQ1370" s="77" t="s">
        <v>12574</v>
      </c>
      <c r="AR1370" s="77">
        <v>39101</v>
      </c>
      <c r="AS1370" s="77"/>
      <c r="AT1370" s="77"/>
      <c r="AU1370" s="77"/>
      <c r="AV1370" s="80" t="str">
        <f>HYPERLINK("https://pbs.twimg.com/ext_tw_video_thumb/1675665031663427584/pu/img/888hSAMO4EaJg24u.jpg")</f>
        <v>https://pbs.twimg.com/ext_tw_video_thumb/1675665031663427584/pu/img/888hSAMO4EaJg24u.jpg</v>
      </c>
      <c r="AW1370" s="82" t="s">
        <v>14465</v>
      </c>
      <c r="AX1370" s="82" t="s">
        <v>14465</v>
      </c>
      <c r="AY1370" s="77"/>
      <c r="AZ1370" s="82" t="s">
        <v>17385</v>
      </c>
      <c r="BA1370" s="82" t="s">
        <v>17385</v>
      </c>
      <c r="BB1370" s="82" t="s">
        <v>17385</v>
      </c>
      <c r="BC1370" s="82" t="s">
        <v>14465</v>
      </c>
      <c r="BD1370" s="82" t="s">
        <v>17558</v>
      </c>
      <c r="BE1370" s="77"/>
      <c r="BF1370" s="77"/>
      <c r="BG1370" s="77"/>
      <c r="BH1370" s="77"/>
      <c r="BI1370" s="77"/>
    </row>
    <row r="1371" spans="1:61" x14ac:dyDescent="0.25">
      <c r="A1371" s="62" t="s">
        <v>440</v>
      </c>
      <c r="B1371" s="62" t="s">
        <v>440</v>
      </c>
      <c r="C1371" s="63"/>
      <c r="D1371" s="64"/>
      <c r="E1371" s="65"/>
      <c r="F1371" s="66"/>
      <c r="G1371" s="63"/>
      <c r="H1371" s="67"/>
      <c r="I1371" s="68"/>
      <c r="J1371" s="68"/>
      <c r="K1371" s="32"/>
      <c r="L1371" s="75">
        <v>1371</v>
      </c>
      <c r="M1371" s="75"/>
      <c r="N1371" s="70"/>
      <c r="O1371" s="77" t="s">
        <v>179</v>
      </c>
      <c r="P1371" s="79">
        <v>45121.848865740743</v>
      </c>
      <c r="Q1371" s="77" t="s">
        <v>2162</v>
      </c>
      <c r="R1371" s="77">
        <v>0</v>
      </c>
      <c r="S1371" s="77">
        <v>0</v>
      </c>
      <c r="T1371" s="77">
        <v>0</v>
      </c>
      <c r="U1371" s="77">
        <v>0</v>
      </c>
      <c r="V1371" s="77">
        <v>18</v>
      </c>
      <c r="W1371" s="82" t="s">
        <v>5673</v>
      </c>
      <c r="X1371" s="77"/>
      <c r="Y1371" s="77"/>
      <c r="Z1371" s="77"/>
      <c r="AA1371" s="77" t="s">
        <v>7690</v>
      </c>
      <c r="AB1371" s="77" t="s">
        <v>8227</v>
      </c>
      <c r="AC1371" s="82" t="s">
        <v>8233</v>
      </c>
      <c r="AD1371" s="77" t="s">
        <v>8278</v>
      </c>
      <c r="AE1371" s="80" t="str">
        <f>HYPERLINK("https://twitter.com/casal_trader/status/1679949481406595079")</f>
        <v>https://twitter.com/casal_trader/status/1679949481406595079</v>
      </c>
      <c r="AF1371" s="79">
        <v>45121.848865740743</v>
      </c>
      <c r="AG1371" s="85">
        <v>45121</v>
      </c>
      <c r="AH1371" s="82" t="s">
        <v>9517</v>
      </c>
      <c r="AI1371" s="77" t="b">
        <v>0</v>
      </c>
      <c r="AJ1371" s="77"/>
      <c r="AK1371" s="77"/>
      <c r="AL1371" s="77"/>
      <c r="AM1371" s="77"/>
      <c r="AN1371" s="77"/>
      <c r="AO1371" s="77"/>
      <c r="AP1371" s="77"/>
      <c r="AQ1371" s="77" t="s">
        <v>12575</v>
      </c>
      <c r="AR1371" s="77">
        <v>65766</v>
      </c>
      <c r="AS1371" s="77"/>
      <c r="AT1371" s="77"/>
      <c r="AU1371" s="77"/>
      <c r="AV1371" s="80" t="str">
        <f>HYPERLINK("https://pbs.twimg.com/ext_tw_video_thumb/1679949349671895040/pu/img/3qWp5oN_aPOVkf-g.jpg")</f>
        <v>https://pbs.twimg.com/ext_tw_video_thumb/1679949349671895040/pu/img/3qWp5oN_aPOVkf-g.jpg</v>
      </c>
      <c r="AW1371" s="82" t="s">
        <v>14466</v>
      </c>
      <c r="AX1371" s="82" t="s">
        <v>14466</v>
      </c>
      <c r="AY1371" s="77"/>
      <c r="AZ1371" s="82" t="s">
        <v>17385</v>
      </c>
      <c r="BA1371" s="82" t="s">
        <v>17385</v>
      </c>
      <c r="BB1371" s="82" t="s">
        <v>17385</v>
      </c>
      <c r="BC1371" s="82" t="s">
        <v>14466</v>
      </c>
      <c r="BD1371" s="82" t="s">
        <v>17558</v>
      </c>
      <c r="BE1371" s="77"/>
      <c r="BF1371" s="77"/>
      <c r="BG1371" s="77"/>
      <c r="BH1371" s="77"/>
      <c r="BI1371" s="77"/>
    </row>
    <row r="1372" spans="1:61" x14ac:dyDescent="0.25">
      <c r="A1372" s="62" t="s">
        <v>440</v>
      </c>
      <c r="B1372" s="62" t="s">
        <v>440</v>
      </c>
      <c r="C1372" s="63"/>
      <c r="D1372" s="64"/>
      <c r="E1372" s="65"/>
      <c r="F1372" s="66"/>
      <c r="G1372" s="63"/>
      <c r="H1372" s="67"/>
      <c r="I1372" s="68"/>
      <c r="J1372" s="68"/>
      <c r="K1372" s="32"/>
      <c r="L1372" s="75">
        <v>1372</v>
      </c>
      <c r="M1372" s="75"/>
      <c r="N1372" s="70"/>
      <c r="O1372" s="77" t="s">
        <v>179</v>
      </c>
      <c r="P1372" s="79">
        <v>45146.765625</v>
      </c>
      <c r="Q1372" s="77" t="s">
        <v>2163</v>
      </c>
      <c r="R1372" s="77">
        <v>0</v>
      </c>
      <c r="S1372" s="77">
        <v>1</v>
      </c>
      <c r="T1372" s="77">
        <v>1</v>
      </c>
      <c r="U1372" s="77">
        <v>0</v>
      </c>
      <c r="V1372" s="77">
        <v>42</v>
      </c>
      <c r="W1372" s="82" t="s">
        <v>5674</v>
      </c>
      <c r="X1372" s="77"/>
      <c r="Y1372" s="77"/>
      <c r="Z1372" s="77"/>
      <c r="AA1372" s="77" t="s">
        <v>7691</v>
      </c>
      <c r="AB1372" s="77" t="s">
        <v>8227</v>
      </c>
      <c r="AC1372" s="82" t="s">
        <v>8233</v>
      </c>
      <c r="AD1372" s="77" t="s">
        <v>8278</v>
      </c>
      <c r="AE1372" s="80" t="str">
        <f>HYPERLINK("https://twitter.com/casal_trader/status/1688979010477330432")</f>
        <v>https://twitter.com/casal_trader/status/1688979010477330432</v>
      </c>
      <c r="AF1372" s="79">
        <v>45146.765625</v>
      </c>
      <c r="AG1372" s="85">
        <v>45146</v>
      </c>
      <c r="AH1372" s="82" t="s">
        <v>9518</v>
      </c>
      <c r="AI1372" s="77" t="b">
        <v>0</v>
      </c>
      <c r="AJ1372" s="77"/>
      <c r="AK1372" s="77"/>
      <c r="AL1372" s="77"/>
      <c r="AM1372" s="77"/>
      <c r="AN1372" s="77"/>
      <c r="AO1372" s="77"/>
      <c r="AP1372" s="77"/>
      <c r="AQ1372" s="77" t="s">
        <v>12576</v>
      </c>
      <c r="AR1372" s="77">
        <v>64200</v>
      </c>
      <c r="AS1372" s="77"/>
      <c r="AT1372" s="77"/>
      <c r="AU1372" s="77"/>
      <c r="AV1372" s="80" t="str">
        <f>HYPERLINK("https://pbs.twimg.com/ext_tw_video_thumb/1688978841027411968/pu/img/oWDsRZG_VUEAFXM0.jpg")</f>
        <v>https://pbs.twimg.com/ext_tw_video_thumb/1688978841027411968/pu/img/oWDsRZG_VUEAFXM0.jpg</v>
      </c>
      <c r="AW1372" s="82" t="s">
        <v>14467</v>
      </c>
      <c r="AX1372" s="82" t="s">
        <v>14467</v>
      </c>
      <c r="AY1372" s="77"/>
      <c r="AZ1372" s="82" t="s">
        <v>17385</v>
      </c>
      <c r="BA1372" s="82" t="s">
        <v>17385</v>
      </c>
      <c r="BB1372" s="82" t="s">
        <v>17385</v>
      </c>
      <c r="BC1372" s="82" t="s">
        <v>14467</v>
      </c>
      <c r="BD1372" s="82" t="s">
        <v>17558</v>
      </c>
      <c r="BE1372" s="77"/>
      <c r="BF1372" s="77"/>
      <c r="BG1372" s="77"/>
      <c r="BH1372" s="77"/>
      <c r="BI1372" s="77"/>
    </row>
    <row r="1373" spans="1:61" x14ac:dyDescent="0.25">
      <c r="A1373" s="62" t="s">
        <v>440</v>
      </c>
      <c r="B1373" s="62" t="s">
        <v>440</v>
      </c>
      <c r="C1373" s="63"/>
      <c r="D1373" s="64"/>
      <c r="E1373" s="65"/>
      <c r="F1373" s="66"/>
      <c r="G1373" s="63"/>
      <c r="H1373" s="67"/>
      <c r="I1373" s="68"/>
      <c r="J1373" s="68"/>
      <c r="K1373" s="32"/>
      <c r="L1373" s="75">
        <v>1373</v>
      </c>
      <c r="M1373" s="75"/>
      <c r="N1373" s="70"/>
      <c r="O1373" s="77" t="s">
        <v>179</v>
      </c>
      <c r="P1373" s="79">
        <v>45169.842199074075</v>
      </c>
      <c r="Q1373" s="77" t="s">
        <v>2164</v>
      </c>
      <c r="R1373" s="77">
        <v>0</v>
      </c>
      <c r="S1373" s="77">
        <v>0</v>
      </c>
      <c r="T1373" s="77">
        <v>0</v>
      </c>
      <c r="U1373" s="77">
        <v>0</v>
      </c>
      <c r="V1373" s="77">
        <v>98</v>
      </c>
      <c r="W1373" s="82" t="s">
        <v>5675</v>
      </c>
      <c r="X1373" s="77"/>
      <c r="Y1373" s="77"/>
      <c r="Z1373" s="77"/>
      <c r="AA1373" s="77" t="s">
        <v>7692</v>
      </c>
      <c r="AB1373" s="77" t="s">
        <v>8227</v>
      </c>
      <c r="AC1373" s="82" t="s">
        <v>8233</v>
      </c>
      <c r="AD1373" s="77" t="s">
        <v>8278</v>
      </c>
      <c r="AE1373" s="80" t="str">
        <f>HYPERLINK("https://twitter.com/casal_trader/status/1697341682096701862")</f>
        <v>https://twitter.com/casal_trader/status/1697341682096701862</v>
      </c>
      <c r="AF1373" s="79">
        <v>45169.842199074075</v>
      </c>
      <c r="AG1373" s="85">
        <v>45169</v>
      </c>
      <c r="AH1373" s="82" t="s">
        <v>9519</v>
      </c>
      <c r="AI1373" s="77" t="b">
        <v>0</v>
      </c>
      <c r="AJ1373" s="77"/>
      <c r="AK1373" s="77"/>
      <c r="AL1373" s="77"/>
      <c r="AM1373" s="77"/>
      <c r="AN1373" s="77"/>
      <c r="AO1373" s="77"/>
      <c r="AP1373" s="77"/>
      <c r="AQ1373" s="77" t="s">
        <v>12577</v>
      </c>
      <c r="AR1373" s="77">
        <v>76533</v>
      </c>
      <c r="AS1373" s="77"/>
      <c r="AT1373" s="77"/>
      <c r="AU1373" s="77"/>
      <c r="AV1373" s="80" t="str">
        <f>HYPERLINK("https://pbs.twimg.com/ext_tw_video_thumb/1697341562873581568/pu/img/4puMLXrzKXWDf3ud.jpg")</f>
        <v>https://pbs.twimg.com/ext_tw_video_thumb/1697341562873581568/pu/img/4puMLXrzKXWDf3ud.jpg</v>
      </c>
      <c r="AW1373" s="82" t="s">
        <v>14468</v>
      </c>
      <c r="AX1373" s="82" t="s">
        <v>14468</v>
      </c>
      <c r="AY1373" s="77"/>
      <c r="AZ1373" s="82" t="s">
        <v>17385</v>
      </c>
      <c r="BA1373" s="82" t="s">
        <v>17385</v>
      </c>
      <c r="BB1373" s="82" t="s">
        <v>17385</v>
      </c>
      <c r="BC1373" s="82" t="s">
        <v>14468</v>
      </c>
      <c r="BD1373" s="82" t="s">
        <v>17558</v>
      </c>
      <c r="BE1373" s="77"/>
      <c r="BF1373" s="77"/>
      <c r="BG1373" s="77"/>
      <c r="BH1373" s="77"/>
      <c r="BI1373" s="77"/>
    </row>
    <row r="1374" spans="1:61" x14ac:dyDescent="0.25">
      <c r="A1374" s="62" t="s">
        <v>440</v>
      </c>
      <c r="B1374" s="62" t="s">
        <v>440</v>
      </c>
      <c r="C1374" s="63"/>
      <c r="D1374" s="64"/>
      <c r="E1374" s="65"/>
      <c r="F1374" s="66"/>
      <c r="G1374" s="63"/>
      <c r="H1374" s="67"/>
      <c r="I1374" s="68"/>
      <c r="J1374" s="68"/>
      <c r="K1374" s="32"/>
      <c r="L1374" s="75">
        <v>1374</v>
      </c>
      <c r="M1374" s="75"/>
      <c r="N1374" s="70"/>
      <c r="O1374" s="77" t="s">
        <v>179</v>
      </c>
      <c r="P1374" s="79">
        <v>45141.800358796296</v>
      </c>
      <c r="Q1374" s="77" t="s">
        <v>2165</v>
      </c>
      <c r="R1374" s="77">
        <v>0</v>
      </c>
      <c r="S1374" s="77">
        <v>0</v>
      </c>
      <c r="T1374" s="77">
        <v>0</v>
      </c>
      <c r="U1374" s="77">
        <v>0</v>
      </c>
      <c r="V1374" s="77">
        <v>63</v>
      </c>
      <c r="W1374" s="82" t="s">
        <v>5676</v>
      </c>
      <c r="X1374" s="77"/>
      <c r="Y1374" s="77"/>
      <c r="Z1374" s="77"/>
      <c r="AA1374" s="77" t="s">
        <v>7693</v>
      </c>
      <c r="AB1374" s="77" t="s">
        <v>8227</v>
      </c>
      <c r="AC1374" s="82" t="s">
        <v>8233</v>
      </c>
      <c r="AD1374" s="77" t="s">
        <v>8278</v>
      </c>
      <c r="AE1374" s="80" t="str">
        <f>HYPERLINK("https://twitter.com/casal_trader/status/1687179657450328064")</f>
        <v>https://twitter.com/casal_trader/status/1687179657450328064</v>
      </c>
      <c r="AF1374" s="79">
        <v>45141.800358796296</v>
      </c>
      <c r="AG1374" s="85">
        <v>45141</v>
      </c>
      <c r="AH1374" s="82" t="s">
        <v>9520</v>
      </c>
      <c r="AI1374" s="77" t="b">
        <v>0</v>
      </c>
      <c r="AJ1374" s="77"/>
      <c r="AK1374" s="77"/>
      <c r="AL1374" s="77"/>
      <c r="AM1374" s="77"/>
      <c r="AN1374" s="77"/>
      <c r="AO1374" s="77"/>
      <c r="AP1374" s="77"/>
      <c r="AQ1374" s="77" t="s">
        <v>12578</v>
      </c>
      <c r="AR1374" s="77">
        <v>90033</v>
      </c>
      <c r="AS1374" s="77"/>
      <c r="AT1374" s="77"/>
      <c r="AU1374" s="77"/>
      <c r="AV1374" s="80" t="str">
        <f>HYPERLINK("https://pbs.twimg.com/ext_tw_video_thumb/1687179519667441664/pu/img/2Ut_d4PfBCFJNJe0.jpg")</f>
        <v>https://pbs.twimg.com/ext_tw_video_thumb/1687179519667441664/pu/img/2Ut_d4PfBCFJNJe0.jpg</v>
      </c>
      <c r="AW1374" s="82" t="s">
        <v>14469</v>
      </c>
      <c r="AX1374" s="82" t="s">
        <v>14469</v>
      </c>
      <c r="AY1374" s="77"/>
      <c r="AZ1374" s="82" t="s">
        <v>17385</v>
      </c>
      <c r="BA1374" s="82" t="s">
        <v>17385</v>
      </c>
      <c r="BB1374" s="82" t="s">
        <v>17385</v>
      </c>
      <c r="BC1374" s="82" t="s">
        <v>14469</v>
      </c>
      <c r="BD1374" s="82" t="s">
        <v>17558</v>
      </c>
      <c r="BE1374" s="77"/>
      <c r="BF1374" s="77"/>
      <c r="BG1374" s="77"/>
      <c r="BH1374" s="77"/>
      <c r="BI1374" s="77"/>
    </row>
    <row r="1375" spans="1:61" x14ac:dyDescent="0.25">
      <c r="A1375" s="62" t="s">
        <v>440</v>
      </c>
      <c r="B1375" s="62" t="s">
        <v>440</v>
      </c>
      <c r="C1375" s="63"/>
      <c r="D1375" s="64"/>
      <c r="E1375" s="65"/>
      <c r="F1375" s="66"/>
      <c r="G1375" s="63"/>
      <c r="H1375" s="67"/>
      <c r="I1375" s="68"/>
      <c r="J1375" s="68"/>
      <c r="K1375" s="32"/>
      <c r="L1375" s="75">
        <v>1375</v>
      </c>
      <c r="M1375" s="75"/>
      <c r="N1375" s="70"/>
      <c r="O1375" s="77" t="s">
        <v>179</v>
      </c>
      <c r="P1375" s="79">
        <v>45101.918217592596</v>
      </c>
      <c r="Q1375" s="77" t="s">
        <v>2166</v>
      </c>
      <c r="R1375" s="77">
        <v>0</v>
      </c>
      <c r="S1375" s="77">
        <v>0</v>
      </c>
      <c r="T1375" s="77">
        <v>0</v>
      </c>
      <c r="U1375" s="77">
        <v>0</v>
      </c>
      <c r="V1375" s="77">
        <v>24</v>
      </c>
      <c r="W1375" s="82" t="s">
        <v>5677</v>
      </c>
      <c r="X1375" s="77"/>
      <c r="Y1375" s="77"/>
      <c r="Z1375" s="77"/>
      <c r="AA1375" s="77" t="s">
        <v>7694</v>
      </c>
      <c r="AB1375" s="77" t="s">
        <v>8227</v>
      </c>
      <c r="AC1375" s="82" t="s">
        <v>8233</v>
      </c>
      <c r="AD1375" s="77" t="s">
        <v>8278</v>
      </c>
      <c r="AE1375" s="80" t="str">
        <f>HYPERLINK("https://twitter.com/casal_trader/status/1672726854443188224")</f>
        <v>https://twitter.com/casal_trader/status/1672726854443188224</v>
      </c>
      <c r="AF1375" s="79">
        <v>45101.918217592596</v>
      </c>
      <c r="AG1375" s="85">
        <v>45101</v>
      </c>
      <c r="AH1375" s="82" t="s">
        <v>9521</v>
      </c>
      <c r="AI1375" s="77" t="b">
        <v>0</v>
      </c>
      <c r="AJ1375" s="77"/>
      <c r="AK1375" s="77"/>
      <c r="AL1375" s="77"/>
      <c r="AM1375" s="77"/>
      <c r="AN1375" s="77"/>
      <c r="AO1375" s="77"/>
      <c r="AP1375" s="77"/>
      <c r="AQ1375" s="77" t="s">
        <v>12579</v>
      </c>
      <c r="AR1375" s="77">
        <v>54533</v>
      </c>
      <c r="AS1375" s="77"/>
      <c r="AT1375" s="77"/>
      <c r="AU1375" s="77"/>
      <c r="AV1375" s="80" t="str">
        <f>HYPERLINK("https://pbs.twimg.com/ext_tw_video_thumb/1672726746070671361/pu/img/g4JOMLq64gSAFwiG.jpg")</f>
        <v>https://pbs.twimg.com/ext_tw_video_thumb/1672726746070671361/pu/img/g4JOMLq64gSAFwiG.jpg</v>
      </c>
      <c r="AW1375" s="82" t="s">
        <v>14470</v>
      </c>
      <c r="AX1375" s="82" t="s">
        <v>14470</v>
      </c>
      <c r="AY1375" s="77"/>
      <c r="AZ1375" s="82" t="s">
        <v>17385</v>
      </c>
      <c r="BA1375" s="82" t="s">
        <v>17385</v>
      </c>
      <c r="BB1375" s="82" t="s">
        <v>17385</v>
      </c>
      <c r="BC1375" s="82" t="s">
        <v>14470</v>
      </c>
      <c r="BD1375" s="82" t="s">
        <v>17558</v>
      </c>
      <c r="BE1375" s="77"/>
      <c r="BF1375" s="77"/>
      <c r="BG1375" s="77"/>
      <c r="BH1375" s="77"/>
      <c r="BI1375" s="77"/>
    </row>
    <row r="1376" spans="1:61" x14ac:dyDescent="0.25">
      <c r="A1376" s="62" t="s">
        <v>440</v>
      </c>
      <c r="B1376" s="62" t="s">
        <v>440</v>
      </c>
      <c r="C1376" s="63"/>
      <c r="D1376" s="64"/>
      <c r="E1376" s="65"/>
      <c r="F1376" s="66"/>
      <c r="G1376" s="63"/>
      <c r="H1376" s="67"/>
      <c r="I1376" s="68"/>
      <c r="J1376" s="68"/>
      <c r="K1376" s="32"/>
      <c r="L1376" s="75">
        <v>1376</v>
      </c>
      <c r="M1376" s="75"/>
      <c r="N1376" s="70"/>
      <c r="O1376" s="77" t="s">
        <v>179</v>
      </c>
      <c r="P1376" s="79">
        <v>45100.921249999999</v>
      </c>
      <c r="Q1376" s="77" t="s">
        <v>2167</v>
      </c>
      <c r="R1376" s="77">
        <v>0</v>
      </c>
      <c r="S1376" s="77">
        <v>0</v>
      </c>
      <c r="T1376" s="77">
        <v>0</v>
      </c>
      <c r="U1376" s="77">
        <v>0</v>
      </c>
      <c r="V1376" s="77">
        <v>19</v>
      </c>
      <c r="W1376" s="82" t="s">
        <v>5678</v>
      </c>
      <c r="X1376" s="77"/>
      <c r="Y1376" s="77"/>
      <c r="Z1376" s="77"/>
      <c r="AA1376" s="77" t="s">
        <v>7695</v>
      </c>
      <c r="AB1376" s="77" t="s">
        <v>8227</v>
      </c>
      <c r="AC1376" s="82" t="s">
        <v>8233</v>
      </c>
      <c r="AD1376" s="77" t="s">
        <v>8278</v>
      </c>
      <c r="AE1376" s="80" t="str">
        <f>HYPERLINK("https://twitter.com/casal_trader/status/1672365564780486656")</f>
        <v>https://twitter.com/casal_trader/status/1672365564780486656</v>
      </c>
      <c r="AF1376" s="79">
        <v>45100.921249999999</v>
      </c>
      <c r="AG1376" s="85">
        <v>45100</v>
      </c>
      <c r="AH1376" s="82" t="s">
        <v>9522</v>
      </c>
      <c r="AI1376" s="77" t="b">
        <v>0</v>
      </c>
      <c r="AJ1376" s="77"/>
      <c r="AK1376" s="77"/>
      <c r="AL1376" s="77"/>
      <c r="AM1376" s="77"/>
      <c r="AN1376" s="77"/>
      <c r="AO1376" s="77"/>
      <c r="AP1376" s="77"/>
      <c r="AQ1376" s="77" t="s">
        <v>12580</v>
      </c>
      <c r="AR1376" s="77">
        <v>62500</v>
      </c>
      <c r="AS1376" s="77"/>
      <c r="AT1376" s="77"/>
      <c r="AU1376" s="77"/>
      <c r="AV1376" s="80" t="str">
        <f>HYPERLINK("https://pbs.twimg.com/ext_tw_video_thumb/1672365435356954627/pu/img/MdkYRX4LuwX0yLbi.jpg")</f>
        <v>https://pbs.twimg.com/ext_tw_video_thumb/1672365435356954627/pu/img/MdkYRX4LuwX0yLbi.jpg</v>
      </c>
      <c r="AW1376" s="82" t="s">
        <v>14471</v>
      </c>
      <c r="AX1376" s="82" t="s">
        <v>14471</v>
      </c>
      <c r="AY1376" s="77"/>
      <c r="AZ1376" s="82" t="s">
        <v>17385</v>
      </c>
      <c r="BA1376" s="82" t="s">
        <v>17385</v>
      </c>
      <c r="BB1376" s="82" t="s">
        <v>17385</v>
      </c>
      <c r="BC1376" s="82" t="s">
        <v>14471</v>
      </c>
      <c r="BD1376" s="82" t="s">
        <v>17558</v>
      </c>
      <c r="BE1376" s="77"/>
      <c r="BF1376" s="77"/>
      <c r="BG1376" s="77"/>
      <c r="BH1376" s="77"/>
      <c r="BI1376" s="77"/>
    </row>
    <row r="1377" spans="1:61" x14ac:dyDescent="0.25">
      <c r="A1377" s="62" t="s">
        <v>441</v>
      </c>
      <c r="B1377" s="62" t="s">
        <v>441</v>
      </c>
      <c r="C1377" s="63"/>
      <c r="D1377" s="64"/>
      <c r="E1377" s="65"/>
      <c r="F1377" s="66"/>
      <c r="G1377" s="63"/>
      <c r="H1377" s="67"/>
      <c r="I1377" s="68"/>
      <c r="J1377" s="68"/>
      <c r="K1377" s="32"/>
      <c r="L1377" s="75">
        <v>1377</v>
      </c>
      <c r="M1377" s="75"/>
      <c r="N1377" s="70"/>
      <c r="O1377" s="77" t="s">
        <v>179</v>
      </c>
      <c r="P1377" s="79">
        <v>45051.758703703701</v>
      </c>
      <c r="Q1377" s="77" t="s">
        <v>2168</v>
      </c>
      <c r="R1377" s="77">
        <v>5</v>
      </c>
      <c r="S1377" s="77">
        <v>120</v>
      </c>
      <c r="T1377" s="77">
        <v>14</v>
      </c>
      <c r="U1377" s="77">
        <v>1</v>
      </c>
      <c r="V1377" s="77">
        <v>20085</v>
      </c>
      <c r="W1377" s="82" t="s">
        <v>5679</v>
      </c>
      <c r="X1377" s="77"/>
      <c r="Y1377" s="77"/>
      <c r="Z1377" s="77"/>
      <c r="AA1377" s="77"/>
      <c r="AB1377" s="77"/>
      <c r="AC1377" s="82" t="s">
        <v>8234</v>
      </c>
      <c r="AD1377" s="77" t="s">
        <v>8278</v>
      </c>
      <c r="AE1377" s="80" t="str">
        <f>HYPERLINK("https://twitter.com/tiagogreis/status/1654549655705866240")</f>
        <v>https://twitter.com/tiagogreis/status/1654549655705866240</v>
      </c>
      <c r="AF1377" s="79">
        <v>45051.758703703701</v>
      </c>
      <c r="AG1377" s="85">
        <v>45051</v>
      </c>
      <c r="AH1377" s="82" t="s">
        <v>9523</v>
      </c>
      <c r="AI1377" s="77"/>
      <c r="AJ1377" s="77"/>
      <c r="AK1377" s="77"/>
      <c r="AL1377" s="77"/>
      <c r="AM1377" s="77"/>
      <c r="AN1377" s="77"/>
      <c r="AO1377" s="77"/>
      <c r="AP1377" s="77"/>
      <c r="AQ1377" s="77"/>
      <c r="AR1377" s="77"/>
      <c r="AS1377" s="77"/>
      <c r="AT1377" s="77"/>
      <c r="AU1377" s="77"/>
      <c r="AV1377" s="80" t="str">
        <f>HYPERLINK("https://pbs.twimg.com/profile_images/1681702977587892224/qAfYM-oD_normal.jpg")</f>
        <v>https://pbs.twimg.com/profile_images/1681702977587892224/qAfYM-oD_normal.jpg</v>
      </c>
      <c r="AW1377" s="82" t="s">
        <v>14472</v>
      </c>
      <c r="AX1377" s="82" t="s">
        <v>14472</v>
      </c>
      <c r="AY1377" s="77"/>
      <c r="AZ1377" s="82" t="s">
        <v>17385</v>
      </c>
      <c r="BA1377" s="82" t="s">
        <v>17385</v>
      </c>
      <c r="BB1377" s="82" t="s">
        <v>17385</v>
      </c>
      <c r="BC1377" s="82" t="s">
        <v>14472</v>
      </c>
      <c r="BD1377" s="77">
        <v>2428055045</v>
      </c>
      <c r="BE1377" s="77"/>
      <c r="BF1377" s="77"/>
      <c r="BG1377" s="77"/>
      <c r="BH1377" s="77"/>
      <c r="BI1377" s="77"/>
    </row>
    <row r="1378" spans="1:61" x14ac:dyDescent="0.25">
      <c r="A1378" s="62" t="s">
        <v>442</v>
      </c>
      <c r="B1378" s="62" t="s">
        <v>442</v>
      </c>
      <c r="C1378" s="63"/>
      <c r="D1378" s="64"/>
      <c r="E1378" s="65"/>
      <c r="F1378" s="66"/>
      <c r="G1378" s="63"/>
      <c r="H1378" s="67"/>
      <c r="I1378" s="68"/>
      <c r="J1378" s="68"/>
      <c r="K1378" s="32"/>
      <c r="L1378" s="75">
        <v>1378</v>
      </c>
      <c r="M1378" s="75"/>
      <c r="N1378" s="70"/>
      <c r="O1378" s="77" t="s">
        <v>800</v>
      </c>
      <c r="P1378" s="79">
        <v>45047.596539351849</v>
      </c>
      <c r="Q1378" s="77" t="s">
        <v>2169</v>
      </c>
      <c r="R1378" s="77">
        <v>0</v>
      </c>
      <c r="S1378" s="77">
        <v>0</v>
      </c>
      <c r="T1378" s="77">
        <v>0</v>
      </c>
      <c r="U1378" s="77">
        <v>0</v>
      </c>
      <c r="V1378" s="77">
        <v>7</v>
      </c>
      <c r="W1378" s="82" t="s">
        <v>5680</v>
      </c>
      <c r="X1378" s="77"/>
      <c r="Y1378" s="77"/>
      <c r="Z1378" s="77"/>
      <c r="AA1378" s="77"/>
      <c r="AB1378" s="77"/>
      <c r="AC1378" s="82" t="s">
        <v>8232</v>
      </c>
      <c r="AD1378" s="77" t="s">
        <v>8278</v>
      </c>
      <c r="AE1378" s="80" t="str">
        <f>HYPERLINK("https://twitter.com/japonews_eth/status/1653041337409888256")</f>
        <v>https://twitter.com/japonews_eth/status/1653041337409888256</v>
      </c>
      <c r="AF1378" s="79">
        <v>45047.596539351849</v>
      </c>
      <c r="AG1378" s="85">
        <v>45047</v>
      </c>
      <c r="AH1378" s="82" t="s">
        <v>9524</v>
      </c>
      <c r="AI1378" s="77"/>
      <c r="AJ1378" s="77"/>
      <c r="AK1378" s="77"/>
      <c r="AL1378" s="77"/>
      <c r="AM1378" s="77"/>
      <c r="AN1378" s="77"/>
      <c r="AO1378" s="77"/>
      <c r="AP1378" s="77"/>
      <c r="AQ1378" s="77"/>
      <c r="AR1378" s="77"/>
      <c r="AS1378" s="77"/>
      <c r="AT1378" s="77"/>
      <c r="AU1378" s="77"/>
      <c r="AV1378" s="80" t="str">
        <f>HYPERLINK("https://pbs.twimg.com/profile_images/1573715760773419008/Zqmb-kMr_normal.jpg")</f>
        <v>https://pbs.twimg.com/profile_images/1573715760773419008/Zqmb-kMr_normal.jpg</v>
      </c>
      <c r="AW1378" s="82" t="s">
        <v>14473</v>
      </c>
      <c r="AX1378" s="82" t="s">
        <v>17173</v>
      </c>
      <c r="AY1378" s="82" t="s">
        <v>17347</v>
      </c>
      <c r="AZ1378" s="82" t="s">
        <v>17408</v>
      </c>
      <c r="BA1378" s="82" t="s">
        <v>17385</v>
      </c>
      <c r="BB1378" s="82" t="s">
        <v>17385</v>
      </c>
      <c r="BC1378" s="82" t="s">
        <v>17408</v>
      </c>
      <c r="BD1378" s="82" t="s">
        <v>17347</v>
      </c>
      <c r="BE1378" s="77"/>
      <c r="BF1378" s="77"/>
      <c r="BG1378" s="77"/>
      <c r="BH1378" s="77"/>
      <c r="BI1378" s="77"/>
    </row>
    <row r="1379" spans="1:61" x14ac:dyDescent="0.25">
      <c r="A1379" s="62" t="s">
        <v>443</v>
      </c>
      <c r="B1379" s="62" t="s">
        <v>443</v>
      </c>
      <c r="C1379" s="63"/>
      <c r="D1379" s="64"/>
      <c r="E1379" s="65"/>
      <c r="F1379" s="66"/>
      <c r="G1379" s="63"/>
      <c r="H1379" s="67"/>
      <c r="I1379" s="68"/>
      <c r="J1379" s="68"/>
      <c r="K1379" s="32"/>
      <c r="L1379" s="75">
        <v>1379</v>
      </c>
      <c r="M1379" s="75"/>
      <c r="N1379" s="70"/>
      <c r="O1379" s="77" t="s">
        <v>179</v>
      </c>
      <c r="P1379" s="79">
        <v>45191.769930555558</v>
      </c>
      <c r="Q1379" s="77" t="s">
        <v>2170</v>
      </c>
      <c r="R1379" s="77">
        <v>0</v>
      </c>
      <c r="S1379" s="77">
        <v>5</v>
      </c>
      <c r="T1379" s="77">
        <v>1</v>
      </c>
      <c r="U1379" s="77">
        <v>0</v>
      </c>
      <c r="V1379" s="77">
        <v>236</v>
      </c>
      <c r="W1379" s="82" t="s">
        <v>5681</v>
      </c>
      <c r="X1379" s="77"/>
      <c r="Y1379" s="77"/>
      <c r="Z1379" s="77"/>
      <c r="AA1379" s="77" t="s">
        <v>7696</v>
      </c>
      <c r="AB1379" s="77" t="s">
        <v>8228</v>
      </c>
      <c r="AC1379" s="82" t="s">
        <v>8232</v>
      </c>
      <c r="AD1379" s="77" t="s">
        <v>8278</v>
      </c>
      <c r="AE1379" s="80" t="str">
        <f>HYPERLINK("https://twitter.com/filipeborgesfb/status/1705288026497130666")</f>
        <v>https://twitter.com/filipeborgesfb/status/1705288026497130666</v>
      </c>
      <c r="AF1379" s="79">
        <v>45191.769930555558</v>
      </c>
      <c r="AG1379" s="85">
        <v>45191</v>
      </c>
      <c r="AH1379" s="82" t="s">
        <v>9525</v>
      </c>
      <c r="AI1379" s="77" t="b">
        <v>0</v>
      </c>
      <c r="AJ1379" s="77"/>
      <c r="AK1379" s="77"/>
      <c r="AL1379" s="77"/>
      <c r="AM1379" s="77"/>
      <c r="AN1379" s="77"/>
      <c r="AO1379" s="77"/>
      <c r="AP1379" s="77"/>
      <c r="AQ1379" s="77" t="s">
        <v>12581</v>
      </c>
      <c r="AR1379" s="77"/>
      <c r="AS1379" s="77"/>
      <c r="AT1379" s="77"/>
      <c r="AU1379" s="77"/>
      <c r="AV1379" s="80" t="str">
        <f>HYPERLINK("https://pbs.twimg.com/media/F6pl5aqWcAA8qQd.png")</f>
        <v>https://pbs.twimg.com/media/F6pl5aqWcAA8qQd.png</v>
      </c>
      <c r="AW1379" s="82" t="s">
        <v>14474</v>
      </c>
      <c r="AX1379" s="82" t="s">
        <v>14474</v>
      </c>
      <c r="AY1379" s="77"/>
      <c r="AZ1379" s="82" t="s">
        <v>17385</v>
      </c>
      <c r="BA1379" s="82" t="s">
        <v>17385</v>
      </c>
      <c r="BB1379" s="82" t="s">
        <v>17385</v>
      </c>
      <c r="BC1379" s="82" t="s">
        <v>14474</v>
      </c>
      <c r="BD1379" s="77">
        <v>126173807</v>
      </c>
      <c r="BE1379" s="77"/>
      <c r="BF1379" s="77"/>
      <c r="BG1379" s="77"/>
      <c r="BH1379" s="77"/>
      <c r="BI1379" s="77"/>
    </row>
    <row r="1380" spans="1:61" x14ac:dyDescent="0.25">
      <c r="A1380" s="62" t="s">
        <v>444</v>
      </c>
      <c r="B1380" s="62" t="s">
        <v>444</v>
      </c>
      <c r="C1380" s="63"/>
      <c r="D1380" s="64"/>
      <c r="E1380" s="65"/>
      <c r="F1380" s="66"/>
      <c r="G1380" s="63"/>
      <c r="H1380" s="67"/>
      <c r="I1380" s="68"/>
      <c r="J1380" s="68"/>
      <c r="K1380" s="32"/>
      <c r="L1380" s="75">
        <v>1380</v>
      </c>
      <c r="M1380" s="75"/>
      <c r="N1380" s="70"/>
      <c r="O1380" s="77" t="s">
        <v>179</v>
      </c>
      <c r="P1380" s="79">
        <v>45132.875</v>
      </c>
      <c r="Q1380" s="77" t="s">
        <v>2171</v>
      </c>
      <c r="R1380" s="77">
        <v>0</v>
      </c>
      <c r="S1380" s="77">
        <v>0</v>
      </c>
      <c r="T1380" s="77">
        <v>0</v>
      </c>
      <c r="U1380" s="77">
        <v>0</v>
      </c>
      <c r="V1380" s="77">
        <v>8</v>
      </c>
      <c r="W1380" s="82" t="s">
        <v>5682</v>
      </c>
      <c r="X1380" s="77"/>
      <c r="Y1380" s="77"/>
      <c r="Z1380" s="77"/>
      <c r="AA1380" s="77" t="s">
        <v>7697</v>
      </c>
      <c r="AB1380" s="77" t="s">
        <v>8225</v>
      </c>
      <c r="AC1380" s="82" t="s">
        <v>8241</v>
      </c>
      <c r="AD1380" s="77" t="s">
        <v>8278</v>
      </c>
      <c r="AE1380" s="80" t="str">
        <f>HYPERLINK("https://twitter.com/cmswbr/status/1683945215227314177")</f>
        <v>https://twitter.com/cmswbr/status/1683945215227314177</v>
      </c>
      <c r="AF1380" s="79">
        <v>45132.875</v>
      </c>
      <c r="AG1380" s="85">
        <v>45132</v>
      </c>
      <c r="AH1380" s="82" t="s">
        <v>9526</v>
      </c>
      <c r="AI1380" s="77" t="b">
        <v>0</v>
      </c>
      <c r="AJ1380" s="77"/>
      <c r="AK1380" s="77"/>
      <c r="AL1380" s="77"/>
      <c r="AM1380" s="77"/>
      <c r="AN1380" s="77"/>
      <c r="AO1380" s="77"/>
      <c r="AP1380" s="77"/>
      <c r="AQ1380" s="77" t="s">
        <v>12582</v>
      </c>
      <c r="AR1380" s="77"/>
      <c r="AS1380" s="77"/>
      <c r="AT1380" s="77"/>
      <c r="AU1380" s="77"/>
      <c r="AV1380" s="80" t="str">
        <f>HYPERLINK("https://pbs.twimg.com/media/F16FhMsXgAMqvcU.jpg")</f>
        <v>https://pbs.twimg.com/media/F16FhMsXgAMqvcU.jpg</v>
      </c>
      <c r="AW1380" s="82" t="s">
        <v>14475</v>
      </c>
      <c r="AX1380" s="82" t="s">
        <v>14475</v>
      </c>
      <c r="AY1380" s="77"/>
      <c r="AZ1380" s="82" t="s">
        <v>17385</v>
      </c>
      <c r="BA1380" s="82" t="s">
        <v>17385</v>
      </c>
      <c r="BB1380" s="82" t="s">
        <v>17385</v>
      </c>
      <c r="BC1380" s="82" t="s">
        <v>14475</v>
      </c>
      <c r="BD1380" s="77">
        <v>2325810834</v>
      </c>
      <c r="BE1380" s="77"/>
      <c r="BF1380" s="77"/>
      <c r="BG1380" s="77"/>
      <c r="BH1380" s="77"/>
      <c r="BI1380" s="77"/>
    </row>
    <row r="1381" spans="1:61" x14ac:dyDescent="0.25">
      <c r="A1381" s="62" t="s">
        <v>445</v>
      </c>
      <c r="B1381" s="62" t="s">
        <v>445</v>
      </c>
      <c r="C1381" s="63"/>
      <c r="D1381" s="64"/>
      <c r="E1381" s="65"/>
      <c r="F1381" s="66"/>
      <c r="G1381" s="63"/>
      <c r="H1381" s="67"/>
      <c r="I1381" s="68"/>
      <c r="J1381" s="68"/>
      <c r="K1381" s="32"/>
      <c r="L1381" s="75">
        <v>1381</v>
      </c>
      <c r="M1381" s="75"/>
      <c r="N1381" s="70"/>
      <c r="O1381" s="77" t="s">
        <v>179</v>
      </c>
      <c r="P1381" s="79">
        <v>45173.666145833333</v>
      </c>
      <c r="Q1381" s="77" t="s">
        <v>2172</v>
      </c>
      <c r="R1381" s="77">
        <v>0</v>
      </c>
      <c r="S1381" s="77">
        <v>0</v>
      </c>
      <c r="T1381" s="77">
        <v>0</v>
      </c>
      <c r="U1381" s="77">
        <v>0</v>
      </c>
      <c r="V1381" s="77">
        <v>7</v>
      </c>
      <c r="W1381" s="82" t="s">
        <v>5683</v>
      </c>
      <c r="X1381" s="80" t="str">
        <f>HYPERLINK("https://www.jornaldaki.com.br/a%C3%A7%C3%B5es-do-brasil-sem-fome-v%C3%A3o-atender-33-1-milh%C3%B5es-de-pessoas")</f>
        <v>https://www.jornaldaki.com.br/a%C3%A7%C3%B5es-do-brasil-sem-fome-v%C3%A3o-atender-33-1-milh%C3%B5es-de-pessoas</v>
      </c>
      <c r="Y1381" s="77" t="s">
        <v>7053</v>
      </c>
      <c r="Z1381" s="77"/>
      <c r="AA1381" s="77"/>
      <c r="AB1381" s="77"/>
      <c r="AC1381" s="82" t="s">
        <v>8232</v>
      </c>
      <c r="AD1381" s="77" t="s">
        <v>8278</v>
      </c>
      <c r="AE1381" s="80" t="str">
        <f>HYPERLINK("https://twitter.com/jornaldaki/status/1698727434101703075")</f>
        <v>https://twitter.com/jornaldaki/status/1698727434101703075</v>
      </c>
      <c r="AF1381" s="79">
        <v>45173.666145833333</v>
      </c>
      <c r="AG1381" s="85">
        <v>45173</v>
      </c>
      <c r="AH1381" s="82" t="s">
        <v>9527</v>
      </c>
      <c r="AI1381" s="77" t="b">
        <v>0</v>
      </c>
      <c r="AJ1381" s="77"/>
      <c r="AK1381" s="77"/>
      <c r="AL1381" s="77"/>
      <c r="AM1381" s="77"/>
      <c r="AN1381" s="77"/>
      <c r="AO1381" s="77"/>
      <c r="AP1381" s="77"/>
      <c r="AQ1381" s="77"/>
      <c r="AR1381" s="77"/>
      <c r="AS1381" s="77"/>
      <c r="AT1381" s="77"/>
      <c r="AU1381" s="77"/>
      <c r="AV1381" s="80" t="str">
        <f>HYPERLINK("https://pbs.twimg.com/profile_images/1396145253820903426/_VX1GTKG_normal.jpg")</f>
        <v>https://pbs.twimg.com/profile_images/1396145253820903426/_VX1GTKG_normal.jpg</v>
      </c>
      <c r="AW1381" s="82" t="s">
        <v>14476</v>
      </c>
      <c r="AX1381" s="82" t="s">
        <v>14476</v>
      </c>
      <c r="AY1381" s="77"/>
      <c r="AZ1381" s="82" t="s">
        <v>17385</v>
      </c>
      <c r="BA1381" s="82" t="s">
        <v>17385</v>
      </c>
      <c r="BB1381" s="82" t="s">
        <v>17385</v>
      </c>
      <c r="BC1381" s="82" t="s">
        <v>14476</v>
      </c>
      <c r="BD1381" s="77">
        <v>3581596336</v>
      </c>
      <c r="BE1381" s="77"/>
      <c r="BF1381" s="77"/>
      <c r="BG1381" s="77"/>
      <c r="BH1381" s="77"/>
      <c r="BI1381" s="77"/>
    </row>
    <row r="1382" spans="1:61" x14ac:dyDescent="0.25">
      <c r="A1382" s="62" t="s">
        <v>446</v>
      </c>
      <c r="B1382" s="62" t="s">
        <v>765</v>
      </c>
      <c r="C1382" s="63"/>
      <c r="D1382" s="64"/>
      <c r="E1382" s="65"/>
      <c r="F1382" s="66"/>
      <c r="G1382" s="63"/>
      <c r="H1382" s="67"/>
      <c r="I1382" s="68"/>
      <c r="J1382" s="68"/>
      <c r="K1382" s="32"/>
      <c r="L1382" s="75">
        <v>1382</v>
      </c>
      <c r="M1382" s="75"/>
      <c r="N1382" s="70"/>
      <c r="O1382" s="77" t="s">
        <v>802</v>
      </c>
      <c r="P1382" s="79">
        <v>45130.630856481483</v>
      </c>
      <c r="Q1382" s="77" t="s">
        <v>2173</v>
      </c>
      <c r="R1382" s="77">
        <v>1382</v>
      </c>
      <c r="S1382" s="77">
        <v>11428</v>
      </c>
      <c r="T1382" s="77">
        <v>562</v>
      </c>
      <c r="U1382" s="77">
        <v>60</v>
      </c>
      <c r="V1382" s="77">
        <v>283341</v>
      </c>
      <c r="W1382" s="77"/>
      <c r="X1382" s="77"/>
      <c r="Y1382" s="77"/>
      <c r="Z1382" s="77" t="s">
        <v>765</v>
      </c>
      <c r="AA1382" s="77"/>
      <c r="AB1382" s="77"/>
      <c r="AC1382" s="82" t="s">
        <v>8233</v>
      </c>
      <c r="AD1382" s="77" t="s">
        <v>8278</v>
      </c>
      <c r="AE1382" s="80" t="str">
        <f>HYPERLINK("https://twitter.com/tarcisiogdf/status/1683131966755946504")</f>
        <v>https://twitter.com/tarcisiogdf/status/1683131966755946504</v>
      </c>
      <c r="AF1382" s="79">
        <v>45130.630856481483</v>
      </c>
      <c r="AG1382" s="85">
        <v>45130</v>
      </c>
      <c r="AH1382" s="82" t="s">
        <v>9528</v>
      </c>
      <c r="AI1382" s="77"/>
      <c r="AJ1382" s="77"/>
      <c r="AK1382" s="77"/>
      <c r="AL1382" s="77"/>
      <c r="AM1382" s="77"/>
      <c r="AN1382" s="77"/>
      <c r="AO1382" s="77"/>
      <c r="AP1382" s="77"/>
      <c r="AQ1382" s="77"/>
      <c r="AR1382" s="77"/>
      <c r="AS1382" s="77"/>
      <c r="AT1382" s="77"/>
      <c r="AU1382" s="77"/>
      <c r="AV1382" s="80" t="str">
        <f>HYPERLINK("https://pbs.twimg.com/profile_images/1587217097855213577/v4EbJ7bm_normal.jpg")</f>
        <v>https://pbs.twimg.com/profile_images/1587217097855213577/v4EbJ7bm_normal.jpg</v>
      </c>
      <c r="AW1382" s="82" t="s">
        <v>14477</v>
      </c>
      <c r="AX1382" s="82" t="s">
        <v>14477</v>
      </c>
      <c r="AY1382" s="77"/>
      <c r="AZ1382" s="82" t="s">
        <v>17385</v>
      </c>
      <c r="BA1382" s="82" t="s">
        <v>17385</v>
      </c>
      <c r="BB1382" s="82" t="s">
        <v>17385</v>
      </c>
      <c r="BC1382" s="82" t="s">
        <v>14477</v>
      </c>
      <c r="BD1382" s="82" t="s">
        <v>17559</v>
      </c>
      <c r="BE1382" s="77"/>
      <c r="BF1382" s="77"/>
      <c r="BG1382" s="77"/>
      <c r="BH1382" s="77"/>
      <c r="BI1382" s="77"/>
    </row>
    <row r="1383" spans="1:61" x14ac:dyDescent="0.25">
      <c r="A1383" s="62" t="s">
        <v>447</v>
      </c>
      <c r="B1383" s="62" t="s">
        <v>447</v>
      </c>
      <c r="C1383" s="63"/>
      <c r="D1383" s="64"/>
      <c r="E1383" s="65"/>
      <c r="F1383" s="66"/>
      <c r="G1383" s="63"/>
      <c r="H1383" s="67"/>
      <c r="I1383" s="68"/>
      <c r="J1383" s="68"/>
      <c r="K1383" s="32"/>
      <c r="L1383" s="75">
        <v>1383</v>
      </c>
      <c r="M1383" s="75"/>
      <c r="N1383" s="70"/>
      <c r="O1383" s="77" t="s">
        <v>179</v>
      </c>
      <c r="P1383" s="79">
        <v>45098.786134259259</v>
      </c>
      <c r="Q1383" s="77" t="s">
        <v>2174</v>
      </c>
      <c r="R1383" s="77">
        <v>0</v>
      </c>
      <c r="S1383" s="77">
        <v>1</v>
      </c>
      <c r="T1383" s="77">
        <v>1</v>
      </c>
      <c r="U1383" s="77">
        <v>0</v>
      </c>
      <c r="V1383" s="77">
        <v>34</v>
      </c>
      <c r="W1383" s="82" t="s">
        <v>5684</v>
      </c>
      <c r="X1383" s="80" t="str">
        <f>HYPERLINK("https://pixtv.com.br/rs-reuniao-governamental-define-acoes/")</f>
        <v>https://pixtv.com.br/rs-reuniao-governamental-define-acoes/</v>
      </c>
      <c r="Y1383" s="77" t="s">
        <v>7053</v>
      </c>
      <c r="Z1383" s="77"/>
      <c r="AA1383" s="77"/>
      <c r="AB1383" s="77"/>
      <c r="AC1383" s="82" t="s">
        <v>8232</v>
      </c>
      <c r="AD1383" s="77" t="s">
        <v>8278</v>
      </c>
      <c r="AE1383" s="80" t="str">
        <f>HYPERLINK("https://twitter.com/pixtvhd/status/1671591825700790275")</f>
        <v>https://twitter.com/pixtvhd/status/1671591825700790275</v>
      </c>
      <c r="AF1383" s="79">
        <v>45098.786134259259</v>
      </c>
      <c r="AG1383" s="85">
        <v>45098</v>
      </c>
      <c r="AH1383" s="82" t="s">
        <v>9529</v>
      </c>
      <c r="AI1383" s="77" t="b">
        <v>0</v>
      </c>
      <c r="AJ1383" s="77"/>
      <c r="AK1383" s="77"/>
      <c r="AL1383" s="77"/>
      <c r="AM1383" s="77"/>
      <c r="AN1383" s="77"/>
      <c r="AO1383" s="77"/>
      <c r="AP1383" s="77"/>
      <c r="AQ1383" s="77"/>
      <c r="AR1383" s="77"/>
      <c r="AS1383" s="77"/>
      <c r="AT1383" s="77"/>
      <c r="AU1383" s="77"/>
      <c r="AV1383" s="80" t="str">
        <f>HYPERLINK("https://pbs.twimg.com/profile_images/1316845696058875909/UmEo9HZn_normal.jpg")</f>
        <v>https://pbs.twimg.com/profile_images/1316845696058875909/UmEo9HZn_normal.jpg</v>
      </c>
      <c r="AW1383" s="82" t="s">
        <v>14478</v>
      </c>
      <c r="AX1383" s="82" t="s">
        <v>14478</v>
      </c>
      <c r="AY1383" s="77"/>
      <c r="AZ1383" s="82" t="s">
        <v>17385</v>
      </c>
      <c r="BA1383" s="82" t="s">
        <v>17385</v>
      </c>
      <c r="BB1383" s="82" t="s">
        <v>17385</v>
      </c>
      <c r="BC1383" s="82" t="s">
        <v>14478</v>
      </c>
      <c r="BD1383" s="77">
        <v>117089350</v>
      </c>
      <c r="BE1383" s="77"/>
      <c r="BF1383" s="77"/>
      <c r="BG1383" s="77"/>
      <c r="BH1383" s="77"/>
      <c r="BI1383" s="77"/>
    </row>
    <row r="1384" spans="1:61" x14ac:dyDescent="0.25">
      <c r="A1384" s="62" t="s">
        <v>448</v>
      </c>
      <c r="B1384" s="62" t="s">
        <v>766</v>
      </c>
      <c r="C1384" s="63"/>
      <c r="D1384" s="64"/>
      <c r="E1384" s="65"/>
      <c r="F1384" s="66"/>
      <c r="G1384" s="63"/>
      <c r="H1384" s="67"/>
      <c r="I1384" s="68"/>
      <c r="J1384" s="68"/>
      <c r="K1384" s="32"/>
      <c r="L1384" s="75">
        <v>1384</v>
      </c>
      <c r="M1384" s="75"/>
      <c r="N1384" s="70"/>
      <c r="O1384" s="77" t="s">
        <v>802</v>
      </c>
      <c r="P1384" s="79">
        <v>45128.485034722224</v>
      </c>
      <c r="Q1384" s="77" t="s">
        <v>2175</v>
      </c>
      <c r="R1384" s="77">
        <v>0</v>
      </c>
      <c r="S1384" s="77">
        <v>0</v>
      </c>
      <c r="T1384" s="77">
        <v>0</v>
      </c>
      <c r="U1384" s="77">
        <v>0</v>
      </c>
      <c r="V1384" s="77">
        <v>22</v>
      </c>
      <c r="W1384" s="82" t="s">
        <v>5685</v>
      </c>
      <c r="X1384" s="80" t="str">
        <f>HYPERLINK("https://www.granjanews.com.br/de-sexta-a-domingo-meio-ambiente-realizara-acoes-de-doacao-de-mudas-e-coleta-de-lixo-eletronico/")</f>
        <v>https://www.granjanews.com.br/de-sexta-a-domingo-meio-ambiente-realizara-acoes-de-doacao-de-mudas-e-coleta-de-lixo-eletronico/</v>
      </c>
      <c r="Y1384" s="77" t="s">
        <v>7053</v>
      </c>
      <c r="Z1384" s="77" t="s">
        <v>766</v>
      </c>
      <c r="AA1384" s="77" t="s">
        <v>7698</v>
      </c>
      <c r="AB1384" s="77" t="s">
        <v>8225</v>
      </c>
      <c r="AC1384" s="82" t="s">
        <v>8232</v>
      </c>
      <c r="AD1384" s="77" t="s">
        <v>8278</v>
      </c>
      <c r="AE1384" s="80" t="str">
        <f>HYPERLINK("https://twitter.com/granjanews/status/1682354348322439168")</f>
        <v>https://twitter.com/granjanews/status/1682354348322439168</v>
      </c>
      <c r="AF1384" s="79">
        <v>45128.485034722224</v>
      </c>
      <c r="AG1384" s="85">
        <v>45128</v>
      </c>
      <c r="AH1384" s="82" t="s">
        <v>9530</v>
      </c>
      <c r="AI1384" s="77" t="b">
        <v>0</v>
      </c>
      <c r="AJ1384" s="77"/>
      <c r="AK1384" s="77"/>
      <c r="AL1384" s="77"/>
      <c r="AM1384" s="77"/>
      <c r="AN1384" s="77"/>
      <c r="AO1384" s="77"/>
      <c r="AP1384" s="77"/>
      <c r="AQ1384" s="77" t="s">
        <v>12583</v>
      </c>
      <c r="AR1384" s="77"/>
      <c r="AS1384" s="77"/>
      <c r="AT1384" s="77"/>
      <c r="AU1384" s="77"/>
      <c r="AV1384" s="80" t="str">
        <f>HYPERLINK("https://pbs.twimg.com/media/F1jsWC-WcAADyn7.png")</f>
        <v>https://pbs.twimg.com/media/F1jsWC-WcAADyn7.png</v>
      </c>
      <c r="AW1384" s="82" t="s">
        <v>14479</v>
      </c>
      <c r="AX1384" s="82" t="s">
        <v>14479</v>
      </c>
      <c r="AY1384" s="77"/>
      <c r="AZ1384" s="82" t="s">
        <v>17385</v>
      </c>
      <c r="BA1384" s="82" t="s">
        <v>17385</v>
      </c>
      <c r="BB1384" s="82" t="s">
        <v>17385</v>
      </c>
      <c r="BC1384" s="82" t="s">
        <v>14479</v>
      </c>
      <c r="BD1384" s="77">
        <v>239678012</v>
      </c>
      <c r="BE1384" s="77"/>
      <c r="BF1384" s="77"/>
      <c r="BG1384" s="77"/>
      <c r="BH1384" s="77"/>
      <c r="BI1384" s="77"/>
    </row>
    <row r="1385" spans="1:61" x14ac:dyDescent="0.25">
      <c r="A1385" s="62" t="s">
        <v>448</v>
      </c>
      <c r="B1385" s="62" t="s">
        <v>766</v>
      </c>
      <c r="C1385" s="63"/>
      <c r="D1385" s="64"/>
      <c r="E1385" s="65"/>
      <c r="F1385" s="66"/>
      <c r="G1385" s="63"/>
      <c r="H1385" s="67"/>
      <c r="I1385" s="68"/>
      <c r="J1385" s="68"/>
      <c r="K1385" s="32"/>
      <c r="L1385" s="75">
        <v>1385</v>
      </c>
      <c r="M1385" s="75"/>
      <c r="N1385" s="70"/>
      <c r="O1385" s="77" t="s">
        <v>802</v>
      </c>
      <c r="P1385" s="79">
        <v>45133.542743055557</v>
      </c>
      <c r="Q1385" s="77" t="s">
        <v>2176</v>
      </c>
      <c r="R1385" s="77">
        <v>0</v>
      </c>
      <c r="S1385" s="77">
        <v>1</v>
      </c>
      <c r="T1385" s="77">
        <v>0</v>
      </c>
      <c r="U1385" s="77">
        <v>0</v>
      </c>
      <c r="V1385" s="77">
        <v>35</v>
      </c>
      <c r="W1385" s="82" t="s">
        <v>5686</v>
      </c>
      <c r="X1385" s="80" t="str">
        <f>HYPERLINK("https://www.granjanews.com.br/zoonoses-de-cotia-fara-duas-acoes-de-vacinacao-antirrabica-ate-o-fim-do-mes/")</f>
        <v>https://www.granjanews.com.br/zoonoses-de-cotia-fara-duas-acoes-de-vacinacao-antirrabica-ate-o-fim-do-mes/</v>
      </c>
      <c r="Y1385" s="77" t="s">
        <v>7053</v>
      </c>
      <c r="Z1385" s="77" t="s">
        <v>766</v>
      </c>
      <c r="AA1385" s="77" t="s">
        <v>7699</v>
      </c>
      <c r="AB1385" s="77" t="s">
        <v>8225</v>
      </c>
      <c r="AC1385" s="82" t="s">
        <v>8232</v>
      </c>
      <c r="AD1385" s="77" t="s">
        <v>8278</v>
      </c>
      <c r="AE1385" s="80" t="str">
        <f>HYPERLINK("https://twitter.com/granjanews/status/1684187197006643200")</f>
        <v>https://twitter.com/granjanews/status/1684187197006643200</v>
      </c>
      <c r="AF1385" s="79">
        <v>45133.542743055557</v>
      </c>
      <c r="AG1385" s="85">
        <v>45133</v>
      </c>
      <c r="AH1385" s="82" t="s">
        <v>9531</v>
      </c>
      <c r="AI1385" s="77" t="b">
        <v>0</v>
      </c>
      <c r="AJ1385" s="77"/>
      <c r="AK1385" s="77"/>
      <c r="AL1385" s="77"/>
      <c r="AM1385" s="77"/>
      <c r="AN1385" s="77"/>
      <c r="AO1385" s="77"/>
      <c r="AP1385" s="77"/>
      <c r="AQ1385" s="77" t="s">
        <v>12584</v>
      </c>
      <c r="AR1385" s="77"/>
      <c r="AS1385" s="77"/>
      <c r="AT1385" s="77"/>
      <c r="AU1385" s="77"/>
      <c r="AV1385" s="80" t="str">
        <f>HYPERLINK("https://pbs.twimg.com/media/F19vT7fXgAAfgbS.png")</f>
        <v>https://pbs.twimg.com/media/F19vT7fXgAAfgbS.png</v>
      </c>
      <c r="AW1385" s="82" t="s">
        <v>14480</v>
      </c>
      <c r="AX1385" s="82" t="s">
        <v>14480</v>
      </c>
      <c r="AY1385" s="77"/>
      <c r="AZ1385" s="82" t="s">
        <v>17385</v>
      </c>
      <c r="BA1385" s="82" t="s">
        <v>17385</v>
      </c>
      <c r="BB1385" s="82" t="s">
        <v>17385</v>
      </c>
      <c r="BC1385" s="82" t="s">
        <v>14480</v>
      </c>
      <c r="BD1385" s="77">
        <v>239678012</v>
      </c>
      <c r="BE1385" s="77"/>
      <c r="BF1385" s="77"/>
      <c r="BG1385" s="77"/>
      <c r="BH1385" s="77"/>
      <c r="BI1385" s="77"/>
    </row>
    <row r="1386" spans="1:61" x14ac:dyDescent="0.25">
      <c r="A1386" s="62" t="s">
        <v>448</v>
      </c>
      <c r="B1386" s="62" t="s">
        <v>448</v>
      </c>
      <c r="C1386" s="63"/>
      <c r="D1386" s="64"/>
      <c r="E1386" s="65"/>
      <c r="F1386" s="66"/>
      <c r="G1386" s="63"/>
      <c r="H1386" s="67"/>
      <c r="I1386" s="68"/>
      <c r="J1386" s="68"/>
      <c r="K1386" s="32"/>
      <c r="L1386" s="75">
        <v>1386</v>
      </c>
      <c r="M1386" s="75"/>
      <c r="N1386" s="70"/>
      <c r="O1386" s="77" t="s">
        <v>179</v>
      </c>
      <c r="P1386" s="79">
        <v>45143.571504629632</v>
      </c>
      <c r="Q1386" s="77" t="s">
        <v>2177</v>
      </c>
      <c r="R1386" s="77">
        <v>0</v>
      </c>
      <c r="S1386" s="77">
        <v>0</v>
      </c>
      <c r="T1386" s="77">
        <v>0</v>
      </c>
      <c r="U1386" s="77">
        <v>0</v>
      </c>
      <c r="V1386" s="77">
        <v>16</v>
      </c>
      <c r="W1386" s="82" t="s">
        <v>5687</v>
      </c>
      <c r="X1386" s="80" t="str">
        <f>HYPERLINK("https://www.granjanews.com.br/agosto-dourado-saude-de-jandira-realiza-acoes-em-prol-da-campanha/")</f>
        <v>https://www.granjanews.com.br/agosto-dourado-saude-de-jandira-realiza-acoes-em-prol-da-campanha/</v>
      </c>
      <c r="Y1386" s="77" t="s">
        <v>7053</v>
      </c>
      <c r="Z1386" s="77"/>
      <c r="AA1386" s="77" t="s">
        <v>7700</v>
      </c>
      <c r="AB1386" s="77" t="s">
        <v>8225</v>
      </c>
      <c r="AC1386" s="82" t="s">
        <v>8232</v>
      </c>
      <c r="AD1386" s="77" t="s">
        <v>8278</v>
      </c>
      <c r="AE1386" s="80" t="str">
        <f>HYPERLINK("https://twitter.com/granjanews/status/1687821499346956288")</f>
        <v>https://twitter.com/granjanews/status/1687821499346956288</v>
      </c>
      <c r="AF1386" s="79">
        <v>45143.571504629632</v>
      </c>
      <c r="AG1386" s="85">
        <v>45143</v>
      </c>
      <c r="AH1386" s="82" t="s">
        <v>9532</v>
      </c>
      <c r="AI1386" s="77" t="b">
        <v>0</v>
      </c>
      <c r="AJ1386" s="77"/>
      <c r="AK1386" s="77"/>
      <c r="AL1386" s="77"/>
      <c r="AM1386" s="77"/>
      <c r="AN1386" s="77"/>
      <c r="AO1386" s="77"/>
      <c r="AP1386" s="77"/>
      <c r="AQ1386" s="77" t="s">
        <v>12585</v>
      </c>
      <c r="AR1386" s="77"/>
      <c r="AS1386" s="77"/>
      <c r="AT1386" s="77"/>
      <c r="AU1386" s="77"/>
      <c r="AV1386" s="80" t="str">
        <f>HYPERLINK("https://pbs.twimg.com/media/F2xUwLcXgAAZpIb.png")</f>
        <v>https://pbs.twimg.com/media/F2xUwLcXgAAZpIb.png</v>
      </c>
      <c r="AW1386" s="82" t="s">
        <v>14481</v>
      </c>
      <c r="AX1386" s="82" t="s">
        <v>14481</v>
      </c>
      <c r="AY1386" s="77"/>
      <c r="AZ1386" s="82" t="s">
        <v>17385</v>
      </c>
      <c r="BA1386" s="82" t="s">
        <v>17385</v>
      </c>
      <c r="BB1386" s="82" t="s">
        <v>17385</v>
      </c>
      <c r="BC1386" s="82" t="s">
        <v>14481</v>
      </c>
      <c r="BD1386" s="77">
        <v>239678012</v>
      </c>
      <c r="BE1386" s="77"/>
      <c r="BF1386" s="77"/>
      <c r="BG1386" s="77"/>
      <c r="BH1386" s="77"/>
      <c r="BI1386" s="77"/>
    </row>
    <row r="1387" spans="1:61" x14ac:dyDescent="0.25">
      <c r="A1387" s="62" t="s">
        <v>448</v>
      </c>
      <c r="B1387" s="62" t="s">
        <v>448</v>
      </c>
      <c r="C1387" s="63"/>
      <c r="D1387" s="64"/>
      <c r="E1387" s="65"/>
      <c r="F1387" s="66"/>
      <c r="G1387" s="63"/>
      <c r="H1387" s="67"/>
      <c r="I1387" s="68"/>
      <c r="J1387" s="68"/>
      <c r="K1387" s="32"/>
      <c r="L1387" s="75">
        <v>1387</v>
      </c>
      <c r="M1387" s="75"/>
      <c r="N1387" s="70"/>
      <c r="O1387" s="77" t="s">
        <v>179</v>
      </c>
      <c r="P1387" s="79">
        <v>45127.549618055556</v>
      </c>
      <c r="Q1387" s="77" t="s">
        <v>2178</v>
      </c>
      <c r="R1387" s="77">
        <v>0</v>
      </c>
      <c r="S1387" s="77">
        <v>0</v>
      </c>
      <c r="T1387" s="77">
        <v>0</v>
      </c>
      <c r="U1387" s="77">
        <v>0</v>
      </c>
      <c r="V1387" s="77">
        <v>134</v>
      </c>
      <c r="W1387" s="82" t="s">
        <v>5688</v>
      </c>
      <c r="X1387" s="80" t="str">
        <f>HYPERLINK("https://www.granjanews.com.br/prefeitura-de-carapicuiba-realiza-acoes-de-seguranca-contra-a-utilizacao-de-linhas-cortantes-para-soltar-pipa/")</f>
        <v>https://www.granjanews.com.br/prefeitura-de-carapicuiba-realiza-acoes-de-seguranca-contra-a-utilizacao-de-linhas-cortantes-para-soltar-pipa/</v>
      </c>
      <c r="Y1387" s="77" t="s">
        <v>7053</v>
      </c>
      <c r="Z1387" s="77"/>
      <c r="AA1387" s="77" t="s">
        <v>7701</v>
      </c>
      <c r="AB1387" s="77" t="s">
        <v>8225</v>
      </c>
      <c r="AC1387" s="82" t="s">
        <v>8232</v>
      </c>
      <c r="AD1387" s="77" t="s">
        <v>8278</v>
      </c>
      <c r="AE1387" s="80" t="str">
        <f>HYPERLINK("https://twitter.com/granjanews/status/1682015361036701698")</f>
        <v>https://twitter.com/granjanews/status/1682015361036701698</v>
      </c>
      <c r="AF1387" s="79">
        <v>45127.549618055556</v>
      </c>
      <c r="AG1387" s="85">
        <v>45127</v>
      </c>
      <c r="AH1387" s="82" t="s">
        <v>9533</v>
      </c>
      <c r="AI1387" s="77" t="b">
        <v>0</v>
      </c>
      <c r="AJ1387" s="77"/>
      <c r="AK1387" s="77"/>
      <c r="AL1387" s="77"/>
      <c r="AM1387" s="77"/>
      <c r="AN1387" s="77"/>
      <c r="AO1387" s="77"/>
      <c r="AP1387" s="77"/>
      <c r="AQ1387" s="77" t="s">
        <v>12586</v>
      </c>
      <c r="AR1387" s="77"/>
      <c r="AS1387" s="77"/>
      <c r="AT1387" s="77"/>
      <c r="AU1387" s="77"/>
      <c r="AV1387" s="80" t="str">
        <f>HYPERLINK("https://pbs.twimg.com/media/F1e37tgXsAAvrfQ.png")</f>
        <v>https://pbs.twimg.com/media/F1e37tgXsAAvrfQ.png</v>
      </c>
      <c r="AW1387" s="82" t="s">
        <v>14482</v>
      </c>
      <c r="AX1387" s="82" t="s">
        <v>14482</v>
      </c>
      <c r="AY1387" s="77"/>
      <c r="AZ1387" s="82" t="s">
        <v>17385</v>
      </c>
      <c r="BA1387" s="82" t="s">
        <v>17385</v>
      </c>
      <c r="BB1387" s="82" t="s">
        <v>17385</v>
      </c>
      <c r="BC1387" s="82" t="s">
        <v>14482</v>
      </c>
      <c r="BD1387" s="77">
        <v>239678012</v>
      </c>
      <c r="BE1387" s="77"/>
      <c r="BF1387" s="77"/>
      <c r="BG1387" s="77"/>
      <c r="BH1387" s="77"/>
      <c r="BI1387" s="77"/>
    </row>
    <row r="1388" spans="1:61" x14ac:dyDescent="0.25">
      <c r="A1388" s="62" t="s">
        <v>449</v>
      </c>
      <c r="B1388" s="62" t="s">
        <v>767</v>
      </c>
      <c r="C1388" s="63"/>
      <c r="D1388" s="64"/>
      <c r="E1388" s="65"/>
      <c r="F1388" s="66"/>
      <c r="G1388" s="63"/>
      <c r="H1388" s="67"/>
      <c r="I1388" s="68"/>
      <c r="J1388" s="68"/>
      <c r="K1388" s="32"/>
      <c r="L1388" s="75">
        <v>1388</v>
      </c>
      <c r="M1388" s="75"/>
      <c r="N1388" s="70"/>
      <c r="O1388" s="77" t="s">
        <v>802</v>
      </c>
      <c r="P1388" s="79">
        <v>45065.708784722221</v>
      </c>
      <c r="Q1388" s="77" t="s">
        <v>2179</v>
      </c>
      <c r="R1388" s="77">
        <v>0</v>
      </c>
      <c r="S1388" s="77">
        <v>0</v>
      </c>
      <c r="T1388" s="77">
        <v>0</v>
      </c>
      <c r="U1388" s="77">
        <v>0</v>
      </c>
      <c r="V1388" s="77">
        <v>7</v>
      </c>
      <c r="W1388" s="82" t="s">
        <v>5689</v>
      </c>
      <c r="X1388" s="80" t="str">
        <f>HYPERLINK("http://ow.ly/YJ1g50OrXpM")</f>
        <v>http://ow.ly/YJ1g50OrXpM</v>
      </c>
      <c r="Y1388" s="77" t="s">
        <v>7099</v>
      </c>
      <c r="Z1388" s="77" t="s">
        <v>767</v>
      </c>
      <c r="AA1388" s="77" t="s">
        <v>7702</v>
      </c>
      <c r="AB1388" s="77" t="s">
        <v>8225</v>
      </c>
      <c r="AC1388" s="82" t="s">
        <v>8259</v>
      </c>
      <c r="AD1388" s="77" t="s">
        <v>8278</v>
      </c>
      <c r="AE1388" s="80" t="str">
        <f>HYPERLINK("https://twitter.com/exnova_pt/status/1659604996512530456")</f>
        <v>https://twitter.com/exnova_pt/status/1659604996512530456</v>
      </c>
      <c r="AF1388" s="79">
        <v>45065.708784722221</v>
      </c>
      <c r="AG1388" s="85">
        <v>45065</v>
      </c>
      <c r="AH1388" s="82" t="s">
        <v>9534</v>
      </c>
      <c r="AI1388" s="77" t="b">
        <v>0</v>
      </c>
      <c r="AJ1388" s="77"/>
      <c r="AK1388" s="77"/>
      <c r="AL1388" s="77"/>
      <c r="AM1388" s="77"/>
      <c r="AN1388" s="77"/>
      <c r="AO1388" s="77"/>
      <c r="AP1388" s="77"/>
      <c r="AQ1388" s="77" t="s">
        <v>12587</v>
      </c>
      <c r="AR1388" s="77"/>
      <c r="AS1388" s="77"/>
      <c r="AT1388" s="77"/>
      <c r="AU1388" s="77"/>
      <c r="AV1388" s="80" t="str">
        <f>HYPERLINK("https://pbs.twimg.com/media/FwgZ8wnXwAQIyCV.jpg")</f>
        <v>https://pbs.twimg.com/media/FwgZ8wnXwAQIyCV.jpg</v>
      </c>
      <c r="AW1388" s="82" t="s">
        <v>14483</v>
      </c>
      <c r="AX1388" s="82" t="s">
        <v>14483</v>
      </c>
      <c r="AY1388" s="77"/>
      <c r="AZ1388" s="82" t="s">
        <v>17385</v>
      </c>
      <c r="BA1388" s="82" t="s">
        <v>17385</v>
      </c>
      <c r="BB1388" s="82" t="s">
        <v>17385</v>
      </c>
      <c r="BC1388" s="82" t="s">
        <v>14483</v>
      </c>
      <c r="BD1388" s="82" t="s">
        <v>17560</v>
      </c>
      <c r="BE1388" s="77"/>
      <c r="BF1388" s="77"/>
      <c r="BG1388" s="77"/>
      <c r="BH1388" s="77"/>
      <c r="BI1388" s="77"/>
    </row>
    <row r="1389" spans="1:61" x14ac:dyDescent="0.25">
      <c r="A1389" s="62" t="s">
        <v>449</v>
      </c>
      <c r="B1389" s="62" t="s">
        <v>768</v>
      </c>
      <c r="C1389" s="63"/>
      <c r="D1389" s="64"/>
      <c r="E1389" s="65"/>
      <c r="F1389" s="66"/>
      <c r="G1389" s="63"/>
      <c r="H1389" s="67"/>
      <c r="I1389" s="68"/>
      <c r="J1389" s="68"/>
      <c r="K1389" s="32"/>
      <c r="L1389" s="75">
        <v>1389</v>
      </c>
      <c r="M1389" s="75"/>
      <c r="N1389" s="70"/>
      <c r="O1389" s="77" t="s">
        <v>802</v>
      </c>
      <c r="P1389" s="79">
        <v>45140.542083333334</v>
      </c>
      <c r="Q1389" s="77" t="s">
        <v>2180</v>
      </c>
      <c r="R1389" s="77">
        <v>0</v>
      </c>
      <c r="S1389" s="77">
        <v>2</v>
      </c>
      <c r="T1389" s="77">
        <v>1</v>
      </c>
      <c r="U1389" s="77">
        <v>0</v>
      </c>
      <c r="V1389" s="77">
        <v>50</v>
      </c>
      <c r="W1389" s="82" t="s">
        <v>5690</v>
      </c>
      <c r="X1389" s="77"/>
      <c r="Y1389" s="77"/>
      <c r="Z1389" s="77" t="s">
        <v>7160</v>
      </c>
      <c r="AA1389" s="77"/>
      <c r="AB1389" s="77"/>
      <c r="AC1389" s="82" t="s">
        <v>8259</v>
      </c>
      <c r="AD1389" s="77" t="s">
        <v>8278</v>
      </c>
      <c r="AE1389" s="80" t="str">
        <f>HYPERLINK("https://twitter.com/exnova_pt/status/1686723675444088832")</f>
        <v>https://twitter.com/exnova_pt/status/1686723675444088832</v>
      </c>
      <c r="AF1389" s="79">
        <v>45140.542083333334</v>
      </c>
      <c r="AG1389" s="85">
        <v>45140</v>
      </c>
      <c r="AH1389" s="82" t="s">
        <v>9535</v>
      </c>
      <c r="AI1389" s="77"/>
      <c r="AJ1389" s="77"/>
      <c r="AK1389" s="77"/>
      <c r="AL1389" s="77"/>
      <c r="AM1389" s="77"/>
      <c r="AN1389" s="77"/>
      <c r="AO1389" s="77"/>
      <c r="AP1389" s="77"/>
      <c r="AQ1389" s="77"/>
      <c r="AR1389" s="77"/>
      <c r="AS1389" s="77"/>
      <c r="AT1389" s="77"/>
      <c r="AU1389" s="77"/>
      <c r="AV1389" s="80" t="str">
        <f>HYPERLINK("https://pbs.twimg.com/profile_images/1638104589604995073/r7qdG73d_normal.jpg")</f>
        <v>https://pbs.twimg.com/profile_images/1638104589604995073/r7qdG73d_normal.jpg</v>
      </c>
      <c r="AW1389" s="82" t="s">
        <v>14484</v>
      </c>
      <c r="AX1389" s="82" t="s">
        <v>14484</v>
      </c>
      <c r="AY1389" s="77"/>
      <c r="AZ1389" s="82" t="s">
        <v>17385</v>
      </c>
      <c r="BA1389" s="82" t="s">
        <v>17385</v>
      </c>
      <c r="BB1389" s="82" t="s">
        <v>17385</v>
      </c>
      <c r="BC1389" s="82" t="s">
        <v>14484</v>
      </c>
      <c r="BD1389" s="82" t="s">
        <v>17560</v>
      </c>
      <c r="BE1389" s="77"/>
      <c r="BF1389" s="77"/>
      <c r="BG1389" s="77"/>
      <c r="BH1389" s="77"/>
      <c r="BI1389" s="77"/>
    </row>
    <row r="1390" spans="1:61" x14ac:dyDescent="0.25">
      <c r="A1390" s="62" t="s">
        <v>449</v>
      </c>
      <c r="B1390" s="62" t="s">
        <v>769</v>
      </c>
      <c r="C1390" s="63"/>
      <c r="D1390" s="64"/>
      <c r="E1390" s="65"/>
      <c r="F1390" s="66"/>
      <c r="G1390" s="63"/>
      <c r="H1390" s="67"/>
      <c r="I1390" s="68"/>
      <c r="J1390" s="68"/>
      <c r="K1390" s="32"/>
      <c r="L1390" s="75">
        <v>1390</v>
      </c>
      <c r="M1390" s="75"/>
      <c r="N1390" s="70"/>
      <c r="O1390" s="77" t="s">
        <v>802</v>
      </c>
      <c r="P1390" s="79">
        <v>45140.542083333334</v>
      </c>
      <c r="Q1390" s="77" t="s">
        <v>2180</v>
      </c>
      <c r="R1390" s="77">
        <v>0</v>
      </c>
      <c r="S1390" s="77">
        <v>2</v>
      </c>
      <c r="T1390" s="77">
        <v>1</v>
      </c>
      <c r="U1390" s="77">
        <v>0</v>
      </c>
      <c r="V1390" s="77">
        <v>50</v>
      </c>
      <c r="W1390" s="82" t="s">
        <v>5690</v>
      </c>
      <c r="X1390" s="77"/>
      <c r="Y1390" s="77"/>
      <c r="Z1390" s="77" t="s">
        <v>7160</v>
      </c>
      <c r="AA1390" s="77"/>
      <c r="AB1390" s="77"/>
      <c r="AC1390" s="82" t="s">
        <v>8259</v>
      </c>
      <c r="AD1390" s="77" t="s">
        <v>8278</v>
      </c>
      <c r="AE1390" s="80" t="str">
        <f>HYPERLINK("https://twitter.com/exnova_pt/status/1686723675444088832")</f>
        <v>https://twitter.com/exnova_pt/status/1686723675444088832</v>
      </c>
      <c r="AF1390" s="79">
        <v>45140.542083333334</v>
      </c>
      <c r="AG1390" s="85">
        <v>45140</v>
      </c>
      <c r="AH1390" s="82" t="s">
        <v>9535</v>
      </c>
      <c r="AI1390" s="77"/>
      <c r="AJ1390" s="77"/>
      <c r="AK1390" s="77"/>
      <c r="AL1390" s="77"/>
      <c r="AM1390" s="77"/>
      <c r="AN1390" s="77"/>
      <c r="AO1390" s="77"/>
      <c r="AP1390" s="77"/>
      <c r="AQ1390" s="77"/>
      <c r="AR1390" s="77"/>
      <c r="AS1390" s="77"/>
      <c r="AT1390" s="77"/>
      <c r="AU1390" s="77"/>
      <c r="AV1390" s="80" t="str">
        <f>HYPERLINK("https://pbs.twimg.com/profile_images/1638104589604995073/r7qdG73d_normal.jpg")</f>
        <v>https://pbs.twimg.com/profile_images/1638104589604995073/r7qdG73d_normal.jpg</v>
      </c>
      <c r="AW1390" s="82" t="s">
        <v>14484</v>
      </c>
      <c r="AX1390" s="82" t="s">
        <v>14484</v>
      </c>
      <c r="AY1390" s="77"/>
      <c r="AZ1390" s="82" t="s">
        <v>17385</v>
      </c>
      <c r="BA1390" s="82" t="s">
        <v>17385</v>
      </c>
      <c r="BB1390" s="82" t="s">
        <v>17385</v>
      </c>
      <c r="BC1390" s="82" t="s">
        <v>14484</v>
      </c>
      <c r="BD1390" s="82" t="s">
        <v>17560</v>
      </c>
      <c r="BE1390" s="77"/>
      <c r="BF1390" s="77"/>
      <c r="BG1390" s="77"/>
      <c r="BH1390" s="77"/>
      <c r="BI1390" s="77"/>
    </row>
    <row r="1391" spans="1:61" x14ac:dyDescent="0.25">
      <c r="A1391" s="62" t="s">
        <v>449</v>
      </c>
      <c r="B1391" s="62" t="s">
        <v>770</v>
      </c>
      <c r="C1391" s="63"/>
      <c r="D1391" s="64"/>
      <c r="E1391" s="65"/>
      <c r="F1391" s="66"/>
      <c r="G1391" s="63"/>
      <c r="H1391" s="67"/>
      <c r="I1391" s="68"/>
      <c r="J1391" s="68"/>
      <c r="K1391" s="32"/>
      <c r="L1391" s="75">
        <v>1391</v>
      </c>
      <c r="M1391" s="75"/>
      <c r="N1391" s="70"/>
      <c r="O1391" s="77" t="s">
        <v>802</v>
      </c>
      <c r="P1391" s="79">
        <v>45125.500590277778</v>
      </c>
      <c r="Q1391" s="77" t="s">
        <v>2181</v>
      </c>
      <c r="R1391" s="77">
        <v>0</v>
      </c>
      <c r="S1391" s="77">
        <v>0</v>
      </c>
      <c r="T1391" s="77">
        <v>0</v>
      </c>
      <c r="U1391" s="77">
        <v>0</v>
      </c>
      <c r="V1391" s="77">
        <v>14</v>
      </c>
      <c r="W1391" s="82" t="s">
        <v>5691</v>
      </c>
      <c r="X1391" s="77"/>
      <c r="Y1391" s="77"/>
      <c r="Z1391" s="77" t="s">
        <v>770</v>
      </c>
      <c r="AA1391" s="77"/>
      <c r="AB1391" s="77"/>
      <c r="AC1391" s="82" t="s">
        <v>8259</v>
      </c>
      <c r="AD1391" s="77" t="s">
        <v>8278</v>
      </c>
      <c r="AE1391" s="80" t="str">
        <f>HYPERLINK("https://twitter.com/exnova_pt/status/1681272818481221637")</f>
        <v>https://twitter.com/exnova_pt/status/1681272818481221637</v>
      </c>
      <c r="AF1391" s="79">
        <v>45125.500590277778</v>
      </c>
      <c r="AG1391" s="85">
        <v>45125</v>
      </c>
      <c r="AH1391" s="82" t="s">
        <v>9536</v>
      </c>
      <c r="AI1391" s="77"/>
      <c r="AJ1391" s="77"/>
      <c r="AK1391" s="77"/>
      <c r="AL1391" s="77"/>
      <c r="AM1391" s="77"/>
      <c r="AN1391" s="77"/>
      <c r="AO1391" s="77"/>
      <c r="AP1391" s="77"/>
      <c r="AQ1391" s="77"/>
      <c r="AR1391" s="77"/>
      <c r="AS1391" s="77"/>
      <c r="AT1391" s="77"/>
      <c r="AU1391" s="77"/>
      <c r="AV1391" s="80" t="str">
        <f>HYPERLINK("https://pbs.twimg.com/profile_images/1638104589604995073/r7qdG73d_normal.jpg")</f>
        <v>https://pbs.twimg.com/profile_images/1638104589604995073/r7qdG73d_normal.jpg</v>
      </c>
      <c r="AW1391" s="82" t="s">
        <v>14485</v>
      </c>
      <c r="AX1391" s="82" t="s">
        <v>14485</v>
      </c>
      <c r="AY1391" s="77"/>
      <c r="AZ1391" s="82" t="s">
        <v>17385</v>
      </c>
      <c r="BA1391" s="82" t="s">
        <v>17385</v>
      </c>
      <c r="BB1391" s="82" t="s">
        <v>17385</v>
      </c>
      <c r="BC1391" s="82" t="s">
        <v>14485</v>
      </c>
      <c r="BD1391" s="82" t="s">
        <v>17560</v>
      </c>
      <c r="BE1391" s="77"/>
      <c r="BF1391" s="77"/>
      <c r="BG1391" s="77"/>
      <c r="BH1391" s="77"/>
      <c r="BI1391" s="77"/>
    </row>
    <row r="1392" spans="1:61" x14ac:dyDescent="0.25">
      <c r="A1392" s="62" t="s">
        <v>449</v>
      </c>
      <c r="B1392" s="62" t="s">
        <v>449</v>
      </c>
      <c r="C1392" s="63"/>
      <c r="D1392" s="64"/>
      <c r="E1392" s="65"/>
      <c r="F1392" s="66"/>
      <c r="G1392" s="63"/>
      <c r="H1392" s="67"/>
      <c r="I1392" s="68"/>
      <c r="J1392" s="68"/>
      <c r="K1392" s="32"/>
      <c r="L1392" s="75">
        <v>1392</v>
      </c>
      <c r="M1392" s="75"/>
      <c r="N1392" s="70"/>
      <c r="O1392" s="77" t="s">
        <v>179</v>
      </c>
      <c r="P1392" s="79">
        <v>45064.667384259257</v>
      </c>
      <c r="Q1392" s="77" t="s">
        <v>2182</v>
      </c>
      <c r="R1392" s="77">
        <v>0</v>
      </c>
      <c r="S1392" s="77">
        <v>1</v>
      </c>
      <c r="T1392" s="77">
        <v>0</v>
      </c>
      <c r="U1392" s="77">
        <v>0</v>
      </c>
      <c r="V1392" s="77">
        <v>11</v>
      </c>
      <c r="W1392" s="82" t="s">
        <v>5692</v>
      </c>
      <c r="X1392" s="80" t="str">
        <f>HYPERLINK("http://ow.ly/qSRz50O2REZ")</f>
        <v>http://ow.ly/qSRz50O2REZ</v>
      </c>
      <c r="Y1392" s="77" t="s">
        <v>7099</v>
      </c>
      <c r="Z1392" s="77"/>
      <c r="AA1392" s="77" t="s">
        <v>7703</v>
      </c>
      <c r="AB1392" s="77" t="s">
        <v>8225</v>
      </c>
      <c r="AC1392" s="82" t="s">
        <v>8259</v>
      </c>
      <c r="AD1392" s="77" t="s">
        <v>8278</v>
      </c>
      <c r="AE1392" s="80" t="str">
        <f>HYPERLINK("https://twitter.com/exnova_pt/status/1659227605881561096")</f>
        <v>https://twitter.com/exnova_pt/status/1659227605881561096</v>
      </c>
      <c r="AF1392" s="79">
        <v>45064.667384259257</v>
      </c>
      <c r="AG1392" s="85">
        <v>45064</v>
      </c>
      <c r="AH1392" s="82" t="s">
        <v>9537</v>
      </c>
      <c r="AI1392" s="77" t="b">
        <v>0</v>
      </c>
      <c r="AJ1392" s="77"/>
      <c r="AK1392" s="77"/>
      <c r="AL1392" s="77"/>
      <c r="AM1392" s="77"/>
      <c r="AN1392" s="77"/>
      <c r="AO1392" s="77"/>
      <c r="AP1392" s="77"/>
      <c r="AQ1392" s="77" t="s">
        <v>12588</v>
      </c>
      <c r="AR1392" s="77"/>
      <c r="AS1392" s="77"/>
      <c r="AT1392" s="77"/>
      <c r="AU1392" s="77"/>
      <c r="AV1392" s="80" t="str">
        <f>HYPERLINK("https://pbs.twimg.com/media/FwbCtyZX0AAhU4I.jpg")</f>
        <v>https://pbs.twimg.com/media/FwbCtyZX0AAhU4I.jpg</v>
      </c>
      <c r="AW1392" s="82" t="s">
        <v>14486</v>
      </c>
      <c r="AX1392" s="82" t="s">
        <v>14486</v>
      </c>
      <c r="AY1392" s="77"/>
      <c r="AZ1392" s="82" t="s">
        <v>17385</v>
      </c>
      <c r="BA1392" s="82" t="s">
        <v>17385</v>
      </c>
      <c r="BB1392" s="82" t="s">
        <v>17385</v>
      </c>
      <c r="BC1392" s="82" t="s">
        <v>14486</v>
      </c>
      <c r="BD1392" s="82" t="s">
        <v>17560</v>
      </c>
      <c r="BE1392" s="77"/>
      <c r="BF1392" s="77"/>
      <c r="BG1392" s="77"/>
      <c r="BH1392" s="77"/>
      <c r="BI1392" s="77"/>
    </row>
    <row r="1393" spans="1:61" x14ac:dyDescent="0.25">
      <c r="A1393" s="62" t="s">
        <v>449</v>
      </c>
      <c r="B1393" s="62" t="s">
        <v>449</v>
      </c>
      <c r="C1393" s="63"/>
      <c r="D1393" s="64"/>
      <c r="E1393" s="65"/>
      <c r="F1393" s="66"/>
      <c r="G1393" s="63"/>
      <c r="H1393" s="67"/>
      <c r="I1393" s="68"/>
      <c r="J1393" s="68"/>
      <c r="K1393" s="32"/>
      <c r="L1393" s="75">
        <v>1393</v>
      </c>
      <c r="M1393" s="75"/>
      <c r="N1393" s="70"/>
      <c r="O1393" s="77" t="s">
        <v>179</v>
      </c>
      <c r="P1393" s="79">
        <v>45173.792187500003</v>
      </c>
      <c r="Q1393" s="77" t="s">
        <v>2183</v>
      </c>
      <c r="R1393" s="77">
        <v>0</v>
      </c>
      <c r="S1393" s="77">
        <v>1</v>
      </c>
      <c r="T1393" s="77">
        <v>0</v>
      </c>
      <c r="U1393" s="77">
        <v>0</v>
      </c>
      <c r="V1393" s="77">
        <v>9</v>
      </c>
      <c r="W1393" s="82" t="s">
        <v>5693</v>
      </c>
      <c r="X1393" s="77"/>
      <c r="Y1393" s="77"/>
      <c r="Z1393" s="77"/>
      <c r="AA1393" s="77"/>
      <c r="AB1393" s="77"/>
      <c r="AC1393" s="82" t="s">
        <v>8259</v>
      </c>
      <c r="AD1393" s="77" t="s">
        <v>8278</v>
      </c>
      <c r="AE1393" s="80" t="str">
        <f>HYPERLINK("https://twitter.com/exnova_pt/status/1698773107417202903")</f>
        <v>https://twitter.com/exnova_pt/status/1698773107417202903</v>
      </c>
      <c r="AF1393" s="79">
        <v>45173.792187500003</v>
      </c>
      <c r="AG1393" s="85">
        <v>45173</v>
      </c>
      <c r="AH1393" s="82" t="s">
        <v>9538</v>
      </c>
      <c r="AI1393" s="77"/>
      <c r="AJ1393" s="77"/>
      <c r="AK1393" s="77"/>
      <c r="AL1393" s="77"/>
      <c r="AM1393" s="77"/>
      <c r="AN1393" s="77"/>
      <c r="AO1393" s="77"/>
      <c r="AP1393" s="77"/>
      <c r="AQ1393" s="77"/>
      <c r="AR1393" s="77"/>
      <c r="AS1393" s="77"/>
      <c r="AT1393" s="77"/>
      <c r="AU1393" s="77"/>
      <c r="AV1393" s="80" t="str">
        <f>HYPERLINK("https://pbs.twimg.com/profile_images/1638104589604995073/r7qdG73d_normal.jpg")</f>
        <v>https://pbs.twimg.com/profile_images/1638104589604995073/r7qdG73d_normal.jpg</v>
      </c>
      <c r="AW1393" s="82" t="s">
        <v>14487</v>
      </c>
      <c r="AX1393" s="82" t="s">
        <v>14487</v>
      </c>
      <c r="AY1393" s="77"/>
      <c r="AZ1393" s="82" t="s">
        <v>17385</v>
      </c>
      <c r="BA1393" s="82" t="s">
        <v>17385</v>
      </c>
      <c r="BB1393" s="82" t="s">
        <v>17385</v>
      </c>
      <c r="BC1393" s="82" t="s">
        <v>14487</v>
      </c>
      <c r="BD1393" s="82" t="s">
        <v>17560</v>
      </c>
      <c r="BE1393" s="77"/>
      <c r="BF1393" s="77"/>
      <c r="BG1393" s="77"/>
      <c r="BH1393" s="77"/>
      <c r="BI1393" s="77"/>
    </row>
    <row r="1394" spans="1:61" x14ac:dyDescent="0.25">
      <c r="A1394" s="62" t="s">
        <v>449</v>
      </c>
      <c r="B1394" s="62" t="s">
        <v>449</v>
      </c>
      <c r="C1394" s="63"/>
      <c r="D1394" s="64"/>
      <c r="E1394" s="65"/>
      <c r="F1394" s="66"/>
      <c r="G1394" s="63"/>
      <c r="H1394" s="67"/>
      <c r="I1394" s="68"/>
      <c r="J1394" s="68"/>
      <c r="K1394" s="32"/>
      <c r="L1394" s="75">
        <v>1394</v>
      </c>
      <c r="M1394" s="75"/>
      <c r="N1394" s="70"/>
      <c r="O1394" s="77" t="s">
        <v>179</v>
      </c>
      <c r="P1394" s="79">
        <v>45187.543506944443</v>
      </c>
      <c r="Q1394" s="77" t="s">
        <v>2184</v>
      </c>
      <c r="R1394" s="77">
        <v>0</v>
      </c>
      <c r="S1394" s="77">
        <v>0</v>
      </c>
      <c r="T1394" s="77">
        <v>0</v>
      </c>
      <c r="U1394" s="77">
        <v>0</v>
      </c>
      <c r="V1394" s="77">
        <v>26</v>
      </c>
      <c r="W1394" s="82" t="s">
        <v>5694</v>
      </c>
      <c r="X1394" s="77"/>
      <c r="Y1394" s="77"/>
      <c r="Z1394" s="77"/>
      <c r="AA1394" s="77"/>
      <c r="AB1394" s="77"/>
      <c r="AC1394" s="82" t="s">
        <v>8259</v>
      </c>
      <c r="AD1394" s="77" t="s">
        <v>8278</v>
      </c>
      <c r="AE1394" s="80" t="str">
        <f>HYPERLINK("https://twitter.com/exnova_pt/status/1703756418208223647")</f>
        <v>https://twitter.com/exnova_pt/status/1703756418208223647</v>
      </c>
      <c r="AF1394" s="79">
        <v>45187.543506944443</v>
      </c>
      <c r="AG1394" s="85">
        <v>45187</v>
      </c>
      <c r="AH1394" s="82" t="s">
        <v>9539</v>
      </c>
      <c r="AI1394" s="77"/>
      <c r="AJ1394" s="77"/>
      <c r="AK1394" s="77"/>
      <c r="AL1394" s="77"/>
      <c r="AM1394" s="77"/>
      <c r="AN1394" s="77"/>
      <c r="AO1394" s="77"/>
      <c r="AP1394" s="77"/>
      <c r="AQ1394" s="77"/>
      <c r="AR1394" s="77"/>
      <c r="AS1394" s="77"/>
      <c r="AT1394" s="77"/>
      <c r="AU1394" s="77"/>
      <c r="AV1394" s="80" t="str">
        <f>HYPERLINK("https://pbs.twimg.com/profile_images/1638104589604995073/r7qdG73d_normal.jpg")</f>
        <v>https://pbs.twimg.com/profile_images/1638104589604995073/r7qdG73d_normal.jpg</v>
      </c>
      <c r="AW1394" s="82" t="s">
        <v>14488</v>
      </c>
      <c r="AX1394" s="82" t="s">
        <v>14488</v>
      </c>
      <c r="AY1394" s="77"/>
      <c r="AZ1394" s="82" t="s">
        <v>17385</v>
      </c>
      <c r="BA1394" s="82" t="s">
        <v>17385</v>
      </c>
      <c r="BB1394" s="82" t="s">
        <v>17385</v>
      </c>
      <c r="BC1394" s="82" t="s">
        <v>14488</v>
      </c>
      <c r="BD1394" s="82" t="s">
        <v>17560</v>
      </c>
      <c r="BE1394" s="77"/>
      <c r="BF1394" s="77"/>
      <c r="BG1394" s="77"/>
      <c r="BH1394" s="77"/>
      <c r="BI1394" s="77"/>
    </row>
    <row r="1395" spans="1:61" x14ac:dyDescent="0.25">
      <c r="A1395" s="62" t="s">
        <v>449</v>
      </c>
      <c r="B1395" s="62" t="s">
        <v>449</v>
      </c>
      <c r="C1395" s="63"/>
      <c r="D1395" s="64"/>
      <c r="E1395" s="65"/>
      <c r="F1395" s="66"/>
      <c r="G1395" s="63"/>
      <c r="H1395" s="67"/>
      <c r="I1395" s="68"/>
      <c r="J1395" s="68"/>
      <c r="K1395" s="32"/>
      <c r="L1395" s="75">
        <v>1395</v>
      </c>
      <c r="M1395" s="75"/>
      <c r="N1395" s="70"/>
      <c r="O1395" s="77" t="s">
        <v>179</v>
      </c>
      <c r="P1395" s="79">
        <v>45159.625347222223</v>
      </c>
      <c r="Q1395" s="77" t="s">
        <v>2185</v>
      </c>
      <c r="R1395" s="77">
        <v>0</v>
      </c>
      <c r="S1395" s="77">
        <v>0</v>
      </c>
      <c r="T1395" s="77">
        <v>0</v>
      </c>
      <c r="U1395" s="77">
        <v>0</v>
      </c>
      <c r="V1395" s="77">
        <v>18</v>
      </c>
      <c r="W1395" s="82" t="s">
        <v>5695</v>
      </c>
      <c r="X1395" s="80" t="str">
        <f>HYPERLINK("https://ow.ly/QE7E50PBlBT")</f>
        <v>https://ow.ly/QE7E50PBlBT</v>
      </c>
      <c r="Y1395" s="77" t="s">
        <v>7099</v>
      </c>
      <c r="Z1395" s="77"/>
      <c r="AA1395" s="77"/>
      <c r="AB1395" s="77"/>
      <c r="AC1395" s="82" t="s">
        <v>8259</v>
      </c>
      <c r="AD1395" s="77" t="s">
        <v>8278</v>
      </c>
      <c r="AE1395" s="80" t="str">
        <f>HYPERLINK("https://twitter.com/exnova_pt/status/1693639218914808054")</f>
        <v>https://twitter.com/exnova_pt/status/1693639218914808054</v>
      </c>
      <c r="AF1395" s="79">
        <v>45159.625347222223</v>
      </c>
      <c r="AG1395" s="85">
        <v>45159</v>
      </c>
      <c r="AH1395" s="82" t="s">
        <v>9540</v>
      </c>
      <c r="AI1395" s="77" t="b">
        <v>0</v>
      </c>
      <c r="AJ1395" s="77"/>
      <c r="AK1395" s="77"/>
      <c r="AL1395" s="77"/>
      <c r="AM1395" s="77"/>
      <c r="AN1395" s="77"/>
      <c r="AO1395" s="77"/>
      <c r="AP1395" s="77"/>
      <c r="AQ1395" s="77"/>
      <c r="AR1395" s="77"/>
      <c r="AS1395" s="77"/>
      <c r="AT1395" s="77"/>
      <c r="AU1395" s="77"/>
      <c r="AV1395" s="80" t="str">
        <f>HYPERLINK("https://pbs.twimg.com/profile_images/1638104589604995073/r7qdG73d_normal.jpg")</f>
        <v>https://pbs.twimg.com/profile_images/1638104589604995073/r7qdG73d_normal.jpg</v>
      </c>
      <c r="AW1395" s="82" t="s">
        <v>14489</v>
      </c>
      <c r="AX1395" s="82" t="s">
        <v>14489</v>
      </c>
      <c r="AY1395" s="77"/>
      <c r="AZ1395" s="82" t="s">
        <v>17385</v>
      </c>
      <c r="BA1395" s="82" t="s">
        <v>17385</v>
      </c>
      <c r="BB1395" s="82" t="s">
        <v>17385</v>
      </c>
      <c r="BC1395" s="82" t="s">
        <v>14489</v>
      </c>
      <c r="BD1395" s="82" t="s">
        <v>17560</v>
      </c>
      <c r="BE1395" s="77"/>
      <c r="BF1395" s="77"/>
      <c r="BG1395" s="77"/>
      <c r="BH1395" s="77"/>
      <c r="BI1395" s="77"/>
    </row>
    <row r="1396" spans="1:61" x14ac:dyDescent="0.25">
      <c r="A1396" s="62" t="s">
        <v>449</v>
      </c>
      <c r="B1396" s="62" t="s">
        <v>449</v>
      </c>
      <c r="C1396" s="63"/>
      <c r="D1396" s="64"/>
      <c r="E1396" s="65"/>
      <c r="F1396" s="66"/>
      <c r="G1396" s="63"/>
      <c r="H1396" s="67"/>
      <c r="I1396" s="68"/>
      <c r="J1396" s="68"/>
      <c r="K1396" s="32"/>
      <c r="L1396" s="75">
        <v>1396</v>
      </c>
      <c r="M1396" s="75"/>
      <c r="N1396" s="70"/>
      <c r="O1396" s="77" t="s">
        <v>179</v>
      </c>
      <c r="P1396" s="79">
        <v>45180.792650462965</v>
      </c>
      <c r="Q1396" s="77" t="s">
        <v>2186</v>
      </c>
      <c r="R1396" s="77">
        <v>0</v>
      </c>
      <c r="S1396" s="77">
        <v>0</v>
      </c>
      <c r="T1396" s="77">
        <v>0</v>
      </c>
      <c r="U1396" s="77">
        <v>0</v>
      </c>
      <c r="V1396" s="77">
        <v>164</v>
      </c>
      <c r="W1396" s="82" t="s">
        <v>5696</v>
      </c>
      <c r="X1396" s="77"/>
      <c r="Y1396" s="77"/>
      <c r="Z1396" s="77"/>
      <c r="AA1396" s="77"/>
      <c r="AB1396" s="77"/>
      <c r="AC1396" s="82" t="s">
        <v>8259</v>
      </c>
      <c r="AD1396" s="77" t="s">
        <v>8278</v>
      </c>
      <c r="AE1396" s="80" t="str">
        <f>HYPERLINK("https://twitter.com/exnova_pt/status/1701309991574007922")</f>
        <v>https://twitter.com/exnova_pt/status/1701309991574007922</v>
      </c>
      <c r="AF1396" s="79">
        <v>45180.792650462965</v>
      </c>
      <c r="AG1396" s="85">
        <v>45180</v>
      </c>
      <c r="AH1396" s="82" t="s">
        <v>9541</v>
      </c>
      <c r="AI1396" s="77"/>
      <c r="AJ1396" s="77"/>
      <c r="AK1396" s="77"/>
      <c r="AL1396" s="77"/>
      <c r="AM1396" s="77"/>
      <c r="AN1396" s="77"/>
      <c r="AO1396" s="77"/>
      <c r="AP1396" s="77"/>
      <c r="AQ1396" s="77"/>
      <c r="AR1396" s="77"/>
      <c r="AS1396" s="77"/>
      <c r="AT1396" s="77"/>
      <c r="AU1396" s="77"/>
      <c r="AV1396" s="80" t="str">
        <f>HYPERLINK("https://pbs.twimg.com/profile_images/1638104589604995073/r7qdG73d_normal.jpg")</f>
        <v>https://pbs.twimg.com/profile_images/1638104589604995073/r7qdG73d_normal.jpg</v>
      </c>
      <c r="AW1396" s="82" t="s">
        <v>14490</v>
      </c>
      <c r="AX1396" s="82" t="s">
        <v>14490</v>
      </c>
      <c r="AY1396" s="77"/>
      <c r="AZ1396" s="82" t="s">
        <v>17385</v>
      </c>
      <c r="BA1396" s="82" t="s">
        <v>17385</v>
      </c>
      <c r="BB1396" s="82" t="s">
        <v>17385</v>
      </c>
      <c r="BC1396" s="82" t="s">
        <v>14490</v>
      </c>
      <c r="BD1396" s="82" t="s">
        <v>17560</v>
      </c>
      <c r="BE1396" s="77"/>
      <c r="BF1396" s="77"/>
      <c r="BG1396" s="77"/>
      <c r="BH1396" s="77"/>
      <c r="BI1396" s="77"/>
    </row>
    <row r="1397" spans="1:61" x14ac:dyDescent="0.25">
      <c r="A1397" s="62" t="s">
        <v>449</v>
      </c>
      <c r="B1397" s="62" t="s">
        <v>449</v>
      </c>
      <c r="C1397" s="63"/>
      <c r="D1397" s="64"/>
      <c r="E1397" s="65"/>
      <c r="F1397" s="66"/>
      <c r="G1397" s="63"/>
      <c r="H1397" s="67"/>
      <c r="I1397" s="68"/>
      <c r="J1397" s="68"/>
      <c r="K1397" s="32"/>
      <c r="L1397" s="75">
        <v>1397</v>
      </c>
      <c r="M1397" s="75"/>
      <c r="N1397" s="70"/>
      <c r="O1397" s="77" t="s">
        <v>179</v>
      </c>
      <c r="P1397" s="79">
        <v>45117.708807870367</v>
      </c>
      <c r="Q1397" s="77" t="s">
        <v>2187</v>
      </c>
      <c r="R1397" s="77">
        <v>0</v>
      </c>
      <c r="S1397" s="77">
        <v>1</v>
      </c>
      <c r="T1397" s="77">
        <v>1</v>
      </c>
      <c r="U1397" s="77">
        <v>0</v>
      </c>
      <c r="V1397" s="77">
        <v>66</v>
      </c>
      <c r="W1397" s="82" t="s">
        <v>5697</v>
      </c>
      <c r="X1397" s="77"/>
      <c r="Y1397" s="77"/>
      <c r="Z1397" s="77"/>
      <c r="AA1397" s="77"/>
      <c r="AB1397" s="77"/>
      <c r="AC1397" s="82" t="s">
        <v>8259</v>
      </c>
      <c r="AD1397" s="77" t="s">
        <v>8278</v>
      </c>
      <c r="AE1397" s="80" t="str">
        <f>HYPERLINK("https://twitter.com/exnova_pt/status/1678449174222708744")</f>
        <v>https://twitter.com/exnova_pt/status/1678449174222708744</v>
      </c>
      <c r="AF1397" s="79">
        <v>45117.708807870367</v>
      </c>
      <c r="AG1397" s="85">
        <v>45117</v>
      </c>
      <c r="AH1397" s="82" t="s">
        <v>9542</v>
      </c>
      <c r="AI1397" s="77"/>
      <c r="AJ1397" s="77"/>
      <c r="AK1397" s="77"/>
      <c r="AL1397" s="77"/>
      <c r="AM1397" s="77"/>
      <c r="AN1397" s="77"/>
      <c r="AO1397" s="77"/>
      <c r="AP1397" s="77"/>
      <c r="AQ1397" s="77"/>
      <c r="AR1397" s="77"/>
      <c r="AS1397" s="77"/>
      <c r="AT1397" s="77"/>
      <c r="AU1397" s="77"/>
      <c r="AV1397" s="80" t="str">
        <f>HYPERLINK("https://pbs.twimg.com/profile_images/1638104589604995073/r7qdG73d_normal.jpg")</f>
        <v>https://pbs.twimg.com/profile_images/1638104589604995073/r7qdG73d_normal.jpg</v>
      </c>
      <c r="AW1397" s="82" t="s">
        <v>14491</v>
      </c>
      <c r="AX1397" s="82" t="s">
        <v>14491</v>
      </c>
      <c r="AY1397" s="77"/>
      <c r="AZ1397" s="82" t="s">
        <v>17385</v>
      </c>
      <c r="BA1397" s="82" t="s">
        <v>17385</v>
      </c>
      <c r="BB1397" s="82" t="s">
        <v>17385</v>
      </c>
      <c r="BC1397" s="82" t="s">
        <v>14491</v>
      </c>
      <c r="BD1397" s="82" t="s">
        <v>17560</v>
      </c>
      <c r="BE1397" s="77"/>
      <c r="BF1397" s="77"/>
      <c r="BG1397" s="77"/>
      <c r="BH1397" s="77"/>
      <c r="BI1397" s="77"/>
    </row>
    <row r="1398" spans="1:61" x14ac:dyDescent="0.25">
      <c r="A1398" s="62" t="s">
        <v>449</v>
      </c>
      <c r="B1398" s="62" t="s">
        <v>449</v>
      </c>
      <c r="C1398" s="63"/>
      <c r="D1398" s="64"/>
      <c r="E1398" s="65"/>
      <c r="F1398" s="66"/>
      <c r="G1398" s="63"/>
      <c r="H1398" s="67"/>
      <c r="I1398" s="68"/>
      <c r="J1398" s="68"/>
      <c r="K1398" s="32"/>
      <c r="L1398" s="75">
        <v>1398</v>
      </c>
      <c r="M1398" s="75"/>
      <c r="N1398" s="70"/>
      <c r="O1398" s="77" t="s">
        <v>179</v>
      </c>
      <c r="P1398" s="79">
        <v>45092.708796296298</v>
      </c>
      <c r="Q1398" s="77" t="s">
        <v>2188</v>
      </c>
      <c r="R1398" s="77">
        <v>0</v>
      </c>
      <c r="S1398" s="77">
        <v>0</v>
      </c>
      <c r="T1398" s="77">
        <v>0</v>
      </c>
      <c r="U1398" s="77">
        <v>0</v>
      </c>
      <c r="V1398" s="77">
        <v>15</v>
      </c>
      <c r="W1398" s="82" t="s">
        <v>5698</v>
      </c>
      <c r="X1398" s="77"/>
      <c r="Y1398" s="77"/>
      <c r="Z1398" s="77"/>
      <c r="AA1398" s="77"/>
      <c r="AB1398" s="77"/>
      <c r="AC1398" s="82" t="s">
        <v>8259</v>
      </c>
      <c r="AD1398" s="77" t="s">
        <v>8278</v>
      </c>
      <c r="AE1398" s="80" t="str">
        <f>HYPERLINK("https://twitter.com/exnova_pt/status/1669389470703943680")</f>
        <v>https://twitter.com/exnova_pt/status/1669389470703943680</v>
      </c>
      <c r="AF1398" s="79">
        <v>45092.708796296298</v>
      </c>
      <c r="AG1398" s="85">
        <v>45092</v>
      </c>
      <c r="AH1398" s="82" t="s">
        <v>9543</v>
      </c>
      <c r="AI1398" s="77"/>
      <c r="AJ1398" s="77"/>
      <c r="AK1398" s="77"/>
      <c r="AL1398" s="77"/>
      <c r="AM1398" s="77"/>
      <c r="AN1398" s="77"/>
      <c r="AO1398" s="77"/>
      <c r="AP1398" s="77"/>
      <c r="AQ1398" s="77"/>
      <c r="AR1398" s="77"/>
      <c r="AS1398" s="77"/>
      <c r="AT1398" s="77"/>
      <c r="AU1398" s="77"/>
      <c r="AV1398" s="80" t="str">
        <f>HYPERLINK("https://pbs.twimg.com/profile_images/1638104589604995073/r7qdG73d_normal.jpg")</f>
        <v>https://pbs.twimg.com/profile_images/1638104589604995073/r7qdG73d_normal.jpg</v>
      </c>
      <c r="AW1398" s="82" t="s">
        <v>14492</v>
      </c>
      <c r="AX1398" s="82" t="s">
        <v>14492</v>
      </c>
      <c r="AY1398" s="77"/>
      <c r="AZ1398" s="82" t="s">
        <v>17385</v>
      </c>
      <c r="BA1398" s="82" t="s">
        <v>17385</v>
      </c>
      <c r="BB1398" s="82" t="s">
        <v>17385</v>
      </c>
      <c r="BC1398" s="82" t="s">
        <v>14492</v>
      </c>
      <c r="BD1398" s="82" t="s">
        <v>17560</v>
      </c>
      <c r="BE1398" s="77"/>
      <c r="BF1398" s="77"/>
      <c r="BG1398" s="77"/>
      <c r="BH1398" s="77"/>
      <c r="BI1398" s="77"/>
    </row>
    <row r="1399" spans="1:61" x14ac:dyDescent="0.25">
      <c r="A1399" s="62" t="s">
        <v>449</v>
      </c>
      <c r="B1399" s="62" t="s">
        <v>449</v>
      </c>
      <c r="C1399" s="63"/>
      <c r="D1399" s="64"/>
      <c r="E1399" s="65"/>
      <c r="F1399" s="66"/>
      <c r="G1399" s="63"/>
      <c r="H1399" s="67"/>
      <c r="I1399" s="68"/>
      <c r="J1399" s="68"/>
      <c r="K1399" s="32"/>
      <c r="L1399" s="75">
        <v>1399</v>
      </c>
      <c r="M1399" s="75"/>
      <c r="N1399" s="70"/>
      <c r="O1399" s="77" t="s">
        <v>179</v>
      </c>
      <c r="P1399" s="79">
        <v>45091.833761574075</v>
      </c>
      <c r="Q1399" s="77" t="s">
        <v>2189</v>
      </c>
      <c r="R1399" s="77">
        <v>0</v>
      </c>
      <c r="S1399" s="77">
        <v>0</v>
      </c>
      <c r="T1399" s="77">
        <v>0</v>
      </c>
      <c r="U1399" s="77">
        <v>0</v>
      </c>
      <c r="V1399" s="77">
        <v>17</v>
      </c>
      <c r="W1399" s="82" t="s">
        <v>5699</v>
      </c>
      <c r="X1399" s="77"/>
      <c r="Y1399" s="77"/>
      <c r="Z1399" s="77"/>
      <c r="AA1399" s="77" t="s">
        <v>7704</v>
      </c>
      <c r="AB1399" s="77" t="s">
        <v>8225</v>
      </c>
      <c r="AC1399" s="82" t="s">
        <v>8259</v>
      </c>
      <c r="AD1399" s="77" t="s">
        <v>8278</v>
      </c>
      <c r="AE1399" s="80" t="str">
        <f>HYPERLINK("https://twitter.com/exnova_pt/status/1669072368348561409")</f>
        <v>https://twitter.com/exnova_pt/status/1669072368348561409</v>
      </c>
      <c r="AF1399" s="79">
        <v>45091.833761574075</v>
      </c>
      <c r="AG1399" s="85">
        <v>45091</v>
      </c>
      <c r="AH1399" s="82" t="s">
        <v>9544</v>
      </c>
      <c r="AI1399" s="77" t="b">
        <v>0</v>
      </c>
      <c r="AJ1399" s="77"/>
      <c r="AK1399" s="77"/>
      <c r="AL1399" s="77"/>
      <c r="AM1399" s="77"/>
      <c r="AN1399" s="77"/>
      <c r="AO1399" s="77"/>
      <c r="AP1399" s="77"/>
      <c r="AQ1399" s="77" t="s">
        <v>12589</v>
      </c>
      <c r="AR1399" s="77"/>
      <c r="AS1399" s="77"/>
      <c r="AT1399" s="77"/>
      <c r="AU1399" s="77"/>
      <c r="AV1399" s="80" t="str">
        <f>HYPERLINK("https://pbs.twimg.com/media/Fym8eO4XsAgrwVp.jpg")</f>
        <v>https://pbs.twimg.com/media/Fym8eO4XsAgrwVp.jpg</v>
      </c>
      <c r="AW1399" s="82" t="s">
        <v>14493</v>
      </c>
      <c r="AX1399" s="82" t="s">
        <v>14493</v>
      </c>
      <c r="AY1399" s="77"/>
      <c r="AZ1399" s="82" t="s">
        <v>17385</v>
      </c>
      <c r="BA1399" s="82" t="s">
        <v>17385</v>
      </c>
      <c r="BB1399" s="82" t="s">
        <v>17385</v>
      </c>
      <c r="BC1399" s="82" t="s">
        <v>14493</v>
      </c>
      <c r="BD1399" s="82" t="s">
        <v>17560</v>
      </c>
      <c r="BE1399" s="77"/>
      <c r="BF1399" s="77"/>
      <c r="BG1399" s="77"/>
      <c r="BH1399" s="77"/>
      <c r="BI1399" s="77"/>
    </row>
    <row r="1400" spans="1:61" x14ac:dyDescent="0.25">
      <c r="A1400" s="62" t="s">
        <v>449</v>
      </c>
      <c r="B1400" s="62" t="s">
        <v>449</v>
      </c>
      <c r="C1400" s="63"/>
      <c r="D1400" s="64"/>
      <c r="E1400" s="65"/>
      <c r="F1400" s="66"/>
      <c r="G1400" s="63"/>
      <c r="H1400" s="67"/>
      <c r="I1400" s="68"/>
      <c r="J1400" s="68"/>
      <c r="K1400" s="32"/>
      <c r="L1400" s="75">
        <v>1400</v>
      </c>
      <c r="M1400" s="75"/>
      <c r="N1400" s="70"/>
      <c r="O1400" s="77" t="s">
        <v>179</v>
      </c>
      <c r="P1400" s="79">
        <v>45056.542164351849</v>
      </c>
      <c r="Q1400" s="77" t="s">
        <v>2190</v>
      </c>
      <c r="R1400" s="77">
        <v>0</v>
      </c>
      <c r="S1400" s="77">
        <v>0</v>
      </c>
      <c r="T1400" s="77">
        <v>0</v>
      </c>
      <c r="U1400" s="77">
        <v>0</v>
      </c>
      <c r="V1400" s="77">
        <v>15</v>
      </c>
      <c r="W1400" s="82" t="s">
        <v>5037</v>
      </c>
      <c r="X1400" s="80" t="str">
        <f>HYPERLINK("http://ow.ly/Fc6950OkgV9")</f>
        <v>http://ow.ly/Fc6950OkgV9</v>
      </c>
      <c r="Y1400" s="77" t="s">
        <v>7099</v>
      </c>
      <c r="Z1400" s="77"/>
      <c r="AA1400" s="77" t="s">
        <v>7705</v>
      </c>
      <c r="AB1400" s="77" t="s">
        <v>8225</v>
      </c>
      <c r="AC1400" s="82" t="s">
        <v>8259</v>
      </c>
      <c r="AD1400" s="77" t="s">
        <v>8278</v>
      </c>
      <c r="AE1400" s="80" t="str">
        <f>HYPERLINK("https://twitter.com/exnova_pt/status/1656283123460583425")</f>
        <v>https://twitter.com/exnova_pt/status/1656283123460583425</v>
      </c>
      <c r="AF1400" s="79">
        <v>45056.542164351849</v>
      </c>
      <c r="AG1400" s="85">
        <v>45056</v>
      </c>
      <c r="AH1400" s="82" t="s">
        <v>9545</v>
      </c>
      <c r="AI1400" s="77" t="b">
        <v>0</v>
      </c>
      <c r="AJ1400" s="77"/>
      <c r="AK1400" s="77"/>
      <c r="AL1400" s="77"/>
      <c r="AM1400" s="77"/>
      <c r="AN1400" s="77"/>
      <c r="AO1400" s="77"/>
      <c r="AP1400" s="77"/>
      <c r="AQ1400" s="77" t="s">
        <v>12590</v>
      </c>
      <c r="AR1400" s="77"/>
      <c r="AS1400" s="77"/>
      <c r="AT1400" s="77"/>
      <c r="AU1400" s="77"/>
      <c r="AV1400" s="80" t="str">
        <f>HYPERLINK("https://pbs.twimg.com/media/FvxMuSjXoAIhX2q.jpg")</f>
        <v>https://pbs.twimg.com/media/FvxMuSjXoAIhX2q.jpg</v>
      </c>
      <c r="AW1400" s="82" t="s">
        <v>14494</v>
      </c>
      <c r="AX1400" s="82" t="s">
        <v>14494</v>
      </c>
      <c r="AY1400" s="77"/>
      <c r="AZ1400" s="82" t="s">
        <v>17385</v>
      </c>
      <c r="BA1400" s="82" t="s">
        <v>17385</v>
      </c>
      <c r="BB1400" s="82" t="s">
        <v>17385</v>
      </c>
      <c r="BC1400" s="82" t="s">
        <v>14494</v>
      </c>
      <c r="BD1400" s="82" t="s">
        <v>17560</v>
      </c>
      <c r="BE1400" s="77"/>
      <c r="BF1400" s="77"/>
      <c r="BG1400" s="77"/>
      <c r="BH1400" s="77"/>
      <c r="BI1400" s="77"/>
    </row>
    <row r="1401" spans="1:61" x14ac:dyDescent="0.25">
      <c r="A1401" s="62" t="s">
        <v>450</v>
      </c>
      <c r="B1401" s="62" t="s">
        <v>450</v>
      </c>
      <c r="C1401" s="63"/>
      <c r="D1401" s="64"/>
      <c r="E1401" s="65"/>
      <c r="F1401" s="66"/>
      <c r="G1401" s="63"/>
      <c r="H1401" s="67"/>
      <c r="I1401" s="68"/>
      <c r="J1401" s="68"/>
      <c r="K1401" s="32"/>
      <c r="L1401" s="75">
        <v>1401</v>
      </c>
      <c r="M1401" s="75"/>
      <c r="N1401" s="70"/>
      <c r="O1401" s="77" t="s">
        <v>179</v>
      </c>
      <c r="P1401" s="79">
        <v>45092.604259259257</v>
      </c>
      <c r="Q1401" s="77" t="s">
        <v>2191</v>
      </c>
      <c r="R1401" s="77">
        <v>0</v>
      </c>
      <c r="S1401" s="77">
        <v>0</v>
      </c>
      <c r="T1401" s="77">
        <v>0</v>
      </c>
      <c r="U1401" s="77">
        <v>0</v>
      </c>
      <c r="V1401" s="77">
        <v>20</v>
      </c>
      <c r="W1401" s="82" t="s">
        <v>5382</v>
      </c>
      <c r="X1401" s="77"/>
      <c r="Y1401" s="77"/>
      <c r="Z1401" s="77"/>
      <c r="AA1401" s="77" t="s">
        <v>7706</v>
      </c>
      <c r="AB1401" s="77" t="s">
        <v>8225</v>
      </c>
      <c r="AC1401" s="82" t="s">
        <v>8232</v>
      </c>
      <c r="AD1401" s="77" t="s">
        <v>8278</v>
      </c>
      <c r="AE1401" s="80" t="str">
        <f>HYPERLINK("https://twitter.com/dygosilvagraves/status/1669351589067522050")</f>
        <v>https://twitter.com/dygosilvagraves/status/1669351589067522050</v>
      </c>
      <c r="AF1401" s="79">
        <v>45092.604259259257</v>
      </c>
      <c r="AG1401" s="85">
        <v>45092</v>
      </c>
      <c r="AH1401" s="82" t="s">
        <v>9546</v>
      </c>
      <c r="AI1401" s="77" t="b">
        <v>0</v>
      </c>
      <c r="AJ1401" s="77"/>
      <c r="AK1401" s="77"/>
      <c r="AL1401" s="77"/>
      <c r="AM1401" s="77"/>
      <c r="AN1401" s="77"/>
      <c r="AO1401" s="77"/>
      <c r="AP1401" s="77"/>
      <c r="AQ1401" s="77" t="s">
        <v>12591</v>
      </c>
      <c r="AR1401" s="77"/>
      <c r="AS1401" s="77"/>
      <c r="AT1401" s="77"/>
      <c r="AU1401" s="77"/>
      <c r="AV1401" s="80" t="str">
        <f>HYPERLINK("https://pbs.twimg.com/media/Fyq5-8qacAElxMn.jpg")</f>
        <v>https://pbs.twimg.com/media/Fyq5-8qacAElxMn.jpg</v>
      </c>
      <c r="AW1401" s="82" t="s">
        <v>14495</v>
      </c>
      <c r="AX1401" s="82" t="s">
        <v>14495</v>
      </c>
      <c r="AY1401" s="77"/>
      <c r="AZ1401" s="82" t="s">
        <v>17385</v>
      </c>
      <c r="BA1401" s="82" t="s">
        <v>17385</v>
      </c>
      <c r="BB1401" s="82" t="s">
        <v>17385</v>
      </c>
      <c r="BC1401" s="82" t="s">
        <v>14495</v>
      </c>
      <c r="BD1401" s="77">
        <v>419646071</v>
      </c>
      <c r="BE1401" s="77"/>
      <c r="BF1401" s="77"/>
      <c r="BG1401" s="77"/>
      <c r="BH1401" s="77"/>
      <c r="BI1401" s="77"/>
    </row>
    <row r="1402" spans="1:61" x14ac:dyDescent="0.25">
      <c r="A1402" s="62" t="s">
        <v>451</v>
      </c>
      <c r="B1402" s="62" t="s">
        <v>451</v>
      </c>
      <c r="C1402" s="63"/>
      <c r="D1402" s="64"/>
      <c r="E1402" s="65"/>
      <c r="F1402" s="66"/>
      <c r="G1402" s="63"/>
      <c r="H1402" s="67"/>
      <c r="I1402" s="68"/>
      <c r="J1402" s="68"/>
      <c r="K1402" s="32"/>
      <c r="L1402" s="75">
        <v>1402</v>
      </c>
      <c r="M1402" s="75"/>
      <c r="N1402" s="70"/>
      <c r="O1402" s="77" t="s">
        <v>179</v>
      </c>
      <c r="P1402" s="79">
        <v>45175.410995370374</v>
      </c>
      <c r="Q1402" s="77" t="s">
        <v>2192</v>
      </c>
      <c r="R1402" s="77">
        <v>0</v>
      </c>
      <c r="S1402" s="77">
        <v>0</v>
      </c>
      <c r="T1402" s="77">
        <v>1</v>
      </c>
      <c r="U1402" s="77">
        <v>0</v>
      </c>
      <c r="V1402" s="77">
        <v>33</v>
      </c>
      <c r="W1402" s="82" t="s">
        <v>5700</v>
      </c>
      <c r="X1402" s="77"/>
      <c r="Y1402" s="77"/>
      <c r="Z1402" s="77"/>
      <c r="AA1402" s="77"/>
      <c r="AB1402" s="77"/>
      <c r="AC1402" s="82" t="s">
        <v>8234</v>
      </c>
      <c r="AD1402" s="77" t="s">
        <v>8278</v>
      </c>
      <c r="AE1402" s="80" t="str">
        <f>HYPERLINK("https://twitter.com/matheuscdesales/status/1699359746694775275")</f>
        <v>https://twitter.com/matheuscdesales/status/1699359746694775275</v>
      </c>
      <c r="AF1402" s="79">
        <v>45175.410995370374</v>
      </c>
      <c r="AG1402" s="85">
        <v>45175</v>
      </c>
      <c r="AH1402" s="82" t="s">
        <v>9547</v>
      </c>
      <c r="AI1402" s="77"/>
      <c r="AJ1402" s="77"/>
      <c r="AK1402" s="77"/>
      <c r="AL1402" s="77"/>
      <c r="AM1402" s="77"/>
      <c r="AN1402" s="77"/>
      <c r="AO1402" s="77"/>
      <c r="AP1402" s="77"/>
      <c r="AQ1402" s="77"/>
      <c r="AR1402" s="77"/>
      <c r="AS1402" s="77"/>
      <c r="AT1402" s="77"/>
      <c r="AU1402" s="77"/>
      <c r="AV1402" s="80" t="str">
        <f>HYPERLINK("https://pbs.twimg.com/profile_images/1677275777631416326/KA-PslZw_normal.jpg")</f>
        <v>https://pbs.twimg.com/profile_images/1677275777631416326/KA-PslZw_normal.jpg</v>
      </c>
      <c r="AW1402" s="82" t="s">
        <v>14496</v>
      </c>
      <c r="AX1402" s="82" t="s">
        <v>14496</v>
      </c>
      <c r="AY1402" s="77"/>
      <c r="AZ1402" s="82" t="s">
        <v>17385</v>
      </c>
      <c r="BA1402" s="82" t="s">
        <v>17385</v>
      </c>
      <c r="BB1402" s="82" t="s">
        <v>17385</v>
      </c>
      <c r="BC1402" s="82" t="s">
        <v>14496</v>
      </c>
      <c r="BD1402" s="77">
        <v>1595648917</v>
      </c>
      <c r="BE1402" s="77"/>
      <c r="BF1402" s="77"/>
      <c r="BG1402" s="77"/>
      <c r="BH1402" s="77"/>
      <c r="BI1402" s="77"/>
    </row>
    <row r="1403" spans="1:61" x14ac:dyDescent="0.25">
      <c r="A1403" s="62" t="s">
        <v>452</v>
      </c>
      <c r="B1403" s="62" t="s">
        <v>452</v>
      </c>
      <c r="C1403" s="63"/>
      <c r="D1403" s="64"/>
      <c r="E1403" s="65"/>
      <c r="F1403" s="66"/>
      <c r="G1403" s="63"/>
      <c r="H1403" s="67"/>
      <c r="I1403" s="68"/>
      <c r="J1403" s="68"/>
      <c r="K1403" s="32"/>
      <c r="L1403" s="75">
        <v>1403</v>
      </c>
      <c r="M1403" s="75"/>
      <c r="N1403" s="70"/>
      <c r="O1403" s="77" t="s">
        <v>800</v>
      </c>
      <c r="P1403" s="79">
        <v>45098.88108796296</v>
      </c>
      <c r="Q1403" s="77" t="s">
        <v>2193</v>
      </c>
      <c r="R1403" s="77">
        <v>0</v>
      </c>
      <c r="S1403" s="77">
        <v>0</v>
      </c>
      <c r="T1403" s="77">
        <v>0</v>
      </c>
      <c r="U1403" s="77">
        <v>0</v>
      </c>
      <c r="V1403" s="77">
        <v>8</v>
      </c>
      <c r="W1403" s="82" t="s">
        <v>4835</v>
      </c>
      <c r="X1403" s="77"/>
      <c r="Y1403" s="77"/>
      <c r="Z1403" s="77"/>
      <c r="AA1403" s="77" t="s">
        <v>7707</v>
      </c>
      <c r="AB1403" s="77" t="s">
        <v>8225</v>
      </c>
      <c r="AC1403" s="82" t="s">
        <v>8234</v>
      </c>
      <c r="AD1403" s="77" t="s">
        <v>8278</v>
      </c>
      <c r="AE1403" s="80" t="str">
        <f>HYPERLINK("https://twitter.com/kratoncapital/status/1671626234109870082")</f>
        <v>https://twitter.com/kratoncapital/status/1671626234109870082</v>
      </c>
      <c r="AF1403" s="79">
        <v>45098.88108796296</v>
      </c>
      <c r="AG1403" s="85">
        <v>45098</v>
      </c>
      <c r="AH1403" s="82" t="s">
        <v>9548</v>
      </c>
      <c r="AI1403" s="77" t="b">
        <v>0</v>
      </c>
      <c r="AJ1403" s="77"/>
      <c r="AK1403" s="77"/>
      <c r="AL1403" s="77"/>
      <c r="AM1403" s="77"/>
      <c r="AN1403" s="77"/>
      <c r="AO1403" s="77"/>
      <c r="AP1403" s="77"/>
      <c r="AQ1403" s="77" t="s">
        <v>12592</v>
      </c>
      <c r="AR1403" s="77"/>
      <c r="AS1403" s="77"/>
      <c r="AT1403" s="77"/>
      <c r="AU1403" s="77"/>
      <c r="AV1403" s="80" t="str">
        <f>HYPERLINK("https://pbs.twimg.com/media/FzLPM4-WcAALMut.jpg")</f>
        <v>https://pbs.twimg.com/media/FzLPM4-WcAALMut.jpg</v>
      </c>
      <c r="AW1403" s="82" t="s">
        <v>14497</v>
      </c>
      <c r="AX1403" s="82" t="s">
        <v>14498</v>
      </c>
      <c r="AY1403" s="82" t="s">
        <v>17348</v>
      </c>
      <c r="AZ1403" s="82" t="s">
        <v>14498</v>
      </c>
      <c r="BA1403" s="82" t="s">
        <v>17385</v>
      </c>
      <c r="BB1403" s="82" t="s">
        <v>17385</v>
      </c>
      <c r="BC1403" s="82" t="s">
        <v>14498</v>
      </c>
      <c r="BD1403" s="82" t="s">
        <v>17348</v>
      </c>
      <c r="BE1403" s="77"/>
      <c r="BF1403" s="77"/>
      <c r="BG1403" s="77"/>
      <c r="BH1403" s="77"/>
      <c r="BI1403" s="77"/>
    </row>
    <row r="1404" spans="1:61" x14ac:dyDescent="0.25">
      <c r="A1404" s="62" t="s">
        <v>452</v>
      </c>
      <c r="B1404" s="62" t="s">
        <v>452</v>
      </c>
      <c r="C1404" s="63"/>
      <c r="D1404" s="64"/>
      <c r="E1404" s="65"/>
      <c r="F1404" s="66"/>
      <c r="G1404" s="63"/>
      <c r="H1404" s="67"/>
      <c r="I1404" s="68"/>
      <c r="J1404" s="68"/>
      <c r="K1404" s="32"/>
      <c r="L1404" s="75">
        <v>1404</v>
      </c>
      <c r="M1404" s="75"/>
      <c r="N1404" s="70"/>
      <c r="O1404" s="77" t="s">
        <v>179</v>
      </c>
      <c r="P1404" s="79">
        <v>45098.880810185183</v>
      </c>
      <c r="Q1404" s="77" t="s">
        <v>2194</v>
      </c>
      <c r="R1404" s="77">
        <v>0</v>
      </c>
      <c r="S1404" s="77">
        <v>0</v>
      </c>
      <c r="T1404" s="77">
        <v>1</v>
      </c>
      <c r="U1404" s="77">
        <v>0</v>
      </c>
      <c r="V1404" s="77">
        <v>14</v>
      </c>
      <c r="W1404" s="82" t="s">
        <v>4835</v>
      </c>
      <c r="X1404" s="77"/>
      <c r="Y1404" s="77"/>
      <c r="Z1404" s="77"/>
      <c r="AA1404" s="77" t="s">
        <v>7708</v>
      </c>
      <c r="AB1404" s="77" t="s">
        <v>8225</v>
      </c>
      <c r="AC1404" s="82" t="s">
        <v>8234</v>
      </c>
      <c r="AD1404" s="77" t="s">
        <v>8278</v>
      </c>
      <c r="AE1404" s="80" t="str">
        <f>HYPERLINK("https://twitter.com/kratoncapital/status/1671626136470671360")</f>
        <v>https://twitter.com/kratoncapital/status/1671626136470671360</v>
      </c>
      <c r="AF1404" s="79">
        <v>45098.880810185183</v>
      </c>
      <c r="AG1404" s="85">
        <v>45098</v>
      </c>
      <c r="AH1404" s="82" t="s">
        <v>9549</v>
      </c>
      <c r="AI1404" s="77" t="b">
        <v>0</v>
      </c>
      <c r="AJ1404" s="77"/>
      <c r="AK1404" s="77"/>
      <c r="AL1404" s="77"/>
      <c r="AM1404" s="77"/>
      <c r="AN1404" s="77"/>
      <c r="AO1404" s="77"/>
      <c r="AP1404" s="77"/>
      <c r="AQ1404" s="77" t="s">
        <v>12593</v>
      </c>
      <c r="AR1404" s="77"/>
      <c r="AS1404" s="77"/>
      <c r="AT1404" s="77"/>
      <c r="AU1404" s="77"/>
      <c r="AV1404" s="80" t="str">
        <f>HYPERLINK("https://pbs.twimg.com/media/FzLPHNjWcAEal_G.jpg")</f>
        <v>https://pbs.twimg.com/media/FzLPHNjWcAEal_G.jpg</v>
      </c>
      <c r="AW1404" s="82" t="s">
        <v>14498</v>
      </c>
      <c r="AX1404" s="82" t="s">
        <v>14498</v>
      </c>
      <c r="AY1404" s="77"/>
      <c r="AZ1404" s="82" t="s">
        <v>17385</v>
      </c>
      <c r="BA1404" s="82" t="s">
        <v>17385</v>
      </c>
      <c r="BB1404" s="82" t="s">
        <v>17385</v>
      </c>
      <c r="BC1404" s="82" t="s">
        <v>14498</v>
      </c>
      <c r="BD1404" s="82" t="s">
        <v>17348</v>
      </c>
      <c r="BE1404" s="77"/>
      <c r="BF1404" s="77"/>
      <c r="BG1404" s="77"/>
      <c r="BH1404" s="77"/>
      <c r="BI1404" s="77"/>
    </row>
    <row r="1405" spans="1:61" x14ac:dyDescent="0.25">
      <c r="A1405" s="62" t="s">
        <v>453</v>
      </c>
      <c r="B1405" s="62" t="s">
        <v>453</v>
      </c>
      <c r="C1405" s="63"/>
      <c r="D1405" s="64"/>
      <c r="E1405" s="65"/>
      <c r="F1405" s="66"/>
      <c r="G1405" s="63"/>
      <c r="H1405" s="67"/>
      <c r="I1405" s="68"/>
      <c r="J1405" s="68"/>
      <c r="K1405" s="32"/>
      <c r="L1405" s="75">
        <v>1405</v>
      </c>
      <c r="M1405" s="75"/>
      <c r="N1405" s="70"/>
      <c r="O1405" s="77" t="s">
        <v>179</v>
      </c>
      <c r="P1405" s="79">
        <v>45136.573831018519</v>
      </c>
      <c r="Q1405" s="77" t="s">
        <v>2195</v>
      </c>
      <c r="R1405" s="77">
        <v>0</v>
      </c>
      <c r="S1405" s="77">
        <v>0</v>
      </c>
      <c r="T1405" s="77">
        <v>0</v>
      </c>
      <c r="U1405" s="77">
        <v>0</v>
      </c>
      <c r="V1405" s="77">
        <v>34</v>
      </c>
      <c r="W1405" s="82" t="s">
        <v>5701</v>
      </c>
      <c r="X1405" s="80" t="str">
        <f>HYPERLINK("https://portaloantenado.com.br/2023/07/29/immu-apresenta-plano-plurianual-para-proximo-bienio-e-loa-2024-com-acoes-e-investimentos/")</f>
        <v>https://portaloantenado.com.br/2023/07/29/immu-apresenta-plano-plurianual-para-proximo-bienio-e-loa-2024-com-acoes-e-investimentos/</v>
      </c>
      <c r="Y1405" s="77" t="s">
        <v>7053</v>
      </c>
      <c r="Z1405" s="77"/>
      <c r="AA1405" s="77"/>
      <c r="AB1405" s="77"/>
      <c r="AC1405" s="82" t="s">
        <v>8232</v>
      </c>
      <c r="AD1405" s="77" t="s">
        <v>8278</v>
      </c>
      <c r="AE1405" s="80" t="str">
        <f>HYPERLINK("https://twitter.com/oantenado_/status/1685285629934870529")</f>
        <v>https://twitter.com/oantenado_/status/1685285629934870529</v>
      </c>
      <c r="AF1405" s="79">
        <v>45136.573831018519</v>
      </c>
      <c r="AG1405" s="85">
        <v>45136</v>
      </c>
      <c r="AH1405" s="82" t="s">
        <v>9550</v>
      </c>
      <c r="AI1405" s="77" t="b">
        <v>0</v>
      </c>
      <c r="AJ1405" s="77"/>
      <c r="AK1405" s="77"/>
      <c r="AL1405" s="77"/>
      <c r="AM1405" s="77"/>
      <c r="AN1405" s="77"/>
      <c r="AO1405" s="77"/>
      <c r="AP1405" s="77"/>
      <c r="AQ1405" s="77"/>
      <c r="AR1405" s="77"/>
      <c r="AS1405" s="77"/>
      <c r="AT1405" s="77"/>
      <c r="AU1405" s="77"/>
      <c r="AV1405" s="80" t="str">
        <f>HYPERLINK("https://pbs.twimg.com/profile_images/1247162537256185857/MJT2WjKw_normal.jpg")</f>
        <v>https://pbs.twimg.com/profile_images/1247162537256185857/MJT2WjKw_normal.jpg</v>
      </c>
      <c r="AW1405" s="82" t="s">
        <v>14499</v>
      </c>
      <c r="AX1405" s="82" t="s">
        <v>14499</v>
      </c>
      <c r="AY1405" s="77"/>
      <c r="AZ1405" s="82" t="s">
        <v>17385</v>
      </c>
      <c r="BA1405" s="82" t="s">
        <v>17385</v>
      </c>
      <c r="BB1405" s="82" t="s">
        <v>17385</v>
      </c>
      <c r="BC1405" s="82" t="s">
        <v>14499</v>
      </c>
      <c r="BD1405" s="82" t="s">
        <v>17561</v>
      </c>
      <c r="BE1405" s="77"/>
      <c r="BF1405" s="77"/>
      <c r="BG1405" s="77"/>
      <c r="BH1405" s="77"/>
      <c r="BI1405" s="77"/>
    </row>
    <row r="1406" spans="1:61" x14ac:dyDescent="0.25">
      <c r="A1406" s="62" t="s">
        <v>454</v>
      </c>
      <c r="B1406" s="62" t="s">
        <v>454</v>
      </c>
      <c r="C1406" s="63"/>
      <c r="D1406" s="64"/>
      <c r="E1406" s="65"/>
      <c r="F1406" s="66"/>
      <c r="G1406" s="63"/>
      <c r="H1406" s="67"/>
      <c r="I1406" s="68"/>
      <c r="J1406" s="68"/>
      <c r="K1406" s="32"/>
      <c r="L1406" s="75">
        <v>1406</v>
      </c>
      <c r="M1406" s="75"/>
      <c r="N1406" s="70"/>
      <c r="O1406" s="77" t="s">
        <v>179</v>
      </c>
      <c r="P1406" s="79">
        <v>45047.877465277779</v>
      </c>
      <c r="Q1406" s="77" t="s">
        <v>2196</v>
      </c>
      <c r="R1406" s="77">
        <v>0</v>
      </c>
      <c r="S1406" s="77">
        <v>6</v>
      </c>
      <c r="T1406" s="77">
        <v>1</v>
      </c>
      <c r="U1406" s="77">
        <v>0</v>
      </c>
      <c r="V1406" s="77">
        <v>830</v>
      </c>
      <c r="W1406" s="82" t="s">
        <v>5702</v>
      </c>
      <c r="X1406" s="80" t="str">
        <f>HYPERLINK("https://viverdedividendos.org/compras-ups-brt-pg-cass-abr23/")</f>
        <v>https://viverdedividendos.org/compras-ups-brt-pg-cass-abr23/</v>
      </c>
      <c r="Y1406" s="77" t="s">
        <v>7105</v>
      </c>
      <c r="Z1406" s="77"/>
      <c r="AA1406" s="77" t="s">
        <v>7709</v>
      </c>
      <c r="AB1406" s="77" t="s">
        <v>8225</v>
      </c>
      <c r="AC1406" s="82" t="s">
        <v>8233</v>
      </c>
      <c r="AD1406" s="77" t="s">
        <v>8278</v>
      </c>
      <c r="AE1406" s="80" t="str">
        <f>HYPERLINK("https://twitter.com/vdividendos/status/1653143143498362880")</f>
        <v>https://twitter.com/vdividendos/status/1653143143498362880</v>
      </c>
      <c r="AF1406" s="79">
        <v>45047.877465277779</v>
      </c>
      <c r="AG1406" s="85">
        <v>45047</v>
      </c>
      <c r="AH1406" s="82" t="s">
        <v>9551</v>
      </c>
      <c r="AI1406" s="77" t="b">
        <v>0</v>
      </c>
      <c r="AJ1406" s="77"/>
      <c r="AK1406" s="77"/>
      <c r="AL1406" s="77"/>
      <c r="AM1406" s="77"/>
      <c r="AN1406" s="77"/>
      <c r="AO1406" s="77"/>
      <c r="AP1406" s="77"/>
      <c r="AQ1406" s="77" t="s">
        <v>12594</v>
      </c>
      <c r="AR1406" s="77"/>
      <c r="AS1406" s="77"/>
      <c r="AT1406" s="77"/>
      <c r="AU1406" s="77"/>
      <c r="AV1406" s="80" t="str">
        <f>HYPERLINK("https://pbs.twimg.com/media/FvEk7QuXwAANARh.jpg")</f>
        <v>https://pbs.twimg.com/media/FvEk7QuXwAANARh.jpg</v>
      </c>
      <c r="AW1406" s="82" t="s">
        <v>14500</v>
      </c>
      <c r="AX1406" s="82" t="s">
        <v>14500</v>
      </c>
      <c r="AY1406" s="77"/>
      <c r="AZ1406" s="82" t="s">
        <v>17385</v>
      </c>
      <c r="BA1406" s="82" t="s">
        <v>17385</v>
      </c>
      <c r="BB1406" s="82" t="s">
        <v>17385</v>
      </c>
      <c r="BC1406" s="82" t="s">
        <v>14500</v>
      </c>
      <c r="BD1406" s="77">
        <v>3406447954</v>
      </c>
      <c r="BE1406" s="77"/>
      <c r="BF1406" s="77"/>
      <c r="BG1406" s="77"/>
      <c r="BH1406" s="77"/>
      <c r="BI1406" s="77"/>
    </row>
    <row r="1407" spans="1:61" x14ac:dyDescent="0.25">
      <c r="A1407" s="62" t="s">
        <v>454</v>
      </c>
      <c r="B1407" s="62" t="s">
        <v>454</v>
      </c>
      <c r="C1407" s="63"/>
      <c r="D1407" s="64"/>
      <c r="E1407" s="65"/>
      <c r="F1407" s="66"/>
      <c r="G1407" s="63"/>
      <c r="H1407" s="67"/>
      <c r="I1407" s="68"/>
      <c r="J1407" s="68"/>
      <c r="K1407" s="32"/>
      <c r="L1407" s="75">
        <v>1407</v>
      </c>
      <c r="M1407" s="75"/>
      <c r="N1407" s="70"/>
      <c r="O1407" s="77" t="s">
        <v>179</v>
      </c>
      <c r="P1407" s="79">
        <v>45075.27270833333</v>
      </c>
      <c r="Q1407" s="77" t="s">
        <v>2197</v>
      </c>
      <c r="R1407" s="77">
        <v>3</v>
      </c>
      <c r="S1407" s="77">
        <v>37</v>
      </c>
      <c r="T1407" s="77">
        <v>2</v>
      </c>
      <c r="U1407" s="77">
        <v>0</v>
      </c>
      <c r="V1407" s="77">
        <v>5295</v>
      </c>
      <c r="W1407" s="82" t="s">
        <v>5703</v>
      </c>
      <c r="X1407" s="77"/>
      <c r="Y1407" s="77"/>
      <c r="Z1407" s="77"/>
      <c r="AA1407" s="77" t="s">
        <v>7710</v>
      </c>
      <c r="AB1407" s="77" t="s">
        <v>8225</v>
      </c>
      <c r="AC1407" s="82" t="s">
        <v>8233</v>
      </c>
      <c r="AD1407" s="77" t="s">
        <v>8278</v>
      </c>
      <c r="AE1407" s="80" t="str">
        <f>HYPERLINK("https://twitter.com/vdividendos/status/1663070843310686209")</f>
        <v>https://twitter.com/vdividendos/status/1663070843310686209</v>
      </c>
      <c r="AF1407" s="79">
        <v>45075.27270833333</v>
      </c>
      <c r="AG1407" s="85">
        <v>45075</v>
      </c>
      <c r="AH1407" s="82" t="s">
        <v>9552</v>
      </c>
      <c r="AI1407" s="77" t="b">
        <v>0</v>
      </c>
      <c r="AJ1407" s="77"/>
      <c r="AK1407" s="77"/>
      <c r="AL1407" s="77"/>
      <c r="AM1407" s="77"/>
      <c r="AN1407" s="77"/>
      <c r="AO1407" s="77"/>
      <c r="AP1407" s="77"/>
      <c r="AQ1407" s="77" t="s">
        <v>12595</v>
      </c>
      <c r="AR1407" s="77"/>
      <c r="AS1407" s="77"/>
      <c r="AT1407" s="77"/>
      <c r="AU1407" s="77"/>
      <c r="AV1407" s="80" t="str">
        <f>HYPERLINK("https://pbs.twimg.com/media/FxRqHfFXoAEdjzQ.jpg")</f>
        <v>https://pbs.twimg.com/media/FxRqHfFXoAEdjzQ.jpg</v>
      </c>
      <c r="AW1407" s="82" t="s">
        <v>14501</v>
      </c>
      <c r="AX1407" s="82" t="s">
        <v>14501</v>
      </c>
      <c r="AY1407" s="77"/>
      <c r="AZ1407" s="82" t="s">
        <v>17385</v>
      </c>
      <c r="BA1407" s="82" t="s">
        <v>17385</v>
      </c>
      <c r="BB1407" s="82" t="s">
        <v>17385</v>
      </c>
      <c r="BC1407" s="82" t="s">
        <v>14501</v>
      </c>
      <c r="BD1407" s="77">
        <v>3406447954</v>
      </c>
      <c r="BE1407" s="77"/>
      <c r="BF1407" s="77"/>
      <c r="BG1407" s="77"/>
      <c r="BH1407" s="77"/>
      <c r="BI1407" s="77"/>
    </row>
    <row r="1408" spans="1:61" x14ac:dyDescent="0.25">
      <c r="A1408" s="62" t="s">
        <v>454</v>
      </c>
      <c r="B1408" s="62" t="s">
        <v>454</v>
      </c>
      <c r="C1408" s="63"/>
      <c r="D1408" s="64"/>
      <c r="E1408" s="65"/>
      <c r="F1408" s="66"/>
      <c r="G1408" s="63"/>
      <c r="H1408" s="67"/>
      <c r="I1408" s="68"/>
      <c r="J1408" s="68"/>
      <c r="K1408" s="32"/>
      <c r="L1408" s="75">
        <v>1408</v>
      </c>
      <c r="M1408" s="75"/>
      <c r="N1408" s="70"/>
      <c r="O1408" s="77" t="s">
        <v>179</v>
      </c>
      <c r="P1408" s="79">
        <v>45067.591736111113</v>
      </c>
      <c r="Q1408" s="77" t="s">
        <v>2198</v>
      </c>
      <c r="R1408" s="77">
        <v>4</v>
      </c>
      <c r="S1408" s="77">
        <v>46</v>
      </c>
      <c r="T1408" s="77">
        <v>9</v>
      </c>
      <c r="U1408" s="77">
        <v>1</v>
      </c>
      <c r="V1408" s="77">
        <v>80251</v>
      </c>
      <c r="W1408" s="82" t="s">
        <v>5704</v>
      </c>
      <c r="X1408" s="80" t="str">
        <f>HYPERLINK("https://viverdedividendos.org/realty-income-pedaladas-no-balanco-e-risco-para-investidores")</f>
        <v>https://viverdedividendos.org/realty-income-pedaladas-no-balanco-e-risco-para-investidores</v>
      </c>
      <c r="Y1408" s="77" t="s">
        <v>7105</v>
      </c>
      <c r="Z1408" s="77"/>
      <c r="AA1408" s="77" t="s">
        <v>7711</v>
      </c>
      <c r="AB1408" s="77" t="s">
        <v>8225</v>
      </c>
      <c r="AC1408" s="82" t="s">
        <v>8232</v>
      </c>
      <c r="AD1408" s="77" t="s">
        <v>8278</v>
      </c>
      <c r="AE1408" s="80" t="str">
        <f>HYPERLINK("https://twitter.com/vdividendos/status/1660287354223960066")</f>
        <v>https://twitter.com/vdividendos/status/1660287354223960066</v>
      </c>
      <c r="AF1408" s="79">
        <v>45067.591736111113</v>
      </c>
      <c r="AG1408" s="85">
        <v>45067</v>
      </c>
      <c r="AH1408" s="82" t="s">
        <v>9553</v>
      </c>
      <c r="AI1408" s="77" t="b">
        <v>0</v>
      </c>
      <c r="AJ1408" s="77"/>
      <c r="AK1408" s="77"/>
      <c r="AL1408" s="77"/>
      <c r="AM1408" s="77"/>
      <c r="AN1408" s="77"/>
      <c r="AO1408" s="77"/>
      <c r="AP1408" s="77"/>
      <c r="AQ1408" s="77" t="s">
        <v>12596</v>
      </c>
      <c r="AR1408" s="77"/>
      <c r="AS1408" s="77"/>
      <c r="AT1408" s="77"/>
      <c r="AU1408" s="77"/>
      <c r="AV1408" s="80" t="str">
        <f>HYPERLINK("https://pbs.twimg.com/media/FwqF92yXgAImXE_.jpg")</f>
        <v>https://pbs.twimg.com/media/FwqF92yXgAImXE_.jpg</v>
      </c>
      <c r="AW1408" s="82" t="s">
        <v>14502</v>
      </c>
      <c r="AX1408" s="82" t="s">
        <v>14502</v>
      </c>
      <c r="AY1408" s="77"/>
      <c r="AZ1408" s="82" t="s">
        <v>17385</v>
      </c>
      <c r="BA1408" s="82" t="s">
        <v>17385</v>
      </c>
      <c r="BB1408" s="82" t="s">
        <v>17385</v>
      </c>
      <c r="BC1408" s="82" t="s">
        <v>14502</v>
      </c>
      <c r="BD1408" s="77">
        <v>3406447954</v>
      </c>
      <c r="BE1408" s="77"/>
      <c r="BF1408" s="77"/>
      <c r="BG1408" s="77"/>
      <c r="BH1408" s="77"/>
      <c r="BI1408" s="77"/>
    </row>
    <row r="1409" spans="1:61" x14ac:dyDescent="0.25">
      <c r="A1409" s="62" t="s">
        <v>454</v>
      </c>
      <c r="B1409" s="62" t="s">
        <v>454</v>
      </c>
      <c r="C1409" s="63"/>
      <c r="D1409" s="64"/>
      <c r="E1409" s="65"/>
      <c r="F1409" s="66"/>
      <c r="G1409" s="63"/>
      <c r="H1409" s="67"/>
      <c r="I1409" s="68"/>
      <c r="J1409" s="68"/>
      <c r="K1409" s="32"/>
      <c r="L1409" s="75">
        <v>1409</v>
      </c>
      <c r="M1409" s="75"/>
      <c r="N1409" s="70"/>
      <c r="O1409" s="77" t="s">
        <v>179</v>
      </c>
      <c r="P1409" s="79">
        <v>45124.526712962965</v>
      </c>
      <c r="Q1409" s="77" t="s">
        <v>2199</v>
      </c>
      <c r="R1409" s="77">
        <v>1</v>
      </c>
      <c r="S1409" s="77">
        <v>4</v>
      </c>
      <c r="T1409" s="77">
        <v>0</v>
      </c>
      <c r="U1409" s="77">
        <v>0</v>
      </c>
      <c r="V1409" s="77">
        <v>474</v>
      </c>
      <c r="W1409" s="82" t="s">
        <v>5705</v>
      </c>
      <c r="X1409" s="80" t="str">
        <f>HYPERLINK("https://viverdedividendos.org/rentabilidade-top-picks-stock-18-jun23/")</f>
        <v>https://viverdedividendos.org/rentabilidade-top-picks-stock-18-jun23/</v>
      </c>
      <c r="Y1409" s="77" t="s">
        <v>7105</v>
      </c>
      <c r="Z1409" s="77"/>
      <c r="AA1409" s="77" t="s">
        <v>7712</v>
      </c>
      <c r="AB1409" s="77" t="s">
        <v>8225</v>
      </c>
      <c r="AC1409" s="82" t="s">
        <v>8233</v>
      </c>
      <c r="AD1409" s="77" t="s">
        <v>8278</v>
      </c>
      <c r="AE1409" s="80" t="str">
        <f>HYPERLINK("https://twitter.com/vdividendos/status/1680919897390432258")</f>
        <v>https://twitter.com/vdividendos/status/1680919897390432258</v>
      </c>
      <c r="AF1409" s="79">
        <v>45124.526712962965</v>
      </c>
      <c r="AG1409" s="85">
        <v>45124</v>
      </c>
      <c r="AH1409" s="82" t="s">
        <v>9554</v>
      </c>
      <c r="AI1409" s="77" t="b">
        <v>0</v>
      </c>
      <c r="AJ1409" s="77"/>
      <c r="AK1409" s="77"/>
      <c r="AL1409" s="77"/>
      <c r="AM1409" s="77"/>
      <c r="AN1409" s="77"/>
      <c r="AO1409" s="77"/>
      <c r="AP1409" s="77"/>
      <c r="AQ1409" s="77" t="s">
        <v>12597</v>
      </c>
      <c r="AR1409" s="77"/>
      <c r="AS1409" s="77"/>
      <c r="AT1409" s="77"/>
      <c r="AU1409" s="77"/>
      <c r="AV1409" s="80" t="str">
        <f>HYPERLINK("https://pbs.twimg.com/media/F1PTvDQXoAA6TJ8.jpg")</f>
        <v>https://pbs.twimg.com/media/F1PTvDQXoAA6TJ8.jpg</v>
      </c>
      <c r="AW1409" s="82" t="s">
        <v>14503</v>
      </c>
      <c r="AX1409" s="82" t="s">
        <v>14503</v>
      </c>
      <c r="AY1409" s="77"/>
      <c r="AZ1409" s="82" t="s">
        <v>17385</v>
      </c>
      <c r="BA1409" s="82" t="s">
        <v>17385</v>
      </c>
      <c r="BB1409" s="82" t="s">
        <v>17385</v>
      </c>
      <c r="BC1409" s="82" t="s">
        <v>14503</v>
      </c>
      <c r="BD1409" s="77">
        <v>3406447954</v>
      </c>
      <c r="BE1409" s="77"/>
      <c r="BF1409" s="77"/>
      <c r="BG1409" s="77"/>
      <c r="BH1409" s="77"/>
      <c r="BI1409" s="77"/>
    </row>
    <row r="1410" spans="1:61" x14ac:dyDescent="0.25">
      <c r="A1410" s="62" t="s">
        <v>455</v>
      </c>
      <c r="B1410" s="62" t="s">
        <v>771</v>
      </c>
      <c r="C1410" s="63"/>
      <c r="D1410" s="64"/>
      <c r="E1410" s="65"/>
      <c r="F1410" s="66"/>
      <c r="G1410" s="63"/>
      <c r="H1410" s="67"/>
      <c r="I1410" s="68"/>
      <c r="J1410" s="68"/>
      <c r="K1410" s="32"/>
      <c r="L1410" s="75">
        <v>1410</v>
      </c>
      <c r="M1410" s="75"/>
      <c r="N1410" s="70"/>
      <c r="O1410" s="77" t="s">
        <v>802</v>
      </c>
      <c r="P1410" s="79">
        <v>45160.512662037036</v>
      </c>
      <c r="Q1410" s="77" t="s">
        <v>2200</v>
      </c>
      <c r="R1410" s="77">
        <v>0</v>
      </c>
      <c r="S1410" s="77">
        <v>0</v>
      </c>
      <c r="T1410" s="77">
        <v>0</v>
      </c>
      <c r="U1410" s="77">
        <v>0</v>
      </c>
      <c r="V1410" s="77">
        <v>35</v>
      </c>
      <c r="W1410" s="82" t="s">
        <v>5706</v>
      </c>
      <c r="X1410" s="77"/>
      <c r="Y1410" s="77"/>
      <c r="Z1410" s="77" t="s">
        <v>771</v>
      </c>
      <c r="AA1410" s="77" t="s">
        <v>7713</v>
      </c>
      <c r="AB1410" s="77" t="s">
        <v>8227</v>
      </c>
      <c r="AC1410" s="82" t="s">
        <v>8234</v>
      </c>
      <c r="AD1410" s="77" t="s">
        <v>8278</v>
      </c>
      <c r="AE1410" s="80" t="str">
        <f>HYPERLINK("https://twitter.com/1bertoalexandre/status/1693960769564500083")</f>
        <v>https://twitter.com/1bertoalexandre/status/1693960769564500083</v>
      </c>
      <c r="AF1410" s="79">
        <v>45160.512662037036</v>
      </c>
      <c r="AG1410" s="85">
        <v>45160</v>
      </c>
      <c r="AH1410" s="82" t="s">
        <v>9555</v>
      </c>
      <c r="AI1410" s="77" t="b">
        <v>0</v>
      </c>
      <c r="AJ1410" s="77"/>
      <c r="AK1410" s="77"/>
      <c r="AL1410" s="77"/>
      <c r="AM1410" s="77"/>
      <c r="AN1410" s="77"/>
      <c r="AO1410" s="77"/>
      <c r="AP1410" s="77"/>
      <c r="AQ1410" s="77" t="s">
        <v>12598</v>
      </c>
      <c r="AR1410" s="77">
        <v>45019</v>
      </c>
      <c r="AS1410" s="77"/>
      <c r="AT1410" s="77"/>
      <c r="AU1410" s="77"/>
      <c r="AV1410" s="80" t="str">
        <f>HYPERLINK("https://pbs.twimg.com/ext_tw_video_thumb/1693960688287338496/pu/img/NCJqwwLNKpaxcbR-.jpg")</f>
        <v>https://pbs.twimg.com/ext_tw_video_thumb/1693960688287338496/pu/img/NCJqwwLNKpaxcbR-.jpg</v>
      </c>
      <c r="AW1410" s="82" t="s">
        <v>14504</v>
      </c>
      <c r="AX1410" s="82" t="s">
        <v>14504</v>
      </c>
      <c r="AY1410" s="77"/>
      <c r="AZ1410" s="82" t="s">
        <v>17385</v>
      </c>
      <c r="BA1410" s="82" t="s">
        <v>17385</v>
      </c>
      <c r="BB1410" s="82" t="s">
        <v>17385</v>
      </c>
      <c r="BC1410" s="82" t="s">
        <v>14504</v>
      </c>
      <c r="BD1410" s="77">
        <v>83748411</v>
      </c>
      <c r="BE1410" s="77"/>
      <c r="BF1410" s="77"/>
      <c r="BG1410" s="77"/>
      <c r="BH1410" s="77"/>
      <c r="BI1410" s="77"/>
    </row>
    <row r="1411" spans="1:61" x14ac:dyDescent="0.25">
      <c r="A1411" s="62" t="s">
        <v>456</v>
      </c>
      <c r="B1411" s="62" t="s">
        <v>456</v>
      </c>
      <c r="C1411" s="63"/>
      <c r="D1411" s="64"/>
      <c r="E1411" s="65"/>
      <c r="F1411" s="66"/>
      <c r="G1411" s="63"/>
      <c r="H1411" s="67"/>
      <c r="I1411" s="68"/>
      <c r="J1411" s="68"/>
      <c r="K1411" s="32"/>
      <c r="L1411" s="75">
        <v>1411</v>
      </c>
      <c r="M1411" s="75"/>
      <c r="N1411" s="70"/>
      <c r="O1411" s="77" t="s">
        <v>179</v>
      </c>
      <c r="P1411" s="79">
        <v>45076.416909722226</v>
      </c>
      <c r="Q1411" s="77" t="s">
        <v>2201</v>
      </c>
      <c r="R1411" s="77">
        <v>0</v>
      </c>
      <c r="S1411" s="77">
        <v>0</v>
      </c>
      <c r="T1411" s="77">
        <v>0</v>
      </c>
      <c r="U1411" s="77">
        <v>0</v>
      </c>
      <c r="V1411" s="77">
        <v>3</v>
      </c>
      <c r="W1411" s="82" t="s">
        <v>5707</v>
      </c>
      <c r="X1411" s="77" t="s">
        <v>7040</v>
      </c>
      <c r="Y1411" s="77" t="s">
        <v>7106</v>
      </c>
      <c r="Z1411" s="77"/>
      <c r="AA1411" s="77"/>
      <c r="AB1411" s="77"/>
      <c r="AC1411" s="82" t="s">
        <v>8242</v>
      </c>
      <c r="AD1411" s="77" t="s">
        <v>8278</v>
      </c>
      <c r="AE1411" s="80" t="str">
        <f>HYPERLINK("https://twitter.com/rafaeldemello_/status/1663485491411316750")</f>
        <v>https://twitter.com/rafaeldemello_/status/1663485491411316750</v>
      </c>
      <c r="AF1411" s="79">
        <v>45076.416909722226</v>
      </c>
      <c r="AG1411" s="85">
        <v>45076</v>
      </c>
      <c r="AH1411" s="82" t="s">
        <v>9556</v>
      </c>
      <c r="AI1411" s="77" t="b">
        <v>0</v>
      </c>
      <c r="AJ1411" s="77"/>
      <c r="AK1411" s="77"/>
      <c r="AL1411" s="77"/>
      <c r="AM1411" s="77"/>
      <c r="AN1411" s="77"/>
      <c r="AO1411" s="77"/>
      <c r="AP1411" s="77"/>
      <c r="AQ1411" s="77"/>
      <c r="AR1411" s="77"/>
      <c r="AS1411" s="77"/>
      <c r="AT1411" s="77"/>
      <c r="AU1411" s="77"/>
      <c r="AV1411" s="80" t="str">
        <f>HYPERLINK("https://pbs.twimg.com/profile_images/1616806584377610241/ozOsnixB_normal.jpg")</f>
        <v>https://pbs.twimg.com/profile_images/1616806584377610241/ozOsnixB_normal.jpg</v>
      </c>
      <c r="AW1411" s="82" t="s">
        <v>14505</v>
      </c>
      <c r="AX1411" s="82" t="s">
        <v>14505</v>
      </c>
      <c r="AY1411" s="77"/>
      <c r="AZ1411" s="82" t="s">
        <v>17385</v>
      </c>
      <c r="BA1411" s="82" t="s">
        <v>17385</v>
      </c>
      <c r="BB1411" s="82" t="s">
        <v>17385</v>
      </c>
      <c r="BC1411" s="82" t="s">
        <v>14505</v>
      </c>
      <c r="BD1411" s="82" t="s">
        <v>17562</v>
      </c>
      <c r="BE1411" s="77"/>
      <c r="BF1411" s="77"/>
      <c r="BG1411" s="77"/>
      <c r="BH1411" s="77"/>
      <c r="BI1411" s="77"/>
    </row>
    <row r="1412" spans="1:61" x14ac:dyDescent="0.25">
      <c r="A1412" s="62" t="s">
        <v>457</v>
      </c>
      <c r="B1412" s="62" t="s">
        <v>457</v>
      </c>
      <c r="C1412" s="63"/>
      <c r="D1412" s="64"/>
      <c r="E1412" s="65"/>
      <c r="F1412" s="66"/>
      <c r="G1412" s="63"/>
      <c r="H1412" s="67"/>
      <c r="I1412" s="68"/>
      <c r="J1412" s="68"/>
      <c r="K1412" s="32"/>
      <c r="L1412" s="75">
        <v>1412</v>
      </c>
      <c r="M1412" s="75"/>
      <c r="N1412" s="70"/>
      <c r="O1412" s="77" t="s">
        <v>179</v>
      </c>
      <c r="P1412" s="79">
        <v>45058.024004629631</v>
      </c>
      <c r="Q1412" s="77" t="s">
        <v>2202</v>
      </c>
      <c r="R1412" s="77">
        <v>4</v>
      </c>
      <c r="S1412" s="77">
        <v>0</v>
      </c>
      <c r="T1412" s="77">
        <v>0</v>
      </c>
      <c r="U1412" s="77">
        <v>0</v>
      </c>
      <c r="V1412" s="77">
        <v>1</v>
      </c>
      <c r="W1412" s="82" t="s">
        <v>5708</v>
      </c>
      <c r="X1412" s="80" t="str">
        <f>HYPERLINK("http://dlvr.it/Snvg2H")</f>
        <v>http://dlvr.it/Snvg2H</v>
      </c>
      <c r="Y1412" s="77" t="s">
        <v>7094</v>
      </c>
      <c r="Z1412" s="77"/>
      <c r="AA1412" s="77"/>
      <c r="AB1412" s="77"/>
      <c r="AC1412" s="82" t="s">
        <v>7094</v>
      </c>
      <c r="AD1412" s="77" t="s">
        <v>8278</v>
      </c>
      <c r="AE1412" s="80" t="str">
        <f>HYPERLINK("https://twitter.com/teg6oficial/status/1656820126141022210")</f>
        <v>https://twitter.com/teg6oficial/status/1656820126141022210</v>
      </c>
      <c r="AF1412" s="79">
        <v>45058.024004629631</v>
      </c>
      <c r="AG1412" s="85">
        <v>45058</v>
      </c>
      <c r="AH1412" s="82" t="s">
        <v>9557</v>
      </c>
      <c r="AI1412" s="77" t="b">
        <v>0</v>
      </c>
      <c r="AJ1412" s="77"/>
      <c r="AK1412" s="77"/>
      <c r="AL1412" s="77"/>
      <c r="AM1412" s="77"/>
      <c r="AN1412" s="77"/>
      <c r="AO1412" s="77"/>
      <c r="AP1412" s="77"/>
      <c r="AQ1412" s="77"/>
      <c r="AR1412" s="77"/>
      <c r="AS1412" s="77"/>
      <c r="AT1412" s="77"/>
      <c r="AU1412" s="77"/>
      <c r="AV1412" s="80" t="str">
        <f>HYPERLINK("https://pbs.twimg.com/profile_images/1518454435596451840/43IH31L9_normal.jpg")</f>
        <v>https://pbs.twimg.com/profile_images/1518454435596451840/43IH31L9_normal.jpg</v>
      </c>
      <c r="AW1412" s="82" t="s">
        <v>14506</v>
      </c>
      <c r="AX1412" s="82" t="s">
        <v>14506</v>
      </c>
      <c r="AY1412" s="77"/>
      <c r="AZ1412" s="82" t="s">
        <v>17385</v>
      </c>
      <c r="BA1412" s="82" t="s">
        <v>17385</v>
      </c>
      <c r="BB1412" s="82" t="s">
        <v>17385</v>
      </c>
      <c r="BC1412" s="82" t="s">
        <v>14506</v>
      </c>
      <c r="BD1412" s="82" t="s">
        <v>17563</v>
      </c>
      <c r="BE1412" s="77"/>
      <c r="BF1412" s="77"/>
      <c r="BG1412" s="77"/>
      <c r="BH1412" s="77"/>
      <c r="BI1412" s="77"/>
    </row>
    <row r="1413" spans="1:61" x14ac:dyDescent="0.25">
      <c r="A1413" s="62" t="s">
        <v>457</v>
      </c>
      <c r="B1413" s="62" t="s">
        <v>457</v>
      </c>
      <c r="C1413" s="63"/>
      <c r="D1413" s="64"/>
      <c r="E1413" s="65"/>
      <c r="F1413" s="66"/>
      <c r="G1413" s="63"/>
      <c r="H1413" s="67"/>
      <c r="I1413" s="68"/>
      <c r="J1413" s="68"/>
      <c r="K1413" s="32"/>
      <c r="L1413" s="75">
        <v>1413</v>
      </c>
      <c r="M1413" s="75"/>
      <c r="N1413" s="70"/>
      <c r="O1413" s="77" t="s">
        <v>179</v>
      </c>
      <c r="P1413" s="79">
        <v>45055.535497685189</v>
      </c>
      <c r="Q1413" s="77" t="s">
        <v>2203</v>
      </c>
      <c r="R1413" s="77">
        <v>4</v>
      </c>
      <c r="S1413" s="77">
        <v>0</v>
      </c>
      <c r="T1413" s="77">
        <v>0</v>
      </c>
      <c r="U1413" s="77">
        <v>0</v>
      </c>
      <c r="V1413" s="77">
        <v>5</v>
      </c>
      <c r="W1413" s="82" t="s">
        <v>5709</v>
      </c>
      <c r="X1413" s="80" t="str">
        <f>HYPERLINK("http://dlvr.it/SnmFpj")</f>
        <v>http://dlvr.it/SnmFpj</v>
      </c>
      <c r="Y1413" s="77" t="s">
        <v>7094</v>
      </c>
      <c r="Z1413" s="77"/>
      <c r="AA1413" s="77"/>
      <c r="AB1413" s="77"/>
      <c r="AC1413" s="82" t="s">
        <v>7094</v>
      </c>
      <c r="AD1413" s="77" t="s">
        <v>8278</v>
      </c>
      <c r="AE1413" s="80" t="str">
        <f>HYPERLINK("https://twitter.com/teg6oficial/status/1655918317515988993")</f>
        <v>https://twitter.com/teg6oficial/status/1655918317515988993</v>
      </c>
      <c r="AF1413" s="79">
        <v>45055.535497685189</v>
      </c>
      <c r="AG1413" s="85">
        <v>45055</v>
      </c>
      <c r="AH1413" s="82" t="s">
        <v>9558</v>
      </c>
      <c r="AI1413" s="77" t="b">
        <v>0</v>
      </c>
      <c r="AJ1413" s="77"/>
      <c r="AK1413" s="77"/>
      <c r="AL1413" s="77"/>
      <c r="AM1413" s="77"/>
      <c r="AN1413" s="77"/>
      <c r="AO1413" s="77"/>
      <c r="AP1413" s="77"/>
      <c r="AQ1413" s="77"/>
      <c r="AR1413" s="77"/>
      <c r="AS1413" s="77"/>
      <c r="AT1413" s="77"/>
      <c r="AU1413" s="77"/>
      <c r="AV1413" s="80" t="str">
        <f>HYPERLINK("https://pbs.twimg.com/profile_images/1518454435596451840/43IH31L9_normal.jpg")</f>
        <v>https://pbs.twimg.com/profile_images/1518454435596451840/43IH31L9_normal.jpg</v>
      </c>
      <c r="AW1413" s="82" t="s">
        <v>14507</v>
      </c>
      <c r="AX1413" s="82" t="s">
        <v>14507</v>
      </c>
      <c r="AY1413" s="77"/>
      <c r="AZ1413" s="82" t="s">
        <v>17385</v>
      </c>
      <c r="BA1413" s="82" t="s">
        <v>17385</v>
      </c>
      <c r="BB1413" s="82" t="s">
        <v>17385</v>
      </c>
      <c r="BC1413" s="82" t="s">
        <v>14507</v>
      </c>
      <c r="BD1413" s="82" t="s">
        <v>17563</v>
      </c>
      <c r="BE1413" s="77"/>
      <c r="BF1413" s="77"/>
      <c r="BG1413" s="77"/>
      <c r="BH1413" s="77"/>
      <c r="BI1413" s="77"/>
    </row>
    <row r="1414" spans="1:61" x14ac:dyDescent="0.25">
      <c r="A1414" s="62" t="s">
        <v>457</v>
      </c>
      <c r="B1414" s="62" t="s">
        <v>457</v>
      </c>
      <c r="C1414" s="63"/>
      <c r="D1414" s="64"/>
      <c r="E1414" s="65"/>
      <c r="F1414" s="66"/>
      <c r="G1414" s="63"/>
      <c r="H1414" s="67"/>
      <c r="I1414" s="68"/>
      <c r="J1414" s="68"/>
      <c r="K1414" s="32"/>
      <c r="L1414" s="75">
        <v>1414</v>
      </c>
      <c r="M1414" s="75"/>
      <c r="N1414" s="70"/>
      <c r="O1414" s="77" t="s">
        <v>179</v>
      </c>
      <c r="P1414" s="79">
        <v>45082.838969907411</v>
      </c>
      <c r="Q1414" s="77" t="s">
        <v>2204</v>
      </c>
      <c r="R1414" s="77">
        <v>4</v>
      </c>
      <c r="S1414" s="77">
        <v>1</v>
      </c>
      <c r="T1414" s="77">
        <v>0</v>
      </c>
      <c r="U1414" s="77">
        <v>0</v>
      </c>
      <c r="V1414" s="77">
        <v>25</v>
      </c>
      <c r="W1414" s="82" t="s">
        <v>5710</v>
      </c>
      <c r="X1414" s="80" t="str">
        <f>HYPERLINK("http://dlvr.it/SqBxp3")</f>
        <v>http://dlvr.it/SqBxp3</v>
      </c>
      <c r="Y1414" s="77" t="s">
        <v>7094</v>
      </c>
      <c r="Z1414" s="77"/>
      <c r="AA1414" s="77"/>
      <c r="AB1414" s="77"/>
      <c r="AC1414" s="82" t="s">
        <v>7094</v>
      </c>
      <c r="AD1414" s="77" t="s">
        <v>8278</v>
      </c>
      <c r="AE1414" s="80" t="str">
        <f>HYPERLINK("https://twitter.com/teg6oficial/status/1665812767172067328")</f>
        <v>https://twitter.com/teg6oficial/status/1665812767172067328</v>
      </c>
      <c r="AF1414" s="79">
        <v>45082.838969907411</v>
      </c>
      <c r="AG1414" s="85">
        <v>45082</v>
      </c>
      <c r="AH1414" s="82" t="s">
        <v>9559</v>
      </c>
      <c r="AI1414" s="77" t="b">
        <v>0</v>
      </c>
      <c r="AJ1414" s="77"/>
      <c r="AK1414" s="77"/>
      <c r="AL1414" s="77"/>
      <c r="AM1414" s="77"/>
      <c r="AN1414" s="77"/>
      <c r="AO1414" s="77"/>
      <c r="AP1414" s="77"/>
      <c r="AQ1414" s="77"/>
      <c r="AR1414" s="77"/>
      <c r="AS1414" s="77"/>
      <c r="AT1414" s="77"/>
      <c r="AU1414" s="77"/>
      <c r="AV1414" s="80" t="str">
        <f>HYPERLINK("https://pbs.twimg.com/profile_images/1518454435596451840/43IH31L9_normal.jpg")</f>
        <v>https://pbs.twimg.com/profile_images/1518454435596451840/43IH31L9_normal.jpg</v>
      </c>
      <c r="AW1414" s="82" t="s">
        <v>14508</v>
      </c>
      <c r="AX1414" s="82" t="s">
        <v>14508</v>
      </c>
      <c r="AY1414" s="77"/>
      <c r="AZ1414" s="82" t="s">
        <v>17385</v>
      </c>
      <c r="BA1414" s="82" t="s">
        <v>17385</v>
      </c>
      <c r="BB1414" s="82" t="s">
        <v>17385</v>
      </c>
      <c r="BC1414" s="82" t="s">
        <v>14508</v>
      </c>
      <c r="BD1414" s="82" t="s">
        <v>17563</v>
      </c>
      <c r="BE1414" s="77"/>
      <c r="BF1414" s="77"/>
      <c r="BG1414" s="77"/>
      <c r="BH1414" s="77"/>
      <c r="BI1414" s="77"/>
    </row>
    <row r="1415" spans="1:61" x14ac:dyDescent="0.25">
      <c r="A1415" s="62" t="s">
        <v>457</v>
      </c>
      <c r="B1415" s="62" t="s">
        <v>457</v>
      </c>
      <c r="C1415" s="63"/>
      <c r="D1415" s="64"/>
      <c r="E1415" s="65"/>
      <c r="F1415" s="66"/>
      <c r="G1415" s="63"/>
      <c r="H1415" s="67"/>
      <c r="I1415" s="68"/>
      <c r="J1415" s="68"/>
      <c r="K1415" s="32"/>
      <c r="L1415" s="75">
        <v>1415</v>
      </c>
      <c r="M1415" s="75"/>
      <c r="N1415" s="70"/>
      <c r="O1415" s="77" t="s">
        <v>179</v>
      </c>
      <c r="P1415" s="79">
        <v>45085.893171296295</v>
      </c>
      <c r="Q1415" s="77" t="s">
        <v>2205</v>
      </c>
      <c r="R1415" s="77">
        <v>4</v>
      </c>
      <c r="S1415" s="77">
        <v>0</v>
      </c>
      <c r="T1415" s="77">
        <v>0</v>
      </c>
      <c r="U1415" s="77">
        <v>0</v>
      </c>
      <c r="V1415" s="77">
        <v>20</v>
      </c>
      <c r="W1415" s="82" t="s">
        <v>5711</v>
      </c>
      <c r="X1415" s="80" t="str">
        <f>HYPERLINK("http://dlvr.it/SqNQm1")</f>
        <v>http://dlvr.it/SqNQm1</v>
      </c>
      <c r="Y1415" s="77" t="s">
        <v>7094</v>
      </c>
      <c r="Z1415" s="77"/>
      <c r="AA1415" s="77"/>
      <c r="AB1415" s="77"/>
      <c r="AC1415" s="82" t="s">
        <v>7094</v>
      </c>
      <c r="AD1415" s="77" t="s">
        <v>8278</v>
      </c>
      <c r="AE1415" s="80" t="str">
        <f>HYPERLINK("https://twitter.com/teg6oficial/status/1666919572728082432")</f>
        <v>https://twitter.com/teg6oficial/status/1666919572728082432</v>
      </c>
      <c r="AF1415" s="79">
        <v>45085.893171296295</v>
      </c>
      <c r="AG1415" s="85">
        <v>45085</v>
      </c>
      <c r="AH1415" s="82" t="s">
        <v>9560</v>
      </c>
      <c r="AI1415" s="77" t="b">
        <v>0</v>
      </c>
      <c r="AJ1415" s="77"/>
      <c r="AK1415" s="77"/>
      <c r="AL1415" s="77"/>
      <c r="AM1415" s="77"/>
      <c r="AN1415" s="77"/>
      <c r="AO1415" s="77"/>
      <c r="AP1415" s="77"/>
      <c r="AQ1415" s="77"/>
      <c r="AR1415" s="77"/>
      <c r="AS1415" s="77"/>
      <c r="AT1415" s="77"/>
      <c r="AU1415" s="77"/>
      <c r="AV1415" s="80" t="str">
        <f>HYPERLINK("https://pbs.twimg.com/profile_images/1518454435596451840/43IH31L9_normal.jpg")</f>
        <v>https://pbs.twimg.com/profile_images/1518454435596451840/43IH31L9_normal.jpg</v>
      </c>
      <c r="AW1415" s="82" t="s">
        <v>14509</v>
      </c>
      <c r="AX1415" s="82" t="s">
        <v>14509</v>
      </c>
      <c r="AY1415" s="77"/>
      <c r="AZ1415" s="82" t="s">
        <v>17385</v>
      </c>
      <c r="BA1415" s="82" t="s">
        <v>17385</v>
      </c>
      <c r="BB1415" s="82" t="s">
        <v>17385</v>
      </c>
      <c r="BC1415" s="82" t="s">
        <v>14509</v>
      </c>
      <c r="BD1415" s="82" t="s">
        <v>17563</v>
      </c>
      <c r="BE1415" s="77"/>
      <c r="BF1415" s="77"/>
      <c r="BG1415" s="77"/>
      <c r="BH1415" s="77"/>
      <c r="BI1415" s="77"/>
    </row>
    <row r="1416" spans="1:61" x14ac:dyDescent="0.25">
      <c r="A1416" s="62" t="s">
        <v>457</v>
      </c>
      <c r="B1416" s="62" t="s">
        <v>457</v>
      </c>
      <c r="C1416" s="63"/>
      <c r="D1416" s="64"/>
      <c r="E1416" s="65"/>
      <c r="F1416" s="66"/>
      <c r="G1416" s="63"/>
      <c r="H1416" s="67"/>
      <c r="I1416" s="68"/>
      <c r="J1416" s="68"/>
      <c r="K1416" s="32"/>
      <c r="L1416" s="75">
        <v>1416</v>
      </c>
      <c r="M1416" s="75"/>
      <c r="N1416" s="70"/>
      <c r="O1416" s="77" t="s">
        <v>179</v>
      </c>
      <c r="P1416" s="79">
        <v>45084.93372685185</v>
      </c>
      <c r="Q1416" s="77" t="s">
        <v>2206</v>
      </c>
      <c r="R1416" s="77">
        <v>4</v>
      </c>
      <c r="S1416" s="77">
        <v>0</v>
      </c>
      <c r="T1416" s="77">
        <v>0</v>
      </c>
      <c r="U1416" s="77">
        <v>0</v>
      </c>
      <c r="V1416" s="77">
        <v>3</v>
      </c>
      <c r="W1416" s="82" t="s">
        <v>5712</v>
      </c>
      <c r="X1416" s="80" t="str">
        <f>HYPERLINK("http://dlvr.it/SqKVFQ")</f>
        <v>http://dlvr.it/SqKVFQ</v>
      </c>
      <c r="Y1416" s="77" t="s">
        <v>7094</v>
      </c>
      <c r="Z1416" s="77"/>
      <c r="AA1416" s="77"/>
      <c r="AB1416" s="77"/>
      <c r="AC1416" s="82" t="s">
        <v>7094</v>
      </c>
      <c r="AD1416" s="77" t="s">
        <v>8278</v>
      </c>
      <c r="AE1416" s="80" t="str">
        <f>HYPERLINK("https://twitter.com/teg6oficial/status/1666571882433499137")</f>
        <v>https://twitter.com/teg6oficial/status/1666571882433499137</v>
      </c>
      <c r="AF1416" s="79">
        <v>45084.93372685185</v>
      </c>
      <c r="AG1416" s="85">
        <v>45084</v>
      </c>
      <c r="AH1416" s="82" t="s">
        <v>9561</v>
      </c>
      <c r="AI1416" s="77" t="b">
        <v>0</v>
      </c>
      <c r="AJ1416" s="77"/>
      <c r="AK1416" s="77"/>
      <c r="AL1416" s="77"/>
      <c r="AM1416" s="77"/>
      <c r="AN1416" s="77"/>
      <c r="AO1416" s="77"/>
      <c r="AP1416" s="77"/>
      <c r="AQ1416" s="77"/>
      <c r="AR1416" s="77"/>
      <c r="AS1416" s="77"/>
      <c r="AT1416" s="77"/>
      <c r="AU1416" s="77"/>
      <c r="AV1416" s="80" t="str">
        <f>HYPERLINK("https://pbs.twimg.com/profile_images/1518454435596451840/43IH31L9_normal.jpg")</f>
        <v>https://pbs.twimg.com/profile_images/1518454435596451840/43IH31L9_normal.jpg</v>
      </c>
      <c r="AW1416" s="82" t="s">
        <v>14510</v>
      </c>
      <c r="AX1416" s="82" t="s">
        <v>14510</v>
      </c>
      <c r="AY1416" s="77"/>
      <c r="AZ1416" s="82" t="s">
        <v>17385</v>
      </c>
      <c r="BA1416" s="82" t="s">
        <v>17385</v>
      </c>
      <c r="BB1416" s="82" t="s">
        <v>17385</v>
      </c>
      <c r="BC1416" s="82" t="s">
        <v>14510</v>
      </c>
      <c r="BD1416" s="82" t="s">
        <v>17563</v>
      </c>
      <c r="BE1416" s="77"/>
      <c r="BF1416" s="77"/>
      <c r="BG1416" s="77"/>
      <c r="BH1416" s="77"/>
      <c r="BI1416" s="77"/>
    </row>
    <row r="1417" spans="1:61" x14ac:dyDescent="0.25">
      <c r="A1417" s="62" t="s">
        <v>457</v>
      </c>
      <c r="B1417" s="62" t="s">
        <v>457</v>
      </c>
      <c r="C1417" s="63"/>
      <c r="D1417" s="64"/>
      <c r="E1417" s="65"/>
      <c r="F1417" s="66"/>
      <c r="G1417" s="63"/>
      <c r="H1417" s="67"/>
      <c r="I1417" s="68"/>
      <c r="J1417" s="68"/>
      <c r="K1417" s="32"/>
      <c r="L1417" s="75">
        <v>1417</v>
      </c>
      <c r="M1417" s="75"/>
      <c r="N1417" s="70"/>
      <c r="O1417" s="77" t="s">
        <v>179</v>
      </c>
      <c r="P1417" s="79">
        <v>45103.668136574073</v>
      </c>
      <c r="Q1417" s="77" t="s">
        <v>2207</v>
      </c>
      <c r="R1417" s="77">
        <v>4</v>
      </c>
      <c r="S1417" s="77">
        <v>0</v>
      </c>
      <c r="T1417" s="77">
        <v>0</v>
      </c>
      <c r="U1417" s="77">
        <v>0</v>
      </c>
      <c r="V1417" s="77">
        <v>22</v>
      </c>
      <c r="W1417" s="82" t="s">
        <v>5713</v>
      </c>
      <c r="X1417" s="80" t="str">
        <f>HYPERLINK("http://dlvr.it/SrGDHs")</f>
        <v>http://dlvr.it/SrGDHs</v>
      </c>
      <c r="Y1417" s="77" t="s">
        <v>7094</v>
      </c>
      <c r="Z1417" s="77"/>
      <c r="AA1417" s="77"/>
      <c r="AB1417" s="77"/>
      <c r="AC1417" s="82" t="s">
        <v>7094</v>
      </c>
      <c r="AD1417" s="77" t="s">
        <v>8278</v>
      </c>
      <c r="AE1417" s="80" t="str">
        <f>HYPERLINK("https://twitter.com/teg6oficial/status/1673361003558637568")</f>
        <v>https://twitter.com/teg6oficial/status/1673361003558637568</v>
      </c>
      <c r="AF1417" s="79">
        <v>45103.668136574073</v>
      </c>
      <c r="AG1417" s="85">
        <v>45103</v>
      </c>
      <c r="AH1417" s="82" t="s">
        <v>9562</v>
      </c>
      <c r="AI1417" s="77" t="b">
        <v>0</v>
      </c>
      <c r="AJ1417" s="77"/>
      <c r="AK1417" s="77"/>
      <c r="AL1417" s="77"/>
      <c r="AM1417" s="77"/>
      <c r="AN1417" s="77"/>
      <c r="AO1417" s="77"/>
      <c r="AP1417" s="77"/>
      <c r="AQ1417" s="77"/>
      <c r="AR1417" s="77"/>
      <c r="AS1417" s="77"/>
      <c r="AT1417" s="77"/>
      <c r="AU1417" s="77"/>
      <c r="AV1417" s="80" t="str">
        <f>HYPERLINK("https://pbs.twimg.com/profile_images/1518454435596451840/43IH31L9_normal.jpg")</f>
        <v>https://pbs.twimg.com/profile_images/1518454435596451840/43IH31L9_normal.jpg</v>
      </c>
      <c r="AW1417" s="82" t="s">
        <v>14511</v>
      </c>
      <c r="AX1417" s="82" t="s">
        <v>14511</v>
      </c>
      <c r="AY1417" s="77"/>
      <c r="AZ1417" s="82" t="s">
        <v>17385</v>
      </c>
      <c r="BA1417" s="82" t="s">
        <v>17385</v>
      </c>
      <c r="BB1417" s="82" t="s">
        <v>17385</v>
      </c>
      <c r="BC1417" s="82" t="s">
        <v>14511</v>
      </c>
      <c r="BD1417" s="82" t="s">
        <v>17563</v>
      </c>
      <c r="BE1417" s="77"/>
      <c r="BF1417" s="77"/>
      <c r="BG1417" s="77"/>
      <c r="BH1417" s="77"/>
      <c r="BI1417" s="77"/>
    </row>
    <row r="1418" spans="1:61" x14ac:dyDescent="0.25">
      <c r="A1418" s="62" t="s">
        <v>457</v>
      </c>
      <c r="B1418" s="62" t="s">
        <v>457</v>
      </c>
      <c r="C1418" s="63"/>
      <c r="D1418" s="64"/>
      <c r="E1418" s="65"/>
      <c r="F1418" s="66"/>
      <c r="G1418" s="63"/>
      <c r="H1418" s="67"/>
      <c r="I1418" s="68"/>
      <c r="J1418" s="68"/>
      <c r="K1418" s="32"/>
      <c r="L1418" s="75">
        <v>1418</v>
      </c>
      <c r="M1418" s="75"/>
      <c r="N1418" s="70"/>
      <c r="O1418" s="77" t="s">
        <v>179</v>
      </c>
      <c r="P1418" s="79">
        <v>45113.897291666668</v>
      </c>
      <c r="Q1418" s="77" t="s">
        <v>2208</v>
      </c>
      <c r="R1418" s="77">
        <v>4</v>
      </c>
      <c r="S1418" s="77">
        <v>0</v>
      </c>
      <c r="T1418" s="77">
        <v>0</v>
      </c>
      <c r="U1418" s="77">
        <v>0</v>
      </c>
      <c r="V1418" s="77">
        <v>6</v>
      </c>
      <c r="W1418" s="82" t="s">
        <v>5714</v>
      </c>
      <c r="X1418" s="80" t="str">
        <f>HYPERLINK("http://dlvr.it/Srnm8N")</f>
        <v>http://dlvr.it/Srnm8N</v>
      </c>
      <c r="Y1418" s="77" t="s">
        <v>7094</v>
      </c>
      <c r="Z1418" s="77"/>
      <c r="AA1418" s="77"/>
      <c r="AB1418" s="77"/>
      <c r="AC1418" s="82" t="s">
        <v>7094</v>
      </c>
      <c r="AD1418" s="77" t="s">
        <v>8278</v>
      </c>
      <c r="AE1418" s="80" t="str">
        <f>HYPERLINK("https://twitter.com/teg6oficial/status/1677067923985420289")</f>
        <v>https://twitter.com/teg6oficial/status/1677067923985420289</v>
      </c>
      <c r="AF1418" s="79">
        <v>45113.897291666668</v>
      </c>
      <c r="AG1418" s="85">
        <v>45113</v>
      </c>
      <c r="AH1418" s="82" t="s">
        <v>9563</v>
      </c>
      <c r="AI1418" s="77" t="b">
        <v>0</v>
      </c>
      <c r="AJ1418" s="77"/>
      <c r="AK1418" s="77"/>
      <c r="AL1418" s="77"/>
      <c r="AM1418" s="77"/>
      <c r="AN1418" s="77"/>
      <c r="AO1418" s="77"/>
      <c r="AP1418" s="77"/>
      <c r="AQ1418" s="77"/>
      <c r="AR1418" s="77"/>
      <c r="AS1418" s="77"/>
      <c r="AT1418" s="77"/>
      <c r="AU1418" s="77"/>
      <c r="AV1418" s="80" t="str">
        <f>HYPERLINK("https://pbs.twimg.com/profile_images/1518454435596451840/43IH31L9_normal.jpg")</f>
        <v>https://pbs.twimg.com/profile_images/1518454435596451840/43IH31L9_normal.jpg</v>
      </c>
      <c r="AW1418" s="82" t="s">
        <v>14512</v>
      </c>
      <c r="AX1418" s="82" t="s">
        <v>14512</v>
      </c>
      <c r="AY1418" s="77"/>
      <c r="AZ1418" s="82" t="s">
        <v>17385</v>
      </c>
      <c r="BA1418" s="82" t="s">
        <v>17385</v>
      </c>
      <c r="BB1418" s="82" t="s">
        <v>17385</v>
      </c>
      <c r="BC1418" s="82" t="s">
        <v>14512</v>
      </c>
      <c r="BD1418" s="82" t="s">
        <v>17563</v>
      </c>
      <c r="BE1418" s="77"/>
      <c r="BF1418" s="77"/>
      <c r="BG1418" s="77"/>
      <c r="BH1418" s="77"/>
      <c r="BI1418" s="77"/>
    </row>
    <row r="1419" spans="1:61" x14ac:dyDescent="0.25">
      <c r="A1419" s="62" t="s">
        <v>457</v>
      </c>
      <c r="B1419" s="62" t="s">
        <v>457</v>
      </c>
      <c r="C1419" s="63"/>
      <c r="D1419" s="64"/>
      <c r="E1419" s="65"/>
      <c r="F1419" s="66"/>
      <c r="G1419" s="63"/>
      <c r="H1419" s="67"/>
      <c r="I1419" s="68"/>
      <c r="J1419" s="68"/>
      <c r="K1419" s="32"/>
      <c r="L1419" s="75">
        <v>1419</v>
      </c>
      <c r="M1419" s="75"/>
      <c r="N1419" s="70"/>
      <c r="O1419" s="77" t="s">
        <v>179</v>
      </c>
      <c r="P1419" s="79">
        <v>45077.719131944446</v>
      </c>
      <c r="Q1419" s="77" t="s">
        <v>2209</v>
      </c>
      <c r="R1419" s="77">
        <v>4</v>
      </c>
      <c r="S1419" s="77">
        <v>0</v>
      </c>
      <c r="T1419" s="77">
        <v>0</v>
      </c>
      <c r="U1419" s="77">
        <v>0</v>
      </c>
      <c r="V1419" s="77">
        <v>8</v>
      </c>
      <c r="W1419" s="82" t="s">
        <v>5715</v>
      </c>
      <c r="X1419" s="80" t="str">
        <f>HYPERLINK("http://dlvr.it/Spx8cK")</f>
        <v>http://dlvr.it/Spx8cK</v>
      </c>
      <c r="Y1419" s="77" t="s">
        <v>7094</v>
      </c>
      <c r="Z1419" s="77"/>
      <c r="AA1419" s="77"/>
      <c r="AB1419" s="77"/>
      <c r="AC1419" s="82" t="s">
        <v>7094</v>
      </c>
      <c r="AD1419" s="77" t="s">
        <v>8278</v>
      </c>
      <c r="AE1419" s="80" t="str">
        <f>HYPERLINK("https://twitter.com/teg6oficial/status/1663957398690873344")</f>
        <v>https://twitter.com/teg6oficial/status/1663957398690873344</v>
      </c>
      <c r="AF1419" s="79">
        <v>45077.719131944446</v>
      </c>
      <c r="AG1419" s="85">
        <v>45077</v>
      </c>
      <c r="AH1419" s="82" t="s">
        <v>9564</v>
      </c>
      <c r="AI1419" s="77" t="b">
        <v>0</v>
      </c>
      <c r="AJ1419" s="77"/>
      <c r="AK1419" s="77"/>
      <c r="AL1419" s="77"/>
      <c r="AM1419" s="77"/>
      <c r="AN1419" s="77"/>
      <c r="AO1419" s="77"/>
      <c r="AP1419" s="77"/>
      <c r="AQ1419" s="77"/>
      <c r="AR1419" s="77"/>
      <c r="AS1419" s="77"/>
      <c r="AT1419" s="77"/>
      <c r="AU1419" s="77"/>
      <c r="AV1419" s="80" t="str">
        <f>HYPERLINK("https://pbs.twimg.com/profile_images/1518454435596451840/43IH31L9_normal.jpg")</f>
        <v>https://pbs.twimg.com/profile_images/1518454435596451840/43IH31L9_normal.jpg</v>
      </c>
      <c r="AW1419" s="82" t="s">
        <v>14513</v>
      </c>
      <c r="AX1419" s="82" t="s">
        <v>14513</v>
      </c>
      <c r="AY1419" s="77"/>
      <c r="AZ1419" s="82" t="s">
        <v>17385</v>
      </c>
      <c r="BA1419" s="82" t="s">
        <v>17385</v>
      </c>
      <c r="BB1419" s="82" t="s">
        <v>17385</v>
      </c>
      <c r="BC1419" s="82" t="s">
        <v>14513</v>
      </c>
      <c r="BD1419" s="82" t="s">
        <v>17563</v>
      </c>
      <c r="BE1419" s="77"/>
      <c r="BF1419" s="77"/>
      <c r="BG1419" s="77"/>
      <c r="BH1419" s="77"/>
      <c r="BI1419" s="77"/>
    </row>
    <row r="1420" spans="1:61" x14ac:dyDescent="0.25">
      <c r="A1420" s="62" t="s">
        <v>457</v>
      </c>
      <c r="B1420" s="62" t="s">
        <v>457</v>
      </c>
      <c r="C1420" s="63"/>
      <c r="D1420" s="64"/>
      <c r="E1420" s="65"/>
      <c r="F1420" s="66"/>
      <c r="G1420" s="63"/>
      <c r="H1420" s="67"/>
      <c r="I1420" s="68"/>
      <c r="J1420" s="68"/>
      <c r="K1420" s="32"/>
      <c r="L1420" s="75">
        <v>1420</v>
      </c>
      <c r="M1420" s="75"/>
      <c r="N1420" s="70"/>
      <c r="O1420" s="77" t="s">
        <v>179</v>
      </c>
      <c r="P1420" s="79">
        <v>45077.385474537034</v>
      </c>
      <c r="Q1420" s="77" t="s">
        <v>2210</v>
      </c>
      <c r="R1420" s="77">
        <v>4</v>
      </c>
      <c r="S1420" s="77">
        <v>1</v>
      </c>
      <c r="T1420" s="77">
        <v>1</v>
      </c>
      <c r="U1420" s="77">
        <v>0</v>
      </c>
      <c r="V1420" s="77">
        <v>24</v>
      </c>
      <c r="W1420" s="82" t="s">
        <v>5716</v>
      </c>
      <c r="X1420" s="80" t="str">
        <f>HYPERLINK("http://dlvr.it/SpvqrM")</f>
        <v>http://dlvr.it/SpvqrM</v>
      </c>
      <c r="Y1420" s="77" t="s">
        <v>7094</v>
      </c>
      <c r="Z1420" s="77"/>
      <c r="AA1420" s="77"/>
      <c r="AB1420" s="77"/>
      <c r="AC1420" s="82" t="s">
        <v>7094</v>
      </c>
      <c r="AD1420" s="77" t="s">
        <v>8278</v>
      </c>
      <c r="AE1420" s="80" t="str">
        <f>HYPERLINK("https://twitter.com/teg6oficial/status/1663836486360535042")</f>
        <v>https://twitter.com/teg6oficial/status/1663836486360535042</v>
      </c>
      <c r="AF1420" s="79">
        <v>45077.385474537034</v>
      </c>
      <c r="AG1420" s="85">
        <v>45077</v>
      </c>
      <c r="AH1420" s="82" t="s">
        <v>9565</v>
      </c>
      <c r="AI1420" s="77" t="b">
        <v>0</v>
      </c>
      <c r="AJ1420" s="77"/>
      <c r="AK1420" s="77"/>
      <c r="AL1420" s="77"/>
      <c r="AM1420" s="77"/>
      <c r="AN1420" s="77"/>
      <c r="AO1420" s="77"/>
      <c r="AP1420" s="77"/>
      <c r="AQ1420" s="77"/>
      <c r="AR1420" s="77"/>
      <c r="AS1420" s="77"/>
      <c r="AT1420" s="77"/>
      <c r="AU1420" s="77"/>
      <c r="AV1420" s="80" t="str">
        <f>HYPERLINK("https://pbs.twimg.com/profile_images/1518454435596451840/43IH31L9_normal.jpg")</f>
        <v>https://pbs.twimg.com/profile_images/1518454435596451840/43IH31L9_normal.jpg</v>
      </c>
      <c r="AW1420" s="82" t="s">
        <v>14514</v>
      </c>
      <c r="AX1420" s="82" t="s">
        <v>14514</v>
      </c>
      <c r="AY1420" s="77"/>
      <c r="AZ1420" s="82" t="s">
        <v>17385</v>
      </c>
      <c r="BA1420" s="82" t="s">
        <v>17385</v>
      </c>
      <c r="BB1420" s="82" t="s">
        <v>17385</v>
      </c>
      <c r="BC1420" s="82" t="s">
        <v>14514</v>
      </c>
      <c r="BD1420" s="82" t="s">
        <v>17563</v>
      </c>
      <c r="BE1420" s="77"/>
      <c r="BF1420" s="77"/>
      <c r="BG1420" s="77"/>
      <c r="BH1420" s="77"/>
      <c r="BI1420" s="77"/>
    </row>
    <row r="1421" spans="1:61" x14ac:dyDescent="0.25">
      <c r="A1421" s="62" t="s">
        <v>457</v>
      </c>
      <c r="B1421" s="62" t="s">
        <v>457</v>
      </c>
      <c r="C1421" s="63"/>
      <c r="D1421" s="64"/>
      <c r="E1421" s="65"/>
      <c r="F1421" s="66"/>
      <c r="G1421" s="63"/>
      <c r="H1421" s="67"/>
      <c r="I1421" s="68"/>
      <c r="J1421" s="68"/>
      <c r="K1421" s="32"/>
      <c r="L1421" s="75">
        <v>1421</v>
      </c>
      <c r="M1421" s="75"/>
      <c r="N1421" s="70"/>
      <c r="O1421" s="77" t="s">
        <v>179</v>
      </c>
      <c r="P1421" s="79">
        <v>45125.845983796295</v>
      </c>
      <c r="Q1421" s="77" t="s">
        <v>2211</v>
      </c>
      <c r="R1421" s="77">
        <v>4</v>
      </c>
      <c r="S1421" s="77">
        <v>0</v>
      </c>
      <c r="T1421" s="77">
        <v>0</v>
      </c>
      <c r="U1421" s="77">
        <v>0</v>
      </c>
      <c r="V1421" s="77">
        <v>13</v>
      </c>
      <c r="W1421" s="82" t="s">
        <v>5717</v>
      </c>
      <c r="X1421" s="80" t="str">
        <f>HYPERLINK("http://dlvr.it/SsNNsb")</f>
        <v>http://dlvr.it/SsNNsb</v>
      </c>
      <c r="Y1421" s="77" t="s">
        <v>7094</v>
      </c>
      <c r="Z1421" s="77"/>
      <c r="AA1421" s="77"/>
      <c r="AB1421" s="77"/>
      <c r="AC1421" s="82" t="s">
        <v>7094</v>
      </c>
      <c r="AD1421" s="77" t="s">
        <v>8278</v>
      </c>
      <c r="AE1421" s="80" t="str">
        <f>HYPERLINK("https://twitter.com/teg6oficial/status/1681397986444840960")</f>
        <v>https://twitter.com/teg6oficial/status/1681397986444840960</v>
      </c>
      <c r="AF1421" s="79">
        <v>45125.845983796295</v>
      </c>
      <c r="AG1421" s="85">
        <v>45125</v>
      </c>
      <c r="AH1421" s="82" t="s">
        <v>9566</v>
      </c>
      <c r="AI1421" s="77" t="b">
        <v>0</v>
      </c>
      <c r="AJ1421" s="77"/>
      <c r="AK1421" s="77"/>
      <c r="AL1421" s="77"/>
      <c r="AM1421" s="77"/>
      <c r="AN1421" s="77"/>
      <c r="AO1421" s="77"/>
      <c r="AP1421" s="77"/>
      <c r="AQ1421" s="77"/>
      <c r="AR1421" s="77"/>
      <c r="AS1421" s="77"/>
      <c r="AT1421" s="77"/>
      <c r="AU1421" s="77"/>
      <c r="AV1421" s="80" t="str">
        <f>HYPERLINK("https://pbs.twimg.com/profile_images/1518454435596451840/43IH31L9_normal.jpg")</f>
        <v>https://pbs.twimg.com/profile_images/1518454435596451840/43IH31L9_normal.jpg</v>
      </c>
      <c r="AW1421" s="82" t="s">
        <v>14515</v>
      </c>
      <c r="AX1421" s="82" t="s">
        <v>14515</v>
      </c>
      <c r="AY1421" s="77"/>
      <c r="AZ1421" s="82" t="s">
        <v>17385</v>
      </c>
      <c r="BA1421" s="82" t="s">
        <v>17385</v>
      </c>
      <c r="BB1421" s="82" t="s">
        <v>17385</v>
      </c>
      <c r="BC1421" s="82" t="s">
        <v>14515</v>
      </c>
      <c r="BD1421" s="82" t="s">
        <v>17563</v>
      </c>
      <c r="BE1421" s="77"/>
      <c r="BF1421" s="77"/>
      <c r="BG1421" s="77"/>
      <c r="BH1421" s="77"/>
      <c r="BI1421" s="77"/>
    </row>
    <row r="1422" spans="1:61" x14ac:dyDescent="0.25">
      <c r="A1422" s="62" t="s">
        <v>458</v>
      </c>
      <c r="B1422" s="62" t="s">
        <v>458</v>
      </c>
      <c r="C1422" s="63"/>
      <c r="D1422" s="64"/>
      <c r="E1422" s="65"/>
      <c r="F1422" s="66"/>
      <c r="G1422" s="63"/>
      <c r="H1422" s="67"/>
      <c r="I1422" s="68"/>
      <c r="J1422" s="68"/>
      <c r="K1422" s="32"/>
      <c r="L1422" s="75">
        <v>1422</v>
      </c>
      <c r="M1422" s="75"/>
      <c r="N1422" s="70"/>
      <c r="O1422" s="77" t="s">
        <v>179</v>
      </c>
      <c r="P1422" s="79">
        <v>45044.972314814811</v>
      </c>
      <c r="Q1422" s="77" t="s">
        <v>2212</v>
      </c>
      <c r="R1422" s="77">
        <v>0</v>
      </c>
      <c r="S1422" s="77">
        <v>0</v>
      </c>
      <c r="T1422" s="77">
        <v>0</v>
      </c>
      <c r="U1422" s="77">
        <v>0</v>
      </c>
      <c r="V1422" s="77">
        <v>3</v>
      </c>
      <c r="W1422" s="82" t="s">
        <v>5718</v>
      </c>
      <c r="X1422" s="80" t="str">
        <f>HYPERLINK("https://bit.ly/425Ydgf")</f>
        <v>https://bit.ly/425Ydgf</v>
      </c>
      <c r="Y1422" s="77" t="s">
        <v>7063</v>
      </c>
      <c r="Z1422" s="77"/>
      <c r="AA1422" s="77" t="s">
        <v>7714</v>
      </c>
      <c r="AB1422" s="77" t="s">
        <v>8225</v>
      </c>
      <c r="AC1422" s="82" t="s">
        <v>8235</v>
      </c>
      <c r="AD1422" s="77" t="s">
        <v>8278</v>
      </c>
      <c r="AE1422" s="80" t="str">
        <f>HYPERLINK("https://twitter.com/juristecadv/status/1652090349089595392")</f>
        <v>https://twitter.com/juristecadv/status/1652090349089595392</v>
      </c>
      <c r="AF1422" s="79">
        <v>45044.972314814811</v>
      </c>
      <c r="AG1422" s="85">
        <v>45044</v>
      </c>
      <c r="AH1422" s="82" t="s">
        <v>9567</v>
      </c>
      <c r="AI1422" s="77" t="b">
        <v>0</v>
      </c>
      <c r="AJ1422" s="77"/>
      <c r="AK1422" s="77"/>
      <c r="AL1422" s="77"/>
      <c r="AM1422" s="77"/>
      <c r="AN1422" s="77"/>
      <c r="AO1422" s="77"/>
      <c r="AP1422" s="77"/>
      <c r="AQ1422" s="77" t="s">
        <v>12599</v>
      </c>
      <c r="AR1422" s="77"/>
      <c r="AS1422" s="77"/>
      <c r="AT1422" s="77"/>
      <c r="AU1422" s="77"/>
      <c r="AV1422" s="80" t="str">
        <f>HYPERLINK("https://pbs.twimg.com/media/Fu1nasaXwAUN-d5.jpg")</f>
        <v>https://pbs.twimg.com/media/Fu1nasaXwAUN-d5.jpg</v>
      </c>
      <c r="AW1422" s="82" t="s">
        <v>14516</v>
      </c>
      <c r="AX1422" s="82" t="s">
        <v>14516</v>
      </c>
      <c r="AY1422" s="77"/>
      <c r="AZ1422" s="82" t="s">
        <v>17385</v>
      </c>
      <c r="BA1422" s="82" t="s">
        <v>17385</v>
      </c>
      <c r="BB1422" s="82" t="s">
        <v>17385</v>
      </c>
      <c r="BC1422" s="82" t="s">
        <v>14516</v>
      </c>
      <c r="BD1422" s="82" t="s">
        <v>17564</v>
      </c>
      <c r="BE1422" s="77"/>
      <c r="BF1422" s="77"/>
      <c r="BG1422" s="77"/>
      <c r="BH1422" s="77"/>
      <c r="BI1422" s="77"/>
    </row>
    <row r="1423" spans="1:61" x14ac:dyDescent="0.25">
      <c r="A1423" s="62" t="s">
        <v>458</v>
      </c>
      <c r="B1423" s="62" t="s">
        <v>458</v>
      </c>
      <c r="C1423" s="63"/>
      <c r="D1423" s="64"/>
      <c r="E1423" s="65"/>
      <c r="F1423" s="66"/>
      <c r="G1423" s="63"/>
      <c r="H1423" s="67"/>
      <c r="I1423" s="68"/>
      <c r="J1423" s="68"/>
      <c r="K1423" s="32"/>
      <c r="L1423" s="75">
        <v>1423</v>
      </c>
      <c r="M1423" s="75"/>
      <c r="N1423" s="70"/>
      <c r="O1423" s="77" t="s">
        <v>179</v>
      </c>
      <c r="P1423" s="79">
        <v>45085.625625000001</v>
      </c>
      <c r="Q1423" s="77" t="s">
        <v>2213</v>
      </c>
      <c r="R1423" s="77">
        <v>0</v>
      </c>
      <c r="S1423" s="77">
        <v>0</v>
      </c>
      <c r="T1423" s="77">
        <v>0</v>
      </c>
      <c r="U1423" s="77">
        <v>0</v>
      </c>
      <c r="V1423" s="77">
        <v>42</v>
      </c>
      <c r="W1423" s="82" t="s">
        <v>5719</v>
      </c>
      <c r="X1423" s="80" t="str">
        <f>HYPERLINK("https://encr.pw/QKHa4")</f>
        <v>https://encr.pw/QKHa4</v>
      </c>
      <c r="Y1423" s="77" t="s">
        <v>7107</v>
      </c>
      <c r="Z1423" s="77"/>
      <c r="AA1423" s="77" t="s">
        <v>7715</v>
      </c>
      <c r="AB1423" s="77" t="s">
        <v>8225</v>
      </c>
      <c r="AC1423" s="82" t="s">
        <v>8235</v>
      </c>
      <c r="AD1423" s="77" t="s">
        <v>8278</v>
      </c>
      <c r="AE1423" s="80" t="str">
        <f>HYPERLINK("https://twitter.com/juristecadv/status/1666822617343627266")</f>
        <v>https://twitter.com/juristecadv/status/1666822617343627266</v>
      </c>
      <c r="AF1423" s="79">
        <v>45085.625625000001</v>
      </c>
      <c r="AG1423" s="85">
        <v>45085</v>
      </c>
      <c r="AH1423" s="82" t="s">
        <v>9568</v>
      </c>
      <c r="AI1423" s="77" t="b">
        <v>0</v>
      </c>
      <c r="AJ1423" s="77"/>
      <c r="AK1423" s="77"/>
      <c r="AL1423" s="77"/>
      <c r="AM1423" s="77"/>
      <c r="AN1423" s="77"/>
      <c r="AO1423" s="77"/>
      <c r="AP1423" s="77"/>
      <c r="AQ1423" s="77" t="s">
        <v>12600</v>
      </c>
      <c r="AR1423" s="77"/>
      <c r="AS1423" s="77"/>
      <c r="AT1423" s="77"/>
      <c r="AU1423" s="77"/>
      <c r="AV1423" s="80" t="str">
        <f>HYPERLINK("https://pbs.twimg.com/media/FyG-VhwaIAMmNZT.jpg")</f>
        <v>https://pbs.twimg.com/media/FyG-VhwaIAMmNZT.jpg</v>
      </c>
      <c r="AW1423" s="82" t="s">
        <v>14517</v>
      </c>
      <c r="AX1423" s="82" t="s">
        <v>14517</v>
      </c>
      <c r="AY1423" s="77"/>
      <c r="AZ1423" s="82" t="s">
        <v>17385</v>
      </c>
      <c r="BA1423" s="82" t="s">
        <v>17385</v>
      </c>
      <c r="BB1423" s="82" t="s">
        <v>17385</v>
      </c>
      <c r="BC1423" s="82" t="s">
        <v>14517</v>
      </c>
      <c r="BD1423" s="82" t="s">
        <v>17564</v>
      </c>
      <c r="BE1423" s="77"/>
      <c r="BF1423" s="77"/>
      <c r="BG1423" s="77"/>
      <c r="BH1423" s="77"/>
      <c r="BI1423" s="77"/>
    </row>
    <row r="1424" spans="1:61" x14ac:dyDescent="0.25">
      <c r="A1424" s="62" t="s">
        <v>458</v>
      </c>
      <c r="B1424" s="62" t="s">
        <v>458</v>
      </c>
      <c r="C1424" s="63"/>
      <c r="D1424" s="64"/>
      <c r="E1424" s="65"/>
      <c r="F1424" s="66"/>
      <c r="G1424" s="63"/>
      <c r="H1424" s="67"/>
      <c r="I1424" s="68"/>
      <c r="J1424" s="68"/>
      <c r="K1424" s="32"/>
      <c r="L1424" s="75">
        <v>1424</v>
      </c>
      <c r="M1424" s="75"/>
      <c r="N1424" s="70"/>
      <c r="O1424" s="77" t="s">
        <v>179</v>
      </c>
      <c r="P1424" s="79">
        <v>45069.777870370373</v>
      </c>
      <c r="Q1424" s="77" t="s">
        <v>2214</v>
      </c>
      <c r="R1424" s="77">
        <v>0</v>
      </c>
      <c r="S1424" s="77">
        <v>0</v>
      </c>
      <c r="T1424" s="77">
        <v>0</v>
      </c>
      <c r="U1424" s="77">
        <v>0</v>
      </c>
      <c r="V1424" s="77">
        <v>10</v>
      </c>
      <c r="W1424" s="82" t="s">
        <v>5720</v>
      </c>
      <c r="X1424" s="80" t="str">
        <f>HYPERLINK("https://l1nq.com/uoepI")</f>
        <v>https://l1nq.com/uoepI</v>
      </c>
      <c r="Y1424" s="77" t="s">
        <v>7108</v>
      </c>
      <c r="Z1424" s="77"/>
      <c r="AA1424" s="77" t="s">
        <v>7716</v>
      </c>
      <c r="AB1424" s="77" t="s">
        <v>8225</v>
      </c>
      <c r="AC1424" s="82" t="s">
        <v>8235</v>
      </c>
      <c r="AD1424" s="77" t="s">
        <v>8278</v>
      </c>
      <c r="AE1424" s="80" t="str">
        <f>HYPERLINK("https://twitter.com/juristecadv/status/1661079582634590215")</f>
        <v>https://twitter.com/juristecadv/status/1661079582634590215</v>
      </c>
      <c r="AF1424" s="79">
        <v>45069.777870370373</v>
      </c>
      <c r="AG1424" s="85">
        <v>45069</v>
      </c>
      <c r="AH1424" s="82" t="s">
        <v>9144</v>
      </c>
      <c r="AI1424" s="77" t="b">
        <v>0</v>
      </c>
      <c r="AJ1424" s="77"/>
      <c r="AK1424" s="77"/>
      <c r="AL1424" s="77"/>
      <c r="AM1424" s="77"/>
      <c r="AN1424" s="77"/>
      <c r="AO1424" s="77"/>
      <c r="AP1424" s="77"/>
      <c r="AQ1424" s="77" t="s">
        <v>12601</v>
      </c>
      <c r="AR1424" s="77"/>
      <c r="AS1424" s="77"/>
      <c r="AT1424" s="77"/>
      <c r="AU1424" s="77"/>
      <c r="AV1424" s="80" t="str">
        <f>HYPERLINK("https://pbs.twimg.com/media/Fw1XE7lWwAYIoy7.jpg")</f>
        <v>https://pbs.twimg.com/media/Fw1XE7lWwAYIoy7.jpg</v>
      </c>
      <c r="AW1424" s="82" t="s">
        <v>14518</v>
      </c>
      <c r="AX1424" s="82" t="s">
        <v>14518</v>
      </c>
      <c r="AY1424" s="77"/>
      <c r="AZ1424" s="82" t="s">
        <v>17385</v>
      </c>
      <c r="BA1424" s="82" t="s">
        <v>17385</v>
      </c>
      <c r="BB1424" s="82" t="s">
        <v>17385</v>
      </c>
      <c r="BC1424" s="82" t="s">
        <v>14518</v>
      </c>
      <c r="BD1424" s="82" t="s">
        <v>17564</v>
      </c>
      <c r="BE1424" s="77"/>
      <c r="BF1424" s="77"/>
      <c r="BG1424" s="77"/>
      <c r="BH1424" s="77"/>
      <c r="BI1424" s="77"/>
    </row>
    <row r="1425" spans="1:61" x14ac:dyDescent="0.25">
      <c r="A1425" s="62" t="s">
        <v>458</v>
      </c>
      <c r="B1425" s="62" t="s">
        <v>458</v>
      </c>
      <c r="C1425" s="63"/>
      <c r="D1425" s="64"/>
      <c r="E1425" s="65"/>
      <c r="F1425" s="66"/>
      <c r="G1425" s="63"/>
      <c r="H1425" s="67"/>
      <c r="I1425" s="68"/>
      <c r="J1425" s="68"/>
      <c r="K1425" s="32"/>
      <c r="L1425" s="75">
        <v>1425</v>
      </c>
      <c r="M1425" s="75"/>
      <c r="N1425" s="70"/>
      <c r="O1425" s="77" t="s">
        <v>179</v>
      </c>
      <c r="P1425" s="79">
        <v>45117.819594907407</v>
      </c>
      <c r="Q1425" s="77" t="s">
        <v>2215</v>
      </c>
      <c r="R1425" s="77">
        <v>0</v>
      </c>
      <c r="S1425" s="77">
        <v>0</v>
      </c>
      <c r="T1425" s="77">
        <v>0</v>
      </c>
      <c r="U1425" s="77">
        <v>0</v>
      </c>
      <c r="V1425" s="77">
        <v>4</v>
      </c>
      <c r="W1425" s="82" t="s">
        <v>5721</v>
      </c>
      <c r="X1425" s="80" t="str">
        <f>HYPERLINK("https://x.gd/fydF6")</f>
        <v>https://x.gd/fydF6</v>
      </c>
      <c r="Y1425" s="77" t="s">
        <v>7073</v>
      </c>
      <c r="Z1425" s="77"/>
      <c r="AA1425" s="77" t="s">
        <v>7717</v>
      </c>
      <c r="AB1425" s="77" t="s">
        <v>8225</v>
      </c>
      <c r="AC1425" s="82" t="s">
        <v>8235</v>
      </c>
      <c r="AD1425" s="77" t="s">
        <v>8278</v>
      </c>
      <c r="AE1425" s="80" t="str">
        <f>HYPERLINK("https://twitter.com/juristecadv/status/1678489322159239169")</f>
        <v>https://twitter.com/juristecadv/status/1678489322159239169</v>
      </c>
      <c r="AF1425" s="79">
        <v>45117.819594907407</v>
      </c>
      <c r="AG1425" s="85">
        <v>45117</v>
      </c>
      <c r="AH1425" s="82" t="s">
        <v>9569</v>
      </c>
      <c r="AI1425" s="77" t="b">
        <v>0</v>
      </c>
      <c r="AJ1425" s="77"/>
      <c r="AK1425" s="77"/>
      <c r="AL1425" s="77"/>
      <c r="AM1425" s="77"/>
      <c r="AN1425" s="77"/>
      <c r="AO1425" s="77"/>
      <c r="AP1425" s="77"/>
      <c r="AQ1425" s="77" t="s">
        <v>12602</v>
      </c>
      <c r="AR1425" s="77"/>
      <c r="AS1425" s="77"/>
      <c r="AT1425" s="77"/>
      <c r="AU1425" s="77"/>
      <c r="AV1425" s="80" t="str">
        <f>HYPERLINK("https://pbs.twimg.com/media/F0sxJJ3WcCAkn5h.jpg")</f>
        <v>https://pbs.twimg.com/media/F0sxJJ3WcCAkn5h.jpg</v>
      </c>
      <c r="AW1425" s="82" t="s">
        <v>14519</v>
      </c>
      <c r="AX1425" s="82" t="s">
        <v>14519</v>
      </c>
      <c r="AY1425" s="77"/>
      <c r="AZ1425" s="82" t="s">
        <v>17385</v>
      </c>
      <c r="BA1425" s="82" t="s">
        <v>17385</v>
      </c>
      <c r="BB1425" s="82" t="s">
        <v>17385</v>
      </c>
      <c r="BC1425" s="82" t="s">
        <v>14519</v>
      </c>
      <c r="BD1425" s="82" t="s">
        <v>17564</v>
      </c>
      <c r="BE1425" s="77"/>
      <c r="BF1425" s="77"/>
      <c r="BG1425" s="77"/>
      <c r="BH1425" s="77"/>
      <c r="BI1425" s="77"/>
    </row>
    <row r="1426" spans="1:61" x14ac:dyDescent="0.25">
      <c r="A1426" s="62" t="s">
        <v>458</v>
      </c>
      <c r="B1426" s="62" t="s">
        <v>458</v>
      </c>
      <c r="C1426" s="63"/>
      <c r="D1426" s="64"/>
      <c r="E1426" s="65"/>
      <c r="F1426" s="66"/>
      <c r="G1426" s="63"/>
      <c r="H1426" s="67"/>
      <c r="I1426" s="68"/>
      <c r="J1426" s="68"/>
      <c r="K1426" s="32"/>
      <c r="L1426" s="75">
        <v>1426</v>
      </c>
      <c r="M1426" s="75"/>
      <c r="N1426" s="70"/>
      <c r="O1426" s="77" t="s">
        <v>179</v>
      </c>
      <c r="P1426" s="79">
        <v>45092.000439814816</v>
      </c>
      <c r="Q1426" s="77" t="s">
        <v>2216</v>
      </c>
      <c r="R1426" s="77">
        <v>0</v>
      </c>
      <c r="S1426" s="77">
        <v>0</v>
      </c>
      <c r="T1426" s="77">
        <v>0</v>
      </c>
      <c r="U1426" s="77">
        <v>0</v>
      </c>
      <c r="V1426" s="77">
        <v>28</v>
      </c>
      <c r="W1426" s="82" t="s">
        <v>5722</v>
      </c>
      <c r="X1426" s="80" t="str">
        <f>HYPERLINK("https://encr.pw/3wPg1")</f>
        <v>https://encr.pw/3wPg1</v>
      </c>
      <c r="Y1426" s="77" t="s">
        <v>7107</v>
      </c>
      <c r="Z1426" s="77"/>
      <c r="AA1426" s="77" t="s">
        <v>7718</v>
      </c>
      <c r="AB1426" s="77" t="s">
        <v>8225</v>
      </c>
      <c r="AC1426" s="82" t="s">
        <v>8235</v>
      </c>
      <c r="AD1426" s="77" t="s">
        <v>8278</v>
      </c>
      <c r="AE1426" s="80" t="str">
        <f>HYPERLINK("https://twitter.com/juristecadv/status/1669132772529561602")</f>
        <v>https://twitter.com/juristecadv/status/1669132772529561602</v>
      </c>
      <c r="AF1426" s="79">
        <v>45092.000439814816</v>
      </c>
      <c r="AG1426" s="85">
        <v>45092</v>
      </c>
      <c r="AH1426" s="82" t="s">
        <v>9570</v>
      </c>
      <c r="AI1426" s="77" t="b">
        <v>0</v>
      </c>
      <c r="AJ1426" s="77"/>
      <c r="AK1426" s="77"/>
      <c r="AL1426" s="77"/>
      <c r="AM1426" s="77"/>
      <c r="AN1426" s="77"/>
      <c r="AO1426" s="77"/>
      <c r="AP1426" s="77"/>
      <c r="AQ1426" s="77" t="s">
        <v>12603</v>
      </c>
      <c r="AR1426" s="77"/>
      <c r="AS1426" s="77"/>
      <c r="AT1426" s="77"/>
      <c r="AU1426" s="77"/>
      <c r="AV1426" s="80" t="str">
        <f>HYPERLINK("https://pbs.twimg.com/media/FynzaQQWwAAZkOv.jpg")</f>
        <v>https://pbs.twimg.com/media/FynzaQQWwAAZkOv.jpg</v>
      </c>
      <c r="AW1426" s="82" t="s">
        <v>14520</v>
      </c>
      <c r="AX1426" s="82" t="s">
        <v>14520</v>
      </c>
      <c r="AY1426" s="77"/>
      <c r="AZ1426" s="82" t="s">
        <v>17385</v>
      </c>
      <c r="BA1426" s="82" t="s">
        <v>17385</v>
      </c>
      <c r="BB1426" s="82" t="s">
        <v>17385</v>
      </c>
      <c r="BC1426" s="82" t="s">
        <v>14520</v>
      </c>
      <c r="BD1426" s="82" t="s">
        <v>17564</v>
      </c>
      <c r="BE1426" s="77"/>
      <c r="BF1426" s="77"/>
      <c r="BG1426" s="77"/>
      <c r="BH1426" s="77"/>
      <c r="BI1426" s="77"/>
    </row>
    <row r="1427" spans="1:61" x14ac:dyDescent="0.25">
      <c r="A1427" s="62" t="s">
        <v>458</v>
      </c>
      <c r="B1427" s="62" t="s">
        <v>458</v>
      </c>
      <c r="C1427" s="63"/>
      <c r="D1427" s="64"/>
      <c r="E1427" s="65"/>
      <c r="F1427" s="66"/>
      <c r="G1427" s="63"/>
      <c r="H1427" s="67"/>
      <c r="I1427" s="68"/>
      <c r="J1427" s="68"/>
      <c r="K1427" s="32"/>
      <c r="L1427" s="75">
        <v>1427</v>
      </c>
      <c r="M1427" s="75"/>
      <c r="N1427" s="70"/>
      <c r="O1427" s="77" t="s">
        <v>179</v>
      </c>
      <c r="P1427" s="79">
        <v>45091.958854166667</v>
      </c>
      <c r="Q1427" s="77" t="s">
        <v>2217</v>
      </c>
      <c r="R1427" s="77">
        <v>0</v>
      </c>
      <c r="S1427" s="77">
        <v>0</v>
      </c>
      <c r="T1427" s="77">
        <v>0</v>
      </c>
      <c r="U1427" s="77">
        <v>0</v>
      </c>
      <c r="V1427" s="77">
        <v>6</v>
      </c>
      <c r="W1427" s="82" t="s">
        <v>5723</v>
      </c>
      <c r="X1427" s="80" t="str">
        <f>HYPERLINK("https://l1nq.com/F67hl")</f>
        <v>https://l1nq.com/F67hl</v>
      </c>
      <c r="Y1427" s="77" t="s">
        <v>7108</v>
      </c>
      <c r="Z1427" s="77"/>
      <c r="AA1427" s="77" t="s">
        <v>7719</v>
      </c>
      <c r="AB1427" s="77" t="s">
        <v>8225</v>
      </c>
      <c r="AC1427" s="82" t="s">
        <v>8235</v>
      </c>
      <c r="AD1427" s="77" t="s">
        <v>8278</v>
      </c>
      <c r="AE1427" s="80" t="str">
        <f>HYPERLINK("https://twitter.com/juristecadv/status/1669117702235881473")</f>
        <v>https://twitter.com/juristecadv/status/1669117702235881473</v>
      </c>
      <c r="AF1427" s="79">
        <v>45091.958854166667</v>
      </c>
      <c r="AG1427" s="85">
        <v>45091</v>
      </c>
      <c r="AH1427" s="82" t="s">
        <v>9571</v>
      </c>
      <c r="AI1427" s="77" t="b">
        <v>0</v>
      </c>
      <c r="AJ1427" s="77"/>
      <c r="AK1427" s="77"/>
      <c r="AL1427" s="77"/>
      <c r="AM1427" s="77"/>
      <c r="AN1427" s="77"/>
      <c r="AO1427" s="77"/>
      <c r="AP1427" s="77"/>
      <c r="AQ1427" s="77" t="s">
        <v>12604</v>
      </c>
      <c r="AR1427" s="77"/>
      <c r="AS1427" s="77"/>
      <c r="AT1427" s="77"/>
      <c r="AU1427" s="77"/>
      <c r="AV1427" s="80" t="str">
        <f>HYPERLINK("https://pbs.twimg.com/media/FynltGoX0AABPhm.jpg")</f>
        <v>https://pbs.twimg.com/media/FynltGoX0AABPhm.jpg</v>
      </c>
      <c r="AW1427" s="82" t="s">
        <v>14521</v>
      </c>
      <c r="AX1427" s="82" t="s">
        <v>14521</v>
      </c>
      <c r="AY1427" s="77"/>
      <c r="AZ1427" s="82" t="s">
        <v>17385</v>
      </c>
      <c r="BA1427" s="82" t="s">
        <v>17385</v>
      </c>
      <c r="BB1427" s="82" t="s">
        <v>17385</v>
      </c>
      <c r="BC1427" s="82" t="s">
        <v>14521</v>
      </c>
      <c r="BD1427" s="82" t="s">
        <v>17564</v>
      </c>
      <c r="BE1427" s="77"/>
      <c r="BF1427" s="77"/>
      <c r="BG1427" s="77"/>
      <c r="BH1427" s="77"/>
      <c r="BI1427" s="77"/>
    </row>
    <row r="1428" spans="1:61" x14ac:dyDescent="0.25">
      <c r="A1428" s="62" t="s">
        <v>459</v>
      </c>
      <c r="B1428" s="62" t="s">
        <v>772</v>
      </c>
      <c r="C1428" s="63"/>
      <c r="D1428" s="64"/>
      <c r="E1428" s="65"/>
      <c r="F1428" s="66"/>
      <c r="G1428" s="63"/>
      <c r="H1428" s="67"/>
      <c r="I1428" s="68"/>
      <c r="J1428" s="68"/>
      <c r="K1428" s="32"/>
      <c r="L1428" s="75">
        <v>1428</v>
      </c>
      <c r="M1428" s="75"/>
      <c r="N1428" s="70"/>
      <c r="O1428" s="77" t="s">
        <v>805</v>
      </c>
      <c r="P1428" s="79">
        <v>45152.543587962966</v>
      </c>
      <c r="Q1428" s="77" t="s">
        <v>2218</v>
      </c>
      <c r="R1428" s="77">
        <v>0</v>
      </c>
      <c r="S1428" s="77">
        <v>0</v>
      </c>
      <c r="T1428" s="77">
        <v>0</v>
      </c>
      <c r="U1428" s="77">
        <v>0</v>
      </c>
      <c r="V1428" s="77">
        <v>29</v>
      </c>
      <c r="W1428" s="82" t="s">
        <v>5724</v>
      </c>
      <c r="X1428" s="77"/>
      <c r="Y1428" s="77"/>
      <c r="Z1428" s="77" t="s">
        <v>7161</v>
      </c>
      <c r="AA1428" s="77"/>
      <c r="AB1428" s="77"/>
      <c r="AC1428" s="82" t="s">
        <v>8234</v>
      </c>
      <c r="AD1428" s="77" t="s">
        <v>8278</v>
      </c>
      <c r="AE1428" s="80" t="str">
        <f>HYPERLINK("https://twitter.com/adrieli05758330/status/1691072874138808320")</f>
        <v>https://twitter.com/adrieli05758330/status/1691072874138808320</v>
      </c>
      <c r="AF1428" s="79">
        <v>45152.543587962966</v>
      </c>
      <c r="AG1428" s="85">
        <v>45152</v>
      </c>
      <c r="AH1428" s="82" t="s">
        <v>9572</v>
      </c>
      <c r="AI1428" s="77"/>
      <c r="AJ1428" s="77"/>
      <c r="AK1428" s="77"/>
      <c r="AL1428" s="77"/>
      <c r="AM1428" s="77"/>
      <c r="AN1428" s="77"/>
      <c r="AO1428" s="77"/>
      <c r="AP1428" s="77"/>
      <c r="AQ1428" s="77"/>
      <c r="AR1428" s="77"/>
      <c r="AS1428" s="77"/>
      <c r="AT1428" s="77"/>
      <c r="AU1428" s="77"/>
      <c r="AV1428" s="80" t="str">
        <f>HYPERLINK("https://pbs.twimg.com/profile_images/1529892630808735773/dNNPnEnb_normal.jpg")</f>
        <v>https://pbs.twimg.com/profile_images/1529892630808735773/dNNPnEnb_normal.jpg</v>
      </c>
      <c r="AW1428" s="82" t="s">
        <v>14522</v>
      </c>
      <c r="AX1428" s="82" t="s">
        <v>17174</v>
      </c>
      <c r="AY1428" s="82" t="s">
        <v>17349</v>
      </c>
      <c r="AZ1428" s="82" t="s">
        <v>17174</v>
      </c>
      <c r="BA1428" s="82" t="s">
        <v>17385</v>
      </c>
      <c r="BB1428" s="82" t="s">
        <v>17385</v>
      </c>
      <c r="BC1428" s="82" t="s">
        <v>17174</v>
      </c>
      <c r="BD1428" s="82" t="s">
        <v>17565</v>
      </c>
      <c r="BE1428" s="77"/>
      <c r="BF1428" s="77"/>
      <c r="BG1428" s="77"/>
      <c r="BH1428" s="77"/>
      <c r="BI1428" s="77"/>
    </row>
    <row r="1429" spans="1:61" x14ac:dyDescent="0.25">
      <c r="A1429" s="62" t="s">
        <v>459</v>
      </c>
      <c r="B1429" s="62" t="s">
        <v>772</v>
      </c>
      <c r="C1429" s="63"/>
      <c r="D1429" s="64"/>
      <c r="E1429" s="65"/>
      <c r="F1429" s="66"/>
      <c r="G1429" s="63"/>
      <c r="H1429" s="67"/>
      <c r="I1429" s="68"/>
      <c r="J1429" s="68"/>
      <c r="K1429" s="32"/>
      <c r="L1429" s="75">
        <v>1429</v>
      </c>
      <c r="M1429" s="75"/>
      <c r="N1429" s="70"/>
      <c r="O1429" s="77" t="s">
        <v>800</v>
      </c>
      <c r="P1429" s="79">
        <v>45152.543587962966</v>
      </c>
      <c r="Q1429" s="77" t="s">
        <v>2218</v>
      </c>
      <c r="R1429" s="77">
        <v>0</v>
      </c>
      <c r="S1429" s="77">
        <v>0</v>
      </c>
      <c r="T1429" s="77">
        <v>0</v>
      </c>
      <c r="U1429" s="77">
        <v>0</v>
      </c>
      <c r="V1429" s="77">
        <v>29</v>
      </c>
      <c r="W1429" s="82" t="s">
        <v>5724</v>
      </c>
      <c r="X1429" s="77"/>
      <c r="Y1429" s="77"/>
      <c r="Z1429" s="77" t="s">
        <v>7161</v>
      </c>
      <c r="AA1429" s="77"/>
      <c r="AB1429" s="77"/>
      <c r="AC1429" s="82" t="s">
        <v>8234</v>
      </c>
      <c r="AD1429" s="77" t="s">
        <v>8278</v>
      </c>
      <c r="AE1429" s="80" t="str">
        <f>HYPERLINK("https://twitter.com/adrieli05758330/status/1691072874138808320")</f>
        <v>https://twitter.com/adrieli05758330/status/1691072874138808320</v>
      </c>
      <c r="AF1429" s="79">
        <v>45152.543587962966</v>
      </c>
      <c r="AG1429" s="85">
        <v>45152</v>
      </c>
      <c r="AH1429" s="82" t="s">
        <v>9572</v>
      </c>
      <c r="AI1429" s="77"/>
      <c r="AJ1429" s="77"/>
      <c r="AK1429" s="77"/>
      <c r="AL1429" s="77"/>
      <c r="AM1429" s="77"/>
      <c r="AN1429" s="77"/>
      <c r="AO1429" s="77"/>
      <c r="AP1429" s="77"/>
      <c r="AQ1429" s="77"/>
      <c r="AR1429" s="77"/>
      <c r="AS1429" s="77"/>
      <c r="AT1429" s="77"/>
      <c r="AU1429" s="77"/>
      <c r="AV1429" s="80" t="str">
        <f>HYPERLINK("https://pbs.twimg.com/profile_images/1529892630808735773/dNNPnEnb_normal.jpg")</f>
        <v>https://pbs.twimg.com/profile_images/1529892630808735773/dNNPnEnb_normal.jpg</v>
      </c>
      <c r="AW1429" s="82" t="s">
        <v>14522</v>
      </c>
      <c r="AX1429" s="82" t="s">
        <v>17174</v>
      </c>
      <c r="AY1429" s="82" t="s">
        <v>17349</v>
      </c>
      <c r="AZ1429" s="82" t="s">
        <v>17174</v>
      </c>
      <c r="BA1429" s="82" t="s">
        <v>17385</v>
      </c>
      <c r="BB1429" s="82" t="s">
        <v>17385</v>
      </c>
      <c r="BC1429" s="82" t="s">
        <v>17174</v>
      </c>
      <c r="BD1429" s="82" t="s">
        <v>17565</v>
      </c>
      <c r="BE1429" s="77"/>
      <c r="BF1429" s="77"/>
      <c r="BG1429" s="77"/>
      <c r="BH1429" s="77"/>
      <c r="BI1429" s="77"/>
    </row>
    <row r="1430" spans="1:61" x14ac:dyDescent="0.25">
      <c r="A1430" s="62" t="s">
        <v>460</v>
      </c>
      <c r="B1430" s="62" t="s">
        <v>479</v>
      </c>
      <c r="C1430" s="63"/>
      <c r="D1430" s="64"/>
      <c r="E1430" s="65"/>
      <c r="F1430" s="66"/>
      <c r="G1430" s="63"/>
      <c r="H1430" s="67"/>
      <c r="I1430" s="68"/>
      <c r="J1430" s="68"/>
      <c r="K1430" s="32"/>
      <c r="L1430" s="75">
        <v>1430</v>
      </c>
      <c r="M1430" s="75"/>
      <c r="N1430" s="70"/>
      <c r="O1430" s="77" t="s">
        <v>803</v>
      </c>
      <c r="P1430" s="79">
        <v>45188.880509259259</v>
      </c>
      <c r="Q1430" s="77" t="s">
        <v>2219</v>
      </c>
      <c r="R1430" s="77">
        <v>1</v>
      </c>
      <c r="S1430" s="77">
        <v>0</v>
      </c>
      <c r="T1430" s="77">
        <v>0</v>
      </c>
      <c r="U1430" s="77">
        <v>0</v>
      </c>
      <c r="V1430" s="77"/>
      <c r="W1430" s="77"/>
      <c r="X1430" s="77"/>
      <c r="Y1430" s="77"/>
      <c r="Z1430" s="77" t="s">
        <v>479</v>
      </c>
      <c r="AA1430" s="77"/>
      <c r="AB1430" s="77"/>
      <c r="AC1430" s="82" t="s">
        <v>8234</v>
      </c>
      <c r="AD1430" s="77" t="s">
        <v>8281</v>
      </c>
      <c r="AE1430" s="80" t="str">
        <f>HYPERLINK("https://twitter.com/fumarmata8/status/1704240932856508803")</f>
        <v>https://twitter.com/fumarmata8/status/1704240932856508803</v>
      </c>
      <c r="AF1430" s="79">
        <v>45188.880509259259</v>
      </c>
      <c r="AG1430" s="85">
        <v>45188</v>
      </c>
      <c r="AH1430" s="82" t="s">
        <v>9573</v>
      </c>
      <c r="AI1430" s="77" t="b">
        <v>0</v>
      </c>
      <c r="AJ1430" s="77"/>
      <c r="AK1430" s="77"/>
      <c r="AL1430" s="77"/>
      <c r="AM1430" s="77"/>
      <c r="AN1430" s="77"/>
      <c r="AO1430" s="77"/>
      <c r="AP1430" s="77"/>
      <c r="AQ1430" s="77"/>
      <c r="AR1430" s="77"/>
      <c r="AS1430" s="77"/>
      <c r="AT1430" s="77"/>
      <c r="AU1430" s="77"/>
      <c r="AV1430" s="80" t="str">
        <f>HYPERLINK("https://pbs.twimg.com/profile_images/1200382144989802497/IuPsIewo_normal.jpg")</f>
        <v>https://pbs.twimg.com/profile_images/1200382144989802497/IuPsIewo_normal.jpg</v>
      </c>
      <c r="AW1430" s="82" t="s">
        <v>14523</v>
      </c>
      <c r="AX1430" s="82" t="s">
        <v>14523</v>
      </c>
      <c r="AY1430" s="77"/>
      <c r="AZ1430" s="82" t="s">
        <v>17385</v>
      </c>
      <c r="BA1430" s="82" t="s">
        <v>17385</v>
      </c>
      <c r="BB1430" s="82" t="s">
        <v>14555</v>
      </c>
      <c r="BC1430" s="82" t="s">
        <v>14555</v>
      </c>
      <c r="BD1430" s="82" t="s">
        <v>17566</v>
      </c>
      <c r="BE1430" s="77"/>
      <c r="BF1430" s="77"/>
      <c r="BG1430" s="77"/>
      <c r="BH1430" s="77"/>
      <c r="BI1430" s="77"/>
    </row>
    <row r="1431" spans="1:61" x14ac:dyDescent="0.25">
      <c r="A1431" s="62" t="s">
        <v>461</v>
      </c>
      <c r="B1431" s="62" t="s">
        <v>461</v>
      </c>
      <c r="C1431" s="63"/>
      <c r="D1431" s="64"/>
      <c r="E1431" s="65"/>
      <c r="F1431" s="66"/>
      <c r="G1431" s="63"/>
      <c r="H1431" s="67"/>
      <c r="I1431" s="68"/>
      <c r="J1431" s="68"/>
      <c r="K1431" s="32"/>
      <c r="L1431" s="75">
        <v>1431</v>
      </c>
      <c r="M1431" s="75"/>
      <c r="N1431" s="70"/>
      <c r="O1431" s="77" t="s">
        <v>179</v>
      </c>
      <c r="P1431" s="79">
        <v>45090.922222222223</v>
      </c>
      <c r="Q1431" s="77" t="s">
        <v>2220</v>
      </c>
      <c r="R1431" s="77">
        <v>0</v>
      </c>
      <c r="S1431" s="77">
        <v>1</v>
      </c>
      <c r="T1431" s="77">
        <v>0</v>
      </c>
      <c r="U1431" s="77">
        <v>0</v>
      </c>
      <c r="V1431" s="77">
        <v>59</v>
      </c>
      <c r="W1431" s="82" t="s">
        <v>5725</v>
      </c>
      <c r="X1431" s="77"/>
      <c r="Y1431" s="77"/>
      <c r="Z1431" s="77"/>
      <c r="AA1431" s="77" t="s">
        <v>7720</v>
      </c>
      <c r="AB1431" s="77" t="s">
        <v>8227</v>
      </c>
      <c r="AC1431" s="82" t="s">
        <v>8234</v>
      </c>
      <c r="AD1431" s="77" t="s">
        <v>8278</v>
      </c>
      <c r="AE1431" s="80" t="str">
        <f>HYPERLINK("https://twitter.com/jbmholding/status/1668742039024939009")</f>
        <v>https://twitter.com/jbmholding/status/1668742039024939009</v>
      </c>
      <c r="AF1431" s="79">
        <v>45090.922222222223</v>
      </c>
      <c r="AG1431" s="85">
        <v>45090</v>
      </c>
      <c r="AH1431" s="82" t="s">
        <v>9574</v>
      </c>
      <c r="AI1431" s="77" t="b">
        <v>0</v>
      </c>
      <c r="AJ1431" s="77" t="s">
        <v>11993</v>
      </c>
      <c r="AK1431" s="77" t="s">
        <v>12007</v>
      </c>
      <c r="AL1431" s="77" t="s">
        <v>12010</v>
      </c>
      <c r="AM1431" s="77" t="s">
        <v>12013</v>
      </c>
      <c r="AN1431" s="77" t="s">
        <v>12025</v>
      </c>
      <c r="AO1431" s="77" t="s">
        <v>12039</v>
      </c>
      <c r="AP1431" s="77" t="s">
        <v>12051</v>
      </c>
      <c r="AQ1431" s="77" t="s">
        <v>12605</v>
      </c>
      <c r="AR1431" s="77">
        <v>38636</v>
      </c>
      <c r="AS1431" s="77"/>
      <c r="AT1431" s="77"/>
      <c r="AU1431" s="77"/>
      <c r="AV1431" s="80" t="str">
        <f>HYPERLINK("https://pbs.twimg.com/ext_tw_video_thumb/1668741986935885830/pu/img/aOD8jwhKvEHW4jpo.jpg")</f>
        <v>https://pbs.twimg.com/ext_tw_video_thumb/1668741986935885830/pu/img/aOD8jwhKvEHW4jpo.jpg</v>
      </c>
      <c r="AW1431" s="82" t="s">
        <v>14524</v>
      </c>
      <c r="AX1431" s="82" t="s">
        <v>14524</v>
      </c>
      <c r="AY1431" s="77"/>
      <c r="AZ1431" s="82" t="s">
        <v>17385</v>
      </c>
      <c r="BA1431" s="82" t="s">
        <v>17385</v>
      </c>
      <c r="BB1431" s="82" t="s">
        <v>17385</v>
      </c>
      <c r="BC1431" s="82" t="s">
        <v>14524</v>
      </c>
      <c r="BD1431" s="82" t="s">
        <v>17567</v>
      </c>
      <c r="BE1431" s="77"/>
      <c r="BF1431" s="77"/>
      <c r="BG1431" s="77"/>
      <c r="BH1431" s="77"/>
      <c r="BI1431" s="77"/>
    </row>
    <row r="1432" spans="1:61" x14ac:dyDescent="0.25">
      <c r="A1432" s="62" t="s">
        <v>462</v>
      </c>
      <c r="B1432" s="62" t="s">
        <v>462</v>
      </c>
      <c r="C1432" s="63"/>
      <c r="D1432" s="64"/>
      <c r="E1432" s="65"/>
      <c r="F1432" s="66"/>
      <c r="G1432" s="63"/>
      <c r="H1432" s="67"/>
      <c r="I1432" s="68"/>
      <c r="J1432" s="68"/>
      <c r="K1432" s="32"/>
      <c r="L1432" s="75">
        <v>1432</v>
      </c>
      <c r="M1432" s="75"/>
      <c r="N1432" s="70"/>
      <c r="O1432" s="77" t="s">
        <v>179</v>
      </c>
      <c r="P1432" s="79">
        <v>45169.390717592592</v>
      </c>
      <c r="Q1432" s="77" t="s">
        <v>2221</v>
      </c>
      <c r="R1432" s="77">
        <v>0</v>
      </c>
      <c r="S1432" s="77">
        <v>0</v>
      </c>
      <c r="T1432" s="77">
        <v>0</v>
      </c>
      <c r="U1432" s="77">
        <v>0</v>
      </c>
      <c r="V1432" s="77">
        <v>102</v>
      </c>
      <c r="W1432" s="82" t="s">
        <v>5726</v>
      </c>
      <c r="X1432" s="77"/>
      <c r="Y1432" s="77"/>
      <c r="Z1432" s="77"/>
      <c r="AA1432" s="77" t="s">
        <v>7721</v>
      </c>
      <c r="AB1432" s="77" t="s">
        <v>8225</v>
      </c>
      <c r="AC1432" s="82" t="s">
        <v>8233</v>
      </c>
      <c r="AD1432" s="77" t="s">
        <v>8278</v>
      </c>
      <c r="AE1432" s="80" t="str">
        <f>HYPERLINK("https://twitter.com/brunovenancio/status/1697178070174642566")</f>
        <v>https://twitter.com/brunovenancio/status/1697178070174642566</v>
      </c>
      <c r="AF1432" s="79">
        <v>45169.390717592592</v>
      </c>
      <c r="AG1432" s="85">
        <v>45169</v>
      </c>
      <c r="AH1432" s="82" t="s">
        <v>9575</v>
      </c>
      <c r="AI1432" s="77" t="b">
        <v>0</v>
      </c>
      <c r="AJ1432" s="77"/>
      <c r="AK1432" s="77"/>
      <c r="AL1432" s="77"/>
      <c r="AM1432" s="77"/>
      <c r="AN1432" s="77"/>
      <c r="AO1432" s="77"/>
      <c r="AP1432" s="77"/>
      <c r="AQ1432" s="77" t="s">
        <v>12606</v>
      </c>
      <c r="AR1432" s="77"/>
      <c r="AS1432" s="77"/>
      <c r="AT1432" s="77"/>
      <c r="AU1432" s="77"/>
      <c r="AV1432" s="80" t="str">
        <f>HYPERLINK("https://pbs.twimg.com/media/F42WdUKXYAA3CI0.jpg")</f>
        <v>https://pbs.twimg.com/media/F42WdUKXYAA3CI0.jpg</v>
      </c>
      <c r="AW1432" s="82" t="s">
        <v>14525</v>
      </c>
      <c r="AX1432" s="82" t="s">
        <v>14525</v>
      </c>
      <c r="AY1432" s="77"/>
      <c r="AZ1432" s="82" t="s">
        <v>17385</v>
      </c>
      <c r="BA1432" s="82" t="s">
        <v>17385</v>
      </c>
      <c r="BB1432" s="82" t="s">
        <v>17385</v>
      </c>
      <c r="BC1432" s="82" t="s">
        <v>14525</v>
      </c>
      <c r="BD1432" s="77">
        <v>21410087</v>
      </c>
      <c r="BE1432" s="77"/>
      <c r="BF1432" s="77"/>
      <c r="BG1432" s="77"/>
      <c r="BH1432" s="77"/>
      <c r="BI1432" s="77"/>
    </row>
    <row r="1433" spans="1:61" x14ac:dyDescent="0.25">
      <c r="A1433" s="62" t="s">
        <v>463</v>
      </c>
      <c r="B1433" s="62" t="s">
        <v>463</v>
      </c>
      <c r="C1433" s="63"/>
      <c r="D1433" s="64"/>
      <c r="E1433" s="65"/>
      <c r="F1433" s="66"/>
      <c r="G1433" s="63"/>
      <c r="H1433" s="67"/>
      <c r="I1433" s="68"/>
      <c r="J1433" s="68"/>
      <c r="K1433" s="32"/>
      <c r="L1433" s="75">
        <v>1433</v>
      </c>
      <c r="M1433" s="75"/>
      <c r="N1433" s="70"/>
      <c r="O1433" s="77" t="s">
        <v>179</v>
      </c>
      <c r="P1433" s="79">
        <v>45061.8046412037</v>
      </c>
      <c r="Q1433" s="77" t="s">
        <v>2222</v>
      </c>
      <c r="R1433" s="77">
        <v>0</v>
      </c>
      <c r="S1433" s="77">
        <v>0</v>
      </c>
      <c r="T1433" s="77">
        <v>0</v>
      </c>
      <c r="U1433" s="77">
        <v>0</v>
      </c>
      <c r="V1433" s="77">
        <v>20</v>
      </c>
      <c r="W1433" s="82" t="s">
        <v>4835</v>
      </c>
      <c r="X1433" s="80" t="str">
        <f>HYPERLINK("https://censurazero.com.br/contra-o-povo-por-vinganca-a-oposicao-vereadores-aliados-de-daniel-rejeitam-pedidos-de-obras-e-acoes-em-bairros-e-localidades-de-sao-mateus/")</f>
        <v>https://censurazero.com.br/contra-o-povo-por-vinganca-a-oposicao-vereadores-aliados-de-daniel-rejeitam-pedidos-de-obras-e-acoes-em-bairros-e-localidades-de-sao-mateus/</v>
      </c>
      <c r="Y1433" s="77" t="s">
        <v>7053</v>
      </c>
      <c r="Z1433" s="77"/>
      <c r="AA1433" s="77" t="s">
        <v>7722</v>
      </c>
      <c r="AB1433" s="77" t="s">
        <v>8225</v>
      </c>
      <c r="AC1433" s="82" t="s">
        <v>8243</v>
      </c>
      <c r="AD1433" s="77" t="s">
        <v>8278</v>
      </c>
      <c r="AE1433" s="80" t="str">
        <f>HYPERLINK("https://twitter.com/andreczero/status/1658190182552592384")</f>
        <v>https://twitter.com/andreczero/status/1658190182552592384</v>
      </c>
      <c r="AF1433" s="79">
        <v>45061.8046412037</v>
      </c>
      <c r="AG1433" s="85">
        <v>45061</v>
      </c>
      <c r="AH1433" s="82" t="s">
        <v>9576</v>
      </c>
      <c r="AI1433" s="77" t="b">
        <v>0</v>
      </c>
      <c r="AJ1433" s="77"/>
      <c r="AK1433" s="77"/>
      <c r="AL1433" s="77"/>
      <c r="AM1433" s="77"/>
      <c r="AN1433" s="77"/>
      <c r="AO1433" s="77"/>
      <c r="AP1433" s="77"/>
      <c r="AQ1433" s="77" t="s">
        <v>12607</v>
      </c>
      <c r="AR1433" s="77"/>
      <c r="AS1433" s="77"/>
      <c r="AT1433" s="77"/>
      <c r="AU1433" s="77"/>
      <c r="AV1433" s="80" t="str">
        <f>HYPERLINK("https://pbs.twimg.com/media/FwMTLyWWYCs8mUn.jpg")</f>
        <v>https://pbs.twimg.com/media/FwMTLyWWYCs8mUn.jpg</v>
      </c>
      <c r="AW1433" s="82" t="s">
        <v>14526</v>
      </c>
      <c r="AX1433" s="82" t="s">
        <v>14526</v>
      </c>
      <c r="AY1433" s="77"/>
      <c r="AZ1433" s="82" t="s">
        <v>17385</v>
      </c>
      <c r="BA1433" s="82" t="s">
        <v>17385</v>
      </c>
      <c r="BB1433" s="82" t="s">
        <v>17385</v>
      </c>
      <c r="BC1433" s="82" t="s">
        <v>14526</v>
      </c>
      <c r="BD1433" s="77">
        <v>159638345</v>
      </c>
      <c r="BE1433" s="77"/>
      <c r="BF1433" s="77"/>
      <c r="BG1433" s="77"/>
      <c r="BH1433" s="77"/>
      <c r="BI1433" s="77"/>
    </row>
    <row r="1434" spans="1:61" x14ac:dyDescent="0.25">
      <c r="A1434" s="62" t="s">
        <v>464</v>
      </c>
      <c r="B1434" s="62" t="s">
        <v>464</v>
      </c>
      <c r="C1434" s="63"/>
      <c r="D1434" s="64"/>
      <c r="E1434" s="65"/>
      <c r="F1434" s="66"/>
      <c r="G1434" s="63"/>
      <c r="H1434" s="67"/>
      <c r="I1434" s="68"/>
      <c r="J1434" s="68"/>
      <c r="K1434" s="32"/>
      <c r="L1434" s="75">
        <v>1434</v>
      </c>
      <c r="M1434" s="75"/>
      <c r="N1434" s="70"/>
      <c r="O1434" s="77" t="s">
        <v>179</v>
      </c>
      <c r="P1434" s="79">
        <v>45156.570474537039</v>
      </c>
      <c r="Q1434" s="77" t="s">
        <v>2223</v>
      </c>
      <c r="R1434" s="77">
        <v>1</v>
      </c>
      <c r="S1434" s="77">
        <v>13</v>
      </c>
      <c r="T1434" s="77">
        <v>0</v>
      </c>
      <c r="U1434" s="77">
        <v>0</v>
      </c>
      <c r="V1434" s="77">
        <v>117</v>
      </c>
      <c r="W1434" s="82" t="s">
        <v>5727</v>
      </c>
      <c r="X1434" s="77"/>
      <c r="Y1434" s="77"/>
      <c r="Z1434" s="77"/>
      <c r="AA1434" s="77"/>
      <c r="AB1434" s="77"/>
      <c r="AC1434" s="82" t="s">
        <v>8234</v>
      </c>
      <c r="AD1434" s="77" t="s">
        <v>8278</v>
      </c>
      <c r="AE1434" s="80" t="str">
        <f>HYPERLINK("https://twitter.com/kabbalahinfopt/status/1692532168847736914")</f>
        <v>https://twitter.com/kabbalahinfopt/status/1692532168847736914</v>
      </c>
      <c r="AF1434" s="79">
        <v>45156.570474537039</v>
      </c>
      <c r="AG1434" s="85">
        <v>45156</v>
      </c>
      <c r="AH1434" s="82" t="s">
        <v>9577</v>
      </c>
      <c r="AI1434" s="77"/>
      <c r="AJ1434" s="77"/>
      <c r="AK1434" s="77"/>
      <c r="AL1434" s="77"/>
      <c r="AM1434" s="77"/>
      <c r="AN1434" s="77"/>
      <c r="AO1434" s="77"/>
      <c r="AP1434" s="77"/>
      <c r="AQ1434" s="77"/>
      <c r="AR1434" s="77"/>
      <c r="AS1434" s="77"/>
      <c r="AT1434" s="77"/>
      <c r="AU1434" s="77"/>
      <c r="AV1434" s="80" t="str">
        <f>HYPERLINK("https://pbs.twimg.com/profile_images/1092950948253704194/72JGZUOJ_normal.jpg")</f>
        <v>https://pbs.twimg.com/profile_images/1092950948253704194/72JGZUOJ_normal.jpg</v>
      </c>
      <c r="AW1434" s="82" t="s">
        <v>14527</v>
      </c>
      <c r="AX1434" s="82" t="s">
        <v>14527</v>
      </c>
      <c r="AY1434" s="77"/>
      <c r="AZ1434" s="82" t="s">
        <v>17385</v>
      </c>
      <c r="BA1434" s="82" t="s">
        <v>17385</v>
      </c>
      <c r="BB1434" s="82" t="s">
        <v>17385</v>
      </c>
      <c r="BC1434" s="82" t="s">
        <v>14527</v>
      </c>
      <c r="BD1434" s="77">
        <v>73877449</v>
      </c>
      <c r="BE1434" s="77"/>
      <c r="BF1434" s="77"/>
      <c r="BG1434" s="77"/>
      <c r="BH1434" s="77"/>
      <c r="BI1434" s="77"/>
    </row>
    <row r="1435" spans="1:61" x14ac:dyDescent="0.25">
      <c r="A1435" s="62" t="s">
        <v>465</v>
      </c>
      <c r="B1435" s="62" t="s">
        <v>465</v>
      </c>
      <c r="C1435" s="63"/>
      <c r="D1435" s="64"/>
      <c r="E1435" s="65"/>
      <c r="F1435" s="66"/>
      <c r="G1435" s="63"/>
      <c r="H1435" s="67"/>
      <c r="I1435" s="68"/>
      <c r="J1435" s="68"/>
      <c r="K1435" s="32"/>
      <c r="L1435" s="75">
        <v>1435</v>
      </c>
      <c r="M1435" s="75"/>
      <c r="N1435" s="70"/>
      <c r="O1435" s="77" t="s">
        <v>179</v>
      </c>
      <c r="P1435" s="79">
        <v>45196.916574074072</v>
      </c>
      <c r="Q1435" s="77" t="s">
        <v>2224</v>
      </c>
      <c r="R1435" s="77">
        <v>0</v>
      </c>
      <c r="S1435" s="77">
        <v>0</v>
      </c>
      <c r="T1435" s="77">
        <v>0</v>
      </c>
      <c r="U1435" s="77">
        <v>0</v>
      </c>
      <c r="V1435" s="77">
        <v>27</v>
      </c>
      <c r="W1435" s="82" t="s">
        <v>5728</v>
      </c>
      <c r="X1435" s="77"/>
      <c r="Y1435" s="77"/>
      <c r="Z1435" s="77"/>
      <c r="AA1435" s="77" t="s">
        <v>7723</v>
      </c>
      <c r="AB1435" s="77" t="s">
        <v>8225</v>
      </c>
      <c r="AC1435" s="82" t="s">
        <v>8234</v>
      </c>
      <c r="AD1435" s="77" t="s">
        <v>8278</v>
      </c>
      <c r="AE1435" s="80" t="str">
        <f>HYPERLINK("https://twitter.com/raphael_tesla/status/1707153104796274869")</f>
        <v>https://twitter.com/raphael_tesla/status/1707153104796274869</v>
      </c>
      <c r="AF1435" s="79">
        <v>45196.916574074072</v>
      </c>
      <c r="AG1435" s="85">
        <v>45196</v>
      </c>
      <c r="AH1435" s="82" t="s">
        <v>9578</v>
      </c>
      <c r="AI1435" s="77" t="b">
        <v>0</v>
      </c>
      <c r="AJ1435" s="77"/>
      <c r="AK1435" s="77"/>
      <c r="AL1435" s="77"/>
      <c r="AM1435" s="77"/>
      <c r="AN1435" s="77"/>
      <c r="AO1435" s="77"/>
      <c r="AP1435" s="77"/>
      <c r="AQ1435" s="77" t="s">
        <v>12608</v>
      </c>
      <c r="AR1435" s="77"/>
      <c r="AS1435" s="77"/>
      <c r="AT1435" s="77"/>
      <c r="AU1435" s="77"/>
      <c r="AV1435" s="80" t="str">
        <f>HYPERLINK("https://pbs.twimg.com/media/F7EGs6JXUAArQjW.jpg")</f>
        <v>https://pbs.twimg.com/media/F7EGs6JXUAArQjW.jpg</v>
      </c>
      <c r="AW1435" s="82" t="s">
        <v>14528</v>
      </c>
      <c r="AX1435" s="82" t="s">
        <v>14528</v>
      </c>
      <c r="AY1435" s="77"/>
      <c r="AZ1435" s="82" t="s">
        <v>17385</v>
      </c>
      <c r="BA1435" s="82" t="s">
        <v>17385</v>
      </c>
      <c r="BB1435" s="82" t="s">
        <v>17385</v>
      </c>
      <c r="BC1435" s="82" t="s">
        <v>14528</v>
      </c>
      <c r="BD1435" s="82" t="s">
        <v>17568</v>
      </c>
      <c r="BE1435" s="77"/>
      <c r="BF1435" s="77"/>
      <c r="BG1435" s="77"/>
      <c r="BH1435" s="77"/>
      <c r="BI1435" s="77"/>
    </row>
    <row r="1436" spans="1:61" x14ac:dyDescent="0.25">
      <c r="A1436" s="62" t="s">
        <v>465</v>
      </c>
      <c r="B1436" s="62" t="s">
        <v>465</v>
      </c>
      <c r="C1436" s="63"/>
      <c r="D1436" s="64"/>
      <c r="E1436" s="65"/>
      <c r="F1436" s="66"/>
      <c r="G1436" s="63"/>
      <c r="H1436" s="67"/>
      <c r="I1436" s="68"/>
      <c r="J1436" s="68"/>
      <c r="K1436" s="32"/>
      <c r="L1436" s="75">
        <v>1436</v>
      </c>
      <c r="M1436" s="75"/>
      <c r="N1436" s="70"/>
      <c r="O1436" s="77" t="s">
        <v>179</v>
      </c>
      <c r="P1436" s="79">
        <v>45190.627696759257</v>
      </c>
      <c r="Q1436" s="77" t="s">
        <v>2225</v>
      </c>
      <c r="R1436" s="77">
        <v>0</v>
      </c>
      <c r="S1436" s="77">
        <v>2</v>
      </c>
      <c r="T1436" s="77">
        <v>0</v>
      </c>
      <c r="U1436" s="77">
        <v>0</v>
      </c>
      <c r="V1436" s="77">
        <v>212</v>
      </c>
      <c r="W1436" s="82" t="s">
        <v>5729</v>
      </c>
      <c r="X1436" s="77"/>
      <c r="Y1436" s="77"/>
      <c r="Z1436" s="77"/>
      <c r="AA1436" s="77" t="s">
        <v>7724</v>
      </c>
      <c r="AB1436" s="77" t="s">
        <v>8227</v>
      </c>
      <c r="AC1436" s="82" t="s">
        <v>8234</v>
      </c>
      <c r="AD1436" s="77" t="s">
        <v>8278</v>
      </c>
      <c r="AE1436" s="80" t="str">
        <f>HYPERLINK("https://twitter.com/raphael_tesla/status/1704874093919527041")</f>
        <v>https://twitter.com/raphael_tesla/status/1704874093919527041</v>
      </c>
      <c r="AF1436" s="79">
        <v>45190.627696759257</v>
      </c>
      <c r="AG1436" s="85">
        <v>45190</v>
      </c>
      <c r="AH1436" s="82" t="s">
        <v>9579</v>
      </c>
      <c r="AI1436" s="77" t="b">
        <v>0</v>
      </c>
      <c r="AJ1436" s="77"/>
      <c r="AK1436" s="77"/>
      <c r="AL1436" s="77"/>
      <c r="AM1436" s="77"/>
      <c r="AN1436" s="77"/>
      <c r="AO1436" s="77"/>
      <c r="AP1436" s="77"/>
      <c r="AQ1436" s="77" t="s">
        <v>12609</v>
      </c>
      <c r="AR1436" s="77">
        <v>30233</v>
      </c>
      <c r="AS1436" s="77"/>
      <c r="AT1436" s="77"/>
      <c r="AU1436" s="77"/>
      <c r="AV1436" s="80" t="str">
        <f>HYPERLINK("https://pbs.twimg.com/ext_tw_video_thumb/1704874009546948608/pu/img/7ylF18pxeDyPn7Aj.jpg")</f>
        <v>https://pbs.twimg.com/ext_tw_video_thumb/1704874009546948608/pu/img/7ylF18pxeDyPn7Aj.jpg</v>
      </c>
      <c r="AW1436" s="82" t="s">
        <v>14529</v>
      </c>
      <c r="AX1436" s="82" t="s">
        <v>14529</v>
      </c>
      <c r="AY1436" s="77"/>
      <c r="AZ1436" s="82" t="s">
        <v>17385</v>
      </c>
      <c r="BA1436" s="82" t="s">
        <v>17385</v>
      </c>
      <c r="BB1436" s="82" t="s">
        <v>17385</v>
      </c>
      <c r="BC1436" s="82" t="s">
        <v>14529</v>
      </c>
      <c r="BD1436" s="82" t="s">
        <v>17568</v>
      </c>
      <c r="BE1436" s="77"/>
      <c r="BF1436" s="77"/>
      <c r="BG1436" s="77"/>
      <c r="BH1436" s="77"/>
      <c r="BI1436" s="77"/>
    </row>
    <row r="1437" spans="1:61" x14ac:dyDescent="0.25">
      <c r="A1437" s="62" t="s">
        <v>466</v>
      </c>
      <c r="B1437" s="62" t="s">
        <v>466</v>
      </c>
      <c r="C1437" s="63"/>
      <c r="D1437" s="64"/>
      <c r="E1437" s="65"/>
      <c r="F1437" s="66"/>
      <c r="G1437" s="63"/>
      <c r="H1437" s="67"/>
      <c r="I1437" s="68"/>
      <c r="J1437" s="68"/>
      <c r="K1437" s="32"/>
      <c r="L1437" s="75">
        <v>1437</v>
      </c>
      <c r="M1437" s="75"/>
      <c r="N1437" s="70"/>
      <c r="O1437" s="77" t="s">
        <v>179</v>
      </c>
      <c r="P1437" s="79">
        <v>45144.509710648148</v>
      </c>
      <c r="Q1437" s="77" t="s">
        <v>2226</v>
      </c>
      <c r="R1437" s="77">
        <v>0</v>
      </c>
      <c r="S1437" s="77">
        <v>1</v>
      </c>
      <c r="T1437" s="77">
        <v>0</v>
      </c>
      <c r="U1437" s="77">
        <v>0</v>
      </c>
      <c r="V1437" s="77">
        <v>135</v>
      </c>
      <c r="W1437" s="82" t="s">
        <v>5730</v>
      </c>
      <c r="X1437" s="77"/>
      <c r="Y1437" s="77"/>
      <c r="Z1437" s="77"/>
      <c r="AA1437" s="77" t="s">
        <v>7725</v>
      </c>
      <c r="AB1437" s="77" t="s">
        <v>8225</v>
      </c>
      <c r="AC1437" s="82" t="s">
        <v>8233</v>
      </c>
      <c r="AD1437" s="77" t="s">
        <v>8286</v>
      </c>
      <c r="AE1437" s="80" t="str">
        <f>HYPERLINK("https://twitter.com/ricomonteiro76/status/1688161496277090305")</f>
        <v>https://twitter.com/ricomonteiro76/status/1688161496277090305</v>
      </c>
      <c r="AF1437" s="79">
        <v>45144.509710648148</v>
      </c>
      <c r="AG1437" s="85">
        <v>45144</v>
      </c>
      <c r="AH1437" s="82" t="s">
        <v>9580</v>
      </c>
      <c r="AI1437" s="77" t="b">
        <v>0</v>
      </c>
      <c r="AJ1437" s="77"/>
      <c r="AK1437" s="77"/>
      <c r="AL1437" s="77"/>
      <c r="AM1437" s="77"/>
      <c r="AN1437" s="77"/>
      <c r="AO1437" s="77"/>
      <c r="AP1437" s="77"/>
      <c r="AQ1437" s="77" t="s">
        <v>12610</v>
      </c>
      <c r="AR1437" s="77"/>
      <c r="AS1437" s="77"/>
      <c r="AT1437" s="77"/>
      <c r="AU1437" s="77"/>
      <c r="AV1437" s="80" t="str">
        <f>HYPERLINK("https://pbs.twimg.com/media/F22N7s3XAAAOlOB.jpg")</f>
        <v>https://pbs.twimg.com/media/F22N7s3XAAAOlOB.jpg</v>
      </c>
      <c r="AW1437" s="82" t="s">
        <v>14530</v>
      </c>
      <c r="AX1437" s="82" t="s">
        <v>14530</v>
      </c>
      <c r="AY1437" s="77"/>
      <c r="AZ1437" s="82" t="s">
        <v>17385</v>
      </c>
      <c r="BA1437" s="82" t="s">
        <v>17385</v>
      </c>
      <c r="BB1437" s="82" t="s">
        <v>17385</v>
      </c>
      <c r="BC1437" s="82" t="s">
        <v>14530</v>
      </c>
      <c r="BD1437" s="82" t="s">
        <v>17569</v>
      </c>
      <c r="BE1437" s="77"/>
      <c r="BF1437" s="77"/>
      <c r="BG1437" s="77"/>
      <c r="BH1437" s="77"/>
      <c r="BI1437" s="77"/>
    </row>
    <row r="1438" spans="1:61" x14ac:dyDescent="0.25">
      <c r="A1438" s="62" t="s">
        <v>467</v>
      </c>
      <c r="B1438" s="62" t="s">
        <v>467</v>
      </c>
      <c r="C1438" s="63"/>
      <c r="D1438" s="64"/>
      <c r="E1438" s="65"/>
      <c r="F1438" s="66"/>
      <c r="G1438" s="63"/>
      <c r="H1438" s="67"/>
      <c r="I1438" s="68"/>
      <c r="J1438" s="68"/>
      <c r="K1438" s="32"/>
      <c r="L1438" s="75">
        <v>1438</v>
      </c>
      <c r="M1438" s="75"/>
      <c r="N1438" s="70"/>
      <c r="O1438" s="77" t="s">
        <v>179</v>
      </c>
      <c r="P1438" s="79">
        <v>45133.811805555553</v>
      </c>
      <c r="Q1438" s="77" t="s">
        <v>2227</v>
      </c>
      <c r="R1438" s="77">
        <v>0</v>
      </c>
      <c r="S1438" s="77">
        <v>0</v>
      </c>
      <c r="T1438" s="77">
        <v>0</v>
      </c>
      <c r="U1438" s="77">
        <v>0</v>
      </c>
      <c r="V1438" s="77">
        <v>5</v>
      </c>
      <c r="W1438" s="82" t="s">
        <v>5731</v>
      </c>
      <c r="X1438" s="80" t="str">
        <f>HYPERLINK("https://bit.ly/3q7YvGg")</f>
        <v>https://bit.ly/3q7YvGg</v>
      </c>
      <c r="Y1438" s="77" t="s">
        <v>7063</v>
      </c>
      <c r="Z1438" s="77"/>
      <c r="AA1438" s="77"/>
      <c r="AB1438" s="77"/>
      <c r="AC1438" s="82" t="s">
        <v>8232</v>
      </c>
      <c r="AD1438" s="77" t="s">
        <v>8278</v>
      </c>
      <c r="AE1438" s="80" t="str">
        <f>HYPERLINK("https://twitter.com/lexlatinbr/status/1684284702436253697")</f>
        <v>https://twitter.com/lexlatinbr/status/1684284702436253697</v>
      </c>
      <c r="AF1438" s="79">
        <v>45133.811805555553</v>
      </c>
      <c r="AG1438" s="85">
        <v>45133</v>
      </c>
      <c r="AH1438" s="82" t="s">
        <v>9581</v>
      </c>
      <c r="AI1438" s="77" t="b">
        <v>0</v>
      </c>
      <c r="AJ1438" s="77"/>
      <c r="AK1438" s="77"/>
      <c r="AL1438" s="77"/>
      <c r="AM1438" s="77"/>
      <c r="AN1438" s="77"/>
      <c r="AO1438" s="77"/>
      <c r="AP1438" s="77"/>
      <c r="AQ1438" s="77"/>
      <c r="AR1438" s="77"/>
      <c r="AS1438" s="77"/>
      <c r="AT1438" s="77"/>
      <c r="AU1438" s="77"/>
      <c r="AV1438" s="80" t="str">
        <f>HYPERLINK("https://pbs.twimg.com/profile_images/1387518297860628483/90Ffrl0y_normal.jpg")</f>
        <v>https://pbs.twimg.com/profile_images/1387518297860628483/90Ffrl0y_normal.jpg</v>
      </c>
      <c r="AW1438" s="82" t="s">
        <v>14531</v>
      </c>
      <c r="AX1438" s="82" t="s">
        <v>14531</v>
      </c>
      <c r="AY1438" s="77"/>
      <c r="AZ1438" s="82" t="s">
        <v>17385</v>
      </c>
      <c r="BA1438" s="82" t="s">
        <v>17385</v>
      </c>
      <c r="BB1438" s="82" t="s">
        <v>17385</v>
      </c>
      <c r="BC1438" s="82" t="s">
        <v>14531</v>
      </c>
      <c r="BD1438" s="82" t="s">
        <v>17570</v>
      </c>
      <c r="BE1438" s="77"/>
      <c r="BF1438" s="77"/>
      <c r="BG1438" s="77"/>
      <c r="BH1438" s="77"/>
      <c r="BI1438" s="77"/>
    </row>
    <row r="1439" spans="1:61" x14ac:dyDescent="0.25">
      <c r="A1439" s="62" t="s">
        <v>468</v>
      </c>
      <c r="B1439" s="62" t="s">
        <v>468</v>
      </c>
      <c r="C1439" s="63"/>
      <c r="D1439" s="64"/>
      <c r="E1439" s="65"/>
      <c r="F1439" s="66"/>
      <c r="G1439" s="63"/>
      <c r="H1439" s="67"/>
      <c r="I1439" s="68"/>
      <c r="J1439" s="68"/>
      <c r="K1439" s="32"/>
      <c r="L1439" s="75">
        <v>1439</v>
      </c>
      <c r="M1439" s="75"/>
      <c r="N1439" s="70"/>
      <c r="O1439" s="77" t="s">
        <v>800</v>
      </c>
      <c r="P1439" s="79">
        <v>45119.807523148149</v>
      </c>
      <c r="Q1439" s="77" t="s">
        <v>2228</v>
      </c>
      <c r="R1439" s="77">
        <v>0</v>
      </c>
      <c r="S1439" s="77">
        <v>0</v>
      </c>
      <c r="T1439" s="77">
        <v>0</v>
      </c>
      <c r="U1439" s="77">
        <v>0</v>
      </c>
      <c r="V1439" s="77">
        <v>11</v>
      </c>
      <c r="W1439" s="82" t="s">
        <v>5732</v>
      </c>
      <c r="X1439" s="77"/>
      <c r="Y1439" s="77"/>
      <c r="Z1439" s="77"/>
      <c r="AA1439" s="77"/>
      <c r="AB1439" s="77"/>
      <c r="AC1439" s="82" t="s">
        <v>8234</v>
      </c>
      <c r="AD1439" s="77" t="s">
        <v>8282</v>
      </c>
      <c r="AE1439" s="80" t="str">
        <f>HYPERLINK("https://twitter.com/luyzananna/status/1679209723680157707")</f>
        <v>https://twitter.com/luyzananna/status/1679209723680157707</v>
      </c>
      <c r="AF1439" s="79">
        <v>45119.807523148149</v>
      </c>
      <c r="AG1439" s="85">
        <v>45119</v>
      </c>
      <c r="AH1439" s="82" t="s">
        <v>9582</v>
      </c>
      <c r="AI1439" s="77"/>
      <c r="AJ1439" s="77"/>
      <c r="AK1439" s="77"/>
      <c r="AL1439" s="77"/>
      <c r="AM1439" s="77"/>
      <c r="AN1439" s="77"/>
      <c r="AO1439" s="77"/>
      <c r="AP1439" s="77"/>
      <c r="AQ1439" s="77"/>
      <c r="AR1439" s="77"/>
      <c r="AS1439" s="77"/>
      <c r="AT1439" s="77"/>
      <c r="AU1439" s="77"/>
      <c r="AV1439" s="80" t="str">
        <f>HYPERLINK("https://pbs.twimg.com/profile_images/1631106378407239684/jh9SohJl_normal.jpg")</f>
        <v>https://pbs.twimg.com/profile_images/1631106378407239684/jh9SohJl_normal.jpg</v>
      </c>
      <c r="AW1439" s="82" t="s">
        <v>14532</v>
      </c>
      <c r="AX1439" s="82" t="s">
        <v>17175</v>
      </c>
      <c r="AY1439" s="82" t="s">
        <v>17350</v>
      </c>
      <c r="AZ1439" s="82" t="s">
        <v>17175</v>
      </c>
      <c r="BA1439" s="82" t="s">
        <v>17385</v>
      </c>
      <c r="BB1439" s="82" t="s">
        <v>17385</v>
      </c>
      <c r="BC1439" s="82" t="s">
        <v>17175</v>
      </c>
      <c r="BD1439" s="82" t="s">
        <v>17350</v>
      </c>
      <c r="BE1439" s="77"/>
      <c r="BF1439" s="77"/>
      <c r="BG1439" s="77"/>
      <c r="BH1439" s="77"/>
      <c r="BI1439" s="77"/>
    </row>
    <row r="1440" spans="1:61" x14ac:dyDescent="0.25">
      <c r="A1440" s="62" t="s">
        <v>469</v>
      </c>
      <c r="B1440" s="62" t="s">
        <v>469</v>
      </c>
      <c r="C1440" s="63"/>
      <c r="D1440" s="64"/>
      <c r="E1440" s="65"/>
      <c r="F1440" s="66"/>
      <c r="G1440" s="63"/>
      <c r="H1440" s="67"/>
      <c r="I1440" s="68"/>
      <c r="J1440" s="68"/>
      <c r="K1440" s="32"/>
      <c r="L1440" s="75">
        <v>1440</v>
      </c>
      <c r="M1440" s="75"/>
      <c r="N1440" s="70"/>
      <c r="O1440" s="77" t="s">
        <v>179</v>
      </c>
      <c r="P1440" s="79">
        <v>45124.743750000001</v>
      </c>
      <c r="Q1440" s="77" t="s">
        <v>2229</v>
      </c>
      <c r="R1440" s="77">
        <v>0</v>
      </c>
      <c r="S1440" s="77">
        <v>0</v>
      </c>
      <c r="T1440" s="77">
        <v>0</v>
      </c>
      <c r="U1440" s="77">
        <v>0</v>
      </c>
      <c r="V1440" s="77">
        <v>10</v>
      </c>
      <c r="W1440" s="82" t="s">
        <v>5733</v>
      </c>
      <c r="X1440" s="77"/>
      <c r="Y1440" s="77"/>
      <c r="Z1440" s="77"/>
      <c r="AA1440" s="77" t="s">
        <v>7726</v>
      </c>
      <c r="AB1440" s="77" t="s">
        <v>8225</v>
      </c>
      <c r="AC1440" s="82" t="s">
        <v>8234</v>
      </c>
      <c r="AD1440" s="77" t="s">
        <v>8278</v>
      </c>
      <c r="AE1440" s="80" t="str">
        <f>HYPERLINK("https://twitter.com/demoedaemmoeda/status/1680998551373873154")</f>
        <v>https://twitter.com/demoedaemmoeda/status/1680998551373873154</v>
      </c>
      <c r="AF1440" s="79">
        <v>45124.743750000001</v>
      </c>
      <c r="AG1440" s="85">
        <v>45124</v>
      </c>
      <c r="AH1440" s="82" t="s">
        <v>9583</v>
      </c>
      <c r="AI1440" s="77" t="b">
        <v>0</v>
      </c>
      <c r="AJ1440" s="77"/>
      <c r="AK1440" s="77"/>
      <c r="AL1440" s="77"/>
      <c r="AM1440" s="77"/>
      <c r="AN1440" s="77"/>
      <c r="AO1440" s="77"/>
      <c r="AP1440" s="77"/>
      <c r="AQ1440" s="77" t="s">
        <v>12611</v>
      </c>
      <c r="AR1440" s="77"/>
      <c r="AS1440" s="77"/>
      <c r="AT1440" s="77"/>
      <c r="AU1440" s="77"/>
      <c r="AV1440" s="80" t="str">
        <f>HYPERLINK("https://pbs.twimg.com/media/F1QbRgYXsAIVI55.jpg")</f>
        <v>https://pbs.twimg.com/media/F1QbRgYXsAIVI55.jpg</v>
      </c>
      <c r="AW1440" s="82" t="s">
        <v>14533</v>
      </c>
      <c r="AX1440" s="82" t="s">
        <v>14533</v>
      </c>
      <c r="AY1440" s="77"/>
      <c r="AZ1440" s="82" t="s">
        <v>17385</v>
      </c>
      <c r="BA1440" s="82" t="s">
        <v>17385</v>
      </c>
      <c r="BB1440" s="82" t="s">
        <v>17385</v>
      </c>
      <c r="BC1440" s="82" t="s">
        <v>14533</v>
      </c>
      <c r="BD1440" s="82" t="s">
        <v>17571</v>
      </c>
      <c r="BE1440" s="77"/>
      <c r="BF1440" s="77"/>
      <c r="BG1440" s="77"/>
      <c r="BH1440" s="77"/>
      <c r="BI1440" s="77"/>
    </row>
    <row r="1441" spans="1:61" x14ac:dyDescent="0.25">
      <c r="A1441" s="62" t="s">
        <v>470</v>
      </c>
      <c r="B1441" s="62" t="s">
        <v>470</v>
      </c>
      <c r="C1441" s="63"/>
      <c r="D1441" s="64"/>
      <c r="E1441" s="65"/>
      <c r="F1441" s="66"/>
      <c r="G1441" s="63"/>
      <c r="H1441" s="67"/>
      <c r="I1441" s="68"/>
      <c r="J1441" s="68"/>
      <c r="K1441" s="32"/>
      <c r="L1441" s="75">
        <v>1441</v>
      </c>
      <c r="M1441" s="75"/>
      <c r="N1441" s="70"/>
      <c r="O1441" s="77" t="s">
        <v>179</v>
      </c>
      <c r="P1441" s="79">
        <v>45058.5625462963</v>
      </c>
      <c r="Q1441" s="77" t="s">
        <v>2230</v>
      </c>
      <c r="R1441" s="77">
        <v>0</v>
      </c>
      <c r="S1441" s="77">
        <v>0</v>
      </c>
      <c r="T1441" s="77">
        <v>1</v>
      </c>
      <c r="U1441" s="77">
        <v>0</v>
      </c>
      <c r="V1441" s="77">
        <v>14</v>
      </c>
      <c r="W1441" s="82" t="s">
        <v>5734</v>
      </c>
      <c r="X1441" s="77"/>
      <c r="Y1441" s="77"/>
      <c r="Z1441" s="77"/>
      <c r="AA1441" s="77" t="s">
        <v>7727</v>
      </c>
      <c r="AB1441" s="77" t="s">
        <v>8225</v>
      </c>
      <c r="AC1441" s="82" t="s">
        <v>8233</v>
      </c>
      <c r="AD1441" s="77" t="s">
        <v>8278</v>
      </c>
      <c r="AE1441" s="80" t="str">
        <f>HYPERLINK("https://twitter.com/nascimentomma/status/1657015284027346945")</f>
        <v>https://twitter.com/nascimentomma/status/1657015284027346945</v>
      </c>
      <c r="AF1441" s="79">
        <v>45058.5625462963</v>
      </c>
      <c r="AG1441" s="85">
        <v>45058</v>
      </c>
      <c r="AH1441" s="82" t="s">
        <v>9584</v>
      </c>
      <c r="AI1441" s="77" t="b">
        <v>0</v>
      </c>
      <c r="AJ1441" s="77"/>
      <c r="AK1441" s="77"/>
      <c r="AL1441" s="77"/>
      <c r="AM1441" s="77"/>
      <c r="AN1441" s="77"/>
      <c r="AO1441" s="77"/>
      <c r="AP1441" s="77"/>
      <c r="AQ1441" s="77" t="s">
        <v>12612</v>
      </c>
      <c r="AR1441" s="77"/>
      <c r="AS1441" s="77"/>
      <c r="AT1441" s="77"/>
      <c r="AU1441" s="77"/>
      <c r="AV1441" s="80" t="str">
        <f>HYPERLINK("https://pbs.twimg.com/media/Fv7mnXIXoAA4aK5.jpg")</f>
        <v>https://pbs.twimg.com/media/Fv7mnXIXoAA4aK5.jpg</v>
      </c>
      <c r="AW1441" s="82" t="s">
        <v>14534</v>
      </c>
      <c r="AX1441" s="82" t="s">
        <v>14534</v>
      </c>
      <c r="AY1441" s="77"/>
      <c r="AZ1441" s="82" t="s">
        <v>17385</v>
      </c>
      <c r="BA1441" s="82" t="s">
        <v>17385</v>
      </c>
      <c r="BB1441" s="82" t="s">
        <v>17385</v>
      </c>
      <c r="BC1441" s="82" t="s">
        <v>14534</v>
      </c>
      <c r="BD1441" s="82" t="s">
        <v>17572</v>
      </c>
      <c r="BE1441" s="77"/>
      <c r="BF1441" s="77"/>
      <c r="BG1441" s="77"/>
      <c r="BH1441" s="77"/>
      <c r="BI1441" s="77"/>
    </row>
    <row r="1442" spans="1:61" x14ac:dyDescent="0.25">
      <c r="A1442" s="62" t="s">
        <v>470</v>
      </c>
      <c r="B1442" s="62" t="s">
        <v>470</v>
      </c>
      <c r="C1442" s="63"/>
      <c r="D1442" s="64"/>
      <c r="E1442" s="65"/>
      <c r="F1442" s="66"/>
      <c r="G1442" s="63"/>
      <c r="H1442" s="67"/>
      <c r="I1442" s="68"/>
      <c r="J1442" s="68"/>
      <c r="K1442" s="32"/>
      <c r="L1442" s="75">
        <v>1442</v>
      </c>
      <c r="M1442" s="75"/>
      <c r="N1442" s="70"/>
      <c r="O1442" s="77" t="s">
        <v>179</v>
      </c>
      <c r="P1442" s="79">
        <v>45046.934745370374</v>
      </c>
      <c r="Q1442" s="77" t="s">
        <v>2231</v>
      </c>
      <c r="R1442" s="77">
        <v>0</v>
      </c>
      <c r="S1442" s="77">
        <v>0</v>
      </c>
      <c r="T1442" s="77">
        <v>1</v>
      </c>
      <c r="U1442" s="77">
        <v>0</v>
      </c>
      <c r="V1442" s="77">
        <v>21</v>
      </c>
      <c r="W1442" s="82" t="s">
        <v>5735</v>
      </c>
      <c r="X1442" s="77"/>
      <c r="Y1442" s="77"/>
      <c r="Z1442" s="77"/>
      <c r="AA1442" s="77"/>
      <c r="AB1442" s="77"/>
      <c r="AC1442" s="82" t="s">
        <v>8232</v>
      </c>
      <c r="AD1442" s="77" t="s">
        <v>8285</v>
      </c>
      <c r="AE1442" s="80" t="str">
        <f>HYPERLINK("https://twitter.com/nascimentomma/status/1652801510353297410")</f>
        <v>https://twitter.com/nascimentomma/status/1652801510353297410</v>
      </c>
      <c r="AF1442" s="79">
        <v>45046.934745370374</v>
      </c>
      <c r="AG1442" s="85">
        <v>45046</v>
      </c>
      <c r="AH1442" s="82" t="s">
        <v>9585</v>
      </c>
      <c r="AI1442" s="77"/>
      <c r="AJ1442" s="77"/>
      <c r="AK1442" s="77"/>
      <c r="AL1442" s="77"/>
      <c r="AM1442" s="77"/>
      <c r="AN1442" s="77"/>
      <c r="AO1442" s="77"/>
      <c r="AP1442" s="77"/>
      <c r="AQ1442" s="77"/>
      <c r="AR1442" s="77"/>
      <c r="AS1442" s="77"/>
      <c r="AT1442" s="77"/>
      <c r="AU1442" s="77"/>
      <c r="AV1442" s="80" t="str">
        <f>HYPERLINK("https://pbs.twimg.com/profile_images/1419995425491333120/wGuKJNby_normal.jpg")</f>
        <v>https://pbs.twimg.com/profile_images/1419995425491333120/wGuKJNby_normal.jpg</v>
      </c>
      <c r="AW1442" s="82" t="s">
        <v>14535</v>
      </c>
      <c r="AX1442" s="82" t="s">
        <v>14535</v>
      </c>
      <c r="AY1442" s="77"/>
      <c r="AZ1442" s="82" t="s">
        <v>17385</v>
      </c>
      <c r="BA1442" s="82" t="s">
        <v>17385</v>
      </c>
      <c r="BB1442" s="82" t="s">
        <v>17385</v>
      </c>
      <c r="BC1442" s="82" t="s">
        <v>14535</v>
      </c>
      <c r="BD1442" s="82" t="s">
        <v>17572</v>
      </c>
      <c r="BE1442" s="77"/>
      <c r="BF1442" s="77"/>
      <c r="BG1442" s="77"/>
      <c r="BH1442" s="77"/>
      <c r="BI1442" s="77"/>
    </row>
    <row r="1443" spans="1:61" x14ac:dyDescent="0.25">
      <c r="A1443" s="62" t="s">
        <v>471</v>
      </c>
      <c r="B1443" s="62" t="s">
        <v>471</v>
      </c>
      <c r="C1443" s="63"/>
      <c r="D1443" s="64"/>
      <c r="E1443" s="65"/>
      <c r="F1443" s="66"/>
      <c r="G1443" s="63"/>
      <c r="H1443" s="67"/>
      <c r="I1443" s="68"/>
      <c r="J1443" s="68"/>
      <c r="K1443" s="32"/>
      <c r="L1443" s="75">
        <v>1443</v>
      </c>
      <c r="M1443" s="75"/>
      <c r="N1443" s="70"/>
      <c r="O1443" s="77" t="s">
        <v>179</v>
      </c>
      <c r="P1443" s="79">
        <v>45058.151666666665</v>
      </c>
      <c r="Q1443" s="77" t="s">
        <v>2232</v>
      </c>
      <c r="R1443" s="77">
        <v>0</v>
      </c>
      <c r="S1443" s="77">
        <v>1</v>
      </c>
      <c r="T1443" s="77">
        <v>0</v>
      </c>
      <c r="U1443" s="77">
        <v>0</v>
      </c>
      <c r="V1443" s="77">
        <v>28</v>
      </c>
      <c r="W1443" s="82" t="s">
        <v>5736</v>
      </c>
      <c r="X1443" s="77"/>
      <c r="Y1443" s="77"/>
      <c r="Z1443" s="77"/>
      <c r="AA1443" s="77" t="s">
        <v>7728</v>
      </c>
      <c r="AB1443" s="77" t="s">
        <v>8229</v>
      </c>
      <c r="AC1443" s="82" t="s">
        <v>8233</v>
      </c>
      <c r="AD1443" s="77" t="s">
        <v>8278</v>
      </c>
      <c r="AE1443" s="80" t="str">
        <f>HYPERLINK("https://twitter.com/dropsdomercado/status/1656866387028070401")</f>
        <v>https://twitter.com/dropsdomercado/status/1656866387028070401</v>
      </c>
      <c r="AF1443" s="79">
        <v>45058.151666666665</v>
      </c>
      <c r="AG1443" s="85">
        <v>45058</v>
      </c>
      <c r="AH1443" s="82" t="s">
        <v>9586</v>
      </c>
      <c r="AI1443" s="77" t="b">
        <v>0</v>
      </c>
      <c r="AJ1443" s="77"/>
      <c r="AK1443" s="77"/>
      <c r="AL1443" s="77"/>
      <c r="AM1443" s="77"/>
      <c r="AN1443" s="77"/>
      <c r="AO1443" s="77"/>
      <c r="AP1443" s="77"/>
      <c r="AQ1443" s="77" t="s">
        <v>12613</v>
      </c>
      <c r="AR1443" s="77"/>
      <c r="AS1443" s="77"/>
      <c r="AT1443" s="77"/>
      <c r="AU1443" s="77"/>
      <c r="AV1443" s="80" t="str">
        <f>HYPERLINK("https://pbs.twimg.com/media/Fv5fMkGWAAI1RhD.jpg")</f>
        <v>https://pbs.twimg.com/media/Fv5fMkGWAAI1RhD.jpg</v>
      </c>
      <c r="AW1443" s="82" t="s">
        <v>14536</v>
      </c>
      <c r="AX1443" s="82" t="s">
        <v>14536</v>
      </c>
      <c r="AY1443" s="77"/>
      <c r="AZ1443" s="82" t="s">
        <v>17385</v>
      </c>
      <c r="BA1443" s="82" t="s">
        <v>17385</v>
      </c>
      <c r="BB1443" s="82" t="s">
        <v>17385</v>
      </c>
      <c r="BC1443" s="82" t="s">
        <v>14536</v>
      </c>
      <c r="BD1443" s="82" t="s">
        <v>17573</v>
      </c>
      <c r="BE1443" s="77"/>
      <c r="BF1443" s="77"/>
      <c r="BG1443" s="77"/>
      <c r="BH1443" s="77"/>
      <c r="BI1443" s="77"/>
    </row>
    <row r="1444" spans="1:61" x14ac:dyDescent="0.25">
      <c r="A1444" s="62" t="s">
        <v>471</v>
      </c>
      <c r="B1444" s="62" t="s">
        <v>471</v>
      </c>
      <c r="C1444" s="63"/>
      <c r="D1444" s="64"/>
      <c r="E1444" s="65"/>
      <c r="F1444" s="66"/>
      <c r="G1444" s="63"/>
      <c r="H1444" s="67"/>
      <c r="I1444" s="68"/>
      <c r="J1444" s="68"/>
      <c r="K1444" s="32"/>
      <c r="L1444" s="75">
        <v>1444</v>
      </c>
      <c r="M1444" s="75"/>
      <c r="N1444" s="70"/>
      <c r="O1444" s="77" t="s">
        <v>179</v>
      </c>
      <c r="P1444" s="79">
        <v>45074.79828703704</v>
      </c>
      <c r="Q1444" s="77" t="s">
        <v>2233</v>
      </c>
      <c r="R1444" s="77">
        <v>1</v>
      </c>
      <c r="S1444" s="77">
        <v>1</v>
      </c>
      <c r="T1444" s="77">
        <v>0</v>
      </c>
      <c r="U1444" s="77">
        <v>0</v>
      </c>
      <c r="V1444" s="77">
        <v>49</v>
      </c>
      <c r="W1444" s="82" t="s">
        <v>5737</v>
      </c>
      <c r="X1444" s="77"/>
      <c r="Y1444" s="77"/>
      <c r="Z1444" s="77"/>
      <c r="AA1444" s="77" t="s">
        <v>7729</v>
      </c>
      <c r="AB1444" s="77" t="s">
        <v>8229</v>
      </c>
      <c r="AC1444" s="82" t="s">
        <v>8233</v>
      </c>
      <c r="AD1444" s="77" t="s">
        <v>8278</v>
      </c>
      <c r="AE1444" s="80" t="str">
        <f>HYPERLINK("https://twitter.com/dropsdomercado/status/1662898920723304452")</f>
        <v>https://twitter.com/dropsdomercado/status/1662898920723304452</v>
      </c>
      <c r="AF1444" s="79">
        <v>45074.79828703704</v>
      </c>
      <c r="AG1444" s="85">
        <v>45074</v>
      </c>
      <c r="AH1444" s="82" t="s">
        <v>9587</v>
      </c>
      <c r="AI1444" s="77" t="b">
        <v>0</v>
      </c>
      <c r="AJ1444" s="77"/>
      <c r="AK1444" s="77"/>
      <c r="AL1444" s="77"/>
      <c r="AM1444" s="77"/>
      <c r="AN1444" s="77"/>
      <c r="AO1444" s="77"/>
      <c r="AP1444" s="77"/>
      <c r="AQ1444" s="77" t="s">
        <v>12614</v>
      </c>
      <c r="AR1444" s="77"/>
      <c r="AS1444" s="77"/>
      <c r="AT1444" s="77"/>
      <c r="AU1444" s="77"/>
      <c r="AV1444" s="80" t="str">
        <f>HYPERLINK("https://pbs.twimg.com/media/FxPNwNzXsAM40_G.jpg")</f>
        <v>https://pbs.twimg.com/media/FxPNwNzXsAM40_G.jpg</v>
      </c>
      <c r="AW1444" s="82" t="s">
        <v>14537</v>
      </c>
      <c r="AX1444" s="82" t="s">
        <v>14537</v>
      </c>
      <c r="AY1444" s="77"/>
      <c r="AZ1444" s="82" t="s">
        <v>17385</v>
      </c>
      <c r="BA1444" s="82" t="s">
        <v>17385</v>
      </c>
      <c r="BB1444" s="82" t="s">
        <v>17385</v>
      </c>
      <c r="BC1444" s="82" t="s">
        <v>14537</v>
      </c>
      <c r="BD1444" s="82" t="s">
        <v>17573</v>
      </c>
      <c r="BE1444" s="77"/>
      <c r="BF1444" s="77"/>
      <c r="BG1444" s="77"/>
      <c r="BH1444" s="77"/>
      <c r="BI1444" s="77"/>
    </row>
    <row r="1445" spans="1:61" x14ac:dyDescent="0.25">
      <c r="A1445" s="62" t="s">
        <v>472</v>
      </c>
      <c r="B1445" s="62" t="s">
        <v>472</v>
      </c>
      <c r="C1445" s="63"/>
      <c r="D1445" s="64"/>
      <c r="E1445" s="65"/>
      <c r="F1445" s="66"/>
      <c r="G1445" s="63"/>
      <c r="H1445" s="67"/>
      <c r="I1445" s="68"/>
      <c r="J1445" s="68"/>
      <c r="K1445" s="32"/>
      <c r="L1445" s="75">
        <v>1445</v>
      </c>
      <c r="M1445" s="75"/>
      <c r="N1445" s="70"/>
      <c r="O1445" s="77" t="s">
        <v>800</v>
      </c>
      <c r="P1445" s="79">
        <v>45063.808472222219</v>
      </c>
      <c r="Q1445" s="77" t="s">
        <v>2234</v>
      </c>
      <c r="R1445" s="77">
        <v>0</v>
      </c>
      <c r="S1445" s="77">
        <v>0</v>
      </c>
      <c r="T1445" s="77">
        <v>0</v>
      </c>
      <c r="U1445" s="77">
        <v>0</v>
      </c>
      <c r="V1445" s="77">
        <v>79</v>
      </c>
      <c r="W1445" s="82" t="s">
        <v>5738</v>
      </c>
      <c r="X1445" s="80" t="str">
        <f>HYPERLINK("https://lp.nelogica.com.br/comdinheiropro")</f>
        <v>https://lp.nelogica.com.br/comdinheiropro</v>
      </c>
      <c r="Y1445" s="77" t="s">
        <v>7053</v>
      </c>
      <c r="Z1445" s="77"/>
      <c r="AA1445" s="77"/>
      <c r="AB1445" s="77"/>
      <c r="AC1445" s="82" t="s">
        <v>8232</v>
      </c>
      <c r="AD1445" s="77" t="s">
        <v>8278</v>
      </c>
      <c r="AE1445" s="80" t="str">
        <f>HYPERLINK("https://twitter.com/comdinheiro/status/1658916343951892512")</f>
        <v>https://twitter.com/comdinheiro/status/1658916343951892512</v>
      </c>
      <c r="AF1445" s="79">
        <v>45063.808472222219</v>
      </c>
      <c r="AG1445" s="85">
        <v>45063</v>
      </c>
      <c r="AH1445" s="82" t="s">
        <v>9588</v>
      </c>
      <c r="AI1445" s="77" t="b">
        <v>0</v>
      </c>
      <c r="AJ1445" s="77"/>
      <c r="AK1445" s="77"/>
      <c r="AL1445" s="77"/>
      <c r="AM1445" s="77"/>
      <c r="AN1445" s="77"/>
      <c r="AO1445" s="77"/>
      <c r="AP1445" s="77"/>
      <c r="AQ1445" s="77"/>
      <c r="AR1445" s="77"/>
      <c r="AS1445" s="77"/>
      <c r="AT1445" s="77"/>
      <c r="AU1445" s="77"/>
      <c r="AV1445" s="80" t="str">
        <f>HYPERLINK("https://pbs.twimg.com/profile_images/1520029481431441410/ArgaUkE__normal.jpg")</f>
        <v>https://pbs.twimg.com/profile_images/1520029481431441410/ArgaUkE__normal.jpg</v>
      </c>
      <c r="AW1445" s="82" t="s">
        <v>14538</v>
      </c>
      <c r="AX1445" s="82" t="s">
        <v>17176</v>
      </c>
      <c r="AY1445" s="82" t="s">
        <v>17351</v>
      </c>
      <c r="AZ1445" s="82" t="s">
        <v>17409</v>
      </c>
      <c r="BA1445" s="82" t="s">
        <v>17385</v>
      </c>
      <c r="BB1445" s="82" t="s">
        <v>17385</v>
      </c>
      <c r="BC1445" s="82" t="s">
        <v>17409</v>
      </c>
      <c r="BD1445" s="77">
        <v>84877345</v>
      </c>
      <c r="BE1445" s="77"/>
      <c r="BF1445" s="77"/>
      <c r="BG1445" s="77"/>
      <c r="BH1445" s="77"/>
      <c r="BI1445" s="77"/>
    </row>
    <row r="1446" spans="1:61" x14ac:dyDescent="0.25">
      <c r="A1446" s="62" t="s">
        <v>473</v>
      </c>
      <c r="B1446" s="62" t="s">
        <v>473</v>
      </c>
      <c r="C1446" s="63"/>
      <c r="D1446" s="64"/>
      <c r="E1446" s="65"/>
      <c r="F1446" s="66"/>
      <c r="G1446" s="63"/>
      <c r="H1446" s="67"/>
      <c r="I1446" s="68"/>
      <c r="J1446" s="68"/>
      <c r="K1446" s="32"/>
      <c r="L1446" s="75">
        <v>1446</v>
      </c>
      <c r="M1446" s="75"/>
      <c r="N1446" s="70"/>
      <c r="O1446" s="77" t="s">
        <v>179</v>
      </c>
      <c r="P1446" s="79">
        <v>45069.533275462964</v>
      </c>
      <c r="Q1446" s="77" t="s">
        <v>2235</v>
      </c>
      <c r="R1446" s="77">
        <v>0</v>
      </c>
      <c r="S1446" s="77">
        <v>0</v>
      </c>
      <c r="T1446" s="77">
        <v>1</v>
      </c>
      <c r="U1446" s="77">
        <v>0</v>
      </c>
      <c r="V1446" s="77">
        <v>22</v>
      </c>
      <c r="W1446" s="82" t="s">
        <v>5739</v>
      </c>
      <c r="X1446" s="80" t="str">
        <f>HYPERLINK("https://www.linkedin.com/posts/contracorrenteinfo_cinco-grandes-segredos-sobre-investimentos-activity-7065328331444895744-2R7y?utm_source=share&amp;utm_medium=member_android")</f>
        <v>https://www.linkedin.com/posts/contracorrenteinfo_cinco-grandes-segredos-sobre-investimentos-activity-7065328331444895744-2R7y?utm_source=share&amp;utm_medium=member_android</v>
      </c>
      <c r="Y1446" s="77" t="s">
        <v>7109</v>
      </c>
      <c r="Z1446" s="77"/>
      <c r="AA1446" s="77"/>
      <c r="AB1446" s="77"/>
      <c r="AC1446" s="82" t="s">
        <v>8234</v>
      </c>
      <c r="AD1446" s="77" t="s">
        <v>8278</v>
      </c>
      <c r="AE1446" s="80" t="str">
        <f>HYPERLINK("https://twitter.com/lubashivaya/status/1660990943867072512")</f>
        <v>https://twitter.com/lubashivaya/status/1660990943867072512</v>
      </c>
      <c r="AF1446" s="79">
        <v>45069.533275462964</v>
      </c>
      <c r="AG1446" s="85">
        <v>45069</v>
      </c>
      <c r="AH1446" s="82" t="s">
        <v>9589</v>
      </c>
      <c r="AI1446" s="77" t="b">
        <v>0</v>
      </c>
      <c r="AJ1446" s="77"/>
      <c r="AK1446" s="77"/>
      <c r="AL1446" s="77"/>
      <c r="AM1446" s="77"/>
      <c r="AN1446" s="77"/>
      <c r="AO1446" s="77"/>
      <c r="AP1446" s="77"/>
      <c r="AQ1446" s="77"/>
      <c r="AR1446" s="77"/>
      <c r="AS1446" s="77"/>
      <c r="AT1446" s="77"/>
      <c r="AU1446" s="77"/>
      <c r="AV1446" s="80" t="str">
        <f>HYPERLINK("https://pbs.twimg.com/profile_images/1685822024101380096/R7GLHn_J_normal.jpg")</f>
        <v>https://pbs.twimg.com/profile_images/1685822024101380096/R7GLHn_J_normal.jpg</v>
      </c>
      <c r="AW1446" s="82" t="s">
        <v>14539</v>
      </c>
      <c r="AX1446" s="82" t="s">
        <v>14539</v>
      </c>
      <c r="AY1446" s="77"/>
      <c r="AZ1446" s="82" t="s">
        <v>17385</v>
      </c>
      <c r="BA1446" s="82" t="s">
        <v>17385</v>
      </c>
      <c r="BB1446" s="82" t="s">
        <v>17385</v>
      </c>
      <c r="BC1446" s="82" t="s">
        <v>14539</v>
      </c>
      <c r="BD1446" s="77">
        <v>40146795</v>
      </c>
      <c r="BE1446" s="77"/>
      <c r="BF1446" s="77"/>
      <c r="BG1446" s="77"/>
      <c r="BH1446" s="77"/>
      <c r="BI1446" s="77"/>
    </row>
    <row r="1447" spans="1:61" x14ac:dyDescent="0.25">
      <c r="A1447" s="62" t="s">
        <v>474</v>
      </c>
      <c r="B1447" s="62" t="s">
        <v>474</v>
      </c>
      <c r="C1447" s="63"/>
      <c r="D1447" s="64"/>
      <c r="E1447" s="65"/>
      <c r="F1447" s="66"/>
      <c r="G1447" s="63"/>
      <c r="H1447" s="67"/>
      <c r="I1447" s="68"/>
      <c r="J1447" s="68"/>
      <c r="K1447" s="32"/>
      <c r="L1447" s="75">
        <v>1447</v>
      </c>
      <c r="M1447" s="75"/>
      <c r="N1447" s="70"/>
      <c r="O1447" s="77" t="s">
        <v>800</v>
      </c>
      <c r="P1447" s="79">
        <v>45049.725694444445</v>
      </c>
      <c r="Q1447" s="80" t="str">
        <f>HYPERLINK("https://t.co/e5JfoXeOp2")</f>
        <v>https://t.co/e5JfoXeOp2</v>
      </c>
      <c r="R1447" s="77">
        <v>0</v>
      </c>
      <c r="S1447" s="77">
        <v>4</v>
      </c>
      <c r="T1447" s="77">
        <v>3</v>
      </c>
      <c r="U1447" s="77">
        <v>1</v>
      </c>
      <c r="V1447" s="77">
        <v>3299</v>
      </c>
      <c r="W1447" s="77"/>
      <c r="X1447" s="77"/>
      <c r="Y1447" s="77"/>
      <c r="Z1447" s="77"/>
      <c r="AA1447" s="77" t="s">
        <v>7730</v>
      </c>
      <c r="AB1447" s="77" t="s">
        <v>8225</v>
      </c>
      <c r="AC1447" s="82" t="s">
        <v>8232</v>
      </c>
      <c r="AD1447" s="77" t="s">
        <v>8287</v>
      </c>
      <c r="AE1447" s="80" t="str">
        <f>HYPERLINK("https://twitter.com/robsob87/status/1653812916364226575")</f>
        <v>https://twitter.com/robsob87/status/1653812916364226575</v>
      </c>
      <c r="AF1447" s="79">
        <v>45049.725694444445</v>
      </c>
      <c r="AG1447" s="85">
        <v>45049</v>
      </c>
      <c r="AH1447" s="82" t="s">
        <v>9590</v>
      </c>
      <c r="AI1447" s="77" t="b">
        <v>0</v>
      </c>
      <c r="AJ1447" s="77"/>
      <c r="AK1447" s="77"/>
      <c r="AL1447" s="77"/>
      <c r="AM1447" s="77"/>
      <c r="AN1447" s="77"/>
      <c r="AO1447" s="77"/>
      <c r="AP1447" s="77"/>
      <c r="AQ1447" s="77" t="s">
        <v>12615</v>
      </c>
      <c r="AR1447" s="77"/>
      <c r="AS1447" s="77"/>
      <c r="AT1447" s="77"/>
      <c r="AU1447" s="77"/>
      <c r="AV1447" s="80" t="str">
        <f>HYPERLINK("https://pbs.twimg.com/media/FvOGCkcXsBojemQ.png")</f>
        <v>https://pbs.twimg.com/media/FvOGCkcXsBojemQ.png</v>
      </c>
      <c r="AW1447" s="82" t="s">
        <v>14540</v>
      </c>
      <c r="AX1447" s="82" t="s">
        <v>17177</v>
      </c>
      <c r="AY1447" s="82" t="s">
        <v>17352</v>
      </c>
      <c r="AZ1447" s="82" t="s">
        <v>17177</v>
      </c>
      <c r="BA1447" s="82" t="s">
        <v>17385</v>
      </c>
      <c r="BB1447" s="82" t="s">
        <v>17385</v>
      </c>
      <c r="BC1447" s="82" t="s">
        <v>17177</v>
      </c>
      <c r="BD1447" s="82" t="s">
        <v>17352</v>
      </c>
      <c r="BE1447" s="77"/>
      <c r="BF1447" s="77"/>
      <c r="BG1447" s="77"/>
      <c r="BH1447" s="77"/>
      <c r="BI1447" s="77"/>
    </row>
    <row r="1448" spans="1:61" x14ac:dyDescent="0.25">
      <c r="A1448" s="62" t="s">
        <v>475</v>
      </c>
      <c r="B1448" s="62" t="s">
        <v>474</v>
      </c>
      <c r="C1448" s="63"/>
      <c r="D1448" s="64"/>
      <c r="E1448" s="65"/>
      <c r="F1448" s="66"/>
      <c r="G1448" s="63"/>
      <c r="H1448" s="67"/>
      <c r="I1448" s="68"/>
      <c r="J1448" s="68"/>
      <c r="K1448" s="32"/>
      <c r="L1448" s="75">
        <v>1448</v>
      </c>
      <c r="M1448" s="75"/>
      <c r="N1448" s="70"/>
      <c r="O1448" s="77" t="s">
        <v>801</v>
      </c>
      <c r="P1448" s="79">
        <v>45049.729375000003</v>
      </c>
      <c r="Q1448" s="77" t="s">
        <v>2236</v>
      </c>
      <c r="R1448" s="77">
        <v>0</v>
      </c>
      <c r="S1448" s="77">
        <v>15</v>
      </c>
      <c r="T1448" s="77">
        <v>8</v>
      </c>
      <c r="U1448" s="77">
        <v>0</v>
      </c>
      <c r="V1448" s="77">
        <v>2973</v>
      </c>
      <c r="W1448" s="82" t="s">
        <v>5740</v>
      </c>
      <c r="X1448" s="77"/>
      <c r="Y1448" s="77"/>
      <c r="Z1448" s="77"/>
      <c r="AA1448" s="77"/>
      <c r="AB1448" s="77"/>
      <c r="AC1448" s="82" t="s">
        <v>8233</v>
      </c>
      <c r="AD1448" s="77" t="s">
        <v>8285</v>
      </c>
      <c r="AE1448" s="80" t="str">
        <f>HYPERLINK("https://twitter.com/danimontori_at/status/1653814252560429082")</f>
        <v>https://twitter.com/danimontori_at/status/1653814252560429082</v>
      </c>
      <c r="AF1448" s="79">
        <v>45049.729375000003</v>
      </c>
      <c r="AG1448" s="85">
        <v>45049</v>
      </c>
      <c r="AH1448" s="82" t="s">
        <v>9591</v>
      </c>
      <c r="AI1448" s="77"/>
      <c r="AJ1448" s="77"/>
      <c r="AK1448" s="77"/>
      <c r="AL1448" s="77"/>
      <c r="AM1448" s="77"/>
      <c r="AN1448" s="77"/>
      <c r="AO1448" s="77"/>
      <c r="AP1448" s="77"/>
      <c r="AQ1448" s="77"/>
      <c r="AR1448" s="77"/>
      <c r="AS1448" s="77"/>
      <c r="AT1448" s="77"/>
      <c r="AU1448" s="77"/>
      <c r="AV1448" s="80" t="str">
        <f>HYPERLINK("https://pbs.twimg.com/profile_images/1653753036278317062/1RdA7xib_normal.jpg")</f>
        <v>https://pbs.twimg.com/profile_images/1653753036278317062/1RdA7xib_normal.jpg</v>
      </c>
      <c r="AW1448" s="82" t="s">
        <v>14541</v>
      </c>
      <c r="AX1448" s="82" t="s">
        <v>14541</v>
      </c>
      <c r="AY1448" s="77"/>
      <c r="AZ1448" s="82" t="s">
        <v>17385</v>
      </c>
      <c r="BA1448" s="82" t="s">
        <v>14540</v>
      </c>
      <c r="BB1448" s="82" t="s">
        <v>17385</v>
      </c>
      <c r="BC1448" s="82" t="s">
        <v>14540</v>
      </c>
      <c r="BD1448" s="77">
        <v>2181374211</v>
      </c>
      <c r="BE1448" s="77"/>
      <c r="BF1448" s="77"/>
      <c r="BG1448" s="77"/>
      <c r="BH1448" s="77"/>
      <c r="BI1448" s="77"/>
    </row>
    <row r="1449" spans="1:61" x14ac:dyDescent="0.25">
      <c r="A1449" s="62" t="s">
        <v>476</v>
      </c>
      <c r="B1449" s="62" t="s">
        <v>475</v>
      </c>
      <c r="C1449" s="63"/>
      <c r="D1449" s="64"/>
      <c r="E1449" s="65"/>
      <c r="F1449" s="66"/>
      <c r="G1449" s="63"/>
      <c r="H1449" s="67"/>
      <c r="I1449" s="68"/>
      <c r="J1449" s="68"/>
      <c r="K1449" s="32"/>
      <c r="L1449" s="75">
        <v>1449</v>
      </c>
      <c r="M1449" s="75"/>
      <c r="N1449" s="70"/>
      <c r="O1449" s="77" t="s">
        <v>800</v>
      </c>
      <c r="P1449" s="79">
        <v>45053.63795138889</v>
      </c>
      <c r="Q1449" s="77" t="s">
        <v>2237</v>
      </c>
      <c r="R1449" s="77">
        <v>0</v>
      </c>
      <c r="S1449" s="77">
        <v>6</v>
      </c>
      <c r="T1449" s="77">
        <v>4</v>
      </c>
      <c r="U1449" s="77">
        <v>1</v>
      </c>
      <c r="V1449" s="77">
        <v>5359</v>
      </c>
      <c r="W1449" s="77"/>
      <c r="X1449" s="77"/>
      <c r="Y1449" s="77"/>
      <c r="Z1449" s="77" t="s">
        <v>475</v>
      </c>
      <c r="AA1449" s="77" t="s">
        <v>7731</v>
      </c>
      <c r="AB1449" s="77" t="s">
        <v>8225</v>
      </c>
      <c r="AC1449" s="82" t="s">
        <v>8233</v>
      </c>
      <c r="AD1449" s="77" t="s">
        <v>8278</v>
      </c>
      <c r="AE1449" s="80" t="str">
        <f>HYPERLINK("https://twitter.com/jose_saragoza/status/1655230671084744706")</f>
        <v>https://twitter.com/jose_saragoza/status/1655230671084744706</v>
      </c>
      <c r="AF1449" s="79">
        <v>45053.63795138889</v>
      </c>
      <c r="AG1449" s="85">
        <v>45053</v>
      </c>
      <c r="AH1449" s="82" t="s">
        <v>9592</v>
      </c>
      <c r="AI1449" s="77" t="b">
        <v>0</v>
      </c>
      <c r="AJ1449" s="77"/>
      <c r="AK1449" s="77"/>
      <c r="AL1449" s="77"/>
      <c r="AM1449" s="77"/>
      <c r="AN1449" s="77"/>
      <c r="AO1449" s="77"/>
      <c r="AP1449" s="77"/>
      <c r="AQ1449" s="77" t="s">
        <v>12616</v>
      </c>
      <c r="AR1449" s="77"/>
      <c r="AS1449" s="77"/>
      <c r="AT1449" s="77"/>
      <c r="AU1449" s="77"/>
      <c r="AV1449" s="80" t="str">
        <f>HYPERLINK("https://pbs.twimg.com/media/FviPhMvXgAAzA1Q.jpg")</f>
        <v>https://pbs.twimg.com/media/FviPhMvXgAAzA1Q.jpg</v>
      </c>
      <c r="AW1449" s="82" t="s">
        <v>14542</v>
      </c>
      <c r="AX1449" s="82" t="s">
        <v>17178</v>
      </c>
      <c r="AY1449" s="82" t="s">
        <v>17353</v>
      </c>
      <c r="AZ1449" s="82" t="s">
        <v>17178</v>
      </c>
      <c r="BA1449" s="82" t="s">
        <v>17385</v>
      </c>
      <c r="BB1449" s="82" t="s">
        <v>17385</v>
      </c>
      <c r="BC1449" s="82" t="s">
        <v>17178</v>
      </c>
      <c r="BD1449" s="77">
        <v>592291183</v>
      </c>
      <c r="BE1449" s="77"/>
      <c r="BF1449" s="77"/>
      <c r="BG1449" s="77"/>
      <c r="BH1449" s="77"/>
      <c r="BI1449" s="77"/>
    </row>
    <row r="1450" spans="1:61" x14ac:dyDescent="0.25">
      <c r="A1450" s="62" t="s">
        <v>475</v>
      </c>
      <c r="B1450" s="62" t="s">
        <v>476</v>
      </c>
      <c r="C1450" s="63"/>
      <c r="D1450" s="64"/>
      <c r="E1450" s="65"/>
      <c r="F1450" s="66"/>
      <c r="G1450" s="63"/>
      <c r="H1450" s="67"/>
      <c r="I1450" s="68"/>
      <c r="J1450" s="68"/>
      <c r="K1450" s="32"/>
      <c r="L1450" s="75">
        <v>1450</v>
      </c>
      <c r="M1450" s="75"/>
      <c r="N1450" s="70"/>
      <c r="O1450" s="77" t="s">
        <v>801</v>
      </c>
      <c r="P1450" s="79">
        <v>45053.656840277778</v>
      </c>
      <c r="Q1450" s="77" t="s">
        <v>2238</v>
      </c>
      <c r="R1450" s="77">
        <v>1</v>
      </c>
      <c r="S1450" s="77">
        <v>22</v>
      </c>
      <c r="T1450" s="77">
        <v>8</v>
      </c>
      <c r="U1450" s="77">
        <v>0</v>
      </c>
      <c r="V1450" s="77">
        <v>4740</v>
      </c>
      <c r="W1450" s="82" t="s">
        <v>5741</v>
      </c>
      <c r="X1450" s="77"/>
      <c r="Y1450" s="77"/>
      <c r="Z1450" s="77"/>
      <c r="AA1450" s="77"/>
      <c r="AB1450" s="77"/>
      <c r="AC1450" s="82" t="s">
        <v>8233</v>
      </c>
      <c r="AD1450" s="77" t="s">
        <v>8278</v>
      </c>
      <c r="AE1450" s="80" t="str">
        <f>HYPERLINK("https://twitter.com/danimontori_at/status/1655237515991830529")</f>
        <v>https://twitter.com/danimontori_at/status/1655237515991830529</v>
      </c>
      <c r="AF1450" s="79">
        <v>45053.656840277778</v>
      </c>
      <c r="AG1450" s="85">
        <v>45053</v>
      </c>
      <c r="AH1450" s="82" t="s">
        <v>9593</v>
      </c>
      <c r="AI1450" s="77"/>
      <c r="AJ1450" s="77"/>
      <c r="AK1450" s="77"/>
      <c r="AL1450" s="77"/>
      <c r="AM1450" s="77"/>
      <c r="AN1450" s="77"/>
      <c r="AO1450" s="77"/>
      <c r="AP1450" s="77"/>
      <c r="AQ1450" s="77"/>
      <c r="AR1450" s="77"/>
      <c r="AS1450" s="77"/>
      <c r="AT1450" s="77"/>
      <c r="AU1450" s="77"/>
      <c r="AV1450" s="80" t="str">
        <f>HYPERLINK("https://pbs.twimg.com/profile_images/1653753036278317062/1RdA7xib_normal.jpg")</f>
        <v>https://pbs.twimg.com/profile_images/1653753036278317062/1RdA7xib_normal.jpg</v>
      </c>
      <c r="AW1450" s="82" t="s">
        <v>14543</v>
      </c>
      <c r="AX1450" s="82" t="s">
        <v>14543</v>
      </c>
      <c r="AY1450" s="77"/>
      <c r="AZ1450" s="82" t="s">
        <v>17385</v>
      </c>
      <c r="BA1450" s="82" t="s">
        <v>14542</v>
      </c>
      <c r="BB1450" s="82" t="s">
        <v>17385</v>
      </c>
      <c r="BC1450" s="82" t="s">
        <v>14542</v>
      </c>
      <c r="BD1450" s="77">
        <v>2181374211</v>
      </c>
      <c r="BE1450" s="77"/>
      <c r="BF1450" s="77"/>
      <c r="BG1450" s="77"/>
      <c r="BH1450" s="77"/>
      <c r="BI1450" s="77"/>
    </row>
    <row r="1451" spans="1:61" x14ac:dyDescent="0.25">
      <c r="A1451" s="62" t="s">
        <v>477</v>
      </c>
      <c r="B1451" s="62" t="s">
        <v>475</v>
      </c>
      <c r="C1451" s="63"/>
      <c r="D1451" s="64"/>
      <c r="E1451" s="65"/>
      <c r="F1451" s="66"/>
      <c r="G1451" s="63"/>
      <c r="H1451" s="67"/>
      <c r="I1451" s="68"/>
      <c r="J1451" s="68"/>
      <c r="K1451" s="32"/>
      <c r="L1451" s="75">
        <v>1451</v>
      </c>
      <c r="M1451" s="75"/>
      <c r="N1451" s="70"/>
      <c r="O1451" s="77" t="s">
        <v>800</v>
      </c>
      <c r="P1451" s="79">
        <v>45064.813020833331</v>
      </c>
      <c r="Q1451" s="77" t="s">
        <v>2239</v>
      </c>
      <c r="R1451" s="77">
        <v>0</v>
      </c>
      <c r="S1451" s="77">
        <v>5</v>
      </c>
      <c r="T1451" s="77">
        <v>0</v>
      </c>
      <c r="U1451" s="77">
        <v>1</v>
      </c>
      <c r="V1451" s="77">
        <v>1774</v>
      </c>
      <c r="W1451" s="77"/>
      <c r="X1451" s="77"/>
      <c r="Y1451" s="77"/>
      <c r="Z1451" s="77" t="s">
        <v>475</v>
      </c>
      <c r="AA1451" s="77"/>
      <c r="AB1451" s="77"/>
      <c r="AC1451" s="82" t="s">
        <v>8234</v>
      </c>
      <c r="AD1451" s="77" t="s">
        <v>8278</v>
      </c>
      <c r="AE1451" s="80" t="str">
        <f>HYPERLINK("https://twitter.com/alelansampa/status/1659280383312052224")</f>
        <v>https://twitter.com/alelansampa/status/1659280383312052224</v>
      </c>
      <c r="AF1451" s="79">
        <v>45064.813020833331</v>
      </c>
      <c r="AG1451" s="85">
        <v>45064</v>
      </c>
      <c r="AH1451" s="82" t="s">
        <v>9594</v>
      </c>
      <c r="AI1451" s="77"/>
      <c r="AJ1451" s="77"/>
      <c r="AK1451" s="77"/>
      <c r="AL1451" s="77"/>
      <c r="AM1451" s="77"/>
      <c r="AN1451" s="77"/>
      <c r="AO1451" s="77"/>
      <c r="AP1451" s="77"/>
      <c r="AQ1451" s="77"/>
      <c r="AR1451" s="77"/>
      <c r="AS1451" s="77"/>
      <c r="AT1451" s="77"/>
      <c r="AU1451" s="77"/>
      <c r="AV1451" s="80" t="str">
        <f>HYPERLINK("https://pbs.twimg.com/profile_images/1671995706209361920/TG8YInRd_normal.jpg")</f>
        <v>https://pbs.twimg.com/profile_images/1671995706209361920/TG8YInRd_normal.jpg</v>
      </c>
      <c r="AW1451" s="82" t="s">
        <v>14544</v>
      </c>
      <c r="AX1451" s="82" t="s">
        <v>17179</v>
      </c>
      <c r="AY1451" s="82" t="s">
        <v>17353</v>
      </c>
      <c r="AZ1451" s="82" t="s">
        <v>17179</v>
      </c>
      <c r="BA1451" s="82" t="s">
        <v>17385</v>
      </c>
      <c r="BB1451" s="82" t="s">
        <v>17385</v>
      </c>
      <c r="BC1451" s="82" t="s">
        <v>17179</v>
      </c>
      <c r="BD1451" s="77">
        <v>2207524092</v>
      </c>
      <c r="BE1451" s="77"/>
      <c r="BF1451" s="77"/>
      <c r="BG1451" s="77"/>
      <c r="BH1451" s="77"/>
      <c r="BI1451" s="77"/>
    </row>
    <row r="1452" spans="1:61" x14ac:dyDescent="0.25">
      <c r="A1452" s="62" t="s">
        <v>475</v>
      </c>
      <c r="B1452" s="62" t="s">
        <v>477</v>
      </c>
      <c r="C1452" s="63"/>
      <c r="D1452" s="64"/>
      <c r="E1452" s="65"/>
      <c r="F1452" s="66"/>
      <c r="G1452" s="63"/>
      <c r="H1452" s="67"/>
      <c r="I1452" s="68"/>
      <c r="J1452" s="68"/>
      <c r="K1452" s="32"/>
      <c r="L1452" s="75">
        <v>1452</v>
      </c>
      <c r="M1452" s="75"/>
      <c r="N1452" s="70"/>
      <c r="O1452" s="77" t="s">
        <v>801</v>
      </c>
      <c r="P1452" s="79">
        <v>45064.850138888891</v>
      </c>
      <c r="Q1452" s="77" t="s">
        <v>2240</v>
      </c>
      <c r="R1452" s="77">
        <v>0</v>
      </c>
      <c r="S1452" s="77">
        <v>17</v>
      </c>
      <c r="T1452" s="77">
        <v>0</v>
      </c>
      <c r="U1452" s="77">
        <v>0</v>
      </c>
      <c r="V1452" s="77">
        <v>1565</v>
      </c>
      <c r="W1452" s="82" t="s">
        <v>5742</v>
      </c>
      <c r="X1452" s="77"/>
      <c r="Y1452" s="77"/>
      <c r="Z1452" s="77"/>
      <c r="AA1452" s="77"/>
      <c r="AB1452" s="77"/>
      <c r="AC1452" s="82" t="s">
        <v>8233</v>
      </c>
      <c r="AD1452" s="77" t="s">
        <v>8278</v>
      </c>
      <c r="AE1452" s="80" t="str">
        <f>HYPERLINK("https://twitter.com/danimontori_at/status/1659293833308303363")</f>
        <v>https://twitter.com/danimontori_at/status/1659293833308303363</v>
      </c>
      <c r="AF1452" s="79">
        <v>45064.850138888891</v>
      </c>
      <c r="AG1452" s="85">
        <v>45064</v>
      </c>
      <c r="AH1452" s="82" t="s">
        <v>9595</v>
      </c>
      <c r="AI1452" s="77"/>
      <c r="AJ1452" s="77"/>
      <c r="AK1452" s="77"/>
      <c r="AL1452" s="77"/>
      <c r="AM1452" s="77"/>
      <c r="AN1452" s="77"/>
      <c r="AO1452" s="77"/>
      <c r="AP1452" s="77"/>
      <c r="AQ1452" s="77"/>
      <c r="AR1452" s="77"/>
      <c r="AS1452" s="77"/>
      <c r="AT1452" s="77"/>
      <c r="AU1452" s="77"/>
      <c r="AV1452" s="80" t="str">
        <f>HYPERLINK("https://pbs.twimg.com/profile_images/1653753036278317062/1RdA7xib_normal.jpg")</f>
        <v>https://pbs.twimg.com/profile_images/1653753036278317062/1RdA7xib_normal.jpg</v>
      </c>
      <c r="AW1452" s="82" t="s">
        <v>14545</v>
      </c>
      <c r="AX1452" s="82" t="s">
        <v>14545</v>
      </c>
      <c r="AY1452" s="77"/>
      <c r="AZ1452" s="82" t="s">
        <v>17385</v>
      </c>
      <c r="BA1452" s="82" t="s">
        <v>14544</v>
      </c>
      <c r="BB1452" s="82" t="s">
        <v>17385</v>
      </c>
      <c r="BC1452" s="82" t="s">
        <v>14544</v>
      </c>
      <c r="BD1452" s="77">
        <v>2181374211</v>
      </c>
      <c r="BE1452" s="77"/>
      <c r="BF1452" s="77"/>
      <c r="BG1452" s="77"/>
      <c r="BH1452" s="77"/>
      <c r="BI1452" s="77"/>
    </row>
    <row r="1453" spans="1:61" x14ac:dyDescent="0.25">
      <c r="A1453" s="62" t="s">
        <v>475</v>
      </c>
      <c r="B1453" s="62" t="s">
        <v>660</v>
      </c>
      <c r="C1453" s="63"/>
      <c r="D1453" s="64"/>
      <c r="E1453" s="65"/>
      <c r="F1453" s="66"/>
      <c r="G1453" s="63"/>
      <c r="H1453" s="67"/>
      <c r="I1453" s="68"/>
      <c r="J1453" s="68"/>
      <c r="K1453" s="32"/>
      <c r="L1453" s="75">
        <v>1453</v>
      </c>
      <c r="M1453" s="75"/>
      <c r="N1453" s="70"/>
      <c r="O1453" s="77" t="s">
        <v>801</v>
      </c>
      <c r="P1453" s="79">
        <v>45046.786932870367</v>
      </c>
      <c r="Q1453" s="77" t="s">
        <v>2241</v>
      </c>
      <c r="R1453" s="77">
        <v>1</v>
      </c>
      <c r="S1453" s="77">
        <v>68</v>
      </c>
      <c r="T1453" s="77">
        <v>5</v>
      </c>
      <c r="U1453" s="77">
        <v>0</v>
      </c>
      <c r="V1453" s="77">
        <v>7894</v>
      </c>
      <c r="W1453" s="82" t="s">
        <v>5743</v>
      </c>
      <c r="X1453" s="77"/>
      <c r="Y1453" s="77"/>
      <c r="Z1453" s="77"/>
      <c r="AA1453" s="77"/>
      <c r="AB1453" s="77"/>
      <c r="AC1453" s="82" t="s">
        <v>8233</v>
      </c>
      <c r="AD1453" s="77" t="s">
        <v>8278</v>
      </c>
      <c r="AE1453" s="80" t="str">
        <f>HYPERLINK("https://twitter.com/danimontori_at/status/1652747945966546944")</f>
        <v>https://twitter.com/danimontori_at/status/1652747945966546944</v>
      </c>
      <c r="AF1453" s="79">
        <v>45046.786932870367</v>
      </c>
      <c r="AG1453" s="85">
        <v>45046</v>
      </c>
      <c r="AH1453" s="82" t="s">
        <v>9596</v>
      </c>
      <c r="AI1453" s="77"/>
      <c r="AJ1453" s="77"/>
      <c r="AK1453" s="77"/>
      <c r="AL1453" s="77"/>
      <c r="AM1453" s="77"/>
      <c r="AN1453" s="77"/>
      <c r="AO1453" s="77"/>
      <c r="AP1453" s="77"/>
      <c r="AQ1453" s="77"/>
      <c r="AR1453" s="77"/>
      <c r="AS1453" s="77"/>
      <c r="AT1453" s="77"/>
      <c r="AU1453" s="77"/>
      <c r="AV1453" s="80" t="str">
        <f>HYPERLINK("https://pbs.twimg.com/profile_images/1653753036278317062/1RdA7xib_normal.jpg")</f>
        <v>https://pbs.twimg.com/profile_images/1653753036278317062/1RdA7xib_normal.jpg</v>
      </c>
      <c r="AW1453" s="82" t="s">
        <v>14546</v>
      </c>
      <c r="AX1453" s="82" t="s">
        <v>14546</v>
      </c>
      <c r="AY1453" s="77"/>
      <c r="AZ1453" s="82" t="s">
        <v>17385</v>
      </c>
      <c r="BA1453" s="82" t="s">
        <v>16150</v>
      </c>
      <c r="BB1453" s="82" t="s">
        <v>17385</v>
      </c>
      <c r="BC1453" s="82" t="s">
        <v>16150</v>
      </c>
      <c r="BD1453" s="77">
        <v>2181374211</v>
      </c>
      <c r="BE1453" s="77"/>
      <c r="BF1453" s="77"/>
      <c r="BG1453" s="77"/>
      <c r="BH1453" s="77"/>
      <c r="BI1453" s="77"/>
    </row>
    <row r="1454" spans="1:61" x14ac:dyDescent="0.25">
      <c r="A1454" s="62" t="s">
        <v>475</v>
      </c>
      <c r="B1454" s="62" t="s">
        <v>475</v>
      </c>
      <c r="C1454" s="63"/>
      <c r="D1454" s="64"/>
      <c r="E1454" s="65"/>
      <c r="F1454" s="66"/>
      <c r="G1454" s="63"/>
      <c r="H1454" s="67"/>
      <c r="I1454" s="68"/>
      <c r="J1454" s="68"/>
      <c r="K1454" s="32"/>
      <c r="L1454" s="75">
        <v>1454</v>
      </c>
      <c r="M1454" s="75"/>
      <c r="N1454" s="70"/>
      <c r="O1454" s="77" t="s">
        <v>179</v>
      </c>
      <c r="P1454" s="79">
        <v>45044.805972222224</v>
      </c>
      <c r="Q1454" s="77" t="s">
        <v>2242</v>
      </c>
      <c r="R1454" s="77">
        <v>0</v>
      </c>
      <c r="S1454" s="77">
        <v>19</v>
      </c>
      <c r="T1454" s="77">
        <v>2</v>
      </c>
      <c r="U1454" s="77">
        <v>0</v>
      </c>
      <c r="V1454" s="77">
        <v>1384</v>
      </c>
      <c r="W1454" s="82" t="s">
        <v>5744</v>
      </c>
      <c r="X1454" s="77"/>
      <c r="Y1454" s="77"/>
      <c r="Z1454" s="77"/>
      <c r="AA1454" s="77"/>
      <c r="AB1454" s="77"/>
      <c r="AC1454" s="82" t="s">
        <v>8232</v>
      </c>
      <c r="AD1454" s="77" t="s">
        <v>8278</v>
      </c>
      <c r="AE1454" s="80" t="str">
        <f>HYPERLINK("https://twitter.com/danimontori_at/status/1652030068787388418")</f>
        <v>https://twitter.com/danimontori_at/status/1652030068787388418</v>
      </c>
      <c r="AF1454" s="79">
        <v>45044.805972222224</v>
      </c>
      <c r="AG1454" s="85">
        <v>45044</v>
      </c>
      <c r="AH1454" s="82" t="s">
        <v>9597</v>
      </c>
      <c r="AI1454" s="77"/>
      <c r="AJ1454" s="77"/>
      <c r="AK1454" s="77"/>
      <c r="AL1454" s="77"/>
      <c r="AM1454" s="77"/>
      <c r="AN1454" s="77"/>
      <c r="AO1454" s="77"/>
      <c r="AP1454" s="77"/>
      <c r="AQ1454" s="77"/>
      <c r="AR1454" s="77"/>
      <c r="AS1454" s="77"/>
      <c r="AT1454" s="77"/>
      <c r="AU1454" s="77"/>
      <c r="AV1454" s="80" t="str">
        <f>HYPERLINK("https://pbs.twimg.com/profile_images/1653753036278317062/1RdA7xib_normal.jpg")</f>
        <v>https://pbs.twimg.com/profile_images/1653753036278317062/1RdA7xib_normal.jpg</v>
      </c>
      <c r="AW1454" s="82" t="s">
        <v>14547</v>
      </c>
      <c r="AX1454" s="82" t="s">
        <v>14547</v>
      </c>
      <c r="AY1454" s="77"/>
      <c r="AZ1454" s="82" t="s">
        <v>17385</v>
      </c>
      <c r="BA1454" s="82" t="s">
        <v>17385</v>
      </c>
      <c r="BB1454" s="82" t="s">
        <v>17385</v>
      </c>
      <c r="BC1454" s="82" t="s">
        <v>14547</v>
      </c>
      <c r="BD1454" s="77">
        <v>2181374211</v>
      </c>
      <c r="BE1454" s="77"/>
      <c r="BF1454" s="77"/>
      <c r="BG1454" s="77"/>
      <c r="BH1454" s="77"/>
      <c r="BI1454" s="77"/>
    </row>
    <row r="1455" spans="1:61" x14ac:dyDescent="0.25">
      <c r="A1455" s="62" t="s">
        <v>475</v>
      </c>
      <c r="B1455" s="62" t="s">
        <v>475</v>
      </c>
      <c r="C1455" s="63"/>
      <c r="D1455" s="64"/>
      <c r="E1455" s="65"/>
      <c r="F1455" s="66"/>
      <c r="G1455" s="63"/>
      <c r="H1455" s="67"/>
      <c r="I1455" s="68"/>
      <c r="J1455" s="68"/>
      <c r="K1455" s="32"/>
      <c r="L1455" s="75">
        <v>1455</v>
      </c>
      <c r="M1455" s="75"/>
      <c r="N1455" s="70"/>
      <c r="O1455" s="77" t="s">
        <v>179</v>
      </c>
      <c r="P1455" s="79">
        <v>45079.436261574076</v>
      </c>
      <c r="Q1455" s="77" t="s">
        <v>2243</v>
      </c>
      <c r="R1455" s="77">
        <v>0</v>
      </c>
      <c r="S1455" s="77">
        <v>87</v>
      </c>
      <c r="T1455" s="77">
        <v>7</v>
      </c>
      <c r="U1455" s="77">
        <v>1</v>
      </c>
      <c r="V1455" s="77">
        <v>4832</v>
      </c>
      <c r="W1455" s="82" t="s">
        <v>5745</v>
      </c>
      <c r="X1455" s="77"/>
      <c r="Y1455" s="77"/>
      <c r="Z1455" s="77"/>
      <c r="AA1455" s="77" t="s">
        <v>7732</v>
      </c>
      <c r="AB1455" s="77" t="s">
        <v>8225</v>
      </c>
      <c r="AC1455" s="82" t="s">
        <v>8233</v>
      </c>
      <c r="AD1455" s="77" t="s">
        <v>8278</v>
      </c>
      <c r="AE1455" s="80" t="str">
        <f>HYPERLINK("https://twitter.com/danimontori_at/status/1664579667448193030")</f>
        <v>https://twitter.com/danimontori_at/status/1664579667448193030</v>
      </c>
      <c r="AF1455" s="79">
        <v>45079.436261574076</v>
      </c>
      <c r="AG1455" s="85">
        <v>45079</v>
      </c>
      <c r="AH1455" s="82" t="s">
        <v>9598</v>
      </c>
      <c r="AI1455" s="77" t="b">
        <v>0</v>
      </c>
      <c r="AJ1455" s="77"/>
      <c r="AK1455" s="77"/>
      <c r="AL1455" s="77"/>
      <c r="AM1455" s="77"/>
      <c r="AN1455" s="77"/>
      <c r="AO1455" s="77"/>
      <c r="AP1455" s="77"/>
      <c r="AQ1455" s="77" t="s">
        <v>12617</v>
      </c>
      <c r="AR1455" s="77"/>
      <c r="AS1455" s="77"/>
      <c r="AT1455" s="77"/>
      <c r="AU1455" s="77"/>
      <c r="AV1455" s="80" t="str">
        <f>HYPERLINK("https://pbs.twimg.com/media/FxnGYn2X0AEinZA.jpg")</f>
        <v>https://pbs.twimg.com/media/FxnGYn2X0AEinZA.jpg</v>
      </c>
      <c r="AW1455" s="82" t="s">
        <v>14548</v>
      </c>
      <c r="AX1455" s="82" t="s">
        <v>14548</v>
      </c>
      <c r="AY1455" s="77"/>
      <c r="AZ1455" s="82" t="s">
        <v>17385</v>
      </c>
      <c r="BA1455" s="82" t="s">
        <v>17385</v>
      </c>
      <c r="BB1455" s="82" t="s">
        <v>17385</v>
      </c>
      <c r="BC1455" s="82" t="s">
        <v>14548</v>
      </c>
      <c r="BD1455" s="77">
        <v>2181374211</v>
      </c>
      <c r="BE1455" s="77"/>
      <c r="BF1455" s="77"/>
      <c r="BG1455" s="77"/>
      <c r="BH1455" s="77"/>
      <c r="BI1455" s="77"/>
    </row>
    <row r="1456" spans="1:61" x14ac:dyDescent="0.25">
      <c r="A1456" s="62" t="s">
        <v>475</v>
      </c>
      <c r="B1456" s="62" t="s">
        <v>475</v>
      </c>
      <c r="C1456" s="63"/>
      <c r="D1456" s="64"/>
      <c r="E1456" s="65"/>
      <c r="F1456" s="66"/>
      <c r="G1456" s="63"/>
      <c r="H1456" s="67"/>
      <c r="I1456" s="68"/>
      <c r="J1456" s="68"/>
      <c r="K1456" s="32"/>
      <c r="L1456" s="75">
        <v>1456</v>
      </c>
      <c r="M1456" s="75"/>
      <c r="N1456" s="70"/>
      <c r="O1456" s="77" t="s">
        <v>179</v>
      </c>
      <c r="P1456" s="79">
        <v>45083.648425925923</v>
      </c>
      <c r="Q1456" s="77" t="s">
        <v>2244</v>
      </c>
      <c r="R1456" s="77">
        <v>0</v>
      </c>
      <c r="S1456" s="77">
        <v>18</v>
      </c>
      <c r="T1456" s="77">
        <v>0</v>
      </c>
      <c r="U1456" s="77">
        <v>0</v>
      </c>
      <c r="V1456" s="77">
        <v>1161</v>
      </c>
      <c r="W1456" s="82" t="s">
        <v>5746</v>
      </c>
      <c r="X1456" s="77"/>
      <c r="Y1456" s="77"/>
      <c r="Z1456" s="77"/>
      <c r="AA1456" s="77"/>
      <c r="AB1456" s="77"/>
      <c r="AC1456" s="82" t="s">
        <v>8232</v>
      </c>
      <c r="AD1456" s="77" t="s">
        <v>8278</v>
      </c>
      <c r="AE1456" s="80" t="str">
        <f>HYPERLINK("https://twitter.com/danimontori_at/status/1666106103933878272")</f>
        <v>https://twitter.com/danimontori_at/status/1666106103933878272</v>
      </c>
      <c r="AF1456" s="79">
        <v>45083.648425925923</v>
      </c>
      <c r="AG1456" s="85">
        <v>45083</v>
      </c>
      <c r="AH1456" s="82" t="s">
        <v>9599</v>
      </c>
      <c r="AI1456" s="77"/>
      <c r="AJ1456" s="77"/>
      <c r="AK1456" s="77"/>
      <c r="AL1456" s="77"/>
      <c r="AM1456" s="77"/>
      <c r="AN1456" s="77"/>
      <c r="AO1456" s="77"/>
      <c r="AP1456" s="77"/>
      <c r="AQ1456" s="77"/>
      <c r="AR1456" s="77"/>
      <c r="AS1456" s="77"/>
      <c r="AT1456" s="77"/>
      <c r="AU1456" s="77"/>
      <c r="AV1456" s="80" t="str">
        <f>HYPERLINK("https://pbs.twimg.com/profile_images/1653753036278317062/1RdA7xib_normal.jpg")</f>
        <v>https://pbs.twimg.com/profile_images/1653753036278317062/1RdA7xib_normal.jpg</v>
      </c>
      <c r="AW1456" s="82" t="s">
        <v>14549</v>
      </c>
      <c r="AX1456" s="82" t="s">
        <v>14549</v>
      </c>
      <c r="AY1456" s="77"/>
      <c r="AZ1456" s="82" t="s">
        <v>17385</v>
      </c>
      <c r="BA1456" s="82" t="s">
        <v>17385</v>
      </c>
      <c r="BB1456" s="82" t="s">
        <v>17385</v>
      </c>
      <c r="BC1456" s="82" t="s">
        <v>14549</v>
      </c>
      <c r="BD1456" s="77">
        <v>2181374211</v>
      </c>
      <c r="BE1456" s="77"/>
      <c r="BF1456" s="77"/>
      <c r="BG1456" s="77"/>
      <c r="BH1456" s="77"/>
      <c r="BI1456" s="77"/>
    </row>
    <row r="1457" spans="1:61" x14ac:dyDescent="0.25">
      <c r="A1457" s="62" t="s">
        <v>475</v>
      </c>
      <c r="B1457" s="62" t="s">
        <v>475</v>
      </c>
      <c r="C1457" s="63"/>
      <c r="D1457" s="64"/>
      <c r="E1457" s="65"/>
      <c r="F1457" s="66"/>
      <c r="G1457" s="63"/>
      <c r="H1457" s="67"/>
      <c r="I1457" s="68"/>
      <c r="J1457" s="68"/>
      <c r="K1457" s="32"/>
      <c r="L1457" s="75">
        <v>1457</v>
      </c>
      <c r="M1457" s="75"/>
      <c r="N1457" s="70"/>
      <c r="O1457" s="77" t="s">
        <v>179</v>
      </c>
      <c r="P1457" s="79">
        <v>45065.480092592596</v>
      </c>
      <c r="Q1457" s="77" t="s">
        <v>2245</v>
      </c>
      <c r="R1457" s="77">
        <v>0</v>
      </c>
      <c r="S1457" s="77">
        <v>19</v>
      </c>
      <c r="T1457" s="77">
        <v>3</v>
      </c>
      <c r="U1457" s="77">
        <v>0</v>
      </c>
      <c r="V1457" s="77">
        <v>1571</v>
      </c>
      <c r="W1457" s="82" t="s">
        <v>5747</v>
      </c>
      <c r="X1457" s="77"/>
      <c r="Y1457" s="77"/>
      <c r="Z1457" s="77"/>
      <c r="AA1457" s="77"/>
      <c r="AB1457" s="77"/>
      <c r="AC1457" s="82" t="s">
        <v>8233</v>
      </c>
      <c r="AD1457" s="77" t="s">
        <v>8278</v>
      </c>
      <c r="AE1457" s="80" t="str">
        <f>HYPERLINK("https://twitter.com/danimontori_at/status/1659522121716957184")</f>
        <v>https://twitter.com/danimontori_at/status/1659522121716957184</v>
      </c>
      <c r="AF1457" s="79">
        <v>45065.480092592596</v>
      </c>
      <c r="AG1457" s="85">
        <v>45065</v>
      </c>
      <c r="AH1457" s="82" t="s">
        <v>9600</v>
      </c>
      <c r="AI1457" s="77"/>
      <c r="AJ1457" s="77"/>
      <c r="AK1457" s="77"/>
      <c r="AL1457" s="77"/>
      <c r="AM1457" s="77"/>
      <c r="AN1457" s="77"/>
      <c r="AO1457" s="77"/>
      <c r="AP1457" s="77"/>
      <c r="AQ1457" s="77"/>
      <c r="AR1457" s="77"/>
      <c r="AS1457" s="77"/>
      <c r="AT1457" s="77"/>
      <c r="AU1457" s="77"/>
      <c r="AV1457" s="80" t="str">
        <f>HYPERLINK("https://pbs.twimg.com/profile_images/1653753036278317062/1RdA7xib_normal.jpg")</f>
        <v>https://pbs.twimg.com/profile_images/1653753036278317062/1RdA7xib_normal.jpg</v>
      </c>
      <c r="AW1457" s="82" t="s">
        <v>14550</v>
      </c>
      <c r="AX1457" s="82" t="s">
        <v>14550</v>
      </c>
      <c r="AY1457" s="77"/>
      <c r="AZ1457" s="82" t="s">
        <v>17385</v>
      </c>
      <c r="BA1457" s="82" t="s">
        <v>17385</v>
      </c>
      <c r="BB1457" s="82" t="s">
        <v>17385</v>
      </c>
      <c r="BC1457" s="82" t="s">
        <v>14550</v>
      </c>
      <c r="BD1457" s="77">
        <v>2181374211</v>
      </c>
      <c r="BE1457" s="77"/>
      <c r="BF1457" s="77"/>
      <c r="BG1457" s="77"/>
      <c r="BH1457" s="77"/>
      <c r="BI1457" s="77"/>
    </row>
    <row r="1458" spans="1:61" x14ac:dyDescent="0.25">
      <c r="A1458" s="62" t="s">
        <v>475</v>
      </c>
      <c r="B1458" s="62" t="s">
        <v>475</v>
      </c>
      <c r="C1458" s="63"/>
      <c r="D1458" s="64"/>
      <c r="E1458" s="65"/>
      <c r="F1458" s="66"/>
      <c r="G1458" s="63"/>
      <c r="H1458" s="67"/>
      <c r="I1458" s="68"/>
      <c r="J1458" s="68"/>
      <c r="K1458" s="32"/>
      <c r="L1458" s="75">
        <v>1458</v>
      </c>
      <c r="M1458" s="75"/>
      <c r="N1458" s="70"/>
      <c r="O1458" s="77" t="s">
        <v>179</v>
      </c>
      <c r="P1458" s="79">
        <v>45093.840810185182</v>
      </c>
      <c r="Q1458" s="77" t="s">
        <v>2246</v>
      </c>
      <c r="R1458" s="77">
        <v>0</v>
      </c>
      <c r="S1458" s="77">
        <v>63</v>
      </c>
      <c r="T1458" s="77">
        <v>7</v>
      </c>
      <c r="U1458" s="77">
        <v>1</v>
      </c>
      <c r="V1458" s="77">
        <v>4083</v>
      </c>
      <c r="W1458" s="82" t="s">
        <v>4835</v>
      </c>
      <c r="X1458" s="77"/>
      <c r="Y1458" s="77"/>
      <c r="Z1458" s="77"/>
      <c r="AA1458" s="77"/>
      <c r="AB1458" s="77"/>
      <c r="AC1458" s="82" t="s">
        <v>8232</v>
      </c>
      <c r="AD1458" s="77" t="s">
        <v>8278</v>
      </c>
      <c r="AE1458" s="80" t="str">
        <f>HYPERLINK("https://twitter.com/danimontori_at/status/1669799701342724116")</f>
        <v>https://twitter.com/danimontori_at/status/1669799701342724116</v>
      </c>
      <c r="AF1458" s="79">
        <v>45093.840810185182</v>
      </c>
      <c r="AG1458" s="85">
        <v>45093</v>
      </c>
      <c r="AH1458" s="82" t="s">
        <v>9601</v>
      </c>
      <c r="AI1458" s="77"/>
      <c r="AJ1458" s="77"/>
      <c r="AK1458" s="77"/>
      <c r="AL1458" s="77"/>
      <c r="AM1458" s="77"/>
      <c r="AN1458" s="77"/>
      <c r="AO1458" s="77"/>
      <c r="AP1458" s="77"/>
      <c r="AQ1458" s="77"/>
      <c r="AR1458" s="77"/>
      <c r="AS1458" s="77"/>
      <c r="AT1458" s="77"/>
      <c r="AU1458" s="77"/>
      <c r="AV1458" s="80" t="str">
        <f>HYPERLINK("https://pbs.twimg.com/profile_images/1653753036278317062/1RdA7xib_normal.jpg")</f>
        <v>https://pbs.twimg.com/profile_images/1653753036278317062/1RdA7xib_normal.jpg</v>
      </c>
      <c r="AW1458" s="82" t="s">
        <v>14551</v>
      </c>
      <c r="AX1458" s="82" t="s">
        <v>14551</v>
      </c>
      <c r="AY1458" s="77"/>
      <c r="AZ1458" s="82" t="s">
        <v>17385</v>
      </c>
      <c r="BA1458" s="82" t="s">
        <v>17385</v>
      </c>
      <c r="BB1458" s="82" t="s">
        <v>17385</v>
      </c>
      <c r="BC1458" s="82" t="s">
        <v>14551</v>
      </c>
      <c r="BD1458" s="77">
        <v>2181374211</v>
      </c>
      <c r="BE1458" s="77"/>
      <c r="BF1458" s="77"/>
      <c r="BG1458" s="77"/>
      <c r="BH1458" s="77"/>
      <c r="BI1458" s="77"/>
    </row>
    <row r="1459" spans="1:61" x14ac:dyDescent="0.25">
      <c r="A1459" s="62" t="s">
        <v>475</v>
      </c>
      <c r="B1459" s="62" t="s">
        <v>475</v>
      </c>
      <c r="C1459" s="63"/>
      <c r="D1459" s="64"/>
      <c r="E1459" s="65"/>
      <c r="F1459" s="66"/>
      <c r="G1459" s="63"/>
      <c r="H1459" s="67"/>
      <c r="I1459" s="68"/>
      <c r="J1459" s="68"/>
      <c r="K1459" s="32"/>
      <c r="L1459" s="75">
        <v>1459</v>
      </c>
      <c r="M1459" s="75"/>
      <c r="N1459" s="70"/>
      <c r="O1459" s="77" t="s">
        <v>179</v>
      </c>
      <c r="P1459" s="79">
        <v>45093.73605324074</v>
      </c>
      <c r="Q1459" s="77" t="s">
        <v>2247</v>
      </c>
      <c r="R1459" s="77">
        <v>0</v>
      </c>
      <c r="S1459" s="77">
        <v>15</v>
      </c>
      <c r="T1459" s="77">
        <v>0</v>
      </c>
      <c r="U1459" s="77">
        <v>0</v>
      </c>
      <c r="V1459" s="77">
        <v>1395</v>
      </c>
      <c r="W1459" s="82" t="s">
        <v>5748</v>
      </c>
      <c r="X1459" s="77"/>
      <c r="Y1459" s="77"/>
      <c r="Z1459" s="77"/>
      <c r="AA1459" s="77"/>
      <c r="AB1459" s="77"/>
      <c r="AC1459" s="82" t="s">
        <v>8232</v>
      </c>
      <c r="AD1459" s="77" t="s">
        <v>8278</v>
      </c>
      <c r="AE1459" s="80" t="str">
        <f>HYPERLINK("https://twitter.com/danimontori_at/status/1669761738089136131")</f>
        <v>https://twitter.com/danimontori_at/status/1669761738089136131</v>
      </c>
      <c r="AF1459" s="79">
        <v>45093.73605324074</v>
      </c>
      <c r="AG1459" s="85">
        <v>45093</v>
      </c>
      <c r="AH1459" s="82" t="s">
        <v>9602</v>
      </c>
      <c r="AI1459" s="77"/>
      <c r="AJ1459" s="77"/>
      <c r="AK1459" s="77"/>
      <c r="AL1459" s="77"/>
      <c r="AM1459" s="77"/>
      <c r="AN1459" s="77"/>
      <c r="AO1459" s="77"/>
      <c r="AP1459" s="77"/>
      <c r="AQ1459" s="77"/>
      <c r="AR1459" s="77"/>
      <c r="AS1459" s="77"/>
      <c r="AT1459" s="77"/>
      <c r="AU1459" s="77"/>
      <c r="AV1459" s="80" t="str">
        <f>HYPERLINK("https://pbs.twimg.com/profile_images/1653753036278317062/1RdA7xib_normal.jpg")</f>
        <v>https://pbs.twimg.com/profile_images/1653753036278317062/1RdA7xib_normal.jpg</v>
      </c>
      <c r="AW1459" s="82" t="s">
        <v>14552</v>
      </c>
      <c r="AX1459" s="82" t="s">
        <v>14552</v>
      </c>
      <c r="AY1459" s="77"/>
      <c r="AZ1459" s="82" t="s">
        <v>17385</v>
      </c>
      <c r="BA1459" s="82" t="s">
        <v>17385</v>
      </c>
      <c r="BB1459" s="82" t="s">
        <v>17385</v>
      </c>
      <c r="BC1459" s="82" t="s">
        <v>14552</v>
      </c>
      <c r="BD1459" s="77">
        <v>2181374211</v>
      </c>
      <c r="BE1459" s="77"/>
      <c r="BF1459" s="77"/>
      <c r="BG1459" s="77"/>
      <c r="BH1459" s="77"/>
      <c r="BI1459" s="77"/>
    </row>
    <row r="1460" spans="1:61" x14ac:dyDescent="0.25">
      <c r="A1460" s="62" t="s">
        <v>475</v>
      </c>
      <c r="B1460" s="62" t="s">
        <v>475</v>
      </c>
      <c r="C1460" s="63"/>
      <c r="D1460" s="64"/>
      <c r="E1460" s="65"/>
      <c r="F1460" s="66"/>
      <c r="G1460" s="63"/>
      <c r="H1460" s="67"/>
      <c r="I1460" s="68"/>
      <c r="J1460" s="68"/>
      <c r="K1460" s="32"/>
      <c r="L1460" s="75">
        <v>1460</v>
      </c>
      <c r="M1460" s="75"/>
      <c r="N1460" s="70"/>
      <c r="O1460" s="77" t="s">
        <v>179</v>
      </c>
      <c r="P1460" s="79">
        <v>45129.05945601852</v>
      </c>
      <c r="Q1460" s="77" t="s">
        <v>2248</v>
      </c>
      <c r="R1460" s="77">
        <v>1</v>
      </c>
      <c r="S1460" s="77">
        <v>112</v>
      </c>
      <c r="T1460" s="77">
        <v>6</v>
      </c>
      <c r="U1460" s="77">
        <v>0</v>
      </c>
      <c r="V1460" s="77">
        <v>7323</v>
      </c>
      <c r="W1460" s="82" t="s">
        <v>5749</v>
      </c>
      <c r="X1460" s="77"/>
      <c r="Y1460" s="77"/>
      <c r="Z1460" s="77"/>
      <c r="AA1460" s="77"/>
      <c r="AB1460" s="77"/>
      <c r="AC1460" s="82" t="s">
        <v>8233</v>
      </c>
      <c r="AD1460" s="77" t="s">
        <v>8278</v>
      </c>
      <c r="AE1460" s="80" t="str">
        <f>HYPERLINK("https://twitter.com/danimontori_at/status/1682562511009206272")</f>
        <v>https://twitter.com/danimontori_at/status/1682562511009206272</v>
      </c>
      <c r="AF1460" s="79">
        <v>45129.05945601852</v>
      </c>
      <c r="AG1460" s="85">
        <v>45129</v>
      </c>
      <c r="AH1460" s="82" t="s">
        <v>9603</v>
      </c>
      <c r="AI1460" s="77"/>
      <c r="AJ1460" s="77"/>
      <c r="AK1460" s="77"/>
      <c r="AL1460" s="77"/>
      <c r="AM1460" s="77"/>
      <c r="AN1460" s="77"/>
      <c r="AO1460" s="77"/>
      <c r="AP1460" s="77"/>
      <c r="AQ1460" s="77"/>
      <c r="AR1460" s="77"/>
      <c r="AS1460" s="77"/>
      <c r="AT1460" s="77"/>
      <c r="AU1460" s="77"/>
      <c r="AV1460" s="80" t="str">
        <f>HYPERLINK("https://pbs.twimg.com/profile_images/1653753036278317062/1RdA7xib_normal.jpg")</f>
        <v>https://pbs.twimg.com/profile_images/1653753036278317062/1RdA7xib_normal.jpg</v>
      </c>
      <c r="AW1460" s="82" t="s">
        <v>14553</v>
      </c>
      <c r="AX1460" s="82" t="s">
        <v>14553</v>
      </c>
      <c r="AY1460" s="77"/>
      <c r="AZ1460" s="82" t="s">
        <v>17385</v>
      </c>
      <c r="BA1460" s="82" t="s">
        <v>17385</v>
      </c>
      <c r="BB1460" s="82" t="s">
        <v>17385</v>
      </c>
      <c r="BC1460" s="82" t="s">
        <v>14553</v>
      </c>
      <c r="BD1460" s="77">
        <v>2181374211</v>
      </c>
      <c r="BE1460" s="77"/>
      <c r="BF1460" s="77"/>
      <c r="BG1460" s="77"/>
      <c r="BH1460" s="77"/>
      <c r="BI1460" s="77"/>
    </row>
    <row r="1461" spans="1:61" x14ac:dyDescent="0.25">
      <c r="A1461" s="62" t="s">
        <v>478</v>
      </c>
      <c r="B1461" s="62" t="s">
        <v>478</v>
      </c>
      <c r="C1461" s="63"/>
      <c r="D1461" s="64"/>
      <c r="E1461" s="65"/>
      <c r="F1461" s="66"/>
      <c r="G1461" s="63"/>
      <c r="H1461" s="67"/>
      <c r="I1461" s="68"/>
      <c r="J1461" s="68"/>
      <c r="K1461" s="32"/>
      <c r="L1461" s="75">
        <v>1461</v>
      </c>
      <c r="M1461" s="75"/>
      <c r="N1461" s="70"/>
      <c r="O1461" s="77" t="s">
        <v>179</v>
      </c>
      <c r="P1461" s="79">
        <v>45153.61204861111</v>
      </c>
      <c r="Q1461" s="77" t="s">
        <v>2249</v>
      </c>
      <c r="R1461" s="77">
        <v>1</v>
      </c>
      <c r="S1461" s="77">
        <v>11</v>
      </c>
      <c r="T1461" s="77">
        <v>7</v>
      </c>
      <c r="U1461" s="77">
        <v>0</v>
      </c>
      <c r="V1461" s="77">
        <v>832</v>
      </c>
      <c r="W1461" s="82" t="s">
        <v>5750</v>
      </c>
      <c r="X1461" s="77"/>
      <c r="Y1461" s="77"/>
      <c r="Z1461" s="77"/>
      <c r="AA1461" s="77"/>
      <c r="AB1461" s="77"/>
      <c r="AC1461" s="82" t="s">
        <v>8232</v>
      </c>
      <c r="AD1461" s="77" t="s">
        <v>8278</v>
      </c>
      <c r="AE1461" s="80" t="str">
        <f>HYPERLINK("https://twitter.com/ydlpizarro/status/1691460072051003392")</f>
        <v>https://twitter.com/ydlpizarro/status/1691460072051003392</v>
      </c>
      <c r="AF1461" s="79">
        <v>45153.61204861111</v>
      </c>
      <c r="AG1461" s="85">
        <v>45153</v>
      </c>
      <c r="AH1461" s="82" t="s">
        <v>9604</v>
      </c>
      <c r="AI1461" s="77"/>
      <c r="AJ1461" s="77"/>
      <c r="AK1461" s="77"/>
      <c r="AL1461" s="77"/>
      <c r="AM1461" s="77"/>
      <c r="AN1461" s="77"/>
      <c r="AO1461" s="77"/>
      <c r="AP1461" s="77"/>
      <c r="AQ1461" s="77"/>
      <c r="AR1461" s="77"/>
      <c r="AS1461" s="77"/>
      <c r="AT1461" s="77"/>
      <c r="AU1461" s="77"/>
      <c r="AV1461" s="80" t="str">
        <f>HYPERLINK("https://pbs.twimg.com/profile_images/1038783713780400128/bhoacSfn_normal.jpg")</f>
        <v>https://pbs.twimg.com/profile_images/1038783713780400128/bhoacSfn_normal.jpg</v>
      </c>
      <c r="AW1461" s="82" t="s">
        <v>14554</v>
      </c>
      <c r="AX1461" s="82" t="s">
        <v>14554</v>
      </c>
      <c r="AY1461" s="77"/>
      <c r="AZ1461" s="82" t="s">
        <v>17385</v>
      </c>
      <c r="BA1461" s="82" t="s">
        <v>17385</v>
      </c>
      <c r="BB1461" s="82" t="s">
        <v>17385</v>
      </c>
      <c r="BC1461" s="82" t="s">
        <v>14554</v>
      </c>
      <c r="BD1461" s="77">
        <v>1727074148</v>
      </c>
      <c r="BE1461" s="77"/>
      <c r="BF1461" s="77"/>
      <c r="BG1461" s="77"/>
      <c r="BH1461" s="77"/>
      <c r="BI1461" s="77"/>
    </row>
    <row r="1462" spans="1:61" x14ac:dyDescent="0.25">
      <c r="A1462" s="62" t="s">
        <v>479</v>
      </c>
      <c r="B1462" s="62" t="s">
        <v>479</v>
      </c>
      <c r="C1462" s="63"/>
      <c r="D1462" s="64"/>
      <c r="E1462" s="65"/>
      <c r="F1462" s="66"/>
      <c r="G1462" s="63"/>
      <c r="H1462" s="67"/>
      <c r="I1462" s="68"/>
      <c r="J1462" s="68"/>
      <c r="K1462" s="32"/>
      <c r="L1462" s="75">
        <v>1462</v>
      </c>
      <c r="M1462" s="75"/>
      <c r="N1462" s="70"/>
      <c r="O1462" s="77" t="s">
        <v>179</v>
      </c>
      <c r="P1462" s="79">
        <v>45188.717453703706</v>
      </c>
      <c r="Q1462" s="77" t="s">
        <v>2250</v>
      </c>
      <c r="R1462" s="77">
        <v>1</v>
      </c>
      <c r="S1462" s="77">
        <v>1</v>
      </c>
      <c r="T1462" s="77">
        <v>0</v>
      </c>
      <c r="U1462" s="77">
        <v>2</v>
      </c>
      <c r="V1462" s="77">
        <v>213</v>
      </c>
      <c r="W1462" s="82" t="s">
        <v>5751</v>
      </c>
      <c r="X1462" s="80" t="str">
        <f>HYPERLINK("https://www.estrelladigital.es/sociedad/sucesos/20230919/denuncian-un-grave-caso-de-acoso-sexual-a-nina-de-6-anos-en-un-colegio-de-montijo-caceres/")</f>
        <v>https://www.estrelladigital.es/sociedad/sucesos/20230919/denuncian-un-grave-caso-de-acoso-sexual-a-nina-de-6-anos-en-un-colegio-de-montijo-caceres/</v>
      </c>
      <c r="Y1462" s="77" t="s">
        <v>7110</v>
      </c>
      <c r="Z1462" s="77"/>
      <c r="AA1462" s="77"/>
      <c r="AB1462" s="77"/>
      <c r="AC1462" s="82" t="s">
        <v>8232</v>
      </c>
      <c r="AD1462" s="77" t="s">
        <v>8281</v>
      </c>
      <c r="AE1462" s="80" t="str">
        <f>HYPERLINK("https://twitter.com/estrelladigital/status/1704181845158400066")</f>
        <v>https://twitter.com/estrelladigital/status/1704181845158400066</v>
      </c>
      <c r="AF1462" s="79">
        <v>45188.717453703706</v>
      </c>
      <c r="AG1462" s="85">
        <v>45188</v>
      </c>
      <c r="AH1462" s="82" t="s">
        <v>9605</v>
      </c>
      <c r="AI1462" s="77" t="b">
        <v>0</v>
      </c>
      <c r="AJ1462" s="77"/>
      <c r="AK1462" s="77"/>
      <c r="AL1462" s="77"/>
      <c r="AM1462" s="77"/>
      <c r="AN1462" s="77"/>
      <c r="AO1462" s="77"/>
      <c r="AP1462" s="77"/>
      <c r="AQ1462" s="77"/>
      <c r="AR1462" s="77"/>
      <c r="AS1462" s="77"/>
      <c r="AT1462" s="77"/>
      <c r="AU1462" s="77"/>
      <c r="AV1462" s="80" t="str">
        <f>HYPERLINK("https://pbs.twimg.com/profile_images/1461646964098019334/SkZ6Bicv_normal.jpg")</f>
        <v>https://pbs.twimg.com/profile_images/1461646964098019334/SkZ6Bicv_normal.jpg</v>
      </c>
      <c r="AW1462" s="82" t="s">
        <v>14555</v>
      </c>
      <c r="AX1462" s="82" t="s">
        <v>14555</v>
      </c>
      <c r="AY1462" s="77"/>
      <c r="AZ1462" s="82" t="s">
        <v>17385</v>
      </c>
      <c r="BA1462" s="82" t="s">
        <v>17385</v>
      </c>
      <c r="BB1462" s="82" t="s">
        <v>17385</v>
      </c>
      <c r="BC1462" s="82" t="s">
        <v>14555</v>
      </c>
      <c r="BD1462" s="77">
        <v>74421223</v>
      </c>
      <c r="BE1462" s="77"/>
      <c r="BF1462" s="77"/>
      <c r="BG1462" s="77"/>
      <c r="BH1462" s="77"/>
      <c r="BI1462" s="77"/>
    </row>
    <row r="1463" spans="1:61" x14ac:dyDescent="0.25">
      <c r="A1463" s="62" t="s">
        <v>480</v>
      </c>
      <c r="B1463" s="62" t="s">
        <v>480</v>
      </c>
      <c r="C1463" s="63"/>
      <c r="D1463" s="64"/>
      <c r="E1463" s="65"/>
      <c r="F1463" s="66"/>
      <c r="G1463" s="63"/>
      <c r="H1463" s="67"/>
      <c r="I1463" s="68"/>
      <c r="J1463" s="68"/>
      <c r="K1463" s="32"/>
      <c r="L1463" s="75">
        <v>1463</v>
      </c>
      <c r="M1463" s="75"/>
      <c r="N1463" s="70"/>
      <c r="O1463" s="77" t="s">
        <v>179</v>
      </c>
      <c r="P1463" s="79">
        <v>45158.934201388889</v>
      </c>
      <c r="Q1463" s="77" t="s">
        <v>2251</v>
      </c>
      <c r="R1463" s="77">
        <v>0</v>
      </c>
      <c r="S1463" s="77">
        <v>0</v>
      </c>
      <c r="T1463" s="77">
        <v>0</v>
      </c>
      <c r="U1463" s="77">
        <v>0</v>
      </c>
      <c r="V1463" s="77">
        <v>16</v>
      </c>
      <c r="W1463" s="82" t="s">
        <v>5752</v>
      </c>
      <c r="X1463" s="80" t="str">
        <f>HYPERLINK("https://www.clinicawashingtonamancio.com/")</f>
        <v>https://www.clinicawashingtonamancio.com/</v>
      </c>
      <c r="Y1463" s="77" t="s">
        <v>7111</v>
      </c>
      <c r="Z1463" s="77"/>
      <c r="AA1463" s="77" t="s">
        <v>7733</v>
      </c>
      <c r="AB1463" s="77" t="s">
        <v>8225</v>
      </c>
      <c r="AC1463" s="82" t="s">
        <v>8232</v>
      </c>
      <c r="AD1463" s="77" t="s">
        <v>8280</v>
      </c>
      <c r="AE1463" s="80" t="str">
        <f>HYPERLINK("https://twitter.com/marcia23403/status/1693388755564990819")</f>
        <v>https://twitter.com/marcia23403/status/1693388755564990819</v>
      </c>
      <c r="AF1463" s="79">
        <v>45158.934201388889</v>
      </c>
      <c r="AG1463" s="85">
        <v>45158</v>
      </c>
      <c r="AH1463" s="82" t="s">
        <v>9606</v>
      </c>
      <c r="AI1463" s="77" t="b">
        <v>0</v>
      </c>
      <c r="AJ1463" s="77"/>
      <c r="AK1463" s="77"/>
      <c r="AL1463" s="77"/>
      <c r="AM1463" s="77"/>
      <c r="AN1463" s="77"/>
      <c r="AO1463" s="77"/>
      <c r="AP1463" s="77"/>
      <c r="AQ1463" s="77" t="s">
        <v>12618</v>
      </c>
      <c r="AR1463" s="77"/>
      <c r="AS1463" s="77"/>
      <c r="AT1463" s="77"/>
      <c r="AU1463" s="77"/>
      <c r="AV1463" s="80" t="str">
        <f>HYPERLINK("https://pbs.twimg.com/media/F4AfxhhXIAA6VWW.jpg")</f>
        <v>https://pbs.twimg.com/media/F4AfxhhXIAA6VWW.jpg</v>
      </c>
      <c r="AW1463" s="82" t="s">
        <v>14556</v>
      </c>
      <c r="AX1463" s="82" t="s">
        <v>14556</v>
      </c>
      <c r="AY1463" s="77"/>
      <c r="AZ1463" s="82" t="s">
        <v>17385</v>
      </c>
      <c r="BA1463" s="82" t="s">
        <v>17385</v>
      </c>
      <c r="BB1463" s="82" t="s">
        <v>17385</v>
      </c>
      <c r="BC1463" s="82" t="s">
        <v>14556</v>
      </c>
      <c r="BD1463" s="82" t="s">
        <v>17574</v>
      </c>
      <c r="BE1463" s="77"/>
      <c r="BF1463" s="77"/>
      <c r="BG1463" s="77"/>
      <c r="BH1463" s="77"/>
      <c r="BI1463" s="77"/>
    </row>
    <row r="1464" spans="1:61" x14ac:dyDescent="0.25">
      <c r="A1464" s="62" t="s">
        <v>481</v>
      </c>
      <c r="B1464" s="62" t="s">
        <v>481</v>
      </c>
      <c r="C1464" s="63"/>
      <c r="D1464" s="64"/>
      <c r="E1464" s="65"/>
      <c r="F1464" s="66"/>
      <c r="G1464" s="63"/>
      <c r="H1464" s="67"/>
      <c r="I1464" s="68"/>
      <c r="J1464" s="68"/>
      <c r="K1464" s="32"/>
      <c r="L1464" s="75">
        <v>1464</v>
      </c>
      <c r="M1464" s="75"/>
      <c r="N1464" s="70"/>
      <c r="O1464" s="77" t="s">
        <v>179</v>
      </c>
      <c r="P1464" s="79">
        <v>45062.572129629632</v>
      </c>
      <c r="Q1464" s="77" t="s">
        <v>2252</v>
      </c>
      <c r="R1464" s="77">
        <v>1</v>
      </c>
      <c r="S1464" s="77">
        <v>5</v>
      </c>
      <c r="T1464" s="77">
        <v>0</v>
      </c>
      <c r="U1464" s="77">
        <v>0</v>
      </c>
      <c r="V1464" s="77">
        <v>356</v>
      </c>
      <c r="W1464" s="82" t="s">
        <v>5753</v>
      </c>
      <c r="X1464" s="80" t="str">
        <f>HYPERLINK("https://youtube.com/live/KFmgEddjfhI?feature=share")</f>
        <v>https://youtube.com/live/KFmgEddjfhI?feature=share</v>
      </c>
      <c r="Y1464" s="77" t="s">
        <v>7065</v>
      </c>
      <c r="Z1464" s="77"/>
      <c r="AA1464" s="77" t="s">
        <v>7734</v>
      </c>
      <c r="AB1464" s="77" t="s">
        <v>8225</v>
      </c>
      <c r="AC1464" s="82" t="s">
        <v>8233</v>
      </c>
      <c r="AD1464" s="77" t="s">
        <v>8278</v>
      </c>
      <c r="AE1464" s="80" t="str">
        <f>HYPERLINK("https://twitter.com/buenocosta20/status/1658468311280111616")</f>
        <v>https://twitter.com/buenocosta20/status/1658468311280111616</v>
      </c>
      <c r="AF1464" s="79">
        <v>45062.572129629632</v>
      </c>
      <c r="AG1464" s="85">
        <v>45062</v>
      </c>
      <c r="AH1464" s="82" t="s">
        <v>9607</v>
      </c>
      <c r="AI1464" s="77" t="b">
        <v>0</v>
      </c>
      <c r="AJ1464" s="77"/>
      <c r="AK1464" s="77"/>
      <c r="AL1464" s="77"/>
      <c r="AM1464" s="77"/>
      <c r="AN1464" s="77"/>
      <c r="AO1464" s="77"/>
      <c r="AP1464" s="77"/>
      <c r="AQ1464" s="77" t="s">
        <v>12619</v>
      </c>
      <c r="AR1464" s="77"/>
      <c r="AS1464" s="77"/>
      <c r="AT1464" s="77"/>
      <c r="AU1464" s="77"/>
      <c r="AV1464" s="80" t="str">
        <f>HYPERLINK("https://pbs.twimg.com/media/FwQQI0wWwAYCF1c.jpg")</f>
        <v>https://pbs.twimg.com/media/FwQQI0wWwAYCF1c.jpg</v>
      </c>
      <c r="AW1464" s="82" t="s">
        <v>14557</v>
      </c>
      <c r="AX1464" s="82" t="s">
        <v>14557</v>
      </c>
      <c r="AY1464" s="77"/>
      <c r="AZ1464" s="82" t="s">
        <v>17385</v>
      </c>
      <c r="BA1464" s="82" t="s">
        <v>17385</v>
      </c>
      <c r="BB1464" s="82" t="s">
        <v>17385</v>
      </c>
      <c r="BC1464" s="82" t="s">
        <v>14557</v>
      </c>
      <c r="BD1464" s="77">
        <v>1073582198</v>
      </c>
      <c r="BE1464" s="77"/>
      <c r="BF1464" s="77"/>
      <c r="BG1464" s="77"/>
      <c r="BH1464" s="77"/>
      <c r="BI1464" s="77"/>
    </row>
    <row r="1465" spans="1:61" x14ac:dyDescent="0.25">
      <c r="A1465" s="62" t="s">
        <v>482</v>
      </c>
      <c r="B1465" s="62" t="s">
        <v>482</v>
      </c>
      <c r="C1465" s="63"/>
      <c r="D1465" s="64"/>
      <c r="E1465" s="65"/>
      <c r="F1465" s="66"/>
      <c r="G1465" s="63"/>
      <c r="H1465" s="67"/>
      <c r="I1465" s="68"/>
      <c r="J1465" s="68"/>
      <c r="K1465" s="32"/>
      <c r="L1465" s="75">
        <v>1465</v>
      </c>
      <c r="M1465" s="75"/>
      <c r="N1465" s="70"/>
      <c r="O1465" s="77" t="s">
        <v>179</v>
      </c>
      <c r="P1465" s="79">
        <v>45065.580312500002</v>
      </c>
      <c r="Q1465" s="77" t="s">
        <v>2253</v>
      </c>
      <c r="R1465" s="77">
        <v>0</v>
      </c>
      <c r="S1465" s="77">
        <v>0</v>
      </c>
      <c r="T1465" s="77">
        <v>0</v>
      </c>
      <c r="U1465" s="77">
        <v>0</v>
      </c>
      <c r="V1465" s="77">
        <v>18</v>
      </c>
      <c r="W1465" s="82" t="s">
        <v>5754</v>
      </c>
      <c r="X1465" s="77"/>
      <c r="Y1465" s="77"/>
      <c r="Z1465" s="77"/>
      <c r="AA1465" s="77" t="s">
        <v>7735</v>
      </c>
      <c r="AB1465" s="77" t="s">
        <v>8225</v>
      </c>
      <c r="AC1465" s="82" t="s">
        <v>8234</v>
      </c>
      <c r="AD1465" s="77" t="s">
        <v>8280</v>
      </c>
      <c r="AE1465" s="80" t="str">
        <f>HYPERLINK("https://twitter.com/cayocesar89/status/1659558436525293568")</f>
        <v>https://twitter.com/cayocesar89/status/1659558436525293568</v>
      </c>
      <c r="AF1465" s="79">
        <v>45065.580312500002</v>
      </c>
      <c r="AG1465" s="85">
        <v>45065</v>
      </c>
      <c r="AH1465" s="82" t="s">
        <v>9608</v>
      </c>
      <c r="AI1465" s="77" t="b">
        <v>0</v>
      </c>
      <c r="AJ1465" s="77"/>
      <c r="AK1465" s="77"/>
      <c r="AL1465" s="77"/>
      <c r="AM1465" s="77"/>
      <c r="AN1465" s="77"/>
      <c r="AO1465" s="77"/>
      <c r="AP1465" s="77"/>
      <c r="AQ1465" s="77" t="s">
        <v>12620</v>
      </c>
      <c r="AR1465" s="77"/>
      <c r="AS1465" s="77"/>
      <c r="AT1465" s="77"/>
      <c r="AU1465" s="77"/>
      <c r="AV1465" s="80" t="str">
        <f>HYPERLINK("https://pbs.twimg.com/media/FwfvmkyXgAQZ7y9.jpg")</f>
        <v>https://pbs.twimg.com/media/FwfvmkyXgAQZ7y9.jpg</v>
      </c>
      <c r="AW1465" s="82" t="s">
        <v>14558</v>
      </c>
      <c r="AX1465" s="82" t="s">
        <v>14558</v>
      </c>
      <c r="AY1465" s="77"/>
      <c r="AZ1465" s="82" t="s">
        <v>17385</v>
      </c>
      <c r="BA1465" s="82" t="s">
        <v>17385</v>
      </c>
      <c r="BB1465" s="82" t="s">
        <v>17385</v>
      </c>
      <c r="BC1465" s="82" t="s">
        <v>14558</v>
      </c>
      <c r="BD1465" s="77">
        <v>343506818</v>
      </c>
      <c r="BE1465" s="77"/>
      <c r="BF1465" s="77"/>
      <c r="BG1465" s="77"/>
      <c r="BH1465" s="77"/>
      <c r="BI1465" s="77"/>
    </row>
    <row r="1466" spans="1:61" x14ac:dyDescent="0.25">
      <c r="A1466" s="62" t="s">
        <v>483</v>
      </c>
      <c r="B1466" s="62" t="s">
        <v>483</v>
      </c>
      <c r="C1466" s="63"/>
      <c r="D1466" s="64"/>
      <c r="E1466" s="65"/>
      <c r="F1466" s="66"/>
      <c r="G1466" s="63"/>
      <c r="H1466" s="67"/>
      <c r="I1466" s="68"/>
      <c r="J1466" s="68"/>
      <c r="K1466" s="32"/>
      <c r="L1466" s="75">
        <v>1466</v>
      </c>
      <c r="M1466" s="75"/>
      <c r="N1466" s="70"/>
      <c r="O1466" s="77" t="s">
        <v>179</v>
      </c>
      <c r="P1466" s="79">
        <v>45184.757303240738</v>
      </c>
      <c r="Q1466" s="77" t="s">
        <v>2254</v>
      </c>
      <c r="R1466" s="77">
        <v>0</v>
      </c>
      <c r="S1466" s="77">
        <v>0</v>
      </c>
      <c r="T1466" s="77">
        <v>0</v>
      </c>
      <c r="U1466" s="77">
        <v>0</v>
      </c>
      <c r="V1466" s="77">
        <v>12</v>
      </c>
      <c r="W1466" s="82" t="s">
        <v>5755</v>
      </c>
      <c r="X1466" s="80" t="str">
        <f>HYPERLINK("https://pensarpiaui.com/noticia/governo-do-estado-tera-protocolo-para-uso-de-aeronaves-em-acoes-de-emergencia.html")</f>
        <v>https://pensarpiaui.com/noticia/governo-do-estado-tera-protocolo-para-uso-de-aeronaves-em-acoes-de-emergencia.html</v>
      </c>
      <c r="Y1466" s="77" t="s">
        <v>7112</v>
      </c>
      <c r="Z1466" s="77"/>
      <c r="AA1466" s="77"/>
      <c r="AB1466" s="77"/>
      <c r="AC1466" s="82" t="s">
        <v>8233</v>
      </c>
      <c r="AD1466" s="77" t="s">
        <v>8278</v>
      </c>
      <c r="AE1466" s="80" t="str">
        <f>HYPERLINK("https://twitter.com/pensarpiaui/status/1702746733707420029")</f>
        <v>https://twitter.com/pensarpiaui/status/1702746733707420029</v>
      </c>
      <c r="AF1466" s="79">
        <v>45184.757303240738</v>
      </c>
      <c r="AG1466" s="85">
        <v>45184</v>
      </c>
      <c r="AH1466" s="82" t="s">
        <v>9609</v>
      </c>
      <c r="AI1466" s="77" t="b">
        <v>0</v>
      </c>
      <c r="AJ1466" s="77"/>
      <c r="AK1466" s="77"/>
      <c r="AL1466" s="77"/>
      <c r="AM1466" s="77"/>
      <c r="AN1466" s="77"/>
      <c r="AO1466" s="77"/>
      <c r="AP1466" s="77"/>
      <c r="AQ1466" s="77"/>
      <c r="AR1466" s="77"/>
      <c r="AS1466" s="77"/>
      <c r="AT1466" s="77"/>
      <c r="AU1466" s="77"/>
      <c r="AV1466" s="80" t="str">
        <f>HYPERLINK("https://pbs.twimg.com/profile_images/1680908361997471746/mbPeB0fP_normal.jpg")</f>
        <v>https://pbs.twimg.com/profile_images/1680908361997471746/mbPeB0fP_normal.jpg</v>
      </c>
      <c r="AW1466" s="82" t="s">
        <v>14559</v>
      </c>
      <c r="AX1466" s="82" t="s">
        <v>14559</v>
      </c>
      <c r="AY1466" s="77"/>
      <c r="AZ1466" s="82" t="s">
        <v>17385</v>
      </c>
      <c r="BA1466" s="82" t="s">
        <v>17385</v>
      </c>
      <c r="BB1466" s="82" t="s">
        <v>17385</v>
      </c>
      <c r="BC1466" s="82" t="s">
        <v>14559</v>
      </c>
      <c r="BD1466" s="82" t="s">
        <v>17575</v>
      </c>
      <c r="BE1466" s="77"/>
      <c r="BF1466" s="77"/>
      <c r="BG1466" s="77"/>
      <c r="BH1466" s="77"/>
      <c r="BI1466" s="77"/>
    </row>
    <row r="1467" spans="1:61" x14ac:dyDescent="0.25">
      <c r="A1467" s="62" t="s">
        <v>484</v>
      </c>
      <c r="B1467" s="62" t="s">
        <v>484</v>
      </c>
      <c r="C1467" s="63"/>
      <c r="D1467" s="64"/>
      <c r="E1467" s="65"/>
      <c r="F1467" s="66"/>
      <c r="G1467" s="63"/>
      <c r="H1467" s="67"/>
      <c r="I1467" s="68"/>
      <c r="J1467" s="68"/>
      <c r="K1467" s="32"/>
      <c r="L1467" s="75">
        <v>1467</v>
      </c>
      <c r="M1467" s="75"/>
      <c r="N1467" s="70"/>
      <c r="O1467" s="77" t="s">
        <v>179</v>
      </c>
      <c r="P1467" s="79">
        <v>45104.844155092593</v>
      </c>
      <c r="Q1467" s="77" t="s">
        <v>2255</v>
      </c>
      <c r="R1467" s="77">
        <v>0</v>
      </c>
      <c r="S1467" s="77">
        <v>0</v>
      </c>
      <c r="T1467" s="77">
        <v>0</v>
      </c>
      <c r="U1467" s="77">
        <v>0</v>
      </c>
      <c r="V1467" s="77">
        <v>90</v>
      </c>
      <c r="W1467" s="82" t="s">
        <v>5756</v>
      </c>
      <c r="X1467" s="80" t="str">
        <f>HYPERLINK("https://pipelinevalor.globo.com/negocios/noticia/para-o-goldman-hering-e-basica-para-a-carteira-de-acoes.ghtml")</f>
        <v>https://pipelinevalor.globo.com/negocios/noticia/para-o-goldman-hering-e-basica-para-a-carteira-de-acoes.ghtml</v>
      </c>
      <c r="Y1467" s="77" t="s">
        <v>7113</v>
      </c>
      <c r="Z1467" s="77"/>
      <c r="AA1467" s="77"/>
      <c r="AB1467" s="77"/>
      <c r="AC1467" s="82" t="s">
        <v>8232</v>
      </c>
      <c r="AD1467" s="77" t="s">
        <v>8278</v>
      </c>
      <c r="AE1467" s="80" t="str">
        <f>HYPERLINK("https://twitter.com/pipelinevalor/status/1673787179372367872")</f>
        <v>https://twitter.com/pipelinevalor/status/1673787179372367872</v>
      </c>
      <c r="AF1467" s="79">
        <v>45104.844155092593</v>
      </c>
      <c r="AG1467" s="85">
        <v>45104</v>
      </c>
      <c r="AH1467" s="82" t="s">
        <v>9610</v>
      </c>
      <c r="AI1467" s="77" t="b">
        <v>0</v>
      </c>
      <c r="AJ1467" s="77"/>
      <c r="AK1467" s="77"/>
      <c r="AL1467" s="77"/>
      <c r="AM1467" s="77"/>
      <c r="AN1467" s="77"/>
      <c r="AO1467" s="77"/>
      <c r="AP1467" s="77"/>
      <c r="AQ1467" s="77"/>
      <c r="AR1467" s="77"/>
      <c r="AS1467" s="77"/>
      <c r="AT1467" s="77"/>
      <c r="AU1467" s="77"/>
      <c r="AV1467" s="80" t="str">
        <f>HYPERLINK("https://pbs.twimg.com/profile_images/1362407924870623232/rrq7HwoE_normal.jpg")</f>
        <v>https://pbs.twimg.com/profile_images/1362407924870623232/rrq7HwoE_normal.jpg</v>
      </c>
      <c r="AW1467" s="82" t="s">
        <v>14560</v>
      </c>
      <c r="AX1467" s="82" t="s">
        <v>14560</v>
      </c>
      <c r="AY1467" s="77"/>
      <c r="AZ1467" s="82" t="s">
        <v>17385</v>
      </c>
      <c r="BA1467" s="82" t="s">
        <v>17385</v>
      </c>
      <c r="BB1467" s="82" t="s">
        <v>17385</v>
      </c>
      <c r="BC1467" s="82" t="s">
        <v>14560</v>
      </c>
      <c r="BD1467" s="82" t="s">
        <v>17576</v>
      </c>
      <c r="BE1467" s="77"/>
      <c r="BF1467" s="77"/>
      <c r="BG1467" s="77"/>
      <c r="BH1467" s="77"/>
      <c r="BI1467" s="77"/>
    </row>
    <row r="1468" spans="1:61" x14ac:dyDescent="0.25">
      <c r="A1468" s="62" t="s">
        <v>484</v>
      </c>
      <c r="B1468" s="62" t="s">
        <v>484</v>
      </c>
      <c r="C1468" s="63"/>
      <c r="D1468" s="64"/>
      <c r="E1468" s="65"/>
      <c r="F1468" s="66"/>
      <c r="G1468" s="63"/>
      <c r="H1468" s="67"/>
      <c r="I1468" s="68"/>
      <c r="J1468" s="68"/>
      <c r="K1468" s="32"/>
      <c r="L1468" s="75">
        <v>1468</v>
      </c>
      <c r="M1468" s="75"/>
      <c r="N1468" s="70"/>
      <c r="O1468" s="77" t="s">
        <v>179</v>
      </c>
      <c r="P1468" s="79">
        <v>45098.924062500002</v>
      </c>
      <c r="Q1468" s="77" t="s">
        <v>2256</v>
      </c>
      <c r="R1468" s="77">
        <v>0</v>
      </c>
      <c r="S1468" s="77">
        <v>3</v>
      </c>
      <c r="T1468" s="77">
        <v>0</v>
      </c>
      <c r="U1468" s="77">
        <v>0</v>
      </c>
      <c r="V1468" s="77">
        <v>392</v>
      </c>
      <c r="W1468" s="82" t="s">
        <v>5757</v>
      </c>
      <c r="X1468" s="80" t="str">
        <f>HYPERLINK("https://pipelinevalor.globo.com/mercado/noticia/por-que-a-polo-esta-vendida-em-oncoclinicas.ghtml")</f>
        <v>https://pipelinevalor.globo.com/mercado/noticia/por-que-a-polo-esta-vendida-em-oncoclinicas.ghtml</v>
      </c>
      <c r="Y1468" s="77" t="s">
        <v>7113</v>
      </c>
      <c r="Z1468" s="77"/>
      <c r="AA1468" s="77"/>
      <c r="AB1468" s="77"/>
      <c r="AC1468" s="82" t="s">
        <v>8232</v>
      </c>
      <c r="AD1468" s="77" t="s">
        <v>8278</v>
      </c>
      <c r="AE1468" s="80" t="str">
        <f>HYPERLINK("https://twitter.com/pipelinevalor/status/1671641808105881602")</f>
        <v>https://twitter.com/pipelinevalor/status/1671641808105881602</v>
      </c>
      <c r="AF1468" s="79">
        <v>45098.924062500002</v>
      </c>
      <c r="AG1468" s="85">
        <v>45098</v>
      </c>
      <c r="AH1468" s="82" t="s">
        <v>9611</v>
      </c>
      <c r="AI1468" s="77" t="b">
        <v>0</v>
      </c>
      <c r="AJ1468" s="77"/>
      <c r="AK1468" s="77"/>
      <c r="AL1468" s="77"/>
      <c r="AM1468" s="77"/>
      <c r="AN1468" s="77"/>
      <c r="AO1468" s="77"/>
      <c r="AP1468" s="77"/>
      <c r="AQ1468" s="77"/>
      <c r="AR1468" s="77"/>
      <c r="AS1468" s="77"/>
      <c r="AT1468" s="77"/>
      <c r="AU1468" s="77"/>
      <c r="AV1468" s="80" t="str">
        <f>HYPERLINK("https://pbs.twimg.com/profile_images/1362407924870623232/rrq7HwoE_normal.jpg")</f>
        <v>https://pbs.twimg.com/profile_images/1362407924870623232/rrq7HwoE_normal.jpg</v>
      </c>
      <c r="AW1468" s="82" t="s">
        <v>14561</v>
      </c>
      <c r="AX1468" s="82" t="s">
        <v>14561</v>
      </c>
      <c r="AY1468" s="77"/>
      <c r="AZ1468" s="82" t="s">
        <v>17385</v>
      </c>
      <c r="BA1468" s="82" t="s">
        <v>17385</v>
      </c>
      <c r="BB1468" s="82" t="s">
        <v>17385</v>
      </c>
      <c r="BC1468" s="82" t="s">
        <v>14561</v>
      </c>
      <c r="BD1468" s="82" t="s">
        <v>17576</v>
      </c>
      <c r="BE1468" s="77"/>
      <c r="BF1468" s="77"/>
      <c r="BG1468" s="77"/>
      <c r="BH1468" s="77"/>
      <c r="BI1468" s="77"/>
    </row>
    <row r="1469" spans="1:61" x14ac:dyDescent="0.25">
      <c r="A1469" s="62" t="s">
        <v>484</v>
      </c>
      <c r="B1469" s="62" t="s">
        <v>484</v>
      </c>
      <c r="C1469" s="63"/>
      <c r="D1469" s="64"/>
      <c r="E1469" s="65"/>
      <c r="F1469" s="66"/>
      <c r="G1469" s="63"/>
      <c r="H1469" s="67"/>
      <c r="I1469" s="68"/>
      <c r="J1469" s="68"/>
      <c r="K1469" s="32"/>
      <c r="L1469" s="75">
        <v>1469</v>
      </c>
      <c r="M1469" s="75"/>
      <c r="N1469" s="70"/>
      <c r="O1469" s="77" t="s">
        <v>179</v>
      </c>
      <c r="P1469" s="79">
        <v>45188.692847222221</v>
      </c>
      <c r="Q1469" s="77" t="s">
        <v>2257</v>
      </c>
      <c r="R1469" s="77">
        <v>0</v>
      </c>
      <c r="S1469" s="77">
        <v>0</v>
      </c>
      <c r="T1469" s="77">
        <v>0</v>
      </c>
      <c r="U1469" s="77">
        <v>0</v>
      </c>
      <c r="V1469" s="77">
        <v>58</v>
      </c>
      <c r="W1469" s="82" t="s">
        <v>5758</v>
      </c>
      <c r="X1469" s="80" t="str">
        <f>HYPERLINK("https://pipelinevalor.globo.com/negocios/noticia/santander-passa-a-recomendar-compra-da-fras-le.ghtml")</f>
        <v>https://pipelinevalor.globo.com/negocios/noticia/santander-passa-a-recomendar-compra-da-fras-le.ghtml</v>
      </c>
      <c r="Y1469" s="77" t="s">
        <v>7113</v>
      </c>
      <c r="Z1469" s="77"/>
      <c r="AA1469" s="77"/>
      <c r="AB1469" s="77"/>
      <c r="AC1469" s="82" t="s">
        <v>8232</v>
      </c>
      <c r="AD1469" s="77" t="s">
        <v>8278</v>
      </c>
      <c r="AE1469" s="80" t="str">
        <f>HYPERLINK("https://twitter.com/pipelinevalor/status/1704172925979447377")</f>
        <v>https://twitter.com/pipelinevalor/status/1704172925979447377</v>
      </c>
      <c r="AF1469" s="79">
        <v>45188.692847222221</v>
      </c>
      <c r="AG1469" s="85">
        <v>45188</v>
      </c>
      <c r="AH1469" s="82" t="s">
        <v>9259</v>
      </c>
      <c r="AI1469" s="77" t="b">
        <v>0</v>
      </c>
      <c r="AJ1469" s="77"/>
      <c r="AK1469" s="77"/>
      <c r="AL1469" s="77"/>
      <c r="AM1469" s="77"/>
      <c r="AN1469" s="77"/>
      <c r="AO1469" s="77"/>
      <c r="AP1469" s="77"/>
      <c r="AQ1469" s="77"/>
      <c r="AR1469" s="77"/>
      <c r="AS1469" s="77"/>
      <c r="AT1469" s="77"/>
      <c r="AU1469" s="77"/>
      <c r="AV1469" s="80" t="str">
        <f>HYPERLINK("https://pbs.twimg.com/profile_images/1362407924870623232/rrq7HwoE_normal.jpg")</f>
        <v>https://pbs.twimg.com/profile_images/1362407924870623232/rrq7HwoE_normal.jpg</v>
      </c>
      <c r="AW1469" s="82" t="s">
        <v>14562</v>
      </c>
      <c r="AX1469" s="82" t="s">
        <v>14562</v>
      </c>
      <c r="AY1469" s="77"/>
      <c r="AZ1469" s="82" t="s">
        <v>17385</v>
      </c>
      <c r="BA1469" s="82" t="s">
        <v>17385</v>
      </c>
      <c r="BB1469" s="82" t="s">
        <v>17385</v>
      </c>
      <c r="BC1469" s="82" t="s">
        <v>14562</v>
      </c>
      <c r="BD1469" s="82" t="s">
        <v>17576</v>
      </c>
      <c r="BE1469" s="77"/>
      <c r="BF1469" s="77"/>
      <c r="BG1469" s="77"/>
      <c r="BH1469" s="77"/>
      <c r="BI1469" s="77"/>
    </row>
    <row r="1470" spans="1:61" x14ac:dyDescent="0.25">
      <c r="A1470" s="62" t="s">
        <v>485</v>
      </c>
      <c r="B1470" s="62" t="s">
        <v>485</v>
      </c>
      <c r="C1470" s="63"/>
      <c r="D1470" s="64"/>
      <c r="E1470" s="65"/>
      <c r="F1470" s="66"/>
      <c r="G1470" s="63"/>
      <c r="H1470" s="67"/>
      <c r="I1470" s="68"/>
      <c r="J1470" s="68"/>
      <c r="K1470" s="32"/>
      <c r="L1470" s="75">
        <v>1470</v>
      </c>
      <c r="M1470" s="75"/>
      <c r="N1470" s="70"/>
      <c r="O1470" s="77" t="s">
        <v>179</v>
      </c>
      <c r="P1470" s="79">
        <v>45048.613541666666</v>
      </c>
      <c r="Q1470" s="77" t="s">
        <v>2258</v>
      </c>
      <c r="R1470" s="77">
        <v>0</v>
      </c>
      <c r="S1470" s="77">
        <v>0</v>
      </c>
      <c r="T1470" s="77">
        <v>1</v>
      </c>
      <c r="U1470" s="77">
        <v>0</v>
      </c>
      <c r="V1470" s="77">
        <v>27</v>
      </c>
      <c r="W1470" s="82" t="s">
        <v>5759</v>
      </c>
      <c r="X1470" s="77"/>
      <c r="Y1470" s="77"/>
      <c r="Z1470" s="77"/>
      <c r="AA1470" s="77"/>
      <c r="AB1470" s="77"/>
      <c r="AC1470" s="82" t="s">
        <v>8262</v>
      </c>
      <c r="AD1470" s="77" t="s">
        <v>8278</v>
      </c>
      <c r="AE1470" s="80" t="str">
        <f>HYPERLINK("https://twitter.com/stigertrodrigo/status/1653409886779109377")</f>
        <v>https://twitter.com/stigertrodrigo/status/1653409886779109377</v>
      </c>
      <c r="AF1470" s="79">
        <v>45048.613541666666</v>
      </c>
      <c r="AG1470" s="85">
        <v>45048</v>
      </c>
      <c r="AH1470" s="82" t="s">
        <v>9612</v>
      </c>
      <c r="AI1470" s="77"/>
      <c r="AJ1470" s="77"/>
      <c r="AK1470" s="77"/>
      <c r="AL1470" s="77"/>
      <c r="AM1470" s="77"/>
      <c r="AN1470" s="77"/>
      <c r="AO1470" s="77"/>
      <c r="AP1470" s="77"/>
      <c r="AQ1470" s="77"/>
      <c r="AR1470" s="77"/>
      <c r="AS1470" s="77"/>
      <c r="AT1470" s="77"/>
      <c r="AU1470" s="77"/>
      <c r="AV1470" s="80" t="str">
        <f>HYPERLINK("https://pbs.twimg.com/profile_images/1678539023646597120/QA3ED3j2_normal.jpg")</f>
        <v>https://pbs.twimg.com/profile_images/1678539023646597120/QA3ED3j2_normal.jpg</v>
      </c>
      <c r="AW1470" s="82" t="s">
        <v>14563</v>
      </c>
      <c r="AX1470" s="82" t="s">
        <v>14563</v>
      </c>
      <c r="AY1470" s="77"/>
      <c r="AZ1470" s="82" t="s">
        <v>17385</v>
      </c>
      <c r="BA1470" s="82" t="s">
        <v>17385</v>
      </c>
      <c r="BB1470" s="82" t="s">
        <v>17385</v>
      </c>
      <c r="BC1470" s="82" t="s">
        <v>14563</v>
      </c>
      <c r="BD1470" s="82" t="s">
        <v>17577</v>
      </c>
      <c r="BE1470" s="77"/>
      <c r="BF1470" s="77"/>
      <c r="BG1470" s="77"/>
      <c r="BH1470" s="77"/>
      <c r="BI1470" s="77"/>
    </row>
    <row r="1471" spans="1:61" x14ac:dyDescent="0.25">
      <c r="A1471" s="62" t="s">
        <v>486</v>
      </c>
      <c r="B1471" s="62" t="s">
        <v>486</v>
      </c>
      <c r="C1471" s="63"/>
      <c r="D1471" s="64"/>
      <c r="E1471" s="65"/>
      <c r="F1471" s="66"/>
      <c r="G1471" s="63"/>
      <c r="H1471" s="67"/>
      <c r="I1471" s="68"/>
      <c r="J1471" s="68"/>
      <c r="K1471" s="32"/>
      <c r="L1471" s="75">
        <v>1471</v>
      </c>
      <c r="M1471" s="75"/>
      <c r="N1471" s="70"/>
      <c r="O1471" s="77" t="s">
        <v>179</v>
      </c>
      <c r="P1471" s="79">
        <v>45191.841898148145</v>
      </c>
      <c r="Q1471" s="77" t="s">
        <v>2259</v>
      </c>
      <c r="R1471" s="77">
        <v>0</v>
      </c>
      <c r="S1471" s="77">
        <v>0</v>
      </c>
      <c r="T1471" s="77">
        <v>0</v>
      </c>
      <c r="U1471" s="77">
        <v>0</v>
      </c>
      <c r="V1471" s="77">
        <v>15</v>
      </c>
      <c r="W1471" s="82" t="s">
        <v>5760</v>
      </c>
      <c r="X1471" s="77"/>
      <c r="Y1471" s="77"/>
      <c r="Z1471" s="77"/>
      <c r="AA1471" s="77"/>
      <c r="AB1471" s="77"/>
      <c r="AC1471" s="82" t="s">
        <v>8263</v>
      </c>
      <c r="AD1471" s="77" t="s">
        <v>8278</v>
      </c>
      <c r="AE1471" s="80" t="str">
        <f>HYPERLINK("https://twitter.com/theinfoveritas/status/1705314103068144086")</f>
        <v>https://twitter.com/theinfoveritas/status/1705314103068144086</v>
      </c>
      <c r="AF1471" s="79">
        <v>45191.841898148145</v>
      </c>
      <c r="AG1471" s="85">
        <v>45191</v>
      </c>
      <c r="AH1471" s="82" t="s">
        <v>9613</v>
      </c>
      <c r="AI1471" s="77"/>
      <c r="AJ1471" s="77"/>
      <c r="AK1471" s="77"/>
      <c r="AL1471" s="77"/>
      <c r="AM1471" s="77"/>
      <c r="AN1471" s="77"/>
      <c r="AO1471" s="77"/>
      <c r="AP1471" s="77"/>
      <c r="AQ1471" s="77"/>
      <c r="AR1471" s="77"/>
      <c r="AS1471" s="77"/>
      <c r="AT1471" s="77"/>
      <c r="AU1471" s="77"/>
      <c r="AV1471" s="80" t="str">
        <f>HYPERLINK("https://pbs.twimg.com/profile_images/1664096165070028801/PSJeAwx__normal.jpg")</f>
        <v>https://pbs.twimg.com/profile_images/1664096165070028801/PSJeAwx__normal.jpg</v>
      </c>
      <c r="AW1471" s="82" t="s">
        <v>14564</v>
      </c>
      <c r="AX1471" s="82" t="s">
        <v>14564</v>
      </c>
      <c r="AY1471" s="77"/>
      <c r="AZ1471" s="82" t="s">
        <v>17385</v>
      </c>
      <c r="BA1471" s="82" t="s">
        <v>17385</v>
      </c>
      <c r="BB1471" s="82" t="s">
        <v>17385</v>
      </c>
      <c r="BC1471" s="82" t="s">
        <v>14564</v>
      </c>
      <c r="BD1471" s="82" t="s">
        <v>17578</v>
      </c>
      <c r="BE1471" s="77"/>
      <c r="BF1471" s="77"/>
      <c r="BG1471" s="77"/>
      <c r="BH1471" s="77"/>
      <c r="BI1471" s="77"/>
    </row>
    <row r="1472" spans="1:61" x14ac:dyDescent="0.25">
      <c r="A1472" s="62" t="s">
        <v>487</v>
      </c>
      <c r="B1472" s="62" t="s">
        <v>487</v>
      </c>
      <c r="C1472" s="63"/>
      <c r="D1472" s="64"/>
      <c r="E1472" s="65"/>
      <c r="F1472" s="66"/>
      <c r="G1472" s="63"/>
      <c r="H1472" s="67"/>
      <c r="I1472" s="68"/>
      <c r="J1472" s="68"/>
      <c r="K1472" s="32"/>
      <c r="L1472" s="75">
        <v>1472</v>
      </c>
      <c r="M1472" s="75"/>
      <c r="N1472" s="70"/>
      <c r="O1472" s="77" t="s">
        <v>179</v>
      </c>
      <c r="P1472" s="79">
        <v>45144.453611111108</v>
      </c>
      <c r="Q1472" s="77" t="s">
        <v>2260</v>
      </c>
      <c r="R1472" s="77">
        <v>0</v>
      </c>
      <c r="S1472" s="77">
        <v>2</v>
      </c>
      <c r="T1472" s="77">
        <v>0</v>
      </c>
      <c r="U1472" s="77">
        <v>1</v>
      </c>
      <c r="V1472" s="77">
        <v>1062</v>
      </c>
      <c r="W1472" s="77"/>
      <c r="X1472" s="80" t="str">
        <f>HYPERLINK("https://www.jornaldenegocios.pt/mercados/obrigacoes/detalhe/berkshire-de-buffett-com-os-melhores-resultados-trimestrais-de-sempre")</f>
        <v>https://www.jornaldenegocios.pt/mercados/obrigacoes/detalhe/berkshire-de-buffett-com-os-melhores-resultados-trimestrais-de-sempre</v>
      </c>
      <c r="Y1472" s="77" t="s">
        <v>7114</v>
      </c>
      <c r="Z1472" s="77"/>
      <c r="AA1472" s="77"/>
      <c r="AB1472" s="77"/>
      <c r="AC1472" s="82" t="s">
        <v>8264</v>
      </c>
      <c r="AD1472" s="77" t="s">
        <v>8278</v>
      </c>
      <c r="AE1472" s="80" t="str">
        <f>HYPERLINK("https://twitter.com/jnegocios/status/1688141163306348544")</f>
        <v>https://twitter.com/jnegocios/status/1688141163306348544</v>
      </c>
      <c r="AF1472" s="79">
        <v>45144.453611111108</v>
      </c>
      <c r="AG1472" s="85">
        <v>45144</v>
      </c>
      <c r="AH1472" s="82" t="s">
        <v>9614</v>
      </c>
      <c r="AI1472" s="77" t="b">
        <v>0</v>
      </c>
      <c r="AJ1472" s="77"/>
      <c r="AK1472" s="77"/>
      <c r="AL1472" s="77"/>
      <c r="AM1472" s="77"/>
      <c r="AN1472" s="77"/>
      <c r="AO1472" s="77"/>
      <c r="AP1472" s="77"/>
      <c r="AQ1472" s="77"/>
      <c r="AR1472" s="77"/>
      <c r="AS1472" s="77"/>
      <c r="AT1472" s="77"/>
      <c r="AU1472" s="77"/>
      <c r="AV1472" s="80" t="str">
        <f>HYPERLINK("https://pbs.twimg.com/profile_images/1594732407848144899/xb1Y4Q8f_normal.jpg")</f>
        <v>https://pbs.twimg.com/profile_images/1594732407848144899/xb1Y4Q8f_normal.jpg</v>
      </c>
      <c r="AW1472" s="82" t="s">
        <v>14565</v>
      </c>
      <c r="AX1472" s="82" t="s">
        <v>14565</v>
      </c>
      <c r="AY1472" s="77"/>
      <c r="AZ1472" s="82" t="s">
        <v>17385</v>
      </c>
      <c r="BA1472" s="82" t="s">
        <v>17385</v>
      </c>
      <c r="BB1472" s="82" t="s">
        <v>17385</v>
      </c>
      <c r="BC1472" s="82" t="s">
        <v>14565</v>
      </c>
      <c r="BD1472" s="77">
        <v>17884125</v>
      </c>
      <c r="BE1472" s="77"/>
      <c r="BF1472" s="77"/>
      <c r="BG1472" s="77"/>
      <c r="BH1472" s="77"/>
      <c r="BI1472" s="77"/>
    </row>
    <row r="1473" spans="1:61" x14ac:dyDescent="0.25">
      <c r="A1473" s="62" t="s">
        <v>488</v>
      </c>
      <c r="B1473" s="62" t="s">
        <v>487</v>
      </c>
      <c r="C1473" s="63"/>
      <c r="D1473" s="64"/>
      <c r="E1473" s="65"/>
      <c r="F1473" s="66"/>
      <c r="G1473" s="63"/>
      <c r="H1473" s="67"/>
      <c r="I1473" s="68"/>
      <c r="J1473" s="68"/>
      <c r="K1473" s="32"/>
      <c r="L1473" s="75">
        <v>1473</v>
      </c>
      <c r="M1473" s="75"/>
      <c r="N1473" s="70"/>
      <c r="O1473" s="77" t="s">
        <v>801</v>
      </c>
      <c r="P1473" s="79">
        <v>45144.566874999997</v>
      </c>
      <c r="Q1473" s="77" t="s">
        <v>2261</v>
      </c>
      <c r="R1473" s="77">
        <v>0</v>
      </c>
      <c r="S1473" s="77">
        <v>0</v>
      </c>
      <c r="T1473" s="77">
        <v>0</v>
      </c>
      <c r="U1473" s="77">
        <v>0</v>
      </c>
      <c r="V1473" s="77">
        <v>22</v>
      </c>
      <c r="W1473" s="82" t="s">
        <v>5761</v>
      </c>
      <c r="X1473" s="77"/>
      <c r="Y1473" s="77"/>
      <c r="Z1473" s="77"/>
      <c r="AA1473" s="77"/>
      <c r="AB1473" s="77"/>
      <c r="AC1473" s="82" t="s">
        <v>8233</v>
      </c>
      <c r="AD1473" s="77" t="s">
        <v>8278</v>
      </c>
      <c r="AE1473" s="80" t="str">
        <f>HYPERLINK("https://twitter.com/caminhodoinves1/status/1688182211193790464")</f>
        <v>https://twitter.com/caminhodoinves1/status/1688182211193790464</v>
      </c>
      <c r="AF1473" s="79">
        <v>45144.566874999997</v>
      </c>
      <c r="AG1473" s="85">
        <v>45144</v>
      </c>
      <c r="AH1473" s="82" t="s">
        <v>8673</v>
      </c>
      <c r="AI1473" s="77"/>
      <c r="AJ1473" s="77"/>
      <c r="AK1473" s="77"/>
      <c r="AL1473" s="77"/>
      <c r="AM1473" s="77"/>
      <c r="AN1473" s="77"/>
      <c r="AO1473" s="77"/>
      <c r="AP1473" s="77"/>
      <c r="AQ1473" s="77"/>
      <c r="AR1473" s="77"/>
      <c r="AS1473" s="77"/>
      <c r="AT1473" s="77"/>
      <c r="AU1473" s="77"/>
      <c r="AV1473" s="80" t="str">
        <f>HYPERLINK("https://pbs.twimg.com/profile_images/1494034280338571265/5HQ_Gu6j_normal.jpg")</f>
        <v>https://pbs.twimg.com/profile_images/1494034280338571265/5HQ_Gu6j_normal.jpg</v>
      </c>
      <c r="AW1473" s="82" t="s">
        <v>14566</v>
      </c>
      <c r="AX1473" s="82" t="s">
        <v>14566</v>
      </c>
      <c r="AY1473" s="77"/>
      <c r="AZ1473" s="82" t="s">
        <v>17385</v>
      </c>
      <c r="BA1473" s="82" t="s">
        <v>14565</v>
      </c>
      <c r="BB1473" s="82" t="s">
        <v>17385</v>
      </c>
      <c r="BC1473" s="82" t="s">
        <v>14565</v>
      </c>
      <c r="BD1473" s="82" t="s">
        <v>17579</v>
      </c>
      <c r="BE1473" s="77"/>
      <c r="BF1473" s="77"/>
      <c r="BG1473" s="77"/>
      <c r="BH1473" s="77"/>
      <c r="BI1473" s="77"/>
    </row>
    <row r="1474" spans="1:61" x14ac:dyDescent="0.25">
      <c r="A1474" s="62" t="s">
        <v>488</v>
      </c>
      <c r="B1474" s="62" t="s">
        <v>588</v>
      </c>
      <c r="C1474" s="63"/>
      <c r="D1474" s="64"/>
      <c r="E1474" s="65"/>
      <c r="F1474" s="66"/>
      <c r="G1474" s="63"/>
      <c r="H1474" s="67"/>
      <c r="I1474" s="68"/>
      <c r="J1474" s="68"/>
      <c r="K1474" s="32"/>
      <c r="L1474" s="75">
        <v>1474</v>
      </c>
      <c r="M1474" s="75"/>
      <c r="N1474" s="70"/>
      <c r="O1474" s="77" t="s">
        <v>801</v>
      </c>
      <c r="P1474" s="79">
        <v>45180.330625000002</v>
      </c>
      <c r="Q1474" s="77" t="s">
        <v>2262</v>
      </c>
      <c r="R1474" s="77">
        <v>0</v>
      </c>
      <c r="S1474" s="77">
        <v>1</v>
      </c>
      <c r="T1474" s="77">
        <v>0</v>
      </c>
      <c r="U1474" s="77">
        <v>0</v>
      </c>
      <c r="V1474" s="77">
        <v>49</v>
      </c>
      <c r="W1474" s="82" t="s">
        <v>5762</v>
      </c>
      <c r="X1474" s="77"/>
      <c r="Y1474" s="77"/>
      <c r="Z1474" s="77"/>
      <c r="AA1474" s="77"/>
      <c r="AB1474" s="77"/>
      <c r="AC1474" s="82" t="s">
        <v>8233</v>
      </c>
      <c r="AD1474" s="77" t="s">
        <v>8278</v>
      </c>
      <c r="AE1474" s="80" t="str">
        <f>HYPERLINK("https://twitter.com/caminhodoinves1/status/1701142557495820796")</f>
        <v>https://twitter.com/caminhodoinves1/status/1701142557495820796</v>
      </c>
      <c r="AF1474" s="79">
        <v>45180.330625000002</v>
      </c>
      <c r="AG1474" s="85">
        <v>45180</v>
      </c>
      <c r="AH1474" s="82" t="s">
        <v>9615</v>
      </c>
      <c r="AI1474" s="77"/>
      <c r="AJ1474" s="77"/>
      <c r="AK1474" s="77"/>
      <c r="AL1474" s="77"/>
      <c r="AM1474" s="77"/>
      <c r="AN1474" s="77"/>
      <c r="AO1474" s="77"/>
      <c r="AP1474" s="77"/>
      <c r="AQ1474" s="77"/>
      <c r="AR1474" s="77"/>
      <c r="AS1474" s="77"/>
      <c r="AT1474" s="77"/>
      <c r="AU1474" s="77"/>
      <c r="AV1474" s="80" t="str">
        <f>HYPERLINK("https://pbs.twimg.com/profile_images/1494034280338571265/5HQ_Gu6j_normal.jpg")</f>
        <v>https://pbs.twimg.com/profile_images/1494034280338571265/5HQ_Gu6j_normal.jpg</v>
      </c>
      <c r="AW1474" s="82" t="s">
        <v>14567</v>
      </c>
      <c r="AX1474" s="82" t="s">
        <v>14567</v>
      </c>
      <c r="AY1474" s="77"/>
      <c r="AZ1474" s="82" t="s">
        <v>17385</v>
      </c>
      <c r="BA1474" s="82" t="s">
        <v>15210</v>
      </c>
      <c r="BB1474" s="82" t="s">
        <v>17385</v>
      </c>
      <c r="BC1474" s="82" t="s">
        <v>15210</v>
      </c>
      <c r="BD1474" s="82" t="s">
        <v>17579</v>
      </c>
      <c r="BE1474" s="77"/>
      <c r="BF1474" s="77"/>
      <c r="BG1474" s="77"/>
      <c r="BH1474" s="77"/>
      <c r="BI1474" s="77"/>
    </row>
    <row r="1475" spans="1:61" x14ac:dyDescent="0.25">
      <c r="A1475" s="62" t="s">
        <v>489</v>
      </c>
      <c r="B1475" s="62" t="s">
        <v>489</v>
      </c>
      <c r="C1475" s="63"/>
      <c r="D1475" s="64"/>
      <c r="E1475" s="65"/>
      <c r="F1475" s="66"/>
      <c r="G1475" s="63"/>
      <c r="H1475" s="67"/>
      <c r="I1475" s="68"/>
      <c r="J1475" s="68"/>
      <c r="K1475" s="32"/>
      <c r="L1475" s="75">
        <v>1475</v>
      </c>
      <c r="M1475" s="75"/>
      <c r="N1475" s="70"/>
      <c r="O1475" s="77" t="s">
        <v>179</v>
      </c>
      <c r="P1475" s="79">
        <v>45078.876030092593</v>
      </c>
      <c r="Q1475" s="77" t="s">
        <v>2263</v>
      </c>
      <c r="R1475" s="77">
        <v>0</v>
      </c>
      <c r="S1475" s="77">
        <v>0</v>
      </c>
      <c r="T1475" s="77">
        <v>0</v>
      </c>
      <c r="U1475" s="77">
        <v>0</v>
      </c>
      <c r="V1475" s="77">
        <v>24</v>
      </c>
      <c r="W1475" s="82" t="s">
        <v>5763</v>
      </c>
      <c r="X1475" s="77" t="s">
        <v>7041</v>
      </c>
      <c r="Y1475" s="77" t="s">
        <v>7115</v>
      </c>
      <c r="Z1475" s="77"/>
      <c r="AA1475" s="77"/>
      <c r="AB1475" s="77"/>
      <c r="AC1475" s="82" t="s">
        <v>8232</v>
      </c>
      <c r="AD1475" s="77" t="s">
        <v>8278</v>
      </c>
      <c r="AE1475" s="80" t="str">
        <f>HYPERLINK("https://twitter.com/ionited_io/status/1664376644188925955")</f>
        <v>https://twitter.com/ionited_io/status/1664376644188925955</v>
      </c>
      <c r="AF1475" s="79">
        <v>45078.876030092593</v>
      </c>
      <c r="AG1475" s="85">
        <v>45078</v>
      </c>
      <c r="AH1475" s="82" t="s">
        <v>9616</v>
      </c>
      <c r="AI1475" s="77" t="b">
        <v>0</v>
      </c>
      <c r="AJ1475" s="77"/>
      <c r="AK1475" s="77"/>
      <c r="AL1475" s="77"/>
      <c r="AM1475" s="77"/>
      <c r="AN1475" s="77"/>
      <c r="AO1475" s="77"/>
      <c r="AP1475" s="77"/>
      <c r="AQ1475" s="77"/>
      <c r="AR1475" s="77"/>
      <c r="AS1475" s="77"/>
      <c r="AT1475" s="77"/>
      <c r="AU1475" s="77"/>
      <c r="AV1475" s="80" t="str">
        <f>HYPERLINK("https://pbs.twimg.com/profile_images/1663892931973898241/ujrMdnIE_normal.jpg")</f>
        <v>https://pbs.twimg.com/profile_images/1663892931973898241/ujrMdnIE_normal.jpg</v>
      </c>
      <c r="AW1475" s="82" t="s">
        <v>14568</v>
      </c>
      <c r="AX1475" s="82" t="s">
        <v>14568</v>
      </c>
      <c r="AY1475" s="77"/>
      <c r="AZ1475" s="82" t="s">
        <v>17385</v>
      </c>
      <c r="BA1475" s="82" t="s">
        <v>17385</v>
      </c>
      <c r="BB1475" s="82" t="s">
        <v>17385</v>
      </c>
      <c r="BC1475" s="82" t="s">
        <v>14568</v>
      </c>
      <c r="BD1475" s="82" t="s">
        <v>17580</v>
      </c>
      <c r="BE1475" s="77"/>
      <c r="BF1475" s="77"/>
      <c r="BG1475" s="77"/>
      <c r="BH1475" s="77"/>
      <c r="BI1475" s="77"/>
    </row>
    <row r="1476" spans="1:61" x14ac:dyDescent="0.25">
      <c r="A1476" s="62" t="s">
        <v>489</v>
      </c>
      <c r="B1476" s="62" t="s">
        <v>489</v>
      </c>
      <c r="C1476" s="63"/>
      <c r="D1476" s="64"/>
      <c r="E1476" s="65"/>
      <c r="F1476" s="66"/>
      <c r="G1476" s="63"/>
      <c r="H1476" s="67"/>
      <c r="I1476" s="68"/>
      <c r="J1476" s="68"/>
      <c r="K1476" s="32"/>
      <c r="L1476" s="75">
        <v>1476</v>
      </c>
      <c r="M1476" s="75"/>
      <c r="N1476" s="70"/>
      <c r="O1476" s="77" t="s">
        <v>179</v>
      </c>
      <c r="P1476" s="79">
        <v>45083.625219907408</v>
      </c>
      <c r="Q1476" s="77" t="s">
        <v>2264</v>
      </c>
      <c r="R1476" s="77">
        <v>0</v>
      </c>
      <c r="S1476" s="77">
        <v>0</v>
      </c>
      <c r="T1476" s="77">
        <v>0</v>
      </c>
      <c r="U1476" s="77">
        <v>0</v>
      </c>
      <c r="V1476" s="77">
        <v>20</v>
      </c>
      <c r="W1476" s="82" t="s">
        <v>5763</v>
      </c>
      <c r="X1476" s="77" t="s">
        <v>7042</v>
      </c>
      <c r="Y1476" s="77" t="s">
        <v>7115</v>
      </c>
      <c r="Z1476" s="77"/>
      <c r="AA1476" s="77"/>
      <c r="AB1476" s="77"/>
      <c r="AC1476" s="82" t="s">
        <v>8232</v>
      </c>
      <c r="AD1476" s="77" t="s">
        <v>8278</v>
      </c>
      <c r="AE1476" s="80" t="str">
        <f>HYPERLINK("https://twitter.com/ionited_io/status/1666097693528326146")</f>
        <v>https://twitter.com/ionited_io/status/1666097693528326146</v>
      </c>
      <c r="AF1476" s="79">
        <v>45083.625219907408</v>
      </c>
      <c r="AG1476" s="85">
        <v>45083</v>
      </c>
      <c r="AH1476" s="82" t="s">
        <v>9617</v>
      </c>
      <c r="AI1476" s="77" t="b">
        <v>0</v>
      </c>
      <c r="AJ1476" s="77"/>
      <c r="AK1476" s="77"/>
      <c r="AL1476" s="77"/>
      <c r="AM1476" s="77"/>
      <c r="AN1476" s="77"/>
      <c r="AO1476" s="77"/>
      <c r="AP1476" s="77"/>
      <c r="AQ1476" s="77"/>
      <c r="AR1476" s="77"/>
      <c r="AS1476" s="77"/>
      <c r="AT1476" s="77"/>
      <c r="AU1476" s="77"/>
      <c r="AV1476" s="80" t="str">
        <f>HYPERLINK("https://pbs.twimg.com/profile_images/1663892931973898241/ujrMdnIE_normal.jpg")</f>
        <v>https://pbs.twimg.com/profile_images/1663892931973898241/ujrMdnIE_normal.jpg</v>
      </c>
      <c r="AW1476" s="82" t="s">
        <v>14569</v>
      </c>
      <c r="AX1476" s="82" t="s">
        <v>14569</v>
      </c>
      <c r="AY1476" s="77"/>
      <c r="AZ1476" s="82" t="s">
        <v>17385</v>
      </c>
      <c r="BA1476" s="82" t="s">
        <v>17385</v>
      </c>
      <c r="BB1476" s="82" t="s">
        <v>17385</v>
      </c>
      <c r="BC1476" s="82" t="s">
        <v>14569</v>
      </c>
      <c r="BD1476" s="82" t="s">
        <v>17580</v>
      </c>
      <c r="BE1476" s="77"/>
      <c r="BF1476" s="77"/>
      <c r="BG1476" s="77"/>
      <c r="BH1476" s="77"/>
      <c r="BI1476" s="77"/>
    </row>
    <row r="1477" spans="1:61" x14ac:dyDescent="0.25">
      <c r="A1477" s="62" t="s">
        <v>489</v>
      </c>
      <c r="B1477" s="62" t="s">
        <v>489</v>
      </c>
      <c r="C1477" s="63"/>
      <c r="D1477" s="64"/>
      <c r="E1477" s="65"/>
      <c r="F1477" s="66"/>
      <c r="G1477" s="63"/>
      <c r="H1477" s="67"/>
      <c r="I1477" s="68"/>
      <c r="J1477" s="68"/>
      <c r="K1477" s="32"/>
      <c r="L1477" s="75">
        <v>1477</v>
      </c>
      <c r="M1477" s="75"/>
      <c r="N1477" s="70"/>
      <c r="O1477" s="77" t="s">
        <v>179</v>
      </c>
      <c r="P1477" s="79">
        <v>45103.875486111108</v>
      </c>
      <c r="Q1477" s="77" t="s">
        <v>2265</v>
      </c>
      <c r="R1477" s="77">
        <v>0</v>
      </c>
      <c r="S1477" s="77">
        <v>0</v>
      </c>
      <c r="T1477" s="77">
        <v>0</v>
      </c>
      <c r="U1477" s="77">
        <v>0</v>
      </c>
      <c r="V1477" s="77">
        <v>28</v>
      </c>
      <c r="W1477" s="82" t="s">
        <v>5763</v>
      </c>
      <c r="X1477" s="77" t="s">
        <v>7043</v>
      </c>
      <c r="Y1477" s="77" t="s">
        <v>7115</v>
      </c>
      <c r="Z1477" s="77"/>
      <c r="AA1477" s="77"/>
      <c r="AB1477" s="77"/>
      <c r="AC1477" s="82" t="s">
        <v>8232</v>
      </c>
      <c r="AD1477" s="77" t="s">
        <v>8278</v>
      </c>
      <c r="AE1477" s="80" t="str">
        <f>HYPERLINK("https://twitter.com/ionited_io/status/1673436144275451911")</f>
        <v>https://twitter.com/ionited_io/status/1673436144275451911</v>
      </c>
      <c r="AF1477" s="79">
        <v>45103.875486111108</v>
      </c>
      <c r="AG1477" s="85">
        <v>45103</v>
      </c>
      <c r="AH1477" s="82" t="s">
        <v>9618</v>
      </c>
      <c r="AI1477" s="77" t="b">
        <v>0</v>
      </c>
      <c r="AJ1477" s="77"/>
      <c r="AK1477" s="77"/>
      <c r="AL1477" s="77"/>
      <c r="AM1477" s="77"/>
      <c r="AN1477" s="77"/>
      <c r="AO1477" s="77"/>
      <c r="AP1477" s="77"/>
      <c r="AQ1477" s="77"/>
      <c r="AR1477" s="77"/>
      <c r="AS1477" s="77"/>
      <c r="AT1477" s="77"/>
      <c r="AU1477" s="77"/>
      <c r="AV1477" s="80" t="str">
        <f>HYPERLINK("https://pbs.twimg.com/profile_images/1663892931973898241/ujrMdnIE_normal.jpg")</f>
        <v>https://pbs.twimg.com/profile_images/1663892931973898241/ujrMdnIE_normal.jpg</v>
      </c>
      <c r="AW1477" s="82" t="s">
        <v>14570</v>
      </c>
      <c r="AX1477" s="82" t="s">
        <v>14570</v>
      </c>
      <c r="AY1477" s="77"/>
      <c r="AZ1477" s="82" t="s">
        <v>17385</v>
      </c>
      <c r="BA1477" s="82" t="s">
        <v>17385</v>
      </c>
      <c r="BB1477" s="82" t="s">
        <v>17385</v>
      </c>
      <c r="BC1477" s="82" t="s">
        <v>14570</v>
      </c>
      <c r="BD1477" s="82" t="s">
        <v>17580</v>
      </c>
      <c r="BE1477" s="77"/>
      <c r="BF1477" s="77"/>
      <c r="BG1477" s="77"/>
      <c r="BH1477" s="77"/>
      <c r="BI1477" s="77"/>
    </row>
    <row r="1478" spans="1:61" x14ac:dyDescent="0.25">
      <c r="A1478" s="62" t="s">
        <v>489</v>
      </c>
      <c r="B1478" s="62" t="s">
        <v>489</v>
      </c>
      <c r="C1478" s="63"/>
      <c r="D1478" s="64"/>
      <c r="E1478" s="65"/>
      <c r="F1478" s="66"/>
      <c r="G1478" s="63"/>
      <c r="H1478" s="67"/>
      <c r="I1478" s="68"/>
      <c r="J1478" s="68"/>
      <c r="K1478" s="32"/>
      <c r="L1478" s="75">
        <v>1478</v>
      </c>
      <c r="M1478" s="75"/>
      <c r="N1478" s="70"/>
      <c r="O1478" s="77" t="s">
        <v>179</v>
      </c>
      <c r="P1478" s="79">
        <v>45147.900682870371</v>
      </c>
      <c r="Q1478" s="77" t="s">
        <v>2266</v>
      </c>
      <c r="R1478" s="77">
        <v>0</v>
      </c>
      <c r="S1478" s="77">
        <v>0</v>
      </c>
      <c r="T1478" s="77">
        <v>0</v>
      </c>
      <c r="U1478" s="77">
        <v>0</v>
      </c>
      <c r="V1478" s="77">
        <v>33</v>
      </c>
      <c r="W1478" s="82" t="s">
        <v>5763</v>
      </c>
      <c r="X1478" s="77" t="s">
        <v>7044</v>
      </c>
      <c r="Y1478" s="77" t="s">
        <v>7115</v>
      </c>
      <c r="Z1478" s="77"/>
      <c r="AA1478" s="77"/>
      <c r="AB1478" s="77"/>
      <c r="AC1478" s="82" t="s">
        <v>8232</v>
      </c>
      <c r="AD1478" s="77" t="s">
        <v>8278</v>
      </c>
      <c r="AE1478" s="80" t="str">
        <f>HYPERLINK("https://twitter.com/ionited_io/status/1689390341877542913")</f>
        <v>https://twitter.com/ionited_io/status/1689390341877542913</v>
      </c>
      <c r="AF1478" s="79">
        <v>45147.900682870371</v>
      </c>
      <c r="AG1478" s="85">
        <v>45147</v>
      </c>
      <c r="AH1478" s="82" t="s">
        <v>9619</v>
      </c>
      <c r="AI1478" s="77" t="b">
        <v>0</v>
      </c>
      <c r="AJ1478" s="77"/>
      <c r="AK1478" s="77"/>
      <c r="AL1478" s="77"/>
      <c r="AM1478" s="77"/>
      <c r="AN1478" s="77"/>
      <c r="AO1478" s="77"/>
      <c r="AP1478" s="77"/>
      <c r="AQ1478" s="77"/>
      <c r="AR1478" s="77"/>
      <c r="AS1478" s="77"/>
      <c r="AT1478" s="77"/>
      <c r="AU1478" s="77"/>
      <c r="AV1478" s="80" t="str">
        <f>HYPERLINK("https://pbs.twimg.com/profile_images/1663892931973898241/ujrMdnIE_normal.jpg")</f>
        <v>https://pbs.twimg.com/profile_images/1663892931973898241/ujrMdnIE_normal.jpg</v>
      </c>
      <c r="AW1478" s="82" t="s">
        <v>14571</v>
      </c>
      <c r="AX1478" s="82" t="s">
        <v>14571</v>
      </c>
      <c r="AY1478" s="77"/>
      <c r="AZ1478" s="82" t="s">
        <v>17385</v>
      </c>
      <c r="BA1478" s="82" t="s">
        <v>17385</v>
      </c>
      <c r="BB1478" s="82" t="s">
        <v>17385</v>
      </c>
      <c r="BC1478" s="82" t="s">
        <v>14571</v>
      </c>
      <c r="BD1478" s="82" t="s">
        <v>17580</v>
      </c>
      <c r="BE1478" s="77"/>
      <c r="BF1478" s="77"/>
      <c r="BG1478" s="77"/>
      <c r="BH1478" s="77"/>
      <c r="BI1478" s="77"/>
    </row>
    <row r="1479" spans="1:61" x14ac:dyDescent="0.25">
      <c r="A1479" s="62" t="s">
        <v>489</v>
      </c>
      <c r="B1479" s="62" t="s">
        <v>489</v>
      </c>
      <c r="C1479" s="63"/>
      <c r="D1479" s="64"/>
      <c r="E1479" s="65"/>
      <c r="F1479" s="66"/>
      <c r="G1479" s="63"/>
      <c r="H1479" s="67"/>
      <c r="I1479" s="68"/>
      <c r="J1479" s="68"/>
      <c r="K1479" s="32"/>
      <c r="L1479" s="75">
        <v>1479</v>
      </c>
      <c r="M1479" s="75"/>
      <c r="N1479" s="70"/>
      <c r="O1479" s="77" t="s">
        <v>179</v>
      </c>
      <c r="P1479" s="79">
        <v>45107.875150462962</v>
      </c>
      <c r="Q1479" s="77" t="s">
        <v>2267</v>
      </c>
      <c r="R1479" s="77">
        <v>0</v>
      </c>
      <c r="S1479" s="77">
        <v>0</v>
      </c>
      <c r="T1479" s="77">
        <v>0</v>
      </c>
      <c r="U1479" s="77">
        <v>0</v>
      </c>
      <c r="V1479" s="77">
        <v>25</v>
      </c>
      <c r="W1479" s="82" t="s">
        <v>5763</v>
      </c>
      <c r="X1479" s="77" t="s">
        <v>7045</v>
      </c>
      <c r="Y1479" s="77" t="s">
        <v>7115</v>
      </c>
      <c r="Z1479" s="77"/>
      <c r="AA1479" s="77"/>
      <c r="AB1479" s="77"/>
      <c r="AC1479" s="82" t="s">
        <v>8232</v>
      </c>
      <c r="AD1479" s="77" t="s">
        <v>8278</v>
      </c>
      <c r="AE1479" s="80" t="str">
        <f>HYPERLINK("https://twitter.com/ionited_io/status/1674885575600402433")</f>
        <v>https://twitter.com/ionited_io/status/1674885575600402433</v>
      </c>
      <c r="AF1479" s="79">
        <v>45107.875150462962</v>
      </c>
      <c r="AG1479" s="85">
        <v>45107</v>
      </c>
      <c r="AH1479" s="82" t="s">
        <v>9620</v>
      </c>
      <c r="AI1479" s="77" t="b">
        <v>0</v>
      </c>
      <c r="AJ1479" s="77"/>
      <c r="AK1479" s="77"/>
      <c r="AL1479" s="77"/>
      <c r="AM1479" s="77"/>
      <c r="AN1479" s="77"/>
      <c r="AO1479" s="77"/>
      <c r="AP1479" s="77"/>
      <c r="AQ1479" s="77"/>
      <c r="AR1479" s="77"/>
      <c r="AS1479" s="77"/>
      <c r="AT1479" s="77"/>
      <c r="AU1479" s="77"/>
      <c r="AV1479" s="80" t="str">
        <f>HYPERLINK("https://pbs.twimg.com/profile_images/1663892931973898241/ujrMdnIE_normal.jpg")</f>
        <v>https://pbs.twimg.com/profile_images/1663892931973898241/ujrMdnIE_normal.jpg</v>
      </c>
      <c r="AW1479" s="82" t="s">
        <v>14572</v>
      </c>
      <c r="AX1479" s="82" t="s">
        <v>14572</v>
      </c>
      <c r="AY1479" s="77"/>
      <c r="AZ1479" s="82" t="s">
        <v>17385</v>
      </c>
      <c r="BA1479" s="82" t="s">
        <v>17385</v>
      </c>
      <c r="BB1479" s="82" t="s">
        <v>17385</v>
      </c>
      <c r="BC1479" s="82" t="s">
        <v>14572</v>
      </c>
      <c r="BD1479" s="82" t="s">
        <v>17580</v>
      </c>
      <c r="BE1479" s="77"/>
      <c r="BF1479" s="77"/>
      <c r="BG1479" s="77"/>
      <c r="BH1479" s="77"/>
      <c r="BI1479" s="77"/>
    </row>
    <row r="1480" spans="1:61" x14ac:dyDescent="0.25">
      <c r="A1480" s="62" t="s">
        <v>489</v>
      </c>
      <c r="B1480" s="62" t="s">
        <v>489</v>
      </c>
      <c r="C1480" s="63"/>
      <c r="D1480" s="64"/>
      <c r="E1480" s="65"/>
      <c r="F1480" s="66"/>
      <c r="G1480" s="63"/>
      <c r="H1480" s="67"/>
      <c r="I1480" s="68"/>
      <c r="J1480" s="68"/>
      <c r="K1480" s="32"/>
      <c r="L1480" s="75">
        <v>1480</v>
      </c>
      <c r="M1480" s="75"/>
      <c r="N1480" s="70"/>
      <c r="O1480" s="77" t="s">
        <v>179</v>
      </c>
      <c r="P1480" s="79">
        <v>45084.625023148146</v>
      </c>
      <c r="Q1480" s="77" t="s">
        <v>2268</v>
      </c>
      <c r="R1480" s="77">
        <v>0</v>
      </c>
      <c r="S1480" s="77">
        <v>0</v>
      </c>
      <c r="T1480" s="77">
        <v>0</v>
      </c>
      <c r="U1480" s="77">
        <v>0</v>
      </c>
      <c r="V1480" s="77">
        <v>13</v>
      </c>
      <c r="W1480" s="82" t="s">
        <v>5763</v>
      </c>
      <c r="X1480" s="77" t="s">
        <v>7046</v>
      </c>
      <c r="Y1480" s="77" t="s">
        <v>7115</v>
      </c>
      <c r="Z1480" s="77"/>
      <c r="AA1480" s="77"/>
      <c r="AB1480" s="77"/>
      <c r="AC1480" s="82" t="s">
        <v>8232</v>
      </c>
      <c r="AD1480" s="77" t="s">
        <v>8278</v>
      </c>
      <c r="AE1480" s="80" t="str">
        <f>HYPERLINK("https://twitter.com/ionited_io/status/1666460010354728961")</f>
        <v>https://twitter.com/ionited_io/status/1666460010354728961</v>
      </c>
      <c r="AF1480" s="79">
        <v>45084.625023148146</v>
      </c>
      <c r="AG1480" s="85">
        <v>45084</v>
      </c>
      <c r="AH1480" s="82" t="s">
        <v>9046</v>
      </c>
      <c r="AI1480" s="77" t="b">
        <v>0</v>
      </c>
      <c r="AJ1480" s="77"/>
      <c r="AK1480" s="77"/>
      <c r="AL1480" s="77"/>
      <c r="AM1480" s="77"/>
      <c r="AN1480" s="77"/>
      <c r="AO1480" s="77"/>
      <c r="AP1480" s="77"/>
      <c r="AQ1480" s="77"/>
      <c r="AR1480" s="77"/>
      <c r="AS1480" s="77"/>
      <c r="AT1480" s="77"/>
      <c r="AU1480" s="77"/>
      <c r="AV1480" s="80" t="str">
        <f>HYPERLINK("https://pbs.twimg.com/profile_images/1663892931973898241/ujrMdnIE_normal.jpg")</f>
        <v>https://pbs.twimg.com/profile_images/1663892931973898241/ujrMdnIE_normal.jpg</v>
      </c>
      <c r="AW1480" s="82" t="s">
        <v>14573</v>
      </c>
      <c r="AX1480" s="82" t="s">
        <v>14573</v>
      </c>
      <c r="AY1480" s="77"/>
      <c r="AZ1480" s="82" t="s">
        <v>17385</v>
      </c>
      <c r="BA1480" s="82" t="s">
        <v>17385</v>
      </c>
      <c r="BB1480" s="82" t="s">
        <v>17385</v>
      </c>
      <c r="BC1480" s="82" t="s">
        <v>14573</v>
      </c>
      <c r="BD1480" s="82" t="s">
        <v>17580</v>
      </c>
      <c r="BE1480" s="77"/>
      <c r="BF1480" s="77"/>
      <c r="BG1480" s="77"/>
      <c r="BH1480" s="77"/>
      <c r="BI1480" s="77"/>
    </row>
    <row r="1481" spans="1:61" x14ac:dyDescent="0.25">
      <c r="A1481" s="62" t="s">
        <v>489</v>
      </c>
      <c r="B1481" s="62" t="s">
        <v>489</v>
      </c>
      <c r="C1481" s="63"/>
      <c r="D1481" s="64"/>
      <c r="E1481" s="65"/>
      <c r="F1481" s="66"/>
      <c r="G1481" s="63"/>
      <c r="H1481" s="67"/>
      <c r="I1481" s="68"/>
      <c r="J1481" s="68"/>
      <c r="K1481" s="32"/>
      <c r="L1481" s="75">
        <v>1481</v>
      </c>
      <c r="M1481" s="75"/>
      <c r="N1481" s="70"/>
      <c r="O1481" s="77" t="s">
        <v>179</v>
      </c>
      <c r="P1481" s="79">
        <v>45181.905462962961</v>
      </c>
      <c r="Q1481" s="77" t="s">
        <v>2269</v>
      </c>
      <c r="R1481" s="77">
        <v>0</v>
      </c>
      <c r="S1481" s="77">
        <v>1</v>
      </c>
      <c r="T1481" s="77">
        <v>0</v>
      </c>
      <c r="U1481" s="77">
        <v>0</v>
      </c>
      <c r="V1481" s="77">
        <v>107</v>
      </c>
      <c r="W1481" s="82" t="s">
        <v>5763</v>
      </c>
      <c r="X1481" s="77" t="s">
        <v>7047</v>
      </c>
      <c r="Y1481" s="77" t="s">
        <v>7115</v>
      </c>
      <c r="Z1481" s="77"/>
      <c r="AA1481" s="77"/>
      <c r="AB1481" s="77"/>
      <c r="AC1481" s="82" t="s">
        <v>8232</v>
      </c>
      <c r="AD1481" s="77" t="s">
        <v>8278</v>
      </c>
      <c r="AE1481" s="80" t="str">
        <f>HYPERLINK("https://twitter.com/ionited_io/status/1701713261358379456")</f>
        <v>https://twitter.com/ionited_io/status/1701713261358379456</v>
      </c>
      <c r="AF1481" s="79">
        <v>45181.905462962961</v>
      </c>
      <c r="AG1481" s="85">
        <v>45181</v>
      </c>
      <c r="AH1481" s="82" t="s">
        <v>9621</v>
      </c>
      <c r="AI1481" s="77" t="b">
        <v>0</v>
      </c>
      <c r="AJ1481" s="77"/>
      <c r="AK1481" s="77"/>
      <c r="AL1481" s="77"/>
      <c r="AM1481" s="77"/>
      <c r="AN1481" s="77"/>
      <c r="AO1481" s="77"/>
      <c r="AP1481" s="77"/>
      <c r="AQ1481" s="77"/>
      <c r="AR1481" s="77"/>
      <c r="AS1481" s="77"/>
      <c r="AT1481" s="77"/>
      <c r="AU1481" s="77"/>
      <c r="AV1481" s="80" t="str">
        <f>HYPERLINK("https://pbs.twimg.com/profile_images/1663892931973898241/ujrMdnIE_normal.jpg")</f>
        <v>https://pbs.twimg.com/profile_images/1663892931973898241/ujrMdnIE_normal.jpg</v>
      </c>
      <c r="AW1481" s="82" t="s">
        <v>14574</v>
      </c>
      <c r="AX1481" s="82" t="s">
        <v>14574</v>
      </c>
      <c r="AY1481" s="77"/>
      <c r="AZ1481" s="82" t="s">
        <v>17385</v>
      </c>
      <c r="BA1481" s="82" t="s">
        <v>17385</v>
      </c>
      <c r="BB1481" s="82" t="s">
        <v>17385</v>
      </c>
      <c r="BC1481" s="82" t="s">
        <v>14574</v>
      </c>
      <c r="BD1481" s="82" t="s">
        <v>17580</v>
      </c>
      <c r="BE1481" s="77"/>
      <c r="BF1481" s="77"/>
      <c r="BG1481" s="77"/>
      <c r="BH1481" s="77"/>
      <c r="BI1481" s="77"/>
    </row>
    <row r="1482" spans="1:61" x14ac:dyDescent="0.25">
      <c r="A1482" s="62" t="s">
        <v>489</v>
      </c>
      <c r="B1482" s="62" t="s">
        <v>489</v>
      </c>
      <c r="C1482" s="63"/>
      <c r="D1482" s="64"/>
      <c r="E1482" s="65"/>
      <c r="F1482" s="66"/>
      <c r="G1482" s="63"/>
      <c r="H1482" s="67"/>
      <c r="I1482" s="68"/>
      <c r="J1482" s="68"/>
      <c r="K1482" s="32"/>
      <c r="L1482" s="75">
        <v>1482</v>
      </c>
      <c r="M1482" s="75"/>
      <c r="N1482" s="70"/>
      <c r="O1482" s="77" t="s">
        <v>179</v>
      </c>
      <c r="P1482" s="79">
        <v>45146.899699074071</v>
      </c>
      <c r="Q1482" s="77" t="s">
        <v>2270</v>
      </c>
      <c r="R1482" s="77">
        <v>0</v>
      </c>
      <c r="S1482" s="77">
        <v>0</v>
      </c>
      <c r="T1482" s="77">
        <v>0</v>
      </c>
      <c r="U1482" s="77">
        <v>0</v>
      </c>
      <c r="V1482" s="77">
        <v>31</v>
      </c>
      <c r="W1482" s="82" t="s">
        <v>5763</v>
      </c>
      <c r="X1482" s="77" t="s">
        <v>7048</v>
      </c>
      <c r="Y1482" s="77" t="s">
        <v>7115</v>
      </c>
      <c r="Z1482" s="77"/>
      <c r="AA1482" s="77"/>
      <c r="AB1482" s="77"/>
      <c r="AC1482" s="82" t="s">
        <v>8232</v>
      </c>
      <c r="AD1482" s="77" t="s">
        <v>8278</v>
      </c>
      <c r="AE1482" s="80" t="str">
        <f>HYPERLINK("https://twitter.com/ionited_io/status/1689027598049742848")</f>
        <v>https://twitter.com/ionited_io/status/1689027598049742848</v>
      </c>
      <c r="AF1482" s="79">
        <v>45146.899699074071</v>
      </c>
      <c r="AG1482" s="85">
        <v>45146</v>
      </c>
      <c r="AH1482" s="82" t="s">
        <v>9622</v>
      </c>
      <c r="AI1482" s="77" t="b">
        <v>0</v>
      </c>
      <c r="AJ1482" s="77"/>
      <c r="AK1482" s="77"/>
      <c r="AL1482" s="77"/>
      <c r="AM1482" s="77"/>
      <c r="AN1482" s="77"/>
      <c r="AO1482" s="77"/>
      <c r="AP1482" s="77"/>
      <c r="AQ1482" s="77"/>
      <c r="AR1482" s="77"/>
      <c r="AS1482" s="77"/>
      <c r="AT1482" s="77"/>
      <c r="AU1482" s="77"/>
      <c r="AV1482" s="80" t="str">
        <f>HYPERLINK("https://pbs.twimg.com/profile_images/1663892931973898241/ujrMdnIE_normal.jpg")</f>
        <v>https://pbs.twimg.com/profile_images/1663892931973898241/ujrMdnIE_normal.jpg</v>
      </c>
      <c r="AW1482" s="82" t="s">
        <v>14575</v>
      </c>
      <c r="AX1482" s="82" t="s">
        <v>14575</v>
      </c>
      <c r="AY1482" s="77"/>
      <c r="AZ1482" s="82" t="s">
        <v>17385</v>
      </c>
      <c r="BA1482" s="82" t="s">
        <v>17385</v>
      </c>
      <c r="BB1482" s="82" t="s">
        <v>17385</v>
      </c>
      <c r="BC1482" s="82" t="s">
        <v>14575</v>
      </c>
      <c r="BD1482" s="82" t="s">
        <v>17580</v>
      </c>
      <c r="BE1482" s="77"/>
      <c r="BF1482" s="77"/>
      <c r="BG1482" s="77"/>
      <c r="BH1482" s="77"/>
      <c r="BI1482" s="77"/>
    </row>
    <row r="1483" spans="1:61" x14ac:dyDescent="0.25">
      <c r="A1483" s="62" t="s">
        <v>489</v>
      </c>
      <c r="B1483" s="62" t="s">
        <v>489</v>
      </c>
      <c r="C1483" s="63"/>
      <c r="D1483" s="64"/>
      <c r="E1483" s="65"/>
      <c r="F1483" s="66"/>
      <c r="G1483" s="63"/>
      <c r="H1483" s="67"/>
      <c r="I1483" s="68"/>
      <c r="J1483" s="68"/>
      <c r="K1483" s="32"/>
      <c r="L1483" s="75">
        <v>1483</v>
      </c>
      <c r="M1483" s="75"/>
      <c r="N1483" s="70"/>
      <c r="O1483" s="77" t="s">
        <v>179</v>
      </c>
      <c r="P1483" s="79">
        <v>45188.920532407406</v>
      </c>
      <c r="Q1483" s="77" t="s">
        <v>2271</v>
      </c>
      <c r="R1483" s="77">
        <v>0</v>
      </c>
      <c r="S1483" s="77">
        <v>1</v>
      </c>
      <c r="T1483" s="77">
        <v>0</v>
      </c>
      <c r="U1483" s="77">
        <v>0</v>
      </c>
      <c r="V1483" s="77">
        <v>75</v>
      </c>
      <c r="W1483" s="82" t="s">
        <v>5763</v>
      </c>
      <c r="X1483" s="77" t="s">
        <v>7049</v>
      </c>
      <c r="Y1483" s="77" t="s">
        <v>7115</v>
      </c>
      <c r="Z1483" s="77"/>
      <c r="AA1483" s="77"/>
      <c r="AB1483" s="77"/>
      <c r="AC1483" s="82" t="s">
        <v>8232</v>
      </c>
      <c r="AD1483" s="77" t="s">
        <v>8278</v>
      </c>
      <c r="AE1483" s="80" t="str">
        <f>HYPERLINK("https://twitter.com/ionited_io/status/1704255436570898653")</f>
        <v>https://twitter.com/ionited_io/status/1704255436570898653</v>
      </c>
      <c r="AF1483" s="79">
        <v>45188.920532407406</v>
      </c>
      <c r="AG1483" s="85">
        <v>45188</v>
      </c>
      <c r="AH1483" s="82" t="s">
        <v>9623</v>
      </c>
      <c r="AI1483" s="77" t="b">
        <v>0</v>
      </c>
      <c r="AJ1483" s="77"/>
      <c r="AK1483" s="77"/>
      <c r="AL1483" s="77"/>
      <c r="AM1483" s="77"/>
      <c r="AN1483" s="77"/>
      <c r="AO1483" s="77"/>
      <c r="AP1483" s="77"/>
      <c r="AQ1483" s="77"/>
      <c r="AR1483" s="77"/>
      <c r="AS1483" s="77"/>
      <c r="AT1483" s="77"/>
      <c r="AU1483" s="77"/>
      <c r="AV1483" s="80" t="str">
        <f>HYPERLINK("https://pbs.twimg.com/profile_images/1663892931973898241/ujrMdnIE_normal.jpg")</f>
        <v>https://pbs.twimg.com/profile_images/1663892931973898241/ujrMdnIE_normal.jpg</v>
      </c>
      <c r="AW1483" s="82" t="s">
        <v>14576</v>
      </c>
      <c r="AX1483" s="82" t="s">
        <v>14576</v>
      </c>
      <c r="AY1483" s="77"/>
      <c r="AZ1483" s="82" t="s">
        <v>17385</v>
      </c>
      <c r="BA1483" s="82" t="s">
        <v>17385</v>
      </c>
      <c r="BB1483" s="82" t="s">
        <v>17385</v>
      </c>
      <c r="BC1483" s="82" t="s">
        <v>14576</v>
      </c>
      <c r="BD1483" s="82" t="s">
        <v>17580</v>
      </c>
      <c r="BE1483" s="77"/>
      <c r="BF1483" s="77"/>
      <c r="BG1483" s="77"/>
      <c r="BH1483" s="77"/>
      <c r="BI1483" s="77"/>
    </row>
    <row r="1484" spans="1:61" x14ac:dyDescent="0.25">
      <c r="A1484" s="62" t="s">
        <v>489</v>
      </c>
      <c r="B1484" s="62" t="s">
        <v>489</v>
      </c>
      <c r="C1484" s="63"/>
      <c r="D1484" s="64"/>
      <c r="E1484" s="65"/>
      <c r="F1484" s="66"/>
      <c r="G1484" s="63"/>
      <c r="H1484" s="67"/>
      <c r="I1484" s="68"/>
      <c r="J1484" s="68"/>
      <c r="K1484" s="32"/>
      <c r="L1484" s="75">
        <v>1484</v>
      </c>
      <c r="M1484" s="75"/>
      <c r="N1484" s="70"/>
      <c r="O1484" s="77" t="s">
        <v>179</v>
      </c>
      <c r="P1484" s="79">
        <v>45118.959444444445</v>
      </c>
      <c r="Q1484" s="77" t="s">
        <v>2272</v>
      </c>
      <c r="R1484" s="77">
        <v>0</v>
      </c>
      <c r="S1484" s="77">
        <v>0</v>
      </c>
      <c r="T1484" s="77">
        <v>1</v>
      </c>
      <c r="U1484" s="77">
        <v>0</v>
      </c>
      <c r="V1484" s="77">
        <v>110</v>
      </c>
      <c r="W1484" s="82" t="s">
        <v>5764</v>
      </c>
      <c r="X1484" s="77"/>
      <c r="Y1484" s="77"/>
      <c r="Z1484" s="77"/>
      <c r="AA1484" s="77" t="s">
        <v>7736</v>
      </c>
      <c r="AB1484" s="77" t="s">
        <v>8227</v>
      </c>
      <c r="AC1484" s="82" t="s">
        <v>8232</v>
      </c>
      <c r="AD1484" s="77" t="s">
        <v>8281</v>
      </c>
      <c r="AE1484" s="80" t="str">
        <f>HYPERLINK("https://twitter.com/ionited_io/status/1678902387870662658")</f>
        <v>https://twitter.com/ionited_io/status/1678902387870662658</v>
      </c>
      <c r="AF1484" s="79">
        <v>45118.959444444445</v>
      </c>
      <c r="AG1484" s="85">
        <v>45118</v>
      </c>
      <c r="AH1484" s="82" t="s">
        <v>9624</v>
      </c>
      <c r="AI1484" s="77" t="b">
        <v>0</v>
      </c>
      <c r="AJ1484" s="77"/>
      <c r="AK1484" s="77"/>
      <c r="AL1484" s="77"/>
      <c r="AM1484" s="77"/>
      <c r="AN1484" s="77"/>
      <c r="AO1484" s="77"/>
      <c r="AP1484" s="77"/>
      <c r="AQ1484" s="77" t="s">
        <v>12621</v>
      </c>
      <c r="AR1484" s="77">
        <v>40775</v>
      </c>
      <c r="AS1484" s="77"/>
      <c r="AT1484" s="77"/>
      <c r="AU1484" s="77"/>
      <c r="AV1484" s="80" t="str">
        <f>HYPERLINK("https://pbs.twimg.com/ext_tw_video_thumb/1678902197923323908/pu/img/m3F0puoHRHHAknf3.jpg")</f>
        <v>https://pbs.twimg.com/ext_tw_video_thumb/1678902197923323908/pu/img/m3F0puoHRHHAknf3.jpg</v>
      </c>
      <c r="AW1484" s="82" t="s">
        <v>14577</v>
      </c>
      <c r="AX1484" s="82" t="s">
        <v>14577</v>
      </c>
      <c r="AY1484" s="77"/>
      <c r="AZ1484" s="82" t="s">
        <v>17385</v>
      </c>
      <c r="BA1484" s="82" t="s">
        <v>17385</v>
      </c>
      <c r="BB1484" s="82" t="s">
        <v>17385</v>
      </c>
      <c r="BC1484" s="82" t="s">
        <v>14577</v>
      </c>
      <c r="BD1484" s="82" t="s">
        <v>17580</v>
      </c>
      <c r="BE1484" s="77"/>
      <c r="BF1484" s="77"/>
      <c r="BG1484" s="77"/>
      <c r="BH1484" s="77"/>
      <c r="BI1484" s="77"/>
    </row>
    <row r="1485" spans="1:61" x14ac:dyDescent="0.25">
      <c r="A1485" s="62" t="s">
        <v>490</v>
      </c>
      <c r="B1485" s="62" t="s">
        <v>490</v>
      </c>
      <c r="C1485" s="63"/>
      <c r="D1485" s="64"/>
      <c r="E1485" s="65"/>
      <c r="F1485" s="66"/>
      <c r="G1485" s="63"/>
      <c r="H1485" s="67"/>
      <c r="I1485" s="68"/>
      <c r="J1485" s="68"/>
      <c r="K1485" s="32"/>
      <c r="L1485" s="75">
        <v>1485</v>
      </c>
      <c r="M1485" s="75"/>
      <c r="N1485" s="70"/>
      <c r="O1485" s="77" t="s">
        <v>179</v>
      </c>
      <c r="P1485" s="79">
        <v>45182.628437500003</v>
      </c>
      <c r="Q1485" s="77" t="s">
        <v>2273</v>
      </c>
      <c r="R1485" s="77">
        <v>0</v>
      </c>
      <c r="S1485" s="77">
        <v>0</v>
      </c>
      <c r="T1485" s="77">
        <v>0</v>
      </c>
      <c r="U1485" s="77">
        <v>0</v>
      </c>
      <c r="V1485" s="77">
        <v>22</v>
      </c>
      <c r="W1485" s="82" t="s">
        <v>5765</v>
      </c>
      <c r="X1485" s="77"/>
      <c r="Y1485" s="77"/>
      <c r="Z1485" s="77"/>
      <c r="AA1485" s="77"/>
      <c r="AB1485" s="77"/>
      <c r="AC1485" s="82" t="s">
        <v>8232</v>
      </c>
      <c r="AD1485" s="77" t="s">
        <v>8278</v>
      </c>
      <c r="AE1485" s="80" t="str">
        <f>HYPERLINK("https://twitter.com/ricsantosesilva/status/1701975260365504948")</f>
        <v>https://twitter.com/ricsantosesilva/status/1701975260365504948</v>
      </c>
      <c r="AF1485" s="79">
        <v>45182.628437500003</v>
      </c>
      <c r="AG1485" s="85">
        <v>45182</v>
      </c>
      <c r="AH1485" s="82" t="s">
        <v>9625</v>
      </c>
      <c r="AI1485" s="77"/>
      <c r="AJ1485" s="77"/>
      <c r="AK1485" s="77"/>
      <c r="AL1485" s="77"/>
      <c r="AM1485" s="77"/>
      <c r="AN1485" s="77"/>
      <c r="AO1485" s="77"/>
      <c r="AP1485" s="77"/>
      <c r="AQ1485" s="77"/>
      <c r="AR1485" s="77"/>
      <c r="AS1485" s="77"/>
      <c r="AT1485" s="77"/>
      <c r="AU1485" s="77"/>
      <c r="AV1485" s="80" t="str">
        <f>HYPERLINK("https://pbs.twimg.com/profile_images/1688988152566816768/bhlqRTy1_normal.jpg")</f>
        <v>https://pbs.twimg.com/profile_images/1688988152566816768/bhlqRTy1_normal.jpg</v>
      </c>
      <c r="AW1485" s="82" t="s">
        <v>14578</v>
      </c>
      <c r="AX1485" s="82" t="s">
        <v>14578</v>
      </c>
      <c r="AY1485" s="77"/>
      <c r="AZ1485" s="82" t="s">
        <v>17385</v>
      </c>
      <c r="BA1485" s="82" t="s">
        <v>17385</v>
      </c>
      <c r="BB1485" s="82" t="s">
        <v>17385</v>
      </c>
      <c r="BC1485" s="82" t="s">
        <v>14578</v>
      </c>
      <c r="BD1485" s="82" t="s">
        <v>17581</v>
      </c>
      <c r="BE1485" s="77"/>
      <c r="BF1485" s="77"/>
      <c r="BG1485" s="77"/>
      <c r="BH1485" s="77"/>
      <c r="BI1485" s="77"/>
    </row>
    <row r="1486" spans="1:61" x14ac:dyDescent="0.25">
      <c r="A1486" s="62" t="s">
        <v>491</v>
      </c>
      <c r="B1486" s="62" t="s">
        <v>491</v>
      </c>
      <c r="C1486" s="63"/>
      <c r="D1486" s="64"/>
      <c r="E1486" s="65"/>
      <c r="F1486" s="66"/>
      <c r="G1486" s="63"/>
      <c r="H1486" s="67"/>
      <c r="I1486" s="68"/>
      <c r="J1486" s="68"/>
      <c r="K1486" s="32"/>
      <c r="L1486" s="75">
        <v>1486</v>
      </c>
      <c r="M1486" s="75"/>
      <c r="N1486" s="70"/>
      <c r="O1486" s="77" t="s">
        <v>179</v>
      </c>
      <c r="P1486" s="79">
        <v>45146.157141203701</v>
      </c>
      <c r="Q1486" s="77" t="s">
        <v>2274</v>
      </c>
      <c r="R1486" s="77">
        <v>0</v>
      </c>
      <c r="S1486" s="77">
        <v>0</v>
      </c>
      <c r="T1486" s="77">
        <v>0</v>
      </c>
      <c r="U1486" s="77">
        <v>0</v>
      </c>
      <c r="V1486" s="77">
        <v>72</v>
      </c>
      <c r="W1486" s="82" t="s">
        <v>5766</v>
      </c>
      <c r="X1486" s="77"/>
      <c r="Y1486" s="77"/>
      <c r="Z1486" s="77"/>
      <c r="AA1486" s="77" t="s">
        <v>7737</v>
      </c>
      <c r="AB1486" s="77" t="s">
        <v>8225</v>
      </c>
      <c r="AC1486" s="82" t="s">
        <v>8233</v>
      </c>
      <c r="AD1486" s="77" t="s">
        <v>8278</v>
      </c>
      <c r="AE1486" s="80" t="str">
        <f>HYPERLINK("https://twitter.com/rodrigofv/status/1688758503962226688")</f>
        <v>https://twitter.com/rodrigofv/status/1688758503962226688</v>
      </c>
      <c r="AF1486" s="79">
        <v>45146.157141203701</v>
      </c>
      <c r="AG1486" s="85">
        <v>45146</v>
      </c>
      <c r="AH1486" s="82" t="s">
        <v>9626</v>
      </c>
      <c r="AI1486" s="77" t="b">
        <v>0</v>
      </c>
      <c r="AJ1486" s="77"/>
      <c r="AK1486" s="77"/>
      <c r="AL1486" s="77"/>
      <c r="AM1486" s="77"/>
      <c r="AN1486" s="77"/>
      <c r="AO1486" s="77"/>
      <c r="AP1486" s="77"/>
      <c r="AQ1486" s="77" t="s">
        <v>12622</v>
      </c>
      <c r="AR1486" s="77"/>
      <c r="AS1486" s="77"/>
      <c r="AT1486" s="77"/>
      <c r="AU1486" s="77"/>
      <c r="AV1486" s="80" t="str">
        <f>HYPERLINK("https://pbs.twimg.com/media/F2-s6GuWAAAMQmB.jpg")</f>
        <v>https://pbs.twimg.com/media/F2-s6GuWAAAMQmB.jpg</v>
      </c>
      <c r="AW1486" s="82" t="s">
        <v>14579</v>
      </c>
      <c r="AX1486" s="82" t="s">
        <v>14579</v>
      </c>
      <c r="AY1486" s="77"/>
      <c r="AZ1486" s="82" t="s">
        <v>17385</v>
      </c>
      <c r="BA1486" s="82" t="s">
        <v>17385</v>
      </c>
      <c r="BB1486" s="82" t="s">
        <v>17385</v>
      </c>
      <c r="BC1486" s="82" t="s">
        <v>14579</v>
      </c>
      <c r="BD1486" s="77">
        <v>3671199437</v>
      </c>
      <c r="BE1486" s="77"/>
      <c r="BF1486" s="77"/>
      <c r="BG1486" s="77"/>
      <c r="BH1486" s="77"/>
      <c r="BI1486" s="77"/>
    </row>
    <row r="1487" spans="1:61" x14ac:dyDescent="0.25">
      <c r="A1487" s="62" t="s">
        <v>491</v>
      </c>
      <c r="B1487" s="62" t="s">
        <v>491</v>
      </c>
      <c r="C1487" s="63"/>
      <c r="D1487" s="64"/>
      <c r="E1487" s="65"/>
      <c r="F1487" s="66"/>
      <c r="G1487" s="63"/>
      <c r="H1487" s="67"/>
      <c r="I1487" s="68"/>
      <c r="J1487" s="68"/>
      <c r="K1487" s="32"/>
      <c r="L1487" s="75">
        <v>1487</v>
      </c>
      <c r="M1487" s="75"/>
      <c r="N1487" s="70"/>
      <c r="O1487" s="77" t="s">
        <v>179</v>
      </c>
      <c r="P1487" s="79">
        <v>45146.155393518522</v>
      </c>
      <c r="Q1487" s="77" t="s">
        <v>2275</v>
      </c>
      <c r="R1487" s="77">
        <v>0</v>
      </c>
      <c r="S1487" s="77">
        <v>0</v>
      </c>
      <c r="T1487" s="77">
        <v>0</v>
      </c>
      <c r="U1487" s="77">
        <v>0</v>
      </c>
      <c r="V1487" s="77">
        <v>52</v>
      </c>
      <c r="W1487" s="82" t="s">
        <v>5767</v>
      </c>
      <c r="X1487" s="77"/>
      <c r="Y1487" s="77"/>
      <c r="Z1487" s="77"/>
      <c r="AA1487" s="77" t="s">
        <v>7738</v>
      </c>
      <c r="AB1487" s="77" t="s">
        <v>8225</v>
      </c>
      <c r="AC1487" s="82" t="s">
        <v>8233</v>
      </c>
      <c r="AD1487" s="77" t="s">
        <v>8278</v>
      </c>
      <c r="AE1487" s="80" t="str">
        <f>HYPERLINK("https://twitter.com/rodrigofv/status/1688757868982321154")</f>
        <v>https://twitter.com/rodrigofv/status/1688757868982321154</v>
      </c>
      <c r="AF1487" s="79">
        <v>45146.155393518522</v>
      </c>
      <c r="AG1487" s="85">
        <v>45146</v>
      </c>
      <c r="AH1487" s="82" t="s">
        <v>9627</v>
      </c>
      <c r="AI1487" s="77" t="b">
        <v>0</v>
      </c>
      <c r="AJ1487" s="77"/>
      <c r="AK1487" s="77"/>
      <c r="AL1487" s="77"/>
      <c r="AM1487" s="77"/>
      <c r="AN1487" s="77"/>
      <c r="AO1487" s="77"/>
      <c r="AP1487" s="77"/>
      <c r="AQ1487" s="77" t="s">
        <v>12623</v>
      </c>
      <c r="AR1487" s="77"/>
      <c r="AS1487" s="77"/>
      <c r="AT1487" s="77"/>
      <c r="AU1487" s="77"/>
      <c r="AV1487" s="80" t="str">
        <f>HYPERLINK("https://pbs.twimg.com/media/F2-sVLPXMAIFnji.jpg")</f>
        <v>https://pbs.twimg.com/media/F2-sVLPXMAIFnji.jpg</v>
      </c>
      <c r="AW1487" s="82" t="s">
        <v>14580</v>
      </c>
      <c r="AX1487" s="82" t="s">
        <v>14580</v>
      </c>
      <c r="AY1487" s="77"/>
      <c r="AZ1487" s="82" t="s">
        <v>17385</v>
      </c>
      <c r="BA1487" s="82" t="s">
        <v>17385</v>
      </c>
      <c r="BB1487" s="82" t="s">
        <v>17385</v>
      </c>
      <c r="BC1487" s="82" t="s">
        <v>14580</v>
      </c>
      <c r="BD1487" s="77">
        <v>3671199437</v>
      </c>
      <c r="BE1487" s="77"/>
      <c r="BF1487" s="77"/>
      <c r="BG1487" s="77"/>
      <c r="BH1487" s="77"/>
      <c r="BI1487" s="77"/>
    </row>
    <row r="1488" spans="1:61" x14ac:dyDescent="0.25">
      <c r="A1488" s="62" t="s">
        <v>492</v>
      </c>
      <c r="B1488" s="62" t="s">
        <v>492</v>
      </c>
      <c r="C1488" s="63"/>
      <c r="D1488" s="64"/>
      <c r="E1488" s="65"/>
      <c r="F1488" s="66"/>
      <c r="G1488" s="63"/>
      <c r="H1488" s="67"/>
      <c r="I1488" s="68"/>
      <c r="J1488" s="68"/>
      <c r="K1488" s="32"/>
      <c r="L1488" s="75">
        <v>1488</v>
      </c>
      <c r="M1488" s="75"/>
      <c r="N1488" s="70"/>
      <c r="O1488" s="77" t="s">
        <v>179</v>
      </c>
      <c r="P1488" s="79">
        <v>45152.865115740744</v>
      </c>
      <c r="Q1488" s="77" t="s">
        <v>2276</v>
      </c>
      <c r="R1488" s="77">
        <v>0</v>
      </c>
      <c r="S1488" s="77">
        <v>0</v>
      </c>
      <c r="T1488" s="77">
        <v>0</v>
      </c>
      <c r="U1488" s="77">
        <v>0</v>
      </c>
      <c r="V1488" s="77">
        <v>7</v>
      </c>
      <c r="W1488" s="82" t="s">
        <v>5768</v>
      </c>
      <c r="X1488" s="77"/>
      <c r="Y1488" s="77"/>
      <c r="Z1488" s="77"/>
      <c r="AA1488" s="77" t="s">
        <v>7739</v>
      </c>
      <c r="AB1488" s="77" t="s">
        <v>8225</v>
      </c>
      <c r="AC1488" s="82" t="s">
        <v>8233</v>
      </c>
      <c r="AD1488" s="77" t="s">
        <v>8280</v>
      </c>
      <c r="AE1488" s="80" t="str">
        <f>HYPERLINK("https://twitter.com/flaviosouza2810/status/1691189392977612801")</f>
        <v>https://twitter.com/flaviosouza2810/status/1691189392977612801</v>
      </c>
      <c r="AF1488" s="79">
        <v>45152.865115740744</v>
      </c>
      <c r="AG1488" s="85">
        <v>45152</v>
      </c>
      <c r="AH1488" s="82" t="s">
        <v>9628</v>
      </c>
      <c r="AI1488" s="77" t="b">
        <v>0</v>
      </c>
      <c r="AJ1488" s="77"/>
      <c r="AK1488" s="77"/>
      <c r="AL1488" s="77"/>
      <c r="AM1488" s="77"/>
      <c r="AN1488" s="77"/>
      <c r="AO1488" s="77"/>
      <c r="AP1488" s="77"/>
      <c r="AQ1488" s="77" t="s">
        <v>12624</v>
      </c>
      <c r="AR1488" s="77"/>
      <c r="AS1488" s="77"/>
      <c r="AT1488" s="77"/>
      <c r="AU1488" s="77"/>
      <c r="AV1488" s="80" t="str">
        <f>HYPERLINK("https://pbs.twimg.com/media/F3hPyd0XIAAvLqA.jpg")</f>
        <v>https://pbs.twimg.com/media/F3hPyd0XIAAvLqA.jpg</v>
      </c>
      <c r="AW1488" s="82" t="s">
        <v>14581</v>
      </c>
      <c r="AX1488" s="82" t="s">
        <v>14581</v>
      </c>
      <c r="AY1488" s="77"/>
      <c r="AZ1488" s="82" t="s">
        <v>17385</v>
      </c>
      <c r="BA1488" s="82" t="s">
        <v>17385</v>
      </c>
      <c r="BB1488" s="82" t="s">
        <v>17385</v>
      </c>
      <c r="BC1488" s="82" t="s">
        <v>14581</v>
      </c>
      <c r="BD1488" s="82" t="s">
        <v>17582</v>
      </c>
      <c r="BE1488" s="77"/>
      <c r="BF1488" s="77"/>
      <c r="BG1488" s="77"/>
      <c r="BH1488" s="77"/>
      <c r="BI1488" s="77"/>
    </row>
    <row r="1489" spans="1:61" x14ac:dyDescent="0.25">
      <c r="A1489" s="62" t="s">
        <v>492</v>
      </c>
      <c r="B1489" s="62" t="s">
        <v>492</v>
      </c>
      <c r="C1489" s="63"/>
      <c r="D1489" s="64"/>
      <c r="E1489" s="65"/>
      <c r="F1489" s="66"/>
      <c r="G1489" s="63"/>
      <c r="H1489" s="67"/>
      <c r="I1489" s="68"/>
      <c r="J1489" s="68"/>
      <c r="K1489" s="32"/>
      <c r="L1489" s="75">
        <v>1489</v>
      </c>
      <c r="M1489" s="75"/>
      <c r="N1489" s="70"/>
      <c r="O1489" s="77" t="s">
        <v>179</v>
      </c>
      <c r="P1489" s="79">
        <v>45164.509039351855</v>
      </c>
      <c r="Q1489" s="77" t="s">
        <v>2277</v>
      </c>
      <c r="R1489" s="77">
        <v>0</v>
      </c>
      <c r="S1489" s="77">
        <v>0</v>
      </c>
      <c r="T1489" s="77">
        <v>0</v>
      </c>
      <c r="U1489" s="77">
        <v>0</v>
      </c>
      <c r="V1489" s="77">
        <v>32</v>
      </c>
      <c r="W1489" s="82" t="s">
        <v>5768</v>
      </c>
      <c r="X1489" s="77"/>
      <c r="Y1489" s="77"/>
      <c r="Z1489" s="77"/>
      <c r="AA1489" s="77" t="s">
        <v>7740</v>
      </c>
      <c r="AB1489" s="77" t="s">
        <v>8225</v>
      </c>
      <c r="AC1489" s="82" t="s">
        <v>8233</v>
      </c>
      <c r="AD1489" s="77" t="s">
        <v>8280</v>
      </c>
      <c r="AE1489" s="80" t="str">
        <f>HYPERLINK("https://twitter.com/flaviosouza2810/status/1695409009824587818")</f>
        <v>https://twitter.com/flaviosouza2810/status/1695409009824587818</v>
      </c>
      <c r="AF1489" s="79">
        <v>45164.509039351855</v>
      </c>
      <c r="AG1489" s="85">
        <v>45164</v>
      </c>
      <c r="AH1489" s="82" t="s">
        <v>9629</v>
      </c>
      <c r="AI1489" s="77" t="b">
        <v>0</v>
      </c>
      <c r="AJ1489" s="77"/>
      <c r="AK1489" s="77"/>
      <c r="AL1489" s="77"/>
      <c r="AM1489" s="77"/>
      <c r="AN1489" s="77"/>
      <c r="AO1489" s="77"/>
      <c r="AP1489" s="77"/>
      <c r="AQ1489" s="77" t="s">
        <v>12625</v>
      </c>
      <c r="AR1489" s="77"/>
      <c r="AS1489" s="77"/>
      <c r="AT1489" s="77"/>
      <c r="AU1489" s="77"/>
      <c r="AV1489" s="80" t="str">
        <f>HYPERLINK("https://pbs.twimg.com/media/F4dNgcvXcAA71Kw.jpg")</f>
        <v>https://pbs.twimg.com/media/F4dNgcvXcAA71Kw.jpg</v>
      </c>
      <c r="AW1489" s="82" t="s">
        <v>14582</v>
      </c>
      <c r="AX1489" s="82" t="s">
        <v>14582</v>
      </c>
      <c r="AY1489" s="77"/>
      <c r="AZ1489" s="82" t="s">
        <v>17385</v>
      </c>
      <c r="BA1489" s="82" t="s">
        <v>17385</v>
      </c>
      <c r="BB1489" s="82" t="s">
        <v>17385</v>
      </c>
      <c r="BC1489" s="82" t="s">
        <v>14582</v>
      </c>
      <c r="BD1489" s="82" t="s">
        <v>17582</v>
      </c>
      <c r="BE1489" s="77"/>
      <c r="BF1489" s="77"/>
      <c r="BG1489" s="77"/>
      <c r="BH1489" s="77"/>
      <c r="BI1489" s="77"/>
    </row>
    <row r="1490" spans="1:61" x14ac:dyDescent="0.25">
      <c r="A1490" s="62" t="s">
        <v>492</v>
      </c>
      <c r="B1490" s="62" t="s">
        <v>492</v>
      </c>
      <c r="C1490" s="63"/>
      <c r="D1490" s="64"/>
      <c r="E1490" s="65"/>
      <c r="F1490" s="66"/>
      <c r="G1490" s="63"/>
      <c r="H1490" s="67"/>
      <c r="I1490" s="68"/>
      <c r="J1490" s="68"/>
      <c r="K1490" s="32"/>
      <c r="L1490" s="75">
        <v>1490</v>
      </c>
      <c r="M1490" s="75"/>
      <c r="N1490" s="70"/>
      <c r="O1490" s="77" t="s">
        <v>179</v>
      </c>
      <c r="P1490" s="79">
        <v>45164.508761574078</v>
      </c>
      <c r="Q1490" s="77" t="s">
        <v>2278</v>
      </c>
      <c r="R1490" s="77">
        <v>0</v>
      </c>
      <c r="S1490" s="77">
        <v>0</v>
      </c>
      <c r="T1490" s="77">
        <v>0</v>
      </c>
      <c r="U1490" s="77">
        <v>0</v>
      </c>
      <c r="V1490" s="77">
        <v>27</v>
      </c>
      <c r="W1490" s="82" t="s">
        <v>5768</v>
      </c>
      <c r="X1490" s="77"/>
      <c r="Y1490" s="77"/>
      <c r="Z1490" s="77"/>
      <c r="AA1490" s="77" t="s">
        <v>7741</v>
      </c>
      <c r="AB1490" s="77" t="s">
        <v>8225</v>
      </c>
      <c r="AC1490" s="82" t="s">
        <v>8233</v>
      </c>
      <c r="AD1490" s="77" t="s">
        <v>8280</v>
      </c>
      <c r="AE1490" s="80" t="str">
        <f>HYPERLINK("https://twitter.com/flaviosouza2810/status/1695408910000132385")</f>
        <v>https://twitter.com/flaviosouza2810/status/1695408910000132385</v>
      </c>
      <c r="AF1490" s="79">
        <v>45164.508761574078</v>
      </c>
      <c r="AG1490" s="85">
        <v>45164</v>
      </c>
      <c r="AH1490" s="82" t="s">
        <v>9630</v>
      </c>
      <c r="AI1490" s="77" t="b">
        <v>0</v>
      </c>
      <c r="AJ1490" s="77"/>
      <c r="AK1490" s="77"/>
      <c r="AL1490" s="77"/>
      <c r="AM1490" s="77"/>
      <c r="AN1490" s="77"/>
      <c r="AO1490" s="77"/>
      <c r="AP1490" s="77"/>
      <c r="AQ1490" s="77" t="s">
        <v>12626</v>
      </c>
      <c r="AR1490" s="77"/>
      <c r="AS1490" s="77"/>
      <c r="AT1490" s="77"/>
      <c r="AU1490" s="77"/>
      <c r="AV1490" s="80" t="str">
        <f>HYPERLINK("https://pbs.twimg.com/media/F4dNan8XQAA1Y9R.jpg")</f>
        <v>https://pbs.twimg.com/media/F4dNan8XQAA1Y9R.jpg</v>
      </c>
      <c r="AW1490" s="82" t="s">
        <v>14583</v>
      </c>
      <c r="AX1490" s="82" t="s">
        <v>14583</v>
      </c>
      <c r="AY1490" s="77"/>
      <c r="AZ1490" s="82" t="s">
        <v>17385</v>
      </c>
      <c r="BA1490" s="82" t="s">
        <v>17385</v>
      </c>
      <c r="BB1490" s="82" t="s">
        <v>17385</v>
      </c>
      <c r="BC1490" s="82" t="s">
        <v>14583</v>
      </c>
      <c r="BD1490" s="82" t="s">
        <v>17582</v>
      </c>
      <c r="BE1490" s="77"/>
      <c r="BF1490" s="77"/>
      <c r="BG1490" s="77"/>
      <c r="BH1490" s="77"/>
      <c r="BI1490" s="77"/>
    </row>
    <row r="1491" spans="1:61" x14ac:dyDescent="0.25">
      <c r="A1491" s="62" t="s">
        <v>492</v>
      </c>
      <c r="B1491" s="62" t="s">
        <v>492</v>
      </c>
      <c r="C1491" s="63"/>
      <c r="D1491" s="64"/>
      <c r="E1491" s="65"/>
      <c r="F1491" s="66"/>
      <c r="G1491" s="63"/>
      <c r="H1491" s="67"/>
      <c r="I1491" s="68"/>
      <c r="J1491" s="68"/>
      <c r="K1491" s="32"/>
      <c r="L1491" s="75">
        <v>1491</v>
      </c>
      <c r="M1491" s="75"/>
      <c r="N1491" s="70"/>
      <c r="O1491" s="77" t="s">
        <v>179</v>
      </c>
      <c r="P1491" s="79">
        <v>45163.88585648148</v>
      </c>
      <c r="Q1491" s="77" t="s">
        <v>2279</v>
      </c>
      <c r="R1491" s="77">
        <v>0</v>
      </c>
      <c r="S1491" s="77">
        <v>0</v>
      </c>
      <c r="T1491" s="77">
        <v>0</v>
      </c>
      <c r="U1491" s="77">
        <v>0</v>
      </c>
      <c r="V1491" s="77">
        <v>26</v>
      </c>
      <c r="W1491" s="82" t="s">
        <v>5768</v>
      </c>
      <c r="X1491" s="77"/>
      <c r="Y1491" s="77"/>
      <c r="Z1491" s="77"/>
      <c r="AA1491" s="77" t="s">
        <v>7742</v>
      </c>
      <c r="AB1491" s="77" t="s">
        <v>8225</v>
      </c>
      <c r="AC1491" s="82" t="s">
        <v>8233</v>
      </c>
      <c r="AD1491" s="77" t="s">
        <v>8280</v>
      </c>
      <c r="AE1491" s="80" t="str">
        <f>HYPERLINK("https://twitter.com/flaviosouza2810/status/1695183174106525979")</f>
        <v>https://twitter.com/flaviosouza2810/status/1695183174106525979</v>
      </c>
      <c r="AF1491" s="79">
        <v>45163.88585648148</v>
      </c>
      <c r="AG1491" s="85">
        <v>45163</v>
      </c>
      <c r="AH1491" s="82" t="s">
        <v>9631</v>
      </c>
      <c r="AI1491" s="77" t="b">
        <v>0</v>
      </c>
      <c r="AJ1491" s="77"/>
      <c r="AK1491" s="77"/>
      <c r="AL1491" s="77"/>
      <c r="AM1491" s="77"/>
      <c r="AN1491" s="77"/>
      <c r="AO1491" s="77"/>
      <c r="AP1491" s="77"/>
      <c r="AQ1491" s="77" t="s">
        <v>12627</v>
      </c>
      <c r="AR1491" s="77"/>
      <c r="AS1491" s="77"/>
      <c r="AT1491" s="77"/>
      <c r="AU1491" s="77"/>
      <c r="AV1491" s="80" t="str">
        <f>HYPERLINK("https://pbs.twimg.com/media/F4aAGuwWgAAu-DQ.jpg")</f>
        <v>https://pbs.twimg.com/media/F4aAGuwWgAAu-DQ.jpg</v>
      </c>
      <c r="AW1491" s="82" t="s">
        <v>14584</v>
      </c>
      <c r="AX1491" s="82" t="s">
        <v>14584</v>
      </c>
      <c r="AY1491" s="77"/>
      <c r="AZ1491" s="82" t="s">
        <v>17385</v>
      </c>
      <c r="BA1491" s="82" t="s">
        <v>17385</v>
      </c>
      <c r="BB1491" s="82" t="s">
        <v>17385</v>
      </c>
      <c r="BC1491" s="82" t="s">
        <v>14584</v>
      </c>
      <c r="BD1491" s="82" t="s">
        <v>17582</v>
      </c>
      <c r="BE1491" s="77"/>
      <c r="BF1491" s="77"/>
      <c r="BG1491" s="77"/>
      <c r="BH1491" s="77"/>
      <c r="BI1491" s="77"/>
    </row>
    <row r="1492" spans="1:61" x14ac:dyDescent="0.25">
      <c r="A1492" s="62" t="s">
        <v>492</v>
      </c>
      <c r="B1492" s="62" t="s">
        <v>492</v>
      </c>
      <c r="C1492" s="63"/>
      <c r="D1492" s="64"/>
      <c r="E1492" s="65"/>
      <c r="F1492" s="66"/>
      <c r="G1492" s="63"/>
      <c r="H1492" s="67"/>
      <c r="I1492" s="68"/>
      <c r="J1492" s="68"/>
      <c r="K1492" s="32"/>
      <c r="L1492" s="75">
        <v>1492</v>
      </c>
      <c r="M1492" s="75"/>
      <c r="N1492" s="70"/>
      <c r="O1492" s="77" t="s">
        <v>179</v>
      </c>
      <c r="P1492" s="79">
        <v>45156.893043981479</v>
      </c>
      <c r="Q1492" s="77" t="s">
        <v>2280</v>
      </c>
      <c r="R1492" s="77">
        <v>0</v>
      </c>
      <c r="S1492" s="77">
        <v>0</v>
      </c>
      <c r="T1492" s="77">
        <v>0</v>
      </c>
      <c r="U1492" s="77">
        <v>0</v>
      </c>
      <c r="V1492" s="77">
        <v>5</v>
      </c>
      <c r="W1492" s="82" t="s">
        <v>5768</v>
      </c>
      <c r="X1492" s="77"/>
      <c r="Y1492" s="77"/>
      <c r="Z1492" s="77"/>
      <c r="AA1492" s="77" t="s">
        <v>7743</v>
      </c>
      <c r="AB1492" s="77" t="s">
        <v>8225</v>
      </c>
      <c r="AC1492" s="82" t="s">
        <v>8233</v>
      </c>
      <c r="AD1492" s="77" t="s">
        <v>8280</v>
      </c>
      <c r="AE1492" s="80" t="str">
        <f>HYPERLINK("https://twitter.com/flaviosouza2810/status/1692649062682546555")</f>
        <v>https://twitter.com/flaviosouza2810/status/1692649062682546555</v>
      </c>
      <c r="AF1492" s="79">
        <v>45156.893043981479</v>
      </c>
      <c r="AG1492" s="85">
        <v>45156</v>
      </c>
      <c r="AH1492" s="82" t="s">
        <v>9632</v>
      </c>
      <c r="AI1492" s="77" t="b">
        <v>0</v>
      </c>
      <c r="AJ1492" s="77"/>
      <c r="AK1492" s="77"/>
      <c r="AL1492" s="77"/>
      <c r="AM1492" s="77"/>
      <c r="AN1492" s="77"/>
      <c r="AO1492" s="77"/>
      <c r="AP1492" s="77"/>
      <c r="AQ1492" s="77" t="s">
        <v>12628</v>
      </c>
      <c r="AR1492" s="77"/>
      <c r="AS1492" s="77"/>
      <c r="AT1492" s="77"/>
      <c r="AU1492" s="77"/>
      <c r="AV1492" s="80" t="str">
        <f>HYPERLINK("https://pbs.twimg.com/media/F31_WWRXsAAiB4k.jpg")</f>
        <v>https://pbs.twimg.com/media/F31_WWRXsAAiB4k.jpg</v>
      </c>
      <c r="AW1492" s="82" t="s">
        <v>14585</v>
      </c>
      <c r="AX1492" s="82" t="s">
        <v>14585</v>
      </c>
      <c r="AY1492" s="77"/>
      <c r="AZ1492" s="82" t="s">
        <v>17385</v>
      </c>
      <c r="BA1492" s="82" t="s">
        <v>17385</v>
      </c>
      <c r="BB1492" s="82" t="s">
        <v>17385</v>
      </c>
      <c r="BC1492" s="82" t="s">
        <v>14585</v>
      </c>
      <c r="BD1492" s="82" t="s">
        <v>17582</v>
      </c>
      <c r="BE1492" s="77"/>
      <c r="BF1492" s="77"/>
      <c r="BG1492" s="77"/>
      <c r="BH1492" s="77"/>
      <c r="BI1492" s="77"/>
    </row>
    <row r="1493" spans="1:61" x14ac:dyDescent="0.25">
      <c r="A1493" s="62" t="s">
        <v>492</v>
      </c>
      <c r="B1493" s="62" t="s">
        <v>492</v>
      </c>
      <c r="C1493" s="63"/>
      <c r="D1493" s="64"/>
      <c r="E1493" s="65"/>
      <c r="F1493" s="66"/>
      <c r="G1493" s="63"/>
      <c r="H1493" s="67"/>
      <c r="I1493" s="68"/>
      <c r="J1493" s="68"/>
      <c r="K1493" s="32"/>
      <c r="L1493" s="75">
        <v>1493</v>
      </c>
      <c r="M1493" s="75"/>
      <c r="N1493" s="70"/>
      <c r="O1493" s="77" t="s">
        <v>179</v>
      </c>
      <c r="P1493" s="79">
        <v>45156.425069444442</v>
      </c>
      <c r="Q1493" s="77" t="s">
        <v>2281</v>
      </c>
      <c r="R1493" s="77">
        <v>0</v>
      </c>
      <c r="S1493" s="77">
        <v>0</v>
      </c>
      <c r="T1493" s="77">
        <v>0</v>
      </c>
      <c r="U1493" s="77">
        <v>0</v>
      </c>
      <c r="V1493" s="77">
        <v>6</v>
      </c>
      <c r="W1493" s="82" t="s">
        <v>5768</v>
      </c>
      <c r="X1493" s="77"/>
      <c r="Y1493" s="77"/>
      <c r="Z1493" s="77"/>
      <c r="AA1493" s="77" t="s">
        <v>7744</v>
      </c>
      <c r="AB1493" s="77" t="s">
        <v>8225</v>
      </c>
      <c r="AC1493" s="82" t="s">
        <v>8233</v>
      </c>
      <c r="AD1493" s="77" t="s">
        <v>8280</v>
      </c>
      <c r="AE1493" s="80" t="str">
        <f>HYPERLINK("https://twitter.com/flaviosouza2810/status/1692479475332608028")</f>
        <v>https://twitter.com/flaviosouza2810/status/1692479475332608028</v>
      </c>
      <c r="AF1493" s="79">
        <v>45156.425069444442</v>
      </c>
      <c r="AG1493" s="85">
        <v>45156</v>
      </c>
      <c r="AH1493" s="82" t="s">
        <v>9633</v>
      </c>
      <c r="AI1493" s="77" t="b">
        <v>0</v>
      </c>
      <c r="AJ1493" s="77"/>
      <c r="AK1493" s="77"/>
      <c r="AL1493" s="77"/>
      <c r="AM1493" s="77"/>
      <c r="AN1493" s="77"/>
      <c r="AO1493" s="77"/>
      <c r="AP1493" s="77"/>
      <c r="AQ1493" s="77" t="s">
        <v>12629</v>
      </c>
      <c r="AR1493" s="77"/>
      <c r="AS1493" s="77"/>
      <c r="AT1493" s="77"/>
      <c r="AU1493" s="77"/>
      <c r="AV1493" s="80" t="str">
        <f>HYPERLINK("https://pbs.twimg.com/media/F3zlHHDXAAAxZTy.jpg")</f>
        <v>https://pbs.twimg.com/media/F3zlHHDXAAAxZTy.jpg</v>
      </c>
      <c r="AW1493" s="82" t="s">
        <v>14586</v>
      </c>
      <c r="AX1493" s="82" t="s">
        <v>14586</v>
      </c>
      <c r="AY1493" s="77"/>
      <c r="AZ1493" s="82" t="s">
        <v>17385</v>
      </c>
      <c r="BA1493" s="82" t="s">
        <v>17385</v>
      </c>
      <c r="BB1493" s="82" t="s">
        <v>17385</v>
      </c>
      <c r="BC1493" s="82" t="s">
        <v>14586</v>
      </c>
      <c r="BD1493" s="82" t="s">
        <v>17582</v>
      </c>
      <c r="BE1493" s="77"/>
      <c r="BF1493" s="77"/>
      <c r="BG1493" s="77"/>
      <c r="BH1493" s="77"/>
      <c r="BI1493" s="77"/>
    </row>
    <row r="1494" spans="1:61" x14ac:dyDescent="0.25">
      <c r="A1494" s="62" t="s">
        <v>492</v>
      </c>
      <c r="B1494" s="62" t="s">
        <v>492</v>
      </c>
      <c r="C1494" s="63"/>
      <c r="D1494" s="64"/>
      <c r="E1494" s="65"/>
      <c r="F1494" s="66"/>
      <c r="G1494" s="63"/>
      <c r="H1494" s="67"/>
      <c r="I1494" s="68"/>
      <c r="J1494" s="68"/>
      <c r="K1494" s="32"/>
      <c r="L1494" s="75">
        <v>1494</v>
      </c>
      <c r="M1494" s="75"/>
      <c r="N1494" s="70"/>
      <c r="O1494" s="77" t="s">
        <v>179</v>
      </c>
      <c r="P1494" s="79">
        <v>45156.424803240741</v>
      </c>
      <c r="Q1494" s="77" t="s">
        <v>2282</v>
      </c>
      <c r="R1494" s="77">
        <v>0</v>
      </c>
      <c r="S1494" s="77">
        <v>0</v>
      </c>
      <c r="T1494" s="77">
        <v>0</v>
      </c>
      <c r="U1494" s="77">
        <v>0</v>
      </c>
      <c r="V1494" s="77">
        <v>5</v>
      </c>
      <c r="W1494" s="82" t="s">
        <v>5768</v>
      </c>
      <c r="X1494" s="77"/>
      <c r="Y1494" s="77"/>
      <c r="Z1494" s="77"/>
      <c r="AA1494" s="77" t="s">
        <v>7745</v>
      </c>
      <c r="AB1494" s="77" t="s">
        <v>8225</v>
      </c>
      <c r="AC1494" s="82" t="s">
        <v>8233</v>
      </c>
      <c r="AD1494" s="77" t="s">
        <v>8280</v>
      </c>
      <c r="AE1494" s="80" t="str">
        <f>HYPERLINK("https://twitter.com/flaviosouza2810/status/1692479378892939303")</f>
        <v>https://twitter.com/flaviosouza2810/status/1692479378892939303</v>
      </c>
      <c r="AF1494" s="79">
        <v>45156.424803240741</v>
      </c>
      <c r="AG1494" s="85">
        <v>45156</v>
      </c>
      <c r="AH1494" s="82" t="s">
        <v>9634</v>
      </c>
      <c r="AI1494" s="77" t="b">
        <v>0</v>
      </c>
      <c r="AJ1494" s="77"/>
      <c r="AK1494" s="77"/>
      <c r="AL1494" s="77"/>
      <c r="AM1494" s="77"/>
      <c r="AN1494" s="77"/>
      <c r="AO1494" s="77"/>
      <c r="AP1494" s="77"/>
      <c r="AQ1494" s="77" t="s">
        <v>12630</v>
      </c>
      <c r="AR1494" s="77"/>
      <c r="AS1494" s="77"/>
      <c r="AT1494" s="77"/>
      <c r="AU1494" s="77"/>
      <c r="AV1494" s="80" t="str">
        <f>HYPERLINK("https://pbs.twimg.com/media/F3zlBdlWMAELvs6.jpg")</f>
        <v>https://pbs.twimg.com/media/F3zlBdlWMAELvs6.jpg</v>
      </c>
      <c r="AW1494" s="82" t="s">
        <v>14587</v>
      </c>
      <c r="AX1494" s="82" t="s">
        <v>14587</v>
      </c>
      <c r="AY1494" s="77"/>
      <c r="AZ1494" s="82" t="s">
        <v>17385</v>
      </c>
      <c r="BA1494" s="82" t="s">
        <v>17385</v>
      </c>
      <c r="BB1494" s="82" t="s">
        <v>17385</v>
      </c>
      <c r="BC1494" s="82" t="s">
        <v>14587</v>
      </c>
      <c r="BD1494" s="82" t="s">
        <v>17582</v>
      </c>
      <c r="BE1494" s="77"/>
      <c r="BF1494" s="77"/>
      <c r="BG1494" s="77"/>
      <c r="BH1494" s="77"/>
      <c r="BI1494" s="77"/>
    </row>
    <row r="1495" spans="1:61" x14ac:dyDescent="0.25">
      <c r="A1495" s="62" t="s">
        <v>492</v>
      </c>
      <c r="B1495" s="62" t="s">
        <v>492</v>
      </c>
      <c r="C1495" s="63"/>
      <c r="D1495" s="64"/>
      <c r="E1495" s="65"/>
      <c r="F1495" s="66"/>
      <c r="G1495" s="63"/>
      <c r="H1495" s="67"/>
      <c r="I1495" s="68"/>
      <c r="J1495" s="68"/>
      <c r="K1495" s="32"/>
      <c r="L1495" s="75">
        <v>1495</v>
      </c>
      <c r="M1495" s="75"/>
      <c r="N1495" s="70"/>
      <c r="O1495" s="77" t="s">
        <v>179</v>
      </c>
      <c r="P1495" s="79">
        <v>45156.42459490741</v>
      </c>
      <c r="Q1495" s="77" t="s">
        <v>2283</v>
      </c>
      <c r="R1495" s="77">
        <v>0</v>
      </c>
      <c r="S1495" s="77">
        <v>0</v>
      </c>
      <c r="T1495" s="77">
        <v>0</v>
      </c>
      <c r="U1495" s="77">
        <v>0</v>
      </c>
      <c r="V1495" s="77">
        <v>5</v>
      </c>
      <c r="W1495" s="82" t="s">
        <v>5769</v>
      </c>
      <c r="X1495" s="77"/>
      <c r="Y1495" s="77"/>
      <c r="Z1495" s="77"/>
      <c r="AA1495" s="77" t="s">
        <v>7746</v>
      </c>
      <c r="AB1495" s="77" t="s">
        <v>8225</v>
      </c>
      <c r="AC1495" s="82" t="s">
        <v>8233</v>
      </c>
      <c r="AD1495" s="77" t="s">
        <v>8280</v>
      </c>
      <c r="AE1495" s="80" t="str">
        <f>HYPERLINK("https://twitter.com/flaviosouza2810/status/1692479302372139496")</f>
        <v>https://twitter.com/flaviosouza2810/status/1692479302372139496</v>
      </c>
      <c r="AF1495" s="79">
        <v>45156.42459490741</v>
      </c>
      <c r="AG1495" s="85">
        <v>45156</v>
      </c>
      <c r="AH1495" s="82" t="s">
        <v>9635</v>
      </c>
      <c r="AI1495" s="77" t="b">
        <v>0</v>
      </c>
      <c r="AJ1495" s="77"/>
      <c r="AK1495" s="77"/>
      <c r="AL1495" s="77"/>
      <c r="AM1495" s="77"/>
      <c r="AN1495" s="77"/>
      <c r="AO1495" s="77"/>
      <c r="AP1495" s="77"/>
      <c r="AQ1495" s="77" t="s">
        <v>12631</v>
      </c>
      <c r="AR1495" s="77"/>
      <c r="AS1495" s="77"/>
      <c r="AT1495" s="77"/>
      <c r="AU1495" s="77"/>
      <c r="AV1495" s="80" t="str">
        <f>HYPERLINK("https://pbs.twimg.com/media/F3zk9AIWMAAs6Tz.jpg")</f>
        <v>https://pbs.twimg.com/media/F3zk9AIWMAAs6Tz.jpg</v>
      </c>
      <c r="AW1495" s="82" t="s">
        <v>14588</v>
      </c>
      <c r="AX1495" s="82" t="s">
        <v>14588</v>
      </c>
      <c r="AY1495" s="77"/>
      <c r="AZ1495" s="82" t="s">
        <v>17385</v>
      </c>
      <c r="BA1495" s="82" t="s">
        <v>17385</v>
      </c>
      <c r="BB1495" s="82" t="s">
        <v>17385</v>
      </c>
      <c r="BC1495" s="82" t="s">
        <v>14588</v>
      </c>
      <c r="BD1495" s="82" t="s">
        <v>17582</v>
      </c>
      <c r="BE1495" s="77"/>
      <c r="BF1495" s="77"/>
      <c r="BG1495" s="77"/>
      <c r="BH1495" s="77"/>
      <c r="BI1495" s="77"/>
    </row>
    <row r="1496" spans="1:61" x14ac:dyDescent="0.25">
      <c r="A1496" s="62" t="s">
        <v>492</v>
      </c>
      <c r="B1496" s="62" t="s">
        <v>492</v>
      </c>
      <c r="C1496" s="63"/>
      <c r="D1496" s="64"/>
      <c r="E1496" s="65"/>
      <c r="F1496" s="66"/>
      <c r="G1496" s="63"/>
      <c r="H1496" s="67"/>
      <c r="I1496" s="68"/>
      <c r="J1496" s="68"/>
      <c r="K1496" s="32"/>
      <c r="L1496" s="75">
        <v>1496</v>
      </c>
      <c r="M1496" s="75"/>
      <c r="N1496" s="70"/>
      <c r="O1496" s="77" t="s">
        <v>179</v>
      </c>
      <c r="P1496" s="79">
        <v>45155.914803240739</v>
      </c>
      <c r="Q1496" s="77" t="s">
        <v>2284</v>
      </c>
      <c r="R1496" s="77">
        <v>0</v>
      </c>
      <c r="S1496" s="77">
        <v>0</v>
      </c>
      <c r="T1496" s="77">
        <v>0</v>
      </c>
      <c r="U1496" s="77">
        <v>0</v>
      </c>
      <c r="V1496" s="77">
        <v>19</v>
      </c>
      <c r="W1496" s="82" t="s">
        <v>5769</v>
      </c>
      <c r="X1496" s="77"/>
      <c r="Y1496" s="77"/>
      <c r="Z1496" s="77"/>
      <c r="AA1496" s="77" t="s">
        <v>7747</v>
      </c>
      <c r="AB1496" s="77" t="s">
        <v>8225</v>
      </c>
      <c r="AC1496" s="82" t="s">
        <v>8233</v>
      </c>
      <c r="AD1496" s="77" t="s">
        <v>8280</v>
      </c>
      <c r="AE1496" s="80" t="str">
        <f>HYPERLINK("https://twitter.com/flaviosouza2810/status/1692294560410411182")</f>
        <v>https://twitter.com/flaviosouza2810/status/1692294560410411182</v>
      </c>
      <c r="AF1496" s="79">
        <v>45155.914803240739</v>
      </c>
      <c r="AG1496" s="85">
        <v>45155</v>
      </c>
      <c r="AH1496" s="82" t="s">
        <v>9636</v>
      </c>
      <c r="AI1496" s="77" t="b">
        <v>0</v>
      </c>
      <c r="AJ1496" s="77"/>
      <c r="AK1496" s="77"/>
      <c r="AL1496" s="77"/>
      <c r="AM1496" s="77"/>
      <c r="AN1496" s="77"/>
      <c r="AO1496" s="77"/>
      <c r="AP1496" s="77"/>
      <c r="AQ1496" s="77" t="s">
        <v>12632</v>
      </c>
      <c r="AR1496" s="77"/>
      <c r="AS1496" s="77"/>
      <c r="AT1496" s="77"/>
      <c r="AU1496" s="77"/>
      <c r="AV1496" s="80" t="str">
        <f>HYPERLINK("https://pbs.twimg.com/media/F3w87u3WYAApcPA.jpg")</f>
        <v>https://pbs.twimg.com/media/F3w87u3WYAApcPA.jpg</v>
      </c>
      <c r="AW1496" s="82" t="s">
        <v>14589</v>
      </c>
      <c r="AX1496" s="82" t="s">
        <v>14589</v>
      </c>
      <c r="AY1496" s="77"/>
      <c r="AZ1496" s="82" t="s">
        <v>17385</v>
      </c>
      <c r="BA1496" s="82" t="s">
        <v>17385</v>
      </c>
      <c r="BB1496" s="82" t="s">
        <v>17385</v>
      </c>
      <c r="BC1496" s="82" t="s">
        <v>14589</v>
      </c>
      <c r="BD1496" s="82" t="s">
        <v>17582</v>
      </c>
      <c r="BE1496" s="77"/>
      <c r="BF1496" s="77"/>
      <c r="BG1496" s="77"/>
      <c r="BH1496" s="77"/>
      <c r="BI1496" s="77"/>
    </row>
    <row r="1497" spans="1:61" x14ac:dyDescent="0.25">
      <c r="A1497" s="62" t="s">
        <v>492</v>
      </c>
      <c r="B1497" s="62" t="s">
        <v>492</v>
      </c>
      <c r="C1497" s="63"/>
      <c r="D1497" s="64"/>
      <c r="E1497" s="65"/>
      <c r="F1497" s="66"/>
      <c r="G1497" s="63"/>
      <c r="H1497" s="67"/>
      <c r="I1497" s="68"/>
      <c r="J1497" s="68"/>
      <c r="K1497" s="32"/>
      <c r="L1497" s="75">
        <v>1497</v>
      </c>
      <c r="M1497" s="75"/>
      <c r="N1497" s="70"/>
      <c r="O1497" s="77" t="s">
        <v>179</v>
      </c>
      <c r="P1497" s="79">
        <v>45161.888321759259</v>
      </c>
      <c r="Q1497" s="77" t="s">
        <v>2285</v>
      </c>
      <c r="R1497" s="77">
        <v>0</v>
      </c>
      <c r="S1497" s="77">
        <v>0</v>
      </c>
      <c r="T1497" s="77">
        <v>0</v>
      </c>
      <c r="U1497" s="77">
        <v>0</v>
      </c>
      <c r="V1497" s="77">
        <v>24</v>
      </c>
      <c r="W1497" s="82" t="s">
        <v>5769</v>
      </c>
      <c r="X1497" s="77"/>
      <c r="Y1497" s="77"/>
      <c r="Z1497" s="77"/>
      <c r="AA1497" s="77" t="s">
        <v>7748</v>
      </c>
      <c r="AB1497" s="77" t="s">
        <v>8225</v>
      </c>
      <c r="AC1497" s="82" t="s">
        <v>8233</v>
      </c>
      <c r="AD1497" s="77" t="s">
        <v>8280</v>
      </c>
      <c r="AE1497" s="80" t="str">
        <f>HYPERLINK("https://twitter.com/flaviosouza2810/status/1694459292697428236")</f>
        <v>https://twitter.com/flaviosouza2810/status/1694459292697428236</v>
      </c>
      <c r="AF1497" s="79">
        <v>45161.888321759259</v>
      </c>
      <c r="AG1497" s="85">
        <v>45161</v>
      </c>
      <c r="AH1497" s="82" t="s">
        <v>9637</v>
      </c>
      <c r="AI1497" s="77" t="b">
        <v>0</v>
      </c>
      <c r="AJ1497" s="77"/>
      <c r="AK1497" s="77"/>
      <c r="AL1497" s="77"/>
      <c r="AM1497" s="77"/>
      <c r="AN1497" s="77"/>
      <c r="AO1497" s="77"/>
      <c r="AP1497" s="77"/>
      <c r="AQ1497" s="77" t="s">
        <v>12633</v>
      </c>
      <c r="AR1497" s="77"/>
      <c r="AS1497" s="77"/>
      <c r="AT1497" s="77"/>
      <c r="AU1497" s="77"/>
      <c r="AV1497" s="80" t="str">
        <f>HYPERLINK("https://pbs.twimg.com/media/F4PtvpOXAAAYWeJ.jpg")</f>
        <v>https://pbs.twimg.com/media/F4PtvpOXAAAYWeJ.jpg</v>
      </c>
      <c r="AW1497" s="82" t="s">
        <v>14590</v>
      </c>
      <c r="AX1497" s="82" t="s">
        <v>14590</v>
      </c>
      <c r="AY1497" s="77"/>
      <c r="AZ1497" s="82" t="s">
        <v>17385</v>
      </c>
      <c r="BA1497" s="82" t="s">
        <v>17385</v>
      </c>
      <c r="BB1497" s="82" t="s">
        <v>17385</v>
      </c>
      <c r="BC1497" s="82" t="s">
        <v>14590</v>
      </c>
      <c r="BD1497" s="82" t="s">
        <v>17582</v>
      </c>
      <c r="BE1497" s="77"/>
      <c r="BF1497" s="77"/>
      <c r="BG1497" s="77"/>
      <c r="BH1497" s="77"/>
      <c r="BI1497" s="77"/>
    </row>
    <row r="1498" spans="1:61" x14ac:dyDescent="0.25">
      <c r="A1498" s="62" t="s">
        <v>492</v>
      </c>
      <c r="B1498" s="62" t="s">
        <v>492</v>
      </c>
      <c r="C1498" s="63"/>
      <c r="D1498" s="64"/>
      <c r="E1498" s="65"/>
      <c r="F1498" s="66"/>
      <c r="G1498" s="63"/>
      <c r="H1498" s="67"/>
      <c r="I1498" s="68"/>
      <c r="J1498" s="68"/>
      <c r="K1498" s="32"/>
      <c r="L1498" s="75">
        <v>1498</v>
      </c>
      <c r="M1498" s="75"/>
      <c r="N1498" s="70"/>
      <c r="O1498" s="77" t="s">
        <v>179</v>
      </c>
      <c r="P1498" s="79">
        <v>45161.406967592593</v>
      </c>
      <c r="Q1498" s="77" t="s">
        <v>2286</v>
      </c>
      <c r="R1498" s="77">
        <v>0</v>
      </c>
      <c r="S1498" s="77">
        <v>0</v>
      </c>
      <c r="T1498" s="77">
        <v>0</v>
      </c>
      <c r="U1498" s="77">
        <v>0</v>
      </c>
      <c r="V1498" s="77">
        <v>10</v>
      </c>
      <c r="W1498" s="82" t="s">
        <v>5769</v>
      </c>
      <c r="X1498" s="77"/>
      <c r="Y1498" s="77"/>
      <c r="Z1498" s="77"/>
      <c r="AA1498" s="77" t="s">
        <v>7749</v>
      </c>
      <c r="AB1498" s="77" t="s">
        <v>8225</v>
      </c>
      <c r="AC1498" s="82" t="s">
        <v>8233</v>
      </c>
      <c r="AD1498" s="77" t="s">
        <v>8280</v>
      </c>
      <c r="AE1498" s="80" t="str">
        <f>HYPERLINK("https://twitter.com/flaviosouza2810/status/1694284854265774539")</f>
        <v>https://twitter.com/flaviosouza2810/status/1694284854265774539</v>
      </c>
      <c r="AF1498" s="79">
        <v>45161.406967592593</v>
      </c>
      <c r="AG1498" s="85">
        <v>45161</v>
      </c>
      <c r="AH1498" s="82" t="s">
        <v>9638</v>
      </c>
      <c r="AI1498" s="77" t="b">
        <v>0</v>
      </c>
      <c r="AJ1498" s="77"/>
      <c r="AK1498" s="77"/>
      <c r="AL1498" s="77"/>
      <c r="AM1498" s="77"/>
      <c r="AN1498" s="77"/>
      <c r="AO1498" s="77"/>
      <c r="AP1498" s="77"/>
      <c r="AQ1498" s="77" t="s">
        <v>12634</v>
      </c>
      <c r="AR1498" s="77"/>
      <c r="AS1498" s="77"/>
      <c r="AT1498" s="77"/>
      <c r="AU1498" s="77"/>
      <c r="AV1498" s="80" t="str">
        <f>HYPERLINK("https://pbs.twimg.com/media/F4NPGBIXoAEJIFi.jpg")</f>
        <v>https://pbs.twimg.com/media/F4NPGBIXoAEJIFi.jpg</v>
      </c>
      <c r="AW1498" s="82" t="s">
        <v>14591</v>
      </c>
      <c r="AX1498" s="82" t="s">
        <v>14591</v>
      </c>
      <c r="AY1498" s="77"/>
      <c r="AZ1498" s="82" t="s">
        <v>17385</v>
      </c>
      <c r="BA1498" s="82" t="s">
        <v>17385</v>
      </c>
      <c r="BB1498" s="82" t="s">
        <v>17385</v>
      </c>
      <c r="BC1498" s="82" t="s">
        <v>14591</v>
      </c>
      <c r="BD1498" s="82" t="s">
        <v>17582</v>
      </c>
      <c r="BE1498" s="77"/>
      <c r="BF1498" s="77"/>
      <c r="BG1498" s="77"/>
      <c r="BH1498" s="77"/>
      <c r="BI1498" s="77"/>
    </row>
    <row r="1499" spans="1:61" x14ac:dyDescent="0.25">
      <c r="A1499" s="62" t="s">
        <v>492</v>
      </c>
      <c r="B1499" s="62" t="s">
        <v>492</v>
      </c>
      <c r="C1499" s="63"/>
      <c r="D1499" s="64"/>
      <c r="E1499" s="65"/>
      <c r="F1499" s="66"/>
      <c r="G1499" s="63"/>
      <c r="H1499" s="67"/>
      <c r="I1499" s="68"/>
      <c r="J1499" s="68"/>
      <c r="K1499" s="32"/>
      <c r="L1499" s="75">
        <v>1499</v>
      </c>
      <c r="M1499" s="75"/>
      <c r="N1499" s="70"/>
      <c r="O1499" s="77" t="s">
        <v>179</v>
      </c>
      <c r="P1499" s="79">
        <v>45161.406215277777</v>
      </c>
      <c r="Q1499" s="77" t="s">
        <v>2287</v>
      </c>
      <c r="R1499" s="77">
        <v>0</v>
      </c>
      <c r="S1499" s="77">
        <v>0</v>
      </c>
      <c r="T1499" s="77">
        <v>0</v>
      </c>
      <c r="U1499" s="77">
        <v>0</v>
      </c>
      <c r="V1499" s="77">
        <v>11</v>
      </c>
      <c r="W1499" s="82" t="s">
        <v>5769</v>
      </c>
      <c r="X1499" s="77"/>
      <c r="Y1499" s="77"/>
      <c r="Z1499" s="77"/>
      <c r="AA1499" s="77" t="s">
        <v>7750</v>
      </c>
      <c r="AB1499" s="77" t="s">
        <v>8225</v>
      </c>
      <c r="AC1499" s="82" t="s">
        <v>8233</v>
      </c>
      <c r="AD1499" s="77" t="s">
        <v>8280</v>
      </c>
      <c r="AE1499" s="80" t="str">
        <f>HYPERLINK("https://twitter.com/flaviosouza2810/status/1694284583183786487")</f>
        <v>https://twitter.com/flaviosouza2810/status/1694284583183786487</v>
      </c>
      <c r="AF1499" s="79">
        <v>45161.406215277777</v>
      </c>
      <c r="AG1499" s="85">
        <v>45161</v>
      </c>
      <c r="AH1499" s="82" t="s">
        <v>9639</v>
      </c>
      <c r="AI1499" s="77" t="b">
        <v>0</v>
      </c>
      <c r="AJ1499" s="77"/>
      <c r="AK1499" s="77"/>
      <c r="AL1499" s="77"/>
      <c r="AM1499" s="77"/>
      <c r="AN1499" s="77"/>
      <c r="AO1499" s="77"/>
      <c r="AP1499" s="77"/>
      <c r="AQ1499" s="77" t="s">
        <v>12635</v>
      </c>
      <c r="AR1499" s="77"/>
      <c r="AS1499" s="77"/>
      <c r="AT1499" s="77"/>
      <c r="AU1499" s="77"/>
      <c r="AV1499" s="80" t="str">
        <f>HYPERLINK("https://pbs.twimg.com/media/F4NO2TTXgAEjYak.jpg")</f>
        <v>https://pbs.twimg.com/media/F4NO2TTXgAEjYak.jpg</v>
      </c>
      <c r="AW1499" s="82" t="s">
        <v>14592</v>
      </c>
      <c r="AX1499" s="82" t="s">
        <v>14592</v>
      </c>
      <c r="AY1499" s="77"/>
      <c r="AZ1499" s="82" t="s">
        <v>17385</v>
      </c>
      <c r="BA1499" s="82" t="s">
        <v>17385</v>
      </c>
      <c r="BB1499" s="82" t="s">
        <v>17385</v>
      </c>
      <c r="BC1499" s="82" t="s">
        <v>14592</v>
      </c>
      <c r="BD1499" s="82" t="s">
        <v>17582</v>
      </c>
      <c r="BE1499" s="77"/>
      <c r="BF1499" s="77"/>
      <c r="BG1499" s="77"/>
      <c r="BH1499" s="77"/>
      <c r="BI1499" s="77"/>
    </row>
    <row r="1500" spans="1:61" x14ac:dyDescent="0.25">
      <c r="A1500" s="62" t="s">
        <v>492</v>
      </c>
      <c r="B1500" s="62" t="s">
        <v>492</v>
      </c>
      <c r="C1500" s="63"/>
      <c r="D1500" s="64"/>
      <c r="E1500" s="65"/>
      <c r="F1500" s="66"/>
      <c r="G1500" s="63"/>
      <c r="H1500" s="67"/>
      <c r="I1500" s="68"/>
      <c r="J1500" s="68"/>
      <c r="K1500" s="32"/>
      <c r="L1500" s="75">
        <v>1500</v>
      </c>
      <c r="M1500" s="75"/>
      <c r="N1500" s="70"/>
      <c r="O1500" s="77" t="s">
        <v>179</v>
      </c>
      <c r="P1500" s="79">
        <v>45161.406018518515</v>
      </c>
      <c r="Q1500" s="77" t="s">
        <v>2288</v>
      </c>
      <c r="R1500" s="77">
        <v>0</v>
      </c>
      <c r="S1500" s="77">
        <v>0</v>
      </c>
      <c r="T1500" s="77">
        <v>0</v>
      </c>
      <c r="U1500" s="77">
        <v>0</v>
      </c>
      <c r="V1500" s="77">
        <v>10</v>
      </c>
      <c r="W1500" s="82" t="s">
        <v>5769</v>
      </c>
      <c r="X1500" s="77"/>
      <c r="Y1500" s="77"/>
      <c r="Z1500" s="77"/>
      <c r="AA1500" s="77" t="s">
        <v>7751</v>
      </c>
      <c r="AB1500" s="77" t="s">
        <v>8225</v>
      </c>
      <c r="AC1500" s="82" t="s">
        <v>8233</v>
      </c>
      <c r="AD1500" s="77" t="s">
        <v>8280</v>
      </c>
      <c r="AE1500" s="80" t="str">
        <f>HYPERLINK("https://twitter.com/flaviosouza2810/status/1694284511540855028")</f>
        <v>https://twitter.com/flaviosouza2810/status/1694284511540855028</v>
      </c>
      <c r="AF1500" s="79">
        <v>45161.406018518515</v>
      </c>
      <c r="AG1500" s="85">
        <v>45161</v>
      </c>
      <c r="AH1500" s="82" t="s">
        <v>9640</v>
      </c>
      <c r="AI1500" s="77" t="b">
        <v>0</v>
      </c>
      <c r="AJ1500" s="77"/>
      <c r="AK1500" s="77"/>
      <c r="AL1500" s="77"/>
      <c r="AM1500" s="77"/>
      <c r="AN1500" s="77"/>
      <c r="AO1500" s="77"/>
      <c r="AP1500" s="77"/>
      <c r="AQ1500" s="77" t="s">
        <v>12636</v>
      </c>
      <c r="AR1500" s="77"/>
      <c r="AS1500" s="77"/>
      <c r="AT1500" s="77"/>
      <c r="AU1500" s="77"/>
      <c r="AV1500" s="80" t="str">
        <f>HYPERLINK("https://pbs.twimg.com/media/F4NOyHDXsAA6rhu.jpg")</f>
        <v>https://pbs.twimg.com/media/F4NOyHDXsAA6rhu.jpg</v>
      </c>
      <c r="AW1500" s="82" t="s">
        <v>14593</v>
      </c>
      <c r="AX1500" s="82" t="s">
        <v>14593</v>
      </c>
      <c r="AY1500" s="77"/>
      <c r="AZ1500" s="82" t="s">
        <v>17385</v>
      </c>
      <c r="BA1500" s="82" t="s">
        <v>17385</v>
      </c>
      <c r="BB1500" s="82" t="s">
        <v>17385</v>
      </c>
      <c r="BC1500" s="82" t="s">
        <v>14593</v>
      </c>
      <c r="BD1500" s="82" t="s">
        <v>17582</v>
      </c>
      <c r="BE1500" s="77"/>
      <c r="BF1500" s="77"/>
      <c r="BG1500" s="77"/>
      <c r="BH1500" s="77"/>
      <c r="BI1500" s="77"/>
    </row>
    <row r="1501" spans="1:61" x14ac:dyDescent="0.25">
      <c r="A1501" s="62" t="s">
        <v>492</v>
      </c>
      <c r="B1501" s="62" t="s">
        <v>492</v>
      </c>
      <c r="C1501" s="63"/>
      <c r="D1501" s="64"/>
      <c r="E1501" s="65"/>
      <c r="F1501" s="66"/>
      <c r="G1501" s="63"/>
      <c r="H1501" s="67"/>
      <c r="I1501" s="68"/>
      <c r="J1501" s="68"/>
      <c r="K1501" s="32"/>
      <c r="L1501" s="75">
        <v>1501</v>
      </c>
      <c r="M1501" s="75"/>
      <c r="N1501" s="70"/>
      <c r="O1501" s="77" t="s">
        <v>179</v>
      </c>
      <c r="P1501" s="79">
        <v>45160.884884259256</v>
      </c>
      <c r="Q1501" s="77" t="s">
        <v>2289</v>
      </c>
      <c r="R1501" s="77">
        <v>0</v>
      </c>
      <c r="S1501" s="77">
        <v>0</v>
      </c>
      <c r="T1501" s="77">
        <v>0</v>
      </c>
      <c r="U1501" s="77">
        <v>0</v>
      </c>
      <c r="V1501" s="77">
        <v>9</v>
      </c>
      <c r="W1501" s="82" t="s">
        <v>5769</v>
      </c>
      <c r="X1501" s="77"/>
      <c r="Y1501" s="77"/>
      <c r="Z1501" s="77"/>
      <c r="AA1501" s="77" t="s">
        <v>7752</v>
      </c>
      <c r="AB1501" s="77" t="s">
        <v>8225</v>
      </c>
      <c r="AC1501" s="82" t="s">
        <v>8233</v>
      </c>
      <c r="AD1501" s="77" t="s">
        <v>8280</v>
      </c>
      <c r="AE1501" s="80" t="str">
        <f>HYPERLINK("https://twitter.com/flaviosouza2810/status/1694095657772913019")</f>
        <v>https://twitter.com/flaviosouza2810/status/1694095657772913019</v>
      </c>
      <c r="AF1501" s="79">
        <v>45160.884884259256</v>
      </c>
      <c r="AG1501" s="85">
        <v>45160</v>
      </c>
      <c r="AH1501" s="82" t="s">
        <v>9641</v>
      </c>
      <c r="AI1501" s="77" t="b">
        <v>0</v>
      </c>
      <c r="AJ1501" s="77"/>
      <c r="AK1501" s="77"/>
      <c r="AL1501" s="77"/>
      <c r="AM1501" s="77"/>
      <c r="AN1501" s="77"/>
      <c r="AO1501" s="77"/>
      <c r="AP1501" s="77"/>
      <c r="AQ1501" s="77" t="s">
        <v>12637</v>
      </c>
      <c r="AR1501" s="77"/>
      <c r="AS1501" s="77"/>
      <c r="AT1501" s="77"/>
      <c r="AU1501" s="77"/>
      <c r="AV1501" s="80" t="str">
        <f>HYPERLINK("https://pbs.twimg.com/media/F4KjBCtXwAAXMmf.jpg")</f>
        <v>https://pbs.twimg.com/media/F4KjBCtXwAAXMmf.jpg</v>
      </c>
      <c r="AW1501" s="82" t="s">
        <v>14594</v>
      </c>
      <c r="AX1501" s="82" t="s">
        <v>14594</v>
      </c>
      <c r="AY1501" s="77"/>
      <c r="AZ1501" s="82" t="s">
        <v>17385</v>
      </c>
      <c r="BA1501" s="82" t="s">
        <v>17385</v>
      </c>
      <c r="BB1501" s="82" t="s">
        <v>17385</v>
      </c>
      <c r="BC1501" s="82" t="s">
        <v>14594</v>
      </c>
      <c r="BD1501" s="82" t="s">
        <v>17582</v>
      </c>
      <c r="BE1501" s="77"/>
      <c r="BF1501" s="77"/>
      <c r="BG1501" s="77"/>
      <c r="BH1501" s="77"/>
      <c r="BI1501" s="77"/>
    </row>
    <row r="1502" spans="1:61" x14ac:dyDescent="0.25">
      <c r="A1502" s="62" t="s">
        <v>492</v>
      </c>
      <c r="B1502" s="62" t="s">
        <v>492</v>
      </c>
      <c r="C1502" s="63"/>
      <c r="D1502" s="64"/>
      <c r="E1502" s="65"/>
      <c r="F1502" s="66"/>
      <c r="G1502" s="63"/>
      <c r="H1502" s="67"/>
      <c r="I1502" s="68"/>
      <c r="J1502" s="68"/>
      <c r="K1502" s="32"/>
      <c r="L1502" s="75">
        <v>1502</v>
      </c>
      <c r="M1502" s="75"/>
      <c r="N1502" s="70"/>
      <c r="O1502" s="77" t="s">
        <v>179</v>
      </c>
      <c r="P1502" s="79">
        <v>45154.416875000003</v>
      </c>
      <c r="Q1502" s="77" t="s">
        <v>2290</v>
      </c>
      <c r="R1502" s="77">
        <v>0</v>
      </c>
      <c r="S1502" s="77">
        <v>0</v>
      </c>
      <c r="T1502" s="77">
        <v>0</v>
      </c>
      <c r="U1502" s="77">
        <v>0</v>
      </c>
      <c r="V1502" s="77">
        <v>2</v>
      </c>
      <c r="W1502" s="82" t="s">
        <v>5768</v>
      </c>
      <c r="X1502" s="77"/>
      <c r="Y1502" s="77"/>
      <c r="Z1502" s="77"/>
      <c r="AA1502" s="77" t="s">
        <v>7753</v>
      </c>
      <c r="AB1502" s="77" t="s">
        <v>8225</v>
      </c>
      <c r="AC1502" s="82" t="s">
        <v>8233</v>
      </c>
      <c r="AD1502" s="77" t="s">
        <v>8280</v>
      </c>
      <c r="AE1502" s="80" t="str">
        <f>HYPERLINK("https://twitter.com/flaviosouza2810/status/1691751730122231906")</f>
        <v>https://twitter.com/flaviosouza2810/status/1691751730122231906</v>
      </c>
      <c r="AF1502" s="79">
        <v>45154.416875000003</v>
      </c>
      <c r="AG1502" s="85">
        <v>45154</v>
      </c>
      <c r="AH1502" s="82" t="s">
        <v>9642</v>
      </c>
      <c r="AI1502" s="77" t="b">
        <v>0</v>
      </c>
      <c r="AJ1502" s="77"/>
      <c r="AK1502" s="77"/>
      <c r="AL1502" s="77"/>
      <c r="AM1502" s="77"/>
      <c r="AN1502" s="77"/>
      <c r="AO1502" s="77"/>
      <c r="AP1502" s="77"/>
      <c r="AQ1502" s="77" t="s">
        <v>12638</v>
      </c>
      <c r="AR1502" s="77"/>
      <c r="AS1502" s="77"/>
      <c r="AT1502" s="77"/>
      <c r="AU1502" s="77"/>
      <c r="AV1502" s="80" t="str">
        <f>HYPERLINK("https://pbs.twimg.com/media/F3pPO1cXcAAVo-h.jpg")</f>
        <v>https://pbs.twimg.com/media/F3pPO1cXcAAVo-h.jpg</v>
      </c>
      <c r="AW1502" s="82" t="s">
        <v>14595</v>
      </c>
      <c r="AX1502" s="82" t="s">
        <v>14595</v>
      </c>
      <c r="AY1502" s="77"/>
      <c r="AZ1502" s="82" t="s">
        <v>17385</v>
      </c>
      <c r="BA1502" s="82" t="s">
        <v>17385</v>
      </c>
      <c r="BB1502" s="82" t="s">
        <v>17385</v>
      </c>
      <c r="BC1502" s="82" t="s">
        <v>14595</v>
      </c>
      <c r="BD1502" s="82" t="s">
        <v>17582</v>
      </c>
      <c r="BE1502" s="77"/>
      <c r="BF1502" s="77"/>
      <c r="BG1502" s="77"/>
      <c r="BH1502" s="77"/>
      <c r="BI1502" s="77"/>
    </row>
    <row r="1503" spans="1:61" x14ac:dyDescent="0.25">
      <c r="A1503" s="62" t="s">
        <v>492</v>
      </c>
      <c r="B1503" s="62" t="s">
        <v>492</v>
      </c>
      <c r="C1503" s="63"/>
      <c r="D1503" s="64"/>
      <c r="E1503" s="65"/>
      <c r="F1503" s="66"/>
      <c r="G1503" s="63"/>
      <c r="H1503" s="67"/>
      <c r="I1503" s="68"/>
      <c r="J1503" s="68"/>
      <c r="K1503" s="32"/>
      <c r="L1503" s="75">
        <v>1503</v>
      </c>
      <c r="M1503" s="75"/>
      <c r="N1503" s="70"/>
      <c r="O1503" s="77" t="s">
        <v>179</v>
      </c>
      <c r="P1503" s="79">
        <v>45154.416620370372</v>
      </c>
      <c r="Q1503" s="77" t="s">
        <v>2291</v>
      </c>
      <c r="R1503" s="77">
        <v>0</v>
      </c>
      <c r="S1503" s="77">
        <v>0</v>
      </c>
      <c r="T1503" s="77">
        <v>0</v>
      </c>
      <c r="U1503" s="77">
        <v>0</v>
      </c>
      <c r="V1503" s="77">
        <v>1</v>
      </c>
      <c r="W1503" s="82" t="s">
        <v>5768</v>
      </c>
      <c r="X1503" s="77"/>
      <c r="Y1503" s="77"/>
      <c r="Z1503" s="77"/>
      <c r="AA1503" s="77" t="s">
        <v>7754</v>
      </c>
      <c r="AB1503" s="77" t="s">
        <v>8225</v>
      </c>
      <c r="AC1503" s="82" t="s">
        <v>8233</v>
      </c>
      <c r="AD1503" s="77" t="s">
        <v>8280</v>
      </c>
      <c r="AE1503" s="80" t="str">
        <f>HYPERLINK("https://twitter.com/flaviosouza2810/status/1691751636790645146")</f>
        <v>https://twitter.com/flaviosouza2810/status/1691751636790645146</v>
      </c>
      <c r="AF1503" s="79">
        <v>45154.416620370372</v>
      </c>
      <c r="AG1503" s="85">
        <v>45154</v>
      </c>
      <c r="AH1503" s="82" t="s">
        <v>9643</v>
      </c>
      <c r="AI1503" s="77" t="b">
        <v>0</v>
      </c>
      <c r="AJ1503" s="77"/>
      <c r="AK1503" s="77"/>
      <c r="AL1503" s="77"/>
      <c r="AM1503" s="77"/>
      <c r="AN1503" s="77"/>
      <c r="AO1503" s="77"/>
      <c r="AP1503" s="77"/>
      <c r="AQ1503" s="77" t="s">
        <v>12639</v>
      </c>
      <c r="AR1503" s="77"/>
      <c r="AS1503" s="77"/>
      <c r="AT1503" s="77"/>
      <c r="AU1503" s="77"/>
      <c r="AV1503" s="80" t="str">
        <f>HYPERLINK("https://pbs.twimg.com/media/F3pPJVNXcAABRCt.jpg")</f>
        <v>https://pbs.twimg.com/media/F3pPJVNXcAABRCt.jpg</v>
      </c>
      <c r="AW1503" s="82" t="s">
        <v>14596</v>
      </c>
      <c r="AX1503" s="82" t="s">
        <v>14596</v>
      </c>
      <c r="AY1503" s="77"/>
      <c r="AZ1503" s="82" t="s">
        <v>17385</v>
      </c>
      <c r="BA1503" s="82" t="s">
        <v>17385</v>
      </c>
      <c r="BB1503" s="82" t="s">
        <v>17385</v>
      </c>
      <c r="BC1503" s="82" t="s">
        <v>14596</v>
      </c>
      <c r="BD1503" s="82" t="s">
        <v>17582</v>
      </c>
      <c r="BE1503" s="77"/>
      <c r="BF1503" s="77"/>
      <c r="BG1503" s="77"/>
      <c r="BH1503" s="77"/>
      <c r="BI1503" s="77"/>
    </row>
    <row r="1504" spans="1:61" x14ac:dyDescent="0.25">
      <c r="A1504" s="62" t="s">
        <v>492</v>
      </c>
      <c r="B1504" s="62" t="s">
        <v>492</v>
      </c>
      <c r="C1504" s="63"/>
      <c r="D1504" s="64"/>
      <c r="E1504" s="65"/>
      <c r="F1504" s="66"/>
      <c r="G1504" s="63"/>
      <c r="H1504" s="67"/>
      <c r="I1504" s="68"/>
      <c r="J1504" s="68"/>
      <c r="K1504" s="32"/>
      <c r="L1504" s="75">
        <v>1504</v>
      </c>
      <c r="M1504" s="75"/>
      <c r="N1504" s="70"/>
      <c r="O1504" s="77" t="s">
        <v>179</v>
      </c>
      <c r="P1504" s="79">
        <v>45154.416041666664</v>
      </c>
      <c r="Q1504" s="77" t="s">
        <v>2292</v>
      </c>
      <c r="R1504" s="77">
        <v>0</v>
      </c>
      <c r="S1504" s="77">
        <v>0</v>
      </c>
      <c r="T1504" s="77">
        <v>0</v>
      </c>
      <c r="U1504" s="77">
        <v>0</v>
      </c>
      <c r="V1504" s="77">
        <v>3</v>
      </c>
      <c r="W1504" s="82" t="s">
        <v>5768</v>
      </c>
      <c r="X1504" s="77"/>
      <c r="Y1504" s="77"/>
      <c r="Z1504" s="77"/>
      <c r="AA1504" s="77" t="s">
        <v>7755</v>
      </c>
      <c r="AB1504" s="77" t="s">
        <v>8225</v>
      </c>
      <c r="AC1504" s="82" t="s">
        <v>8233</v>
      </c>
      <c r="AD1504" s="77" t="s">
        <v>8280</v>
      </c>
      <c r="AE1504" s="80" t="str">
        <f>HYPERLINK("https://twitter.com/flaviosouza2810/status/1691751429705211971")</f>
        <v>https://twitter.com/flaviosouza2810/status/1691751429705211971</v>
      </c>
      <c r="AF1504" s="79">
        <v>45154.416041666664</v>
      </c>
      <c r="AG1504" s="85">
        <v>45154</v>
      </c>
      <c r="AH1504" s="82" t="s">
        <v>9644</v>
      </c>
      <c r="AI1504" s="77" t="b">
        <v>0</v>
      </c>
      <c r="AJ1504" s="77"/>
      <c r="AK1504" s="77"/>
      <c r="AL1504" s="77"/>
      <c r="AM1504" s="77"/>
      <c r="AN1504" s="77"/>
      <c r="AO1504" s="77"/>
      <c r="AP1504" s="77"/>
      <c r="AQ1504" s="77" t="s">
        <v>12640</v>
      </c>
      <c r="AR1504" s="77"/>
      <c r="AS1504" s="77"/>
      <c r="AT1504" s="77"/>
      <c r="AU1504" s="77"/>
      <c r="AV1504" s="80" t="str">
        <f>HYPERLINK("https://pbs.twimg.com/media/F3pO9VlWUAAIsPr.jpg")</f>
        <v>https://pbs.twimg.com/media/F3pO9VlWUAAIsPr.jpg</v>
      </c>
      <c r="AW1504" s="82" t="s">
        <v>14597</v>
      </c>
      <c r="AX1504" s="82" t="s">
        <v>14597</v>
      </c>
      <c r="AY1504" s="77"/>
      <c r="AZ1504" s="82" t="s">
        <v>17385</v>
      </c>
      <c r="BA1504" s="82" t="s">
        <v>17385</v>
      </c>
      <c r="BB1504" s="82" t="s">
        <v>17385</v>
      </c>
      <c r="BC1504" s="82" t="s">
        <v>14597</v>
      </c>
      <c r="BD1504" s="82" t="s">
        <v>17582</v>
      </c>
      <c r="BE1504" s="77"/>
      <c r="BF1504" s="77"/>
      <c r="BG1504" s="77"/>
      <c r="BH1504" s="77"/>
      <c r="BI1504" s="77"/>
    </row>
    <row r="1505" spans="1:61" x14ac:dyDescent="0.25">
      <c r="A1505" s="62" t="s">
        <v>492</v>
      </c>
      <c r="B1505" s="62" t="s">
        <v>492</v>
      </c>
      <c r="C1505" s="63"/>
      <c r="D1505" s="64"/>
      <c r="E1505" s="65"/>
      <c r="F1505" s="66"/>
      <c r="G1505" s="63"/>
      <c r="H1505" s="67"/>
      <c r="I1505" s="68"/>
      <c r="J1505" s="68"/>
      <c r="K1505" s="32"/>
      <c r="L1505" s="75">
        <v>1505</v>
      </c>
      <c r="M1505" s="75"/>
      <c r="N1505" s="70"/>
      <c r="O1505" s="77" t="s">
        <v>179</v>
      </c>
      <c r="P1505" s="79">
        <v>45153.869849537034</v>
      </c>
      <c r="Q1505" s="77" t="s">
        <v>2293</v>
      </c>
      <c r="R1505" s="77">
        <v>0</v>
      </c>
      <c r="S1505" s="77">
        <v>0</v>
      </c>
      <c r="T1505" s="77">
        <v>0</v>
      </c>
      <c r="U1505" s="77">
        <v>0</v>
      </c>
      <c r="V1505" s="77">
        <v>5</v>
      </c>
      <c r="W1505" s="82" t="s">
        <v>5769</v>
      </c>
      <c r="X1505" s="77"/>
      <c r="Y1505" s="77"/>
      <c r="Z1505" s="77"/>
      <c r="AA1505" s="77" t="s">
        <v>7756</v>
      </c>
      <c r="AB1505" s="77" t="s">
        <v>8225</v>
      </c>
      <c r="AC1505" s="82" t="s">
        <v>8233</v>
      </c>
      <c r="AD1505" s="77" t="s">
        <v>8280</v>
      </c>
      <c r="AE1505" s="80" t="str">
        <f>HYPERLINK("https://twitter.com/flaviosouza2810/status/1691553494828716347")</f>
        <v>https://twitter.com/flaviosouza2810/status/1691553494828716347</v>
      </c>
      <c r="AF1505" s="79">
        <v>45153.869849537034</v>
      </c>
      <c r="AG1505" s="85">
        <v>45153</v>
      </c>
      <c r="AH1505" s="82" t="s">
        <v>9645</v>
      </c>
      <c r="AI1505" s="77" t="b">
        <v>0</v>
      </c>
      <c r="AJ1505" s="77"/>
      <c r="AK1505" s="77"/>
      <c r="AL1505" s="77"/>
      <c r="AM1505" s="77"/>
      <c r="AN1505" s="77"/>
      <c r="AO1505" s="77"/>
      <c r="AP1505" s="77"/>
      <c r="AQ1505" s="77" t="s">
        <v>12641</v>
      </c>
      <c r="AR1505" s="77"/>
      <c r="AS1505" s="77"/>
      <c r="AT1505" s="77"/>
      <c r="AU1505" s="77"/>
      <c r="AV1505" s="80" t="str">
        <f>HYPERLINK("https://pbs.twimg.com/media/F3ma73VWIAAtCi0.jpg")</f>
        <v>https://pbs.twimg.com/media/F3ma73VWIAAtCi0.jpg</v>
      </c>
      <c r="AW1505" s="82" t="s">
        <v>14598</v>
      </c>
      <c r="AX1505" s="82" t="s">
        <v>14598</v>
      </c>
      <c r="AY1505" s="77"/>
      <c r="AZ1505" s="82" t="s">
        <v>17385</v>
      </c>
      <c r="BA1505" s="82" t="s">
        <v>17385</v>
      </c>
      <c r="BB1505" s="82" t="s">
        <v>17385</v>
      </c>
      <c r="BC1505" s="82" t="s">
        <v>14598</v>
      </c>
      <c r="BD1505" s="82" t="s">
        <v>17582</v>
      </c>
      <c r="BE1505" s="77"/>
      <c r="BF1505" s="77"/>
      <c r="BG1505" s="77"/>
      <c r="BH1505" s="77"/>
      <c r="BI1505" s="77"/>
    </row>
    <row r="1506" spans="1:61" x14ac:dyDescent="0.25">
      <c r="A1506" s="62" t="s">
        <v>492</v>
      </c>
      <c r="B1506" s="62" t="s">
        <v>492</v>
      </c>
      <c r="C1506" s="63"/>
      <c r="D1506" s="64"/>
      <c r="E1506" s="65"/>
      <c r="F1506" s="66"/>
      <c r="G1506" s="63"/>
      <c r="H1506" s="67"/>
      <c r="I1506" s="68"/>
      <c r="J1506" s="68"/>
      <c r="K1506" s="32"/>
      <c r="L1506" s="75">
        <v>1506</v>
      </c>
      <c r="M1506" s="75"/>
      <c r="N1506" s="70"/>
      <c r="O1506" s="77" t="s">
        <v>179</v>
      </c>
      <c r="P1506" s="79">
        <v>45100.925081018519</v>
      </c>
      <c r="Q1506" s="77" t="s">
        <v>2294</v>
      </c>
      <c r="R1506" s="77">
        <v>0</v>
      </c>
      <c r="S1506" s="77">
        <v>0</v>
      </c>
      <c r="T1506" s="77">
        <v>0</v>
      </c>
      <c r="U1506" s="77">
        <v>0</v>
      </c>
      <c r="V1506" s="77">
        <v>34</v>
      </c>
      <c r="W1506" s="82" t="s">
        <v>5770</v>
      </c>
      <c r="X1506" s="77"/>
      <c r="Y1506" s="77"/>
      <c r="Z1506" s="77"/>
      <c r="AA1506" s="77" t="s">
        <v>7757</v>
      </c>
      <c r="AB1506" s="77" t="s">
        <v>8225</v>
      </c>
      <c r="AC1506" s="82" t="s">
        <v>8233</v>
      </c>
      <c r="AD1506" s="77" t="s">
        <v>8280</v>
      </c>
      <c r="AE1506" s="80" t="str">
        <f>HYPERLINK("https://twitter.com/flaviosouza2810/status/1672366953174908928")</f>
        <v>https://twitter.com/flaviosouza2810/status/1672366953174908928</v>
      </c>
      <c r="AF1506" s="79">
        <v>45100.925081018519</v>
      </c>
      <c r="AG1506" s="85">
        <v>45100</v>
      </c>
      <c r="AH1506" s="82" t="s">
        <v>9646</v>
      </c>
      <c r="AI1506" s="77" t="b">
        <v>0</v>
      </c>
      <c r="AJ1506" s="77"/>
      <c r="AK1506" s="77"/>
      <c r="AL1506" s="77"/>
      <c r="AM1506" s="77"/>
      <c r="AN1506" s="77"/>
      <c r="AO1506" s="77"/>
      <c r="AP1506" s="77"/>
      <c r="AQ1506" s="77" t="s">
        <v>12642</v>
      </c>
      <c r="AR1506" s="77"/>
      <c r="AS1506" s="77"/>
      <c r="AT1506" s="77"/>
      <c r="AU1506" s="77"/>
      <c r="AV1506" s="80" t="str">
        <f>HYPERLINK("https://pbs.twimg.com/media/FzVw4KGWAAAq0uS.jpg")</f>
        <v>https://pbs.twimg.com/media/FzVw4KGWAAAq0uS.jpg</v>
      </c>
      <c r="AW1506" s="82" t="s">
        <v>14599</v>
      </c>
      <c r="AX1506" s="82" t="s">
        <v>14599</v>
      </c>
      <c r="AY1506" s="77"/>
      <c r="AZ1506" s="82" t="s">
        <v>17385</v>
      </c>
      <c r="BA1506" s="82" t="s">
        <v>17385</v>
      </c>
      <c r="BB1506" s="82" t="s">
        <v>17385</v>
      </c>
      <c r="BC1506" s="82" t="s">
        <v>14599</v>
      </c>
      <c r="BD1506" s="82" t="s">
        <v>17582</v>
      </c>
      <c r="BE1506" s="77"/>
      <c r="BF1506" s="77"/>
      <c r="BG1506" s="77"/>
      <c r="BH1506" s="77"/>
      <c r="BI1506" s="77"/>
    </row>
    <row r="1507" spans="1:61" x14ac:dyDescent="0.25">
      <c r="A1507" s="62" t="s">
        <v>492</v>
      </c>
      <c r="B1507" s="62" t="s">
        <v>492</v>
      </c>
      <c r="C1507" s="63"/>
      <c r="D1507" s="64"/>
      <c r="E1507" s="65"/>
      <c r="F1507" s="66"/>
      <c r="G1507" s="63"/>
      <c r="H1507" s="67"/>
      <c r="I1507" s="68"/>
      <c r="J1507" s="68"/>
      <c r="K1507" s="32"/>
      <c r="L1507" s="75">
        <v>1507</v>
      </c>
      <c r="M1507" s="75"/>
      <c r="N1507" s="70"/>
      <c r="O1507" s="77" t="s">
        <v>179</v>
      </c>
      <c r="P1507" s="79">
        <v>45168.382349537038</v>
      </c>
      <c r="Q1507" s="77" t="s">
        <v>2295</v>
      </c>
      <c r="R1507" s="77">
        <v>0</v>
      </c>
      <c r="S1507" s="77">
        <v>0</v>
      </c>
      <c r="T1507" s="77">
        <v>0</v>
      </c>
      <c r="U1507" s="77">
        <v>0</v>
      </c>
      <c r="V1507" s="77">
        <v>13</v>
      </c>
      <c r="W1507" s="82" t="s">
        <v>5769</v>
      </c>
      <c r="X1507" s="77"/>
      <c r="Y1507" s="77"/>
      <c r="Z1507" s="77"/>
      <c r="AA1507" s="77" t="s">
        <v>7758</v>
      </c>
      <c r="AB1507" s="77" t="s">
        <v>8225</v>
      </c>
      <c r="AC1507" s="82" t="s">
        <v>8233</v>
      </c>
      <c r="AD1507" s="77" t="s">
        <v>8280</v>
      </c>
      <c r="AE1507" s="80" t="str">
        <f>HYPERLINK("https://twitter.com/flaviosouza2810/status/1696812647713288549")</f>
        <v>https://twitter.com/flaviosouza2810/status/1696812647713288549</v>
      </c>
      <c r="AF1507" s="79">
        <v>45168.382349537038</v>
      </c>
      <c r="AG1507" s="85">
        <v>45168</v>
      </c>
      <c r="AH1507" s="82" t="s">
        <v>9647</v>
      </c>
      <c r="AI1507" s="77" t="b">
        <v>0</v>
      </c>
      <c r="AJ1507" s="77"/>
      <c r="AK1507" s="77"/>
      <c r="AL1507" s="77"/>
      <c r="AM1507" s="77"/>
      <c r="AN1507" s="77"/>
      <c r="AO1507" s="77"/>
      <c r="AP1507" s="77"/>
      <c r="AQ1507" s="77" t="s">
        <v>12643</v>
      </c>
      <c r="AR1507" s="77"/>
      <c r="AS1507" s="77"/>
      <c r="AT1507" s="77"/>
      <c r="AU1507" s="77"/>
      <c r="AV1507" s="80" t="str">
        <f>HYPERLINK("https://pbs.twimg.com/media/F4xKG_HWEAAje5Z.jpg")</f>
        <v>https://pbs.twimg.com/media/F4xKG_HWEAAje5Z.jpg</v>
      </c>
      <c r="AW1507" s="82" t="s">
        <v>14600</v>
      </c>
      <c r="AX1507" s="82" t="s">
        <v>14600</v>
      </c>
      <c r="AY1507" s="77"/>
      <c r="AZ1507" s="82" t="s">
        <v>17385</v>
      </c>
      <c r="BA1507" s="82" t="s">
        <v>17385</v>
      </c>
      <c r="BB1507" s="82" t="s">
        <v>17385</v>
      </c>
      <c r="BC1507" s="82" t="s">
        <v>14600</v>
      </c>
      <c r="BD1507" s="82" t="s">
        <v>17582</v>
      </c>
      <c r="BE1507" s="77"/>
      <c r="BF1507" s="77"/>
      <c r="BG1507" s="77"/>
      <c r="BH1507" s="77"/>
      <c r="BI1507" s="77"/>
    </row>
    <row r="1508" spans="1:61" x14ac:dyDescent="0.25">
      <c r="A1508" s="62" t="s">
        <v>492</v>
      </c>
      <c r="B1508" s="62" t="s">
        <v>492</v>
      </c>
      <c r="C1508" s="63"/>
      <c r="D1508" s="64"/>
      <c r="E1508" s="65"/>
      <c r="F1508" s="66"/>
      <c r="G1508" s="63"/>
      <c r="H1508" s="67"/>
      <c r="I1508" s="68"/>
      <c r="J1508" s="68"/>
      <c r="K1508" s="32"/>
      <c r="L1508" s="75">
        <v>1508</v>
      </c>
      <c r="M1508" s="75"/>
      <c r="N1508" s="70"/>
      <c r="O1508" s="77" t="s">
        <v>179</v>
      </c>
      <c r="P1508" s="79">
        <v>45168.382094907407</v>
      </c>
      <c r="Q1508" s="77" t="s">
        <v>2296</v>
      </c>
      <c r="R1508" s="77">
        <v>0</v>
      </c>
      <c r="S1508" s="77">
        <v>0</v>
      </c>
      <c r="T1508" s="77">
        <v>0</v>
      </c>
      <c r="U1508" s="77">
        <v>0</v>
      </c>
      <c r="V1508" s="77">
        <v>10</v>
      </c>
      <c r="W1508" s="82" t="s">
        <v>5769</v>
      </c>
      <c r="X1508" s="77"/>
      <c r="Y1508" s="77"/>
      <c r="Z1508" s="77"/>
      <c r="AA1508" s="77" t="s">
        <v>7759</v>
      </c>
      <c r="AB1508" s="77" t="s">
        <v>8225</v>
      </c>
      <c r="AC1508" s="82" t="s">
        <v>8233</v>
      </c>
      <c r="AD1508" s="77" t="s">
        <v>8280</v>
      </c>
      <c r="AE1508" s="80" t="str">
        <f>HYPERLINK("https://twitter.com/flaviosouza2810/status/1696812555774112016")</f>
        <v>https://twitter.com/flaviosouza2810/status/1696812555774112016</v>
      </c>
      <c r="AF1508" s="79">
        <v>45168.382094907407</v>
      </c>
      <c r="AG1508" s="85">
        <v>45168</v>
      </c>
      <c r="AH1508" s="82" t="s">
        <v>9648</v>
      </c>
      <c r="AI1508" s="77" t="b">
        <v>0</v>
      </c>
      <c r="AJ1508" s="77"/>
      <c r="AK1508" s="77"/>
      <c r="AL1508" s="77"/>
      <c r="AM1508" s="77"/>
      <c r="AN1508" s="77"/>
      <c r="AO1508" s="77"/>
      <c r="AP1508" s="77"/>
      <c r="AQ1508" s="77" t="s">
        <v>12644</v>
      </c>
      <c r="AR1508" s="77"/>
      <c r="AS1508" s="77"/>
      <c r="AT1508" s="77"/>
      <c r="AU1508" s="77"/>
      <c r="AV1508" s="80" t="str">
        <f>HYPERLINK("https://pbs.twimg.com/media/F4xKBp9XMAA00lQ.jpg")</f>
        <v>https://pbs.twimg.com/media/F4xKBp9XMAA00lQ.jpg</v>
      </c>
      <c r="AW1508" s="82" t="s">
        <v>14601</v>
      </c>
      <c r="AX1508" s="82" t="s">
        <v>14601</v>
      </c>
      <c r="AY1508" s="77"/>
      <c r="AZ1508" s="82" t="s">
        <v>17385</v>
      </c>
      <c r="BA1508" s="82" t="s">
        <v>17385</v>
      </c>
      <c r="BB1508" s="82" t="s">
        <v>17385</v>
      </c>
      <c r="BC1508" s="82" t="s">
        <v>14601</v>
      </c>
      <c r="BD1508" s="82" t="s">
        <v>17582</v>
      </c>
      <c r="BE1508" s="77"/>
      <c r="BF1508" s="77"/>
      <c r="BG1508" s="77"/>
      <c r="BH1508" s="77"/>
      <c r="BI1508" s="77"/>
    </row>
    <row r="1509" spans="1:61" x14ac:dyDescent="0.25">
      <c r="A1509" s="62" t="s">
        <v>492</v>
      </c>
      <c r="B1509" s="62" t="s">
        <v>492</v>
      </c>
      <c r="C1509" s="63"/>
      <c r="D1509" s="64"/>
      <c r="E1509" s="65"/>
      <c r="F1509" s="66"/>
      <c r="G1509" s="63"/>
      <c r="H1509" s="67"/>
      <c r="I1509" s="68"/>
      <c r="J1509" s="68"/>
      <c r="K1509" s="32"/>
      <c r="L1509" s="75">
        <v>1509</v>
      </c>
      <c r="M1509" s="75"/>
      <c r="N1509" s="70"/>
      <c r="O1509" s="77" t="s">
        <v>179</v>
      </c>
      <c r="P1509" s="79">
        <v>45168.381898148145</v>
      </c>
      <c r="Q1509" s="77" t="s">
        <v>2297</v>
      </c>
      <c r="R1509" s="77">
        <v>0</v>
      </c>
      <c r="S1509" s="77">
        <v>0</v>
      </c>
      <c r="T1509" s="77">
        <v>0</v>
      </c>
      <c r="U1509" s="77">
        <v>0</v>
      </c>
      <c r="V1509" s="77">
        <v>9</v>
      </c>
      <c r="W1509" s="82" t="s">
        <v>5769</v>
      </c>
      <c r="X1509" s="77"/>
      <c r="Y1509" s="77"/>
      <c r="Z1509" s="77"/>
      <c r="AA1509" s="77" t="s">
        <v>7760</v>
      </c>
      <c r="AB1509" s="77" t="s">
        <v>8225</v>
      </c>
      <c r="AC1509" s="82" t="s">
        <v>8233</v>
      </c>
      <c r="AD1509" s="77" t="s">
        <v>8280</v>
      </c>
      <c r="AE1509" s="80" t="str">
        <f>HYPERLINK("https://twitter.com/flaviosouza2810/status/1696812485720846378")</f>
        <v>https://twitter.com/flaviosouza2810/status/1696812485720846378</v>
      </c>
      <c r="AF1509" s="79">
        <v>45168.381898148145</v>
      </c>
      <c r="AG1509" s="85">
        <v>45168</v>
      </c>
      <c r="AH1509" s="82" t="s">
        <v>9649</v>
      </c>
      <c r="AI1509" s="77" t="b">
        <v>0</v>
      </c>
      <c r="AJ1509" s="77"/>
      <c r="AK1509" s="77"/>
      <c r="AL1509" s="77"/>
      <c r="AM1509" s="77"/>
      <c r="AN1509" s="77"/>
      <c r="AO1509" s="77"/>
      <c r="AP1509" s="77"/>
      <c r="AQ1509" s="77" t="s">
        <v>12645</v>
      </c>
      <c r="AR1509" s="77"/>
      <c r="AS1509" s="77"/>
      <c r="AT1509" s="77"/>
      <c r="AU1509" s="77"/>
      <c r="AV1509" s="80" t="str">
        <f>HYPERLINK("https://pbs.twimg.com/media/F4xJ9ihXEAAT8Ic.jpg")</f>
        <v>https://pbs.twimg.com/media/F4xJ9ihXEAAT8Ic.jpg</v>
      </c>
      <c r="AW1509" s="82" t="s">
        <v>14602</v>
      </c>
      <c r="AX1509" s="82" t="s">
        <v>14602</v>
      </c>
      <c r="AY1509" s="77"/>
      <c r="AZ1509" s="82" t="s">
        <v>17385</v>
      </c>
      <c r="BA1509" s="82" t="s">
        <v>17385</v>
      </c>
      <c r="BB1509" s="82" t="s">
        <v>17385</v>
      </c>
      <c r="BC1509" s="82" t="s">
        <v>14602</v>
      </c>
      <c r="BD1509" s="82" t="s">
        <v>17582</v>
      </c>
      <c r="BE1509" s="77"/>
      <c r="BF1509" s="77"/>
      <c r="BG1509" s="77"/>
      <c r="BH1509" s="77"/>
      <c r="BI1509" s="77"/>
    </row>
    <row r="1510" spans="1:61" x14ac:dyDescent="0.25">
      <c r="A1510" s="62" t="s">
        <v>492</v>
      </c>
      <c r="B1510" s="62" t="s">
        <v>492</v>
      </c>
      <c r="C1510" s="63"/>
      <c r="D1510" s="64"/>
      <c r="E1510" s="65"/>
      <c r="F1510" s="66"/>
      <c r="G1510" s="63"/>
      <c r="H1510" s="67"/>
      <c r="I1510" s="68"/>
      <c r="J1510" s="68"/>
      <c r="K1510" s="32"/>
      <c r="L1510" s="75">
        <v>1510</v>
      </c>
      <c r="M1510" s="75"/>
      <c r="N1510" s="70"/>
      <c r="O1510" s="77" t="s">
        <v>179</v>
      </c>
      <c r="P1510" s="79">
        <v>45167.88689814815</v>
      </c>
      <c r="Q1510" s="77" t="s">
        <v>2298</v>
      </c>
      <c r="R1510" s="77">
        <v>0</v>
      </c>
      <c r="S1510" s="77">
        <v>0</v>
      </c>
      <c r="T1510" s="77">
        <v>0</v>
      </c>
      <c r="U1510" s="77">
        <v>0</v>
      </c>
      <c r="V1510" s="77">
        <v>23</v>
      </c>
      <c r="W1510" s="82" t="s">
        <v>5768</v>
      </c>
      <c r="X1510" s="77"/>
      <c r="Y1510" s="77"/>
      <c r="Z1510" s="77"/>
      <c r="AA1510" s="77" t="s">
        <v>7761</v>
      </c>
      <c r="AB1510" s="77" t="s">
        <v>8225</v>
      </c>
      <c r="AC1510" s="82" t="s">
        <v>8233</v>
      </c>
      <c r="AD1510" s="77" t="s">
        <v>8280</v>
      </c>
      <c r="AE1510" s="80" t="str">
        <f>HYPERLINK("https://twitter.com/flaviosouza2810/status/1696633105073746360")</f>
        <v>https://twitter.com/flaviosouza2810/status/1696633105073746360</v>
      </c>
      <c r="AF1510" s="79">
        <v>45167.88689814815</v>
      </c>
      <c r="AG1510" s="85">
        <v>45167</v>
      </c>
      <c r="AH1510" s="82" t="s">
        <v>9650</v>
      </c>
      <c r="AI1510" s="77" t="b">
        <v>0</v>
      </c>
      <c r="AJ1510" s="77"/>
      <c r="AK1510" s="77"/>
      <c r="AL1510" s="77"/>
      <c r="AM1510" s="77"/>
      <c r="AN1510" s="77"/>
      <c r="AO1510" s="77"/>
      <c r="AP1510" s="77"/>
      <c r="AQ1510" s="77" t="s">
        <v>12646</v>
      </c>
      <c r="AR1510" s="77"/>
      <c r="AS1510" s="77"/>
      <c r="AT1510" s="77"/>
      <c r="AU1510" s="77"/>
      <c r="AV1510" s="80" t="str">
        <f>HYPERLINK("https://pbs.twimg.com/media/F4um0K0XkAAMd-M.jpg")</f>
        <v>https://pbs.twimg.com/media/F4um0K0XkAAMd-M.jpg</v>
      </c>
      <c r="AW1510" s="82" t="s">
        <v>14603</v>
      </c>
      <c r="AX1510" s="82" t="s">
        <v>14603</v>
      </c>
      <c r="AY1510" s="77"/>
      <c r="AZ1510" s="82" t="s">
        <v>17385</v>
      </c>
      <c r="BA1510" s="82" t="s">
        <v>17385</v>
      </c>
      <c r="BB1510" s="82" t="s">
        <v>17385</v>
      </c>
      <c r="BC1510" s="82" t="s">
        <v>14603</v>
      </c>
      <c r="BD1510" s="82" t="s">
        <v>17582</v>
      </c>
      <c r="BE1510" s="77"/>
      <c r="BF1510" s="77"/>
      <c r="BG1510" s="77"/>
      <c r="BH1510" s="77"/>
      <c r="BI1510" s="77"/>
    </row>
    <row r="1511" spans="1:61" x14ac:dyDescent="0.25">
      <c r="A1511" s="62" t="s">
        <v>492</v>
      </c>
      <c r="B1511" s="62" t="s">
        <v>492</v>
      </c>
      <c r="C1511" s="63"/>
      <c r="D1511" s="64"/>
      <c r="E1511" s="65"/>
      <c r="F1511" s="66"/>
      <c r="G1511" s="63"/>
      <c r="H1511" s="67"/>
      <c r="I1511" s="68"/>
      <c r="J1511" s="68"/>
      <c r="K1511" s="32"/>
      <c r="L1511" s="75">
        <v>1511</v>
      </c>
      <c r="M1511" s="75"/>
      <c r="N1511" s="70"/>
      <c r="O1511" s="77" t="s">
        <v>179</v>
      </c>
      <c r="P1511" s="79">
        <v>45167.396851851852</v>
      </c>
      <c r="Q1511" s="77" t="s">
        <v>2299</v>
      </c>
      <c r="R1511" s="77">
        <v>0</v>
      </c>
      <c r="S1511" s="77">
        <v>0</v>
      </c>
      <c r="T1511" s="77">
        <v>0</v>
      </c>
      <c r="U1511" s="77">
        <v>0</v>
      </c>
      <c r="V1511" s="77">
        <v>21</v>
      </c>
      <c r="W1511" s="82" t="s">
        <v>5768</v>
      </c>
      <c r="X1511" s="77"/>
      <c r="Y1511" s="77"/>
      <c r="Z1511" s="77"/>
      <c r="AA1511" s="77" t="s">
        <v>7762</v>
      </c>
      <c r="AB1511" s="77" t="s">
        <v>8225</v>
      </c>
      <c r="AC1511" s="82" t="s">
        <v>8233</v>
      </c>
      <c r="AD1511" s="77" t="s">
        <v>8280</v>
      </c>
      <c r="AE1511" s="80" t="str">
        <f>HYPERLINK("https://twitter.com/flaviosouza2810/status/1696455518712135880")</f>
        <v>https://twitter.com/flaviosouza2810/status/1696455518712135880</v>
      </c>
      <c r="AF1511" s="79">
        <v>45167.396851851852</v>
      </c>
      <c r="AG1511" s="85">
        <v>45167</v>
      </c>
      <c r="AH1511" s="82" t="s">
        <v>9651</v>
      </c>
      <c r="AI1511" s="77" t="b">
        <v>0</v>
      </c>
      <c r="AJ1511" s="77"/>
      <c r="AK1511" s="77"/>
      <c r="AL1511" s="77"/>
      <c r="AM1511" s="77"/>
      <c r="AN1511" s="77"/>
      <c r="AO1511" s="77"/>
      <c r="AP1511" s="77"/>
      <c r="AQ1511" s="77" t="s">
        <v>12647</v>
      </c>
      <c r="AR1511" s="77"/>
      <c r="AS1511" s="77"/>
      <c r="AT1511" s="77"/>
      <c r="AU1511" s="77"/>
      <c r="AV1511" s="80" t="str">
        <f>HYPERLINK("https://pbs.twimg.com/media/F4sFTYiWUAAQWjq.jpg")</f>
        <v>https://pbs.twimg.com/media/F4sFTYiWUAAQWjq.jpg</v>
      </c>
      <c r="AW1511" s="82" t="s">
        <v>14604</v>
      </c>
      <c r="AX1511" s="82" t="s">
        <v>14604</v>
      </c>
      <c r="AY1511" s="77"/>
      <c r="AZ1511" s="82" t="s">
        <v>17385</v>
      </c>
      <c r="BA1511" s="82" t="s">
        <v>17385</v>
      </c>
      <c r="BB1511" s="82" t="s">
        <v>17385</v>
      </c>
      <c r="BC1511" s="82" t="s">
        <v>14604</v>
      </c>
      <c r="BD1511" s="82" t="s">
        <v>17582</v>
      </c>
      <c r="BE1511" s="77"/>
      <c r="BF1511" s="77"/>
      <c r="BG1511" s="77"/>
      <c r="BH1511" s="77"/>
      <c r="BI1511" s="77"/>
    </row>
    <row r="1512" spans="1:61" x14ac:dyDescent="0.25">
      <c r="A1512" s="62" t="s">
        <v>492</v>
      </c>
      <c r="B1512" s="62" t="s">
        <v>492</v>
      </c>
      <c r="C1512" s="63"/>
      <c r="D1512" s="64"/>
      <c r="E1512" s="65"/>
      <c r="F1512" s="66"/>
      <c r="G1512" s="63"/>
      <c r="H1512" s="67"/>
      <c r="I1512" s="68"/>
      <c r="J1512" s="68"/>
      <c r="K1512" s="32"/>
      <c r="L1512" s="75">
        <v>1512</v>
      </c>
      <c r="M1512" s="75"/>
      <c r="N1512" s="70"/>
      <c r="O1512" s="77" t="s">
        <v>179</v>
      </c>
      <c r="P1512" s="79">
        <v>45167.396562499998</v>
      </c>
      <c r="Q1512" s="77" t="s">
        <v>2300</v>
      </c>
      <c r="R1512" s="77">
        <v>0</v>
      </c>
      <c r="S1512" s="77">
        <v>0</v>
      </c>
      <c r="T1512" s="77">
        <v>0</v>
      </c>
      <c r="U1512" s="77">
        <v>0</v>
      </c>
      <c r="V1512" s="77">
        <v>13</v>
      </c>
      <c r="W1512" s="82" t="s">
        <v>5768</v>
      </c>
      <c r="X1512" s="77"/>
      <c r="Y1512" s="77"/>
      <c r="Z1512" s="77"/>
      <c r="AA1512" s="77" t="s">
        <v>7763</v>
      </c>
      <c r="AB1512" s="77" t="s">
        <v>8225</v>
      </c>
      <c r="AC1512" s="82" t="s">
        <v>8233</v>
      </c>
      <c r="AD1512" s="77" t="s">
        <v>8280</v>
      </c>
      <c r="AE1512" s="80" t="str">
        <f>HYPERLINK("https://twitter.com/flaviosouza2810/status/1696455413376393547")</f>
        <v>https://twitter.com/flaviosouza2810/status/1696455413376393547</v>
      </c>
      <c r="AF1512" s="79">
        <v>45167.396562499998</v>
      </c>
      <c r="AG1512" s="85">
        <v>45167</v>
      </c>
      <c r="AH1512" s="82" t="s">
        <v>9652</v>
      </c>
      <c r="AI1512" s="77" t="b">
        <v>0</v>
      </c>
      <c r="AJ1512" s="77"/>
      <c r="AK1512" s="77"/>
      <c r="AL1512" s="77"/>
      <c r="AM1512" s="77"/>
      <c r="AN1512" s="77"/>
      <c r="AO1512" s="77"/>
      <c r="AP1512" s="77"/>
      <c r="AQ1512" s="77" t="s">
        <v>12648</v>
      </c>
      <c r="AR1512" s="77"/>
      <c r="AS1512" s="77"/>
      <c r="AT1512" s="77"/>
      <c r="AU1512" s="77"/>
      <c r="AV1512" s="80" t="str">
        <f>HYPERLINK("https://pbs.twimg.com/media/F4sFNQuWAAEX_v2.jpg")</f>
        <v>https://pbs.twimg.com/media/F4sFNQuWAAEX_v2.jpg</v>
      </c>
      <c r="AW1512" s="82" t="s">
        <v>14605</v>
      </c>
      <c r="AX1512" s="82" t="s">
        <v>14605</v>
      </c>
      <c r="AY1512" s="77"/>
      <c r="AZ1512" s="82" t="s">
        <v>17385</v>
      </c>
      <c r="BA1512" s="82" t="s">
        <v>17385</v>
      </c>
      <c r="BB1512" s="82" t="s">
        <v>17385</v>
      </c>
      <c r="BC1512" s="82" t="s">
        <v>14605</v>
      </c>
      <c r="BD1512" s="82" t="s">
        <v>17582</v>
      </c>
      <c r="BE1512" s="77"/>
      <c r="BF1512" s="77"/>
      <c r="BG1512" s="77"/>
      <c r="BH1512" s="77"/>
      <c r="BI1512" s="77"/>
    </row>
    <row r="1513" spans="1:61" x14ac:dyDescent="0.25">
      <c r="A1513" s="62" t="s">
        <v>492</v>
      </c>
      <c r="B1513" s="62" t="s">
        <v>492</v>
      </c>
      <c r="C1513" s="63"/>
      <c r="D1513" s="64"/>
      <c r="E1513" s="65"/>
      <c r="F1513" s="66"/>
      <c r="G1513" s="63"/>
      <c r="H1513" s="67"/>
      <c r="I1513" s="68"/>
      <c r="J1513" s="68"/>
      <c r="K1513" s="32"/>
      <c r="L1513" s="75">
        <v>1513</v>
      </c>
      <c r="M1513" s="75"/>
      <c r="N1513" s="70"/>
      <c r="O1513" s="77" t="s">
        <v>179</v>
      </c>
      <c r="P1513" s="79">
        <v>45167.39634259259</v>
      </c>
      <c r="Q1513" s="77" t="s">
        <v>2301</v>
      </c>
      <c r="R1513" s="77">
        <v>0</v>
      </c>
      <c r="S1513" s="77">
        <v>0</v>
      </c>
      <c r="T1513" s="77">
        <v>0</v>
      </c>
      <c r="U1513" s="77">
        <v>0</v>
      </c>
      <c r="V1513" s="77">
        <v>11</v>
      </c>
      <c r="W1513" s="82" t="s">
        <v>5768</v>
      </c>
      <c r="X1513" s="77"/>
      <c r="Y1513" s="77"/>
      <c r="Z1513" s="77"/>
      <c r="AA1513" s="77" t="s">
        <v>7764</v>
      </c>
      <c r="AB1513" s="77" t="s">
        <v>8225</v>
      </c>
      <c r="AC1513" s="82" t="s">
        <v>8233</v>
      </c>
      <c r="AD1513" s="77" t="s">
        <v>8280</v>
      </c>
      <c r="AE1513" s="80" t="str">
        <f>HYPERLINK("https://twitter.com/flaviosouza2810/status/1696455333076418714")</f>
        <v>https://twitter.com/flaviosouza2810/status/1696455333076418714</v>
      </c>
      <c r="AF1513" s="79">
        <v>45167.39634259259</v>
      </c>
      <c r="AG1513" s="85">
        <v>45167</v>
      </c>
      <c r="AH1513" s="82" t="s">
        <v>9653</v>
      </c>
      <c r="AI1513" s="77" t="b">
        <v>0</v>
      </c>
      <c r="AJ1513" s="77"/>
      <c r="AK1513" s="77"/>
      <c r="AL1513" s="77"/>
      <c r="AM1513" s="77"/>
      <c r="AN1513" s="77"/>
      <c r="AO1513" s="77"/>
      <c r="AP1513" s="77"/>
      <c r="AQ1513" s="77" t="s">
        <v>12649</v>
      </c>
      <c r="AR1513" s="77"/>
      <c r="AS1513" s="77"/>
      <c r="AT1513" s="77"/>
      <c r="AU1513" s="77"/>
      <c r="AV1513" s="80" t="str">
        <f>HYPERLINK("https://pbs.twimg.com/media/F4sFIk4WgAA8A37.jpg")</f>
        <v>https://pbs.twimg.com/media/F4sFIk4WgAA8A37.jpg</v>
      </c>
      <c r="AW1513" s="82" t="s">
        <v>14606</v>
      </c>
      <c r="AX1513" s="82" t="s">
        <v>14606</v>
      </c>
      <c r="AY1513" s="77"/>
      <c r="AZ1513" s="82" t="s">
        <v>17385</v>
      </c>
      <c r="BA1513" s="82" t="s">
        <v>17385</v>
      </c>
      <c r="BB1513" s="82" t="s">
        <v>17385</v>
      </c>
      <c r="BC1513" s="82" t="s">
        <v>14606</v>
      </c>
      <c r="BD1513" s="82" t="s">
        <v>17582</v>
      </c>
      <c r="BE1513" s="77"/>
      <c r="BF1513" s="77"/>
      <c r="BG1513" s="77"/>
      <c r="BH1513" s="77"/>
      <c r="BI1513" s="77"/>
    </row>
    <row r="1514" spans="1:61" x14ac:dyDescent="0.25">
      <c r="A1514" s="62" t="s">
        <v>492</v>
      </c>
      <c r="B1514" s="62" t="s">
        <v>492</v>
      </c>
      <c r="C1514" s="63"/>
      <c r="D1514" s="64"/>
      <c r="E1514" s="65"/>
      <c r="F1514" s="66"/>
      <c r="G1514" s="63"/>
      <c r="H1514" s="67"/>
      <c r="I1514" s="68"/>
      <c r="J1514" s="68"/>
      <c r="K1514" s="32"/>
      <c r="L1514" s="75">
        <v>1514</v>
      </c>
      <c r="M1514" s="75"/>
      <c r="N1514" s="70"/>
      <c r="O1514" s="77" t="s">
        <v>179</v>
      </c>
      <c r="P1514" s="79">
        <v>45166.872986111113</v>
      </c>
      <c r="Q1514" s="77" t="s">
        <v>2302</v>
      </c>
      <c r="R1514" s="77">
        <v>0</v>
      </c>
      <c r="S1514" s="77">
        <v>0</v>
      </c>
      <c r="T1514" s="77">
        <v>0</v>
      </c>
      <c r="U1514" s="77">
        <v>0</v>
      </c>
      <c r="V1514" s="77">
        <v>10</v>
      </c>
      <c r="W1514" s="82" t="s">
        <v>5769</v>
      </c>
      <c r="X1514" s="77"/>
      <c r="Y1514" s="77"/>
      <c r="Z1514" s="77"/>
      <c r="AA1514" s="77" t="s">
        <v>7765</v>
      </c>
      <c r="AB1514" s="77" t="s">
        <v>8225</v>
      </c>
      <c r="AC1514" s="82" t="s">
        <v>8233</v>
      </c>
      <c r="AD1514" s="77" t="s">
        <v>8280</v>
      </c>
      <c r="AE1514" s="80" t="str">
        <f>HYPERLINK("https://twitter.com/flaviosouza2810/status/1696265672328937961")</f>
        <v>https://twitter.com/flaviosouza2810/status/1696265672328937961</v>
      </c>
      <c r="AF1514" s="79">
        <v>45166.872986111113</v>
      </c>
      <c r="AG1514" s="85">
        <v>45166</v>
      </c>
      <c r="AH1514" s="82" t="s">
        <v>9654</v>
      </c>
      <c r="AI1514" s="77" t="b">
        <v>0</v>
      </c>
      <c r="AJ1514" s="77"/>
      <c r="AK1514" s="77"/>
      <c r="AL1514" s="77"/>
      <c r="AM1514" s="77"/>
      <c r="AN1514" s="77"/>
      <c r="AO1514" s="77"/>
      <c r="AP1514" s="77"/>
      <c r="AQ1514" s="77" t="s">
        <v>12650</v>
      </c>
      <c r="AR1514" s="77"/>
      <c r="AS1514" s="77"/>
      <c r="AT1514" s="77"/>
      <c r="AU1514" s="77"/>
      <c r="AV1514" s="80" t="str">
        <f>HYPERLINK("https://pbs.twimg.com/media/F4pYo0tXkAAxQ0A.jpg")</f>
        <v>https://pbs.twimg.com/media/F4pYo0tXkAAxQ0A.jpg</v>
      </c>
      <c r="AW1514" s="82" t="s">
        <v>14607</v>
      </c>
      <c r="AX1514" s="82" t="s">
        <v>14607</v>
      </c>
      <c r="AY1514" s="77"/>
      <c r="AZ1514" s="82" t="s">
        <v>17385</v>
      </c>
      <c r="BA1514" s="82" t="s">
        <v>17385</v>
      </c>
      <c r="BB1514" s="82" t="s">
        <v>17385</v>
      </c>
      <c r="BC1514" s="82" t="s">
        <v>14607</v>
      </c>
      <c r="BD1514" s="82" t="s">
        <v>17582</v>
      </c>
      <c r="BE1514" s="77"/>
      <c r="BF1514" s="77"/>
      <c r="BG1514" s="77"/>
      <c r="BH1514" s="77"/>
      <c r="BI1514" s="77"/>
    </row>
    <row r="1515" spans="1:61" x14ac:dyDescent="0.25">
      <c r="A1515" s="62" t="s">
        <v>492</v>
      </c>
      <c r="B1515" s="62" t="s">
        <v>492</v>
      </c>
      <c r="C1515" s="63"/>
      <c r="D1515" s="64"/>
      <c r="E1515" s="65"/>
      <c r="F1515" s="66"/>
      <c r="G1515" s="63"/>
      <c r="H1515" s="67"/>
      <c r="I1515" s="68"/>
      <c r="J1515" s="68"/>
      <c r="K1515" s="32"/>
      <c r="L1515" s="75">
        <v>1515</v>
      </c>
      <c r="M1515" s="75"/>
      <c r="N1515" s="70"/>
      <c r="O1515" s="77" t="s">
        <v>179</v>
      </c>
      <c r="P1515" s="79">
        <v>45166.491932870369</v>
      </c>
      <c r="Q1515" s="77" t="s">
        <v>2303</v>
      </c>
      <c r="R1515" s="77">
        <v>0</v>
      </c>
      <c r="S1515" s="77">
        <v>0</v>
      </c>
      <c r="T1515" s="77">
        <v>0</v>
      </c>
      <c r="U1515" s="77">
        <v>0</v>
      </c>
      <c r="V1515" s="77">
        <v>11</v>
      </c>
      <c r="W1515" s="82" t="s">
        <v>5768</v>
      </c>
      <c r="X1515" s="77"/>
      <c r="Y1515" s="77"/>
      <c r="Z1515" s="77"/>
      <c r="AA1515" s="77" t="s">
        <v>7766</v>
      </c>
      <c r="AB1515" s="77" t="s">
        <v>8225</v>
      </c>
      <c r="AC1515" s="82" t="s">
        <v>8233</v>
      </c>
      <c r="AD1515" s="77" t="s">
        <v>8280</v>
      </c>
      <c r="AE1515" s="80" t="str">
        <f>HYPERLINK("https://twitter.com/flaviosouza2810/status/1696127584830890047")</f>
        <v>https://twitter.com/flaviosouza2810/status/1696127584830890047</v>
      </c>
      <c r="AF1515" s="79">
        <v>45166.491932870369</v>
      </c>
      <c r="AG1515" s="85">
        <v>45166</v>
      </c>
      <c r="AH1515" s="82" t="s">
        <v>9655</v>
      </c>
      <c r="AI1515" s="77" t="b">
        <v>0</v>
      </c>
      <c r="AJ1515" s="77"/>
      <c r="AK1515" s="77"/>
      <c r="AL1515" s="77"/>
      <c r="AM1515" s="77"/>
      <c r="AN1515" s="77"/>
      <c r="AO1515" s="77"/>
      <c r="AP1515" s="77"/>
      <c r="AQ1515" s="77" t="s">
        <v>12651</v>
      </c>
      <c r="AR1515" s="77"/>
      <c r="AS1515" s="77"/>
      <c r="AT1515" s="77"/>
      <c r="AU1515" s="77"/>
      <c r="AV1515" s="80" t="str">
        <f>HYPERLINK("https://pbs.twimg.com/media/F4nbDFDWoAE5Zgq.jpg")</f>
        <v>https://pbs.twimg.com/media/F4nbDFDWoAE5Zgq.jpg</v>
      </c>
      <c r="AW1515" s="82" t="s">
        <v>14608</v>
      </c>
      <c r="AX1515" s="82" t="s">
        <v>14608</v>
      </c>
      <c r="AY1515" s="77"/>
      <c r="AZ1515" s="82" t="s">
        <v>17385</v>
      </c>
      <c r="BA1515" s="82" t="s">
        <v>17385</v>
      </c>
      <c r="BB1515" s="82" t="s">
        <v>17385</v>
      </c>
      <c r="BC1515" s="82" t="s">
        <v>14608</v>
      </c>
      <c r="BD1515" s="82" t="s">
        <v>17582</v>
      </c>
      <c r="BE1515" s="77"/>
      <c r="BF1515" s="77"/>
      <c r="BG1515" s="77"/>
      <c r="BH1515" s="77"/>
      <c r="BI1515" s="77"/>
    </row>
    <row r="1516" spans="1:61" x14ac:dyDescent="0.25">
      <c r="A1516" s="62" t="s">
        <v>492</v>
      </c>
      <c r="B1516" s="62" t="s">
        <v>492</v>
      </c>
      <c r="C1516" s="63"/>
      <c r="D1516" s="64"/>
      <c r="E1516" s="65"/>
      <c r="F1516" s="66"/>
      <c r="G1516" s="63"/>
      <c r="H1516" s="67"/>
      <c r="I1516" s="68"/>
      <c r="J1516" s="68"/>
      <c r="K1516" s="32"/>
      <c r="L1516" s="75">
        <v>1516</v>
      </c>
      <c r="M1516" s="75"/>
      <c r="N1516" s="70"/>
      <c r="O1516" s="77" t="s">
        <v>179</v>
      </c>
      <c r="P1516" s="79">
        <v>45151.533229166664</v>
      </c>
      <c r="Q1516" s="77" t="s">
        <v>2304</v>
      </c>
      <c r="R1516" s="77">
        <v>0</v>
      </c>
      <c r="S1516" s="77">
        <v>0</v>
      </c>
      <c r="T1516" s="77">
        <v>0</v>
      </c>
      <c r="U1516" s="77">
        <v>0</v>
      </c>
      <c r="V1516" s="77">
        <v>10</v>
      </c>
      <c r="W1516" s="82" t="s">
        <v>5769</v>
      </c>
      <c r="X1516" s="77"/>
      <c r="Y1516" s="77"/>
      <c r="Z1516" s="77"/>
      <c r="AA1516" s="77" t="s">
        <v>7767</v>
      </c>
      <c r="AB1516" s="77" t="s">
        <v>8225</v>
      </c>
      <c r="AC1516" s="82" t="s">
        <v>8233</v>
      </c>
      <c r="AD1516" s="77" t="s">
        <v>8280</v>
      </c>
      <c r="AE1516" s="80" t="str">
        <f>HYPERLINK("https://twitter.com/flaviosouza2810/status/1690706733289672704")</f>
        <v>https://twitter.com/flaviosouza2810/status/1690706733289672704</v>
      </c>
      <c r="AF1516" s="79">
        <v>45151.533229166664</v>
      </c>
      <c r="AG1516" s="85">
        <v>45151</v>
      </c>
      <c r="AH1516" s="82" t="s">
        <v>9656</v>
      </c>
      <c r="AI1516" s="77" t="b">
        <v>0</v>
      </c>
      <c r="AJ1516" s="77"/>
      <c r="AK1516" s="77"/>
      <c r="AL1516" s="77"/>
      <c r="AM1516" s="77"/>
      <c r="AN1516" s="77"/>
      <c r="AO1516" s="77"/>
      <c r="AP1516" s="77"/>
      <c r="AQ1516" s="77" t="s">
        <v>12652</v>
      </c>
      <c r="AR1516" s="77"/>
      <c r="AS1516" s="77"/>
      <c r="AT1516" s="77"/>
      <c r="AU1516" s="77"/>
      <c r="AV1516" s="80" t="str">
        <f>HYPERLINK("https://pbs.twimg.com/media/F3aYz8LWcAAAblg.jpg")</f>
        <v>https://pbs.twimg.com/media/F3aYz8LWcAAAblg.jpg</v>
      </c>
      <c r="AW1516" s="82" t="s">
        <v>14609</v>
      </c>
      <c r="AX1516" s="82" t="s">
        <v>14609</v>
      </c>
      <c r="AY1516" s="77"/>
      <c r="AZ1516" s="82" t="s">
        <v>17385</v>
      </c>
      <c r="BA1516" s="82" t="s">
        <v>17385</v>
      </c>
      <c r="BB1516" s="82" t="s">
        <v>17385</v>
      </c>
      <c r="BC1516" s="82" t="s">
        <v>14609</v>
      </c>
      <c r="BD1516" s="82" t="s">
        <v>17582</v>
      </c>
      <c r="BE1516" s="77"/>
      <c r="BF1516" s="77"/>
      <c r="BG1516" s="77"/>
      <c r="BH1516" s="77"/>
      <c r="BI1516" s="77"/>
    </row>
    <row r="1517" spans="1:61" x14ac:dyDescent="0.25">
      <c r="A1517" s="62" t="s">
        <v>492</v>
      </c>
      <c r="B1517" s="62" t="s">
        <v>492</v>
      </c>
      <c r="C1517" s="63"/>
      <c r="D1517" s="64"/>
      <c r="E1517" s="65"/>
      <c r="F1517" s="66"/>
      <c r="G1517" s="63"/>
      <c r="H1517" s="67"/>
      <c r="I1517" s="68"/>
      <c r="J1517" s="68"/>
      <c r="K1517" s="32"/>
      <c r="L1517" s="75">
        <v>1517</v>
      </c>
      <c r="M1517" s="75"/>
      <c r="N1517" s="70"/>
      <c r="O1517" s="77" t="s">
        <v>179</v>
      </c>
      <c r="P1517" s="79">
        <v>45150.536574074074</v>
      </c>
      <c r="Q1517" s="77" t="s">
        <v>2305</v>
      </c>
      <c r="R1517" s="77">
        <v>0</v>
      </c>
      <c r="S1517" s="77">
        <v>0</v>
      </c>
      <c r="T1517" s="77">
        <v>0</v>
      </c>
      <c r="U1517" s="77">
        <v>0</v>
      </c>
      <c r="V1517" s="77">
        <v>4</v>
      </c>
      <c r="W1517" s="82" t="s">
        <v>5768</v>
      </c>
      <c r="X1517" s="77"/>
      <c r="Y1517" s="77"/>
      <c r="Z1517" s="77"/>
      <c r="AA1517" s="77" t="s">
        <v>7768</v>
      </c>
      <c r="AB1517" s="77" t="s">
        <v>8225</v>
      </c>
      <c r="AC1517" s="82" t="s">
        <v>8233</v>
      </c>
      <c r="AD1517" s="77" t="s">
        <v>8280</v>
      </c>
      <c r="AE1517" s="80" t="str">
        <f>HYPERLINK("https://twitter.com/flaviosouza2810/status/1690345555145166848")</f>
        <v>https://twitter.com/flaviosouza2810/status/1690345555145166848</v>
      </c>
      <c r="AF1517" s="79">
        <v>45150.536574074074</v>
      </c>
      <c r="AG1517" s="85">
        <v>45150</v>
      </c>
      <c r="AH1517" s="82" t="s">
        <v>9657</v>
      </c>
      <c r="AI1517" s="77" t="b">
        <v>0</v>
      </c>
      <c r="AJ1517" s="77"/>
      <c r="AK1517" s="77"/>
      <c r="AL1517" s="77"/>
      <c r="AM1517" s="77"/>
      <c r="AN1517" s="77"/>
      <c r="AO1517" s="77"/>
      <c r="AP1517" s="77"/>
      <c r="AQ1517" s="77" t="s">
        <v>12653</v>
      </c>
      <c r="AR1517" s="77"/>
      <c r="AS1517" s="77"/>
      <c r="AT1517" s="77"/>
      <c r="AU1517" s="77"/>
      <c r="AV1517" s="80" t="str">
        <f>HYPERLINK("https://pbs.twimg.com/media/F3VQUovXkAAOsgM.jpg")</f>
        <v>https://pbs.twimg.com/media/F3VQUovXkAAOsgM.jpg</v>
      </c>
      <c r="AW1517" s="82" t="s">
        <v>14610</v>
      </c>
      <c r="AX1517" s="82" t="s">
        <v>14610</v>
      </c>
      <c r="AY1517" s="77"/>
      <c r="AZ1517" s="82" t="s">
        <v>17385</v>
      </c>
      <c r="BA1517" s="82" t="s">
        <v>17385</v>
      </c>
      <c r="BB1517" s="82" t="s">
        <v>17385</v>
      </c>
      <c r="BC1517" s="82" t="s">
        <v>14610</v>
      </c>
      <c r="BD1517" s="82" t="s">
        <v>17582</v>
      </c>
      <c r="BE1517" s="77"/>
      <c r="BF1517" s="77"/>
      <c r="BG1517" s="77"/>
      <c r="BH1517" s="77"/>
      <c r="BI1517" s="77"/>
    </row>
    <row r="1518" spans="1:61" x14ac:dyDescent="0.25">
      <c r="A1518" s="62" t="s">
        <v>492</v>
      </c>
      <c r="B1518" s="62" t="s">
        <v>492</v>
      </c>
      <c r="C1518" s="63"/>
      <c r="D1518" s="64"/>
      <c r="E1518" s="65"/>
      <c r="F1518" s="66"/>
      <c r="G1518" s="63"/>
      <c r="H1518" s="67"/>
      <c r="I1518" s="68"/>
      <c r="J1518" s="68"/>
      <c r="K1518" s="32"/>
      <c r="L1518" s="75">
        <v>1518</v>
      </c>
      <c r="M1518" s="75"/>
      <c r="N1518" s="70"/>
      <c r="O1518" s="77" t="s">
        <v>179</v>
      </c>
      <c r="P1518" s="79">
        <v>45150.536319444444</v>
      </c>
      <c r="Q1518" s="77" t="s">
        <v>2306</v>
      </c>
      <c r="R1518" s="77">
        <v>0</v>
      </c>
      <c r="S1518" s="77">
        <v>0</v>
      </c>
      <c r="T1518" s="77">
        <v>0</v>
      </c>
      <c r="U1518" s="77">
        <v>0</v>
      </c>
      <c r="V1518" s="77">
        <v>3</v>
      </c>
      <c r="W1518" s="82" t="s">
        <v>5768</v>
      </c>
      <c r="X1518" s="77"/>
      <c r="Y1518" s="77"/>
      <c r="Z1518" s="77"/>
      <c r="AA1518" s="77" t="s">
        <v>7769</v>
      </c>
      <c r="AB1518" s="77" t="s">
        <v>8225</v>
      </c>
      <c r="AC1518" s="82" t="s">
        <v>8233</v>
      </c>
      <c r="AD1518" s="77" t="s">
        <v>8280</v>
      </c>
      <c r="AE1518" s="80" t="str">
        <f>HYPERLINK("https://twitter.com/flaviosouza2810/status/1690345466595020800")</f>
        <v>https://twitter.com/flaviosouza2810/status/1690345466595020800</v>
      </c>
      <c r="AF1518" s="79">
        <v>45150.536319444444</v>
      </c>
      <c r="AG1518" s="85">
        <v>45150</v>
      </c>
      <c r="AH1518" s="82" t="s">
        <v>9658</v>
      </c>
      <c r="AI1518" s="77" t="b">
        <v>0</v>
      </c>
      <c r="AJ1518" s="77"/>
      <c r="AK1518" s="77"/>
      <c r="AL1518" s="77"/>
      <c r="AM1518" s="77"/>
      <c r="AN1518" s="77"/>
      <c r="AO1518" s="77"/>
      <c r="AP1518" s="77"/>
      <c r="AQ1518" s="77" t="s">
        <v>12654</v>
      </c>
      <c r="AR1518" s="77"/>
      <c r="AS1518" s="77"/>
      <c r="AT1518" s="77"/>
      <c r="AU1518" s="77"/>
      <c r="AV1518" s="80" t="str">
        <f>HYPERLINK("https://pbs.twimg.com/media/F3VQPatW4AA0sIs.jpg")</f>
        <v>https://pbs.twimg.com/media/F3VQPatW4AA0sIs.jpg</v>
      </c>
      <c r="AW1518" s="82" t="s">
        <v>14611</v>
      </c>
      <c r="AX1518" s="82" t="s">
        <v>14611</v>
      </c>
      <c r="AY1518" s="77"/>
      <c r="AZ1518" s="82" t="s">
        <v>17385</v>
      </c>
      <c r="BA1518" s="82" t="s">
        <v>17385</v>
      </c>
      <c r="BB1518" s="82" t="s">
        <v>17385</v>
      </c>
      <c r="BC1518" s="82" t="s">
        <v>14611</v>
      </c>
      <c r="BD1518" s="82" t="s">
        <v>17582</v>
      </c>
      <c r="BE1518" s="77"/>
      <c r="BF1518" s="77"/>
      <c r="BG1518" s="77"/>
      <c r="BH1518" s="77"/>
      <c r="BI1518" s="77"/>
    </row>
    <row r="1519" spans="1:61" x14ac:dyDescent="0.25">
      <c r="A1519" s="62" t="s">
        <v>492</v>
      </c>
      <c r="B1519" s="62" t="s">
        <v>492</v>
      </c>
      <c r="C1519" s="63"/>
      <c r="D1519" s="64"/>
      <c r="E1519" s="65"/>
      <c r="F1519" s="66"/>
      <c r="G1519" s="63"/>
      <c r="H1519" s="67"/>
      <c r="I1519" s="68"/>
      <c r="J1519" s="68"/>
      <c r="K1519" s="32"/>
      <c r="L1519" s="75">
        <v>1519</v>
      </c>
      <c r="M1519" s="75"/>
      <c r="N1519" s="70"/>
      <c r="O1519" s="77" t="s">
        <v>179</v>
      </c>
      <c r="P1519" s="79">
        <v>45118.403726851851</v>
      </c>
      <c r="Q1519" s="77" t="s">
        <v>2307</v>
      </c>
      <c r="R1519" s="77">
        <v>0</v>
      </c>
      <c r="S1519" s="77">
        <v>0</v>
      </c>
      <c r="T1519" s="77">
        <v>0</v>
      </c>
      <c r="U1519" s="77">
        <v>0</v>
      </c>
      <c r="V1519" s="77">
        <v>9</v>
      </c>
      <c r="W1519" s="82" t="s">
        <v>5771</v>
      </c>
      <c r="X1519" s="77"/>
      <c r="Y1519" s="77"/>
      <c r="Z1519" s="77"/>
      <c r="AA1519" s="77" t="s">
        <v>7770</v>
      </c>
      <c r="AB1519" s="77" t="s">
        <v>8225</v>
      </c>
      <c r="AC1519" s="82" t="s">
        <v>8233</v>
      </c>
      <c r="AD1519" s="77" t="s">
        <v>8280</v>
      </c>
      <c r="AE1519" s="80" t="str">
        <f>HYPERLINK("https://twitter.com/flaviosouza2810/status/1678701003204358145")</f>
        <v>https://twitter.com/flaviosouza2810/status/1678701003204358145</v>
      </c>
      <c r="AF1519" s="79">
        <v>45118.403726851851</v>
      </c>
      <c r="AG1519" s="85">
        <v>45118</v>
      </c>
      <c r="AH1519" s="82" t="s">
        <v>9659</v>
      </c>
      <c r="AI1519" s="77" t="b">
        <v>0</v>
      </c>
      <c r="AJ1519" s="77"/>
      <c r="AK1519" s="77"/>
      <c r="AL1519" s="77"/>
      <c r="AM1519" s="77"/>
      <c r="AN1519" s="77"/>
      <c r="AO1519" s="77"/>
      <c r="AP1519" s="77"/>
      <c r="AQ1519" s="77" t="s">
        <v>12655</v>
      </c>
      <c r="AR1519" s="77"/>
      <c r="AS1519" s="77"/>
      <c r="AT1519" s="77"/>
      <c r="AU1519" s="77"/>
      <c r="AV1519" s="80" t="str">
        <f>HYPERLINK("https://pbs.twimg.com/media/F0vxqhmXgAEeqIv.jpg")</f>
        <v>https://pbs.twimg.com/media/F0vxqhmXgAEeqIv.jpg</v>
      </c>
      <c r="AW1519" s="82" t="s">
        <v>14612</v>
      </c>
      <c r="AX1519" s="82" t="s">
        <v>14612</v>
      </c>
      <c r="AY1519" s="77"/>
      <c r="AZ1519" s="82" t="s">
        <v>17385</v>
      </c>
      <c r="BA1519" s="82" t="s">
        <v>17385</v>
      </c>
      <c r="BB1519" s="82" t="s">
        <v>17385</v>
      </c>
      <c r="BC1519" s="82" t="s">
        <v>14612</v>
      </c>
      <c r="BD1519" s="82" t="s">
        <v>17582</v>
      </c>
      <c r="BE1519" s="77"/>
      <c r="BF1519" s="77"/>
      <c r="BG1519" s="77"/>
      <c r="BH1519" s="77"/>
      <c r="BI1519" s="77"/>
    </row>
    <row r="1520" spans="1:61" x14ac:dyDescent="0.25">
      <c r="A1520" s="62" t="s">
        <v>492</v>
      </c>
      <c r="B1520" s="62" t="s">
        <v>492</v>
      </c>
      <c r="C1520" s="63"/>
      <c r="D1520" s="64"/>
      <c r="E1520" s="65"/>
      <c r="F1520" s="66"/>
      <c r="G1520" s="63"/>
      <c r="H1520" s="67"/>
      <c r="I1520" s="68"/>
      <c r="J1520" s="68"/>
      <c r="K1520" s="32"/>
      <c r="L1520" s="75">
        <v>1520</v>
      </c>
      <c r="M1520" s="75"/>
      <c r="N1520" s="70"/>
      <c r="O1520" s="77" t="s">
        <v>179</v>
      </c>
      <c r="P1520" s="79">
        <v>45118.375578703701</v>
      </c>
      <c r="Q1520" s="77" t="s">
        <v>2308</v>
      </c>
      <c r="R1520" s="77">
        <v>0</v>
      </c>
      <c r="S1520" s="77">
        <v>0</v>
      </c>
      <c r="T1520" s="77">
        <v>0</v>
      </c>
      <c r="U1520" s="77">
        <v>0</v>
      </c>
      <c r="V1520" s="77">
        <v>8</v>
      </c>
      <c r="W1520" s="82" t="s">
        <v>5771</v>
      </c>
      <c r="X1520" s="77"/>
      <c r="Y1520" s="77"/>
      <c r="Z1520" s="77"/>
      <c r="AA1520" s="77" t="s">
        <v>7771</v>
      </c>
      <c r="AB1520" s="77" t="s">
        <v>8225</v>
      </c>
      <c r="AC1520" s="82" t="s">
        <v>8233</v>
      </c>
      <c r="AD1520" s="77" t="s">
        <v>8280</v>
      </c>
      <c r="AE1520" s="80" t="str">
        <f>HYPERLINK("https://twitter.com/flaviosouza2810/status/1678690803080724483")</f>
        <v>https://twitter.com/flaviosouza2810/status/1678690803080724483</v>
      </c>
      <c r="AF1520" s="79">
        <v>45118.375578703701</v>
      </c>
      <c r="AG1520" s="85">
        <v>45118</v>
      </c>
      <c r="AH1520" s="82" t="s">
        <v>9660</v>
      </c>
      <c r="AI1520" s="77" t="b">
        <v>0</v>
      </c>
      <c r="AJ1520" s="77"/>
      <c r="AK1520" s="77"/>
      <c r="AL1520" s="77"/>
      <c r="AM1520" s="77"/>
      <c r="AN1520" s="77"/>
      <c r="AO1520" s="77"/>
      <c r="AP1520" s="77"/>
      <c r="AQ1520" s="77" t="s">
        <v>12656</v>
      </c>
      <c r="AR1520" s="77"/>
      <c r="AS1520" s="77"/>
      <c r="AT1520" s="77"/>
      <c r="AU1520" s="77"/>
      <c r="AV1520" s="80" t="str">
        <f>HYPERLINK("https://pbs.twimg.com/media/F0voYx9WwAEJtiB.jpg")</f>
        <v>https://pbs.twimg.com/media/F0voYx9WwAEJtiB.jpg</v>
      </c>
      <c r="AW1520" s="82" t="s">
        <v>14613</v>
      </c>
      <c r="AX1520" s="82" t="s">
        <v>14613</v>
      </c>
      <c r="AY1520" s="77"/>
      <c r="AZ1520" s="82" t="s">
        <v>17385</v>
      </c>
      <c r="BA1520" s="82" t="s">
        <v>17385</v>
      </c>
      <c r="BB1520" s="82" t="s">
        <v>17385</v>
      </c>
      <c r="BC1520" s="82" t="s">
        <v>14613</v>
      </c>
      <c r="BD1520" s="82" t="s">
        <v>17582</v>
      </c>
      <c r="BE1520" s="77"/>
      <c r="BF1520" s="77"/>
      <c r="BG1520" s="77"/>
      <c r="BH1520" s="77"/>
      <c r="BI1520" s="77"/>
    </row>
    <row r="1521" spans="1:61" x14ac:dyDescent="0.25">
      <c r="A1521" s="62" t="s">
        <v>492</v>
      </c>
      <c r="B1521" s="62" t="s">
        <v>492</v>
      </c>
      <c r="C1521" s="63"/>
      <c r="D1521" s="64"/>
      <c r="E1521" s="65"/>
      <c r="F1521" s="66"/>
      <c r="G1521" s="63"/>
      <c r="H1521" s="67"/>
      <c r="I1521" s="68"/>
      <c r="J1521" s="68"/>
      <c r="K1521" s="32"/>
      <c r="L1521" s="75">
        <v>1521</v>
      </c>
      <c r="M1521" s="75"/>
      <c r="N1521" s="70"/>
      <c r="O1521" s="77" t="s">
        <v>179</v>
      </c>
      <c r="P1521" s="79">
        <v>45169.408680555556</v>
      </c>
      <c r="Q1521" s="77" t="s">
        <v>2309</v>
      </c>
      <c r="R1521" s="77">
        <v>0</v>
      </c>
      <c r="S1521" s="77">
        <v>0</v>
      </c>
      <c r="T1521" s="77">
        <v>0</v>
      </c>
      <c r="U1521" s="77">
        <v>0</v>
      </c>
      <c r="V1521" s="77">
        <v>14</v>
      </c>
      <c r="W1521" s="82" t="s">
        <v>5768</v>
      </c>
      <c r="X1521" s="77"/>
      <c r="Y1521" s="77"/>
      <c r="Z1521" s="77"/>
      <c r="AA1521" s="77" t="s">
        <v>7772</v>
      </c>
      <c r="AB1521" s="77" t="s">
        <v>8225</v>
      </c>
      <c r="AC1521" s="82" t="s">
        <v>8233</v>
      </c>
      <c r="AD1521" s="77" t="s">
        <v>8280</v>
      </c>
      <c r="AE1521" s="80" t="str">
        <f>HYPERLINK("https://twitter.com/flaviosouza2810/status/1697184579184930870")</f>
        <v>https://twitter.com/flaviosouza2810/status/1697184579184930870</v>
      </c>
      <c r="AF1521" s="79">
        <v>45169.408680555556</v>
      </c>
      <c r="AG1521" s="85">
        <v>45169</v>
      </c>
      <c r="AH1521" s="82" t="s">
        <v>9661</v>
      </c>
      <c r="AI1521" s="77" t="b">
        <v>0</v>
      </c>
      <c r="AJ1521" s="77"/>
      <c r="AK1521" s="77"/>
      <c r="AL1521" s="77"/>
      <c r="AM1521" s="77"/>
      <c r="AN1521" s="77"/>
      <c r="AO1521" s="77"/>
      <c r="AP1521" s="77"/>
      <c r="AQ1521" s="77" t="s">
        <v>12657</v>
      </c>
      <c r="AR1521" s="77"/>
      <c r="AS1521" s="77"/>
      <c r="AT1521" s="77"/>
      <c r="AU1521" s="77"/>
      <c r="AV1521" s="80" t="str">
        <f>HYPERLINK("https://pbs.twimg.com/media/F42cYPLWoAAGf5x.jpg")</f>
        <v>https://pbs.twimg.com/media/F42cYPLWoAAGf5x.jpg</v>
      </c>
      <c r="AW1521" s="82" t="s">
        <v>14614</v>
      </c>
      <c r="AX1521" s="82" t="s">
        <v>14614</v>
      </c>
      <c r="AY1521" s="77"/>
      <c r="AZ1521" s="82" t="s">
        <v>17385</v>
      </c>
      <c r="BA1521" s="82" t="s">
        <v>17385</v>
      </c>
      <c r="BB1521" s="82" t="s">
        <v>17385</v>
      </c>
      <c r="BC1521" s="82" t="s">
        <v>14614</v>
      </c>
      <c r="BD1521" s="82" t="s">
        <v>17582</v>
      </c>
      <c r="BE1521" s="77"/>
      <c r="BF1521" s="77"/>
      <c r="BG1521" s="77"/>
      <c r="BH1521" s="77"/>
      <c r="BI1521" s="77"/>
    </row>
    <row r="1522" spans="1:61" x14ac:dyDescent="0.25">
      <c r="A1522" s="62" t="s">
        <v>492</v>
      </c>
      <c r="B1522" s="62" t="s">
        <v>492</v>
      </c>
      <c r="C1522" s="63"/>
      <c r="D1522" s="64"/>
      <c r="E1522" s="65"/>
      <c r="F1522" s="66"/>
      <c r="G1522" s="63"/>
      <c r="H1522" s="67"/>
      <c r="I1522" s="68"/>
      <c r="J1522" s="68"/>
      <c r="K1522" s="32"/>
      <c r="L1522" s="75">
        <v>1522</v>
      </c>
      <c r="M1522" s="75"/>
      <c r="N1522" s="70"/>
      <c r="O1522" s="77" t="s">
        <v>179</v>
      </c>
      <c r="P1522" s="79">
        <v>45169.408472222225</v>
      </c>
      <c r="Q1522" s="77" t="s">
        <v>2310</v>
      </c>
      <c r="R1522" s="77">
        <v>0</v>
      </c>
      <c r="S1522" s="77">
        <v>0</v>
      </c>
      <c r="T1522" s="77">
        <v>0</v>
      </c>
      <c r="U1522" s="77">
        <v>0</v>
      </c>
      <c r="V1522" s="77">
        <v>11</v>
      </c>
      <c r="W1522" s="82" t="s">
        <v>5768</v>
      </c>
      <c r="X1522" s="77"/>
      <c r="Y1522" s="77"/>
      <c r="Z1522" s="77"/>
      <c r="AA1522" s="77" t="s">
        <v>7773</v>
      </c>
      <c r="AB1522" s="77" t="s">
        <v>8225</v>
      </c>
      <c r="AC1522" s="82" t="s">
        <v>8233</v>
      </c>
      <c r="AD1522" s="77" t="s">
        <v>8280</v>
      </c>
      <c r="AE1522" s="80" t="str">
        <f>HYPERLINK("https://twitter.com/flaviosouza2810/status/1697184503058280868")</f>
        <v>https://twitter.com/flaviosouza2810/status/1697184503058280868</v>
      </c>
      <c r="AF1522" s="79">
        <v>45169.408472222225</v>
      </c>
      <c r="AG1522" s="85">
        <v>45169</v>
      </c>
      <c r="AH1522" s="82" t="s">
        <v>9662</v>
      </c>
      <c r="AI1522" s="77" t="b">
        <v>0</v>
      </c>
      <c r="AJ1522" s="77"/>
      <c r="AK1522" s="77"/>
      <c r="AL1522" s="77"/>
      <c r="AM1522" s="77"/>
      <c r="AN1522" s="77"/>
      <c r="AO1522" s="77"/>
      <c r="AP1522" s="77"/>
      <c r="AQ1522" s="77" t="s">
        <v>12658</v>
      </c>
      <c r="AR1522" s="77"/>
      <c r="AS1522" s="77"/>
      <c r="AT1522" s="77"/>
      <c r="AU1522" s="77"/>
      <c r="AV1522" s="80" t="str">
        <f>HYPERLINK("https://pbs.twimg.com/media/F42cTzyXgAEQJxc.jpg")</f>
        <v>https://pbs.twimg.com/media/F42cTzyXgAEQJxc.jpg</v>
      </c>
      <c r="AW1522" s="82" t="s">
        <v>14615</v>
      </c>
      <c r="AX1522" s="82" t="s">
        <v>14615</v>
      </c>
      <c r="AY1522" s="77"/>
      <c r="AZ1522" s="82" t="s">
        <v>17385</v>
      </c>
      <c r="BA1522" s="82" t="s">
        <v>17385</v>
      </c>
      <c r="BB1522" s="82" t="s">
        <v>17385</v>
      </c>
      <c r="BC1522" s="82" t="s">
        <v>14615</v>
      </c>
      <c r="BD1522" s="82" t="s">
        <v>17582</v>
      </c>
      <c r="BE1522" s="77"/>
      <c r="BF1522" s="77"/>
      <c r="BG1522" s="77"/>
      <c r="BH1522" s="77"/>
      <c r="BI1522" s="77"/>
    </row>
    <row r="1523" spans="1:61" x14ac:dyDescent="0.25">
      <c r="A1523" s="62" t="s">
        <v>492</v>
      </c>
      <c r="B1523" s="62" t="s">
        <v>492</v>
      </c>
      <c r="C1523" s="63"/>
      <c r="D1523" s="64"/>
      <c r="E1523" s="65"/>
      <c r="F1523" s="66"/>
      <c r="G1523" s="63"/>
      <c r="H1523" s="67"/>
      <c r="I1523" s="68"/>
      <c r="J1523" s="68"/>
      <c r="K1523" s="32"/>
      <c r="L1523" s="75">
        <v>1523</v>
      </c>
      <c r="M1523" s="75"/>
      <c r="N1523" s="70"/>
      <c r="O1523" s="77" t="s">
        <v>179</v>
      </c>
      <c r="P1523" s="79">
        <v>45169.408194444448</v>
      </c>
      <c r="Q1523" s="77" t="s">
        <v>2311</v>
      </c>
      <c r="R1523" s="77">
        <v>0</v>
      </c>
      <c r="S1523" s="77">
        <v>0</v>
      </c>
      <c r="T1523" s="77">
        <v>0</v>
      </c>
      <c r="U1523" s="77">
        <v>0</v>
      </c>
      <c r="V1523" s="77">
        <v>9</v>
      </c>
      <c r="W1523" s="82" t="s">
        <v>5768</v>
      </c>
      <c r="X1523" s="77"/>
      <c r="Y1523" s="77"/>
      <c r="Z1523" s="77"/>
      <c r="AA1523" s="77" t="s">
        <v>7774</v>
      </c>
      <c r="AB1523" s="77" t="s">
        <v>8225</v>
      </c>
      <c r="AC1523" s="82" t="s">
        <v>8233</v>
      </c>
      <c r="AD1523" s="77" t="s">
        <v>8280</v>
      </c>
      <c r="AE1523" s="80" t="str">
        <f>HYPERLINK("https://twitter.com/flaviosouza2810/status/1697184403875590597")</f>
        <v>https://twitter.com/flaviosouza2810/status/1697184403875590597</v>
      </c>
      <c r="AF1523" s="79">
        <v>45169.408194444448</v>
      </c>
      <c r="AG1523" s="85">
        <v>45169</v>
      </c>
      <c r="AH1523" s="82" t="s">
        <v>9663</v>
      </c>
      <c r="AI1523" s="77" t="b">
        <v>0</v>
      </c>
      <c r="AJ1523" s="77"/>
      <c r="AK1523" s="77"/>
      <c r="AL1523" s="77"/>
      <c r="AM1523" s="77"/>
      <c r="AN1523" s="77"/>
      <c r="AO1523" s="77"/>
      <c r="AP1523" s="77"/>
      <c r="AQ1523" s="77" t="s">
        <v>12659</v>
      </c>
      <c r="AR1523" s="77"/>
      <c r="AS1523" s="77"/>
      <c r="AT1523" s="77"/>
      <c r="AU1523" s="77"/>
      <c r="AV1523" s="80" t="str">
        <f>HYPERLINK("https://pbs.twimg.com/media/F42cOBbWEAATTT1.jpg")</f>
        <v>https://pbs.twimg.com/media/F42cOBbWEAATTT1.jpg</v>
      </c>
      <c r="AW1523" s="82" t="s">
        <v>14616</v>
      </c>
      <c r="AX1523" s="82" t="s">
        <v>14616</v>
      </c>
      <c r="AY1523" s="77"/>
      <c r="AZ1523" s="82" t="s">
        <v>17385</v>
      </c>
      <c r="BA1523" s="82" t="s">
        <v>17385</v>
      </c>
      <c r="BB1523" s="82" t="s">
        <v>17385</v>
      </c>
      <c r="BC1523" s="82" t="s">
        <v>14616</v>
      </c>
      <c r="BD1523" s="82" t="s">
        <v>17582</v>
      </c>
      <c r="BE1523" s="77"/>
      <c r="BF1523" s="77"/>
      <c r="BG1523" s="77"/>
      <c r="BH1523" s="77"/>
      <c r="BI1523" s="77"/>
    </row>
    <row r="1524" spans="1:61" x14ac:dyDescent="0.25">
      <c r="A1524" s="62" t="s">
        <v>492</v>
      </c>
      <c r="B1524" s="62" t="s">
        <v>492</v>
      </c>
      <c r="C1524" s="63"/>
      <c r="D1524" s="64"/>
      <c r="E1524" s="65"/>
      <c r="F1524" s="66"/>
      <c r="G1524" s="63"/>
      <c r="H1524" s="67"/>
      <c r="I1524" s="68"/>
      <c r="J1524" s="68"/>
      <c r="K1524" s="32"/>
      <c r="L1524" s="75">
        <v>1524</v>
      </c>
      <c r="M1524" s="75"/>
      <c r="N1524" s="70"/>
      <c r="O1524" s="77" t="s">
        <v>179</v>
      </c>
      <c r="P1524" s="79">
        <v>45160.401064814818</v>
      </c>
      <c r="Q1524" s="77" t="s">
        <v>2312</v>
      </c>
      <c r="R1524" s="77">
        <v>0</v>
      </c>
      <c r="S1524" s="77">
        <v>0</v>
      </c>
      <c r="T1524" s="77">
        <v>0</v>
      </c>
      <c r="U1524" s="77">
        <v>0</v>
      </c>
      <c r="V1524" s="77">
        <v>6</v>
      </c>
      <c r="W1524" s="82" t="s">
        <v>5769</v>
      </c>
      <c r="X1524" s="77"/>
      <c r="Y1524" s="77"/>
      <c r="Z1524" s="77"/>
      <c r="AA1524" s="77" t="s">
        <v>7775</v>
      </c>
      <c r="AB1524" s="77" t="s">
        <v>8225</v>
      </c>
      <c r="AC1524" s="82" t="s">
        <v>8233</v>
      </c>
      <c r="AD1524" s="77" t="s">
        <v>8280</v>
      </c>
      <c r="AE1524" s="80" t="str">
        <f>HYPERLINK("https://twitter.com/flaviosouza2810/status/1693920329435869365")</f>
        <v>https://twitter.com/flaviosouza2810/status/1693920329435869365</v>
      </c>
      <c r="AF1524" s="79">
        <v>45160.401064814818</v>
      </c>
      <c r="AG1524" s="85">
        <v>45160</v>
      </c>
      <c r="AH1524" s="82" t="s">
        <v>9664</v>
      </c>
      <c r="AI1524" s="77" t="b">
        <v>0</v>
      </c>
      <c r="AJ1524" s="77"/>
      <c r="AK1524" s="77"/>
      <c r="AL1524" s="77"/>
      <c r="AM1524" s="77"/>
      <c r="AN1524" s="77"/>
      <c r="AO1524" s="77"/>
      <c r="AP1524" s="77"/>
      <c r="AQ1524" s="77" t="s">
        <v>12660</v>
      </c>
      <c r="AR1524" s="77"/>
      <c r="AS1524" s="77"/>
      <c r="AT1524" s="77"/>
      <c r="AU1524" s="77"/>
      <c r="AV1524" s="80" t="str">
        <f>HYPERLINK("https://pbs.twimg.com/media/F4IDj6BWcAAYgk9.jpg")</f>
        <v>https://pbs.twimg.com/media/F4IDj6BWcAAYgk9.jpg</v>
      </c>
      <c r="AW1524" s="82" t="s">
        <v>14617</v>
      </c>
      <c r="AX1524" s="82" t="s">
        <v>14617</v>
      </c>
      <c r="AY1524" s="77"/>
      <c r="AZ1524" s="82" t="s">
        <v>17385</v>
      </c>
      <c r="BA1524" s="82" t="s">
        <v>17385</v>
      </c>
      <c r="BB1524" s="82" t="s">
        <v>17385</v>
      </c>
      <c r="BC1524" s="82" t="s">
        <v>14617</v>
      </c>
      <c r="BD1524" s="82" t="s">
        <v>17582</v>
      </c>
      <c r="BE1524" s="77"/>
      <c r="BF1524" s="77"/>
      <c r="BG1524" s="77"/>
      <c r="BH1524" s="77"/>
      <c r="BI1524" s="77"/>
    </row>
    <row r="1525" spans="1:61" x14ac:dyDescent="0.25">
      <c r="A1525" s="62" t="s">
        <v>492</v>
      </c>
      <c r="B1525" s="62" t="s">
        <v>492</v>
      </c>
      <c r="C1525" s="63"/>
      <c r="D1525" s="64"/>
      <c r="E1525" s="65"/>
      <c r="F1525" s="66"/>
      <c r="G1525" s="63"/>
      <c r="H1525" s="67"/>
      <c r="I1525" s="68"/>
      <c r="J1525" s="68"/>
      <c r="K1525" s="32"/>
      <c r="L1525" s="75">
        <v>1525</v>
      </c>
      <c r="M1525" s="75"/>
      <c r="N1525" s="70"/>
      <c r="O1525" s="77" t="s">
        <v>179</v>
      </c>
      <c r="P1525" s="79">
        <v>45160.400821759256</v>
      </c>
      <c r="Q1525" s="77" t="s">
        <v>2313</v>
      </c>
      <c r="R1525" s="77">
        <v>0</v>
      </c>
      <c r="S1525" s="77">
        <v>0</v>
      </c>
      <c r="T1525" s="77">
        <v>0</v>
      </c>
      <c r="U1525" s="77">
        <v>0</v>
      </c>
      <c r="V1525" s="77">
        <v>6</v>
      </c>
      <c r="W1525" s="82" t="s">
        <v>5769</v>
      </c>
      <c r="X1525" s="77"/>
      <c r="Y1525" s="77"/>
      <c r="Z1525" s="77"/>
      <c r="AA1525" s="77" t="s">
        <v>7776</v>
      </c>
      <c r="AB1525" s="77" t="s">
        <v>8225</v>
      </c>
      <c r="AC1525" s="82" t="s">
        <v>8233</v>
      </c>
      <c r="AD1525" s="77" t="s">
        <v>8280</v>
      </c>
      <c r="AE1525" s="80" t="str">
        <f>HYPERLINK("https://twitter.com/flaviosouza2810/status/1693920240969650290")</f>
        <v>https://twitter.com/flaviosouza2810/status/1693920240969650290</v>
      </c>
      <c r="AF1525" s="79">
        <v>45160.400821759256</v>
      </c>
      <c r="AG1525" s="85">
        <v>45160</v>
      </c>
      <c r="AH1525" s="82" t="s">
        <v>9665</v>
      </c>
      <c r="AI1525" s="77" t="b">
        <v>0</v>
      </c>
      <c r="AJ1525" s="77"/>
      <c r="AK1525" s="77"/>
      <c r="AL1525" s="77"/>
      <c r="AM1525" s="77"/>
      <c r="AN1525" s="77"/>
      <c r="AO1525" s="77"/>
      <c r="AP1525" s="77"/>
      <c r="AQ1525" s="77" t="s">
        <v>12661</v>
      </c>
      <c r="AR1525" s="77"/>
      <c r="AS1525" s="77"/>
      <c r="AT1525" s="77"/>
      <c r="AU1525" s="77"/>
      <c r="AV1525" s="80" t="str">
        <f>HYPERLINK("https://pbs.twimg.com/media/F4IDeyuWAAAcpbD.jpg")</f>
        <v>https://pbs.twimg.com/media/F4IDeyuWAAAcpbD.jpg</v>
      </c>
      <c r="AW1525" s="82" t="s">
        <v>14618</v>
      </c>
      <c r="AX1525" s="82" t="s">
        <v>14618</v>
      </c>
      <c r="AY1525" s="77"/>
      <c r="AZ1525" s="82" t="s">
        <v>17385</v>
      </c>
      <c r="BA1525" s="82" t="s">
        <v>17385</v>
      </c>
      <c r="BB1525" s="82" t="s">
        <v>17385</v>
      </c>
      <c r="BC1525" s="82" t="s">
        <v>14618</v>
      </c>
      <c r="BD1525" s="82" t="s">
        <v>17582</v>
      </c>
      <c r="BE1525" s="77"/>
      <c r="BF1525" s="77"/>
      <c r="BG1525" s="77"/>
      <c r="BH1525" s="77"/>
      <c r="BI1525" s="77"/>
    </row>
    <row r="1526" spans="1:61" x14ac:dyDescent="0.25">
      <c r="A1526" s="62" t="s">
        <v>492</v>
      </c>
      <c r="B1526" s="62" t="s">
        <v>492</v>
      </c>
      <c r="C1526" s="63"/>
      <c r="D1526" s="64"/>
      <c r="E1526" s="65"/>
      <c r="F1526" s="66"/>
      <c r="G1526" s="63"/>
      <c r="H1526" s="67"/>
      <c r="I1526" s="68"/>
      <c r="J1526" s="68"/>
      <c r="K1526" s="32"/>
      <c r="L1526" s="75">
        <v>1526</v>
      </c>
      <c r="M1526" s="75"/>
      <c r="N1526" s="70"/>
      <c r="O1526" s="77" t="s">
        <v>179</v>
      </c>
      <c r="P1526" s="79">
        <v>45160.400567129633</v>
      </c>
      <c r="Q1526" s="77" t="s">
        <v>2314</v>
      </c>
      <c r="R1526" s="77">
        <v>0</v>
      </c>
      <c r="S1526" s="77">
        <v>0</v>
      </c>
      <c r="T1526" s="77">
        <v>0</v>
      </c>
      <c r="U1526" s="77">
        <v>0</v>
      </c>
      <c r="V1526" s="77">
        <v>7</v>
      </c>
      <c r="W1526" s="82" t="s">
        <v>5769</v>
      </c>
      <c r="X1526" s="77"/>
      <c r="Y1526" s="77"/>
      <c r="Z1526" s="77"/>
      <c r="AA1526" s="77" t="s">
        <v>7777</v>
      </c>
      <c r="AB1526" s="77" t="s">
        <v>8225</v>
      </c>
      <c r="AC1526" s="82" t="s">
        <v>8233</v>
      </c>
      <c r="AD1526" s="77" t="s">
        <v>8280</v>
      </c>
      <c r="AE1526" s="80" t="str">
        <f>HYPERLINK("https://twitter.com/flaviosouza2810/status/1693920147772211373")</f>
        <v>https://twitter.com/flaviosouza2810/status/1693920147772211373</v>
      </c>
      <c r="AF1526" s="79">
        <v>45160.400567129633</v>
      </c>
      <c r="AG1526" s="85">
        <v>45160</v>
      </c>
      <c r="AH1526" s="82" t="s">
        <v>9666</v>
      </c>
      <c r="AI1526" s="77" t="b">
        <v>0</v>
      </c>
      <c r="AJ1526" s="77"/>
      <c r="AK1526" s="77"/>
      <c r="AL1526" s="77"/>
      <c r="AM1526" s="77"/>
      <c r="AN1526" s="77"/>
      <c r="AO1526" s="77"/>
      <c r="AP1526" s="77"/>
      <c r="AQ1526" s="77" t="s">
        <v>12662</v>
      </c>
      <c r="AR1526" s="77"/>
      <c r="AS1526" s="77"/>
      <c r="AT1526" s="77"/>
      <c r="AU1526" s="77"/>
      <c r="AV1526" s="80" t="str">
        <f>HYPERLINK("https://pbs.twimg.com/media/F4IDZXTWMAAN0Je.jpg")</f>
        <v>https://pbs.twimg.com/media/F4IDZXTWMAAN0Je.jpg</v>
      </c>
      <c r="AW1526" s="82" t="s">
        <v>14619</v>
      </c>
      <c r="AX1526" s="82" t="s">
        <v>14619</v>
      </c>
      <c r="AY1526" s="77"/>
      <c r="AZ1526" s="82" t="s">
        <v>17385</v>
      </c>
      <c r="BA1526" s="82" t="s">
        <v>17385</v>
      </c>
      <c r="BB1526" s="82" t="s">
        <v>17385</v>
      </c>
      <c r="BC1526" s="82" t="s">
        <v>14619</v>
      </c>
      <c r="BD1526" s="82" t="s">
        <v>17582</v>
      </c>
      <c r="BE1526" s="77"/>
      <c r="BF1526" s="77"/>
      <c r="BG1526" s="77"/>
      <c r="BH1526" s="77"/>
      <c r="BI1526" s="77"/>
    </row>
    <row r="1527" spans="1:61" x14ac:dyDescent="0.25">
      <c r="A1527" s="62" t="s">
        <v>492</v>
      </c>
      <c r="B1527" s="62" t="s">
        <v>492</v>
      </c>
      <c r="C1527" s="63"/>
      <c r="D1527" s="64"/>
      <c r="E1527" s="65"/>
      <c r="F1527" s="66"/>
      <c r="G1527" s="63"/>
      <c r="H1527" s="67"/>
      <c r="I1527" s="68"/>
      <c r="J1527" s="68"/>
      <c r="K1527" s="32"/>
      <c r="L1527" s="75">
        <v>1527</v>
      </c>
      <c r="M1527" s="75"/>
      <c r="N1527" s="70"/>
      <c r="O1527" s="77" t="s">
        <v>179</v>
      </c>
      <c r="P1527" s="79">
        <v>45159.890752314815</v>
      </c>
      <c r="Q1527" s="77" t="s">
        <v>2315</v>
      </c>
      <c r="R1527" s="77">
        <v>0</v>
      </c>
      <c r="S1527" s="77">
        <v>0</v>
      </c>
      <c r="T1527" s="77">
        <v>0</v>
      </c>
      <c r="U1527" s="77">
        <v>0</v>
      </c>
      <c r="V1527" s="77">
        <v>5</v>
      </c>
      <c r="W1527" s="82" t="s">
        <v>5769</v>
      </c>
      <c r="X1527" s="77"/>
      <c r="Y1527" s="77"/>
      <c r="Z1527" s="77"/>
      <c r="AA1527" s="77" t="s">
        <v>7778</v>
      </c>
      <c r="AB1527" s="77" t="s">
        <v>8225</v>
      </c>
      <c r="AC1527" s="82" t="s">
        <v>8233</v>
      </c>
      <c r="AD1527" s="77" t="s">
        <v>8280</v>
      </c>
      <c r="AE1527" s="80" t="str">
        <f>HYPERLINK("https://twitter.com/flaviosouza2810/status/1693735396432114120")</f>
        <v>https://twitter.com/flaviosouza2810/status/1693735396432114120</v>
      </c>
      <c r="AF1527" s="79">
        <v>45159.890752314815</v>
      </c>
      <c r="AG1527" s="85">
        <v>45159</v>
      </c>
      <c r="AH1527" s="82" t="s">
        <v>9667</v>
      </c>
      <c r="AI1527" s="77" t="b">
        <v>0</v>
      </c>
      <c r="AJ1527" s="77"/>
      <c r="AK1527" s="77"/>
      <c r="AL1527" s="77"/>
      <c r="AM1527" s="77"/>
      <c r="AN1527" s="77"/>
      <c r="AO1527" s="77"/>
      <c r="AP1527" s="77"/>
      <c r="AQ1527" s="77" t="s">
        <v>12663</v>
      </c>
      <c r="AR1527" s="77"/>
      <c r="AS1527" s="77"/>
      <c r="AT1527" s="77"/>
      <c r="AU1527" s="77"/>
      <c r="AV1527" s="80" t="str">
        <f>HYPERLINK("https://pbs.twimg.com/media/F4FbXPHWIAADWT-.jpg")</f>
        <v>https://pbs.twimg.com/media/F4FbXPHWIAADWT-.jpg</v>
      </c>
      <c r="AW1527" s="82" t="s">
        <v>14620</v>
      </c>
      <c r="AX1527" s="82" t="s">
        <v>14620</v>
      </c>
      <c r="AY1527" s="77"/>
      <c r="AZ1527" s="82" t="s">
        <v>17385</v>
      </c>
      <c r="BA1527" s="82" t="s">
        <v>17385</v>
      </c>
      <c r="BB1527" s="82" t="s">
        <v>17385</v>
      </c>
      <c r="BC1527" s="82" t="s">
        <v>14620</v>
      </c>
      <c r="BD1527" s="82" t="s">
        <v>17582</v>
      </c>
      <c r="BE1527" s="77"/>
      <c r="BF1527" s="77"/>
      <c r="BG1527" s="77"/>
      <c r="BH1527" s="77"/>
      <c r="BI1527" s="77"/>
    </row>
    <row r="1528" spans="1:61" x14ac:dyDescent="0.25">
      <c r="A1528" s="62" t="s">
        <v>492</v>
      </c>
      <c r="B1528" s="62" t="s">
        <v>492</v>
      </c>
      <c r="C1528" s="63"/>
      <c r="D1528" s="64"/>
      <c r="E1528" s="65"/>
      <c r="F1528" s="66"/>
      <c r="G1528" s="63"/>
      <c r="H1528" s="67"/>
      <c r="I1528" s="68"/>
      <c r="J1528" s="68"/>
      <c r="K1528" s="32"/>
      <c r="L1528" s="75">
        <v>1528</v>
      </c>
      <c r="M1528" s="75"/>
      <c r="N1528" s="70"/>
      <c r="O1528" s="77" t="s">
        <v>179</v>
      </c>
      <c r="P1528" s="79">
        <v>45153.404583333337</v>
      </c>
      <c r="Q1528" s="77" t="s">
        <v>2316</v>
      </c>
      <c r="R1528" s="77">
        <v>0</v>
      </c>
      <c r="S1528" s="77">
        <v>0</v>
      </c>
      <c r="T1528" s="77">
        <v>0</v>
      </c>
      <c r="U1528" s="77">
        <v>0</v>
      </c>
      <c r="V1528" s="77">
        <v>5</v>
      </c>
      <c r="W1528" s="82" t="s">
        <v>5768</v>
      </c>
      <c r="X1528" s="77"/>
      <c r="Y1528" s="77"/>
      <c r="Z1528" s="77"/>
      <c r="AA1528" s="77" t="s">
        <v>7779</v>
      </c>
      <c r="AB1528" s="77" t="s">
        <v>8225</v>
      </c>
      <c r="AC1528" s="82" t="s">
        <v>8233</v>
      </c>
      <c r="AD1528" s="77" t="s">
        <v>8280</v>
      </c>
      <c r="AE1528" s="80" t="str">
        <f>HYPERLINK("https://twitter.com/flaviosouza2810/status/1691384887964569600")</f>
        <v>https://twitter.com/flaviosouza2810/status/1691384887964569600</v>
      </c>
      <c r="AF1528" s="79">
        <v>45153.404583333337</v>
      </c>
      <c r="AG1528" s="85">
        <v>45153</v>
      </c>
      <c r="AH1528" s="82" t="s">
        <v>9668</v>
      </c>
      <c r="AI1528" s="77" t="b">
        <v>0</v>
      </c>
      <c r="AJ1528" s="77"/>
      <c r="AK1528" s="77"/>
      <c r="AL1528" s="77"/>
      <c r="AM1528" s="77"/>
      <c r="AN1528" s="77"/>
      <c r="AO1528" s="77"/>
      <c r="AP1528" s="77"/>
      <c r="AQ1528" s="77" t="s">
        <v>12664</v>
      </c>
      <c r="AR1528" s="77"/>
      <c r="AS1528" s="77"/>
      <c r="AT1528" s="77"/>
      <c r="AU1528" s="77"/>
      <c r="AV1528" s="80" t="str">
        <f>HYPERLINK("https://pbs.twimg.com/media/F3kBl0VWAAA1Uio.jpg")</f>
        <v>https://pbs.twimg.com/media/F3kBl0VWAAA1Uio.jpg</v>
      </c>
      <c r="AW1528" s="82" t="s">
        <v>14621</v>
      </c>
      <c r="AX1528" s="82" t="s">
        <v>14621</v>
      </c>
      <c r="AY1528" s="77"/>
      <c r="AZ1528" s="82" t="s">
        <v>17385</v>
      </c>
      <c r="BA1528" s="82" t="s">
        <v>17385</v>
      </c>
      <c r="BB1528" s="82" t="s">
        <v>17385</v>
      </c>
      <c r="BC1528" s="82" t="s">
        <v>14621</v>
      </c>
      <c r="BD1528" s="82" t="s">
        <v>17582</v>
      </c>
      <c r="BE1528" s="77"/>
      <c r="BF1528" s="77"/>
      <c r="BG1528" s="77"/>
      <c r="BH1528" s="77"/>
      <c r="BI1528" s="77"/>
    </row>
    <row r="1529" spans="1:61" x14ac:dyDescent="0.25">
      <c r="A1529" s="62" t="s">
        <v>492</v>
      </c>
      <c r="B1529" s="62" t="s">
        <v>492</v>
      </c>
      <c r="C1529" s="63"/>
      <c r="D1529" s="64"/>
      <c r="E1529" s="65"/>
      <c r="F1529" s="66"/>
      <c r="G1529" s="63"/>
      <c r="H1529" s="67"/>
      <c r="I1529" s="68"/>
      <c r="J1529" s="68"/>
      <c r="K1529" s="32"/>
      <c r="L1529" s="75">
        <v>1529</v>
      </c>
      <c r="M1529" s="75"/>
      <c r="N1529" s="70"/>
      <c r="O1529" s="77" t="s">
        <v>179</v>
      </c>
      <c r="P1529" s="79">
        <v>45153.40421296296</v>
      </c>
      <c r="Q1529" s="77" t="s">
        <v>2317</v>
      </c>
      <c r="R1529" s="77">
        <v>0</v>
      </c>
      <c r="S1529" s="77">
        <v>0</v>
      </c>
      <c r="T1529" s="77">
        <v>0</v>
      </c>
      <c r="U1529" s="77">
        <v>0</v>
      </c>
      <c r="V1529" s="77">
        <v>8</v>
      </c>
      <c r="W1529" s="82" t="s">
        <v>5768</v>
      </c>
      <c r="X1529" s="77"/>
      <c r="Y1529" s="77"/>
      <c r="Z1529" s="77"/>
      <c r="AA1529" s="77" t="s">
        <v>7780</v>
      </c>
      <c r="AB1529" s="77" t="s">
        <v>8225</v>
      </c>
      <c r="AC1529" s="82" t="s">
        <v>8233</v>
      </c>
      <c r="AD1529" s="77" t="s">
        <v>8280</v>
      </c>
      <c r="AE1529" s="80" t="str">
        <f>HYPERLINK("https://twitter.com/flaviosouza2810/status/1691384753545527296")</f>
        <v>https://twitter.com/flaviosouza2810/status/1691384753545527296</v>
      </c>
      <c r="AF1529" s="79">
        <v>45153.40421296296</v>
      </c>
      <c r="AG1529" s="85">
        <v>45153</v>
      </c>
      <c r="AH1529" s="82" t="s">
        <v>9669</v>
      </c>
      <c r="AI1529" s="77" t="b">
        <v>0</v>
      </c>
      <c r="AJ1529" s="77"/>
      <c r="AK1529" s="77"/>
      <c r="AL1529" s="77"/>
      <c r="AM1529" s="77"/>
      <c r="AN1529" s="77"/>
      <c r="AO1529" s="77"/>
      <c r="AP1529" s="77"/>
      <c r="AQ1529" s="77" t="s">
        <v>12665</v>
      </c>
      <c r="AR1529" s="77"/>
      <c r="AS1529" s="77"/>
      <c r="AT1529" s="77"/>
      <c r="AU1529" s="77"/>
      <c r="AV1529" s="80" t="str">
        <f>HYPERLINK("https://pbs.twimg.com/media/F3kBd9HXYAAzSPE.jpg")</f>
        <v>https://pbs.twimg.com/media/F3kBd9HXYAAzSPE.jpg</v>
      </c>
      <c r="AW1529" s="82" t="s">
        <v>14622</v>
      </c>
      <c r="AX1529" s="82" t="s">
        <v>14622</v>
      </c>
      <c r="AY1529" s="77"/>
      <c r="AZ1529" s="82" t="s">
        <v>17385</v>
      </c>
      <c r="BA1529" s="82" t="s">
        <v>17385</v>
      </c>
      <c r="BB1529" s="82" t="s">
        <v>17385</v>
      </c>
      <c r="BC1529" s="82" t="s">
        <v>14622</v>
      </c>
      <c r="BD1529" s="82" t="s">
        <v>17582</v>
      </c>
      <c r="BE1529" s="77"/>
      <c r="BF1529" s="77"/>
      <c r="BG1529" s="77"/>
      <c r="BH1529" s="77"/>
      <c r="BI1529" s="77"/>
    </row>
    <row r="1530" spans="1:61" x14ac:dyDescent="0.25">
      <c r="A1530" s="62" t="s">
        <v>492</v>
      </c>
      <c r="B1530" s="62" t="s">
        <v>492</v>
      </c>
      <c r="C1530" s="63"/>
      <c r="D1530" s="64"/>
      <c r="E1530" s="65"/>
      <c r="F1530" s="66"/>
      <c r="G1530" s="63"/>
      <c r="H1530" s="67"/>
      <c r="I1530" s="68"/>
      <c r="J1530" s="68"/>
      <c r="K1530" s="32"/>
      <c r="L1530" s="75">
        <v>1530</v>
      </c>
      <c r="M1530" s="75"/>
      <c r="N1530" s="70"/>
      <c r="O1530" s="77" t="s">
        <v>179</v>
      </c>
      <c r="P1530" s="79">
        <v>45153.403946759259</v>
      </c>
      <c r="Q1530" s="77" t="s">
        <v>2318</v>
      </c>
      <c r="R1530" s="77">
        <v>0</v>
      </c>
      <c r="S1530" s="77">
        <v>0</v>
      </c>
      <c r="T1530" s="77">
        <v>0</v>
      </c>
      <c r="U1530" s="77">
        <v>0</v>
      </c>
      <c r="V1530" s="77">
        <v>2</v>
      </c>
      <c r="W1530" s="82" t="s">
        <v>5768</v>
      </c>
      <c r="X1530" s="77"/>
      <c r="Y1530" s="77"/>
      <c r="Z1530" s="77"/>
      <c r="AA1530" s="77" t="s">
        <v>7781</v>
      </c>
      <c r="AB1530" s="77" t="s">
        <v>8225</v>
      </c>
      <c r="AC1530" s="82" t="s">
        <v>8233</v>
      </c>
      <c r="AD1530" s="77" t="s">
        <v>8280</v>
      </c>
      <c r="AE1530" s="80" t="str">
        <f>HYPERLINK("https://twitter.com/flaviosouza2810/status/1691384657936318464")</f>
        <v>https://twitter.com/flaviosouza2810/status/1691384657936318464</v>
      </c>
      <c r="AF1530" s="79">
        <v>45153.403946759259</v>
      </c>
      <c r="AG1530" s="85">
        <v>45153</v>
      </c>
      <c r="AH1530" s="82" t="s">
        <v>9670</v>
      </c>
      <c r="AI1530" s="77" t="b">
        <v>0</v>
      </c>
      <c r="AJ1530" s="77"/>
      <c r="AK1530" s="77"/>
      <c r="AL1530" s="77"/>
      <c r="AM1530" s="77"/>
      <c r="AN1530" s="77"/>
      <c r="AO1530" s="77"/>
      <c r="AP1530" s="77"/>
      <c r="AQ1530" s="77" t="s">
        <v>12666</v>
      </c>
      <c r="AR1530" s="77"/>
      <c r="AS1530" s="77"/>
      <c r="AT1530" s="77"/>
      <c r="AU1530" s="77"/>
      <c r="AV1530" s="80" t="str">
        <f>HYPERLINK("https://pbs.twimg.com/media/F3kBYVBWYAAYTJv.jpg")</f>
        <v>https://pbs.twimg.com/media/F3kBYVBWYAAYTJv.jpg</v>
      </c>
      <c r="AW1530" s="82" t="s">
        <v>14623</v>
      </c>
      <c r="AX1530" s="82" t="s">
        <v>14623</v>
      </c>
      <c r="AY1530" s="77"/>
      <c r="AZ1530" s="82" t="s">
        <v>17385</v>
      </c>
      <c r="BA1530" s="82" t="s">
        <v>17385</v>
      </c>
      <c r="BB1530" s="82" t="s">
        <v>17385</v>
      </c>
      <c r="BC1530" s="82" t="s">
        <v>14623</v>
      </c>
      <c r="BD1530" s="82" t="s">
        <v>17582</v>
      </c>
      <c r="BE1530" s="77"/>
      <c r="BF1530" s="77"/>
      <c r="BG1530" s="77"/>
      <c r="BH1530" s="77"/>
      <c r="BI1530" s="77"/>
    </row>
    <row r="1531" spans="1:61" x14ac:dyDescent="0.25">
      <c r="A1531" s="62" t="s">
        <v>492</v>
      </c>
      <c r="B1531" s="62" t="s">
        <v>492</v>
      </c>
      <c r="C1531" s="63"/>
      <c r="D1531" s="64"/>
      <c r="E1531" s="65"/>
      <c r="F1531" s="66"/>
      <c r="G1531" s="63"/>
      <c r="H1531" s="67"/>
      <c r="I1531" s="68"/>
      <c r="J1531" s="68"/>
      <c r="K1531" s="32"/>
      <c r="L1531" s="75">
        <v>1531</v>
      </c>
      <c r="M1531" s="75"/>
      <c r="N1531" s="70"/>
      <c r="O1531" s="77" t="s">
        <v>179</v>
      </c>
      <c r="P1531" s="79">
        <v>45170.417731481481</v>
      </c>
      <c r="Q1531" s="77" t="s">
        <v>2319</v>
      </c>
      <c r="R1531" s="77">
        <v>0</v>
      </c>
      <c r="S1531" s="77">
        <v>0</v>
      </c>
      <c r="T1531" s="77">
        <v>0</v>
      </c>
      <c r="U1531" s="77">
        <v>0</v>
      </c>
      <c r="V1531" s="77">
        <v>24</v>
      </c>
      <c r="W1531" s="82" t="s">
        <v>5768</v>
      </c>
      <c r="X1531" s="77"/>
      <c r="Y1531" s="77"/>
      <c r="Z1531" s="77"/>
      <c r="AA1531" s="77" t="s">
        <v>7782</v>
      </c>
      <c r="AB1531" s="77" t="s">
        <v>8225</v>
      </c>
      <c r="AC1531" s="82" t="s">
        <v>8233</v>
      </c>
      <c r="AD1531" s="77" t="s">
        <v>8280</v>
      </c>
      <c r="AE1531" s="80" t="str">
        <f>HYPERLINK("https://twitter.com/flaviosouza2810/status/1697550246841053595")</f>
        <v>https://twitter.com/flaviosouza2810/status/1697550246841053595</v>
      </c>
      <c r="AF1531" s="79">
        <v>45170.417731481481</v>
      </c>
      <c r="AG1531" s="85">
        <v>45170</v>
      </c>
      <c r="AH1531" s="82" t="s">
        <v>9671</v>
      </c>
      <c r="AI1531" s="77" t="b">
        <v>0</v>
      </c>
      <c r="AJ1531" s="77"/>
      <c r="AK1531" s="77"/>
      <c r="AL1531" s="77"/>
      <c r="AM1531" s="77"/>
      <c r="AN1531" s="77"/>
      <c r="AO1531" s="77"/>
      <c r="AP1531" s="77"/>
      <c r="AQ1531" s="77" t="s">
        <v>12667</v>
      </c>
      <c r="AR1531" s="77"/>
      <c r="AS1531" s="77"/>
      <c r="AT1531" s="77"/>
      <c r="AU1531" s="77"/>
      <c r="AV1531" s="80" t="str">
        <f>HYPERLINK("https://pbs.twimg.com/media/F47o8owWoAAphcY.jpg")</f>
        <v>https://pbs.twimg.com/media/F47o8owWoAAphcY.jpg</v>
      </c>
      <c r="AW1531" s="82" t="s">
        <v>14624</v>
      </c>
      <c r="AX1531" s="82" t="s">
        <v>14624</v>
      </c>
      <c r="AY1531" s="77"/>
      <c r="AZ1531" s="82" t="s">
        <v>17385</v>
      </c>
      <c r="BA1531" s="82" t="s">
        <v>17385</v>
      </c>
      <c r="BB1531" s="82" t="s">
        <v>17385</v>
      </c>
      <c r="BC1531" s="82" t="s">
        <v>14624</v>
      </c>
      <c r="BD1531" s="82" t="s">
        <v>17582</v>
      </c>
      <c r="BE1531" s="77"/>
      <c r="BF1531" s="77"/>
      <c r="BG1531" s="77"/>
      <c r="BH1531" s="77"/>
      <c r="BI1531" s="77"/>
    </row>
    <row r="1532" spans="1:61" x14ac:dyDescent="0.25">
      <c r="A1532" s="62" t="s">
        <v>492</v>
      </c>
      <c r="B1532" s="62" t="s">
        <v>492</v>
      </c>
      <c r="C1532" s="63"/>
      <c r="D1532" s="64"/>
      <c r="E1532" s="65"/>
      <c r="F1532" s="66"/>
      <c r="G1532" s="63"/>
      <c r="H1532" s="67"/>
      <c r="I1532" s="68"/>
      <c r="J1532" s="68"/>
      <c r="K1532" s="32"/>
      <c r="L1532" s="75">
        <v>1532</v>
      </c>
      <c r="M1532" s="75"/>
      <c r="N1532" s="70"/>
      <c r="O1532" s="77" t="s">
        <v>179</v>
      </c>
      <c r="P1532" s="79">
        <v>45170.41741898148</v>
      </c>
      <c r="Q1532" s="77" t="s">
        <v>2320</v>
      </c>
      <c r="R1532" s="77">
        <v>0</v>
      </c>
      <c r="S1532" s="77">
        <v>0</v>
      </c>
      <c r="T1532" s="77">
        <v>0</v>
      </c>
      <c r="U1532" s="77">
        <v>0</v>
      </c>
      <c r="V1532" s="77">
        <v>16</v>
      </c>
      <c r="W1532" s="82" t="s">
        <v>5768</v>
      </c>
      <c r="X1532" s="77"/>
      <c r="Y1532" s="77"/>
      <c r="Z1532" s="77"/>
      <c r="AA1532" s="77" t="s">
        <v>7783</v>
      </c>
      <c r="AB1532" s="77" t="s">
        <v>8225</v>
      </c>
      <c r="AC1532" s="82" t="s">
        <v>8233</v>
      </c>
      <c r="AD1532" s="77" t="s">
        <v>8280</v>
      </c>
      <c r="AE1532" s="80" t="str">
        <f>HYPERLINK("https://twitter.com/flaviosouza2810/status/1697550134148473056")</f>
        <v>https://twitter.com/flaviosouza2810/status/1697550134148473056</v>
      </c>
      <c r="AF1532" s="79">
        <v>45170.41741898148</v>
      </c>
      <c r="AG1532" s="85">
        <v>45170</v>
      </c>
      <c r="AH1532" s="82" t="s">
        <v>9672</v>
      </c>
      <c r="AI1532" s="77" t="b">
        <v>0</v>
      </c>
      <c r="AJ1532" s="77"/>
      <c r="AK1532" s="77"/>
      <c r="AL1532" s="77"/>
      <c r="AM1532" s="77"/>
      <c r="AN1532" s="77"/>
      <c r="AO1532" s="77"/>
      <c r="AP1532" s="77"/>
      <c r="AQ1532" s="77" t="s">
        <v>12668</v>
      </c>
      <c r="AR1532" s="77"/>
      <c r="AS1532" s="77"/>
      <c r="AT1532" s="77"/>
      <c r="AU1532" s="77"/>
      <c r="AV1532" s="80" t="str">
        <f>HYPERLINK("https://pbs.twimg.com/media/F47o2VsXkAAaVgP.jpg")</f>
        <v>https://pbs.twimg.com/media/F47o2VsXkAAaVgP.jpg</v>
      </c>
      <c r="AW1532" s="82" t="s">
        <v>14625</v>
      </c>
      <c r="AX1532" s="82" t="s">
        <v>14625</v>
      </c>
      <c r="AY1532" s="77"/>
      <c r="AZ1532" s="82" t="s">
        <v>17385</v>
      </c>
      <c r="BA1532" s="82" t="s">
        <v>17385</v>
      </c>
      <c r="BB1532" s="82" t="s">
        <v>17385</v>
      </c>
      <c r="BC1532" s="82" t="s">
        <v>14625</v>
      </c>
      <c r="BD1532" s="82" t="s">
        <v>17582</v>
      </c>
      <c r="BE1532" s="77"/>
      <c r="BF1532" s="77"/>
      <c r="BG1532" s="77"/>
      <c r="BH1532" s="77"/>
      <c r="BI1532" s="77"/>
    </row>
    <row r="1533" spans="1:61" x14ac:dyDescent="0.25">
      <c r="A1533" s="62" t="s">
        <v>492</v>
      </c>
      <c r="B1533" s="62" t="s">
        <v>492</v>
      </c>
      <c r="C1533" s="63"/>
      <c r="D1533" s="64"/>
      <c r="E1533" s="65"/>
      <c r="F1533" s="66"/>
      <c r="G1533" s="63"/>
      <c r="H1533" s="67"/>
      <c r="I1533" s="68"/>
      <c r="J1533" s="68"/>
      <c r="K1533" s="32"/>
      <c r="L1533" s="75">
        <v>1533</v>
      </c>
      <c r="M1533" s="75"/>
      <c r="N1533" s="70"/>
      <c r="O1533" s="77" t="s">
        <v>179</v>
      </c>
      <c r="P1533" s="79">
        <v>45170.417210648149</v>
      </c>
      <c r="Q1533" s="77" t="s">
        <v>2321</v>
      </c>
      <c r="R1533" s="77">
        <v>0</v>
      </c>
      <c r="S1533" s="77">
        <v>0</v>
      </c>
      <c r="T1533" s="77">
        <v>0</v>
      </c>
      <c r="U1533" s="77">
        <v>0</v>
      </c>
      <c r="V1533" s="77">
        <v>13</v>
      </c>
      <c r="W1533" s="82" t="s">
        <v>5768</v>
      </c>
      <c r="X1533" s="77"/>
      <c r="Y1533" s="77"/>
      <c r="Z1533" s="77"/>
      <c r="AA1533" s="77" t="s">
        <v>7784</v>
      </c>
      <c r="AB1533" s="77" t="s">
        <v>8225</v>
      </c>
      <c r="AC1533" s="82" t="s">
        <v>8233</v>
      </c>
      <c r="AD1533" s="77" t="s">
        <v>8280</v>
      </c>
      <c r="AE1533" s="80" t="str">
        <f>HYPERLINK("https://twitter.com/flaviosouza2810/status/1697550056549654606")</f>
        <v>https://twitter.com/flaviosouza2810/status/1697550056549654606</v>
      </c>
      <c r="AF1533" s="79">
        <v>45170.417210648149</v>
      </c>
      <c r="AG1533" s="85">
        <v>45170</v>
      </c>
      <c r="AH1533" s="82" t="s">
        <v>9673</v>
      </c>
      <c r="AI1533" s="77" t="b">
        <v>0</v>
      </c>
      <c r="AJ1533" s="77"/>
      <c r="AK1533" s="77"/>
      <c r="AL1533" s="77"/>
      <c r="AM1533" s="77"/>
      <c r="AN1533" s="77"/>
      <c r="AO1533" s="77"/>
      <c r="AP1533" s="77"/>
      <c r="AQ1533" s="77" t="s">
        <v>12669</v>
      </c>
      <c r="AR1533" s="77"/>
      <c r="AS1533" s="77"/>
      <c r="AT1533" s="77"/>
      <c r="AU1533" s="77"/>
      <c r="AV1533" s="80" t="str">
        <f>HYPERLINK("https://pbs.twimg.com/media/F47oxjcWYAAiwe1.jpg")</f>
        <v>https://pbs.twimg.com/media/F47oxjcWYAAiwe1.jpg</v>
      </c>
      <c r="AW1533" s="82" t="s">
        <v>14626</v>
      </c>
      <c r="AX1533" s="82" t="s">
        <v>14626</v>
      </c>
      <c r="AY1533" s="77"/>
      <c r="AZ1533" s="82" t="s">
        <v>17385</v>
      </c>
      <c r="BA1533" s="82" t="s">
        <v>17385</v>
      </c>
      <c r="BB1533" s="82" t="s">
        <v>17385</v>
      </c>
      <c r="BC1533" s="82" t="s">
        <v>14626</v>
      </c>
      <c r="BD1533" s="82" t="s">
        <v>17582</v>
      </c>
      <c r="BE1533" s="77"/>
      <c r="BF1533" s="77"/>
      <c r="BG1533" s="77"/>
      <c r="BH1533" s="77"/>
      <c r="BI1533" s="77"/>
    </row>
    <row r="1534" spans="1:61" x14ac:dyDescent="0.25">
      <c r="A1534" s="62" t="s">
        <v>492</v>
      </c>
      <c r="B1534" s="62" t="s">
        <v>492</v>
      </c>
      <c r="C1534" s="63"/>
      <c r="D1534" s="64"/>
      <c r="E1534" s="65"/>
      <c r="F1534" s="66"/>
      <c r="G1534" s="63"/>
      <c r="H1534" s="67"/>
      <c r="I1534" s="68"/>
      <c r="J1534" s="68"/>
      <c r="K1534" s="32"/>
      <c r="L1534" s="75">
        <v>1534</v>
      </c>
      <c r="M1534" s="75"/>
      <c r="N1534" s="70"/>
      <c r="O1534" s="77" t="s">
        <v>179</v>
      </c>
      <c r="P1534" s="79">
        <v>45163.410925925928</v>
      </c>
      <c r="Q1534" s="77" t="s">
        <v>2322</v>
      </c>
      <c r="R1534" s="77">
        <v>0</v>
      </c>
      <c r="S1534" s="77">
        <v>0</v>
      </c>
      <c r="T1534" s="77">
        <v>0</v>
      </c>
      <c r="U1534" s="77">
        <v>0</v>
      </c>
      <c r="V1534" s="77">
        <v>19</v>
      </c>
      <c r="W1534" s="82" t="s">
        <v>5769</v>
      </c>
      <c r="X1534" s="77"/>
      <c r="Y1534" s="77"/>
      <c r="Z1534" s="77"/>
      <c r="AA1534" s="77" t="s">
        <v>7785</v>
      </c>
      <c r="AB1534" s="77" t="s">
        <v>8225</v>
      </c>
      <c r="AC1534" s="82" t="s">
        <v>8233</v>
      </c>
      <c r="AD1534" s="77" t="s">
        <v>8280</v>
      </c>
      <c r="AE1534" s="80" t="str">
        <f>HYPERLINK("https://twitter.com/flaviosouza2810/status/1695011065078161425")</f>
        <v>https://twitter.com/flaviosouza2810/status/1695011065078161425</v>
      </c>
      <c r="AF1534" s="79">
        <v>45163.410925925928</v>
      </c>
      <c r="AG1534" s="85">
        <v>45163</v>
      </c>
      <c r="AH1534" s="82" t="s">
        <v>9674</v>
      </c>
      <c r="AI1534" s="77" t="b">
        <v>0</v>
      </c>
      <c r="AJ1534" s="77"/>
      <c r="AK1534" s="77"/>
      <c r="AL1534" s="77"/>
      <c r="AM1534" s="77"/>
      <c r="AN1534" s="77"/>
      <c r="AO1534" s="77"/>
      <c r="AP1534" s="77"/>
      <c r="AQ1534" s="77" t="s">
        <v>12670</v>
      </c>
      <c r="AR1534" s="77"/>
      <c r="AS1534" s="77"/>
      <c r="AT1534" s="77"/>
      <c r="AU1534" s="77"/>
      <c r="AV1534" s="80" t="str">
        <f>HYPERLINK("https://pbs.twimg.com/media/F4XjlEyXEAAthuf.jpg")</f>
        <v>https://pbs.twimg.com/media/F4XjlEyXEAAthuf.jpg</v>
      </c>
      <c r="AW1534" s="82" t="s">
        <v>14627</v>
      </c>
      <c r="AX1534" s="82" t="s">
        <v>14627</v>
      </c>
      <c r="AY1534" s="77"/>
      <c r="AZ1534" s="82" t="s">
        <v>17385</v>
      </c>
      <c r="BA1534" s="82" t="s">
        <v>17385</v>
      </c>
      <c r="BB1534" s="82" t="s">
        <v>17385</v>
      </c>
      <c r="BC1534" s="82" t="s">
        <v>14627</v>
      </c>
      <c r="BD1534" s="82" t="s">
        <v>17582</v>
      </c>
      <c r="BE1534" s="77"/>
      <c r="BF1534" s="77"/>
      <c r="BG1534" s="77"/>
      <c r="BH1534" s="77"/>
      <c r="BI1534" s="77"/>
    </row>
    <row r="1535" spans="1:61" x14ac:dyDescent="0.25">
      <c r="A1535" s="62" t="s">
        <v>492</v>
      </c>
      <c r="B1535" s="62" t="s">
        <v>492</v>
      </c>
      <c r="C1535" s="63"/>
      <c r="D1535" s="64"/>
      <c r="E1535" s="65"/>
      <c r="F1535" s="66"/>
      <c r="G1535" s="63"/>
      <c r="H1535" s="67"/>
      <c r="I1535" s="68"/>
      <c r="J1535" s="68"/>
      <c r="K1535" s="32"/>
      <c r="L1535" s="75">
        <v>1535</v>
      </c>
      <c r="M1535" s="75"/>
      <c r="N1535" s="70"/>
      <c r="O1535" s="77" t="s">
        <v>179</v>
      </c>
      <c r="P1535" s="79">
        <v>45163.41065972222</v>
      </c>
      <c r="Q1535" s="77" t="s">
        <v>2323</v>
      </c>
      <c r="R1535" s="77">
        <v>0</v>
      </c>
      <c r="S1535" s="77">
        <v>0</v>
      </c>
      <c r="T1535" s="77">
        <v>0</v>
      </c>
      <c r="U1535" s="77">
        <v>0</v>
      </c>
      <c r="V1535" s="77">
        <v>16</v>
      </c>
      <c r="W1535" s="82" t="s">
        <v>5769</v>
      </c>
      <c r="X1535" s="77"/>
      <c r="Y1535" s="77"/>
      <c r="Z1535" s="77"/>
      <c r="AA1535" s="77" t="s">
        <v>7786</v>
      </c>
      <c r="AB1535" s="77" t="s">
        <v>8225</v>
      </c>
      <c r="AC1535" s="82" t="s">
        <v>8233</v>
      </c>
      <c r="AD1535" s="77" t="s">
        <v>8280</v>
      </c>
      <c r="AE1535" s="80" t="str">
        <f>HYPERLINK("https://twitter.com/flaviosouza2810/status/1695010969745863088")</f>
        <v>https://twitter.com/flaviosouza2810/status/1695010969745863088</v>
      </c>
      <c r="AF1535" s="79">
        <v>45163.41065972222</v>
      </c>
      <c r="AG1535" s="85">
        <v>45163</v>
      </c>
      <c r="AH1535" s="82" t="s">
        <v>9675</v>
      </c>
      <c r="AI1535" s="77" t="b">
        <v>0</v>
      </c>
      <c r="AJ1535" s="77"/>
      <c r="AK1535" s="77"/>
      <c r="AL1535" s="77"/>
      <c r="AM1535" s="77"/>
      <c r="AN1535" s="77"/>
      <c r="AO1535" s="77"/>
      <c r="AP1535" s="77"/>
      <c r="AQ1535" s="77" t="s">
        <v>12671</v>
      </c>
      <c r="AR1535" s="77"/>
      <c r="AS1535" s="77"/>
      <c r="AT1535" s="77"/>
      <c r="AU1535" s="77"/>
      <c r="AV1535" s="80" t="str">
        <f>HYPERLINK("https://pbs.twimg.com/media/F4XjfcXXUAAZihk.jpg")</f>
        <v>https://pbs.twimg.com/media/F4XjfcXXUAAZihk.jpg</v>
      </c>
      <c r="AW1535" s="82" t="s">
        <v>14628</v>
      </c>
      <c r="AX1535" s="82" t="s">
        <v>14628</v>
      </c>
      <c r="AY1535" s="77"/>
      <c r="AZ1535" s="82" t="s">
        <v>17385</v>
      </c>
      <c r="BA1535" s="82" t="s">
        <v>17385</v>
      </c>
      <c r="BB1535" s="82" t="s">
        <v>17385</v>
      </c>
      <c r="BC1535" s="82" t="s">
        <v>14628</v>
      </c>
      <c r="BD1535" s="82" t="s">
        <v>17582</v>
      </c>
      <c r="BE1535" s="77"/>
      <c r="BF1535" s="77"/>
      <c r="BG1535" s="77"/>
      <c r="BH1535" s="77"/>
      <c r="BI1535" s="77"/>
    </row>
    <row r="1536" spans="1:61" x14ac:dyDescent="0.25">
      <c r="A1536" s="62" t="s">
        <v>492</v>
      </c>
      <c r="B1536" s="62" t="s">
        <v>492</v>
      </c>
      <c r="C1536" s="63"/>
      <c r="D1536" s="64"/>
      <c r="E1536" s="65"/>
      <c r="F1536" s="66"/>
      <c r="G1536" s="63"/>
      <c r="H1536" s="67"/>
      <c r="I1536" s="68"/>
      <c r="J1536" s="68"/>
      <c r="K1536" s="32"/>
      <c r="L1536" s="75">
        <v>1536</v>
      </c>
      <c r="M1536" s="75"/>
      <c r="N1536" s="70"/>
      <c r="O1536" s="77" t="s">
        <v>179</v>
      </c>
      <c r="P1536" s="79">
        <v>45163.410439814812</v>
      </c>
      <c r="Q1536" s="77" t="s">
        <v>2324</v>
      </c>
      <c r="R1536" s="77">
        <v>0</v>
      </c>
      <c r="S1536" s="77">
        <v>0</v>
      </c>
      <c r="T1536" s="77">
        <v>0</v>
      </c>
      <c r="U1536" s="77">
        <v>0</v>
      </c>
      <c r="V1536" s="77">
        <v>13</v>
      </c>
      <c r="W1536" s="82" t="s">
        <v>5769</v>
      </c>
      <c r="X1536" s="77"/>
      <c r="Y1536" s="77"/>
      <c r="Z1536" s="77"/>
      <c r="AA1536" s="77" t="s">
        <v>7787</v>
      </c>
      <c r="AB1536" s="77" t="s">
        <v>8225</v>
      </c>
      <c r="AC1536" s="82" t="s">
        <v>8233</v>
      </c>
      <c r="AD1536" s="77" t="s">
        <v>8280</v>
      </c>
      <c r="AE1536" s="80" t="str">
        <f>HYPERLINK("https://twitter.com/flaviosouza2810/status/1695010889793933796")</f>
        <v>https://twitter.com/flaviosouza2810/status/1695010889793933796</v>
      </c>
      <c r="AF1536" s="79">
        <v>45163.410439814812</v>
      </c>
      <c r="AG1536" s="85">
        <v>45163</v>
      </c>
      <c r="AH1536" s="82" t="s">
        <v>9676</v>
      </c>
      <c r="AI1536" s="77" t="b">
        <v>0</v>
      </c>
      <c r="AJ1536" s="77"/>
      <c r="AK1536" s="77"/>
      <c r="AL1536" s="77"/>
      <c r="AM1536" s="77"/>
      <c r="AN1536" s="77"/>
      <c r="AO1536" s="77"/>
      <c r="AP1536" s="77"/>
      <c r="AQ1536" s="77" t="s">
        <v>12672</v>
      </c>
      <c r="AR1536" s="77"/>
      <c r="AS1536" s="77"/>
      <c r="AT1536" s="77"/>
      <c r="AU1536" s="77"/>
      <c r="AV1536" s="80" t="str">
        <f>HYPERLINK("https://pbs.twimg.com/media/F4Xja4JWAAA5Sgg.jpg")</f>
        <v>https://pbs.twimg.com/media/F4Xja4JWAAA5Sgg.jpg</v>
      </c>
      <c r="AW1536" s="82" t="s">
        <v>14629</v>
      </c>
      <c r="AX1536" s="82" t="s">
        <v>14629</v>
      </c>
      <c r="AY1536" s="77"/>
      <c r="AZ1536" s="82" t="s">
        <v>17385</v>
      </c>
      <c r="BA1536" s="82" t="s">
        <v>17385</v>
      </c>
      <c r="BB1536" s="82" t="s">
        <v>17385</v>
      </c>
      <c r="BC1536" s="82" t="s">
        <v>14629</v>
      </c>
      <c r="BD1536" s="82" t="s">
        <v>17582</v>
      </c>
      <c r="BE1536" s="77"/>
      <c r="BF1536" s="77"/>
      <c r="BG1536" s="77"/>
      <c r="BH1536" s="77"/>
      <c r="BI1536" s="77"/>
    </row>
    <row r="1537" spans="1:61" x14ac:dyDescent="0.25">
      <c r="A1537" s="62" t="s">
        <v>492</v>
      </c>
      <c r="B1537" s="62" t="s">
        <v>492</v>
      </c>
      <c r="C1537" s="63"/>
      <c r="D1537" s="64"/>
      <c r="E1537" s="65"/>
      <c r="F1537" s="66"/>
      <c r="G1537" s="63"/>
      <c r="H1537" s="67"/>
      <c r="I1537" s="68"/>
      <c r="J1537" s="68"/>
      <c r="K1537" s="32"/>
      <c r="L1537" s="75">
        <v>1537</v>
      </c>
      <c r="M1537" s="75"/>
      <c r="N1537" s="70"/>
      <c r="O1537" s="77" t="s">
        <v>179</v>
      </c>
      <c r="P1537" s="79">
        <v>45162.874120370368</v>
      </c>
      <c r="Q1537" s="77" t="s">
        <v>2325</v>
      </c>
      <c r="R1537" s="77">
        <v>0</v>
      </c>
      <c r="S1537" s="77">
        <v>0</v>
      </c>
      <c r="T1537" s="77">
        <v>0</v>
      </c>
      <c r="U1537" s="77">
        <v>0</v>
      </c>
      <c r="V1537" s="77">
        <v>30</v>
      </c>
      <c r="W1537" s="82" t="s">
        <v>5768</v>
      </c>
      <c r="X1537" s="77"/>
      <c r="Y1537" s="77"/>
      <c r="Z1537" s="77"/>
      <c r="AA1537" s="77" t="s">
        <v>7788</v>
      </c>
      <c r="AB1537" s="77" t="s">
        <v>8225</v>
      </c>
      <c r="AC1537" s="82" t="s">
        <v>8233</v>
      </c>
      <c r="AD1537" s="77" t="s">
        <v>8280</v>
      </c>
      <c r="AE1537" s="80" t="str">
        <f>HYPERLINK("https://twitter.com/flaviosouza2810/status/1694816532017135658")</f>
        <v>https://twitter.com/flaviosouza2810/status/1694816532017135658</v>
      </c>
      <c r="AF1537" s="79">
        <v>45162.874120370368</v>
      </c>
      <c r="AG1537" s="85">
        <v>45162</v>
      </c>
      <c r="AH1537" s="82" t="s">
        <v>9677</v>
      </c>
      <c r="AI1537" s="77" t="b">
        <v>0</v>
      </c>
      <c r="AJ1537" s="77"/>
      <c r="AK1537" s="77"/>
      <c r="AL1537" s="77"/>
      <c r="AM1537" s="77"/>
      <c r="AN1537" s="77"/>
      <c r="AO1537" s="77"/>
      <c r="AP1537" s="77"/>
      <c r="AQ1537" s="77" t="s">
        <v>12673</v>
      </c>
      <c r="AR1537" s="77"/>
      <c r="AS1537" s="77"/>
      <c r="AT1537" s="77"/>
      <c r="AU1537" s="77"/>
      <c r="AV1537" s="80" t="str">
        <f>HYPERLINK("https://pbs.twimg.com/media/F4UypLbXIAA8rBa.jpg")</f>
        <v>https://pbs.twimg.com/media/F4UypLbXIAA8rBa.jpg</v>
      </c>
      <c r="AW1537" s="82" t="s">
        <v>14630</v>
      </c>
      <c r="AX1537" s="82" t="s">
        <v>14630</v>
      </c>
      <c r="AY1537" s="77"/>
      <c r="AZ1537" s="82" t="s">
        <v>17385</v>
      </c>
      <c r="BA1537" s="82" t="s">
        <v>17385</v>
      </c>
      <c r="BB1537" s="82" t="s">
        <v>17385</v>
      </c>
      <c r="BC1537" s="82" t="s">
        <v>14630</v>
      </c>
      <c r="BD1537" s="82" t="s">
        <v>17582</v>
      </c>
      <c r="BE1537" s="77"/>
      <c r="BF1537" s="77"/>
      <c r="BG1537" s="77"/>
      <c r="BH1537" s="77"/>
      <c r="BI1537" s="77"/>
    </row>
    <row r="1538" spans="1:61" x14ac:dyDescent="0.25">
      <c r="A1538" s="62" t="s">
        <v>492</v>
      </c>
      <c r="B1538" s="62" t="s">
        <v>492</v>
      </c>
      <c r="C1538" s="63"/>
      <c r="D1538" s="64"/>
      <c r="E1538" s="65"/>
      <c r="F1538" s="66"/>
      <c r="G1538" s="63"/>
      <c r="H1538" s="67"/>
      <c r="I1538" s="68"/>
      <c r="J1538" s="68"/>
      <c r="K1538" s="32"/>
      <c r="L1538" s="75">
        <v>1538</v>
      </c>
      <c r="M1538" s="75"/>
      <c r="N1538" s="70"/>
      <c r="O1538" s="77" t="s">
        <v>179</v>
      </c>
      <c r="P1538" s="79">
        <v>45162.411400462966</v>
      </c>
      <c r="Q1538" s="77" t="s">
        <v>2326</v>
      </c>
      <c r="R1538" s="77">
        <v>0</v>
      </c>
      <c r="S1538" s="77">
        <v>0</v>
      </c>
      <c r="T1538" s="77">
        <v>0</v>
      </c>
      <c r="U1538" s="77">
        <v>0</v>
      </c>
      <c r="V1538" s="77">
        <v>25</v>
      </c>
      <c r="W1538" s="82" t="s">
        <v>5768</v>
      </c>
      <c r="X1538" s="77"/>
      <c r="Y1538" s="77"/>
      <c r="Z1538" s="77"/>
      <c r="AA1538" s="77" t="s">
        <v>7789</v>
      </c>
      <c r="AB1538" s="77" t="s">
        <v>8225</v>
      </c>
      <c r="AC1538" s="82" t="s">
        <v>8233</v>
      </c>
      <c r="AD1538" s="77" t="s">
        <v>8280</v>
      </c>
      <c r="AE1538" s="80" t="str">
        <f>HYPERLINK("https://twitter.com/flaviosouza2810/status/1694648851142001086")</f>
        <v>https://twitter.com/flaviosouza2810/status/1694648851142001086</v>
      </c>
      <c r="AF1538" s="79">
        <v>45162.411400462966</v>
      </c>
      <c r="AG1538" s="85">
        <v>45162</v>
      </c>
      <c r="AH1538" s="82" t="s">
        <v>9678</v>
      </c>
      <c r="AI1538" s="77" t="b">
        <v>0</v>
      </c>
      <c r="AJ1538" s="77"/>
      <c r="AK1538" s="77"/>
      <c r="AL1538" s="77"/>
      <c r="AM1538" s="77"/>
      <c r="AN1538" s="77"/>
      <c r="AO1538" s="77"/>
      <c r="AP1538" s="77"/>
      <c r="AQ1538" s="77" t="s">
        <v>12674</v>
      </c>
      <c r="AR1538" s="77"/>
      <c r="AS1538" s="77"/>
      <c r="AT1538" s="77"/>
      <c r="AU1538" s="77"/>
      <c r="AV1538" s="80" t="str">
        <f>HYPERLINK("https://pbs.twimg.com/media/F4SaJd0WAAAZRP3.jpg")</f>
        <v>https://pbs.twimg.com/media/F4SaJd0WAAAZRP3.jpg</v>
      </c>
      <c r="AW1538" s="82" t="s">
        <v>14631</v>
      </c>
      <c r="AX1538" s="82" t="s">
        <v>14631</v>
      </c>
      <c r="AY1538" s="77"/>
      <c r="AZ1538" s="82" t="s">
        <v>17385</v>
      </c>
      <c r="BA1538" s="82" t="s">
        <v>17385</v>
      </c>
      <c r="BB1538" s="82" t="s">
        <v>17385</v>
      </c>
      <c r="BC1538" s="82" t="s">
        <v>14631</v>
      </c>
      <c r="BD1538" s="82" t="s">
        <v>17582</v>
      </c>
      <c r="BE1538" s="77"/>
      <c r="BF1538" s="77"/>
      <c r="BG1538" s="77"/>
      <c r="BH1538" s="77"/>
      <c r="BI1538" s="77"/>
    </row>
    <row r="1539" spans="1:61" x14ac:dyDescent="0.25">
      <c r="A1539" s="62" t="s">
        <v>492</v>
      </c>
      <c r="B1539" s="62" t="s">
        <v>492</v>
      </c>
      <c r="C1539" s="63"/>
      <c r="D1539" s="64"/>
      <c r="E1539" s="65"/>
      <c r="F1539" s="66"/>
      <c r="G1539" s="63"/>
      <c r="H1539" s="67"/>
      <c r="I1539" s="68"/>
      <c r="J1539" s="68"/>
      <c r="K1539" s="32"/>
      <c r="L1539" s="75">
        <v>1539</v>
      </c>
      <c r="M1539" s="75"/>
      <c r="N1539" s="70"/>
      <c r="O1539" s="77" t="s">
        <v>179</v>
      </c>
      <c r="P1539" s="79">
        <v>45162.410879629628</v>
      </c>
      <c r="Q1539" s="77" t="s">
        <v>2327</v>
      </c>
      <c r="R1539" s="77">
        <v>0</v>
      </c>
      <c r="S1539" s="77">
        <v>0</v>
      </c>
      <c r="T1539" s="77">
        <v>0</v>
      </c>
      <c r="U1539" s="77">
        <v>0</v>
      </c>
      <c r="V1539" s="77">
        <v>14</v>
      </c>
      <c r="W1539" s="82" t="s">
        <v>5769</v>
      </c>
      <c r="X1539" s="77"/>
      <c r="Y1539" s="77"/>
      <c r="Z1539" s="77"/>
      <c r="AA1539" s="77" t="s">
        <v>7790</v>
      </c>
      <c r="AB1539" s="77" t="s">
        <v>8225</v>
      </c>
      <c r="AC1539" s="82" t="s">
        <v>8233</v>
      </c>
      <c r="AD1539" s="77" t="s">
        <v>8280</v>
      </c>
      <c r="AE1539" s="80" t="str">
        <f>HYPERLINK("https://twitter.com/flaviosouza2810/status/1694648662775779631")</f>
        <v>https://twitter.com/flaviosouza2810/status/1694648662775779631</v>
      </c>
      <c r="AF1539" s="79">
        <v>45162.410879629628</v>
      </c>
      <c r="AG1539" s="85">
        <v>45162</v>
      </c>
      <c r="AH1539" s="82" t="s">
        <v>9679</v>
      </c>
      <c r="AI1539" s="77" t="b">
        <v>0</v>
      </c>
      <c r="AJ1539" s="77"/>
      <c r="AK1539" s="77"/>
      <c r="AL1539" s="77"/>
      <c r="AM1539" s="77"/>
      <c r="AN1539" s="77"/>
      <c r="AO1539" s="77"/>
      <c r="AP1539" s="77"/>
      <c r="AQ1539" s="77" t="s">
        <v>12675</v>
      </c>
      <c r="AR1539" s="77"/>
      <c r="AS1539" s="77"/>
      <c r="AT1539" s="77"/>
      <c r="AU1539" s="77"/>
      <c r="AV1539" s="80" t="str">
        <f>HYPERLINK("https://pbs.twimg.com/media/F4SZ-eIXsAEnhQu.jpg")</f>
        <v>https://pbs.twimg.com/media/F4SZ-eIXsAEnhQu.jpg</v>
      </c>
      <c r="AW1539" s="82" t="s">
        <v>14632</v>
      </c>
      <c r="AX1539" s="82" t="s">
        <v>14632</v>
      </c>
      <c r="AY1539" s="77"/>
      <c r="AZ1539" s="82" t="s">
        <v>17385</v>
      </c>
      <c r="BA1539" s="82" t="s">
        <v>17385</v>
      </c>
      <c r="BB1539" s="82" t="s">
        <v>17385</v>
      </c>
      <c r="BC1539" s="82" t="s">
        <v>14632</v>
      </c>
      <c r="BD1539" s="82" t="s">
        <v>17582</v>
      </c>
      <c r="BE1539" s="77"/>
      <c r="BF1539" s="77"/>
      <c r="BG1539" s="77"/>
      <c r="BH1539" s="77"/>
      <c r="BI1539" s="77"/>
    </row>
    <row r="1540" spans="1:61" x14ac:dyDescent="0.25">
      <c r="A1540" s="62" t="s">
        <v>492</v>
      </c>
      <c r="B1540" s="62" t="s">
        <v>492</v>
      </c>
      <c r="C1540" s="63"/>
      <c r="D1540" s="64"/>
      <c r="E1540" s="65"/>
      <c r="F1540" s="66"/>
      <c r="G1540" s="63"/>
      <c r="H1540" s="67"/>
      <c r="I1540" s="68"/>
      <c r="J1540" s="68"/>
      <c r="K1540" s="32"/>
      <c r="L1540" s="75">
        <v>1540</v>
      </c>
      <c r="M1540" s="75"/>
      <c r="N1540" s="70"/>
      <c r="O1540" s="77" t="s">
        <v>179</v>
      </c>
      <c r="P1540" s="79">
        <v>45155.415370370371</v>
      </c>
      <c r="Q1540" s="77" t="s">
        <v>2328</v>
      </c>
      <c r="R1540" s="77">
        <v>0</v>
      </c>
      <c r="S1540" s="77">
        <v>0</v>
      </c>
      <c r="T1540" s="77">
        <v>0</v>
      </c>
      <c r="U1540" s="77">
        <v>0</v>
      </c>
      <c r="V1540" s="77">
        <v>5</v>
      </c>
      <c r="W1540" s="82" t="s">
        <v>5769</v>
      </c>
      <c r="X1540" s="77"/>
      <c r="Y1540" s="77"/>
      <c r="Z1540" s="77"/>
      <c r="AA1540" s="77" t="s">
        <v>7791</v>
      </c>
      <c r="AB1540" s="77" t="s">
        <v>8225</v>
      </c>
      <c r="AC1540" s="82" t="s">
        <v>8233</v>
      </c>
      <c r="AD1540" s="77" t="s">
        <v>8280</v>
      </c>
      <c r="AE1540" s="80" t="str">
        <f>HYPERLINK("https://twitter.com/flaviosouza2810/status/1692113573638443198")</f>
        <v>https://twitter.com/flaviosouza2810/status/1692113573638443198</v>
      </c>
      <c r="AF1540" s="79">
        <v>45155.415370370371</v>
      </c>
      <c r="AG1540" s="85">
        <v>45155</v>
      </c>
      <c r="AH1540" s="82" t="s">
        <v>9680</v>
      </c>
      <c r="AI1540" s="77" t="b">
        <v>0</v>
      </c>
      <c r="AJ1540" s="77"/>
      <c r="AK1540" s="77"/>
      <c r="AL1540" s="77"/>
      <c r="AM1540" s="77"/>
      <c r="AN1540" s="77"/>
      <c r="AO1540" s="77"/>
      <c r="AP1540" s="77"/>
      <c r="AQ1540" s="77" t="s">
        <v>12676</v>
      </c>
      <c r="AR1540" s="77"/>
      <c r="AS1540" s="77"/>
      <c r="AT1540" s="77"/>
      <c r="AU1540" s="77"/>
      <c r="AV1540" s="80" t="str">
        <f>HYPERLINK("https://pbs.twimg.com/media/F3uYU17WoAIByY5.jpg")</f>
        <v>https://pbs.twimg.com/media/F3uYU17WoAIByY5.jpg</v>
      </c>
      <c r="AW1540" s="82" t="s">
        <v>14633</v>
      </c>
      <c r="AX1540" s="82" t="s">
        <v>14633</v>
      </c>
      <c r="AY1540" s="77"/>
      <c r="AZ1540" s="82" t="s">
        <v>17385</v>
      </c>
      <c r="BA1540" s="82" t="s">
        <v>17385</v>
      </c>
      <c r="BB1540" s="82" t="s">
        <v>17385</v>
      </c>
      <c r="BC1540" s="82" t="s">
        <v>14633</v>
      </c>
      <c r="BD1540" s="82" t="s">
        <v>17582</v>
      </c>
      <c r="BE1540" s="77"/>
      <c r="BF1540" s="77"/>
      <c r="BG1540" s="77"/>
      <c r="BH1540" s="77"/>
      <c r="BI1540" s="77"/>
    </row>
    <row r="1541" spans="1:61" x14ac:dyDescent="0.25">
      <c r="A1541" s="62" t="s">
        <v>492</v>
      </c>
      <c r="B1541" s="62" t="s">
        <v>492</v>
      </c>
      <c r="C1541" s="63"/>
      <c r="D1541" s="64"/>
      <c r="E1541" s="65"/>
      <c r="F1541" s="66"/>
      <c r="G1541" s="63"/>
      <c r="H1541" s="67"/>
      <c r="I1541" s="68"/>
      <c r="J1541" s="68"/>
      <c r="K1541" s="32"/>
      <c r="L1541" s="75">
        <v>1541</v>
      </c>
      <c r="M1541" s="75"/>
      <c r="N1541" s="70"/>
      <c r="O1541" s="77" t="s">
        <v>179</v>
      </c>
      <c r="P1541" s="79">
        <v>45155.414837962962</v>
      </c>
      <c r="Q1541" s="77" t="s">
        <v>2329</v>
      </c>
      <c r="R1541" s="77">
        <v>0</v>
      </c>
      <c r="S1541" s="77">
        <v>0</v>
      </c>
      <c r="T1541" s="77">
        <v>0</v>
      </c>
      <c r="U1541" s="77">
        <v>0</v>
      </c>
      <c r="V1541" s="77">
        <v>5</v>
      </c>
      <c r="W1541" s="82" t="s">
        <v>5769</v>
      </c>
      <c r="X1541" s="77"/>
      <c r="Y1541" s="77"/>
      <c r="Z1541" s="77"/>
      <c r="AA1541" s="77" t="s">
        <v>7792</v>
      </c>
      <c r="AB1541" s="77" t="s">
        <v>8225</v>
      </c>
      <c r="AC1541" s="82" t="s">
        <v>8233</v>
      </c>
      <c r="AD1541" s="77" t="s">
        <v>8280</v>
      </c>
      <c r="AE1541" s="80" t="str">
        <f>HYPERLINK("https://twitter.com/flaviosouza2810/status/1692113379492573447")</f>
        <v>https://twitter.com/flaviosouza2810/status/1692113379492573447</v>
      </c>
      <c r="AF1541" s="79">
        <v>45155.414837962962</v>
      </c>
      <c r="AG1541" s="85">
        <v>45155</v>
      </c>
      <c r="AH1541" s="82" t="s">
        <v>9681</v>
      </c>
      <c r="AI1541" s="77" t="b">
        <v>0</v>
      </c>
      <c r="AJ1541" s="77"/>
      <c r="AK1541" s="77"/>
      <c r="AL1541" s="77"/>
      <c r="AM1541" s="77"/>
      <c r="AN1541" s="77"/>
      <c r="AO1541" s="77"/>
      <c r="AP1541" s="77"/>
      <c r="AQ1541" s="77" t="s">
        <v>12677</v>
      </c>
      <c r="AR1541" s="77"/>
      <c r="AS1541" s="77"/>
      <c r="AT1541" s="77"/>
      <c r="AU1541" s="77"/>
      <c r="AV1541" s="80" t="str">
        <f>HYPERLINK("https://pbs.twimg.com/media/F3uYJoOW8AIN3xn.jpg")</f>
        <v>https://pbs.twimg.com/media/F3uYJoOW8AIN3xn.jpg</v>
      </c>
      <c r="AW1541" s="82" t="s">
        <v>14634</v>
      </c>
      <c r="AX1541" s="82" t="s">
        <v>14634</v>
      </c>
      <c r="AY1541" s="77"/>
      <c r="AZ1541" s="82" t="s">
        <v>17385</v>
      </c>
      <c r="BA1541" s="82" t="s">
        <v>17385</v>
      </c>
      <c r="BB1541" s="82" t="s">
        <v>17385</v>
      </c>
      <c r="BC1541" s="82" t="s">
        <v>14634</v>
      </c>
      <c r="BD1541" s="82" t="s">
        <v>17582</v>
      </c>
      <c r="BE1541" s="77"/>
      <c r="BF1541" s="77"/>
      <c r="BG1541" s="77"/>
      <c r="BH1541" s="77"/>
      <c r="BI1541" s="77"/>
    </row>
    <row r="1542" spans="1:61" x14ac:dyDescent="0.25">
      <c r="A1542" s="62" t="s">
        <v>492</v>
      </c>
      <c r="B1542" s="62" t="s">
        <v>492</v>
      </c>
      <c r="C1542" s="63"/>
      <c r="D1542" s="64"/>
      <c r="E1542" s="65"/>
      <c r="F1542" s="66"/>
      <c r="G1542" s="63"/>
      <c r="H1542" s="67"/>
      <c r="I1542" s="68"/>
      <c r="J1542" s="68"/>
      <c r="K1542" s="32"/>
      <c r="L1542" s="75">
        <v>1542</v>
      </c>
      <c r="M1542" s="75"/>
      <c r="N1542" s="70"/>
      <c r="O1542" s="77" t="s">
        <v>179</v>
      </c>
      <c r="P1542" s="79">
        <v>45155.414444444446</v>
      </c>
      <c r="Q1542" s="77" t="s">
        <v>2330</v>
      </c>
      <c r="R1542" s="77">
        <v>0</v>
      </c>
      <c r="S1542" s="77">
        <v>0</v>
      </c>
      <c r="T1542" s="77">
        <v>0</v>
      </c>
      <c r="U1542" s="77">
        <v>0</v>
      </c>
      <c r="V1542" s="77">
        <v>5</v>
      </c>
      <c r="W1542" s="82" t="s">
        <v>5768</v>
      </c>
      <c r="X1542" s="77"/>
      <c r="Y1542" s="77"/>
      <c r="Z1542" s="77"/>
      <c r="AA1542" s="77" t="s">
        <v>7793</v>
      </c>
      <c r="AB1542" s="77" t="s">
        <v>8225</v>
      </c>
      <c r="AC1542" s="82" t="s">
        <v>8233</v>
      </c>
      <c r="AD1542" s="77" t="s">
        <v>8280</v>
      </c>
      <c r="AE1542" s="80" t="str">
        <f>HYPERLINK("https://twitter.com/flaviosouza2810/status/1692113238224142547")</f>
        <v>https://twitter.com/flaviosouza2810/status/1692113238224142547</v>
      </c>
      <c r="AF1542" s="79">
        <v>45155.414444444446</v>
      </c>
      <c r="AG1542" s="85">
        <v>45155</v>
      </c>
      <c r="AH1542" s="82" t="s">
        <v>9682</v>
      </c>
      <c r="AI1542" s="77" t="b">
        <v>0</v>
      </c>
      <c r="AJ1542" s="77"/>
      <c r="AK1542" s="77"/>
      <c r="AL1542" s="77"/>
      <c r="AM1542" s="77"/>
      <c r="AN1542" s="77"/>
      <c r="AO1542" s="77"/>
      <c r="AP1542" s="77"/>
      <c r="AQ1542" s="77" t="s">
        <v>12678</v>
      </c>
      <c r="AR1542" s="77"/>
      <c r="AS1542" s="77"/>
      <c r="AT1542" s="77"/>
      <c r="AU1542" s="77"/>
      <c r="AV1542" s="80" t="str">
        <f>HYPERLINK("https://pbs.twimg.com/media/F3uYBWhXMAMuMtZ.jpg")</f>
        <v>https://pbs.twimg.com/media/F3uYBWhXMAMuMtZ.jpg</v>
      </c>
      <c r="AW1542" s="82" t="s">
        <v>14635</v>
      </c>
      <c r="AX1542" s="82" t="s">
        <v>14635</v>
      </c>
      <c r="AY1542" s="77"/>
      <c r="AZ1542" s="82" t="s">
        <v>17385</v>
      </c>
      <c r="BA1542" s="82" t="s">
        <v>17385</v>
      </c>
      <c r="BB1542" s="82" t="s">
        <v>17385</v>
      </c>
      <c r="BC1542" s="82" t="s">
        <v>14635</v>
      </c>
      <c r="BD1542" s="82" t="s">
        <v>17582</v>
      </c>
      <c r="BE1542" s="77"/>
      <c r="BF1542" s="77"/>
      <c r="BG1542" s="77"/>
      <c r="BH1542" s="77"/>
      <c r="BI1542" s="77"/>
    </row>
    <row r="1543" spans="1:61" x14ac:dyDescent="0.25">
      <c r="A1543" s="62" t="s">
        <v>492</v>
      </c>
      <c r="B1543" s="62" t="s">
        <v>492</v>
      </c>
      <c r="C1543" s="63"/>
      <c r="D1543" s="64"/>
      <c r="E1543" s="65"/>
      <c r="F1543" s="66"/>
      <c r="G1543" s="63"/>
      <c r="H1543" s="67"/>
      <c r="I1543" s="68"/>
      <c r="J1543" s="68"/>
      <c r="K1543" s="32"/>
      <c r="L1543" s="75">
        <v>1543</v>
      </c>
      <c r="M1543" s="75"/>
      <c r="N1543" s="70"/>
      <c r="O1543" s="77" t="s">
        <v>179</v>
      </c>
      <c r="P1543" s="79">
        <v>45154.884120370371</v>
      </c>
      <c r="Q1543" s="77" t="s">
        <v>2331</v>
      </c>
      <c r="R1543" s="77">
        <v>0</v>
      </c>
      <c r="S1543" s="77">
        <v>0</v>
      </c>
      <c r="T1543" s="77">
        <v>0</v>
      </c>
      <c r="U1543" s="77">
        <v>0</v>
      </c>
      <c r="V1543" s="77">
        <v>5</v>
      </c>
      <c r="W1543" s="82" t="s">
        <v>5768</v>
      </c>
      <c r="X1543" s="77"/>
      <c r="Y1543" s="77"/>
      <c r="Z1543" s="77"/>
      <c r="AA1543" s="77" t="s">
        <v>7794</v>
      </c>
      <c r="AB1543" s="77" t="s">
        <v>8225</v>
      </c>
      <c r="AC1543" s="82" t="s">
        <v>8233</v>
      </c>
      <c r="AD1543" s="77" t="s">
        <v>8280</v>
      </c>
      <c r="AE1543" s="80" t="str">
        <f>HYPERLINK("https://twitter.com/flaviosouza2810/status/1691921055965757608")</f>
        <v>https://twitter.com/flaviosouza2810/status/1691921055965757608</v>
      </c>
      <c r="AF1543" s="79">
        <v>45154.884120370371</v>
      </c>
      <c r="AG1543" s="85">
        <v>45154</v>
      </c>
      <c r="AH1543" s="82" t="s">
        <v>9683</v>
      </c>
      <c r="AI1543" s="77" t="b">
        <v>0</v>
      </c>
      <c r="AJ1543" s="77"/>
      <c r="AK1543" s="77"/>
      <c r="AL1543" s="77"/>
      <c r="AM1543" s="77"/>
      <c r="AN1543" s="77"/>
      <c r="AO1543" s="77"/>
      <c r="AP1543" s="77"/>
      <c r="AQ1543" s="77" t="s">
        <v>12679</v>
      </c>
      <c r="AR1543" s="77"/>
      <c r="AS1543" s="77"/>
      <c r="AT1543" s="77"/>
      <c r="AU1543" s="77"/>
      <c r="AV1543" s="80" t="str">
        <f>HYPERLINK("https://pbs.twimg.com/media/F3rpOZnXwAAZ2Vy.jpg")</f>
        <v>https://pbs.twimg.com/media/F3rpOZnXwAAZ2Vy.jpg</v>
      </c>
      <c r="AW1543" s="82" t="s">
        <v>14636</v>
      </c>
      <c r="AX1543" s="82" t="s">
        <v>14636</v>
      </c>
      <c r="AY1543" s="77"/>
      <c r="AZ1543" s="82" t="s">
        <v>17385</v>
      </c>
      <c r="BA1543" s="82" t="s">
        <v>17385</v>
      </c>
      <c r="BB1543" s="82" t="s">
        <v>17385</v>
      </c>
      <c r="BC1543" s="82" t="s">
        <v>14636</v>
      </c>
      <c r="BD1543" s="82" t="s">
        <v>17582</v>
      </c>
      <c r="BE1543" s="77"/>
      <c r="BF1543" s="77"/>
      <c r="BG1543" s="77"/>
      <c r="BH1543" s="77"/>
      <c r="BI1543" s="77"/>
    </row>
    <row r="1544" spans="1:61" x14ac:dyDescent="0.25">
      <c r="A1544" s="62" t="s">
        <v>492</v>
      </c>
      <c r="B1544" s="62" t="s">
        <v>492</v>
      </c>
      <c r="C1544" s="63"/>
      <c r="D1544" s="64"/>
      <c r="E1544" s="65"/>
      <c r="F1544" s="66"/>
      <c r="G1544" s="63"/>
      <c r="H1544" s="67"/>
      <c r="I1544" s="68"/>
      <c r="J1544" s="68"/>
      <c r="K1544" s="32"/>
      <c r="L1544" s="75">
        <v>1544</v>
      </c>
      <c r="M1544" s="75"/>
      <c r="N1544" s="70"/>
      <c r="O1544" s="77" t="s">
        <v>179</v>
      </c>
      <c r="P1544" s="79">
        <v>45169.903425925928</v>
      </c>
      <c r="Q1544" s="77" t="s">
        <v>2332</v>
      </c>
      <c r="R1544" s="77">
        <v>0</v>
      </c>
      <c r="S1544" s="77">
        <v>0</v>
      </c>
      <c r="T1544" s="77">
        <v>0</v>
      </c>
      <c r="U1544" s="77">
        <v>0</v>
      </c>
      <c r="V1544" s="77">
        <v>19</v>
      </c>
      <c r="W1544" s="82" t="s">
        <v>5768</v>
      </c>
      <c r="X1544" s="77"/>
      <c r="Y1544" s="77"/>
      <c r="Z1544" s="77"/>
      <c r="AA1544" s="77" t="s">
        <v>7795</v>
      </c>
      <c r="AB1544" s="77" t="s">
        <v>8225</v>
      </c>
      <c r="AC1544" s="82" t="s">
        <v>8233</v>
      </c>
      <c r="AD1544" s="77" t="s">
        <v>8280</v>
      </c>
      <c r="AE1544" s="80" t="str">
        <f>HYPERLINK("https://twitter.com/flaviosouza2810/status/1697363867465081340")</f>
        <v>https://twitter.com/flaviosouza2810/status/1697363867465081340</v>
      </c>
      <c r="AF1544" s="79">
        <v>45169.903425925928</v>
      </c>
      <c r="AG1544" s="85">
        <v>45169</v>
      </c>
      <c r="AH1544" s="82" t="s">
        <v>9684</v>
      </c>
      <c r="AI1544" s="77" t="b">
        <v>0</v>
      </c>
      <c r="AJ1544" s="77"/>
      <c r="AK1544" s="77"/>
      <c r="AL1544" s="77"/>
      <c r="AM1544" s="77"/>
      <c r="AN1544" s="77"/>
      <c r="AO1544" s="77"/>
      <c r="AP1544" s="77"/>
      <c r="AQ1544" s="77" t="s">
        <v>12680</v>
      </c>
      <c r="AR1544" s="77"/>
      <c r="AS1544" s="77"/>
      <c r="AT1544" s="77"/>
      <c r="AU1544" s="77"/>
      <c r="AV1544" s="80" t="str">
        <f>HYPERLINK("https://pbs.twimg.com/media/F44_cFRXUAAVxvM.jpg")</f>
        <v>https://pbs.twimg.com/media/F44_cFRXUAAVxvM.jpg</v>
      </c>
      <c r="AW1544" s="82" t="s">
        <v>14637</v>
      </c>
      <c r="AX1544" s="82" t="s">
        <v>14637</v>
      </c>
      <c r="AY1544" s="77"/>
      <c r="AZ1544" s="82" t="s">
        <v>17385</v>
      </c>
      <c r="BA1544" s="82" t="s">
        <v>17385</v>
      </c>
      <c r="BB1544" s="82" t="s">
        <v>17385</v>
      </c>
      <c r="BC1544" s="82" t="s">
        <v>14637</v>
      </c>
      <c r="BD1544" s="82" t="s">
        <v>17582</v>
      </c>
      <c r="BE1544" s="77"/>
      <c r="BF1544" s="77"/>
      <c r="BG1544" s="77"/>
      <c r="BH1544" s="77"/>
      <c r="BI1544" s="77"/>
    </row>
    <row r="1545" spans="1:61" x14ac:dyDescent="0.25">
      <c r="A1545" s="62" t="s">
        <v>492</v>
      </c>
      <c r="B1545" s="62" t="s">
        <v>492</v>
      </c>
      <c r="C1545" s="63"/>
      <c r="D1545" s="64"/>
      <c r="E1545" s="65"/>
      <c r="F1545" s="66"/>
      <c r="G1545" s="63"/>
      <c r="H1545" s="67"/>
      <c r="I1545" s="68"/>
      <c r="J1545" s="68"/>
      <c r="K1545" s="32"/>
      <c r="L1545" s="75">
        <v>1545</v>
      </c>
      <c r="M1545" s="75"/>
      <c r="N1545" s="70"/>
      <c r="O1545" s="77" t="s">
        <v>179</v>
      </c>
      <c r="P1545" s="79">
        <v>45168.87159722222</v>
      </c>
      <c r="Q1545" s="77" t="s">
        <v>2333</v>
      </c>
      <c r="R1545" s="77">
        <v>0</v>
      </c>
      <c r="S1545" s="77">
        <v>0</v>
      </c>
      <c r="T1545" s="77">
        <v>0</v>
      </c>
      <c r="U1545" s="77">
        <v>0</v>
      </c>
      <c r="V1545" s="77">
        <v>22</v>
      </c>
      <c r="W1545" s="82" t="s">
        <v>5768</v>
      </c>
      <c r="X1545" s="77"/>
      <c r="Y1545" s="77"/>
      <c r="Z1545" s="77"/>
      <c r="AA1545" s="77" t="s">
        <v>7796</v>
      </c>
      <c r="AB1545" s="77" t="s">
        <v>8225</v>
      </c>
      <c r="AC1545" s="82" t="s">
        <v>8233</v>
      </c>
      <c r="AD1545" s="77" t="s">
        <v>8280</v>
      </c>
      <c r="AE1545" s="80" t="str">
        <f>HYPERLINK("https://twitter.com/flaviosouza2810/status/1696989947939406280")</f>
        <v>https://twitter.com/flaviosouza2810/status/1696989947939406280</v>
      </c>
      <c r="AF1545" s="79">
        <v>45168.87159722222</v>
      </c>
      <c r="AG1545" s="85">
        <v>45168</v>
      </c>
      <c r="AH1545" s="82" t="s">
        <v>9685</v>
      </c>
      <c r="AI1545" s="77" t="b">
        <v>0</v>
      </c>
      <c r="AJ1545" s="77"/>
      <c r="AK1545" s="77"/>
      <c r="AL1545" s="77"/>
      <c r="AM1545" s="77"/>
      <c r="AN1545" s="77"/>
      <c r="AO1545" s="77"/>
      <c r="AP1545" s="77"/>
      <c r="AQ1545" s="77" t="s">
        <v>12681</v>
      </c>
      <c r="AR1545" s="77"/>
      <c r="AS1545" s="77"/>
      <c r="AT1545" s="77"/>
      <c r="AU1545" s="77"/>
      <c r="AV1545" s="80" t="str">
        <f>HYPERLINK("https://pbs.twimg.com/media/F4zrXO9W4AAdISJ.jpg")</f>
        <v>https://pbs.twimg.com/media/F4zrXO9W4AAdISJ.jpg</v>
      </c>
      <c r="AW1545" s="82" t="s">
        <v>14638</v>
      </c>
      <c r="AX1545" s="82" t="s">
        <v>14638</v>
      </c>
      <c r="AY1545" s="77"/>
      <c r="AZ1545" s="82" t="s">
        <v>17385</v>
      </c>
      <c r="BA1545" s="82" t="s">
        <v>17385</v>
      </c>
      <c r="BB1545" s="82" t="s">
        <v>17385</v>
      </c>
      <c r="BC1545" s="82" t="s">
        <v>14638</v>
      </c>
      <c r="BD1545" s="82" t="s">
        <v>17582</v>
      </c>
      <c r="BE1545" s="77"/>
      <c r="BF1545" s="77"/>
      <c r="BG1545" s="77"/>
      <c r="BH1545" s="77"/>
      <c r="BI1545" s="77"/>
    </row>
    <row r="1546" spans="1:61" x14ac:dyDescent="0.25">
      <c r="A1546" s="62" t="s">
        <v>492</v>
      </c>
      <c r="B1546" s="62" t="s">
        <v>492</v>
      </c>
      <c r="C1546" s="63"/>
      <c r="D1546" s="64"/>
      <c r="E1546" s="65"/>
      <c r="F1546" s="66"/>
      <c r="G1546" s="63"/>
      <c r="H1546" s="67"/>
      <c r="I1546" s="68"/>
      <c r="J1546" s="68"/>
      <c r="K1546" s="32"/>
      <c r="L1546" s="75">
        <v>1546</v>
      </c>
      <c r="M1546" s="75"/>
      <c r="N1546" s="70"/>
      <c r="O1546" s="77" t="s">
        <v>179</v>
      </c>
      <c r="P1546" s="79">
        <v>45166.440300925926</v>
      </c>
      <c r="Q1546" s="77" t="s">
        <v>2334</v>
      </c>
      <c r="R1546" s="77">
        <v>0</v>
      </c>
      <c r="S1546" s="77">
        <v>0</v>
      </c>
      <c r="T1546" s="77">
        <v>0</v>
      </c>
      <c r="U1546" s="77">
        <v>0</v>
      </c>
      <c r="V1546" s="77">
        <v>13</v>
      </c>
      <c r="W1546" s="82" t="s">
        <v>5768</v>
      </c>
      <c r="X1546" s="77"/>
      <c r="Y1546" s="77"/>
      <c r="Z1546" s="77"/>
      <c r="AA1546" s="77" t="s">
        <v>7797</v>
      </c>
      <c r="AB1546" s="77" t="s">
        <v>8225</v>
      </c>
      <c r="AC1546" s="82" t="s">
        <v>8233</v>
      </c>
      <c r="AD1546" s="77" t="s">
        <v>8280</v>
      </c>
      <c r="AE1546" s="80" t="str">
        <f>HYPERLINK("https://twitter.com/flaviosouza2810/status/1696108873151549458")</f>
        <v>https://twitter.com/flaviosouza2810/status/1696108873151549458</v>
      </c>
      <c r="AF1546" s="79">
        <v>45166.440300925926</v>
      </c>
      <c r="AG1546" s="85">
        <v>45166</v>
      </c>
      <c r="AH1546" s="82" t="s">
        <v>9686</v>
      </c>
      <c r="AI1546" s="77" t="b">
        <v>0</v>
      </c>
      <c r="AJ1546" s="77"/>
      <c r="AK1546" s="77"/>
      <c r="AL1546" s="77"/>
      <c r="AM1546" s="77"/>
      <c r="AN1546" s="77"/>
      <c r="AO1546" s="77"/>
      <c r="AP1546" s="77"/>
      <c r="AQ1546" s="77" t="s">
        <v>12682</v>
      </c>
      <c r="AR1546" s="77"/>
      <c r="AS1546" s="77"/>
      <c r="AT1546" s="77"/>
      <c r="AU1546" s="77"/>
      <c r="AV1546" s="80" t="str">
        <f>HYPERLINK("https://pbs.twimg.com/media/F4nKB8nWkAAvwyS.jpg")</f>
        <v>https://pbs.twimg.com/media/F4nKB8nWkAAvwyS.jpg</v>
      </c>
      <c r="AW1546" s="82" t="s">
        <v>14639</v>
      </c>
      <c r="AX1546" s="82" t="s">
        <v>14639</v>
      </c>
      <c r="AY1546" s="77"/>
      <c r="AZ1546" s="82" t="s">
        <v>17385</v>
      </c>
      <c r="BA1546" s="82" t="s">
        <v>17385</v>
      </c>
      <c r="BB1546" s="82" t="s">
        <v>17385</v>
      </c>
      <c r="BC1546" s="82" t="s">
        <v>14639</v>
      </c>
      <c r="BD1546" s="82" t="s">
        <v>17582</v>
      </c>
      <c r="BE1546" s="77"/>
      <c r="BF1546" s="77"/>
      <c r="BG1546" s="77"/>
      <c r="BH1546" s="77"/>
      <c r="BI1546" s="77"/>
    </row>
    <row r="1547" spans="1:61" x14ac:dyDescent="0.25">
      <c r="A1547" s="62" t="s">
        <v>492</v>
      </c>
      <c r="B1547" s="62" t="s">
        <v>492</v>
      </c>
      <c r="C1547" s="63"/>
      <c r="D1547" s="64"/>
      <c r="E1547" s="65"/>
      <c r="F1547" s="66"/>
      <c r="G1547" s="63"/>
      <c r="H1547" s="67"/>
      <c r="I1547" s="68"/>
      <c r="J1547" s="68"/>
      <c r="K1547" s="32"/>
      <c r="L1547" s="75">
        <v>1547</v>
      </c>
      <c r="M1547" s="75"/>
      <c r="N1547" s="70"/>
      <c r="O1547" s="77" t="s">
        <v>179</v>
      </c>
      <c r="P1547" s="79">
        <v>45166.440081018518</v>
      </c>
      <c r="Q1547" s="77" t="s">
        <v>2335</v>
      </c>
      <c r="R1547" s="77">
        <v>0</v>
      </c>
      <c r="S1547" s="77">
        <v>0</v>
      </c>
      <c r="T1547" s="77">
        <v>0</v>
      </c>
      <c r="U1547" s="77">
        <v>0</v>
      </c>
      <c r="V1547" s="77">
        <v>11</v>
      </c>
      <c r="W1547" s="82" t="s">
        <v>5768</v>
      </c>
      <c r="X1547" s="77"/>
      <c r="Y1547" s="77"/>
      <c r="Z1547" s="77"/>
      <c r="AA1547" s="77" t="s">
        <v>7798</v>
      </c>
      <c r="AB1547" s="77" t="s">
        <v>8225</v>
      </c>
      <c r="AC1547" s="82" t="s">
        <v>8233</v>
      </c>
      <c r="AD1547" s="77" t="s">
        <v>8280</v>
      </c>
      <c r="AE1547" s="80" t="str">
        <f>HYPERLINK("https://twitter.com/flaviosouza2810/status/1696108794692956364")</f>
        <v>https://twitter.com/flaviosouza2810/status/1696108794692956364</v>
      </c>
      <c r="AF1547" s="79">
        <v>45166.440081018518</v>
      </c>
      <c r="AG1547" s="85">
        <v>45166</v>
      </c>
      <c r="AH1547" s="82" t="s">
        <v>9687</v>
      </c>
      <c r="AI1547" s="77" t="b">
        <v>0</v>
      </c>
      <c r="AJ1547" s="77"/>
      <c r="AK1547" s="77"/>
      <c r="AL1547" s="77"/>
      <c r="AM1547" s="77"/>
      <c r="AN1547" s="77"/>
      <c r="AO1547" s="77"/>
      <c r="AP1547" s="77"/>
      <c r="AQ1547" s="77" t="s">
        <v>12683</v>
      </c>
      <c r="AR1547" s="77"/>
      <c r="AS1547" s="77"/>
      <c r="AT1547" s="77"/>
      <c r="AU1547" s="77"/>
      <c r="AV1547" s="80" t="str">
        <f>HYPERLINK("https://pbs.twimg.com/media/F4nJ9WJXcAA3_QG.jpg")</f>
        <v>https://pbs.twimg.com/media/F4nJ9WJXcAA3_QG.jpg</v>
      </c>
      <c r="AW1547" s="82" t="s">
        <v>14640</v>
      </c>
      <c r="AX1547" s="82" t="s">
        <v>14640</v>
      </c>
      <c r="AY1547" s="77"/>
      <c r="AZ1547" s="82" t="s">
        <v>17385</v>
      </c>
      <c r="BA1547" s="82" t="s">
        <v>17385</v>
      </c>
      <c r="BB1547" s="82" t="s">
        <v>17385</v>
      </c>
      <c r="BC1547" s="82" t="s">
        <v>14640</v>
      </c>
      <c r="BD1547" s="82" t="s">
        <v>17582</v>
      </c>
      <c r="BE1547" s="77"/>
      <c r="BF1547" s="77"/>
      <c r="BG1547" s="77"/>
      <c r="BH1547" s="77"/>
      <c r="BI1547" s="77"/>
    </row>
    <row r="1548" spans="1:61" x14ac:dyDescent="0.25">
      <c r="A1548" s="62" t="s">
        <v>492</v>
      </c>
      <c r="B1548" s="62" t="s">
        <v>492</v>
      </c>
      <c r="C1548" s="63"/>
      <c r="D1548" s="64"/>
      <c r="E1548" s="65"/>
      <c r="F1548" s="66"/>
      <c r="G1548" s="63"/>
      <c r="H1548" s="67"/>
      <c r="I1548" s="68"/>
      <c r="J1548" s="68"/>
      <c r="K1548" s="32"/>
      <c r="L1548" s="75">
        <v>1548</v>
      </c>
      <c r="M1548" s="75"/>
      <c r="N1548" s="70"/>
      <c r="O1548" s="77" t="s">
        <v>179</v>
      </c>
      <c r="P1548" s="79">
        <v>45159.489016203705</v>
      </c>
      <c r="Q1548" s="77" t="s">
        <v>2336</v>
      </c>
      <c r="R1548" s="77">
        <v>0</v>
      </c>
      <c r="S1548" s="77">
        <v>0</v>
      </c>
      <c r="T1548" s="77">
        <v>0</v>
      </c>
      <c r="U1548" s="77">
        <v>0</v>
      </c>
      <c r="V1548" s="77">
        <v>5</v>
      </c>
      <c r="W1548" s="82" t="s">
        <v>5769</v>
      </c>
      <c r="X1548" s="77"/>
      <c r="Y1548" s="77"/>
      <c r="Z1548" s="77"/>
      <c r="AA1548" s="77" t="s">
        <v>7799</v>
      </c>
      <c r="AB1548" s="77" t="s">
        <v>8225</v>
      </c>
      <c r="AC1548" s="82" t="s">
        <v>8233</v>
      </c>
      <c r="AD1548" s="77" t="s">
        <v>8280</v>
      </c>
      <c r="AE1548" s="80" t="str">
        <f>HYPERLINK("https://twitter.com/flaviosouza2810/status/1693589814937850294")</f>
        <v>https://twitter.com/flaviosouza2810/status/1693589814937850294</v>
      </c>
      <c r="AF1548" s="79">
        <v>45159.489016203705</v>
      </c>
      <c r="AG1548" s="85">
        <v>45159</v>
      </c>
      <c r="AH1548" s="82" t="s">
        <v>9688</v>
      </c>
      <c r="AI1548" s="77" t="b">
        <v>0</v>
      </c>
      <c r="AJ1548" s="77"/>
      <c r="AK1548" s="77"/>
      <c r="AL1548" s="77"/>
      <c r="AM1548" s="77"/>
      <c r="AN1548" s="77"/>
      <c r="AO1548" s="77"/>
      <c r="AP1548" s="77"/>
      <c r="AQ1548" s="77" t="s">
        <v>12684</v>
      </c>
      <c r="AR1548" s="77"/>
      <c r="AS1548" s="77"/>
      <c r="AT1548" s="77"/>
      <c r="AU1548" s="77"/>
      <c r="AV1548" s="80" t="str">
        <f>HYPERLINK("https://pbs.twimg.com/media/F4DW9eVXIAA-Pam.jpg")</f>
        <v>https://pbs.twimg.com/media/F4DW9eVXIAA-Pam.jpg</v>
      </c>
      <c r="AW1548" s="82" t="s">
        <v>14641</v>
      </c>
      <c r="AX1548" s="82" t="s">
        <v>14641</v>
      </c>
      <c r="AY1548" s="77"/>
      <c r="AZ1548" s="82" t="s">
        <v>17385</v>
      </c>
      <c r="BA1548" s="82" t="s">
        <v>17385</v>
      </c>
      <c r="BB1548" s="82" t="s">
        <v>17385</v>
      </c>
      <c r="BC1548" s="82" t="s">
        <v>14641</v>
      </c>
      <c r="BD1548" s="82" t="s">
        <v>17582</v>
      </c>
      <c r="BE1548" s="77"/>
      <c r="BF1548" s="77"/>
      <c r="BG1548" s="77"/>
      <c r="BH1548" s="77"/>
      <c r="BI1548" s="77"/>
    </row>
    <row r="1549" spans="1:61" x14ac:dyDescent="0.25">
      <c r="A1549" s="62" t="s">
        <v>492</v>
      </c>
      <c r="B1549" s="62" t="s">
        <v>492</v>
      </c>
      <c r="C1549" s="63"/>
      <c r="D1549" s="64"/>
      <c r="E1549" s="65"/>
      <c r="F1549" s="66"/>
      <c r="G1549" s="63"/>
      <c r="H1549" s="67"/>
      <c r="I1549" s="68"/>
      <c r="J1549" s="68"/>
      <c r="K1549" s="32"/>
      <c r="L1549" s="75">
        <v>1549</v>
      </c>
      <c r="M1549" s="75"/>
      <c r="N1549" s="70"/>
      <c r="O1549" s="77" t="s">
        <v>179</v>
      </c>
      <c r="P1549" s="79">
        <v>45159.394317129627</v>
      </c>
      <c r="Q1549" s="77" t="s">
        <v>2337</v>
      </c>
      <c r="R1549" s="77">
        <v>0</v>
      </c>
      <c r="S1549" s="77">
        <v>0</v>
      </c>
      <c r="T1549" s="77">
        <v>0</v>
      </c>
      <c r="U1549" s="77">
        <v>0</v>
      </c>
      <c r="V1549" s="77">
        <v>1</v>
      </c>
      <c r="W1549" s="82" t="s">
        <v>5768</v>
      </c>
      <c r="X1549" s="77"/>
      <c r="Y1549" s="77"/>
      <c r="Z1549" s="77"/>
      <c r="AA1549" s="77" t="s">
        <v>7800</v>
      </c>
      <c r="AB1549" s="77" t="s">
        <v>8225</v>
      </c>
      <c r="AC1549" s="82" t="s">
        <v>8233</v>
      </c>
      <c r="AD1549" s="77" t="s">
        <v>8280</v>
      </c>
      <c r="AE1549" s="80" t="str">
        <f>HYPERLINK("https://twitter.com/flaviosouza2810/status/1693555494063935685")</f>
        <v>https://twitter.com/flaviosouza2810/status/1693555494063935685</v>
      </c>
      <c r="AF1549" s="79">
        <v>45159.394317129627</v>
      </c>
      <c r="AG1549" s="85">
        <v>45159</v>
      </c>
      <c r="AH1549" s="82" t="s">
        <v>9689</v>
      </c>
      <c r="AI1549" s="77" t="b">
        <v>0</v>
      </c>
      <c r="AJ1549" s="77"/>
      <c r="AK1549" s="77"/>
      <c r="AL1549" s="77"/>
      <c r="AM1549" s="77"/>
      <c r="AN1549" s="77"/>
      <c r="AO1549" s="77"/>
      <c r="AP1549" s="77"/>
      <c r="AQ1549" s="77" t="s">
        <v>12685</v>
      </c>
      <c r="AR1549" s="77"/>
      <c r="AS1549" s="77"/>
      <c r="AT1549" s="77"/>
      <c r="AU1549" s="77"/>
      <c r="AV1549" s="80" t="str">
        <f>HYPERLINK("https://pbs.twimg.com/media/F4C3vqZXIAA2hUB.jpg")</f>
        <v>https://pbs.twimg.com/media/F4C3vqZXIAA2hUB.jpg</v>
      </c>
      <c r="AW1549" s="82" t="s">
        <v>14642</v>
      </c>
      <c r="AX1549" s="82" t="s">
        <v>14642</v>
      </c>
      <c r="AY1549" s="77"/>
      <c r="AZ1549" s="82" t="s">
        <v>17385</v>
      </c>
      <c r="BA1549" s="82" t="s">
        <v>17385</v>
      </c>
      <c r="BB1549" s="82" t="s">
        <v>17385</v>
      </c>
      <c r="BC1549" s="82" t="s">
        <v>14642</v>
      </c>
      <c r="BD1549" s="82" t="s">
        <v>17582</v>
      </c>
      <c r="BE1549" s="77"/>
      <c r="BF1549" s="77"/>
      <c r="BG1549" s="77"/>
      <c r="BH1549" s="77"/>
      <c r="BI1549" s="77"/>
    </row>
    <row r="1550" spans="1:61" x14ac:dyDescent="0.25">
      <c r="A1550" s="62" t="s">
        <v>492</v>
      </c>
      <c r="B1550" s="62" t="s">
        <v>492</v>
      </c>
      <c r="C1550" s="63"/>
      <c r="D1550" s="64"/>
      <c r="E1550" s="65"/>
      <c r="F1550" s="66"/>
      <c r="G1550" s="63"/>
      <c r="H1550" s="67"/>
      <c r="I1550" s="68"/>
      <c r="J1550" s="68"/>
      <c r="K1550" s="32"/>
      <c r="L1550" s="75">
        <v>1550</v>
      </c>
      <c r="M1550" s="75"/>
      <c r="N1550" s="70"/>
      <c r="O1550" s="77" t="s">
        <v>179</v>
      </c>
      <c r="P1550" s="79">
        <v>45159.394108796296</v>
      </c>
      <c r="Q1550" s="77" t="s">
        <v>2338</v>
      </c>
      <c r="R1550" s="77">
        <v>0</v>
      </c>
      <c r="S1550" s="77">
        <v>0</v>
      </c>
      <c r="T1550" s="77">
        <v>0</v>
      </c>
      <c r="U1550" s="77">
        <v>0</v>
      </c>
      <c r="V1550" s="77">
        <v>1</v>
      </c>
      <c r="W1550" s="82" t="s">
        <v>5768</v>
      </c>
      <c r="X1550" s="77"/>
      <c r="Y1550" s="77"/>
      <c r="Z1550" s="77"/>
      <c r="AA1550" s="77" t="s">
        <v>7801</v>
      </c>
      <c r="AB1550" s="77" t="s">
        <v>8225</v>
      </c>
      <c r="AC1550" s="82" t="s">
        <v>8233</v>
      </c>
      <c r="AD1550" s="77" t="s">
        <v>8280</v>
      </c>
      <c r="AE1550" s="80" t="str">
        <f>HYPERLINK("https://twitter.com/flaviosouza2810/status/1693555420692955219")</f>
        <v>https://twitter.com/flaviosouza2810/status/1693555420692955219</v>
      </c>
      <c r="AF1550" s="79">
        <v>45159.394108796296</v>
      </c>
      <c r="AG1550" s="85">
        <v>45159</v>
      </c>
      <c r="AH1550" s="82" t="s">
        <v>9690</v>
      </c>
      <c r="AI1550" s="77" t="b">
        <v>0</v>
      </c>
      <c r="AJ1550" s="77"/>
      <c r="AK1550" s="77"/>
      <c r="AL1550" s="77"/>
      <c r="AM1550" s="77"/>
      <c r="AN1550" s="77"/>
      <c r="AO1550" s="77"/>
      <c r="AP1550" s="77"/>
      <c r="AQ1550" s="77" t="s">
        <v>12686</v>
      </c>
      <c r="AR1550" s="77"/>
      <c r="AS1550" s="77"/>
      <c r="AT1550" s="77"/>
      <c r="AU1550" s="77"/>
      <c r="AV1550" s="80" t="str">
        <f>HYPERLINK("https://pbs.twimg.com/media/F4C3ra2WUAA4mF_.jpg")</f>
        <v>https://pbs.twimg.com/media/F4C3ra2WUAA4mF_.jpg</v>
      </c>
      <c r="AW1550" s="82" t="s">
        <v>14643</v>
      </c>
      <c r="AX1550" s="82" t="s">
        <v>14643</v>
      </c>
      <c r="AY1550" s="77"/>
      <c r="AZ1550" s="82" t="s">
        <v>17385</v>
      </c>
      <c r="BA1550" s="82" t="s">
        <v>17385</v>
      </c>
      <c r="BB1550" s="82" t="s">
        <v>17385</v>
      </c>
      <c r="BC1550" s="82" t="s">
        <v>14643</v>
      </c>
      <c r="BD1550" s="82" t="s">
        <v>17582</v>
      </c>
      <c r="BE1550" s="77"/>
      <c r="BF1550" s="77"/>
      <c r="BG1550" s="77"/>
      <c r="BH1550" s="77"/>
      <c r="BI1550" s="77"/>
    </row>
    <row r="1551" spans="1:61" x14ac:dyDescent="0.25">
      <c r="A1551" s="62" t="s">
        <v>492</v>
      </c>
      <c r="B1551" s="62" t="s">
        <v>492</v>
      </c>
      <c r="C1551" s="63"/>
      <c r="D1551" s="64"/>
      <c r="E1551" s="65"/>
      <c r="F1551" s="66"/>
      <c r="G1551" s="63"/>
      <c r="H1551" s="67"/>
      <c r="I1551" s="68"/>
      <c r="J1551" s="68"/>
      <c r="K1551" s="32"/>
      <c r="L1551" s="75">
        <v>1551</v>
      </c>
      <c r="M1551" s="75"/>
      <c r="N1551" s="70"/>
      <c r="O1551" s="77" t="s">
        <v>179</v>
      </c>
      <c r="P1551" s="79">
        <v>45157.502511574072</v>
      </c>
      <c r="Q1551" s="77" t="s">
        <v>2339</v>
      </c>
      <c r="R1551" s="77">
        <v>0</v>
      </c>
      <c r="S1551" s="77">
        <v>0</v>
      </c>
      <c r="T1551" s="77">
        <v>0</v>
      </c>
      <c r="U1551" s="77">
        <v>0</v>
      </c>
      <c r="V1551" s="77">
        <v>6</v>
      </c>
      <c r="W1551" s="82" t="s">
        <v>5768</v>
      </c>
      <c r="X1551" s="77"/>
      <c r="Y1551" s="77"/>
      <c r="Z1551" s="77"/>
      <c r="AA1551" s="77" t="s">
        <v>7802</v>
      </c>
      <c r="AB1551" s="77" t="s">
        <v>8225</v>
      </c>
      <c r="AC1551" s="82" t="s">
        <v>8233</v>
      </c>
      <c r="AD1551" s="77" t="s">
        <v>8280</v>
      </c>
      <c r="AE1551" s="80" t="str">
        <f>HYPERLINK("https://twitter.com/flaviosouza2810/status/1692869927588249984")</f>
        <v>https://twitter.com/flaviosouza2810/status/1692869927588249984</v>
      </c>
      <c r="AF1551" s="79">
        <v>45157.502511574072</v>
      </c>
      <c r="AG1551" s="85">
        <v>45157</v>
      </c>
      <c r="AH1551" s="82" t="s">
        <v>9691</v>
      </c>
      <c r="AI1551" s="77" t="b">
        <v>0</v>
      </c>
      <c r="AJ1551" s="77"/>
      <c r="AK1551" s="77"/>
      <c r="AL1551" s="77"/>
      <c r="AM1551" s="77"/>
      <c r="AN1551" s="77"/>
      <c r="AO1551" s="77"/>
      <c r="AP1551" s="77"/>
      <c r="AQ1551" s="77" t="s">
        <v>12687</v>
      </c>
      <c r="AR1551" s="77"/>
      <c r="AS1551" s="77"/>
      <c r="AT1551" s="77"/>
      <c r="AU1551" s="77"/>
      <c r="AV1551" s="80" t="str">
        <f>HYPERLINK("https://pbs.twimg.com/media/F35IOaTWUAA5RcI.jpg")</f>
        <v>https://pbs.twimg.com/media/F35IOaTWUAA5RcI.jpg</v>
      </c>
      <c r="AW1551" s="82" t="s">
        <v>14644</v>
      </c>
      <c r="AX1551" s="82" t="s">
        <v>14644</v>
      </c>
      <c r="AY1551" s="77"/>
      <c r="AZ1551" s="82" t="s">
        <v>17385</v>
      </c>
      <c r="BA1551" s="82" t="s">
        <v>17385</v>
      </c>
      <c r="BB1551" s="82" t="s">
        <v>17385</v>
      </c>
      <c r="BC1551" s="82" t="s">
        <v>14644</v>
      </c>
      <c r="BD1551" s="82" t="s">
        <v>17582</v>
      </c>
      <c r="BE1551" s="77"/>
      <c r="BF1551" s="77"/>
      <c r="BG1551" s="77"/>
      <c r="BH1551" s="77"/>
      <c r="BI1551" s="77"/>
    </row>
    <row r="1552" spans="1:61" x14ac:dyDescent="0.25">
      <c r="A1552" s="62" t="s">
        <v>492</v>
      </c>
      <c r="B1552" s="62" t="s">
        <v>492</v>
      </c>
      <c r="C1552" s="63"/>
      <c r="D1552" s="64"/>
      <c r="E1552" s="65"/>
      <c r="F1552" s="66"/>
      <c r="G1552" s="63"/>
      <c r="H1552" s="67"/>
      <c r="I1552" s="68"/>
      <c r="J1552" s="68"/>
      <c r="K1552" s="32"/>
      <c r="L1552" s="75">
        <v>1552</v>
      </c>
      <c r="M1552" s="75"/>
      <c r="N1552" s="70"/>
      <c r="O1552" s="77" t="s">
        <v>179</v>
      </c>
      <c r="P1552" s="79">
        <v>45157.502314814818</v>
      </c>
      <c r="Q1552" s="77" t="s">
        <v>2340</v>
      </c>
      <c r="R1552" s="77">
        <v>0</v>
      </c>
      <c r="S1552" s="77">
        <v>0</v>
      </c>
      <c r="T1552" s="77">
        <v>0</v>
      </c>
      <c r="U1552" s="77">
        <v>0</v>
      </c>
      <c r="V1552" s="77">
        <v>10</v>
      </c>
      <c r="W1552" s="82" t="s">
        <v>5768</v>
      </c>
      <c r="X1552" s="77"/>
      <c r="Y1552" s="77"/>
      <c r="Z1552" s="77"/>
      <c r="AA1552" s="77" t="s">
        <v>7803</v>
      </c>
      <c r="AB1552" s="77" t="s">
        <v>8225</v>
      </c>
      <c r="AC1552" s="82" t="s">
        <v>8233</v>
      </c>
      <c r="AD1552" s="77" t="s">
        <v>8280</v>
      </c>
      <c r="AE1552" s="80" t="str">
        <f>HYPERLINK("https://twitter.com/flaviosouza2810/status/1692869855714619858")</f>
        <v>https://twitter.com/flaviosouza2810/status/1692869855714619858</v>
      </c>
      <c r="AF1552" s="79">
        <v>45157.502314814818</v>
      </c>
      <c r="AG1552" s="85">
        <v>45157</v>
      </c>
      <c r="AH1552" s="82" t="s">
        <v>9692</v>
      </c>
      <c r="AI1552" s="77" t="b">
        <v>0</v>
      </c>
      <c r="AJ1552" s="77"/>
      <c r="AK1552" s="77"/>
      <c r="AL1552" s="77"/>
      <c r="AM1552" s="77"/>
      <c r="AN1552" s="77"/>
      <c r="AO1552" s="77"/>
      <c r="AP1552" s="77"/>
      <c r="AQ1552" s="77" t="s">
        <v>12688</v>
      </c>
      <c r="AR1552" s="77"/>
      <c r="AS1552" s="77"/>
      <c r="AT1552" s="77"/>
      <c r="AU1552" s="77"/>
      <c r="AV1552" s="80" t="str">
        <f>HYPERLINK("https://pbs.twimg.com/media/F35IKKTXgAAuDpi.jpg")</f>
        <v>https://pbs.twimg.com/media/F35IKKTXgAAuDpi.jpg</v>
      </c>
      <c r="AW1552" s="82" t="s">
        <v>14645</v>
      </c>
      <c r="AX1552" s="82" t="s">
        <v>14645</v>
      </c>
      <c r="AY1552" s="77"/>
      <c r="AZ1552" s="82" t="s">
        <v>17385</v>
      </c>
      <c r="BA1552" s="82" t="s">
        <v>17385</v>
      </c>
      <c r="BB1552" s="82" t="s">
        <v>17385</v>
      </c>
      <c r="BC1552" s="82" t="s">
        <v>14645</v>
      </c>
      <c r="BD1552" s="82" t="s">
        <v>17582</v>
      </c>
      <c r="BE1552" s="77"/>
      <c r="BF1552" s="77"/>
      <c r="BG1552" s="77"/>
      <c r="BH1552" s="77"/>
      <c r="BI1552" s="77"/>
    </row>
    <row r="1553" spans="1:61" x14ac:dyDescent="0.25">
      <c r="A1553" s="62" t="s">
        <v>492</v>
      </c>
      <c r="B1553" s="62" t="s">
        <v>492</v>
      </c>
      <c r="C1553" s="63"/>
      <c r="D1553" s="64"/>
      <c r="E1553" s="65"/>
      <c r="F1553" s="66"/>
      <c r="G1553" s="63"/>
      <c r="H1553" s="67"/>
      <c r="I1553" s="68"/>
      <c r="J1553" s="68"/>
      <c r="K1553" s="32"/>
      <c r="L1553" s="75">
        <v>1553</v>
      </c>
      <c r="M1553" s="75"/>
      <c r="N1553" s="70"/>
      <c r="O1553" s="77" t="s">
        <v>179</v>
      </c>
      <c r="P1553" s="79">
        <v>45152.481458333335</v>
      </c>
      <c r="Q1553" s="77" t="s">
        <v>2341</v>
      </c>
      <c r="R1553" s="77">
        <v>0</v>
      </c>
      <c r="S1553" s="77">
        <v>0</v>
      </c>
      <c r="T1553" s="77">
        <v>0</v>
      </c>
      <c r="U1553" s="77">
        <v>0</v>
      </c>
      <c r="V1553" s="77">
        <v>4</v>
      </c>
      <c r="W1553" s="82" t="s">
        <v>5769</v>
      </c>
      <c r="X1553" s="77"/>
      <c r="Y1553" s="77"/>
      <c r="Z1553" s="77"/>
      <c r="AA1553" s="77" t="s">
        <v>7804</v>
      </c>
      <c r="AB1553" s="77" t="s">
        <v>8225</v>
      </c>
      <c r="AC1553" s="82" t="s">
        <v>8233</v>
      </c>
      <c r="AD1553" s="77" t="s">
        <v>8280</v>
      </c>
      <c r="AE1553" s="80" t="str">
        <f>HYPERLINK("https://twitter.com/flaviosouza2810/status/1691050360851324929")</f>
        <v>https://twitter.com/flaviosouza2810/status/1691050360851324929</v>
      </c>
      <c r="AF1553" s="79">
        <v>45152.481458333335</v>
      </c>
      <c r="AG1553" s="85">
        <v>45152</v>
      </c>
      <c r="AH1553" s="82" t="s">
        <v>9693</v>
      </c>
      <c r="AI1553" s="77" t="b">
        <v>0</v>
      </c>
      <c r="AJ1553" s="77"/>
      <c r="AK1553" s="77"/>
      <c r="AL1553" s="77"/>
      <c r="AM1553" s="77"/>
      <c r="AN1553" s="77"/>
      <c r="AO1553" s="77"/>
      <c r="AP1553" s="77"/>
      <c r="AQ1553" s="77" t="s">
        <v>12689</v>
      </c>
      <c r="AR1553" s="77"/>
      <c r="AS1553" s="77"/>
      <c r="AT1553" s="77"/>
      <c r="AU1553" s="77"/>
      <c r="AV1553" s="80" t="str">
        <f>HYPERLINK("https://pbs.twimg.com/media/F3fRVxJXwAA7kZJ.jpg")</f>
        <v>https://pbs.twimg.com/media/F3fRVxJXwAA7kZJ.jpg</v>
      </c>
      <c r="AW1553" s="82" t="s">
        <v>14646</v>
      </c>
      <c r="AX1553" s="82" t="s">
        <v>14646</v>
      </c>
      <c r="AY1553" s="77"/>
      <c r="AZ1553" s="82" t="s">
        <v>17385</v>
      </c>
      <c r="BA1553" s="82" t="s">
        <v>17385</v>
      </c>
      <c r="BB1553" s="82" t="s">
        <v>17385</v>
      </c>
      <c r="BC1553" s="82" t="s">
        <v>14646</v>
      </c>
      <c r="BD1553" s="82" t="s">
        <v>17582</v>
      </c>
      <c r="BE1553" s="77"/>
      <c r="BF1553" s="77"/>
      <c r="BG1553" s="77"/>
      <c r="BH1553" s="77"/>
      <c r="BI1553" s="77"/>
    </row>
    <row r="1554" spans="1:61" x14ac:dyDescent="0.25">
      <c r="A1554" s="62" t="s">
        <v>492</v>
      </c>
      <c r="B1554" s="62" t="s">
        <v>492</v>
      </c>
      <c r="C1554" s="63"/>
      <c r="D1554" s="64"/>
      <c r="E1554" s="65"/>
      <c r="F1554" s="66"/>
      <c r="G1554" s="63"/>
      <c r="H1554" s="67"/>
      <c r="I1554" s="68"/>
      <c r="J1554" s="68"/>
      <c r="K1554" s="32"/>
      <c r="L1554" s="75">
        <v>1554</v>
      </c>
      <c r="M1554" s="75"/>
      <c r="N1554" s="70"/>
      <c r="O1554" s="77" t="s">
        <v>179</v>
      </c>
      <c r="P1554" s="79">
        <v>45152.393946759257</v>
      </c>
      <c r="Q1554" s="77" t="s">
        <v>2342</v>
      </c>
      <c r="R1554" s="77">
        <v>0</v>
      </c>
      <c r="S1554" s="77">
        <v>0</v>
      </c>
      <c r="T1554" s="77">
        <v>0</v>
      </c>
      <c r="U1554" s="77">
        <v>0</v>
      </c>
      <c r="V1554" s="77">
        <v>6</v>
      </c>
      <c r="W1554" s="82" t="s">
        <v>5769</v>
      </c>
      <c r="X1554" s="77"/>
      <c r="Y1554" s="77"/>
      <c r="Z1554" s="77"/>
      <c r="AA1554" s="77" t="s">
        <v>7805</v>
      </c>
      <c r="AB1554" s="77" t="s">
        <v>8225</v>
      </c>
      <c r="AC1554" s="82" t="s">
        <v>8233</v>
      </c>
      <c r="AD1554" s="77" t="s">
        <v>8280</v>
      </c>
      <c r="AE1554" s="80" t="str">
        <f>HYPERLINK("https://twitter.com/flaviosouza2810/status/1691018645504212992")</f>
        <v>https://twitter.com/flaviosouza2810/status/1691018645504212992</v>
      </c>
      <c r="AF1554" s="79">
        <v>45152.393946759257</v>
      </c>
      <c r="AG1554" s="85">
        <v>45152</v>
      </c>
      <c r="AH1554" s="82" t="s">
        <v>9694</v>
      </c>
      <c r="AI1554" s="77" t="b">
        <v>0</v>
      </c>
      <c r="AJ1554" s="77"/>
      <c r="AK1554" s="77"/>
      <c r="AL1554" s="77"/>
      <c r="AM1554" s="77"/>
      <c r="AN1554" s="77"/>
      <c r="AO1554" s="77"/>
      <c r="AP1554" s="77"/>
      <c r="AQ1554" s="77" t="s">
        <v>12690</v>
      </c>
      <c r="AR1554" s="77"/>
      <c r="AS1554" s="77"/>
      <c r="AT1554" s="77"/>
      <c r="AU1554" s="77"/>
      <c r="AV1554" s="80" t="str">
        <f>HYPERLINK("https://pbs.twimg.com/media/F3e0fqPW0AAAYoL.jpg")</f>
        <v>https://pbs.twimg.com/media/F3e0fqPW0AAAYoL.jpg</v>
      </c>
      <c r="AW1554" s="82" t="s">
        <v>14647</v>
      </c>
      <c r="AX1554" s="82" t="s">
        <v>14647</v>
      </c>
      <c r="AY1554" s="77"/>
      <c r="AZ1554" s="82" t="s">
        <v>17385</v>
      </c>
      <c r="BA1554" s="82" t="s">
        <v>17385</v>
      </c>
      <c r="BB1554" s="82" t="s">
        <v>17385</v>
      </c>
      <c r="BC1554" s="82" t="s">
        <v>14647</v>
      </c>
      <c r="BD1554" s="82" t="s">
        <v>17582</v>
      </c>
      <c r="BE1554" s="77"/>
      <c r="BF1554" s="77"/>
      <c r="BG1554" s="77"/>
      <c r="BH1554" s="77"/>
      <c r="BI1554" s="77"/>
    </row>
    <row r="1555" spans="1:61" x14ac:dyDescent="0.25">
      <c r="A1555" s="62" t="s">
        <v>492</v>
      </c>
      <c r="B1555" s="62" t="s">
        <v>492</v>
      </c>
      <c r="C1555" s="63"/>
      <c r="D1555" s="64"/>
      <c r="E1555" s="65"/>
      <c r="F1555" s="66"/>
      <c r="G1555" s="63"/>
      <c r="H1555" s="67"/>
      <c r="I1555" s="68"/>
      <c r="J1555" s="68"/>
      <c r="K1555" s="32"/>
      <c r="L1555" s="75">
        <v>1555</v>
      </c>
      <c r="M1555" s="75"/>
      <c r="N1555" s="70"/>
      <c r="O1555" s="77" t="s">
        <v>179</v>
      </c>
      <c r="P1555" s="79">
        <v>45152.393506944441</v>
      </c>
      <c r="Q1555" s="77" t="s">
        <v>2343</v>
      </c>
      <c r="R1555" s="77">
        <v>0</v>
      </c>
      <c r="S1555" s="77">
        <v>0</v>
      </c>
      <c r="T1555" s="77">
        <v>0</v>
      </c>
      <c r="U1555" s="77">
        <v>0</v>
      </c>
      <c r="V1555" s="77">
        <v>6</v>
      </c>
      <c r="W1555" s="82" t="s">
        <v>5769</v>
      </c>
      <c r="X1555" s="77"/>
      <c r="Y1555" s="77"/>
      <c r="Z1555" s="77"/>
      <c r="AA1555" s="77" t="s">
        <v>7806</v>
      </c>
      <c r="AB1555" s="77" t="s">
        <v>8225</v>
      </c>
      <c r="AC1555" s="82" t="s">
        <v>8233</v>
      </c>
      <c r="AD1555" s="77" t="s">
        <v>8280</v>
      </c>
      <c r="AE1555" s="80" t="str">
        <f>HYPERLINK("https://twitter.com/flaviosouza2810/status/1691018487815094272")</f>
        <v>https://twitter.com/flaviosouza2810/status/1691018487815094272</v>
      </c>
      <c r="AF1555" s="79">
        <v>45152.393506944441</v>
      </c>
      <c r="AG1555" s="85">
        <v>45152</v>
      </c>
      <c r="AH1555" s="82" t="s">
        <v>9695</v>
      </c>
      <c r="AI1555" s="77" t="b">
        <v>0</v>
      </c>
      <c r="AJ1555" s="77"/>
      <c r="AK1555" s="77"/>
      <c r="AL1555" s="77"/>
      <c r="AM1555" s="77"/>
      <c r="AN1555" s="77"/>
      <c r="AO1555" s="77"/>
      <c r="AP1555" s="77"/>
      <c r="AQ1555" s="77" t="s">
        <v>12691</v>
      </c>
      <c r="AR1555" s="77"/>
      <c r="AS1555" s="77"/>
      <c r="AT1555" s="77"/>
      <c r="AU1555" s="77"/>
      <c r="AV1555" s="80" t="str">
        <f>HYPERLINK("https://pbs.twimg.com/media/F3e0WizWoAADvQB.jpg")</f>
        <v>https://pbs.twimg.com/media/F3e0WizWoAADvQB.jpg</v>
      </c>
      <c r="AW1555" s="82" t="s">
        <v>14648</v>
      </c>
      <c r="AX1555" s="82" t="s">
        <v>14648</v>
      </c>
      <c r="AY1555" s="77"/>
      <c r="AZ1555" s="82" t="s">
        <v>17385</v>
      </c>
      <c r="BA1555" s="82" t="s">
        <v>17385</v>
      </c>
      <c r="BB1555" s="82" t="s">
        <v>17385</v>
      </c>
      <c r="BC1555" s="82" t="s">
        <v>14648</v>
      </c>
      <c r="BD1555" s="82" t="s">
        <v>17582</v>
      </c>
      <c r="BE1555" s="77"/>
      <c r="BF1555" s="77"/>
      <c r="BG1555" s="77"/>
      <c r="BH1555" s="77"/>
      <c r="BI1555" s="77"/>
    </row>
    <row r="1556" spans="1:61" x14ac:dyDescent="0.25">
      <c r="A1556" s="62" t="s">
        <v>493</v>
      </c>
      <c r="B1556" s="62" t="s">
        <v>493</v>
      </c>
      <c r="C1556" s="63"/>
      <c r="D1556" s="64"/>
      <c r="E1556" s="65"/>
      <c r="F1556" s="66"/>
      <c r="G1556" s="63"/>
      <c r="H1556" s="67"/>
      <c r="I1556" s="68"/>
      <c r="J1556" s="68"/>
      <c r="K1556" s="32"/>
      <c r="L1556" s="75">
        <v>1556</v>
      </c>
      <c r="M1556" s="75"/>
      <c r="N1556" s="70"/>
      <c r="O1556" s="77" t="s">
        <v>179</v>
      </c>
      <c r="P1556" s="79">
        <v>45111.833958333336</v>
      </c>
      <c r="Q1556" s="77" t="s">
        <v>2344</v>
      </c>
      <c r="R1556" s="77">
        <v>1</v>
      </c>
      <c r="S1556" s="77">
        <v>1</v>
      </c>
      <c r="T1556" s="77">
        <v>0</v>
      </c>
      <c r="U1556" s="77">
        <v>0</v>
      </c>
      <c r="V1556" s="77">
        <v>102</v>
      </c>
      <c r="W1556" s="82" t="s">
        <v>5772</v>
      </c>
      <c r="X1556" s="80" t="str">
        <f>HYPERLINK("https://escoladeoperadores.com.br/2023/07/04/itau-itub4-rompimento-bandeira-de-alta-04-07-23-antonio-montiel/")</f>
        <v>https://escoladeoperadores.com.br/2023/07/04/itau-itub4-rompimento-bandeira-de-alta-04-07-23-antonio-montiel/</v>
      </c>
      <c r="Y1556" s="77" t="s">
        <v>7053</v>
      </c>
      <c r="Z1556" s="77"/>
      <c r="AA1556" s="77" t="s">
        <v>7807</v>
      </c>
      <c r="AB1556" s="77" t="s">
        <v>8225</v>
      </c>
      <c r="AC1556" s="82" t="s">
        <v>8232</v>
      </c>
      <c r="AD1556" s="77" t="s">
        <v>8278</v>
      </c>
      <c r="AE1556" s="80" t="str">
        <f>HYPERLINK("https://twitter.com/operadoresbr/status/1676320196879843329")</f>
        <v>https://twitter.com/operadoresbr/status/1676320196879843329</v>
      </c>
      <c r="AF1556" s="79">
        <v>45111.833958333336</v>
      </c>
      <c r="AG1556" s="85">
        <v>45111</v>
      </c>
      <c r="AH1556" s="82" t="s">
        <v>9696</v>
      </c>
      <c r="AI1556" s="77" t="b">
        <v>0</v>
      </c>
      <c r="AJ1556" s="77"/>
      <c r="AK1556" s="77"/>
      <c r="AL1556" s="77"/>
      <c r="AM1556" s="77"/>
      <c r="AN1556" s="77"/>
      <c r="AO1556" s="77"/>
      <c r="AP1556" s="77"/>
      <c r="AQ1556" s="77" t="s">
        <v>12692</v>
      </c>
      <c r="AR1556" s="77"/>
      <c r="AS1556" s="77"/>
      <c r="AT1556" s="77"/>
      <c r="AU1556" s="77"/>
      <c r="AV1556" s="80" t="str">
        <f>HYPERLINK("https://pbs.twimg.com/media/F0N73HAXwAE3mPD.png")</f>
        <v>https://pbs.twimg.com/media/F0N73HAXwAE3mPD.png</v>
      </c>
      <c r="AW1556" s="82" t="s">
        <v>14649</v>
      </c>
      <c r="AX1556" s="82" t="s">
        <v>14649</v>
      </c>
      <c r="AY1556" s="77"/>
      <c r="AZ1556" s="82" t="s">
        <v>17385</v>
      </c>
      <c r="BA1556" s="82" t="s">
        <v>17385</v>
      </c>
      <c r="BB1556" s="82" t="s">
        <v>17385</v>
      </c>
      <c r="BC1556" s="82" t="s">
        <v>14649</v>
      </c>
      <c r="BD1556" s="77">
        <v>145317578</v>
      </c>
      <c r="BE1556" s="77"/>
      <c r="BF1556" s="77"/>
      <c r="BG1556" s="77"/>
      <c r="BH1556" s="77"/>
      <c r="BI1556" s="77"/>
    </row>
    <row r="1557" spans="1:61" x14ac:dyDescent="0.25">
      <c r="A1557" s="62" t="s">
        <v>494</v>
      </c>
      <c r="B1557" s="62" t="s">
        <v>773</v>
      </c>
      <c r="C1557" s="63"/>
      <c r="D1557" s="64"/>
      <c r="E1557" s="65"/>
      <c r="F1557" s="66"/>
      <c r="G1557" s="63"/>
      <c r="H1557" s="67"/>
      <c r="I1557" s="68"/>
      <c r="J1557" s="68"/>
      <c r="K1557" s="32"/>
      <c r="L1557" s="75">
        <v>1557</v>
      </c>
      <c r="M1557" s="75"/>
      <c r="N1557" s="70"/>
      <c r="O1557" s="77" t="s">
        <v>802</v>
      </c>
      <c r="P1557" s="79">
        <v>45097.008263888885</v>
      </c>
      <c r="Q1557" s="77" t="s">
        <v>2345</v>
      </c>
      <c r="R1557" s="77">
        <v>0</v>
      </c>
      <c r="S1557" s="77">
        <v>0</v>
      </c>
      <c r="T1557" s="77">
        <v>0</v>
      </c>
      <c r="U1557" s="77">
        <v>0</v>
      </c>
      <c r="V1557" s="77">
        <v>52</v>
      </c>
      <c r="W1557" s="82" t="s">
        <v>5773</v>
      </c>
      <c r="X1557" s="80" t="str">
        <f>HYPERLINK("https://www.spreaker.com/user/wladuarte/ep95-final-lucy")</f>
        <v>https://www.spreaker.com/user/wladuarte/ep95-final-lucy</v>
      </c>
      <c r="Y1557" s="77" t="s">
        <v>7116</v>
      </c>
      <c r="Z1557" s="77" t="s">
        <v>773</v>
      </c>
      <c r="AA1557" s="77"/>
      <c r="AB1557" s="77"/>
      <c r="AC1557" s="82" t="s">
        <v>8265</v>
      </c>
      <c r="AD1557" s="77" t="s">
        <v>8278</v>
      </c>
      <c r="AE1557" s="80" t="str">
        <f>HYPERLINK("https://twitter.com/wladuarte/status/1670947545332211712")</f>
        <v>https://twitter.com/wladuarte/status/1670947545332211712</v>
      </c>
      <c r="AF1557" s="79">
        <v>45097.008263888885</v>
      </c>
      <c r="AG1557" s="85">
        <v>45097</v>
      </c>
      <c r="AH1557" s="82" t="s">
        <v>9697</v>
      </c>
      <c r="AI1557" s="77" t="b">
        <v>0</v>
      </c>
      <c r="AJ1557" s="77"/>
      <c r="AK1557" s="77"/>
      <c r="AL1557" s="77"/>
      <c r="AM1557" s="77"/>
      <c r="AN1557" s="77"/>
      <c r="AO1557" s="77"/>
      <c r="AP1557" s="77"/>
      <c r="AQ1557" s="77"/>
      <c r="AR1557" s="77"/>
      <c r="AS1557" s="77"/>
      <c r="AT1557" s="77"/>
      <c r="AU1557" s="77"/>
      <c r="AV1557" s="80" t="str">
        <f>HYPERLINK("https://pbs.twimg.com/profile_images/1418198910791610370/mV5TwRwZ_normal.jpg")</f>
        <v>https://pbs.twimg.com/profile_images/1418198910791610370/mV5TwRwZ_normal.jpg</v>
      </c>
      <c r="AW1557" s="82" t="s">
        <v>14650</v>
      </c>
      <c r="AX1557" s="82" t="s">
        <v>14650</v>
      </c>
      <c r="AY1557" s="77"/>
      <c r="AZ1557" s="82" t="s">
        <v>17385</v>
      </c>
      <c r="BA1557" s="82" t="s">
        <v>17385</v>
      </c>
      <c r="BB1557" s="82" t="s">
        <v>17385</v>
      </c>
      <c r="BC1557" s="82" t="s">
        <v>14650</v>
      </c>
      <c r="BD1557" s="77">
        <v>40008185</v>
      </c>
      <c r="BE1557" s="77"/>
      <c r="BF1557" s="77"/>
      <c r="BG1557" s="77"/>
      <c r="BH1557" s="77"/>
      <c r="BI1557" s="77"/>
    </row>
    <row r="1558" spans="1:61" x14ac:dyDescent="0.25">
      <c r="A1558" s="62" t="s">
        <v>495</v>
      </c>
      <c r="B1558" s="62" t="s">
        <v>495</v>
      </c>
      <c r="C1558" s="63"/>
      <c r="D1558" s="64"/>
      <c r="E1558" s="65"/>
      <c r="F1558" s="66"/>
      <c r="G1558" s="63"/>
      <c r="H1558" s="67"/>
      <c r="I1558" s="68"/>
      <c r="J1558" s="68"/>
      <c r="K1558" s="32"/>
      <c r="L1558" s="75">
        <v>1558</v>
      </c>
      <c r="M1558" s="75"/>
      <c r="N1558" s="70"/>
      <c r="O1558" s="77" t="s">
        <v>179</v>
      </c>
      <c r="P1558" s="79">
        <v>45175.286053240743</v>
      </c>
      <c r="Q1558" s="77" t="s">
        <v>2346</v>
      </c>
      <c r="R1558" s="77">
        <v>1</v>
      </c>
      <c r="S1558" s="77">
        <v>1</v>
      </c>
      <c r="T1558" s="77">
        <v>0</v>
      </c>
      <c r="U1558" s="77">
        <v>0</v>
      </c>
      <c r="V1558" s="77">
        <v>22</v>
      </c>
      <c r="W1558" s="82" t="s">
        <v>5774</v>
      </c>
      <c r="X1558" s="80" t="str">
        <f>HYPERLINK("https://www.politicadistrital.com.br/2023/09/06/publicacao-do-cnmp-detalha-acoes-coordenadas-do-ministerio-publico-brasileiro-no-combate-a-covid-19/")</f>
        <v>https://www.politicadistrital.com.br/2023/09/06/publicacao-do-cnmp-detalha-acoes-coordenadas-do-ministerio-publico-brasileiro-no-combate-a-covid-19/</v>
      </c>
      <c r="Y1558" s="77" t="s">
        <v>7053</v>
      </c>
      <c r="Z1558" s="77"/>
      <c r="AA1558" s="77" t="s">
        <v>7808</v>
      </c>
      <c r="AB1558" s="77" t="s">
        <v>8225</v>
      </c>
      <c r="AC1558" s="82" t="s">
        <v>8232</v>
      </c>
      <c r="AD1558" s="77" t="s">
        <v>8278</v>
      </c>
      <c r="AE1558" s="80" t="str">
        <f>HYPERLINK("https://twitter.com/polidistrital/status/1699314465756389456")</f>
        <v>https://twitter.com/polidistrital/status/1699314465756389456</v>
      </c>
      <c r="AF1558" s="79">
        <v>45175.286053240743</v>
      </c>
      <c r="AG1558" s="85">
        <v>45175</v>
      </c>
      <c r="AH1558" s="82" t="s">
        <v>9698</v>
      </c>
      <c r="AI1558" s="77" t="b">
        <v>0</v>
      </c>
      <c r="AJ1558" s="77"/>
      <c r="AK1558" s="77"/>
      <c r="AL1558" s="77"/>
      <c r="AM1558" s="77"/>
      <c r="AN1558" s="77"/>
      <c r="AO1558" s="77"/>
      <c r="AP1558" s="77"/>
      <c r="AQ1558" s="77" t="s">
        <v>12693</v>
      </c>
      <c r="AR1558" s="77"/>
      <c r="AS1558" s="77"/>
      <c r="AT1558" s="77"/>
      <c r="AU1558" s="77"/>
      <c r="AV1558" s="80" t="str">
        <f>HYPERLINK("https://pbs.twimg.com/media/F5Utf0bW8AA4p7y.jpg")</f>
        <v>https://pbs.twimg.com/media/F5Utf0bW8AA4p7y.jpg</v>
      </c>
      <c r="AW1558" s="82" t="s">
        <v>14651</v>
      </c>
      <c r="AX1558" s="82" t="s">
        <v>14651</v>
      </c>
      <c r="AY1558" s="77"/>
      <c r="AZ1558" s="82" t="s">
        <v>17385</v>
      </c>
      <c r="BA1558" s="82" t="s">
        <v>17385</v>
      </c>
      <c r="BB1558" s="82" t="s">
        <v>17385</v>
      </c>
      <c r="BC1558" s="82" t="s">
        <v>14651</v>
      </c>
      <c r="BD1558" s="77">
        <v>61815962</v>
      </c>
      <c r="BE1558" s="77"/>
      <c r="BF1558" s="77"/>
      <c r="BG1558" s="77"/>
      <c r="BH1558" s="77"/>
      <c r="BI1558" s="77"/>
    </row>
    <row r="1559" spans="1:61" x14ac:dyDescent="0.25">
      <c r="A1559" s="62" t="s">
        <v>496</v>
      </c>
      <c r="B1559" s="62" t="s">
        <v>731</v>
      </c>
      <c r="C1559" s="63"/>
      <c r="D1559" s="64"/>
      <c r="E1559" s="65"/>
      <c r="F1559" s="66"/>
      <c r="G1559" s="63"/>
      <c r="H1559" s="67"/>
      <c r="I1559" s="68"/>
      <c r="J1559" s="68"/>
      <c r="K1559" s="32"/>
      <c r="L1559" s="75">
        <v>1559</v>
      </c>
      <c r="M1559" s="75"/>
      <c r="N1559" s="70"/>
      <c r="O1559" s="77" t="s">
        <v>802</v>
      </c>
      <c r="P1559" s="79">
        <v>45196.067187499997</v>
      </c>
      <c r="Q1559" s="77" t="s">
        <v>2347</v>
      </c>
      <c r="R1559" s="77">
        <v>0</v>
      </c>
      <c r="S1559" s="77">
        <v>1</v>
      </c>
      <c r="T1559" s="77">
        <v>0</v>
      </c>
      <c r="U1559" s="77">
        <v>0</v>
      </c>
      <c r="V1559" s="77">
        <v>2451</v>
      </c>
      <c r="W1559" s="82" t="s">
        <v>5775</v>
      </c>
      <c r="X1559" s="80" t="str">
        <f>HYPERLINK("https://youtube.com/shorts/0p4xe8UvqoY?si=LnNM4DZ88smhxq7U")</f>
        <v>https://youtube.com/shorts/0p4xe8UvqoY?si=LnNM4DZ88smhxq7U</v>
      </c>
      <c r="Y1559" s="77" t="s">
        <v>7065</v>
      </c>
      <c r="Z1559" s="77" t="s">
        <v>731</v>
      </c>
      <c r="AA1559" s="77"/>
      <c r="AB1559" s="77"/>
      <c r="AC1559" s="82" t="s">
        <v>8233</v>
      </c>
      <c r="AD1559" s="77" t="s">
        <v>8278</v>
      </c>
      <c r="AE1559" s="80" t="str">
        <f>HYPERLINK("https://twitter.com/rbreia/status/1706845297379606882")</f>
        <v>https://twitter.com/rbreia/status/1706845297379606882</v>
      </c>
      <c r="AF1559" s="79">
        <v>45196.067187499997</v>
      </c>
      <c r="AG1559" s="85">
        <v>45196</v>
      </c>
      <c r="AH1559" s="82" t="s">
        <v>9699</v>
      </c>
      <c r="AI1559" s="77" t="b">
        <v>0</v>
      </c>
      <c r="AJ1559" s="77"/>
      <c r="AK1559" s="77"/>
      <c r="AL1559" s="77"/>
      <c r="AM1559" s="77"/>
      <c r="AN1559" s="77"/>
      <c r="AO1559" s="77"/>
      <c r="AP1559" s="77"/>
      <c r="AQ1559" s="77"/>
      <c r="AR1559" s="77"/>
      <c r="AS1559" s="77"/>
      <c r="AT1559" s="77"/>
      <c r="AU1559" s="77"/>
      <c r="AV1559" s="80" t="str">
        <f>HYPERLINK("https://pbs.twimg.com/profile_images/1522674008482848770/ZppdBZ1n_normal.jpg")</f>
        <v>https://pbs.twimg.com/profile_images/1522674008482848770/ZppdBZ1n_normal.jpg</v>
      </c>
      <c r="AW1559" s="82" t="s">
        <v>14652</v>
      </c>
      <c r="AX1559" s="82" t="s">
        <v>14652</v>
      </c>
      <c r="AY1559" s="77"/>
      <c r="AZ1559" s="82" t="s">
        <v>17385</v>
      </c>
      <c r="BA1559" s="82" t="s">
        <v>17385</v>
      </c>
      <c r="BB1559" s="82" t="s">
        <v>17385</v>
      </c>
      <c r="BC1559" s="82" t="s">
        <v>14652</v>
      </c>
      <c r="BD1559" s="77">
        <v>56782939</v>
      </c>
      <c r="BE1559" s="77"/>
      <c r="BF1559" s="77"/>
      <c r="BG1559" s="77"/>
      <c r="BH1559" s="77"/>
      <c r="BI1559" s="77"/>
    </row>
    <row r="1560" spans="1:61" x14ac:dyDescent="0.25">
      <c r="A1560" s="62" t="s">
        <v>496</v>
      </c>
      <c r="B1560" s="62" t="s">
        <v>496</v>
      </c>
      <c r="C1560" s="63"/>
      <c r="D1560" s="64"/>
      <c r="E1560" s="65"/>
      <c r="F1560" s="66"/>
      <c r="G1560" s="63"/>
      <c r="H1560" s="67"/>
      <c r="I1560" s="68"/>
      <c r="J1560" s="68"/>
      <c r="K1560" s="32"/>
      <c r="L1560" s="75">
        <v>1560</v>
      </c>
      <c r="M1560" s="75"/>
      <c r="N1560" s="70"/>
      <c r="O1560" s="77" t="s">
        <v>179</v>
      </c>
      <c r="P1560" s="79">
        <v>45197.005428240744</v>
      </c>
      <c r="Q1560" s="77" t="s">
        <v>2348</v>
      </c>
      <c r="R1560" s="77">
        <v>0</v>
      </c>
      <c r="S1560" s="77">
        <v>1</v>
      </c>
      <c r="T1560" s="77">
        <v>0</v>
      </c>
      <c r="U1560" s="77">
        <v>0</v>
      </c>
      <c r="V1560" s="77">
        <v>2249</v>
      </c>
      <c r="W1560" s="82" t="s">
        <v>5776</v>
      </c>
      <c r="X1560" s="80" t="str">
        <f>HYPERLINK("https://youtube.com/shorts/eE4waiH5w0E?si=BIbOGJJzMVBn9KYI")</f>
        <v>https://youtube.com/shorts/eE4waiH5w0E?si=BIbOGJJzMVBn9KYI</v>
      </c>
      <c r="Y1560" s="77" t="s">
        <v>7065</v>
      </c>
      <c r="Z1560" s="77"/>
      <c r="AA1560" s="77"/>
      <c r="AB1560" s="77"/>
      <c r="AC1560" s="82" t="s">
        <v>8233</v>
      </c>
      <c r="AD1560" s="77" t="s">
        <v>8278</v>
      </c>
      <c r="AE1560" s="80" t="str">
        <f>HYPERLINK("https://twitter.com/rbreia/status/1707185306397479416")</f>
        <v>https://twitter.com/rbreia/status/1707185306397479416</v>
      </c>
      <c r="AF1560" s="79">
        <v>45197.005428240744</v>
      </c>
      <c r="AG1560" s="85">
        <v>45197</v>
      </c>
      <c r="AH1560" s="82" t="s">
        <v>9700</v>
      </c>
      <c r="AI1560" s="77" t="b">
        <v>0</v>
      </c>
      <c r="AJ1560" s="77"/>
      <c r="AK1560" s="77"/>
      <c r="AL1560" s="77"/>
      <c r="AM1560" s="77"/>
      <c r="AN1560" s="77"/>
      <c r="AO1560" s="77"/>
      <c r="AP1560" s="77"/>
      <c r="AQ1560" s="77"/>
      <c r="AR1560" s="77"/>
      <c r="AS1560" s="77"/>
      <c r="AT1560" s="77"/>
      <c r="AU1560" s="77"/>
      <c r="AV1560" s="80" t="str">
        <f>HYPERLINK("https://pbs.twimg.com/profile_images/1522674008482848770/ZppdBZ1n_normal.jpg")</f>
        <v>https://pbs.twimg.com/profile_images/1522674008482848770/ZppdBZ1n_normal.jpg</v>
      </c>
      <c r="AW1560" s="82" t="s">
        <v>14653</v>
      </c>
      <c r="AX1560" s="82" t="s">
        <v>14653</v>
      </c>
      <c r="AY1560" s="77"/>
      <c r="AZ1560" s="82" t="s">
        <v>17385</v>
      </c>
      <c r="BA1560" s="82" t="s">
        <v>17385</v>
      </c>
      <c r="BB1560" s="82" t="s">
        <v>17385</v>
      </c>
      <c r="BC1560" s="82" t="s">
        <v>14653</v>
      </c>
      <c r="BD1560" s="77">
        <v>56782939</v>
      </c>
      <c r="BE1560" s="77"/>
      <c r="BF1560" s="77"/>
      <c r="BG1560" s="77"/>
      <c r="BH1560" s="77"/>
      <c r="BI1560" s="77"/>
    </row>
    <row r="1561" spans="1:61" x14ac:dyDescent="0.25">
      <c r="A1561" s="62" t="s">
        <v>497</v>
      </c>
      <c r="B1561" s="62" t="s">
        <v>497</v>
      </c>
      <c r="C1561" s="63"/>
      <c r="D1561" s="64"/>
      <c r="E1561" s="65"/>
      <c r="F1561" s="66"/>
      <c r="G1561" s="63"/>
      <c r="H1561" s="67"/>
      <c r="I1561" s="68"/>
      <c r="J1561" s="68"/>
      <c r="K1561" s="32"/>
      <c r="L1561" s="75">
        <v>1561</v>
      </c>
      <c r="M1561" s="75"/>
      <c r="N1561" s="70"/>
      <c r="O1561" s="77" t="s">
        <v>179</v>
      </c>
      <c r="P1561" s="79">
        <v>45062.974409722221</v>
      </c>
      <c r="Q1561" s="77" t="s">
        <v>2349</v>
      </c>
      <c r="R1561" s="77">
        <v>0</v>
      </c>
      <c r="S1561" s="77">
        <v>0</v>
      </c>
      <c r="T1561" s="77">
        <v>0</v>
      </c>
      <c r="U1561" s="77">
        <v>0</v>
      </c>
      <c r="V1561" s="77">
        <v>3</v>
      </c>
      <c r="W1561" s="82" t="s">
        <v>5777</v>
      </c>
      <c r="X1561" s="77"/>
      <c r="Y1561" s="77"/>
      <c r="Z1561" s="77"/>
      <c r="AA1561" s="77" t="s">
        <v>7809</v>
      </c>
      <c r="AB1561" s="77" t="s">
        <v>8225</v>
      </c>
      <c r="AC1561" s="82" t="s">
        <v>8234</v>
      </c>
      <c r="AD1561" s="77" t="s">
        <v>8278</v>
      </c>
      <c r="AE1561" s="80" t="str">
        <f>HYPERLINK("https://twitter.com/dinheirovdd/status/1658614092163104776")</f>
        <v>https://twitter.com/dinheirovdd/status/1658614092163104776</v>
      </c>
      <c r="AF1561" s="79">
        <v>45062.974409722221</v>
      </c>
      <c r="AG1561" s="85">
        <v>45062</v>
      </c>
      <c r="AH1561" s="82" t="s">
        <v>9701</v>
      </c>
      <c r="AI1561" s="77" t="b">
        <v>0</v>
      </c>
      <c r="AJ1561" s="77"/>
      <c r="AK1561" s="77"/>
      <c r="AL1561" s="77"/>
      <c r="AM1561" s="77"/>
      <c r="AN1561" s="77"/>
      <c r="AO1561" s="77"/>
      <c r="AP1561" s="77"/>
      <c r="AQ1561" s="77" t="s">
        <v>12694</v>
      </c>
      <c r="AR1561" s="77"/>
      <c r="AS1561" s="77"/>
      <c r="AT1561" s="77"/>
      <c r="AU1561" s="77"/>
      <c r="AV1561" s="80" t="str">
        <f>HYPERLINK("https://pbs.twimg.com/media/FwSUukWXwAIPe0v.jpg")</f>
        <v>https://pbs.twimg.com/media/FwSUukWXwAIPe0v.jpg</v>
      </c>
      <c r="AW1561" s="82" t="s">
        <v>14654</v>
      </c>
      <c r="AX1561" s="82" t="s">
        <v>14654</v>
      </c>
      <c r="AY1561" s="77"/>
      <c r="AZ1561" s="82" t="s">
        <v>17385</v>
      </c>
      <c r="BA1561" s="82" t="s">
        <v>17385</v>
      </c>
      <c r="BB1561" s="82" t="s">
        <v>17385</v>
      </c>
      <c r="BC1561" s="82" t="s">
        <v>14654</v>
      </c>
      <c r="BD1561" s="82" t="s">
        <v>17583</v>
      </c>
      <c r="BE1561" s="77"/>
      <c r="BF1561" s="77"/>
      <c r="BG1561" s="77"/>
      <c r="BH1561" s="77"/>
      <c r="BI1561" s="77"/>
    </row>
    <row r="1562" spans="1:61" x14ac:dyDescent="0.25">
      <c r="A1562" s="62" t="s">
        <v>497</v>
      </c>
      <c r="B1562" s="62" t="s">
        <v>497</v>
      </c>
      <c r="C1562" s="63"/>
      <c r="D1562" s="64"/>
      <c r="E1562" s="65"/>
      <c r="F1562" s="66"/>
      <c r="G1562" s="63"/>
      <c r="H1562" s="67"/>
      <c r="I1562" s="68"/>
      <c r="J1562" s="68"/>
      <c r="K1562" s="32"/>
      <c r="L1562" s="75">
        <v>1562</v>
      </c>
      <c r="M1562" s="75"/>
      <c r="N1562" s="70"/>
      <c r="O1562" s="77" t="s">
        <v>179</v>
      </c>
      <c r="P1562" s="79">
        <v>45076.930590277778</v>
      </c>
      <c r="Q1562" s="77" t="s">
        <v>2350</v>
      </c>
      <c r="R1562" s="77">
        <v>0</v>
      </c>
      <c r="S1562" s="77">
        <v>0</v>
      </c>
      <c r="T1562" s="77">
        <v>0</v>
      </c>
      <c r="U1562" s="77">
        <v>0</v>
      </c>
      <c r="V1562" s="77">
        <v>19</v>
      </c>
      <c r="W1562" s="82" t="s">
        <v>5778</v>
      </c>
      <c r="X1562" s="77"/>
      <c r="Y1562" s="77"/>
      <c r="Z1562" s="77"/>
      <c r="AA1562" s="77" t="s">
        <v>7810</v>
      </c>
      <c r="AB1562" s="77" t="s">
        <v>8225</v>
      </c>
      <c r="AC1562" s="82" t="s">
        <v>8234</v>
      </c>
      <c r="AD1562" s="77" t="s">
        <v>8278</v>
      </c>
      <c r="AE1562" s="80" t="str">
        <f>HYPERLINK("https://twitter.com/dinheirovdd/status/1663671639714811908")</f>
        <v>https://twitter.com/dinheirovdd/status/1663671639714811908</v>
      </c>
      <c r="AF1562" s="79">
        <v>45076.930590277778</v>
      </c>
      <c r="AG1562" s="85">
        <v>45076</v>
      </c>
      <c r="AH1562" s="82" t="s">
        <v>9702</v>
      </c>
      <c r="AI1562" s="77" t="b">
        <v>0</v>
      </c>
      <c r="AJ1562" s="77"/>
      <c r="AK1562" s="77"/>
      <c r="AL1562" s="77"/>
      <c r="AM1562" s="77"/>
      <c r="AN1562" s="77"/>
      <c r="AO1562" s="77"/>
      <c r="AP1562" s="77"/>
      <c r="AQ1562" s="77" t="s">
        <v>12695</v>
      </c>
      <c r="AR1562" s="77"/>
      <c r="AS1562" s="77"/>
      <c r="AT1562" s="77"/>
      <c r="AU1562" s="77"/>
      <c r="AV1562" s="80" t="str">
        <f>HYPERLINK("https://pbs.twimg.com/media/FxaMiizXoAEvEj9.jpg")</f>
        <v>https://pbs.twimg.com/media/FxaMiizXoAEvEj9.jpg</v>
      </c>
      <c r="AW1562" s="82" t="s">
        <v>14655</v>
      </c>
      <c r="AX1562" s="82" t="s">
        <v>14655</v>
      </c>
      <c r="AY1562" s="77"/>
      <c r="AZ1562" s="82" t="s">
        <v>17385</v>
      </c>
      <c r="BA1562" s="82" t="s">
        <v>17385</v>
      </c>
      <c r="BB1562" s="82" t="s">
        <v>17385</v>
      </c>
      <c r="BC1562" s="82" t="s">
        <v>14655</v>
      </c>
      <c r="BD1562" s="82" t="s">
        <v>17583</v>
      </c>
      <c r="BE1562" s="77"/>
      <c r="BF1562" s="77"/>
      <c r="BG1562" s="77"/>
      <c r="BH1562" s="77"/>
      <c r="BI1562" s="77"/>
    </row>
    <row r="1563" spans="1:61" x14ac:dyDescent="0.25">
      <c r="A1563" s="62" t="s">
        <v>497</v>
      </c>
      <c r="B1563" s="62" t="s">
        <v>497</v>
      </c>
      <c r="C1563" s="63"/>
      <c r="D1563" s="64"/>
      <c r="E1563" s="65"/>
      <c r="F1563" s="66"/>
      <c r="G1563" s="63"/>
      <c r="H1563" s="67"/>
      <c r="I1563" s="68"/>
      <c r="J1563" s="68"/>
      <c r="K1563" s="32"/>
      <c r="L1563" s="75">
        <v>1563</v>
      </c>
      <c r="M1563" s="75"/>
      <c r="N1563" s="70"/>
      <c r="O1563" s="77" t="s">
        <v>179</v>
      </c>
      <c r="P1563" s="79">
        <v>45046.108136574076</v>
      </c>
      <c r="Q1563" s="77" t="s">
        <v>2351</v>
      </c>
      <c r="R1563" s="77">
        <v>0</v>
      </c>
      <c r="S1563" s="77">
        <v>0</v>
      </c>
      <c r="T1563" s="77">
        <v>1</v>
      </c>
      <c r="U1563" s="77">
        <v>0</v>
      </c>
      <c r="V1563" s="77">
        <v>9</v>
      </c>
      <c r="W1563" s="82" t="s">
        <v>5779</v>
      </c>
      <c r="X1563" s="77"/>
      <c r="Y1563" s="77"/>
      <c r="Z1563" s="77"/>
      <c r="AA1563" s="77" t="s">
        <v>7811</v>
      </c>
      <c r="AB1563" s="77" t="s">
        <v>8226</v>
      </c>
      <c r="AC1563" s="82" t="s">
        <v>8234</v>
      </c>
      <c r="AD1563" s="77" t="s">
        <v>8278</v>
      </c>
      <c r="AE1563" s="80" t="str">
        <f>HYPERLINK("https://twitter.com/dinheirovdd/status/1652501958198960128")</f>
        <v>https://twitter.com/dinheirovdd/status/1652501958198960128</v>
      </c>
      <c r="AF1563" s="79">
        <v>45046.108136574076</v>
      </c>
      <c r="AG1563" s="85">
        <v>45046</v>
      </c>
      <c r="AH1563" s="82" t="s">
        <v>9703</v>
      </c>
      <c r="AI1563" s="77" t="b">
        <v>0</v>
      </c>
      <c r="AJ1563" s="77"/>
      <c r="AK1563" s="77"/>
      <c r="AL1563" s="77"/>
      <c r="AM1563" s="77"/>
      <c r="AN1563" s="77"/>
      <c r="AO1563" s="77"/>
      <c r="AP1563" s="77"/>
      <c r="AQ1563" s="77" t="s">
        <v>12696</v>
      </c>
      <c r="AR1563" s="77"/>
      <c r="AS1563" s="77"/>
      <c r="AT1563" s="77"/>
      <c r="AU1563" s="77"/>
      <c r="AV1563" s="80" t="str">
        <f>HYPERLINK("https://pbs.twimg.com/media/Fu7dwzKXsAET6Ca.jpg")</f>
        <v>https://pbs.twimg.com/media/Fu7dwzKXsAET6Ca.jpg</v>
      </c>
      <c r="AW1563" s="82" t="s">
        <v>14656</v>
      </c>
      <c r="AX1563" s="82" t="s">
        <v>14656</v>
      </c>
      <c r="AY1563" s="77"/>
      <c r="AZ1563" s="82" t="s">
        <v>17385</v>
      </c>
      <c r="BA1563" s="82" t="s">
        <v>17385</v>
      </c>
      <c r="BB1563" s="82" t="s">
        <v>17385</v>
      </c>
      <c r="BC1563" s="82" t="s">
        <v>14656</v>
      </c>
      <c r="BD1563" s="82" t="s">
        <v>17583</v>
      </c>
      <c r="BE1563" s="77"/>
      <c r="BF1563" s="77"/>
      <c r="BG1563" s="77"/>
      <c r="BH1563" s="77"/>
      <c r="BI1563" s="77"/>
    </row>
    <row r="1564" spans="1:61" x14ac:dyDescent="0.25">
      <c r="A1564" s="62" t="s">
        <v>497</v>
      </c>
      <c r="B1564" s="62" t="s">
        <v>497</v>
      </c>
      <c r="C1564" s="63"/>
      <c r="D1564" s="64"/>
      <c r="E1564" s="65"/>
      <c r="F1564" s="66"/>
      <c r="G1564" s="63"/>
      <c r="H1564" s="67"/>
      <c r="I1564" s="68"/>
      <c r="J1564" s="68"/>
      <c r="K1564" s="32"/>
      <c r="L1564" s="75">
        <v>1564</v>
      </c>
      <c r="M1564" s="75"/>
      <c r="N1564" s="70"/>
      <c r="O1564" s="77" t="s">
        <v>179</v>
      </c>
      <c r="P1564" s="79">
        <v>45084.876180555555</v>
      </c>
      <c r="Q1564" s="77" t="s">
        <v>2352</v>
      </c>
      <c r="R1564" s="77">
        <v>0</v>
      </c>
      <c r="S1564" s="77">
        <v>0</v>
      </c>
      <c r="T1564" s="77">
        <v>0</v>
      </c>
      <c r="U1564" s="77">
        <v>0</v>
      </c>
      <c r="V1564" s="77">
        <v>2</v>
      </c>
      <c r="W1564" s="82" t="s">
        <v>5780</v>
      </c>
      <c r="X1564" s="77"/>
      <c r="Y1564" s="77"/>
      <c r="Z1564" s="77"/>
      <c r="AA1564" s="77" t="s">
        <v>7812</v>
      </c>
      <c r="AB1564" s="77" t="s">
        <v>8225</v>
      </c>
      <c r="AC1564" s="82" t="s">
        <v>8234</v>
      </c>
      <c r="AD1564" s="77" t="s">
        <v>8278</v>
      </c>
      <c r="AE1564" s="80" t="str">
        <f>HYPERLINK("https://twitter.com/dinheirovdd/status/1666551028819410951")</f>
        <v>https://twitter.com/dinheirovdd/status/1666551028819410951</v>
      </c>
      <c r="AF1564" s="79">
        <v>45084.876180555555</v>
      </c>
      <c r="AG1564" s="85">
        <v>45084</v>
      </c>
      <c r="AH1564" s="82" t="s">
        <v>9704</v>
      </c>
      <c r="AI1564" s="77" t="b">
        <v>0</v>
      </c>
      <c r="AJ1564" s="77"/>
      <c r="AK1564" s="77"/>
      <c r="AL1564" s="77"/>
      <c r="AM1564" s="77"/>
      <c r="AN1564" s="77"/>
      <c r="AO1564" s="77"/>
      <c r="AP1564" s="77"/>
      <c r="AQ1564" s="77" t="s">
        <v>12697</v>
      </c>
      <c r="AR1564" s="77"/>
      <c r="AS1564" s="77"/>
      <c r="AT1564" s="77"/>
      <c r="AU1564" s="77"/>
      <c r="AV1564" s="80" t="str">
        <f>HYPERLINK("https://pbs.twimg.com/media/FyDHVFJXwAAVm-B.jpg")</f>
        <v>https://pbs.twimg.com/media/FyDHVFJXwAAVm-B.jpg</v>
      </c>
      <c r="AW1564" s="82" t="s">
        <v>14657</v>
      </c>
      <c r="AX1564" s="82" t="s">
        <v>14657</v>
      </c>
      <c r="AY1564" s="77"/>
      <c r="AZ1564" s="82" t="s">
        <v>17385</v>
      </c>
      <c r="BA1564" s="82" t="s">
        <v>17385</v>
      </c>
      <c r="BB1564" s="82" t="s">
        <v>17385</v>
      </c>
      <c r="BC1564" s="82" t="s">
        <v>14657</v>
      </c>
      <c r="BD1564" s="82" t="s">
        <v>17583</v>
      </c>
      <c r="BE1564" s="77"/>
      <c r="BF1564" s="77"/>
      <c r="BG1564" s="77"/>
      <c r="BH1564" s="77"/>
      <c r="BI1564" s="77"/>
    </row>
    <row r="1565" spans="1:61" x14ac:dyDescent="0.25">
      <c r="A1565" s="62" t="s">
        <v>497</v>
      </c>
      <c r="B1565" s="62" t="s">
        <v>497</v>
      </c>
      <c r="C1565" s="63"/>
      <c r="D1565" s="64"/>
      <c r="E1565" s="65"/>
      <c r="F1565" s="66"/>
      <c r="G1565" s="63"/>
      <c r="H1565" s="67"/>
      <c r="I1565" s="68"/>
      <c r="J1565" s="68"/>
      <c r="K1565" s="32"/>
      <c r="L1565" s="75">
        <v>1565</v>
      </c>
      <c r="M1565" s="75"/>
      <c r="N1565" s="70"/>
      <c r="O1565" s="77" t="s">
        <v>179</v>
      </c>
      <c r="P1565" s="79">
        <v>45118.931331018517</v>
      </c>
      <c r="Q1565" s="77" t="s">
        <v>2353</v>
      </c>
      <c r="R1565" s="77">
        <v>0</v>
      </c>
      <c r="S1565" s="77">
        <v>0</v>
      </c>
      <c r="T1565" s="77">
        <v>1</v>
      </c>
      <c r="U1565" s="77">
        <v>0</v>
      </c>
      <c r="V1565" s="77">
        <v>7</v>
      </c>
      <c r="W1565" s="82" t="s">
        <v>5781</v>
      </c>
      <c r="X1565" s="77"/>
      <c r="Y1565" s="77"/>
      <c r="Z1565" s="77"/>
      <c r="AA1565" s="77" t="s">
        <v>7813</v>
      </c>
      <c r="AB1565" s="77" t="s">
        <v>8225</v>
      </c>
      <c r="AC1565" s="82" t="s">
        <v>8234</v>
      </c>
      <c r="AD1565" s="77" t="s">
        <v>8278</v>
      </c>
      <c r="AE1565" s="80" t="str">
        <f>HYPERLINK("https://twitter.com/dinheirovdd/status/1678892200921292801")</f>
        <v>https://twitter.com/dinheirovdd/status/1678892200921292801</v>
      </c>
      <c r="AF1565" s="79">
        <v>45118.931331018517</v>
      </c>
      <c r="AG1565" s="85">
        <v>45118</v>
      </c>
      <c r="AH1565" s="82" t="s">
        <v>9705</v>
      </c>
      <c r="AI1565" s="77" t="b">
        <v>0</v>
      </c>
      <c r="AJ1565" s="77"/>
      <c r="AK1565" s="77"/>
      <c r="AL1565" s="77"/>
      <c r="AM1565" s="77"/>
      <c r="AN1565" s="77"/>
      <c r="AO1565" s="77"/>
      <c r="AP1565" s="77"/>
      <c r="AQ1565" s="77" t="s">
        <v>12698</v>
      </c>
      <c r="AR1565" s="77"/>
      <c r="AS1565" s="77"/>
      <c r="AT1565" s="77"/>
      <c r="AU1565" s="77"/>
      <c r="AV1565" s="80" t="str">
        <f>HYPERLINK("https://pbs.twimg.com/media/F0yfj1_XsAIq_cj.jpg")</f>
        <v>https://pbs.twimg.com/media/F0yfj1_XsAIq_cj.jpg</v>
      </c>
      <c r="AW1565" s="82" t="s">
        <v>14658</v>
      </c>
      <c r="AX1565" s="82" t="s">
        <v>14658</v>
      </c>
      <c r="AY1565" s="77"/>
      <c r="AZ1565" s="82" t="s">
        <v>17385</v>
      </c>
      <c r="BA1565" s="82" t="s">
        <v>17385</v>
      </c>
      <c r="BB1565" s="82" t="s">
        <v>17385</v>
      </c>
      <c r="BC1565" s="82" t="s">
        <v>14658</v>
      </c>
      <c r="BD1565" s="82" t="s">
        <v>17583</v>
      </c>
      <c r="BE1565" s="77"/>
      <c r="BF1565" s="77"/>
      <c r="BG1565" s="77"/>
      <c r="BH1565" s="77"/>
      <c r="BI1565" s="77"/>
    </row>
    <row r="1566" spans="1:61" x14ac:dyDescent="0.25">
      <c r="A1566" s="62" t="s">
        <v>497</v>
      </c>
      <c r="B1566" s="62" t="s">
        <v>497</v>
      </c>
      <c r="C1566" s="63"/>
      <c r="D1566" s="64"/>
      <c r="E1566" s="65"/>
      <c r="F1566" s="66"/>
      <c r="G1566" s="63"/>
      <c r="H1566" s="67"/>
      <c r="I1566" s="68"/>
      <c r="J1566" s="68"/>
      <c r="K1566" s="32"/>
      <c r="L1566" s="75">
        <v>1566</v>
      </c>
      <c r="M1566" s="75"/>
      <c r="N1566" s="70"/>
      <c r="O1566" s="77" t="s">
        <v>179</v>
      </c>
      <c r="P1566" s="79">
        <v>45055.978344907409</v>
      </c>
      <c r="Q1566" s="77" t="s">
        <v>2354</v>
      </c>
      <c r="R1566" s="77">
        <v>0</v>
      </c>
      <c r="S1566" s="77">
        <v>0</v>
      </c>
      <c r="T1566" s="77">
        <v>0</v>
      </c>
      <c r="U1566" s="77">
        <v>0</v>
      </c>
      <c r="V1566" s="77">
        <v>9</v>
      </c>
      <c r="W1566" s="82" t="s">
        <v>5782</v>
      </c>
      <c r="X1566" s="77"/>
      <c r="Y1566" s="77"/>
      <c r="Z1566" s="77"/>
      <c r="AA1566" s="77" t="s">
        <v>7814</v>
      </c>
      <c r="AB1566" s="77" t="s">
        <v>8225</v>
      </c>
      <c r="AC1566" s="82" t="s">
        <v>8234</v>
      </c>
      <c r="AD1566" s="77" t="s">
        <v>8278</v>
      </c>
      <c r="AE1566" s="80" t="str">
        <f>HYPERLINK("https://twitter.com/dinheirovdd/status/1656078803733495808")</f>
        <v>https://twitter.com/dinheirovdd/status/1656078803733495808</v>
      </c>
      <c r="AF1566" s="79">
        <v>45055.978344907409</v>
      </c>
      <c r="AG1566" s="85">
        <v>45055</v>
      </c>
      <c r="AH1566" s="82" t="s">
        <v>9706</v>
      </c>
      <c r="AI1566" s="77" t="b">
        <v>0</v>
      </c>
      <c r="AJ1566" s="77"/>
      <c r="AK1566" s="77"/>
      <c r="AL1566" s="77"/>
      <c r="AM1566" s="77"/>
      <c r="AN1566" s="77"/>
      <c r="AO1566" s="77"/>
      <c r="AP1566" s="77"/>
      <c r="AQ1566" s="77" t="s">
        <v>12699</v>
      </c>
      <c r="AR1566" s="77"/>
      <c r="AS1566" s="77"/>
      <c r="AT1566" s="77"/>
      <c r="AU1566" s="77"/>
      <c r="AV1566" s="80" t="str">
        <f>HYPERLINK("https://pbs.twimg.com/media/FvuS5UOXwAA0adq.jpg")</f>
        <v>https://pbs.twimg.com/media/FvuS5UOXwAA0adq.jpg</v>
      </c>
      <c r="AW1566" s="82" t="s">
        <v>14659</v>
      </c>
      <c r="AX1566" s="82" t="s">
        <v>14659</v>
      </c>
      <c r="AY1566" s="77"/>
      <c r="AZ1566" s="82" t="s">
        <v>17385</v>
      </c>
      <c r="BA1566" s="82" t="s">
        <v>17385</v>
      </c>
      <c r="BB1566" s="82" t="s">
        <v>17385</v>
      </c>
      <c r="BC1566" s="82" t="s">
        <v>14659</v>
      </c>
      <c r="BD1566" s="82" t="s">
        <v>17583</v>
      </c>
      <c r="BE1566" s="77"/>
      <c r="BF1566" s="77"/>
      <c r="BG1566" s="77"/>
      <c r="BH1566" s="77"/>
      <c r="BI1566" s="77"/>
    </row>
    <row r="1567" spans="1:61" x14ac:dyDescent="0.25">
      <c r="A1567" s="62" t="s">
        <v>497</v>
      </c>
      <c r="B1567" s="62" t="s">
        <v>497</v>
      </c>
      <c r="C1567" s="63"/>
      <c r="D1567" s="64"/>
      <c r="E1567" s="65"/>
      <c r="F1567" s="66"/>
      <c r="G1567" s="63"/>
      <c r="H1567" s="67"/>
      <c r="I1567" s="68"/>
      <c r="J1567" s="68"/>
      <c r="K1567" s="32"/>
      <c r="L1567" s="75">
        <v>1567</v>
      </c>
      <c r="M1567" s="75"/>
      <c r="N1567" s="70"/>
      <c r="O1567" s="77" t="s">
        <v>179</v>
      </c>
      <c r="P1567" s="79">
        <v>45139.932581018518</v>
      </c>
      <c r="Q1567" s="77" t="s">
        <v>2355</v>
      </c>
      <c r="R1567" s="77">
        <v>0</v>
      </c>
      <c r="S1567" s="77">
        <v>0</v>
      </c>
      <c r="T1567" s="77">
        <v>0</v>
      </c>
      <c r="U1567" s="77">
        <v>0</v>
      </c>
      <c r="V1567" s="77">
        <v>51</v>
      </c>
      <c r="W1567" s="82" t="s">
        <v>5783</v>
      </c>
      <c r="X1567" s="77"/>
      <c r="Y1567" s="77"/>
      <c r="Z1567" s="77"/>
      <c r="AA1567" s="77" t="s">
        <v>7815</v>
      </c>
      <c r="AB1567" s="77" t="s">
        <v>8225</v>
      </c>
      <c r="AC1567" s="82" t="s">
        <v>8234</v>
      </c>
      <c r="AD1567" s="77" t="s">
        <v>8278</v>
      </c>
      <c r="AE1567" s="80" t="str">
        <f>HYPERLINK("https://twitter.com/dinheirovdd/status/1686502799587102720")</f>
        <v>https://twitter.com/dinheirovdd/status/1686502799587102720</v>
      </c>
      <c r="AF1567" s="79">
        <v>45139.932581018518</v>
      </c>
      <c r="AG1567" s="85">
        <v>45139</v>
      </c>
      <c r="AH1567" s="82" t="s">
        <v>9707</v>
      </c>
      <c r="AI1567" s="77" t="b">
        <v>0</v>
      </c>
      <c r="AJ1567" s="77"/>
      <c r="AK1567" s="77"/>
      <c r="AL1567" s="77"/>
      <c r="AM1567" s="77"/>
      <c r="AN1567" s="77"/>
      <c r="AO1567" s="77"/>
      <c r="AP1567" s="77"/>
      <c r="AQ1567" s="77" t="s">
        <v>12700</v>
      </c>
      <c r="AR1567" s="77"/>
      <c r="AS1567" s="77"/>
      <c r="AT1567" s="77"/>
      <c r="AU1567" s="77"/>
      <c r="AV1567" s="80" t="str">
        <f>HYPERLINK("https://pbs.twimg.com/media/F2epW9CbMAEtCZm.jpg")</f>
        <v>https://pbs.twimg.com/media/F2epW9CbMAEtCZm.jpg</v>
      </c>
      <c r="AW1567" s="82" t="s">
        <v>14660</v>
      </c>
      <c r="AX1567" s="82" t="s">
        <v>14660</v>
      </c>
      <c r="AY1567" s="77"/>
      <c r="AZ1567" s="82" t="s">
        <v>17385</v>
      </c>
      <c r="BA1567" s="82" t="s">
        <v>17385</v>
      </c>
      <c r="BB1567" s="82" t="s">
        <v>17385</v>
      </c>
      <c r="BC1567" s="82" t="s">
        <v>14660</v>
      </c>
      <c r="BD1567" s="82" t="s">
        <v>17583</v>
      </c>
      <c r="BE1567" s="77"/>
      <c r="BF1567" s="77"/>
      <c r="BG1567" s="77"/>
      <c r="BH1567" s="77"/>
      <c r="BI1567" s="77"/>
    </row>
    <row r="1568" spans="1:61" x14ac:dyDescent="0.25">
      <c r="A1568" s="62" t="s">
        <v>498</v>
      </c>
      <c r="B1568" s="62" t="s">
        <v>498</v>
      </c>
      <c r="C1568" s="63"/>
      <c r="D1568" s="64"/>
      <c r="E1568" s="65"/>
      <c r="F1568" s="66"/>
      <c r="G1568" s="63"/>
      <c r="H1568" s="67"/>
      <c r="I1568" s="68"/>
      <c r="J1568" s="68"/>
      <c r="K1568" s="32"/>
      <c r="L1568" s="75">
        <v>1568</v>
      </c>
      <c r="M1568" s="75"/>
      <c r="N1568" s="70"/>
      <c r="O1568" s="77" t="s">
        <v>179</v>
      </c>
      <c r="P1568" s="79">
        <v>45184.004479166666</v>
      </c>
      <c r="Q1568" s="77" t="s">
        <v>2356</v>
      </c>
      <c r="R1568" s="77">
        <v>0</v>
      </c>
      <c r="S1568" s="77">
        <v>0</v>
      </c>
      <c r="T1568" s="77">
        <v>0</v>
      </c>
      <c r="U1568" s="77">
        <v>0</v>
      </c>
      <c r="V1568" s="77">
        <v>31</v>
      </c>
      <c r="W1568" s="82" t="s">
        <v>5784</v>
      </c>
      <c r="X1568" s="77"/>
      <c r="Y1568" s="77"/>
      <c r="Z1568" s="77"/>
      <c r="AA1568" s="77" t="s">
        <v>7816</v>
      </c>
      <c r="AB1568" s="77" t="s">
        <v>8227</v>
      </c>
      <c r="AC1568" s="82" t="s">
        <v>8233</v>
      </c>
      <c r="AD1568" s="77" t="s">
        <v>8278</v>
      </c>
      <c r="AE1568" s="80" t="str">
        <f>HYPERLINK("https://twitter.com/gabrielrigon86/status/1702473920564134097")</f>
        <v>https://twitter.com/gabrielrigon86/status/1702473920564134097</v>
      </c>
      <c r="AF1568" s="79">
        <v>45184.004479166666</v>
      </c>
      <c r="AG1568" s="85">
        <v>45184</v>
      </c>
      <c r="AH1568" s="82" t="s">
        <v>9708</v>
      </c>
      <c r="AI1568" s="77" t="b">
        <v>0</v>
      </c>
      <c r="AJ1568" s="77"/>
      <c r="AK1568" s="77"/>
      <c r="AL1568" s="77"/>
      <c r="AM1568" s="77"/>
      <c r="AN1568" s="77"/>
      <c r="AO1568" s="77"/>
      <c r="AP1568" s="77"/>
      <c r="AQ1568" s="77" t="s">
        <v>12701</v>
      </c>
      <c r="AR1568" s="77">
        <v>42215</v>
      </c>
      <c r="AS1568" s="77"/>
      <c r="AT1568" s="77"/>
      <c r="AU1568" s="77"/>
      <c r="AV1568" s="80" t="str">
        <f>HYPERLINK("https://pbs.twimg.com/ext_tw_video_thumb/1702473845771206656/pu/img/lYXVFDRspSMC44st.jpg")</f>
        <v>https://pbs.twimg.com/ext_tw_video_thumb/1702473845771206656/pu/img/lYXVFDRspSMC44st.jpg</v>
      </c>
      <c r="AW1568" s="82" t="s">
        <v>14661</v>
      </c>
      <c r="AX1568" s="82" t="s">
        <v>14661</v>
      </c>
      <c r="AY1568" s="77"/>
      <c r="AZ1568" s="82" t="s">
        <v>17385</v>
      </c>
      <c r="BA1568" s="82" t="s">
        <v>17385</v>
      </c>
      <c r="BB1568" s="82" t="s">
        <v>17385</v>
      </c>
      <c r="BC1568" s="82" t="s">
        <v>14661</v>
      </c>
      <c r="BD1568" s="82" t="s">
        <v>17584</v>
      </c>
      <c r="BE1568" s="77"/>
      <c r="BF1568" s="77"/>
      <c r="BG1568" s="77"/>
      <c r="BH1568" s="77"/>
      <c r="BI1568" s="77"/>
    </row>
    <row r="1569" spans="1:61" x14ac:dyDescent="0.25">
      <c r="A1569" s="62" t="s">
        <v>499</v>
      </c>
      <c r="B1569" s="62" t="s">
        <v>774</v>
      </c>
      <c r="C1569" s="63"/>
      <c r="D1569" s="64"/>
      <c r="E1569" s="65"/>
      <c r="F1569" s="66"/>
      <c r="G1569" s="63"/>
      <c r="H1569" s="67"/>
      <c r="I1569" s="68"/>
      <c r="J1569" s="68"/>
      <c r="K1569" s="32"/>
      <c r="L1569" s="75">
        <v>1569</v>
      </c>
      <c r="M1569" s="75"/>
      <c r="N1569" s="70"/>
      <c r="O1569" s="77" t="s">
        <v>802</v>
      </c>
      <c r="P1569" s="79">
        <v>45142.517118055555</v>
      </c>
      <c r="Q1569" s="77" t="s">
        <v>2357</v>
      </c>
      <c r="R1569" s="77">
        <v>0</v>
      </c>
      <c r="S1569" s="77">
        <v>0</v>
      </c>
      <c r="T1569" s="77">
        <v>0</v>
      </c>
      <c r="U1569" s="77">
        <v>0</v>
      </c>
      <c r="V1569" s="77">
        <v>41</v>
      </c>
      <c r="W1569" s="82" t="s">
        <v>5785</v>
      </c>
      <c r="X1569" s="80" t="str">
        <f>HYPERLINK("https://www.youtube.com/live/HAxrkXVpbSI?feature=share")</f>
        <v>https://www.youtube.com/live/HAxrkXVpbSI?feature=share</v>
      </c>
      <c r="Y1569" s="77" t="s">
        <v>7065</v>
      </c>
      <c r="Z1569" s="77" t="s">
        <v>774</v>
      </c>
      <c r="AA1569" s="77"/>
      <c r="AB1569" s="77"/>
      <c r="AC1569" s="82" t="s">
        <v>8232</v>
      </c>
      <c r="AD1569" s="77" t="s">
        <v>8278</v>
      </c>
      <c r="AE1569" s="80" t="str">
        <f>HYPERLINK("https://twitter.com/charlesfibonacc/status/1687439402425790465")</f>
        <v>https://twitter.com/charlesfibonacc/status/1687439402425790465</v>
      </c>
      <c r="AF1569" s="79">
        <v>45142.517118055555</v>
      </c>
      <c r="AG1569" s="85">
        <v>45142</v>
      </c>
      <c r="AH1569" s="82" t="s">
        <v>9709</v>
      </c>
      <c r="AI1569" s="77" t="b">
        <v>0</v>
      </c>
      <c r="AJ1569" s="77"/>
      <c r="AK1569" s="77"/>
      <c r="AL1569" s="77"/>
      <c r="AM1569" s="77"/>
      <c r="AN1569" s="77"/>
      <c r="AO1569" s="77"/>
      <c r="AP1569" s="77"/>
      <c r="AQ1569" s="77"/>
      <c r="AR1569" s="77"/>
      <c r="AS1569" s="77"/>
      <c r="AT1569" s="77"/>
      <c r="AU1569" s="77"/>
      <c r="AV1569" s="80" t="str">
        <f>HYPERLINK("https://pbs.twimg.com/profile_images/1539234851198492678/gKZ0CP6m_normal.jpg")</f>
        <v>https://pbs.twimg.com/profile_images/1539234851198492678/gKZ0CP6m_normal.jpg</v>
      </c>
      <c r="AW1569" s="82" t="s">
        <v>14662</v>
      </c>
      <c r="AX1569" s="82" t="s">
        <v>14662</v>
      </c>
      <c r="AY1569" s="77"/>
      <c r="AZ1569" s="82" t="s">
        <v>17385</v>
      </c>
      <c r="BA1569" s="82" t="s">
        <v>17385</v>
      </c>
      <c r="BB1569" s="82" t="s">
        <v>17385</v>
      </c>
      <c r="BC1569" s="82" t="s">
        <v>14662</v>
      </c>
      <c r="BD1569" s="82" t="s">
        <v>17585</v>
      </c>
      <c r="BE1569" s="77"/>
      <c r="BF1569" s="77"/>
      <c r="BG1569" s="77"/>
      <c r="BH1569" s="77"/>
      <c r="BI1569" s="77"/>
    </row>
    <row r="1570" spans="1:61" x14ac:dyDescent="0.25">
      <c r="A1570" s="62" t="s">
        <v>499</v>
      </c>
      <c r="B1570" s="62" t="s">
        <v>775</v>
      </c>
      <c r="C1570" s="63"/>
      <c r="D1570" s="64"/>
      <c r="E1570" s="65"/>
      <c r="F1570" s="66"/>
      <c r="G1570" s="63"/>
      <c r="H1570" s="67"/>
      <c r="I1570" s="68"/>
      <c r="J1570" s="68"/>
      <c r="K1570" s="32"/>
      <c r="L1570" s="75">
        <v>1570</v>
      </c>
      <c r="M1570" s="75"/>
      <c r="N1570" s="70"/>
      <c r="O1570" s="77" t="s">
        <v>802</v>
      </c>
      <c r="P1570" s="79">
        <v>45148.521493055552</v>
      </c>
      <c r="Q1570" s="77" t="s">
        <v>2358</v>
      </c>
      <c r="R1570" s="77">
        <v>0</v>
      </c>
      <c r="S1570" s="77">
        <v>2</v>
      </c>
      <c r="T1570" s="77">
        <v>1</v>
      </c>
      <c r="U1570" s="77">
        <v>0</v>
      </c>
      <c r="V1570" s="77">
        <v>48</v>
      </c>
      <c r="W1570" s="82" t="s">
        <v>5786</v>
      </c>
      <c r="X1570" s="80" t="str">
        <f>HYPERLINK("https://www.youtube.com/live/WeTrLcgC65I?feature=share")</f>
        <v>https://www.youtube.com/live/WeTrLcgC65I?feature=share</v>
      </c>
      <c r="Y1570" s="77" t="s">
        <v>7065</v>
      </c>
      <c r="Z1570" s="77" t="s">
        <v>7162</v>
      </c>
      <c r="AA1570" s="77"/>
      <c r="AB1570" s="77"/>
      <c r="AC1570" s="82" t="s">
        <v>8232</v>
      </c>
      <c r="AD1570" s="77" t="s">
        <v>8278</v>
      </c>
      <c r="AE1570" s="80" t="str">
        <f>HYPERLINK("https://twitter.com/charlesfibonacc/status/1689615315729084416")</f>
        <v>https://twitter.com/charlesfibonacc/status/1689615315729084416</v>
      </c>
      <c r="AF1570" s="79">
        <v>45148.521493055552</v>
      </c>
      <c r="AG1570" s="85">
        <v>45148</v>
      </c>
      <c r="AH1570" s="82" t="s">
        <v>9710</v>
      </c>
      <c r="AI1570" s="77" t="b">
        <v>0</v>
      </c>
      <c r="AJ1570" s="77"/>
      <c r="AK1570" s="77"/>
      <c r="AL1570" s="77"/>
      <c r="AM1570" s="77"/>
      <c r="AN1570" s="77"/>
      <c r="AO1570" s="77"/>
      <c r="AP1570" s="77"/>
      <c r="AQ1570" s="77"/>
      <c r="AR1570" s="77"/>
      <c r="AS1570" s="77"/>
      <c r="AT1570" s="77"/>
      <c r="AU1570" s="77"/>
      <c r="AV1570" s="80" t="str">
        <f>HYPERLINK("https://pbs.twimg.com/profile_images/1539234851198492678/gKZ0CP6m_normal.jpg")</f>
        <v>https://pbs.twimg.com/profile_images/1539234851198492678/gKZ0CP6m_normal.jpg</v>
      </c>
      <c r="AW1570" s="82" t="s">
        <v>14663</v>
      </c>
      <c r="AX1570" s="82" t="s">
        <v>14663</v>
      </c>
      <c r="AY1570" s="77"/>
      <c r="AZ1570" s="82" t="s">
        <v>17385</v>
      </c>
      <c r="BA1570" s="82" t="s">
        <v>17385</v>
      </c>
      <c r="BB1570" s="82" t="s">
        <v>17385</v>
      </c>
      <c r="BC1570" s="82" t="s">
        <v>14663</v>
      </c>
      <c r="BD1570" s="82" t="s">
        <v>17585</v>
      </c>
      <c r="BE1570" s="77"/>
      <c r="BF1570" s="77"/>
      <c r="BG1570" s="77"/>
      <c r="BH1570" s="77"/>
      <c r="BI1570" s="77"/>
    </row>
    <row r="1571" spans="1:61" x14ac:dyDescent="0.25">
      <c r="A1571" s="62" t="s">
        <v>499</v>
      </c>
      <c r="B1571" s="62" t="s">
        <v>776</v>
      </c>
      <c r="C1571" s="63"/>
      <c r="D1571" s="64"/>
      <c r="E1571" s="65"/>
      <c r="F1571" s="66"/>
      <c r="G1571" s="63"/>
      <c r="H1571" s="67"/>
      <c r="I1571" s="68"/>
      <c r="J1571" s="68"/>
      <c r="K1571" s="32"/>
      <c r="L1571" s="75">
        <v>1571</v>
      </c>
      <c r="M1571" s="75"/>
      <c r="N1571" s="70"/>
      <c r="O1571" s="77" t="s">
        <v>802</v>
      </c>
      <c r="P1571" s="79">
        <v>45138.520300925928</v>
      </c>
      <c r="Q1571" s="77" t="s">
        <v>2359</v>
      </c>
      <c r="R1571" s="77">
        <v>0</v>
      </c>
      <c r="S1571" s="77">
        <v>2</v>
      </c>
      <c r="T1571" s="77">
        <v>0</v>
      </c>
      <c r="U1571" s="77">
        <v>0</v>
      </c>
      <c r="V1571" s="77">
        <v>26</v>
      </c>
      <c r="W1571" s="82" t="s">
        <v>5787</v>
      </c>
      <c r="X1571" s="80" t="str">
        <f>HYPERLINK("https://www.youtube.com/live/tfHfqALxnH4?feature=share")</f>
        <v>https://www.youtube.com/live/tfHfqALxnH4?feature=share</v>
      </c>
      <c r="Y1571" s="77" t="s">
        <v>7065</v>
      </c>
      <c r="Z1571" s="77" t="s">
        <v>776</v>
      </c>
      <c r="AA1571" s="77"/>
      <c r="AB1571" s="77"/>
      <c r="AC1571" s="82" t="s">
        <v>8232</v>
      </c>
      <c r="AD1571" s="77" t="s">
        <v>8279</v>
      </c>
      <c r="AE1571" s="80" t="str">
        <f>HYPERLINK("https://twitter.com/charlesfibonacc/status/1685991007278518272")</f>
        <v>https://twitter.com/charlesfibonacc/status/1685991007278518272</v>
      </c>
      <c r="AF1571" s="79">
        <v>45138.520300925928</v>
      </c>
      <c r="AG1571" s="85">
        <v>45138</v>
      </c>
      <c r="AH1571" s="82" t="s">
        <v>9711</v>
      </c>
      <c r="AI1571" s="77" t="b">
        <v>0</v>
      </c>
      <c r="AJ1571" s="77"/>
      <c r="AK1571" s="77"/>
      <c r="AL1571" s="77"/>
      <c r="AM1571" s="77"/>
      <c r="AN1571" s="77"/>
      <c r="AO1571" s="77"/>
      <c r="AP1571" s="77"/>
      <c r="AQ1571" s="77"/>
      <c r="AR1571" s="77"/>
      <c r="AS1571" s="77"/>
      <c r="AT1571" s="77"/>
      <c r="AU1571" s="77"/>
      <c r="AV1571" s="80" t="str">
        <f>HYPERLINK("https://pbs.twimg.com/profile_images/1539234851198492678/gKZ0CP6m_normal.jpg")</f>
        <v>https://pbs.twimg.com/profile_images/1539234851198492678/gKZ0CP6m_normal.jpg</v>
      </c>
      <c r="AW1571" s="82" t="s">
        <v>14664</v>
      </c>
      <c r="AX1571" s="82" t="s">
        <v>14664</v>
      </c>
      <c r="AY1571" s="77"/>
      <c r="AZ1571" s="82" t="s">
        <v>17385</v>
      </c>
      <c r="BA1571" s="82" t="s">
        <v>17385</v>
      </c>
      <c r="BB1571" s="82" t="s">
        <v>17385</v>
      </c>
      <c r="BC1571" s="82" t="s">
        <v>14664</v>
      </c>
      <c r="BD1571" s="82" t="s">
        <v>17585</v>
      </c>
      <c r="BE1571" s="77"/>
      <c r="BF1571" s="77"/>
      <c r="BG1571" s="77"/>
      <c r="BH1571" s="77"/>
      <c r="BI1571" s="77"/>
    </row>
    <row r="1572" spans="1:61" x14ac:dyDescent="0.25">
      <c r="A1572" s="62" t="s">
        <v>500</v>
      </c>
      <c r="B1572" s="62" t="s">
        <v>500</v>
      </c>
      <c r="C1572" s="63"/>
      <c r="D1572" s="64"/>
      <c r="E1572" s="65"/>
      <c r="F1572" s="66"/>
      <c r="G1572" s="63"/>
      <c r="H1572" s="67"/>
      <c r="I1572" s="68"/>
      <c r="J1572" s="68"/>
      <c r="K1572" s="32"/>
      <c r="L1572" s="75">
        <v>1572</v>
      </c>
      <c r="M1572" s="75"/>
      <c r="N1572" s="70"/>
      <c r="O1572" s="77" t="s">
        <v>179</v>
      </c>
      <c r="P1572" s="79">
        <v>45166.622442129628</v>
      </c>
      <c r="Q1572" s="77" t="s">
        <v>2360</v>
      </c>
      <c r="R1572" s="77">
        <v>0</v>
      </c>
      <c r="S1572" s="77">
        <v>2</v>
      </c>
      <c r="T1572" s="77">
        <v>1</v>
      </c>
      <c r="U1572" s="77">
        <v>0</v>
      </c>
      <c r="V1572" s="77">
        <v>593</v>
      </c>
      <c r="W1572" s="82" t="s">
        <v>5788</v>
      </c>
      <c r="X1572" s="77"/>
      <c r="Y1572" s="77"/>
      <c r="Z1572" s="77"/>
      <c r="AA1572" s="77"/>
      <c r="AB1572" s="77"/>
      <c r="AC1572" s="82" t="s">
        <v>8266</v>
      </c>
      <c r="AD1572" s="77" t="s">
        <v>8278</v>
      </c>
      <c r="AE1572" s="80" t="str">
        <f>HYPERLINK("https://twitter.com/modalmais/status/1696174880549466336")</f>
        <v>https://twitter.com/modalmais/status/1696174880549466336</v>
      </c>
      <c r="AF1572" s="79">
        <v>45166.622442129628</v>
      </c>
      <c r="AG1572" s="85">
        <v>45166</v>
      </c>
      <c r="AH1572" s="82" t="s">
        <v>9712</v>
      </c>
      <c r="AI1572" s="77"/>
      <c r="AJ1572" s="77"/>
      <c r="AK1572" s="77"/>
      <c r="AL1572" s="77"/>
      <c r="AM1572" s="77"/>
      <c r="AN1572" s="77"/>
      <c r="AO1572" s="77"/>
      <c r="AP1572" s="77"/>
      <c r="AQ1572" s="77"/>
      <c r="AR1572" s="77"/>
      <c r="AS1572" s="77"/>
      <c r="AT1572" s="77"/>
      <c r="AU1572" s="77"/>
      <c r="AV1572" s="80" t="str">
        <f>HYPERLINK("https://pbs.twimg.com/profile_images/1067039778795937797/PnnLGTU4_normal.jpg")</f>
        <v>https://pbs.twimg.com/profile_images/1067039778795937797/PnnLGTU4_normal.jpg</v>
      </c>
      <c r="AW1572" s="82" t="s">
        <v>14665</v>
      </c>
      <c r="AX1572" s="82" t="s">
        <v>14665</v>
      </c>
      <c r="AY1572" s="77"/>
      <c r="AZ1572" s="82" t="s">
        <v>17385</v>
      </c>
      <c r="BA1572" s="82" t="s">
        <v>17385</v>
      </c>
      <c r="BB1572" s="82" t="s">
        <v>17385</v>
      </c>
      <c r="BC1572" s="82" t="s">
        <v>14665</v>
      </c>
      <c r="BD1572" s="77">
        <v>2578778256</v>
      </c>
      <c r="BE1572" s="77"/>
      <c r="BF1572" s="77"/>
      <c r="BG1572" s="77"/>
      <c r="BH1572" s="77"/>
      <c r="BI1572" s="77"/>
    </row>
    <row r="1573" spans="1:61" x14ac:dyDescent="0.25">
      <c r="A1573" s="62" t="s">
        <v>500</v>
      </c>
      <c r="B1573" s="62" t="s">
        <v>500</v>
      </c>
      <c r="C1573" s="63"/>
      <c r="D1573" s="64"/>
      <c r="E1573" s="65"/>
      <c r="F1573" s="66"/>
      <c r="G1573" s="63"/>
      <c r="H1573" s="67"/>
      <c r="I1573" s="68"/>
      <c r="J1573" s="68"/>
      <c r="K1573" s="32"/>
      <c r="L1573" s="75">
        <v>1573</v>
      </c>
      <c r="M1573" s="75"/>
      <c r="N1573" s="70"/>
      <c r="O1573" s="77" t="s">
        <v>179</v>
      </c>
      <c r="P1573" s="79">
        <v>45156.603263888886</v>
      </c>
      <c r="Q1573" s="77" t="s">
        <v>2361</v>
      </c>
      <c r="R1573" s="77">
        <v>0</v>
      </c>
      <c r="S1573" s="77">
        <v>2</v>
      </c>
      <c r="T1573" s="77">
        <v>0</v>
      </c>
      <c r="U1573" s="77">
        <v>0</v>
      </c>
      <c r="V1573" s="77">
        <v>399</v>
      </c>
      <c r="W1573" s="82" t="s">
        <v>5789</v>
      </c>
      <c r="X1573" s="77"/>
      <c r="Y1573" s="77"/>
      <c r="Z1573" s="77"/>
      <c r="AA1573" s="77"/>
      <c r="AB1573" s="77"/>
      <c r="AC1573" s="82" t="s">
        <v>8266</v>
      </c>
      <c r="AD1573" s="77" t="s">
        <v>8278</v>
      </c>
      <c r="AE1573" s="80" t="str">
        <f>HYPERLINK("https://twitter.com/modalmais/status/1692544049998094831")</f>
        <v>https://twitter.com/modalmais/status/1692544049998094831</v>
      </c>
      <c r="AF1573" s="79">
        <v>45156.603263888886</v>
      </c>
      <c r="AG1573" s="85">
        <v>45156</v>
      </c>
      <c r="AH1573" s="82" t="s">
        <v>9713</v>
      </c>
      <c r="AI1573" s="77"/>
      <c r="AJ1573" s="77"/>
      <c r="AK1573" s="77"/>
      <c r="AL1573" s="77"/>
      <c r="AM1573" s="77"/>
      <c r="AN1573" s="77"/>
      <c r="AO1573" s="77"/>
      <c r="AP1573" s="77"/>
      <c r="AQ1573" s="77"/>
      <c r="AR1573" s="77"/>
      <c r="AS1573" s="77"/>
      <c r="AT1573" s="77"/>
      <c r="AU1573" s="77"/>
      <c r="AV1573" s="80" t="str">
        <f>HYPERLINK("https://pbs.twimg.com/profile_images/1067039778795937797/PnnLGTU4_normal.jpg")</f>
        <v>https://pbs.twimg.com/profile_images/1067039778795937797/PnnLGTU4_normal.jpg</v>
      </c>
      <c r="AW1573" s="82" t="s">
        <v>14666</v>
      </c>
      <c r="AX1573" s="82" t="s">
        <v>14666</v>
      </c>
      <c r="AY1573" s="77"/>
      <c r="AZ1573" s="82" t="s">
        <v>17385</v>
      </c>
      <c r="BA1573" s="82" t="s">
        <v>17385</v>
      </c>
      <c r="BB1573" s="82" t="s">
        <v>17385</v>
      </c>
      <c r="BC1573" s="82" t="s">
        <v>14666</v>
      </c>
      <c r="BD1573" s="77">
        <v>2578778256</v>
      </c>
      <c r="BE1573" s="77"/>
      <c r="BF1573" s="77"/>
      <c r="BG1573" s="77"/>
      <c r="BH1573" s="77"/>
      <c r="BI1573" s="77"/>
    </row>
    <row r="1574" spans="1:61" x14ac:dyDescent="0.25">
      <c r="A1574" s="62" t="s">
        <v>500</v>
      </c>
      <c r="B1574" s="62" t="s">
        <v>500</v>
      </c>
      <c r="C1574" s="63"/>
      <c r="D1574" s="64"/>
      <c r="E1574" s="65"/>
      <c r="F1574" s="66"/>
      <c r="G1574" s="63"/>
      <c r="H1574" s="67"/>
      <c r="I1574" s="68"/>
      <c r="J1574" s="68"/>
      <c r="K1574" s="32"/>
      <c r="L1574" s="75">
        <v>1574</v>
      </c>
      <c r="M1574" s="75"/>
      <c r="N1574" s="70"/>
      <c r="O1574" s="77" t="s">
        <v>179</v>
      </c>
      <c r="P1574" s="79">
        <v>45154.57885416667</v>
      </c>
      <c r="Q1574" s="77" t="s">
        <v>2362</v>
      </c>
      <c r="R1574" s="77">
        <v>0</v>
      </c>
      <c r="S1574" s="77">
        <v>9</v>
      </c>
      <c r="T1574" s="77">
        <v>2</v>
      </c>
      <c r="U1574" s="77">
        <v>0</v>
      </c>
      <c r="V1574" s="77">
        <v>788</v>
      </c>
      <c r="W1574" s="82" t="s">
        <v>5790</v>
      </c>
      <c r="X1574" s="77"/>
      <c r="Y1574" s="77"/>
      <c r="Z1574" s="77"/>
      <c r="AA1574" s="77"/>
      <c r="AB1574" s="77"/>
      <c r="AC1574" s="82" t="s">
        <v>8266</v>
      </c>
      <c r="AD1574" s="77" t="s">
        <v>8278</v>
      </c>
      <c r="AE1574" s="80" t="str">
        <f>HYPERLINK("https://twitter.com/modalmais/status/1691810432128819537")</f>
        <v>https://twitter.com/modalmais/status/1691810432128819537</v>
      </c>
      <c r="AF1574" s="79">
        <v>45154.57885416667</v>
      </c>
      <c r="AG1574" s="85">
        <v>45154</v>
      </c>
      <c r="AH1574" s="82" t="s">
        <v>9714</v>
      </c>
      <c r="AI1574" s="77"/>
      <c r="AJ1574" s="77"/>
      <c r="AK1574" s="77"/>
      <c r="AL1574" s="77"/>
      <c r="AM1574" s="77"/>
      <c r="AN1574" s="77"/>
      <c r="AO1574" s="77"/>
      <c r="AP1574" s="77"/>
      <c r="AQ1574" s="77"/>
      <c r="AR1574" s="77"/>
      <c r="AS1574" s="77"/>
      <c r="AT1574" s="77"/>
      <c r="AU1574" s="77"/>
      <c r="AV1574" s="80" t="str">
        <f>HYPERLINK("https://pbs.twimg.com/profile_images/1067039778795937797/PnnLGTU4_normal.jpg")</f>
        <v>https://pbs.twimg.com/profile_images/1067039778795937797/PnnLGTU4_normal.jpg</v>
      </c>
      <c r="AW1574" s="82" t="s">
        <v>14667</v>
      </c>
      <c r="AX1574" s="82" t="s">
        <v>14667</v>
      </c>
      <c r="AY1574" s="77"/>
      <c r="AZ1574" s="82" t="s">
        <v>17385</v>
      </c>
      <c r="BA1574" s="82" t="s">
        <v>17385</v>
      </c>
      <c r="BB1574" s="82" t="s">
        <v>17385</v>
      </c>
      <c r="BC1574" s="82" t="s">
        <v>14667</v>
      </c>
      <c r="BD1574" s="77">
        <v>2578778256</v>
      </c>
      <c r="BE1574" s="77"/>
      <c r="BF1574" s="77"/>
      <c r="BG1574" s="77"/>
      <c r="BH1574" s="77"/>
      <c r="BI1574" s="77"/>
    </row>
    <row r="1575" spans="1:61" x14ac:dyDescent="0.25">
      <c r="A1575" s="62" t="s">
        <v>500</v>
      </c>
      <c r="B1575" s="62" t="s">
        <v>500</v>
      </c>
      <c r="C1575" s="63"/>
      <c r="D1575" s="64"/>
      <c r="E1575" s="65"/>
      <c r="F1575" s="66"/>
      <c r="G1575" s="63"/>
      <c r="H1575" s="67"/>
      <c r="I1575" s="68"/>
      <c r="J1575" s="68"/>
      <c r="K1575" s="32"/>
      <c r="L1575" s="75">
        <v>1575</v>
      </c>
      <c r="M1575" s="75"/>
      <c r="N1575" s="70"/>
      <c r="O1575" s="77" t="s">
        <v>179</v>
      </c>
      <c r="P1575" s="79">
        <v>45154.577662037038</v>
      </c>
      <c r="Q1575" s="77" t="s">
        <v>2363</v>
      </c>
      <c r="R1575" s="77">
        <v>0</v>
      </c>
      <c r="S1575" s="77">
        <v>3</v>
      </c>
      <c r="T1575" s="77">
        <v>0</v>
      </c>
      <c r="U1575" s="77">
        <v>0</v>
      </c>
      <c r="V1575" s="77">
        <v>307</v>
      </c>
      <c r="W1575" s="82" t="s">
        <v>5791</v>
      </c>
      <c r="X1575" s="77"/>
      <c r="Y1575" s="77"/>
      <c r="Z1575" s="77"/>
      <c r="AA1575" s="77"/>
      <c r="AB1575" s="77"/>
      <c r="AC1575" s="82" t="s">
        <v>8266</v>
      </c>
      <c r="AD1575" s="77" t="s">
        <v>8278</v>
      </c>
      <c r="AE1575" s="80" t="str">
        <f>HYPERLINK("https://twitter.com/modalmais/status/1691809996076364122")</f>
        <v>https://twitter.com/modalmais/status/1691809996076364122</v>
      </c>
      <c r="AF1575" s="79">
        <v>45154.577662037038</v>
      </c>
      <c r="AG1575" s="85">
        <v>45154</v>
      </c>
      <c r="AH1575" s="82" t="s">
        <v>9715</v>
      </c>
      <c r="AI1575" s="77"/>
      <c r="AJ1575" s="77"/>
      <c r="AK1575" s="77"/>
      <c r="AL1575" s="77"/>
      <c r="AM1575" s="77"/>
      <c r="AN1575" s="77"/>
      <c r="AO1575" s="77"/>
      <c r="AP1575" s="77"/>
      <c r="AQ1575" s="77"/>
      <c r="AR1575" s="77"/>
      <c r="AS1575" s="77"/>
      <c r="AT1575" s="77"/>
      <c r="AU1575" s="77"/>
      <c r="AV1575" s="80" t="str">
        <f>HYPERLINK("https://pbs.twimg.com/profile_images/1067039778795937797/PnnLGTU4_normal.jpg")</f>
        <v>https://pbs.twimg.com/profile_images/1067039778795937797/PnnLGTU4_normal.jpg</v>
      </c>
      <c r="AW1575" s="82" t="s">
        <v>14668</v>
      </c>
      <c r="AX1575" s="82" t="s">
        <v>14668</v>
      </c>
      <c r="AY1575" s="77"/>
      <c r="AZ1575" s="82" t="s">
        <v>17385</v>
      </c>
      <c r="BA1575" s="82" t="s">
        <v>17385</v>
      </c>
      <c r="BB1575" s="82" t="s">
        <v>17385</v>
      </c>
      <c r="BC1575" s="82" t="s">
        <v>14668</v>
      </c>
      <c r="BD1575" s="77">
        <v>2578778256</v>
      </c>
      <c r="BE1575" s="77"/>
      <c r="BF1575" s="77"/>
      <c r="BG1575" s="77"/>
      <c r="BH1575" s="77"/>
      <c r="BI1575" s="77"/>
    </row>
    <row r="1576" spans="1:61" x14ac:dyDescent="0.25">
      <c r="A1576" s="62" t="s">
        <v>500</v>
      </c>
      <c r="B1576" s="62" t="s">
        <v>500</v>
      </c>
      <c r="C1576" s="63"/>
      <c r="D1576" s="64"/>
      <c r="E1576" s="65"/>
      <c r="F1576" s="66"/>
      <c r="G1576" s="63"/>
      <c r="H1576" s="67"/>
      <c r="I1576" s="68"/>
      <c r="J1576" s="68"/>
      <c r="K1576" s="32"/>
      <c r="L1576" s="75">
        <v>1576</v>
      </c>
      <c r="M1576" s="75"/>
      <c r="N1576" s="70"/>
      <c r="O1576" s="77" t="s">
        <v>179</v>
      </c>
      <c r="P1576" s="79">
        <v>45154.493773148148</v>
      </c>
      <c r="Q1576" s="77" t="s">
        <v>2364</v>
      </c>
      <c r="R1576" s="77">
        <v>1</v>
      </c>
      <c r="S1576" s="77">
        <v>2</v>
      </c>
      <c r="T1576" s="77">
        <v>1</v>
      </c>
      <c r="U1576" s="77">
        <v>0</v>
      </c>
      <c r="V1576" s="77">
        <v>266</v>
      </c>
      <c r="W1576" s="82" t="s">
        <v>5792</v>
      </c>
      <c r="X1576" s="80" t="str">
        <f>HYPERLINK("https://www.youtube.com/watch?v=J1l8859hdu4")</f>
        <v>https://www.youtube.com/watch?v=J1l8859hdu4</v>
      </c>
      <c r="Y1576" s="77" t="s">
        <v>7065</v>
      </c>
      <c r="Z1576" s="77"/>
      <c r="AA1576" s="77"/>
      <c r="AB1576" s="77"/>
      <c r="AC1576" s="82" t="s">
        <v>8266</v>
      </c>
      <c r="AD1576" s="77" t="s">
        <v>8278</v>
      </c>
      <c r="AE1576" s="80" t="str">
        <f>HYPERLINK("https://twitter.com/modalmais/status/1691779597925233099")</f>
        <v>https://twitter.com/modalmais/status/1691779597925233099</v>
      </c>
      <c r="AF1576" s="79">
        <v>45154.493773148148</v>
      </c>
      <c r="AG1576" s="85">
        <v>45154</v>
      </c>
      <c r="AH1576" s="82" t="s">
        <v>9716</v>
      </c>
      <c r="AI1576" s="77" t="b">
        <v>0</v>
      </c>
      <c r="AJ1576" s="77"/>
      <c r="AK1576" s="77"/>
      <c r="AL1576" s="77"/>
      <c r="AM1576" s="77"/>
      <c r="AN1576" s="77"/>
      <c r="AO1576" s="77"/>
      <c r="AP1576" s="77"/>
      <c r="AQ1576" s="77"/>
      <c r="AR1576" s="77"/>
      <c r="AS1576" s="77"/>
      <c r="AT1576" s="77"/>
      <c r="AU1576" s="77"/>
      <c r="AV1576" s="80" t="str">
        <f>HYPERLINK("https://pbs.twimg.com/profile_images/1067039778795937797/PnnLGTU4_normal.jpg")</f>
        <v>https://pbs.twimg.com/profile_images/1067039778795937797/PnnLGTU4_normal.jpg</v>
      </c>
      <c r="AW1576" s="82" t="s">
        <v>14669</v>
      </c>
      <c r="AX1576" s="82" t="s">
        <v>14669</v>
      </c>
      <c r="AY1576" s="77"/>
      <c r="AZ1576" s="82" t="s">
        <v>17385</v>
      </c>
      <c r="BA1576" s="82" t="s">
        <v>17385</v>
      </c>
      <c r="BB1576" s="82" t="s">
        <v>17385</v>
      </c>
      <c r="BC1576" s="82" t="s">
        <v>14669</v>
      </c>
      <c r="BD1576" s="77">
        <v>2578778256</v>
      </c>
      <c r="BE1576" s="77"/>
      <c r="BF1576" s="77"/>
      <c r="BG1576" s="77"/>
      <c r="BH1576" s="77"/>
      <c r="BI1576" s="77"/>
    </row>
    <row r="1577" spans="1:61" x14ac:dyDescent="0.25">
      <c r="A1577" s="62" t="s">
        <v>500</v>
      </c>
      <c r="B1577" s="62" t="s">
        <v>500</v>
      </c>
      <c r="C1577" s="63"/>
      <c r="D1577" s="64"/>
      <c r="E1577" s="65"/>
      <c r="F1577" s="66"/>
      <c r="G1577" s="63"/>
      <c r="H1577" s="67"/>
      <c r="I1577" s="68"/>
      <c r="J1577" s="68"/>
      <c r="K1577" s="32"/>
      <c r="L1577" s="75">
        <v>1577</v>
      </c>
      <c r="M1577" s="75"/>
      <c r="N1577" s="70"/>
      <c r="O1577" s="77" t="s">
        <v>179</v>
      </c>
      <c r="P1577" s="79">
        <v>45154.475624999999</v>
      </c>
      <c r="Q1577" s="77" t="s">
        <v>2365</v>
      </c>
      <c r="R1577" s="77">
        <v>0</v>
      </c>
      <c r="S1577" s="77">
        <v>1</v>
      </c>
      <c r="T1577" s="77">
        <v>0</v>
      </c>
      <c r="U1577" s="77">
        <v>0</v>
      </c>
      <c r="V1577" s="77">
        <v>238</v>
      </c>
      <c r="W1577" s="82" t="s">
        <v>5792</v>
      </c>
      <c r="X1577" s="80" t="str">
        <f>HYPERLINK("https://www.youtube.com/watch?v=N9-im2NeE_A")</f>
        <v>https://www.youtube.com/watch?v=N9-im2NeE_A</v>
      </c>
      <c r="Y1577" s="77" t="s">
        <v>7065</v>
      </c>
      <c r="Z1577" s="77"/>
      <c r="AA1577" s="77"/>
      <c r="AB1577" s="77"/>
      <c r="AC1577" s="82" t="s">
        <v>8266</v>
      </c>
      <c r="AD1577" s="77" t="s">
        <v>8278</v>
      </c>
      <c r="AE1577" s="80" t="str">
        <f>HYPERLINK("https://twitter.com/modalmais/status/1691773019964813680")</f>
        <v>https://twitter.com/modalmais/status/1691773019964813680</v>
      </c>
      <c r="AF1577" s="79">
        <v>45154.475624999999</v>
      </c>
      <c r="AG1577" s="85">
        <v>45154</v>
      </c>
      <c r="AH1577" s="82" t="s">
        <v>9717</v>
      </c>
      <c r="AI1577" s="77" t="b">
        <v>0</v>
      </c>
      <c r="AJ1577" s="77"/>
      <c r="AK1577" s="77"/>
      <c r="AL1577" s="77"/>
      <c r="AM1577" s="77"/>
      <c r="AN1577" s="77"/>
      <c r="AO1577" s="77"/>
      <c r="AP1577" s="77"/>
      <c r="AQ1577" s="77"/>
      <c r="AR1577" s="77"/>
      <c r="AS1577" s="77"/>
      <c r="AT1577" s="77"/>
      <c r="AU1577" s="77"/>
      <c r="AV1577" s="80" t="str">
        <f>HYPERLINK("https://pbs.twimg.com/profile_images/1067039778795937797/PnnLGTU4_normal.jpg")</f>
        <v>https://pbs.twimg.com/profile_images/1067039778795937797/PnnLGTU4_normal.jpg</v>
      </c>
      <c r="AW1577" s="82" t="s">
        <v>14670</v>
      </c>
      <c r="AX1577" s="82" t="s">
        <v>14670</v>
      </c>
      <c r="AY1577" s="77"/>
      <c r="AZ1577" s="82" t="s">
        <v>17385</v>
      </c>
      <c r="BA1577" s="82" t="s">
        <v>17385</v>
      </c>
      <c r="BB1577" s="82" t="s">
        <v>17385</v>
      </c>
      <c r="BC1577" s="82" t="s">
        <v>14670</v>
      </c>
      <c r="BD1577" s="77">
        <v>2578778256</v>
      </c>
      <c r="BE1577" s="77"/>
      <c r="BF1577" s="77"/>
      <c r="BG1577" s="77"/>
      <c r="BH1577" s="77"/>
      <c r="BI1577" s="77"/>
    </row>
    <row r="1578" spans="1:61" x14ac:dyDescent="0.25">
      <c r="A1578" s="62" t="s">
        <v>500</v>
      </c>
      <c r="B1578" s="62" t="s">
        <v>500</v>
      </c>
      <c r="C1578" s="63"/>
      <c r="D1578" s="64"/>
      <c r="E1578" s="65"/>
      <c r="F1578" s="66"/>
      <c r="G1578" s="63"/>
      <c r="H1578" s="67"/>
      <c r="I1578" s="68"/>
      <c r="J1578" s="68"/>
      <c r="K1578" s="32"/>
      <c r="L1578" s="75">
        <v>1578</v>
      </c>
      <c r="M1578" s="75"/>
      <c r="N1578" s="70"/>
      <c r="O1578" s="77" t="s">
        <v>179</v>
      </c>
      <c r="P1578" s="79">
        <v>45153.825416666667</v>
      </c>
      <c r="Q1578" s="77" t="s">
        <v>2366</v>
      </c>
      <c r="R1578" s="77">
        <v>0</v>
      </c>
      <c r="S1578" s="77">
        <v>1</v>
      </c>
      <c r="T1578" s="77">
        <v>1</v>
      </c>
      <c r="U1578" s="77">
        <v>0</v>
      </c>
      <c r="V1578" s="77">
        <v>307</v>
      </c>
      <c r="W1578" s="82" t="s">
        <v>5792</v>
      </c>
      <c r="X1578" s="80" t="str">
        <f>HYPERLINK("https://www.youtube.com/watch?v=GdESQlrF8L4")</f>
        <v>https://www.youtube.com/watch?v=GdESQlrF8L4</v>
      </c>
      <c r="Y1578" s="77" t="s">
        <v>7065</v>
      </c>
      <c r="Z1578" s="77"/>
      <c r="AA1578" s="77"/>
      <c r="AB1578" s="77"/>
      <c r="AC1578" s="82" t="s">
        <v>8266</v>
      </c>
      <c r="AD1578" s="77" t="s">
        <v>8278</v>
      </c>
      <c r="AE1578" s="80" t="str">
        <f>HYPERLINK("https://twitter.com/modalmais/status/1691537393742913536")</f>
        <v>https://twitter.com/modalmais/status/1691537393742913536</v>
      </c>
      <c r="AF1578" s="79">
        <v>45153.825416666667</v>
      </c>
      <c r="AG1578" s="85">
        <v>45153</v>
      </c>
      <c r="AH1578" s="82" t="s">
        <v>9718</v>
      </c>
      <c r="AI1578" s="77" t="b">
        <v>0</v>
      </c>
      <c r="AJ1578" s="77"/>
      <c r="AK1578" s="77"/>
      <c r="AL1578" s="77"/>
      <c r="AM1578" s="77"/>
      <c r="AN1578" s="77"/>
      <c r="AO1578" s="77"/>
      <c r="AP1578" s="77"/>
      <c r="AQ1578" s="77"/>
      <c r="AR1578" s="77"/>
      <c r="AS1578" s="77"/>
      <c r="AT1578" s="77"/>
      <c r="AU1578" s="77"/>
      <c r="AV1578" s="80" t="str">
        <f>HYPERLINK("https://pbs.twimg.com/profile_images/1067039778795937797/PnnLGTU4_normal.jpg")</f>
        <v>https://pbs.twimg.com/profile_images/1067039778795937797/PnnLGTU4_normal.jpg</v>
      </c>
      <c r="AW1578" s="82" t="s">
        <v>14671</v>
      </c>
      <c r="AX1578" s="82" t="s">
        <v>14671</v>
      </c>
      <c r="AY1578" s="77"/>
      <c r="AZ1578" s="82" t="s">
        <v>17385</v>
      </c>
      <c r="BA1578" s="82" t="s">
        <v>17385</v>
      </c>
      <c r="BB1578" s="82" t="s">
        <v>17385</v>
      </c>
      <c r="BC1578" s="82" t="s">
        <v>14671</v>
      </c>
      <c r="BD1578" s="77">
        <v>2578778256</v>
      </c>
      <c r="BE1578" s="77"/>
      <c r="BF1578" s="77"/>
      <c r="BG1578" s="77"/>
      <c r="BH1578" s="77"/>
      <c r="BI1578" s="77"/>
    </row>
    <row r="1579" spans="1:61" x14ac:dyDescent="0.25">
      <c r="A1579" s="62" t="s">
        <v>500</v>
      </c>
      <c r="B1579" s="62" t="s">
        <v>500</v>
      </c>
      <c r="C1579" s="63"/>
      <c r="D1579" s="64"/>
      <c r="E1579" s="65"/>
      <c r="F1579" s="66"/>
      <c r="G1579" s="63"/>
      <c r="H1579" s="67"/>
      <c r="I1579" s="68"/>
      <c r="J1579" s="68"/>
      <c r="K1579" s="32"/>
      <c r="L1579" s="75">
        <v>1579</v>
      </c>
      <c r="M1579" s="75"/>
      <c r="N1579" s="70"/>
      <c r="O1579" s="77" t="s">
        <v>179</v>
      </c>
      <c r="P1579" s="79">
        <v>45154.635717592595</v>
      </c>
      <c r="Q1579" s="77" t="s">
        <v>2367</v>
      </c>
      <c r="R1579" s="77">
        <v>0</v>
      </c>
      <c r="S1579" s="77">
        <v>2</v>
      </c>
      <c r="T1579" s="77">
        <v>0</v>
      </c>
      <c r="U1579" s="77">
        <v>0</v>
      </c>
      <c r="V1579" s="77">
        <v>290</v>
      </c>
      <c r="W1579" s="82" t="s">
        <v>5793</v>
      </c>
      <c r="X1579" s="77"/>
      <c r="Y1579" s="77"/>
      <c r="Z1579" s="77"/>
      <c r="AA1579" s="77"/>
      <c r="AB1579" s="77"/>
      <c r="AC1579" s="82" t="s">
        <v>8266</v>
      </c>
      <c r="AD1579" s="77" t="s">
        <v>8278</v>
      </c>
      <c r="AE1579" s="80" t="str">
        <f>HYPERLINK("https://twitter.com/modalmais/status/1691831036198440981")</f>
        <v>https://twitter.com/modalmais/status/1691831036198440981</v>
      </c>
      <c r="AF1579" s="79">
        <v>45154.635717592595</v>
      </c>
      <c r="AG1579" s="85">
        <v>45154</v>
      </c>
      <c r="AH1579" s="82" t="s">
        <v>9719</v>
      </c>
      <c r="AI1579" s="77"/>
      <c r="AJ1579" s="77"/>
      <c r="AK1579" s="77"/>
      <c r="AL1579" s="77"/>
      <c r="AM1579" s="77"/>
      <c r="AN1579" s="77"/>
      <c r="AO1579" s="77"/>
      <c r="AP1579" s="77"/>
      <c r="AQ1579" s="77"/>
      <c r="AR1579" s="77"/>
      <c r="AS1579" s="77"/>
      <c r="AT1579" s="77"/>
      <c r="AU1579" s="77"/>
      <c r="AV1579" s="80" t="str">
        <f>HYPERLINK("https://pbs.twimg.com/profile_images/1067039778795937797/PnnLGTU4_normal.jpg")</f>
        <v>https://pbs.twimg.com/profile_images/1067039778795937797/PnnLGTU4_normal.jpg</v>
      </c>
      <c r="AW1579" s="82" t="s">
        <v>14672</v>
      </c>
      <c r="AX1579" s="82" t="s">
        <v>14672</v>
      </c>
      <c r="AY1579" s="77"/>
      <c r="AZ1579" s="82" t="s">
        <v>17385</v>
      </c>
      <c r="BA1579" s="82" t="s">
        <v>17385</v>
      </c>
      <c r="BB1579" s="82" t="s">
        <v>17385</v>
      </c>
      <c r="BC1579" s="82" t="s">
        <v>14672</v>
      </c>
      <c r="BD1579" s="77">
        <v>2578778256</v>
      </c>
      <c r="BE1579" s="77"/>
      <c r="BF1579" s="77"/>
      <c r="BG1579" s="77"/>
      <c r="BH1579" s="77"/>
      <c r="BI1579" s="77"/>
    </row>
    <row r="1580" spans="1:61" x14ac:dyDescent="0.25">
      <c r="A1580" s="62" t="s">
        <v>500</v>
      </c>
      <c r="B1580" s="62" t="s">
        <v>500</v>
      </c>
      <c r="C1580" s="63"/>
      <c r="D1580" s="64"/>
      <c r="E1580" s="65"/>
      <c r="F1580" s="66"/>
      <c r="G1580" s="63"/>
      <c r="H1580" s="67"/>
      <c r="I1580" s="68"/>
      <c r="J1580" s="68"/>
      <c r="K1580" s="32"/>
      <c r="L1580" s="75">
        <v>1580</v>
      </c>
      <c r="M1580" s="75"/>
      <c r="N1580" s="70"/>
      <c r="O1580" s="77" t="s">
        <v>179</v>
      </c>
      <c r="P1580" s="79">
        <v>45154.598865740743</v>
      </c>
      <c r="Q1580" s="77" t="s">
        <v>2368</v>
      </c>
      <c r="R1580" s="77">
        <v>0</v>
      </c>
      <c r="S1580" s="77">
        <v>2</v>
      </c>
      <c r="T1580" s="77">
        <v>0</v>
      </c>
      <c r="U1580" s="77">
        <v>0</v>
      </c>
      <c r="V1580" s="77">
        <v>255</v>
      </c>
      <c r="W1580" s="82" t="s">
        <v>5791</v>
      </c>
      <c r="X1580" s="77"/>
      <c r="Y1580" s="77"/>
      <c r="Z1580" s="77"/>
      <c r="AA1580" s="77"/>
      <c r="AB1580" s="77"/>
      <c r="AC1580" s="82" t="s">
        <v>8266</v>
      </c>
      <c r="AD1580" s="77" t="s">
        <v>8278</v>
      </c>
      <c r="AE1580" s="80" t="str">
        <f>HYPERLINK("https://twitter.com/modalmais/status/1691817682553782594")</f>
        <v>https://twitter.com/modalmais/status/1691817682553782594</v>
      </c>
      <c r="AF1580" s="79">
        <v>45154.598865740743</v>
      </c>
      <c r="AG1580" s="85">
        <v>45154</v>
      </c>
      <c r="AH1580" s="82" t="s">
        <v>9720</v>
      </c>
      <c r="AI1580" s="77"/>
      <c r="AJ1580" s="77"/>
      <c r="AK1580" s="77"/>
      <c r="AL1580" s="77"/>
      <c r="AM1580" s="77"/>
      <c r="AN1580" s="77"/>
      <c r="AO1580" s="77"/>
      <c r="AP1580" s="77"/>
      <c r="AQ1580" s="77"/>
      <c r="AR1580" s="77"/>
      <c r="AS1580" s="77"/>
      <c r="AT1580" s="77"/>
      <c r="AU1580" s="77"/>
      <c r="AV1580" s="80" t="str">
        <f>HYPERLINK("https://pbs.twimg.com/profile_images/1067039778795937797/PnnLGTU4_normal.jpg")</f>
        <v>https://pbs.twimg.com/profile_images/1067039778795937797/PnnLGTU4_normal.jpg</v>
      </c>
      <c r="AW1580" s="82" t="s">
        <v>14673</v>
      </c>
      <c r="AX1580" s="82" t="s">
        <v>14673</v>
      </c>
      <c r="AY1580" s="77"/>
      <c r="AZ1580" s="82" t="s">
        <v>17385</v>
      </c>
      <c r="BA1580" s="82" t="s">
        <v>17385</v>
      </c>
      <c r="BB1580" s="82" t="s">
        <v>17385</v>
      </c>
      <c r="BC1580" s="82" t="s">
        <v>14673</v>
      </c>
      <c r="BD1580" s="77">
        <v>2578778256</v>
      </c>
      <c r="BE1580" s="77"/>
      <c r="BF1580" s="77"/>
      <c r="BG1580" s="77"/>
      <c r="BH1580" s="77"/>
      <c r="BI1580" s="77"/>
    </row>
    <row r="1581" spans="1:61" x14ac:dyDescent="0.25">
      <c r="A1581" s="62" t="s">
        <v>500</v>
      </c>
      <c r="B1581" s="62" t="s">
        <v>500</v>
      </c>
      <c r="C1581" s="63"/>
      <c r="D1581" s="64"/>
      <c r="E1581" s="65"/>
      <c r="F1581" s="66"/>
      <c r="G1581" s="63"/>
      <c r="H1581" s="67"/>
      <c r="I1581" s="68"/>
      <c r="J1581" s="68"/>
      <c r="K1581" s="32"/>
      <c r="L1581" s="75">
        <v>1581</v>
      </c>
      <c r="M1581" s="75"/>
      <c r="N1581" s="70"/>
      <c r="O1581" s="77" t="s">
        <v>179</v>
      </c>
      <c r="P1581" s="79">
        <v>45154.598171296297</v>
      </c>
      <c r="Q1581" s="77" t="s">
        <v>2369</v>
      </c>
      <c r="R1581" s="77">
        <v>0</v>
      </c>
      <c r="S1581" s="77">
        <v>3</v>
      </c>
      <c r="T1581" s="77">
        <v>0</v>
      </c>
      <c r="U1581" s="77">
        <v>0</v>
      </c>
      <c r="V1581" s="77">
        <v>251</v>
      </c>
      <c r="W1581" s="82" t="s">
        <v>5791</v>
      </c>
      <c r="X1581" s="80" t="str">
        <f>HYPERLINK("https://www.modalmais.com.br/morning-call/monitor-do-pib-aponta-expansao-de-02-na-atividade-economica")</f>
        <v>https://www.modalmais.com.br/morning-call/monitor-do-pib-aponta-expansao-de-02-na-atividade-economica</v>
      </c>
      <c r="Y1581" s="77" t="s">
        <v>7053</v>
      </c>
      <c r="Z1581" s="77"/>
      <c r="AA1581" s="77"/>
      <c r="AB1581" s="77"/>
      <c r="AC1581" s="82" t="s">
        <v>8266</v>
      </c>
      <c r="AD1581" s="77" t="s">
        <v>8278</v>
      </c>
      <c r="AE1581" s="80" t="str">
        <f>HYPERLINK("https://twitter.com/modalmais/status/1691817428328554687")</f>
        <v>https://twitter.com/modalmais/status/1691817428328554687</v>
      </c>
      <c r="AF1581" s="79">
        <v>45154.598171296297</v>
      </c>
      <c r="AG1581" s="85">
        <v>45154</v>
      </c>
      <c r="AH1581" s="82" t="s">
        <v>8330</v>
      </c>
      <c r="AI1581" s="77" t="b">
        <v>0</v>
      </c>
      <c r="AJ1581" s="77"/>
      <c r="AK1581" s="77"/>
      <c r="AL1581" s="77"/>
      <c r="AM1581" s="77"/>
      <c r="AN1581" s="77"/>
      <c r="AO1581" s="77"/>
      <c r="AP1581" s="77"/>
      <c r="AQ1581" s="77"/>
      <c r="AR1581" s="77"/>
      <c r="AS1581" s="77"/>
      <c r="AT1581" s="77"/>
      <c r="AU1581" s="77"/>
      <c r="AV1581" s="80" t="str">
        <f>HYPERLINK("https://pbs.twimg.com/profile_images/1067039778795937797/PnnLGTU4_normal.jpg")</f>
        <v>https://pbs.twimg.com/profile_images/1067039778795937797/PnnLGTU4_normal.jpg</v>
      </c>
      <c r="AW1581" s="82" t="s">
        <v>14674</v>
      </c>
      <c r="AX1581" s="82" t="s">
        <v>14674</v>
      </c>
      <c r="AY1581" s="77"/>
      <c r="AZ1581" s="82" t="s">
        <v>17385</v>
      </c>
      <c r="BA1581" s="82" t="s">
        <v>17385</v>
      </c>
      <c r="BB1581" s="82" t="s">
        <v>17385</v>
      </c>
      <c r="BC1581" s="82" t="s">
        <v>14674</v>
      </c>
      <c r="BD1581" s="77">
        <v>2578778256</v>
      </c>
      <c r="BE1581" s="77"/>
      <c r="BF1581" s="77"/>
      <c r="BG1581" s="77"/>
      <c r="BH1581" s="77"/>
      <c r="BI1581" s="77"/>
    </row>
    <row r="1582" spans="1:61" x14ac:dyDescent="0.25">
      <c r="A1582" s="62" t="s">
        <v>500</v>
      </c>
      <c r="B1582" s="62" t="s">
        <v>500</v>
      </c>
      <c r="C1582" s="63"/>
      <c r="D1582" s="64"/>
      <c r="E1582" s="65"/>
      <c r="F1582" s="66"/>
      <c r="G1582" s="63"/>
      <c r="H1582" s="67"/>
      <c r="I1582" s="68"/>
      <c r="J1582" s="68"/>
      <c r="K1582" s="32"/>
      <c r="L1582" s="75">
        <v>1582</v>
      </c>
      <c r="M1582" s="75"/>
      <c r="N1582" s="70"/>
      <c r="O1582" s="77" t="s">
        <v>179</v>
      </c>
      <c r="P1582" s="79">
        <v>45155.511307870373</v>
      </c>
      <c r="Q1582" s="77" t="s">
        <v>2370</v>
      </c>
      <c r="R1582" s="77">
        <v>0</v>
      </c>
      <c r="S1582" s="77">
        <v>0</v>
      </c>
      <c r="T1582" s="77">
        <v>0</v>
      </c>
      <c r="U1582" s="77">
        <v>0</v>
      </c>
      <c r="V1582" s="77">
        <v>318</v>
      </c>
      <c r="W1582" s="82" t="s">
        <v>5793</v>
      </c>
      <c r="X1582" s="80" t="str">
        <f>HYPERLINK("https://www.youtube.com/watch?v=xs4OpOtI5aQ")</f>
        <v>https://www.youtube.com/watch?v=xs4OpOtI5aQ</v>
      </c>
      <c r="Y1582" s="77" t="s">
        <v>7065</v>
      </c>
      <c r="Z1582" s="77"/>
      <c r="AA1582" s="77"/>
      <c r="AB1582" s="77"/>
      <c r="AC1582" s="82" t="s">
        <v>8266</v>
      </c>
      <c r="AD1582" s="77" t="s">
        <v>8278</v>
      </c>
      <c r="AE1582" s="80" t="str">
        <f>HYPERLINK("https://twitter.com/modalmais/status/1692148338752115055")</f>
        <v>https://twitter.com/modalmais/status/1692148338752115055</v>
      </c>
      <c r="AF1582" s="79">
        <v>45155.511307870373</v>
      </c>
      <c r="AG1582" s="85">
        <v>45155</v>
      </c>
      <c r="AH1582" s="82" t="s">
        <v>9721</v>
      </c>
      <c r="AI1582" s="77" t="b">
        <v>0</v>
      </c>
      <c r="AJ1582" s="77"/>
      <c r="AK1582" s="77"/>
      <c r="AL1582" s="77"/>
      <c r="AM1582" s="77"/>
      <c r="AN1582" s="77"/>
      <c r="AO1582" s="77"/>
      <c r="AP1582" s="77"/>
      <c r="AQ1582" s="77"/>
      <c r="AR1582" s="77"/>
      <c r="AS1582" s="77"/>
      <c r="AT1582" s="77"/>
      <c r="AU1582" s="77"/>
      <c r="AV1582" s="80" t="str">
        <f>HYPERLINK("https://pbs.twimg.com/profile_images/1067039778795937797/PnnLGTU4_normal.jpg")</f>
        <v>https://pbs.twimg.com/profile_images/1067039778795937797/PnnLGTU4_normal.jpg</v>
      </c>
      <c r="AW1582" s="82" t="s">
        <v>14675</v>
      </c>
      <c r="AX1582" s="82" t="s">
        <v>14675</v>
      </c>
      <c r="AY1582" s="77"/>
      <c r="AZ1582" s="82" t="s">
        <v>17385</v>
      </c>
      <c r="BA1582" s="82" t="s">
        <v>17385</v>
      </c>
      <c r="BB1582" s="82" t="s">
        <v>17385</v>
      </c>
      <c r="BC1582" s="82" t="s">
        <v>14675</v>
      </c>
      <c r="BD1582" s="77">
        <v>2578778256</v>
      </c>
      <c r="BE1582" s="77"/>
      <c r="BF1582" s="77"/>
      <c r="BG1582" s="77"/>
      <c r="BH1582" s="77"/>
      <c r="BI1582" s="77"/>
    </row>
    <row r="1583" spans="1:61" x14ac:dyDescent="0.25">
      <c r="A1583" s="62" t="s">
        <v>500</v>
      </c>
      <c r="B1583" s="62" t="s">
        <v>500</v>
      </c>
      <c r="C1583" s="63"/>
      <c r="D1583" s="64"/>
      <c r="E1583" s="65"/>
      <c r="F1583" s="66"/>
      <c r="G1583" s="63"/>
      <c r="H1583" s="67"/>
      <c r="I1583" s="68"/>
      <c r="J1583" s="68"/>
      <c r="K1583" s="32"/>
      <c r="L1583" s="75">
        <v>1583</v>
      </c>
      <c r="M1583" s="75"/>
      <c r="N1583" s="70"/>
      <c r="O1583" s="77" t="s">
        <v>179</v>
      </c>
      <c r="P1583" s="79">
        <v>45155.510740740741</v>
      </c>
      <c r="Q1583" s="77" t="s">
        <v>2371</v>
      </c>
      <c r="R1583" s="77">
        <v>0</v>
      </c>
      <c r="S1583" s="77">
        <v>0</v>
      </c>
      <c r="T1583" s="77">
        <v>0</v>
      </c>
      <c r="U1583" s="77">
        <v>0</v>
      </c>
      <c r="V1583" s="77">
        <v>299</v>
      </c>
      <c r="W1583" s="82" t="s">
        <v>5793</v>
      </c>
      <c r="X1583" s="80" t="str">
        <f>HYPERLINK("https://www.youtube.com/watch?v=SBdNlNbjGpQ")</f>
        <v>https://www.youtube.com/watch?v=SBdNlNbjGpQ</v>
      </c>
      <c r="Y1583" s="77" t="s">
        <v>7065</v>
      </c>
      <c r="Z1583" s="77"/>
      <c r="AA1583" s="77"/>
      <c r="AB1583" s="77"/>
      <c r="AC1583" s="82" t="s">
        <v>8266</v>
      </c>
      <c r="AD1583" s="77" t="s">
        <v>8278</v>
      </c>
      <c r="AE1583" s="80" t="str">
        <f>HYPERLINK("https://twitter.com/modalmais/status/1692148133621358624")</f>
        <v>https://twitter.com/modalmais/status/1692148133621358624</v>
      </c>
      <c r="AF1583" s="79">
        <v>45155.510740740741</v>
      </c>
      <c r="AG1583" s="85">
        <v>45155</v>
      </c>
      <c r="AH1583" s="82" t="s">
        <v>9722</v>
      </c>
      <c r="AI1583" s="77" t="b">
        <v>0</v>
      </c>
      <c r="AJ1583" s="77"/>
      <c r="AK1583" s="77"/>
      <c r="AL1583" s="77"/>
      <c r="AM1583" s="77"/>
      <c r="AN1583" s="77"/>
      <c r="AO1583" s="77"/>
      <c r="AP1583" s="77"/>
      <c r="AQ1583" s="77"/>
      <c r="AR1583" s="77"/>
      <c r="AS1583" s="77"/>
      <c r="AT1583" s="77"/>
      <c r="AU1583" s="77"/>
      <c r="AV1583" s="80" t="str">
        <f>HYPERLINK("https://pbs.twimg.com/profile_images/1067039778795937797/PnnLGTU4_normal.jpg")</f>
        <v>https://pbs.twimg.com/profile_images/1067039778795937797/PnnLGTU4_normal.jpg</v>
      </c>
      <c r="AW1583" s="82" t="s">
        <v>14676</v>
      </c>
      <c r="AX1583" s="82" t="s">
        <v>14676</v>
      </c>
      <c r="AY1583" s="77"/>
      <c r="AZ1583" s="82" t="s">
        <v>17385</v>
      </c>
      <c r="BA1583" s="82" t="s">
        <v>17385</v>
      </c>
      <c r="BB1583" s="82" t="s">
        <v>17385</v>
      </c>
      <c r="BC1583" s="82" t="s">
        <v>14676</v>
      </c>
      <c r="BD1583" s="77">
        <v>2578778256</v>
      </c>
      <c r="BE1583" s="77"/>
      <c r="BF1583" s="77"/>
      <c r="BG1583" s="77"/>
      <c r="BH1583" s="77"/>
      <c r="BI1583" s="77"/>
    </row>
    <row r="1584" spans="1:61" x14ac:dyDescent="0.25">
      <c r="A1584" s="62" t="s">
        <v>500</v>
      </c>
      <c r="B1584" s="62" t="s">
        <v>500</v>
      </c>
      <c r="C1584" s="63"/>
      <c r="D1584" s="64"/>
      <c r="E1584" s="65"/>
      <c r="F1584" s="66"/>
      <c r="G1584" s="63"/>
      <c r="H1584" s="67"/>
      <c r="I1584" s="68"/>
      <c r="J1584" s="68"/>
      <c r="K1584" s="32"/>
      <c r="L1584" s="75">
        <v>1584</v>
      </c>
      <c r="M1584" s="75"/>
      <c r="N1584" s="70"/>
      <c r="O1584" s="77" t="s">
        <v>179</v>
      </c>
      <c r="P1584" s="79">
        <v>45154.859953703701</v>
      </c>
      <c r="Q1584" s="77" t="s">
        <v>2372</v>
      </c>
      <c r="R1584" s="77">
        <v>0</v>
      </c>
      <c r="S1584" s="77">
        <v>0</v>
      </c>
      <c r="T1584" s="77">
        <v>0</v>
      </c>
      <c r="U1584" s="77">
        <v>0</v>
      </c>
      <c r="V1584" s="77">
        <v>320</v>
      </c>
      <c r="W1584" s="82" t="s">
        <v>5793</v>
      </c>
      <c r="X1584" s="80" t="str">
        <f>HYPERLINK("https://www.youtube.com/watch?v=jAk6QOhwodg")</f>
        <v>https://www.youtube.com/watch?v=jAk6QOhwodg</v>
      </c>
      <c r="Y1584" s="77" t="s">
        <v>7065</v>
      </c>
      <c r="Z1584" s="77"/>
      <c r="AA1584" s="77"/>
      <c r="AB1584" s="77"/>
      <c r="AC1584" s="82" t="s">
        <v>8266</v>
      </c>
      <c r="AD1584" s="77" t="s">
        <v>8278</v>
      </c>
      <c r="AE1584" s="80" t="str">
        <f>HYPERLINK("https://twitter.com/modalmais/status/1691912298766504000")</f>
        <v>https://twitter.com/modalmais/status/1691912298766504000</v>
      </c>
      <c r="AF1584" s="79">
        <v>45154.859953703701</v>
      </c>
      <c r="AG1584" s="85">
        <v>45154</v>
      </c>
      <c r="AH1584" s="82" t="s">
        <v>9723</v>
      </c>
      <c r="AI1584" s="77" t="b">
        <v>0</v>
      </c>
      <c r="AJ1584" s="77"/>
      <c r="AK1584" s="77"/>
      <c r="AL1584" s="77"/>
      <c r="AM1584" s="77"/>
      <c r="AN1584" s="77"/>
      <c r="AO1584" s="77"/>
      <c r="AP1584" s="77"/>
      <c r="AQ1584" s="77"/>
      <c r="AR1584" s="77"/>
      <c r="AS1584" s="77"/>
      <c r="AT1584" s="77"/>
      <c r="AU1584" s="77"/>
      <c r="AV1584" s="80" t="str">
        <f>HYPERLINK("https://pbs.twimg.com/profile_images/1067039778795937797/PnnLGTU4_normal.jpg")</f>
        <v>https://pbs.twimg.com/profile_images/1067039778795937797/PnnLGTU4_normal.jpg</v>
      </c>
      <c r="AW1584" s="82" t="s">
        <v>14677</v>
      </c>
      <c r="AX1584" s="82" t="s">
        <v>14677</v>
      </c>
      <c r="AY1584" s="77"/>
      <c r="AZ1584" s="82" t="s">
        <v>17385</v>
      </c>
      <c r="BA1584" s="82" t="s">
        <v>17385</v>
      </c>
      <c r="BB1584" s="82" t="s">
        <v>17385</v>
      </c>
      <c r="BC1584" s="82" t="s">
        <v>14677</v>
      </c>
      <c r="BD1584" s="77">
        <v>2578778256</v>
      </c>
      <c r="BE1584" s="77"/>
      <c r="BF1584" s="77"/>
      <c r="BG1584" s="77"/>
      <c r="BH1584" s="77"/>
      <c r="BI1584" s="77"/>
    </row>
    <row r="1585" spans="1:61" x14ac:dyDescent="0.25">
      <c r="A1585" s="62" t="s">
        <v>500</v>
      </c>
      <c r="B1585" s="62" t="s">
        <v>500</v>
      </c>
      <c r="C1585" s="63"/>
      <c r="D1585" s="64"/>
      <c r="E1585" s="65"/>
      <c r="F1585" s="66"/>
      <c r="G1585" s="63"/>
      <c r="H1585" s="67"/>
      <c r="I1585" s="68"/>
      <c r="J1585" s="68"/>
      <c r="K1585" s="32"/>
      <c r="L1585" s="75">
        <v>1585</v>
      </c>
      <c r="M1585" s="75"/>
      <c r="N1585" s="70"/>
      <c r="O1585" s="77" t="s">
        <v>179</v>
      </c>
      <c r="P1585" s="79">
        <v>45154.813414351855</v>
      </c>
      <c r="Q1585" s="77" t="s">
        <v>2373</v>
      </c>
      <c r="R1585" s="77">
        <v>0</v>
      </c>
      <c r="S1585" s="77">
        <v>0</v>
      </c>
      <c r="T1585" s="77">
        <v>0</v>
      </c>
      <c r="U1585" s="77">
        <v>0</v>
      </c>
      <c r="V1585" s="77">
        <v>293</v>
      </c>
      <c r="W1585" s="82" t="s">
        <v>5793</v>
      </c>
      <c r="X1585" s="80" t="str">
        <f>HYPERLINK("https://www.youtube.com/watch?v=O-LW_EdXHI0")</f>
        <v>https://www.youtube.com/watch?v=O-LW_EdXHI0</v>
      </c>
      <c r="Y1585" s="77" t="s">
        <v>7065</v>
      </c>
      <c r="Z1585" s="77"/>
      <c r="AA1585" s="77"/>
      <c r="AB1585" s="77"/>
      <c r="AC1585" s="82" t="s">
        <v>8266</v>
      </c>
      <c r="AD1585" s="77" t="s">
        <v>8278</v>
      </c>
      <c r="AE1585" s="80" t="str">
        <f>HYPERLINK("https://twitter.com/modalmais/status/1691895430857023679")</f>
        <v>https://twitter.com/modalmais/status/1691895430857023679</v>
      </c>
      <c r="AF1585" s="79">
        <v>45154.813414351855</v>
      </c>
      <c r="AG1585" s="85">
        <v>45154</v>
      </c>
      <c r="AH1585" s="82" t="s">
        <v>9724</v>
      </c>
      <c r="AI1585" s="77" t="b">
        <v>0</v>
      </c>
      <c r="AJ1585" s="77"/>
      <c r="AK1585" s="77"/>
      <c r="AL1585" s="77"/>
      <c r="AM1585" s="77"/>
      <c r="AN1585" s="77"/>
      <c r="AO1585" s="77"/>
      <c r="AP1585" s="77"/>
      <c r="AQ1585" s="77"/>
      <c r="AR1585" s="77"/>
      <c r="AS1585" s="77"/>
      <c r="AT1585" s="77"/>
      <c r="AU1585" s="77"/>
      <c r="AV1585" s="80" t="str">
        <f>HYPERLINK("https://pbs.twimg.com/profile_images/1067039778795937797/PnnLGTU4_normal.jpg")</f>
        <v>https://pbs.twimg.com/profile_images/1067039778795937797/PnnLGTU4_normal.jpg</v>
      </c>
      <c r="AW1585" s="82" t="s">
        <v>14678</v>
      </c>
      <c r="AX1585" s="82" t="s">
        <v>14678</v>
      </c>
      <c r="AY1585" s="77"/>
      <c r="AZ1585" s="82" t="s">
        <v>17385</v>
      </c>
      <c r="BA1585" s="82" t="s">
        <v>17385</v>
      </c>
      <c r="BB1585" s="82" t="s">
        <v>17385</v>
      </c>
      <c r="BC1585" s="82" t="s">
        <v>14678</v>
      </c>
      <c r="BD1585" s="77">
        <v>2578778256</v>
      </c>
      <c r="BE1585" s="77"/>
      <c r="BF1585" s="77"/>
      <c r="BG1585" s="77"/>
      <c r="BH1585" s="77"/>
      <c r="BI1585" s="77"/>
    </row>
    <row r="1586" spans="1:61" x14ac:dyDescent="0.25">
      <c r="A1586" s="62" t="s">
        <v>500</v>
      </c>
      <c r="B1586" s="62" t="s">
        <v>500</v>
      </c>
      <c r="C1586" s="63"/>
      <c r="D1586" s="64"/>
      <c r="E1586" s="65"/>
      <c r="F1586" s="66"/>
      <c r="G1586" s="63"/>
      <c r="H1586" s="67"/>
      <c r="I1586" s="68"/>
      <c r="J1586" s="68"/>
      <c r="K1586" s="32"/>
      <c r="L1586" s="75">
        <v>1586</v>
      </c>
      <c r="M1586" s="75"/>
      <c r="N1586" s="70"/>
      <c r="O1586" s="77" t="s">
        <v>179</v>
      </c>
      <c r="P1586" s="79">
        <v>45154.661238425928</v>
      </c>
      <c r="Q1586" s="77" t="s">
        <v>2374</v>
      </c>
      <c r="R1586" s="77">
        <v>0</v>
      </c>
      <c r="S1586" s="77">
        <v>0</v>
      </c>
      <c r="T1586" s="77">
        <v>0</v>
      </c>
      <c r="U1586" s="77">
        <v>0</v>
      </c>
      <c r="V1586" s="77">
        <v>257</v>
      </c>
      <c r="W1586" s="82" t="s">
        <v>5793</v>
      </c>
      <c r="X1586" s="77"/>
      <c r="Y1586" s="77"/>
      <c r="Z1586" s="77"/>
      <c r="AA1586" s="77"/>
      <c r="AB1586" s="77"/>
      <c r="AC1586" s="82" t="s">
        <v>8266</v>
      </c>
      <c r="AD1586" s="77" t="s">
        <v>8281</v>
      </c>
      <c r="AE1586" s="80" t="str">
        <f>HYPERLINK("https://twitter.com/modalmais/status/1691840285741826186")</f>
        <v>https://twitter.com/modalmais/status/1691840285741826186</v>
      </c>
      <c r="AF1586" s="79">
        <v>45154.661238425928</v>
      </c>
      <c r="AG1586" s="85">
        <v>45154</v>
      </c>
      <c r="AH1586" s="82" t="s">
        <v>9725</v>
      </c>
      <c r="AI1586" s="77"/>
      <c r="AJ1586" s="77"/>
      <c r="AK1586" s="77"/>
      <c r="AL1586" s="77"/>
      <c r="AM1586" s="77"/>
      <c r="AN1586" s="77"/>
      <c r="AO1586" s="77"/>
      <c r="AP1586" s="77"/>
      <c r="AQ1586" s="77"/>
      <c r="AR1586" s="77"/>
      <c r="AS1586" s="77"/>
      <c r="AT1586" s="77"/>
      <c r="AU1586" s="77"/>
      <c r="AV1586" s="80" t="str">
        <f>HYPERLINK("https://pbs.twimg.com/profile_images/1067039778795937797/PnnLGTU4_normal.jpg")</f>
        <v>https://pbs.twimg.com/profile_images/1067039778795937797/PnnLGTU4_normal.jpg</v>
      </c>
      <c r="AW1586" s="82" t="s">
        <v>14679</v>
      </c>
      <c r="AX1586" s="82" t="s">
        <v>14679</v>
      </c>
      <c r="AY1586" s="77"/>
      <c r="AZ1586" s="82" t="s">
        <v>17385</v>
      </c>
      <c r="BA1586" s="82" t="s">
        <v>17385</v>
      </c>
      <c r="BB1586" s="82" t="s">
        <v>17385</v>
      </c>
      <c r="BC1586" s="82" t="s">
        <v>14679</v>
      </c>
      <c r="BD1586" s="77">
        <v>2578778256</v>
      </c>
      <c r="BE1586" s="77"/>
      <c r="BF1586" s="77"/>
      <c r="BG1586" s="77"/>
      <c r="BH1586" s="77"/>
      <c r="BI1586" s="77"/>
    </row>
    <row r="1587" spans="1:61" x14ac:dyDescent="0.25">
      <c r="A1587" s="62" t="s">
        <v>500</v>
      </c>
      <c r="B1587" s="62" t="s">
        <v>500</v>
      </c>
      <c r="C1587" s="63"/>
      <c r="D1587" s="64"/>
      <c r="E1587" s="65"/>
      <c r="F1587" s="66"/>
      <c r="G1587" s="63"/>
      <c r="H1587" s="67"/>
      <c r="I1587" s="68"/>
      <c r="J1587" s="68"/>
      <c r="K1587" s="32"/>
      <c r="L1587" s="75">
        <v>1587</v>
      </c>
      <c r="M1587" s="75"/>
      <c r="N1587" s="70"/>
      <c r="O1587" s="77" t="s">
        <v>179</v>
      </c>
      <c r="P1587" s="79">
        <v>45160.58662037037</v>
      </c>
      <c r="Q1587" s="77" t="s">
        <v>2375</v>
      </c>
      <c r="R1587" s="77">
        <v>0</v>
      </c>
      <c r="S1587" s="77">
        <v>6</v>
      </c>
      <c r="T1587" s="77">
        <v>0</v>
      </c>
      <c r="U1587" s="77">
        <v>0</v>
      </c>
      <c r="V1587" s="77">
        <v>500</v>
      </c>
      <c r="W1587" s="82" t="s">
        <v>5794</v>
      </c>
      <c r="X1587" s="77"/>
      <c r="Y1587" s="77"/>
      <c r="Z1587" s="77"/>
      <c r="AA1587" s="77"/>
      <c r="AB1587" s="77"/>
      <c r="AC1587" s="82" t="s">
        <v>8266</v>
      </c>
      <c r="AD1587" s="77" t="s">
        <v>8278</v>
      </c>
      <c r="AE1587" s="80" t="str">
        <f>HYPERLINK("https://twitter.com/modalmais/status/1693987569586065672")</f>
        <v>https://twitter.com/modalmais/status/1693987569586065672</v>
      </c>
      <c r="AF1587" s="79">
        <v>45160.58662037037</v>
      </c>
      <c r="AG1587" s="85">
        <v>45160</v>
      </c>
      <c r="AH1587" s="82" t="s">
        <v>9726</v>
      </c>
      <c r="AI1587" s="77"/>
      <c r="AJ1587" s="77"/>
      <c r="AK1587" s="77"/>
      <c r="AL1587" s="77"/>
      <c r="AM1587" s="77"/>
      <c r="AN1587" s="77"/>
      <c r="AO1587" s="77"/>
      <c r="AP1587" s="77"/>
      <c r="AQ1587" s="77"/>
      <c r="AR1587" s="77"/>
      <c r="AS1587" s="77"/>
      <c r="AT1587" s="77"/>
      <c r="AU1587" s="77"/>
      <c r="AV1587" s="80" t="str">
        <f>HYPERLINK("https://pbs.twimg.com/profile_images/1067039778795937797/PnnLGTU4_normal.jpg")</f>
        <v>https://pbs.twimg.com/profile_images/1067039778795937797/PnnLGTU4_normal.jpg</v>
      </c>
      <c r="AW1587" s="82" t="s">
        <v>14680</v>
      </c>
      <c r="AX1587" s="82" t="s">
        <v>14680</v>
      </c>
      <c r="AY1587" s="77"/>
      <c r="AZ1587" s="82" t="s">
        <v>17385</v>
      </c>
      <c r="BA1587" s="82" t="s">
        <v>17385</v>
      </c>
      <c r="BB1587" s="82" t="s">
        <v>17385</v>
      </c>
      <c r="BC1587" s="82" t="s">
        <v>14680</v>
      </c>
      <c r="BD1587" s="77">
        <v>2578778256</v>
      </c>
      <c r="BE1587" s="77"/>
      <c r="BF1587" s="77"/>
      <c r="BG1587" s="77"/>
      <c r="BH1587" s="77"/>
      <c r="BI1587" s="77"/>
    </row>
    <row r="1588" spans="1:61" x14ac:dyDescent="0.25">
      <c r="A1588" s="62" t="s">
        <v>500</v>
      </c>
      <c r="B1588" s="62" t="s">
        <v>500</v>
      </c>
      <c r="C1588" s="63"/>
      <c r="D1588" s="64"/>
      <c r="E1588" s="65"/>
      <c r="F1588" s="66"/>
      <c r="G1588" s="63"/>
      <c r="H1588" s="67"/>
      <c r="I1588" s="68"/>
      <c r="J1588" s="68"/>
      <c r="K1588" s="32"/>
      <c r="L1588" s="75">
        <v>1588</v>
      </c>
      <c r="M1588" s="75"/>
      <c r="N1588" s="70"/>
      <c r="O1588" s="77" t="s">
        <v>179</v>
      </c>
      <c r="P1588" s="79">
        <v>45153.602638888886</v>
      </c>
      <c r="Q1588" s="77" t="s">
        <v>2376</v>
      </c>
      <c r="R1588" s="77">
        <v>0</v>
      </c>
      <c r="S1588" s="77">
        <v>2</v>
      </c>
      <c r="T1588" s="77">
        <v>0</v>
      </c>
      <c r="U1588" s="77">
        <v>0</v>
      </c>
      <c r="V1588" s="77">
        <v>375</v>
      </c>
      <c r="W1588" s="82" t="s">
        <v>5792</v>
      </c>
      <c r="X1588" s="77"/>
      <c r="Y1588" s="77"/>
      <c r="Z1588" s="77"/>
      <c r="AA1588" s="77"/>
      <c r="AB1588" s="77"/>
      <c r="AC1588" s="82" t="s">
        <v>8266</v>
      </c>
      <c r="AD1588" s="77" t="s">
        <v>8278</v>
      </c>
      <c r="AE1588" s="80" t="str">
        <f>HYPERLINK("https://twitter.com/modalmais/status/1691456659561037825")</f>
        <v>https://twitter.com/modalmais/status/1691456659561037825</v>
      </c>
      <c r="AF1588" s="79">
        <v>45153.602638888886</v>
      </c>
      <c r="AG1588" s="85">
        <v>45153</v>
      </c>
      <c r="AH1588" s="82" t="s">
        <v>9727</v>
      </c>
      <c r="AI1588" s="77"/>
      <c r="AJ1588" s="77"/>
      <c r="AK1588" s="77"/>
      <c r="AL1588" s="77"/>
      <c r="AM1588" s="77"/>
      <c r="AN1588" s="77"/>
      <c r="AO1588" s="77"/>
      <c r="AP1588" s="77"/>
      <c r="AQ1588" s="77"/>
      <c r="AR1588" s="77"/>
      <c r="AS1588" s="77"/>
      <c r="AT1588" s="77"/>
      <c r="AU1588" s="77"/>
      <c r="AV1588" s="80" t="str">
        <f>HYPERLINK("https://pbs.twimg.com/profile_images/1067039778795937797/PnnLGTU4_normal.jpg")</f>
        <v>https://pbs.twimg.com/profile_images/1067039778795937797/PnnLGTU4_normal.jpg</v>
      </c>
      <c r="AW1588" s="82" t="s">
        <v>14681</v>
      </c>
      <c r="AX1588" s="82" t="s">
        <v>14681</v>
      </c>
      <c r="AY1588" s="77"/>
      <c r="AZ1588" s="82" t="s">
        <v>17385</v>
      </c>
      <c r="BA1588" s="82" t="s">
        <v>17385</v>
      </c>
      <c r="BB1588" s="82" t="s">
        <v>17385</v>
      </c>
      <c r="BC1588" s="82" t="s">
        <v>14681</v>
      </c>
      <c r="BD1588" s="77">
        <v>2578778256</v>
      </c>
      <c r="BE1588" s="77"/>
      <c r="BF1588" s="77"/>
      <c r="BG1588" s="77"/>
      <c r="BH1588" s="77"/>
      <c r="BI1588" s="77"/>
    </row>
    <row r="1589" spans="1:61" x14ac:dyDescent="0.25">
      <c r="A1589" s="62" t="s">
        <v>499</v>
      </c>
      <c r="B1589" s="62" t="s">
        <v>500</v>
      </c>
      <c r="C1589" s="63"/>
      <c r="D1589" s="64"/>
      <c r="E1589" s="65"/>
      <c r="F1589" s="66"/>
      <c r="G1589" s="63"/>
      <c r="H1589" s="67"/>
      <c r="I1589" s="68"/>
      <c r="J1589" s="68"/>
      <c r="K1589" s="32"/>
      <c r="L1589" s="75">
        <v>1589</v>
      </c>
      <c r="M1589" s="75"/>
      <c r="N1589" s="70"/>
      <c r="O1589" s="77" t="s">
        <v>802</v>
      </c>
      <c r="P1589" s="79">
        <v>45145.654861111114</v>
      </c>
      <c r="Q1589" s="77" t="s">
        <v>2377</v>
      </c>
      <c r="R1589" s="77">
        <v>0</v>
      </c>
      <c r="S1589" s="77">
        <v>1</v>
      </c>
      <c r="T1589" s="77">
        <v>0</v>
      </c>
      <c r="U1589" s="77">
        <v>0</v>
      </c>
      <c r="V1589" s="77">
        <v>14</v>
      </c>
      <c r="W1589" s="82" t="s">
        <v>5795</v>
      </c>
      <c r="X1589" s="80" t="str">
        <f>HYPERLINK("https://www.modalmais.com.br/blog/analise-fundamentalista/")</f>
        <v>https://www.modalmais.com.br/blog/analise-fundamentalista/</v>
      </c>
      <c r="Y1589" s="77" t="s">
        <v>7053</v>
      </c>
      <c r="Z1589" s="77" t="s">
        <v>500</v>
      </c>
      <c r="AA1589" s="77"/>
      <c r="AB1589" s="77"/>
      <c r="AC1589" s="82" t="s">
        <v>8232</v>
      </c>
      <c r="AD1589" s="77" t="s">
        <v>8278</v>
      </c>
      <c r="AE1589" s="80" t="str">
        <f>HYPERLINK("https://twitter.com/charlesfibonacc/status/1688576482233167872")</f>
        <v>https://twitter.com/charlesfibonacc/status/1688576482233167872</v>
      </c>
      <c r="AF1589" s="79">
        <v>45145.654861111114</v>
      </c>
      <c r="AG1589" s="85">
        <v>45145</v>
      </c>
      <c r="AH1589" s="82" t="s">
        <v>9728</v>
      </c>
      <c r="AI1589" s="77" t="b">
        <v>0</v>
      </c>
      <c r="AJ1589" s="77"/>
      <c r="AK1589" s="77"/>
      <c r="AL1589" s="77"/>
      <c r="AM1589" s="77"/>
      <c r="AN1589" s="77"/>
      <c r="AO1589" s="77"/>
      <c r="AP1589" s="77"/>
      <c r="AQ1589" s="77"/>
      <c r="AR1589" s="77"/>
      <c r="AS1589" s="77"/>
      <c r="AT1589" s="77"/>
      <c r="AU1589" s="77"/>
      <c r="AV1589" s="80" t="str">
        <f>HYPERLINK("https://pbs.twimg.com/profile_images/1539234851198492678/gKZ0CP6m_normal.jpg")</f>
        <v>https://pbs.twimg.com/profile_images/1539234851198492678/gKZ0CP6m_normal.jpg</v>
      </c>
      <c r="AW1589" s="82" t="s">
        <v>14682</v>
      </c>
      <c r="AX1589" s="82" t="s">
        <v>14682</v>
      </c>
      <c r="AY1589" s="77"/>
      <c r="AZ1589" s="82" t="s">
        <v>17385</v>
      </c>
      <c r="BA1589" s="82" t="s">
        <v>17385</v>
      </c>
      <c r="BB1589" s="82" t="s">
        <v>17385</v>
      </c>
      <c r="BC1589" s="82" t="s">
        <v>14682</v>
      </c>
      <c r="BD1589" s="82" t="s">
        <v>17585</v>
      </c>
      <c r="BE1589" s="77"/>
      <c r="BF1589" s="77"/>
      <c r="BG1589" s="77"/>
      <c r="BH1589" s="77"/>
      <c r="BI1589" s="77"/>
    </row>
    <row r="1590" spans="1:61" x14ac:dyDescent="0.25">
      <c r="A1590" s="62" t="s">
        <v>499</v>
      </c>
      <c r="B1590" s="62" t="s">
        <v>500</v>
      </c>
      <c r="C1590" s="63"/>
      <c r="D1590" s="64"/>
      <c r="E1590" s="65"/>
      <c r="F1590" s="66"/>
      <c r="G1590" s="63"/>
      <c r="H1590" s="67"/>
      <c r="I1590" s="68"/>
      <c r="J1590" s="68"/>
      <c r="K1590" s="32"/>
      <c r="L1590" s="75">
        <v>1590</v>
      </c>
      <c r="M1590" s="75"/>
      <c r="N1590" s="70"/>
      <c r="O1590" s="77" t="s">
        <v>802</v>
      </c>
      <c r="P1590" s="79">
        <v>45140.62222222222</v>
      </c>
      <c r="Q1590" s="77" t="s">
        <v>2378</v>
      </c>
      <c r="R1590" s="77">
        <v>0</v>
      </c>
      <c r="S1590" s="77">
        <v>1</v>
      </c>
      <c r="T1590" s="77">
        <v>0</v>
      </c>
      <c r="U1590" s="77">
        <v>0</v>
      </c>
      <c r="V1590" s="77">
        <v>20</v>
      </c>
      <c r="W1590" s="82" t="s">
        <v>5796</v>
      </c>
      <c r="X1590" s="80" t="str">
        <f>HYPERLINK("https://www.modalmais.com.br/blog/analise-fundamentalista/")</f>
        <v>https://www.modalmais.com.br/blog/analise-fundamentalista/</v>
      </c>
      <c r="Y1590" s="77" t="s">
        <v>7053</v>
      </c>
      <c r="Z1590" s="77" t="s">
        <v>500</v>
      </c>
      <c r="AA1590" s="77"/>
      <c r="AB1590" s="77"/>
      <c r="AC1590" s="82" t="s">
        <v>8232</v>
      </c>
      <c r="AD1590" s="77" t="s">
        <v>8278</v>
      </c>
      <c r="AE1590" s="80" t="str">
        <f>HYPERLINK("https://twitter.com/charlesfibonacc/status/1686752714800115713")</f>
        <v>https://twitter.com/charlesfibonacc/status/1686752714800115713</v>
      </c>
      <c r="AF1590" s="79">
        <v>45140.62222222222</v>
      </c>
      <c r="AG1590" s="85">
        <v>45140</v>
      </c>
      <c r="AH1590" s="82" t="s">
        <v>9729</v>
      </c>
      <c r="AI1590" s="77" t="b">
        <v>0</v>
      </c>
      <c r="AJ1590" s="77"/>
      <c r="AK1590" s="77"/>
      <c r="AL1590" s="77"/>
      <c r="AM1590" s="77"/>
      <c r="AN1590" s="77"/>
      <c r="AO1590" s="77"/>
      <c r="AP1590" s="77"/>
      <c r="AQ1590" s="77"/>
      <c r="AR1590" s="77"/>
      <c r="AS1590" s="77"/>
      <c r="AT1590" s="77"/>
      <c r="AU1590" s="77"/>
      <c r="AV1590" s="80" t="str">
        <f>HYPERLINK("https://pbs.twimg.com/profile_images/1539234851198492678/gKZ0CP6m_normal.jpg")</f>
        <v>https://pbs.twimg.com/profile_images/1539234851198492678/gKZ0CP6m_normal.jpg</v>
      </c>
      <c r="AW1590" s="82" t="s">
        <v>14683</v>
      </c>
      <c r="AX1590" s="82" t="s">
        <v>14683</v>
      </c>
      <c r="AY1590" s="77"/>
      <c r="AZ1590" s="82" t="s">
        <v>17385</v>
      </c>
      <c r="BA1590" s="82" t="s">
        <v>17385</v>
      </c>
      <c r="BB1590" s="82" t="s">
        <v>17385</v>
      </c>
      <c r="BC1590" s="82" t="s">
        <v>14683</v>
      </c>
      <c r="BD1590" s="82" t="s">
        <v>17585</v>
      </c>
      <c r="BE1590" s="77"/>
      <c r="BF1590" s="77"/>
      <c r="BG1590" s="77"/>
      <c r="BH1590" s="77"/>
      <c r="BI1590" s="77"/>
    </row>
    <row r="1591" spans="1:61" x14ac:dyDescent="0.25">
      <c r="A1591" s="62" t="s">
        <v>499</v>
      </c>
      <c r="B1591" s="62" t="s">
        <v>500</v>
      </c>
      <c r="C1591" s="63"/>
      <c r="D1591" s="64"/>
      <c r="E1591" s="65"/>
      <c r="F1591" s="66"/>
      <c r="G1591" s="63"/>
      <c r="H1591" s="67"/>
      <c r="I1591" s="68"/>
      <c r="J1591" s="68"/>
      <c r="K1591" s="32"/>
      <c r="L1591" s="75">
        <v>1591</v>
      </c>
      <c r="M1591" s="75"/>
      <c r="N1591" s="70"/>
      <c r="O1591" s="77" t="s">
        <v>802</v>
      </c>
      <c r="P1591" s="79">
        <v>45148.521493055552</v>
      </c>
      <c r="Q1591" s="77" t="s">
        <v>2358</v>
      </c>
      <c r="R1591" s="77">
        <v>0</v>
      </c>
      <c r="S1591" s="77">
        <v>2</v>
      </c>
      <c r="T1591" s="77">
        <v>1</v>
      </c>
      <c r="U1591" s="77">
        <v>0</v>
      </c>
      <c r="V1591" s="77">
        <v>48</v>
      </c>
      <c r="W1591" s="82" t="s">
        <v>5786</v>
      </c>
      <c r="X1591" s="80" t="str">
        <f>HYPERLINK("https://www.youtube.com/live/WeTrLcgC65I?feature=share")</f>
        <v>https://www.youtube.com/live/WeTrLcgC65I?feature=share</v>
      </c>
      <c r="Y1591" s="77" t="s">
        <v>7065</v>
      </c>
      <c r="Z1591" s="77" t="s">
        <v>7162</v>
      </c>
      <c r="AA1591" s="77"/>
      <c r="AB1591" s="77"/>
      <c r="AC1591" s="82" t="s">
        <v>8232</v>
      </c>
      <c r="AD1591" s="77" t="s">
        <v>8278</v>
      </c>
      <c r="AE1591" s="80" t="str">
        <f>HYPERLINK("https://twitter.com/charlesfibonacc/status/1689615315729084416")</f>
        <v>https://twitter.com/charlesfibonacc/status/1689615315729084416</v>
      </c>
      <c r="AF1591" s="79">
        <v>45148.521493055552</v>
      </c>
      <c r="AG1591" s="85">
        <v>45148</v>
      </c>
      <c r="AH1591" s="82" t="s">
        <v>9710</v>
      </c>
      <c r="AI1591" s="77" t="b">
        <v>0</v>
      </c>
      <c r="AJ1591" s="77"/>
      <c r="AK1591" s="77"/>
      <c r="AL1591" s="77"/>
      <c r="AM1591" s="77"/>
      <c r="AN1591" s="77"/>
      <c r="AO1591" s="77"/>
      <c r="AP1591" s="77"/>
      <c r="AQ1591" s="77"/>
      <c r="AR1591" s="77"/>
      <c r="AS1591" s="77"/>
      <c r="AT1591" s="77"/>
      <c r="AU1591" s="77"/>
      <c r="AV1591" s="80" t="str">
        <f>HYPERLINK("https://pbs.twimg.com/profile_images/1539234851198492678/gKZ0CP6m_normal.jpg")</f>
        <v>https://pbs.twimg.com/profile_images/1539234851198492678/gKZ0CP6m_normal.jpg</v>
      </c>
      <c r="AW1591" s="82" t="s">
        <v>14663</v>
      </c>
      <c r="AX1591" s="82" t="s">
        <v>14663</v>
      </c>
      <c r="AY1591" s="77"/>
      <c r="AZ1591" s="82" t="s">
        <v>17385</v>
      </c>
      <c r="BA1591" s="82" t="s">
        <v>17385</v>
      </c>
      <c r="BB1591" s="82" t="s">
        <v>17385</v>
      </c>
      <c r="BC1591" s="82" t="s">
        <v>14663</v>
      </c>
      <c r="BD1591" s="82" t="s">
        <v>17585</v>
      </c>
      <c r="BE1591" s="77"/>
      <c r="BF1591" s="77"/>
      <c r="BG1591" s="77"/>
      <c r="BH1591" s="77"/>
      <c r="BI1591" s="77"/>
    </row>
    <row r="1592" spans="1:61" x14ac:dyDescent="0.25">
      <c r="A1592" s="62" t="s">
        <v>499</v>
      </c>
      <c r="B1592" s="62" t="s">
        <v>500</v>
      </c>
      <c r="C1592" s="63"/>
      <c r="D1592" s="64"/>
      <c r="E1592" s="65"/>
      <c r="F1592" s="66"/>
      <c r="G1592" s="63"/>
      <c r="H1592" s="67"/>
      <c r="I1592" s="68"/>
      <c r="J1592" s="68"/>
      <c r="K1592" s="32"/>
      <c r="L1592" s="75">
        <v>1592</v>
      </c>
      <c r="M1592" s="75"/>
      <c r="N1592" s="70"/>
      <c r="O1592" s="77" t="s">
        <v>802</v>
      </c>
      <c r="P1592" s="79">
        <v>45069.625034722223</v>
      </c>
      <c r="Q1592" s="77" t="s">
        <v>2379</v>
      </c>
      <c r="R1592" s="77">
        <v>0</v>
      </c>
      <c r="S1592" s="77">
        <v>1</v>
      </c>
      <c r="T1592" s="77">
        <v>0</v>
      </c>
      <c r="U1592" s="77">
        <v>0</v>
      </c>
      <c r="V1592" s="77">
        <v>50</v>
      </c>
      <c r="W1592" s="82" t="s">
        <v>5797</v>
      </c>
      <c r="X1592" s="80" t="str">
        <f>HYPERLINK("https://www.modalmais.com.br/blog/sp-500/")</f>
        <v>https://www.modalmais.com.br/blog/sp-500/</v>
      </c>
      <c r="Y1592" s="77" t="s">
        <v>7053</v>
      </c>
      <c r="Z1592" s="77" t="s">
        <v>500</v>
      </c>
      <c r="AA1592" s="77"/>
      <c r="AB1592" s="77"/>
      <c r="AC1592" s="82" t="s">
        <v>8232</v>
      </c>
      <c r="AD1592" s="77" t="s">
        <v>8278</v>
      </c>
      <c r="AE1592" s="80" t="str">
        <f>HYPERLINK("https://twitter.com/charlesfibonacc/status/1661024198222020610")</f>
        <v>https://twitter.com/charlesfibonacc/status/1661024198222020610</v>
      </c>
      <c r="AF1592" s="79">
        <v>45069.625034722223</v>
      </c>
      <c r="AG1592" s="85">
        <v>45069</v>
      </c>
      <c r="AH1592" s="82" t="s">
        <v>9730</v>
      </c>
      <c r="AI1592" s="77" t="b">
        <v>0</v>
      </c>
      <c r="AJ1592" s="77"/>
      <c r="AK1592" s="77"/>
      <c r="AL1592" s="77"/>
      <c r="AM1592" s="77"/>
      <c r="AN1592" s="77"/>
      <c r="AO1592" s="77"/>
      <c r="AP1592" s="77"/>
      <c r="AQ1592" s="77"/>
      <c r="AR1592" s="77"/>
      <c r="AS1592" s="77"/>
      <c r="AT1592" s="77"/>
      <c r="AU1592" s="77"/>
      <c r="AV1592" s="80" t="str">
        <f>HYPERLINK("https://pbs.twimg.com/profile_images/1539234851198492678/gKZ0CP6m_normal.jpg")</f>
        <v>https://pbs.twimg.com/profile_images/1539234851198492678/gKZ0CP6m_normal.jpg</v>
      </c>
      <c r="AW1592" s="82" t="s">
        <v>14684</v>
      </c>
      <c r="AX1592" s="82" t="s">
        <v>14684</v>
      </c>
      <c r="AY1592" s="77"/>
      <c r="AZ1592" s="82" t="s">
        <v>17385</v>
      </c>
      <c r="BA1592" s="82" t="s">
        <v>17385</v>
      </c>
      <c r="BB1592" s="82" t="s">
        <v>17385</v>
      </c>
      <c r="BC1592" s="82" t="s">
        <v>14684</v>
      </c>
      <c r="BD1592" s="82" t="s">
        <v>17585</v>
      </c>
      <c r="BE1592" s="77"/>
      <c r="BF1592" s="77"/>
      <c r="BG1592" s="77"/>
      <c r="BH1592" s="77"/>
      <c r="BI1592" s="77"/>
    </row>
    <row r="1593" spans="1:61" x14ac:dyDescent="0.25">
      <c r="A1593" s="62" t="s">
        <v>499</v>
      </c>
      <c r="B1593" s="62" t="s">
        <v>499</v>
      </c>
      <c r="C1593" s="63"/>
      <c r="D1593" s="64"/>
      <c r="E1593" s="65"/>
      <c r="F1593" s="66"/>
      <c r="G1593" s="63"/>
      <c r="H1593" s="67"/>
      <c r="I1593" s="68"/>
      <c r="J1593" s="68"/>
      <c r="K1593" s="32"/>
      <c r="L1593" s="75">
        <v>1593</v>
      </c>
      <c r="M1593" s="75"/>
      <c r="N1593" s="70"/>
      <c r="O1593" s="77" t="s">
        <v>179</v>
      </c>
      <c r="P1593" s="79">
        <v>45066.594780092593</v>
      </c>
      <c r="Q1593" s="77" t="s">
        <v>2380</v>
      </c>
      <c r="R1593" s="77">
        <v>0</v>
      </c>
      <c r="S1593" s="77">
        <v>1</v>
      </c>
      <c r="T1593" s="77">
        <v>0</v>
      </c>
      <c r="U1593" s="77">
        <v>0</v>
      </c>
      <c r="V1593" s="77">
        <v>15</v>
      </c>
      <c r="W1593" s="82" t="s">
        <v>5798</v>
      </c>
      <c r="X1593" s="80" t="str">
        <f>HYPERLINK("https://www.youtube.com/live/Iif2QE41mJ8?feature=share")</f>
        <v>https://www.youtube.com/live/Iif2QE41mJ8?feature=share</v>
      </c>
      <c r="Y1593" s="77" t="s">
        <v>7065</v>
      </c>
      <c r="Z1593" s="77"/>
      <c r="AA1593" s="77"/>
      <c r="AB1593" s="77"/>
      <c r="AC1593" s="82" t="s">
        <v>8232</v>
      </c>
      <c r="AD1593" s="77" t="s">
        <v>8278</v>
      </c>
      <c r="AE1593" s="80" t="str">
        <f>HYPERLINK("https://twitter.com/charlesfibonacc/status/1659926067207979008")</f>
        <v>https://twitter.com/charlesfibonacc/status/1659926067207979008</v>
      </c>
      <c r="AF1593" s="79">
        <v>45066.594780092593</v>
      </c>
      <c r="AG1593" s="85">
        <v>45066</v>
      </c>
      <c r="AH1593" s="82" t="s">
        <v>9731</v>
      </c>
      <c r="AI1593" s="77" t="b">
        <v>0</v>
      </c>
      <c r="AJ1593" s="77"/>
      <c r="AK1593" s="77"/>
      <c r="AL1593" s="77"/>
      <c r="AM1593" s="77"/>
      <c r="AN1593" s="77"/>
      <c r="AO1593" s="77"/>
      <c r="AP1593" s="77"/>
      <c r="AQ1593" s="77"/>
      <c r="AR1593" s="77"/>
      <c r="AS1593" s="77"/>
      <c r="AT1593" s="77"/>
      <c r="AU1593" s="77"/>
      <c r="AV1593" s="80" t="str">
        <f>HYPERLINK("https://pbs.twimg.com/profile_images/1539234851198492678/gKZ0CP6m_normal.jpg")</f>
        <v>https://pbs.twimg.com/profile_images/1539234851198492678/gKZ0CP6m_normal.jpg</v>
      </c>
      <c r="AW1593" s="82" t="s">
        <v>14685</v>
      </c>
      <c r="AX1593" s="82" t="s">
        <v>14685</v>
      </c>
      <c r="AY1593" s="77"/>
      <c r="AZ1593" s="82" t="s">
        <v>17385</v>
      </c>
      <c r="BA1593" s="82" t="s">
        <v>17385</v>
      </c>
      <c r="BB1593" s="82" t="s">
        <v>17385</v>
      </c>
      <c r="BC1593" s="82" t="s">
        <v>14685</v>
      </c>
      <c r="BD1593" s="82" t="s">
        <v>17585</v>
      </c>
      <c r="BE1593" s="77"/>
      <c r="BF1593" s="77"/>
      <c r="BG1593" s="77"/>
      <c r="BH1593" s="77"/>
      <c r="BI1593" s="77"/>
    </row>
    <row r="1594" spans="1:61" x14ac:dyDescent="0.25">
      <c r="A1594" s="62" t="s">
        <v>499</v>
      </c>
      <c r="B1594" s="62" t="s">
        <v>523</v>
      </c>
      <c r="C1594" s="63"/>
      <c r="D1594" s="64"/>
      <c r="E1594" s="65"/>
      <c r="F1594" s="66"/>
      <c r="G1594" s="63"/>
      <c r="H1594" s="67"/>
      <c r="I1594" s="68"/>
      <c r="J1594" s="68"/>
      <c r="K1594" s="32"/>
      <c r="L1594" s="75">
        <v>1594</v>
      </c>
      <c r="M1594" s="75"/>
      <c r="N1594" s="70"/>
      <c r="O1594" s="77" t="s">
        <v>802</v>
      </c>
      <c r="P1594" s="79">
        <v>45148.521493055552</v>
      </c>
      <c r="Q1594" s="77" t="s">
        <v>2358</v>
      </c>
      <c r="R1594" s="77">
        <v>0</v>
      </c>
      <c r="S1594" s="77">
        <v>2</v>
      </c>
      <c r="T1594" s="77">
        <v>1</v>
      </c>
      <c r="U1594" s="77">
        <v>0</v>
      </c>
      <c r="V1594" s="77">
        <v>48</v>
      </c>
      <c r="W1594" s="82" t="s">
        <v>5786</v>
      </c>
      <c r="X1594" s="80" t="str">
        <f>HYPERLINK("https://www.youtube.com/live/WeTrLcgC65I?feature=share")</f>
        <v>https://www.youtube.com/live/WeTrLcgC65I?feature=share</v>
      </c>
      <c r="Y1594" s="77" t="s">
        <v>7065</v>
      </c>
      <c r="Z1594" s="77" t="s">
        <v>7162</v>
      </c>
      <c r="AA1594" s="77"/>
      <c r="AB1594" s="77"/>
      <c r="AC1594" s="82" t="s">
        <v>8232</v>
      </c>
      <c r="AD1594" s="77" t="s">
        <v>8278</v>
      </c>
      <c r="AE1594" s="80" t="str">
        <f>HYPERLINK("https://twitter.com/charlesfibonacc/status/1689615315729084416")</f>
        <v>https://twitter.com/charlesfibonacc/status/1689615315729084416</v>
      </c>
      <c r="AF1594" s="79">
        <v>45148.521493055552</v>
      </c>
      <c r="AG1594" s="85">
        <v>45148</v>
      </c>
      <c r="AH1594" s="82" t="s">
        <v>9710</v>
      </c>
      <c r="AI1594" s="77" t="b">
        <v>0</v>
      </c>
      <c r="AJ1594" s="77"/>
      <c r="AK1594" s="77"/>
      <c r="AL1594" s="77"/>
      <c r="AM1594" s="77"/>
      <c r="AN1594" s="77"/>
      <c r="AO1594" s="77"/>
      <c r="AP1594" s="77"/>
      <c r="AQ1594" s="77"/>
      <c r="AR1594" s="77"/>
      <c r="AS1594" s="77"/>
      <c r="AT1594" s="77"/>
      <c r="AU1594" s="77"/>
      <c r="AV1594" s="80" t="str">
        <f>HYPERLINK("https://pbs.twimg.com/profile_images/1539234851198492678/gKZ0CP6m_normal.jpg")</f>
        <v>https://pbs.twimg.com/profile_images/1539234851198492678/gKZ0CP6m_normal.jpg</v>
      </c>
      <c r="AW1594" s="82" t="s">
        <v>14663</v>
      </c>
      <c r="AX1594" s="82" t="s">
        <v>14663</v>
      </c>
      <c r="AY1594" s="77"/>
      <c r="AZ1594" s="82" t="s">
        <v>17385</v>
      </c>
      <c r="BA1594" s="82" t="s">
        <v>17385</v>
      </c>
      <c r="BB1594" s="82" t="s">
        <v>17385</v>
      </c>
      <c r="BC1594" s="82" t="s">
        <v>14663</v>
      </c>
      <c r="BD1594" s="82" t="s">
        <v>17585</v>
      </c>
      <c r="BE1594" s="77"/>
      <c r="BF1594" s="77"/>
      <c r="BG1594" s="77"/>
      <c r="BH1594" s="77"/>
      <c r="BI1594" s="77"/>
    </row>
    <row r="1595" spans="1:61" x14ac:dyDescent="0.25">
      <c r="A1595" s="62" t="s">
        <v>501</v>
      </c>
      <c r="B1595" s="62" t="s">
        <v>501</v>
      </c>
      <c r="C1595" s="63"/>
      <c r="D1595" s="64"/>
      <c r="E1595" s="65"/>
      <c r="F1595" s="66"/>
      <c r="G1595" s="63"/>
      <c r="H1595" s="67"/>
      <c r="I1595" s="68"/>
      <c r="J1595" s="68"/>
      <c r="K1595" s="32"/>
      <c r="L1595" s="75">
        <v>1595</v>
      </c>
      <c r="M1595" s="75"/>
      <c r="N1595" s="70"/>
      <c r="O1595" s="77" t="s">
        <v>179</v>
      </c>
      <c r="P1595" s="79">
        <v>45188.561562499999</v>
      </c>
      <c r="Q1595" s="77" t="s">
        <v>2381</v>
      </c>
      <c r="R1595" s="77">
        <v>0</v>
      </c>
      <c r="S1595" s="77">
        <v>3</v>
      </c>
      <c r="T1595" s="77">
        <v>0</v>
      </c>
      <c r="U1595" s="77">
        <v>0</v>
      </c>
      <c r="V1595" s="77">
        <v>377</v>
      </c>
      <c r="W1595" s="82" t="s">
        <v>5799</v>
      </c>
      <c r="X1595" s="77"/>
      <c r="Y1595" s="77"/>
      <c r="Z1595" s="77"/>
      <c r="AA1595" s="77" t="s">
        <v>7817</v>
      </c>
      <c r="AB1595" s="77" t="s">
        <v>8225</v>
      </c>
      <c r="AC1595" s="82" t="s">
        <v>8234</v>
      </c>
      <c r="AD1595" s="77" t="s">
        <v>8278</v>
      </c>
      <c r="AE1595" s="80" t="str">
        <f>HYPERLINK("https://twitter.com/ygor_fbc/status/1704125351444549651")</f>
        <v>https://twitter.com/ygor_fbc/status/1704125351444549651</v>
      </c>
      <c r="AF1595" s="79">
        <v>45188.561562499999</v>
      </c>
      <c r="AG1595" s="85">
        <v>45188</v>
      </c>
      <c r="AH1595" s="82" t="s">
        <v>9732</v>
      </c>
      <c r="AI1595" s="77" t="b">
        <v>0</v>
      </c>
      <c r="AJ1595" s="77" t="s">
        <v>12004</v>
      </c>
      <c r="AK1595" s="77" t="s">
        <v>12007</v>
      </c>
      <c r="AL1595" s="77" t="s">
        <v>12010</v>
      </c>
      <c r="AM1595" s="77" t="s">
        <v>12023</v>
      </c>
      <c r="AN1595" s="77" t="s">
        <v>12036</v>
      </c>
      <c r="AO1595" s="77" t="s">
        <v>12049</v>
      </c>
      <c r="AP1595" s="77" t="s">
        <v>12053</v>
      </c>
      <c r="AQ1595" s="77" t="s">
        <v>12702</v>
      </c>
      <c r="AR1595" s="77"/>
      <c r="AS1595" s="77"/>
      <c r="AT1595" s="77"/>
      <c r="AU1595" s="77"/>
      <c r="AV1595" s="80" t="str">
        <f>HYPERLINK("https://pbs.twimg.com/media/F6ZE-b8XMAAhv2F.jpg")</f>
        <v>https://pbs.twimg.com/media/F6ZE-b8XMAAhv2F.jpg</v>
      </c>
      <c r="AW1595" s="82" t="s">
        <v>14686</v>
      </c>
      <c r="AX1595" s="82" t="s">
        <v>14686</v>
      </c>
      <c r="AY1595" s="77"/>
      <c r="AZ1595" s="82" t="s">
        <v>17385</v>
      </c>
      <c r="BA1595" s="82" t="s">
        <v>17385</v>
      </c>
      <c r="BB1595" s="82" t="s">
        <v>17385</v>
      </c>
      <c r="BC1595" s="82" t="s">
        <v>14686</v>
      </c>
      <c r="BD1595" s="77">
        <v>266611119</v>
      </c>
      <c r="BE1595" s="77"/>
      <c r="BF1595" s="77"/>
      <c r="BG1595" s="77"/>
      <c r="BH1595" s="77"/>
      <c r="BI1595" s="77"/>
    </row>
    <row r="1596" spans="1:61" x14ac:dyDescent="0.25">
      <c r="A1596" s="62" t="s">
        <v>502</v>
      </c>
      <c r="B1596" s="62" t="s">
        <v>502</v>
      </c>
      <c r="C1596" s="63"/>
      <c r="D1596" s="64"/>
      <c r="E1596" s="65"/>
      <c r="F1596" s="66"/>
      <c r="G1596" s="63"/>
      <c r="H1596" s="67"/>
      <c r="I1596" s="68"/>
      <c r="J1596" s="68"/>
      <c r="K1596" s="32"/>
      <c r="L1596" s="75">
        <v>1596</v>
      </c>
      <c r="M1596" s="75"/>
      <c r="N1596" s="70"/>
      <c r="O1596" s="77" t="s">
        <v>179</v>
      </c>
      <c r="P1596" s="79">
        <v>45062.895601851851</v>
      </c>
      <c r="Q1596" s="77" t="s">
        <v>2382</v>
      </c>
      <c r="R1596" s="77">
        <v>0</v>
      </c>
      <c r="S1596" s="77">
        <v>1</v>
      </c>
      <c r="T1596" s="77">
        <v>0</v>
      </c>
      <c r="U1596" s="77">
        <v>0</v>
      </c>
      <c r="V1596" s="77">
        <v>33</v>
      </c>
      <c r="W1596" s="82" t="s">
        <v>5800</v>
      </c>
      <c r="X1596" s="80" t="str">
        <f>HYPERLINK("https://www.portalviva.com.br/post/cotia-bazar-das-ongs-acontece-no-dia-21-5-em-frente-%C3%A0-prefeitura")</f>
        <v>https://www.portalviva.com.br/post/cotia-bazar-das-ongs-acontece-no-dia-21-5-em-frente-%C3%A0-prefeitura</v>
      </c>
      <c r="Y1596" s="77" t="s">
        <v>7053</v>
      </c>
      <c r="Z1596" s="77"/>
      <c r="AA1596" s="77" t="s">
        <v>7818</v>
      </c>
      <c r="AB1596" s="77" t="s">
        <v>8225</v>
      </c>
      <c r="AC1596" s="82" t="s">
        <v>8232</v>
      </c>
      <c r="AD1596" s="77" t="s">
        <v>8278</v>
      </c>
      <c r="AE1596" s="80" t="str">
        <f>HYPERLINK("https://twitter.com/portal_viva/status/1658585530269941760")</f>
        <v>https://twitter.com/portal_viva/status/1658585530269941760</v>
      </c>
      <c r="AF1596" s="79">
        <v>45062.895601851851</v>
      </c>
      <c r="AG1596" s="85">
        <v>45062</v>
      </c>
      <c r="AH1596" s="82" t="s">
        <v>9733</v>
      </c>
      <c r="AI1596" s="77" t="b">
        <v>0</v>
      </c>
      <c r="AJ1596" s="77"/>
      <c r="AK1596" s="77"/>
      <c r="AL1596" s="77"/>
      <c r="AM1596" s="77"/>
      <c r="AN1596" s="77"/>
      <c r="AO1596" s="77"/>
      <c r="AP1596" s="77"/>
      <c r="AQ1596" s="77" t="s">
        <v>12703</v>
      </c>
      <c r="AR1596" s="77"/>
      <c r="AS1596" s="77"/>
      <c r="AT1596" s="77"/>
      <c r="AU1596" s="77"/>
      <c r="AV1596" s="80" t="str">
        <f>HYPERLINK("https://pbs.twimg.com/media/FwR6t5JXgAEJuwg.jpg")</f>
        <v>https://pbs.twimg.com/media/FwR6t5JXgAEJuwg.jpg</v>
      </c>
      <c r="AW1596" s="82" t="s">
        <v>14687</v>
      </c>
      <c r="AX1596" s="82" t="s">
        <v>14687</v>
      </c>
      <c r="AY1596" s="77"/>
      <c r="AZ1596" s="82" t="s">
        <v>17385</v>
      </c>
      <c r="BA1596" s="82" t="s">
        <v>17385</v>
      </c>
      <c r="BB1596" s="82" t="s">
        <v>17385</v>
      </c>
      <c r="BC1596" s="82" t="s">
        <v>14687</v>
      </c>
      <c r="BD1596" s="77">
        <v>35049549</v>
      </c>
      <c r="BE1596" s="77"/>
      <c r="BF1596" s="77"/>
      <c r="BG1596" s="77"/>
      <c r="BH1596" s="77"/>
      <c r="BI1596" s="77"/>
    </row>
    <row r="1597" spans="1:61" x14ac:dyDescent="0.25">
      <c r="A1597" s="62" t="s">
        <v>503</v>
      </c>
      <c r="B1597" s="62" t="s">
        <v>503</v>
      </c>
      <c r="C1597" s="63"/>
      <c r="D1597" s="64"/>
      <c r="E1597" s="65"/>
      <c r="F1597" s="66"/>
      <c r="G1597" s="63"/>
      <c r="H1597" s="67"/>
      <c r="I1597" s="68"/>
      <c r="J1597" s="68"/>
      <c r="K1597" s="32"/>
      <c r="L1597" s="75">
        <v>1597</v>
      </c>
      <c r="M1597" s="75"/>
      <c r="N1597" s="70"/>
      <c r="O1597" s="77" t="s">
        <v>179</v>
      </c>
      <c r="P1597" s="79">
        <v>45057.763993055552</v>
      </c>
      <c r="Q1597" s="77" t="s">
        <v>2383</v>
      </c>
      <c r="R1597" s="77">
        <v>0</v>
      </c>
      <c r="S1597" s="77">
        <v>0</v>
      </c>
      <c r="T1597" s="77">
        <v>0</v>
      </c>
      <c r="U1597" s="77">
        <v>0</v>
      </c>
      <c r="V1597" s="77">
        <v>9</v>
      </c>
      <c r="W1597" s="82" t="s">
        <v>5801</v>
      </c>
      <c r="X1597" s="80" t="str">
        <f>HYPERLINK("http://fontecerta.com/alerj-propoe-acoes-para-combater-violencia-nas-escolas/")</f>
        <v>http://fontecerta.com/alerj-propoe-acoes-para-combater-violencia-nas-escolas/</v>
      </c>
      <c r="Y1597" s="77" t="s">
        <v>7117</v>
      </c>
      <c r="Z1597" s="77"/>
      <c r="AA1597" s="77"/>
      <c r="AB1597" s="77"/>
      <c r="AC1597" s="82" t="s">
        <v>8261</v>
      </c>
      <c r="AD1597" s="77" t="s">
        <v>8278</v>
      </c>
      <c r="AE1597" s="80" t="str">
        <f>HYPERLINK("https://twitter.com/fonte_certa/status/1656725900585467924")</f>
        <v>https://twitter.com/fonte_certa/status/1656725900585467924</v>
      </c>
      <c r="AF1597" s="79">
        <v>45057.763993055552</v>
      </c>
      <c r="AG1597" s="85">
        <v>45057</v>
      </c>
      <c r="AH1597" s="82" t="s">
        <v>9734</v>
      </c>
      <c r="AI1597" s="77" t="b">
        <v>0</v>
      </c>
      <c r="AJ1597" s="77"/>
      <c r="AK1597" s="77"/>
      <c r="AL1597" s="77"/>
      <c r="AM1597" s="77"/>
      <c r="AN1597" s="77"/>
      <c r="AO1597" s="77"/>
      <c r="AP1597" s="77"/>
      <c r="AQ1597" s="77"/>
      <c r="AR1597" s="77"/>
      <c r="AS1597" s="77"/>
      <c r="AT1597" s="77"/>
      <c r="AU1597" s="77"/>
      <c r="AV1597" s="80" t="str">
        <f>HYPERLINK("https://pbs.twimg.com/profile_images/1413718019788902400/XtmRZ8pG_normal.jpg")</f>
        <v>https://pbs.twimg.com/profile_images/1413718019788902400/XtmRZ8pG_normal.jpg</v>
      </c>
      <c r="AW1597" s="82" t="s">
        <v>14688</v>
      </c>
      <c r="AX1597" s="82" t="s">
        <v>14688</v>
      </c>
      <c r="AY1597" s="77"/>
      <c r="AZ1597" s="82" t="s">
        <v>17385</v>
      </c>
      <c r="BA1597" s="82" t="s">
        <v>17385</v>
      </c>
      <c r="BB1597" s="82" t="s">
        <v>17385</v>
      </c>
      <c r="BC1597" s="82" t="s">
        <v>14688</v>
      </c>
      <c r="BD1597" s="82" t="s">
        <v>17586</v>
      </c>
      <c r="BE1597" s="77"/>
      <c r="BF1597" s="77"/>
      <c r="BG1597" s="77"/>
      <c r="BH1597" s="77"/>
      <c r="BI1597" s="77"/>
    </row>
    <row r="1598" spans="1:61" x14ac:dyDescent="0.25">
      <c r="A1598" s="62" t="s">
        <v>504</v>
      </c>
      <c r="B1598" s="62" t="s">
        <v>777</v>
      </c>
      <c r="C1598" s="63"/>
      <c r="D1598" s="64"/>
      <c r="E1598" s="65"/>
      <c r="F1598" s="66"/>
      <c r="G1598" s="63"/>
      <c r="H1598" s="67"/>
      <c r="I1598" s="68"/>
      <c r="J1598" s="68"/>
      <c r="K1598" s="32"/>
      <c r="L1598" s="75">
        <v>1598</v>
      </c>
      <c r="M1598" s="75"/>
      <c r="N1598" s="70"/>
      <c r="O1598" s="77" t="s">
        <v>802</v>
      </c>
      <c r="P1598" s="79">
        <v>45059.733564814815</v>
      </c>
      <c r="Q1598" s="77" t="s">
        <v>2384</v>
      </c>
      <c r="R1598" s="77">
        <v>0</v>
      </c>
      <c r="S1598" s="77">
        <v>4</v>
      </c>
      <c r="T1598" s="77">
        <v>0</v>
      </c>
      <c r="U1598" s="77">
        <v>0</v>
      </c>
      <c r="V1598" s="77">
        <v>22</v>
      </c>
      <c r="W1598" s="82" t="s">
        <v>5802</v>
      </c>
      <c r="X1598" s="80" t="str">
        <f>HYPERLINK("http://instagram.com/exxcede")</f>
        <v>http://instagram.com/exxcede</v>
      </c>
      <c r="Y1598" s="77" t="s">
        <v>7055</v>
      </c>
      <c r="Z1598" s="77" t="s">
        <v>777</v>
      </c>
      <c r="AA1598" s="77" t="s">
        <v>7819</v>
      </c>
      <c r="AB1598" s="77" t="s">
        <v>8225</v>
      </c>
      <c r="AC1598" s="82" t="s">
        <v>8234</v>
      </c>
      <c r="AD1598" s="77" t="s">
        <v>8278</v>
      </c>
      <c r="AE1598" s="80" t="str">
        <f>HYPERLINK("https://twitter.com/exxcedeoficial/status/1657439648971366401")</f>
        <v>https://twitter.com/exxcedeoficial/status/1657439648971366401</v>
      </c>
      <c r="AF1598" s="79">
        <v>45059.733564814815</v>
      </c>
      <c r="AG1598" s="85">
        <v>45059</v>
      </c>
      <c r="AH1598" s="82" t="s">
        <v>9735</v>
      </c>
      <c r="AI1598" s="77" t="b">
        <v>0</v>
      </c>
      <c r="AJ1598" s="77"/>
      <c r="AK1598" s="77"/>
      <c r="AL1598" s="77"/>
      <c r="AM1598" s="77"/>
      <c r="AN1598" s="77"/>
      <c r="AO1598" s="77"/>
      <c r="AP1598" s="77"/>
      <c r="AQ1598" s="77" t="s">
        <v>12704</v>
      </c>
      <c r="AR1598" s="77"/>
      <c r="AS1598" s="77"/>
      <c r="AT1598" s="77"/>
      <c r="AU1598" s="77"/>
      <c r="AV1598" s="80" t="str">
        <f>HYPERLINK("https://pbs.twimg.com/media/FwBok3NWAAApLZ7.jpg")</f>
        <v>https://pbs.twimg.com/media/FwBok3NWAAApLZ7.jpg</v>
      </c>
      <c r="AW1598" s="82" t="s">
        <v>14689</v>
      </c>
      <c r="AX1598" s="82" t="s">
        <v>14689</v>
      </c>
      <c r="AY1598" s="77"/>
      <c r="AZ1598" s="82" t="s">
        <v>17385</v>
      </c>
      <c r="BA1598" s="82" t="s">
        <v>17385</v>
      </c>
      <c r="BB1598" s="82" t="s">
        <v>17385</v>
      </c>
      <c r="BC1598" s="82" t="s">
        <v>14689</v>
      </c>
      <c r="BD1598" s="82" t="s">
        <v>17587</v>
      </c>
      <c r="BE1598" s="77"/>
      <c r="BF1598" s="77"/>
      <c r="BG1598" s="77"/>
      <c r="BH1598" s="77"/>
      <c r="BI1598" s="77"/>
    </row>
    <row r="1599" spans="1:61" x14ac:dyDescent="0.25">
      <c r="A1599" s="62" t="s">
        <v>504</v>
      </c>
      <c r="B1599" s="62" t="s">
        <v>777</v>
      </c>
      <c r="C1599" s="63"/>
      <c r="D1599" s="64"/>
      <c r="E1599" s="65"/>
      <c r="F1599" s="66"/>
      <c r="G1599" s="63"/>
      <c r="H1599" s="67"/>
      <c r="I1599" s="68"/>
      <c r="J1599" s="68"/>
      <c r="K1599" s="32"/>
      <c r="L1599" s="75">
        <v>1599</v>
      </c>
      <c r="M1599" s="75"/>
      <c r="N1599" s="70"/>
      <c r="O1599" s="77" t="s">
        <v>802</v>
      </c>
      <c r="P1599" s="79">
        <v>45067.586828703701</v>
      </c>
      <c r="Q1599" s="77" t="s">
        <v>2385</v>
      </c>
      <c r="R1599" s="77">
        <v>0</v>
      </c>
      <c r="S1599" s="77">
        <v>3</v>
      </c>
      <c r="T1599" s="77">
        <v>0</v>
      </c>
      <c r="U1599" s="77">
        <v>0</v>
      </c>
      <c r="V1599" s="77">
        <v>28</v>
      </c>
      <c r="W1599" s="82" t="s">
        <v>5803</v>
      </c>
      <c r="X1599" s="80" t="str">
        <f>HYPERLINK("http://instagram.com/exxcede")</f>
        <v>http://instagram.com/exxcede</v>
      </c>
      <c r="Y1599" s="77" t="s">
        <v>7055</v>
      </c>
      <c r="Z1599" s="77" t="s">
        <v>777</v>
      </c>
      <c r="AA1599" s="77" t="s">
        <v>7820</v>
      </c>
      <c r="AB1599" s="77" t="s">
        <v>8225</v>
      </c>
      <c r="AC1599" s="82" t="s">
        <v>8234</v>
      </c>
      <c r="AD1599" s="77" t="s">
        <v>8278</v>
      </c>
      <c r="AE1599" s="80" t="str">
        <f>HYPERLINK("https://twitter.com/exxcedeoficial/status/1660285576577269760")</f>
        <v>https://twitter.com/exxcedeoficial/status/1660285576577269760</v>
      </c>
      <c r="AF1599" s="79">
        <v>45067.586828703701</v>
      </c>
      <c r="AG1599" s="85">
        <v>45067</v>
      </c>
      <c r="AH1599" s="82" t="s">
        <v>9736</v>
      </c>
      <c r="AI1599" s="77" t="b">
        <v>0</v>
      </c>
      <c r="AJ1599" s="77"/>
      <c r="AK1599" s="77"/>
      <c r="AL1599" s="77"/>
      <c r="AM1599" s="77"/>
      <c r="AN1599" s="77"/>
      <c r="AO1599" s="77"/>
      <c r="AP1599" s="77"/>
      <c r="AQ1599" s="77" t="s">
        <v>12705</v>
      </c>
      <c r="AR1599" s="77"/>
      <c r="AS1599" s="77"/>
      <c r="AT1599" s="77"/>
      <c r="AU1599" s="77"/>
      <c r="AV1599" s="80" t="str">
        <f>HYPERLINK("https://pbs.twimg.com/media/FwqE7qiWwAQhdMv.jpg")</f>
        <v>https://pbs.twimg.com/media/FwqE7qiWwAQhdMv.jpg</v>
      </c>
      <c r="AW1599" s="82" t="s">
        <v>14690</v>
      </c>
      <c r="AX1599" s="82" t="s">
        <v>14690</v>
      </c>
      <c r="AY1599" s="77"/>
      <c r="AZ1599" s="82" t="s">
        <v>17385</v>
      </c>
      <c r="BA1599" s="82" t="s">
        <v>17385</v>
      </c>
      <c r="BB1599" s="82" t="s">
        <v>17385</v>
      </c>
      <c r="BC1599" s="82" t="s">
        <v>14690</v>
      </c>
      <c r="BD1599" s="82" t="s">
        <v>17587</v>
      </c>
      <c r="BE1599" s="77"/>
      <c r="BF1599" s="77"/>
      <c r="BG1599" s="77"/>
      <c r="BH1599" s="77"/>
      <c r="BI1599" s="77"/>
    </row>
    <row r="1600" spans="1:61" x14ac:dyDescent="0.25">
      <c r="A1600" s="62" t="s">
        <v>505</v>
      </c>
      <c r="B1600" s="62" t="s">
        <v>505</v>
      </c>
      <c r="C1600" s="63"/>
      <c r="D1600" s="64"/>
      <c r="E1600" s="65"/>
      <c r="F1600" s="66"/>
      <c r="G1600" s="63"/>
      <c r="H1600" s="67"/>
      <c r="I1600" s="68"/>
      <c r="J1600" s="68"/>
      <c r="K1600" s="32"/>
      <c r="L1600" s="75">
        <v>1600</v>
      </c>
      <c r="M1600" s="75"/>
      <c r="N1600" s="70"/>
      <c r="O1600" s="77" t="s">
        <v>800</v>
      </c>
      <c r="P1600" s="79">
        <v>45065.864386574074</v>
      </c>
      <c r="Q1600" s="77" t="s">
        <v>2386</v>
      </c>
      <c r="R1600" s="77">
        <v>0</v>
      </c>
      <c r="S1600" s="77">
        <v>1</v>
      </c>
      <c r="T1600" s="77">
        <v>0</v>
      </c>
      <c r="U1600" s="77">
        <v>0</v>
      </c>
      <c r="V1600" s="77">
        <v>35</v>
      </c>
      <c r="W1600" s="82" t="s">
        <v>5804</v>
      </c>
      <c r="X1600" s="80" t="str">
        <f>HYPERLINK("https://www.youtube.com/watch?v=Y_fcIMcHppE")</f>
        <v>https://www.youtube.com/watch?v=Y_fcIMcHppE</v>
      </c>
      <c r="Y1600" s="77" t="s">
        <v>7065</v>
      </c>
      <c r="Z1600" s="77"/>
      <c r="AA1600" s="77"/>
      <c r="AB1600" s="77"/>
      <c r="AC1600" s="82" t="s">
        <v>8232</v>
      </c>
      <c r="AD1600" s="77" t="s">
        <v>8278</v>
      </c>
      <c r="AE1600" s="80" t="str">
        <f>HYPERLINK("https://twitter.com/truxtinvest/status/1659661382273441794")</f>
        <v>https://twitter.com/truxtinvest/status/1659661382273441794</v>
      </c>
      <c r="AF1600" s="79">
        <v>45065.864386574074</v>
      </c>
      <c r="AG1600" s="85">
        <v>45065</v>
      </c>
      <c r="AH1600" s="82" t="s">
        <v>9737</v>
      </c>
      <c r="AI1600" s="77" t="b">
        <v>0</v>
      </c>
      <c r="AJ1600" s="77"/>
      <c r="AK1600" s="77"/>
      <c r="AL1600" s="77"/>
      <c r="AM1600" s="77"/>
      <c r="AN1600" s="77"/>
      <c r="AO1600" s="77"/>
      <c r="AP1600" s="77"/>
      <c r="AQ1600" s="77"/>
      <c r="AR1600" s="77"/>
      <c r="AS1600" s="77"/>
      <c r="AT1600" s="77"/>
      <c r="AU1600" s="77"/>
      <c r="AV1600" s="80" t="str">
        <f>HYPERLINK("https://pbs.twimg.com/profile_images/1149766047983198208/fggbbXa-_normal.png")</f>
        <v>https://pbs.twimg.com/profile_images/1149766047983198208/fggbbXa-_normal.png</v>
      </c>
      <c r="AW1600" s="82" t="s">
        <v>14691</v>
      </c>
      <c r="AX1600" s="82" t="s">
        <v>14692</v>
      </c>
      <c r="AY1600" s="82" t="s">
        <v>17354</v>
      </c>
      <c r="AZ1600" s="82" t="s">
        <v>17410</v>
      </c>
      <c r="BA1600" s="82" t="s">
        <v>17385</v>
      </c>
      <c r="BB1600" s="82" t="s">
        <v>17385</v>
      </c>
      <c r="BC1600" s="82" t="s">
        <v>17410</v>
      </c>
      <c r="BD1600" s="82" t="s">
        <v>17354</v>
      </c>
      <c r="BE1600" s="77"/>
      <c r="BF1600" s="77"/>
      <c r="BG1600" s="77"/>
      <c r="BH1600" s="77"/>
      <c r="BI1600" s="77"/>
    </row>
    <row r="1601" spans="1:61" x14ac:dyDescent="0.25">
      <c r="A1601" s="62" t="s">
        <v>505</v>
      </c>
      <c r="B1601" s="62" t="s">
        <v>505</v>
      </c>
      <c r="C1601" s="63"/>
      <c r="D1601" s="64"/>
      <c r="E1601" s="65"/>
      <c r="F1601" s="66"/>
      <c r="G1601" s="63"/>
      <c r="H1601" s="67"/>
      <c r="I1601" s="68"/>
      <c r="J1601" s="68"/>
      <c r="K1601" s="32"/>
      <c r="L1601" s="75">
        <v>1601</v>
      </c>
      <c r="M1601" s="75"/>
      <c r="N1601" s="70"/>
      <c r="O1601" s="77" t="s">
        <v>179</v>
      </c>
      <c r="P1601" s="79">
        <v>45065.864374999997</v>
      </c>
      <c r="Q1601" s="77" t="s">
        <v>2387</v>
      </c>
      <c r="R1601" s="77">
        <v>0</v>
      </c>
      <c r="S1601" s="77">
        <v>2</v>
      </c>
      <c r="T1601" s="77">
        <v>1</v>
      </c>
      <c r="U1601" s="77">
        <v>0</v>
      </c>
      <c r="V1601" s="77">
        <v>161</v>
      </c>
      <c r="W1601" s="82" t="s">
        <v>5804</v>
      </c>
      <c r="X1601" s="77"/>
      <c r="Y1601" s="77"/>
      <c r="Z1601" s="77"/>
      <c r="AA1601" s="77" t="s">
        <v>7821</v>
      </c>
      <c r="AB1601" s="77" t="s">
        <v>8225</v>
      </c>
      <c r="AC1601" s="82" t="s">
        <v>8232</v>
      </c>
      <c r="AD1601" s="77" t="s">
        <v>8278</v>
      </c>
      <c r="AE1601" s="80" t="str">
        <f>HYPERLINK("https://twitter.com/truxtinvest/status/1659661377483554817")</f>
        <v>https://twitter.com/truxtinvest/status/1659661377483554817</v>
      </c>
      <c r="AF1601" s="79">
        <v>45065.864374999997</v>
      </c>
      <c r="AG1601" s="85">
        <v>45065</v>
      </c>
      <c r="AH1601" s="82" t="s">
        <v>9738</v>
      </c>
      <c r="AI1601" s="77" t="b">
        <v>0</v>
      </c>
      <c r="AJ1601" s="77"/>
      <c r="AK1601" s="77"/>
      <c r="AL1601" s="77"/>
      <c r="AM1601" s="77"/>
      <c r="AN1601" s="77"/>
      <c r="AO1601" s="77"/>
      <c r="AP1601" s="77"/>
      <c r="AQ1601" s="77" t="s">
        <v>12706</v>
      </c>
      <c r="AR1601" s="77"/>
      <c r="AS1601" s="77"/>
      <c r="AT1601" s="77"/>
      <c r="AU1601" s="77"/>
      <c r="AV1601" s="80" t="str">
        <f>HYPERLINK("https://pbs.twimg.com/media/FwhM7wPWYAEBTrJ.jpg")</f>
        <v>https://pbs.twimg.com/media/FwhM7wPWYAEBTrJ.jpg</v>
      </c>
      <c r="AW1601" s="82" t="s">
        <v>14692</v>
      </c>
      <c r="AX1601" s="82" t="s">
        <v>14692</v>
      </c>
      <c r="AY1601" s="77"/>
      <c r="AZ1601" s="82" t="s">
        <v>17385</v>
      </c>
      <c r="BA1601" s="82" t="s">
        <v>17385</v>
      </c>
      <c r="BB1601" s="82" t="s">
        <v>17385</v>
      </c>
      <c r="BC1601" s="82" t="s">
        <v>14692</v>
      </c>
      <c r="BD1601" s="82" t="s">
        <v>17354</v>
      </c>
      <c r="BE1601" s="77"/>
      <c r="BF1601" s="77"/>
      <c r="BG1601" s="77"/>
      <c r="BH1601" s="77"/>
      <c r="BI1601" s="77"/>
    </row>
    <row r="1602" spans="1:61" x14ac:dyDescent="0.25">
      <c r="A1602" s="62" t="s">
        <v>506</v>
      </c>
      <c r="B1602" s="62" t="s">
        <v>506</v>
      </c>
      <c r="C1602" s="63"/>
      <c r="D1602" s="64"/>
      <c r="E1602" s="65"/>
      <c r="F1602" s="66"/>
      <c r="G1602" s="63"/>
      <c r="H1602" s="67"/>
      <c r="I1602" s="68"/>
      <c r="J1602" s="68"/>
      <c r="K1602" s="32"/>
      <c r="L1602" s="75">
        <v>1602</v>
      </c>
      <c r="M1602" s="75"/>
      <c r="N1602" s="70"/>
      <c r="O1602" s="77" t="s">
        <v>179</v>
      </c>
      <c r="P1602" s="79">
        <v>45050.60359953704</v>
      </c>
      <c r="Q1602" s="77" t="s">
        <v>2388</v>
      </c>
      <c r="R1602" s="77">
        <v>0</v>
      </c>
      <c r="S1602" s="77">
        <v>0</v>
      </c>
      <c r="T1602" s="77">
        <v>0</v>
      </c>
      <c r="U1602" s="77">
        <v>0</v>
      </c>
      <c r="V1602" s="77">
        <v>11</v>
      </c>
      <c r="W1602" s="82" t="s">
        <v>5805</v>
      </c>
      <c r="X1602" s="80" t="str">
        <f>HYPERLINK("http://dlvr.it/SnWwZh")</f>
        <v>http://dlvr.it/SnWwZh</v>
      </c>
      <c r="Y1602" s="77" t="s">
        <v>7094</v>
      </c>
      <c r="Z1602" s="77"/>
      <c r="AA1602" s="77"/>
      <c r="AB1602" s="77"/>
      <c r="AC1602" s="82" t="s">
        <v>7094</v>
      </c>
      <c r="AD1602" s="77" t="s">
        <v>8278</v>
      </c>
      <c r="AE1602" s="80" t="str">
        <f>HYPERLINK("https://twitter.com/t2id_/status/1654131057925685251")</f>
        <v>https://twitter.com/t2id_/status/1654131057925685251</v>
      </c>
      <c r="AF1602" s="79">
        <v>45050.60359953704</v>
      </c>
      <c r="AG1602" s="85">
        <v>45050</v>
      </c>
      <c r="AH1602" s="82" t="s">
        <v>9739</v>
      </c>
      <c r="AI1602" s="77" t="b">
        <v>0</v>
      </c>
      <c r="AJ1602" s="77"/>
      <c r="AK1602" s="77"/>
      <c r="AL1602" s="77"/>
      <c r="AM1602" s="77"/>
      <c r="AN1602" s="77"/>
      <c r="AO1602" s="77"/>
      <c r="AP1602" s="77"/>
      <c r="AQ1602" s="77"/>
      <c r="AR1602" s="77"/>
      <c r="AS1602" s="77"/>
      <c r="AT1602" s="77"/>
      <c r="AU1602" s="77"/>
      <c r="AV1602" s="80" t="str">
        <f>HYPERLINK("https://pbs.twimg.com/profile_images/1518465479953862657/QfzoQANd_normal.jpg")</f>
        <v>https://pbs.twimg.com/profile_images/1518465479953862657/QfzoQANd_normal.jpg</v>
      </c>
      <c r="AW1602" s="82" t="s">
        <v>14693</v>
      </c>
      <c r="AX1602" s="82" t="s">
        <v>14693</v>
      </c>
      <c r="AY1602" s="77"/>
      <c r="AZ1602" s="82" t="s">
        <v>17385</v>
      </c>
      <c r="BA1602" s="82" t="s">
        <v>17385</v>
      </c>
      <c r="BB1602" s="82" t="s">
        <v>17385</v>
      </c>
      <c r="BC1602" s="82" t="s">
        <v>14693</v>
      </c>
      <c r="BD1602" s="82" t="s">
        <v>17588</v>
      </c>
      <c r="BE1602" s="77"/>
      <c r="BF1602" s="77"/>
      <c r="BG1602" s="77"/>
      <c r="BH1602" s="77"/>
      <c r="BI1602" s="77"/>
    </row>
    <row r="1603" spans="1:61" x14ac:dyDescent="0.25">
      <c r="A1603" s="62" t="s">
        <v>506</v>
      </c>
      <c r="B1603" s="62" t="s">
        <v>506</v>
      </c>
      <c r="C1603" s="63"/>
      <c r="D1603" s="64"/>
      <c r="E1603" s="65"/>
      <c r="F1603" s="66"/>
      <c r="G1603" s="63"/>
      <c r="H1603" s="67"/>
      <c r="I1603" s="68"/>
      <c r="J1603" s="68"/>
      <c r="K1603" s="32"/>
      <c r="L1603" s="75">
        <v>1603</v>
      </c>
      <c r="M1603" s="75"/>
      <c r="N1603" s="70"/>
      <c r="O1603" s="77" t="s">
        <v>179</v>
      </c>
      <c r="P1603" s="79">
        <v>45047.80127314815</v>
      </c>
      <c r="Q1603" s="77" t="s">
        <v>2389</v>
      </c>
      <c r="R1603" s="77">
        <v>0</v>
      </c>
      <c r="S1603" s="77">
        <v>0</v>
      </c>
      <c r="T1603" s="77">
        <v>0</v>
      </c>
      <c r="U1603" s="77">
        <v>0</v>
      </c>
      <c r="V1603" s="77">
        <v>5</v>
      </c>
      <c r="W1603" s="82" t="s">
        <v>5806</v>
      </c>
      <c r="X1603" s="80" t="str">
        <f>HYPERLINK("http://dlvr.it/SnMtJY")</f>
        <v>http://dlvr.it/SnMtJY</v>
      </c>
      <c r="Y1603" s="77" t="s">
        <v>7094</v>
      </c>
      <c r="Z1603" s="77"/>
      <c r="AA1603" s="77"/>
      <c r="AB1603" s="77"/>
      <c r="AC1603" s="82" t="s">
        <v>7094</v>
      </c>
      <c r="AD1603" s="77" t="s">
        <v>8278</v>
      </c>
      <c r="AE1603" s="80" t="str">
        <f>HYPERLINK("https://twitter.com/t2id_/status/1653115532311400450")</f>
        <v>https://twitter.com/t2id_/status/1653115532311400450</v>
      </c>
      <c r="AF1603" s="79">
        <v>45047.80127314815</v>
      </c>
      <c r="AG1603" s="85">
        <v>45047</v>
      </c>
      <c r="AH1603" s="82" t="s">
        <v>9740</v>
      </c>
      <c r="AI1603" s="77" t="b">
        <v>0</v>
      </c>
      <c r="AJ1603" s="77"/>
      <c r="AK1603" s="77"/>
      <c r="AL1603" s="77"/>
      <c r="AM1603" s="77"/>
      <c r="AN1603" s="77"/>
      <c r="AO1603" s="77"/>
      <c r="AP1603" s="77"/>
      <c r="AQ1603" s="77"/>
      <c r="AR1603" s="77"/>
      <c r="AS1603" s="77"/>
      <c r="AT1603" s="77"/>
      <c r="AU1603" s="77"/>
      <c r="AV1603" s="80" t="str">
        <f>HYPERLINK("https://pbs.twimg.com/profile_images/1518465479953862657/QfzoQANd_normal.jpg")</f>
        <v>https://pbs.twimg.com/profile_images/1518465479953862657/QfzoQANd_normal.jpg</v>
      </c>
      <c r="AW1603" s="82" t="s">
        <v>14694</v>
      </c>
      <c r="AX1603" s="82" t="s">
        <v>14694</v>
      </c>
      <c r="AY1603" s="77"/>
      <c r="AZ1603" s="82" t="s">
        <v>17385</v>
      </c>
      <c r="BA1603" s="82" t="s">
        <v>17385</v>
      </c>
      <c r="BB1603" s="82" t="s">
        <v>17385</v>
      </c>
      <c r="BC1603" s="82" t="s">
        <v>14694</v>
      </c>
      <c r="BD1603" s="82" t="s">
        <v>17588</v>
      </c>
      <c r="BE1603" s="77"/>
      <c r="BF1603" s="77"/>
      <c r="BG1603" s="77"/>
      <c r="BH1603" s="77"/>
      <c r="BI1603" s="77"/>
    </row>
    <row r="1604" spans="1:61" x14ac:dyDescent="0.25">
      <c r="A1604" s="62" t="s">
        <v>506</v>
      </c>
      <c r="B1604" s="62" t="s">
        <v>506</v>
      </c>
      <c r="C1604" s="63"/>
      <c r="D1604" s="64"/>
      <c r="E1604" s="65"/>
      <c r="F1604" s="66"/>
      <c r="G1604" s="63"/>
      <c r="H1604" s="67"/>
      <c r="I1604" s="68"/>
      <c r="J1604" s="68"/>
      <c r="K1604" s="32"/>
      <c r="L1604" s="75">
        <v>1604</v>
      </c>
      <c r="M1604" s="75"/>
      <c r="N1604" s="70"/>
      <c r="O1604" s="77" t="s">
        <v>179</v>
      </c>
      <c r="P1604" s="79">
        <v>45131.599444444444</v>
      </c>
      <c r="Q1604" s="77" t="s">
        <v>2390</v>
      </c>
      <c r="R1604" s="77">
        <v>0</v>
      </c>
      <c r="S1604" s="77">
        <v>0</v>
      </c>
      <c r="T1604" s="77">
        <v>0</v>
      </c>
      <c r="U1604" s="77">
        <v>0</v>
      </c>
      <c r="V1604" s="77">
        <v>15</v>
      </c>
      <c r="W1604" s="82" t="s">
        <v>5807</v>
      </c>
      <c r="X1604" s="80" t="str">
        <f>HYPERLINK("http://dlvr.it/SsfYWw")</f>
        <v>http://dlvr.it/SsfYWw</v>
      </c>
      <c r="Y1604" s="77" t="s">
        <v>7094</v>
      </c>
      <c r="Z1604" s="77"/>
      <c r="AA1604" s="77"/>
      <c r="AB1604" s="77"/>
      <c r="AC1604" s="82" t="s">
        <v>7094</v>
      </c>
      <c r="AD1604" s="77" t="s">
        <v>8278</v>
      </c>
      <c r="AE1604" s="80" t="str">
        <f>HYPERLINK("https://twitter.com/t2id_/status/1683482969908867078")</f>
        <v>https://twitter.com/t2id_/status/1683482969908867078</v>
      </c>
      <c r="AF1604" s="79">
        <v>45131.599444444444</v>
      </c>
      <c r="AG1604" s="85">
        <v>45131</v>
      </c>
      <c r="AH1604" s="82" t="s">
        <v>9741</v>
      </c>
      <c r="AI1604" s="77" t="b">
        <v>0</v>
      </c>
      <c r="AJ1604" s="77"/>
      <c r="AK1604" s="77"/>
      <c r="AL1604" s="77"/>
      <c r="AM1604" s="77"/>
      <c r="AN1604" s="77"/>
      <c r="AO1604" s="77"/>
      <c r="AP1604" s="77"/>
      <c r="AQ1604" s="77"/>
      <c r="AR1604" s="77"/>
      <c r="AS1604" s="77"/>
      <c r="AT1604" s="77"/>
      <c r="AU1604" s="77"/>
      <c r="AV1604" s="80" t="str">
        <f>HYPERLINK("https://pbs.twimg.com/profile_images/1518465479953862657/QfzoQANd_normal.jpg")</f>
        <v>https://pbs.twimg.com/profile_images/1518465479953862657/QfzoQANd_normal.jpg</v>
      </c>
      <c r="AW1604" s="82" t="s">
        <v>14695</v>
      </c>
      <c r="AX1604" s="82" t="s">
        <v>14695</v>
      </c>
      <c r="AY1604" s="77"/>
      <c r="AZ1604" s="82" t="s">
        <v>17385</v>
      </c>
      <c r="BA1604" s="82" t="s">
        <v>17385</v>
      </c>
      <c r="BB1604" s="82" t="s">
        <v>17385</v>
      </c>
      <c r="BC1604" s="82" t="s">
        <v>14695</v>
      </c>
      <c r="BD1604" s="82" t="s">
        <v>17588</v>
      </c>
      <c r="BE1604" s="77"/>
      <c r="BF1604" s="77"/>
      <c r="BG1604" s="77"/>
      <c r="BH1604" s="77"/>
      <c r="BI1604" s="77"/>
    </row>
    <row r="1605" spans="1:61" x14ac:dyDescent="0.25">
      <c r="A1605" s="62" t="s">
        <v>507</v>
      </c>
      <c r="B1605" s="62" t="s">
        <v>507</v>
      </c>
      <c r="C1605" s="63"/>
      <c r="D1605" s="64"/>
      <c r="E1605" s="65"/>
      <c r="F1605" s="66"/>
      <c r="G1605" s="63"/>
      <c r="H1605" s="67"/>
      <c r="I1605" s="68"/>
      <c r="J1605" s="68"/>
      <c r="K1605" s="32"/>
      <c r="L1605" s="75">
        <v>1605</v>
      </c>
      <c r="M1605" s="75"/>
      <c r="N1605" s="70"/>
      <c r="O1605" s="77" t="s">
        <v>179</v>
      </c>
      <c r="P1605" s="79">
        <v>45058.670671296299</v>
      </c>
      <c r="Q1605" s="77" t="s">
        <v>2391</v>
      </c>
      <c r="R1605" s="77">
        <v>0</v>
      </c>
      <c r="S1605" s="77">
        <v>0</v>
      </c>
      <c r="T1605" s="77">
        <v>0</v>
      </c>
      <c r="U1605" s="77">
        <v>0</v>
      </c>
      <c r="V1605" s="77">
        <v>10</v>
      </c>
      <c r="W1605" s="82" t="s">
        <v>4982</v>
      </c>
      <c r="X1605" s="80" t="str">
        <f>HYPERLINK("https://www.embuscadaliberdade.com.br/post/como-ganhar-dinheiro-em-ações")</f>
        <v>https://www.embuscadaliberdade.com.br/post/como-ganhar-dinheiro-em-ações</v>
      </c>
      <c r="Y1605" s="77" t="s">
        <v>7053</v>
      </c>
      <c r="Z1605" s="77"/>
      <c r="AA1605" s="77"/>
      <c r="AB1605" s="77"/>
      <c r="AC1605" s="82" t="s">
        <v>8232</v>
      </c>
      <c r="AD1605" s="77" t="s">
        <v>8280</v>
      </c>
      <c r="AE1605" s="80" t="str">
        <f>HYPERLINK("https://twitter.com/gabriiiell_gb/status/1657054470256074752")</f>
        <v>https://twitter.com/gabriiiell_gb/status/1657054470256074752</v>
      </c>
      <c r="AF1605" s="79">
        <v>45058.670671296299</v>
      </c>
      <c r="AG1605" s="85">
        <v>45058</v>
      </c>
      <c r="AH1605" s="82" t="s">
        <v>9742</v>
      </c>
      <c r="AI1605" s="77" t="b">
        <v>0</v>
      </c>
      <c r="AJ1605" s="77"/>
      <c r="AK1605" s="77"/>
      <c r="AL1605" s="77"/>
      <c r="AM1605" s="77"/>
      <c r="AN1605" s="77"/>
      <c r="AO1605" s="77"/>
      <c r="AP1605" s="77"/>
      <c r="AQ1605" s="77"/>
      <c r="AR1605" s="77"/>
      <c r="AS1605" s="77"/>
      <c r="AT1605" s="77"/>
      <c r="AU1605" s="77"/>
      <c r="AV1605" s="80" t="str">
        <f>HYPERLINK("https://pbs.twimg.com/profile_images/1582943349333532672/jSHnGkQs_normal.jpg")</f>
        <v>https://pbs.twimg.com/profile_images/1582943349333532672/jSHnGkQs_normal.jpg</v>
      </c>
      <c r="AW1605" s="82" t="s">
        <v>14696</v>
      </c>
      <c r="AX1605" s="82" t="s">
        <v>14696</v>
      </c>
      <c r="AY1605" s="77"/>
      <c r="AZ1605" s="82" t="s">
        <v>17385</v>
      </c>
      <c r="BA1605" s="82" t="s">
        <v>17385</v>
      </c>
      <c r="BB1605" s="82" t="s">
        <v>17385</v>
      </c>
      <c r="BC1605" s="82" t="s">
        <v>14696</v>
      </c>
      <c r="BD1605" s="82" t="s">
        <v>17589</v>
      </c>
      <c r="BE1605" s="77"/>
      <c r="BF1605" s="77"/>
      <c r="BG1605" s="77"/>
      <c r="BH1605" s="77"/>
      <c r="BI1605" s="77"/>
    </row>
    <row r="1606" spans="1:61" x14ac:dyDescent="0.25">
      <c r="A1606" s="62" t="s">
        <v>508</v>
      </c>
      <c r="B1606" s="62" t="s">
        <v>508</v>
      </c>
      <c r="C1606" s="63"/>
      <c r="D1606" s="64"/>
      <c r="E1606" s="65"/>
      <c r="F1606" s="66"/>
      <c r="G1606" s="63"/>
      <c r="H1606" s="67"/>
      <c r="I1606" s="68"/>
      <c r="J1606" s="68"/>
      <c r="K1606" s="32"/>
      <c r="L1606" s="75">
        <v>1606</v>
      </c>
      <c r="M1606" s="75"/>
      <c r="N1606" s="70"/>
      <c r="O1606" s="77" t="s">
        <v>179</v>
      </c>
      <c r="P1606" s="79">
        <v>45118.375011574077</v>
      </c>
      <c r="Q1606" s="77" t="s">
        <v>2392</v>
      </c>
      <c r="R1606" s="77">
        <v>0</v>
      </c>
      <c r="S1606" s="77">
        <v>0</v>
      </c>
      <c r="T1606" s="77">
        <v>0</v>
      </c>
      <c r="U1606" s="77">
        <v>0</v>
      </c>
      <c r="V1606" s="77">
        <v>4</v>
      </c>
      <c r="W1606" s="82" t="s">
        <v>5808</v>
      </c>
      <c r="X1606" s="80" t="str">
        <f>HYPERLINK("https://go.hotmart.com/J45233469I")</f>
        <v>https://go.hotmart.com/J45233469I</v>
      </c>
      <c r="Y1606" s="77" t="s">
        <v>7118</v>
      </c>
      <c r="Z1606" s="77"/>
      <c r="AA1606" s="77" t="s">
        <v>7822</v>
      </c>
      <c r="AB1606" s="77" t="s">
        <v>8225</v>
      </c>
      <c r="AC1606" s="82" t="s">
        <v>8232</v>
      </c>
      <c r="AD1606" s="77" t="s">
        <v>8278</v>
      </c>
      <c r="AE1606" s="80" t="str">
        <f>HYPERLINK("https://twitter.com/digital_profit1/status/1678690596532424704")</f>
        <v>https://twitter.com/digital_profit1/status/1678690596532424704</v>
      </c>
      <c r="AF1606" s="79">
        <v>45118.375011574077</v>
      </c>
      <c r="AG1606" s="85">
        <v>45118</v>
      </c>
      <c r="AH1606" s="82" t="s">
        <v>9049</v>
      </c>
      <c r="AI1606" s="77" t="b">
        <v>0</v>
      </c>
      <c r="AJ1606" s="77"/>
      <c r="AK1606" s="77"/>
      <c r="AL1606" s="77"/>
      <c r="AM1606" s="77"/>
      <c r="AN1606" s="77"/>
      <c r="AO1606" s="77"/>
      <c r="AP1606" s="77"/>
      <c r="AQ1606" s="77" t="s">
        <v>12707</v>
      </c>
      <c r="AR1606" s="77"/>
      <c r="AS1606" s="77"/>
      <c r="AT1606" s="77"/>
      <c r="AU1606" s="77"/>
      <c r="AV1606" s="80" t="str">
        <f>HYPERLINK("https://pbs.twimg.com/media/F0sNG9gXoAkGWmD.jpg")</f>
        <v>https://pbs.twimg.com/media/F0sNG9gXoAkGWmD.jpg</v>
      </c>
      <c r="AW1606" s="82" t="s">
        <v>14697</v>
      </c>
      <c r="AX1606" s="82" t="s">
        <v>14697</v>
      </c>
      <c r="AY1606" s="77"/>
      <c r="AZ1606" s="82" t="s">
        <v>17385</v>
      </c>
      <c r="BA1606" s="82" t="s">
        <v>17385</v>
      </c>
      <c r="BB1606" s="82" t="s">
        <v>17385</v>
      </c>
      <c r="BC1606" s="82" t="s">
        <v>14697</v>
      </c>
      <c r="BD1606" s="82" t="s">
        <v>17590</v>
      </c>
      <c r="BE1606" s="77"/>
      <c r="BF1606" s="77"/>
      <c r="BG1606" s="77"/>
      <c r="BH1606" s="77"/>
      <c r="BI1606" s="77"/>
    </row>
    <row r="1607" spans="1:61" x14ac:dyDescent="0.25">
      <c r="A1607" s="62" t="s">
        <v>508</v>
      </c>
      <c r="B1607" s="62" t="s">
        <v>508</v>
      </c>
      <c r="C1607" s="63"/>
      <c r="D1607" s="64"/>
      <c r="E1607" s="65"/>
      <c r="F1607" s="66"/>
      <c r="G1607" s="63"/>
      <c r="H1607" s="67"/>
      <c r="I1607" s="68"/>
      <c r="J1607" s="68"/>
      <c r="K1607" s="32"/>
      <c r="L1607" s="75">
        <v>1607</v>
      </c>
      <c r="M1607" s="75"/>
      <c r="N1607" s="70"/>
      <c r="O1607" s="77" t="s">
        <v>179</v>
      </c>
      <c r="P1607" s="79">
        <v>45118.15625</v>
      </c>
      <c r="Q1607" s="77" t="s">
        <v>2393</v>
      </c>
      <c r="R1607" s="77">
        <v>0</v>
      </c>
      <c r="S1607" s="77">
        <v>0</v>
      </c>
      <c r="T1607" s="77">
        <v>0</v>
      </c>
      <c r="U1607" s="77">
        <v>0</v>
      </c>
      <c r="V1607" s="77">
        <v>8</v>
      </c>
      <c r="W1607" s="82" t="s">
        <v>5808</v>
      </c>
      <c r="X1607" s="80" t="str">
        <f>HYPERLINK("https://go.hotmart.com/J45233469I")</f>
        <v>https://go.hotmart.com/J45233469I</v>
      </c>
      <c r="Y1607" s="77" t="s">
        <v>7118</v>
      </c>
      <c r="Z1607" s="77"/>
      <c r="AA1607" s="77" t="s">
        <v>7823</v>
      </c>
      <c r="AB1607" s="77" t="s">
        <v>8225</v>
      </c>
      <c r="AC1607" s="82" t="s">
        <v>8232</v>
      </c>
      <c r="AD1607" s="77" t="s">
        <v>8278</v>
      </c>
      <c r="AE1607" s="80" t="str">
        <f>HYPERLINK("https://twitter.com/digital_profit1/status/1678611319040212993")</f>
        <v>https://twitter.com/digital_profit1/status/1678611319040212993</v>
      </c>
      <c r="AF1607" s="79">
        <v>45118.15625</v>
      </c>
      <c r="AG1607" s="85">
        <v>45118</v>
      </c>
      <c r="AH1607" s="82" t="s">
        <v>9743</v>
      </c>
      <c r="AI1607" s="77" t="b">
        <v>0</v>
      </c>
      <c r="AJ1607" s="77"/>
      <c r="AK1607" s="77"/>
      <c r="AL1607" s="77"/>
      <c r="AM1607" s="77"/>
      <c r="AN1607" s="77"/>
      <c r="AO1607" s="77"/>
      <c r="AP1607" s="77"/>
      <c r="AQ1607" s="77" t="s">
        <v>12708</v>
      </c>
      <c r="AR1607" s="77"/>
      <c r="AS1607" s="77"/>
      <c r="AT1607" s="77"/>
      <c r="AU1607" s="77"/>
      <c r="AV1607" s="80" t="str">
        <f>HYPERLINK("https://pbs.twimg.com/media/F0sa6u7WIAI9ypR.jpg")</f>
        <v>https://pbs.twimg.com/media/F0sa6u7WIAI9ypR.jpg</v>
      </c>
      <c r="AW1607" s="82" t="s">
        <v>14698</v>
      </c>
      <c r="AX1607" s="82" t="s">
        <v>14698</v>
      </c>
      <c r="AY1607" s="77"/>
      <c r="AZ1607" s="82" t="s">
        <v>17385</v>
      </c>
      <c r="BA1607" s="82" t="s">
        <v>17385</v>
      </c>
      <c r="BB1607" s="82" t="s">
        <v>17385</v>
      </c>
      <c r="BC1607" s="82" t="s">
        <v>14698</v>
      </c>
      <c r="BD1607" s="82" t="s">
        <v>17590</v>
      </c>
      <c r="BE1607" s="77"/>
      <c r="BF1607" s="77"/>
      <c r="BG1607" s="77"/>
      <c r="BH1607" s="77"/>
      <c r="BI1607" s="77"/>
    </row>
    <row r="1608" spans="1:61" x14ac:dyDescent="0.25">
      <c r="A1608" s="62" t="s">
        <v>508</v>
      </c>
      <c r="B1608" s="62" t="s">
        <v>508</v>
      </c>
      <c r="C1608" s="63"/>
      <c r="D1608" s="64"/>
      <c r="E1608" s="65"/>
      <c r="F1608" s="66"/>
      <c r="G1608" s="63"/>
      <c r="H1608" s="67"/>
      <c r="I1608" s="68"/>
      <c r="J1608" s="68"/>
      <c r="K1608" s="32"/>
      <c r="L1608" s="75">
        <v>1608</v>
      </c>
      <c r="M1608" s="75"/>
      <c r="N1608" s="70"/>
      <c r="O1608" s="77" t="s">
        <v>179</v>
      </c>
      <c r="P1608" s="79">
        <v>45118.145833333336</v>
      </c>
      <c r="Q1608" s="77" t="s">
        <v>2394</v>
      </c>
      <c r="R1608" s="77">
        <v>0</v>
      </c>
      <c r="S1608" s="77">
        <v>0</v>
      </c>
      <c r="T1608" s="77">
        <v>0</v>
      </c>
      <c r="U1608" s="77">
        <v>0</v>
      </c>
      <c r="V1608" s="77">
        <v>8</v>
      </c>
      <c r="W1608" s="82" t="s">
        <v>5808</v>
      </c>
      <c r="X1608" s="80" t="str">
        <f>HYPERLINK("https://go.hotmart.com/J45233469I")</f>
        <v>https://go.hotmart.com/J45233469I</v>
      </c>
      <c r="Y1608" s="77" t="s">
        <v>7118</v>
      </c>
      <c r="Z1608" s="77"/>
      <c r="AA1608" s="77" t="s">
        <v>7824</v>
      </c>
      <c r="AB1608" s="77" t="s">
        <v>8225</v>
      </c>
      <c r="AC1608" s="82" t="s">
        <v>8232</v>
      </c>
      <c r="AD1608" s="77" t="s">
        <v>8278</v>
      </c>
      <c r="AE1608" s="80" t="str">
        <f>HYPERLINK("https://twitter.com/digital_profit1/status/1678607544384667648")</f>
        <v>https://twitter.com/digital_profit1/status/1678607544384667648</v>
      </c>
      <c r="AF1608" s="79">
        <v>45118.145833333336</v>
      </c>
      <c r="AG1608" s="85">
        <v>45118</v>
      </c>
      <c r="AH1608" s="82" t="s">
        <v>8371</v>
      </c>
      <c r="AI1608" s="77" t="b">
        <v>0</v>
      </c>
      <c r="AJ1608" s="77"/>
      <c r="AK1608" s="77"/>
      <c r="AL1608" s="77"/>
      <c r="AM1608" s="77"/>
      <c r="AN1608" s="77"/>
      <c r="AO1608" s="77"/>
      <c r="AP1608" s="77"/>
      <c r="AQ1608" s="77" t="s">
        <v>12709</v>
      </c>
      <c r="AR1608" s="77"/>
      <c r="AS1608" s="77"/>
      <c r="AT1608" s="77"/>
      <c r="AU1608" s="77"/>
      <c r="AV1608" s="80" t="str">
        <f>HYPERLINK("https://pbs.twimg.com/media/F0sTO8QXoA8vfTA.jpg")</f>
        <v>https://pbs.twimg.com/media/F0sTO8QXoA8vfTA.jpg</v>
      </c>
      <c r="AW1608" s="82" t="s">
        <v>14699</v>
      </c>
      <c r="AX1608" s="82" t="s">
        <v>14699</v>
      </c>
      <c r="AY1608" s="77"/>
      <c r="AZ1608" s="82" t="s">
        <v>17385</v>
      </c>
      <c r="BA1608" s="82" t="s">
        <v>17385</v>
      </c>
      <c r="BB1608" s="82" t="s">
        <v>17385</v>
      </c>
      <c r="BC1608" s="82" t="s">
        <v>14699</v>
      </c>
      <c r="BD1608" s="82" t="s">
        <v>17590</v>
      </c>
      <c r="BE1608" s="77"/>
      <c r="BF1608" s="77"/>
      <c r="BG1608" s="77"/>
      <c r="BH1608" s="77"/>
      <c r="BI1608" s="77"/>
    </row>
    <row r="1609" spans="1:61" x14ac:dyDescent="0.25">
      <c r="A1609" s="62" t="s">
        <v>508</v>
      </c>
      <c r="B1609" s="62" t="s">
        <v>508</v>
      </c>
      <c r="C1609" s="63"/>
      <c r="D1609" s="64"/>
      <c r="E1609" s="65"/>
      <c r="F1609" s="66"/>
      <c r="G1609" s="63"/>
      <c r="H1609" s="67"/>
      <c r="I1609" s="68"/>
      <c r="J1609" s="68"/>
      <c r="K1609" s="32"/>
      <c r="L1609" s="75">
        <v>1609</v>
      </c>
      <c r="M1609" s="75"/>
      <c r="N1609" s="70"/>
      <c r="O1609" s="77" t="s">
        <v>179</v>
      </c>
      <c r="P1609" s="79">
        <v>45118.135416666664</v>
      </c>
      <c r="Q1609" s="77" t="s">
        <v>2395</v>
      </c>
      <c r="R1609" s="77">
        <v>0</v>
      </c>
      <c r="S1609" s="77">
        <v>0</v>
      </c>
      <c r="T1609" s="77">
        <v>0</v>
      </c>
      <c r="U1609" s="77">
        <v>0</v>
      </c>
      <c r="V1609" s="77">
        <v>9</v>
      </c>
      <c r="W1609" s="82" t="s">
        <v>5808</v>
      </c>
      <c r="X1609" s="80" t="str">
        <f>HYPERLINK("https://go.hotmart.com/J45233469I")</f>
        <v>https://go.hotmart.com/J45233469I</v>
      </c>
      <c r="Y1609" s="77" t="s">
        <v>7118</v>
      </c>
      <c r="Z1609" s="77"/>
      <c r="AA1609" s="77" t="s">
        <v>7825</v>
      </c>
      <c r="AB1609" s="77" t="s">
        <v>8225</v>
      </c>
      <c r="AC1609" s="82" t="s">
        <v>8232</v>
      </c>
      <c r="AD1609" s="77" t="s">
        <v>8278</v>
      </c>
      <c r="AE1609" s="80" t="str">
        <f>HYPERLINK("https://twitter.com/digital_profit1/status/1678603769725222912")</f>
        <v>https://twitter.com/digital_profit1/status/1678603769725222912</v>
      </c>
      <c r="AF1609" s="79">
        <v>45118.135416666664</v>
      </c>
      <c r="AG1609" s="85">
        <v>45118</v>
      </c>
      <c r="AH1609" s="82" t="s">
        <v>9744</v>
      </c>
      <c r="AI1609" s="77" t="b">
        <v>0</v>
      </c>
      <c r="AJ1609" s="77"/>
      <c r="AK1609" s="77"/>
      <c r="AL1609" s="77"/>
      <c r="AM1609" s="77"/>
      <c r="AN1609" s="77"/>
      <c r="AO1609" s="77"/>
      <c r="AP1609" s="77"/>
      <c r="AQ1609" s="77" t="s">
        <v>12710</v>
      </c>
      <c r="AR1609" s="77"/>
      <c r="AS1609" s="77"/>
      <c r="AT1609" s="77"/>
      <c r="AU1609" s="77"/>
      <c r="AV1609" s="80" t="str">
        <f>HYPERLINK("https://pbs.twimg.com/media/F0sR2njXoBEFAyT.jpg")</f>
        <v>https://pbs.twimg.com/media/F0sR2njXoBEFAyT.jpg</v>
      </c>
      <c r="AW1609" s="82" t="s">
        <v>14700</v>
      </c>
      <c r="AX1609" s="82" t="s">
        <v>14700</v>
      </c>
      <c r="AY1609" s="77"/>
      <c r="AZ1609" s="82" t="s">
        <v>17385</v>
      </c>
      <c r="BA1609" s="82" t="s">
        <v>17385</v>
      </c>
      <c r="BB1609" s="82" t="s">
        <v>17385</v>
      </c>
      <c r="BC1609" s="82" t="s">
        <v>14700</v>
      </c>
      <c r="BD1609" s="82" t="s">
        <v>17590</v>
      </c>
      <c r="BE1609" s="77"/>
      <c r="BF1609" s="77"/>
      <c r="BG1609" s="77"/>
      <c r="BH1609" s="77"/>
      <c r="BI1609" s="77"/>
    </row>
    <row r="1610" spans="1:61" x14ac:dyDescent="0.25">
      <c r="A1610" s="62" t="s">
        <v>508</v>
      </c>
      <c r="B1610" s="62" t="s">
        <v>508</v>
      </c>
      <c r="C1610" s="63"/>
      <c r="D1610" s="64"/>
      <c r="E1610" s="65"/>
      <c r="F1610" s="66"/>
      <c r="G1610" s="63"/>
      <c r="H1610" s="67"/>
      <c r="I1610" s="68"/>
      <c r="J1610" s="68"/>
      <c r="K1610" s="32"/>
      <c r="L1610" s="75">
        <v>1610</v>
      </c>
      <c r="M1610" s="75"/>
      <c r="N1610" s="70"/>
      <c r="O1610" s="77" t="s">
        <v>179</v>
      </c>
      <c r="P1610" s="79">
        <v>45118.125</v>
      </c>
      <c r="Q1610" s="77" t="s">
        <v>2396</v>
      </c>
      <c r="R1610" s="77">
        <v>0</v>
      </c>
      <c r="S1610" s="77">
        <v>0</v>
      </c>
      <c r="T1610" s="77">
        <v>0</v>
      </c>
      <c r="U1610" s="77">
        <v>0</v>
      </c>
      <c r="V1610" s="77">
        <v>10</v>
      </c>
      <c r="W1610" s="82" t="s">
        <v>5808</v>
      </c>
      <c r="X1610" s="80" t="str">
        <f>HYPERLINK("https://go.hotmart.com/J45233469I")</f>
        <v>https://go.hotmart.com/J45233469I</v>
      </c>
      <c r="Y1610" s="77" t="s">
        <v>7118</v>
      </c>
      <c r="Z1610" s="77"/>
      <c r="AA1610" s="77" t="s">
        <v>7826</v>
      </c>
      <c r="AB1610" s="77" t="s">
        <v>8225</v>
      </c>
      <c r="AC1610" s="82" t="s">
        <v>8232</v>
      </c>
      <c r="AD1610" s="77" t="s">
        <v>8278</v>
      </c>
      <c r="AE1610" s="80" t="str">
        <f>HYPERLINK("https://twitter.com/digital_profit1/status/1678599995816292353")</f>
        <v>https://twitter.com/digital_profit1/status/1678599995816292353</v>
      </c>
      <c r="AF1610" s="79">
        <v>45118.125</v>
      </c>
      <c r="AG1610" s="85">
        <v>45118</v>
      </c>
      <c r="AH1610" s="82" t="s">
        <v>9745</v>
      </c>
      <c r="AI1610" s="77" t="b">
        <v>0</v>
      </c>
      <c r="AJ1610" s="77"/>
      <c r="AK1610" s="77"/>
      <c r="AL1610" s="77"/>
      <c r="AM1610" s="77"/>
      <c r="AN1610" s="77"/>
      <c r="AO1610" s="77"/>
      <c r="AP1610" s="77"/>
      <c r="AQ1610" s="77" t="s">
        <v>12711</v>
      </c>
      <c r="AR1610" s="77"/>
      <c r="AS1610" s="77"/>
      <c r="AT1610" s="77"/>
      <c r="AU1610" s="77"/>
      <c r="AV1610" s="80" t="str">
        <f>HYPERLINK("https://pbs.twimg.com/media/F0sPuNAXoBEBnZK.jpg")</f>
        <v>https://pbs.twimg.com/media/F0sPuNAXoBEBnZK.jpg</v>
      </c>
      <c r="AW1610" s="82" t="s">
        <v>14701</v>
      </c>
      <c r="AX1610" s="82" t="s">
        <v>14701</v>
      </c>
      <c r="AY1610" s="77"/>
      <c r="AZ1610" s="82" t="s">
        <v>17385</v>
      </c>
      <c r="BA1610" s="82" t="s">
        <v>17385</v>
      </c>
      <c r="BB1610" s="82" t="s">
        <v>17385</v>
      </c>
      <c r="BC1610" s="82" t="s">
        <v>14701</v>
      </c>
      <c r="BD1610" s="82" t="s">
        <v>17590</v>
      </c>
      <c r="BE1610" s="77"/>
      <c r="BF1610" s="77"/>
      <c r="BG1610" s="77"/>
      <c r="BH1610" s="77"/>
      <c r="BI1610" s="77"/>
    </row>
    <row r="1611" spans="1:61" x14ac:dyDescent="0.25">
      <c r="A1611" s="62" t="s">
        <v>508</v>
      </c>
      <c r="B1611" s="62" t="s">
        <v>508</v>
      </c>
      <c r="C1611" s="63"/>
      <c r="D1611" s="64"/>
      <c r="E1611" s="65"/>
      <c r="F1611" s="66"/>
      <c r="G1611" s="63"/>
      <c r="H1611" s="67"/>
      <c r="I1611" s="68"/>
      <c r="J1611" s="68"/>
      <c r="K1611" s="32"/>
      <c r="L1611" s="75">
        <v>1611</v>
      </c>
      <c r="M1611" s="75"/>
      <c r="N1611" s="70"/>
      <c r="O1611" s="77" t="s">
        <v>179</v>
      </c>
      <c r="P1611" s="79">
        <v>45092.15625</v>
      </c>
      <c r="Q1611" s="77" t="s">
        <v>2397</v>
      </c>
      <c r="R1611" s="77">
        <v>0</v>
      </c>
      <c r="S1611" s="77">
        <v>0</v>
      </c>
      <c r="T1611" s="77">
        <v>0</v>
      </c>
      <c r="U1611" s="77">
        <v>0</v>
      </c>
      <c r="V1611" s="77">
        <v>6</v>
      </c>
      <c r="W1611" s="82" t="s">
        <v>5809</v>
      </c>
      <c r="X1611" s="80" t="str">
        <f>HYPERLINK("https://go.hotmart.com/J45233469I")</f>
        <v>https://go.hotmart.com/J45233469I</v>
      </c>
      <c r="Y1611" s="77" t="s">
        <v>7118</v>
      </c>
      <c r="Z1611" s="77"/>
      <c r="AA1611" s="77" t="s">
        <v>7827</v>
      </c>
      <c r="AB1611" s="77" t="s">
        <v>8225</v>
      </c>
      <c r="AC1611" s="82" t="s">
        <v>8232</v>
      </c>
      <c r="AD1611" s="77" t="s">
        <v>8278</v>
      </c>
      <c r="AE1611" s="80" t="str">
        <f>HYPERLINK("https://twitter.com/digital_profit1/status/1669189234878496769")</f>
        <v>https://twitter.com/digital_profit1/status/1669189234878496769</v>
      </c>
      <c r="AF1611" s="79">
        <v>45092.15625</v>
      </c>
      <c r="AG1611" s="85">
        <v>45092</v>
      </c>
      <c r="AH1611" s="82" t="s">
        <v>9743</v>
      </c>
      <c r="AI1611" s="77" t="b">
        <v>0</v>
      </c>
      <c r="AJ1611" s="77"/>
      <c r="AK1611" s="77"/>
      <c r="AL1611" s="77"/>
      <c r="AM1611" s="77"/>
      <c r="AN1611" s="77"/>
      <c r="AO1611" s="77"/>
      <c r="AP1611" s="77"/>
      <c r="AQ1611" s="77" t="s">
        <v>12712</v>
      </c>
      <c r="AR1611" s="77"/>
      <c r="AS1611" s="77"/>
      <c r="AT1611" s="77"/>
      <c r="AU1611" s="77"/>
      <c r="AV1611" s="80" t="str">
        <f>HYPERLINK("https://pbs.twimg.com/media/FyhY9QYWIAwP4jt.jpg")</f>
        <v>https://pbs.twimg.com/media/FyhY9QYWIAwP4jt.jpg</v>
      </c>
      <c r="AW1611" s="82" t="s">
        <v>14702</v>
      </c>
      <c r="AX1611" s="82" t="s">
        <v>14702</v>
      </c>
      <c r="AY1611" s="77"/>
      <c r="AZ1611" s="82" t="s">
        <v>17385</v>
      </c>
      <c r="BA1611" s="82" t="s">
        <v>17385</v>
      </c>
      <c r="BB1611" s="82" t="s">
        <v>17385</v>
      </c>
      <c r="BC1611" s="82" t="s">
        <v>14702</v>
      </c>
      <c r="BD1611" s="82" t="s">
        <v>17590</v>
      </c>
      <c r="BE1611" s="77"/>
      <c r="BF1611" s="77"/>
      <c r="BG1611" s="77"/>
      <c r="BH1611" s="77"/>
      <c r="BI1611" s="77"/>
    </row>
    <row r="1612" spans="1:61" x14ac:dyDescent="0.25">
      <c r="A1612" s="62" t="s">
        <v>508</v>
      </c>
      <c r="B1612" s="62" t="s">
        <v>508</v>
      </c>
      <c r="C1612" s="63"/>
      <c r="D1612" s="64"/>
      <c r="E1612" s="65"/>
      <c r="F1612" s="66"/>
      <c r="G1612" s="63"/>
      <c r="H1612" s="67"/>
      <c r="I1612" s="68"/>
      <c r="J1612" s="68"/>
      <c r="K1612" s="32"/>
      <c r="L1612" s="75">
        <v>1612</v>
      </c>
      <c r="M1612" s="75"/>
      <c r="N1612" s="70"/>
      <c r="O1612" s="77" t="s">
        <v>179</v>
      </c>
      <c r="P1612" s="79">
        <v>45056.15625</v>
      </c>
      <c r="Q1612" s="77" t="s">
        <v>2398</v>
      </c>
      <c r="R1612" s="77">
        <v>0</v>
      </c>
      <c r="S1612" s="77">
        <v>0</v>
      </c>
      <c r="T1612" s="77">
        <v>0</v>
      </c>
      <c r="U1612" s="77">
        <v>0</v>
      </c>
      <c r="V1612" s="77">
        <v>2</v>
      </c>
      <c r="W1612" s="82" t="s">
        <v>5808</v>
      </c>
      <c r="X1612" s="80" t="str">
        <f>HYPERLINK("https://go.hotmart.com/J45233469I")</f>
        <v>https://go.hotmart.com/J45233469I</v>
      </c>
      <c r="Y1612" s="77" t="s">
        <v>7118</v>
      </c>
      <c r="Z1612" s="77"/>
      <c r="AA1612" s="77" t="s">
        <v>7828</v>
      </c>
      <c r="AB1612" s="77" t="s">
        <v>8225</v>
      </c>
      <c r="AC1612" s="82" t="s">
        <v>8232</v>
      </c>
      <c r="AD1612" s="77" t="s">
        <v>8278</v>
      </c>
      <c r="AE1612" s="80" t="str">
        <f>HYPERLINK("https://twitter.com/digital_profit1/status/1656143271423275009")</f>
        <v>https://twitter.com/digital_profit1/status/1656143271423275009</v>
      </c>
      <c r="AF1612" s="79">
        <v>45056.15625</v>
      </c>
      <c r="AG1612" s="85">
        <v>45056</v>
      </c>
      <c r="AH1612" s="82" t="s">
        <v>9743</v>
      </c>
      <c r="AI1612" s="77" t="b">
        <v>0</v>
      </c>
      <c r="AJ1612" s="77"/>
      <c r="AK1612" s="77"/>
      <c r="AL1612" s="77"/>
      <c r="AM1612" s="77"/>
      <c r="AN1612" s="77"/>
      <c r="AO1612" s="77"/>
      <c r="AP1612" s="77"/>
      <c r="AQ1612" s="77" t="s">
        <v>12713</v>
      </c>
      <c r="AR1612" s="77"/>
      <c r="AS1612" s="77"/>
      <c r="AT1612" s="77"/>
      <c r="AU1612" s="77"/>
      <c r="AV1612" s="80" t="str">
        <f>HYPERLINK("https://pbs.twimg.com/media/FvoSKnhWYAYE7Ae.jpg")</f>
        <v>https://pbs.twimg.com/media/FvoSKnhWYAYE7Ae.jpg</v>
      </c>
      <c r="AW1612" s="82" t="s">
        <v>14703</v>
      </c>
      <c r="AX1612" s="82" t="s">
        <v>14703</v>
      </c>
      <c r="AY1612" s="77"/>
      <c r="AZ1612" s="82" t="s">
        <v>17385</v>
      </c>
      <c r="BA1612" s="82" t="s">
        <v>17385</v>
      </c>
      <c r="BB1612" s="82" t="s">
        <v>17385</v>
      </c>
      <c r="BC1612" s="82" t="s">
        <v>14703</v>
      </c>
      <c r="BD1612" s="82" t="s">
        <v>17590</v>
      </c>
      <c r="BE1612" s="77"/>
      <c r="BF1612" s="77"/>
      <c r="BG1612" s="77"/>
      <c r="BH1612" s="77"/>
      <c r="BI1612" s="77"/>
    </row>
    <row r="1613" spans="1:61" x14ac:dyDescent="0.25">
      <c r="A1613" s="62" t="s">
        <v>508</v>
      </c>
      <c r="B1613" s="62" t="s">
        <v>508</v>
      </c>
      <c r="C1613" s="63"/>
      <c r="D1613" s="64"/>
      <c r="E1613" s="65"/>
      <c r="F1613" s="66"/>
      <c r="G1613" s="63"/>
      <c r="H1613" s="67"/>
      <c r="I1613" s="68"/>
      <c r="J1613" s="68"/>
      <c r="K1613" s="32"/>
      <c r="L1613" s="75">
        <v>1613</v>
      </c>
      <c r="M1613" s="75"/>
      <c r="N1613" s="70"/>
      <c r="O1613" s="77" t="s">
        <v>179</v>
      </c>
      <c r="P1613" s="79">
        <v>45141.125</v>
      </c>
      <c r="Q1613" s="77" t="s">
        <v>2399</v>
      </c>
      <c r="R1613" s="77">
        <v>0</v>
      </c>
      <c r="S1613" s="77">
        <v>0</v>
      </c>
      <c r="T1613" s="77">
        <v>0</v>
      </c>
      <c r="U1613" s="77">
        <v>0</v>
      </c>
      <c r="V1613" s="77">
        <v>20</v>
      </c>
      <c r="W1613" s="82" t="s">
        <v>5808</v>
      </c>
      <c r="X1613" s="80" t="str">
        <f>HYPERLINK("https://go.hotmart.com/J45233469I")</f>
        <v>https://go.hotmart.com/J45233469I</v>
      </c>
      <c r="Y1613" s="77" t="s">
        <v>7118</v>
      </c>
      <c r="Z1613" s="77"/>
      <c r="AA1613" s="77" t="s">
        <v>7829</v>
      </c>
      <c r="AB1613" s="77" t="s">
        <v>8225</v>
      </c>
      <c r="AC1613" s="82" t="s">
        <v>8232</v>
      </c>
      <c r="AD1613" s="77" t="s">
        <v>8278</v>
      </c>
      <c r="AE1613" s="80" t="str">
        <f>HYPERLINK("https://twitter.com/digital_profit1/status/1686934916225785861")</f>
        <v>https://twitter.com/digital_profit1/status/1686934916225785861</v>
      </c>
      <c r="AF1613" s="79">
        <v>45141.125</v>
      </c>
      <c r="AG1613" s="85">
        <v>45141</v>
      </c>
      <c r="AH1613" s="82" t="s">
        <v>9745</v>
      </c>
      <c r="AI1613" s="77" t="b">
        <v>0</v>
      </c>
      <c r="AJ1613" s="77"/>
      <c r="AK1613" s="77"/>
      <c r="AL1613" s="77"/>
      <c r="AM1613" s="77"/>
      <c r="AN1613" s="77"/>
      <c r="AO1613" s="77"/>
      <c r="AP1613" s="77"/>
      <c r="AQ1613" s="77" t="s">
        <v>12714</v>
      </c>
      <c r="AR1613" s="77"/>
      <c r="AS1613" s="77"/>
      <c r="AT1613" s="77"/>
      <c r="AU1613" s="77"/>
      <c r="AV1613" s="80" t="str">
        <f>HYPERLINK("https://pbs.twimg.com/media/F2idkeMX0AAxJf7.jpg")</f>
        <v>https://pbs.twimg.com/media/F2idkeMX0AAxJf7.jpg</v>
      </c>
      <c r="AW1613" s="82" t="s">
        <v>14704</v>
      </c>
      <c r="AX1613" s="82" t="s">
        <v>14704</v>
      </c>
      <c r="AY1613" s="77"/>
      <c r="AZ1613" s="82" t="s">
        <v>17385</v>
      </c>
      <c r="BA1613" s="82" t="s">
        <v>17385</v>
      </c>
      <c r="BB1613" s="82" t="s">
        <v>17385</v>
      </c>
      <c r="BC1613" s="82" t="s">
        <v>14704</v>
      </c>
      <c r="BD1613" s="82" t="s">
        <v>17590</v>
      </c>
      <c r="BE1613" s="77"/>
      <c r="BF1613" s="77"/>
      <c r="BG1613" s="77"/>
      <c r="BH1613" s="77"/>
      <c r="BI1613" s="77"/>
    </row>
    <row r="1614" spans="1:61" x14ac:dyDescent="0.25">
      <c r="A1614" s="62" t="s">
        <v>508</v>
      </c>
      <c r="B1614" s="62" t="s">
        <v>508</v>
      </c>
      <c r="C1614" s="63"/>
      <c r="D1614" s="64"/>
      <c r="E1614" s="65"/>
      <c r="F1614" s="66"/>
      <c r="G1614" s="63"/>
      <c r="H1614" s="67"/>
      <c r="I1614" s="68"/>
      <c r="J1614" s="68"/>
      <c r="K1614" s="32"/>
      <c r="L1614" s="75">
        <v>1614</v>
      </c>
      <c r="M1614" s="75"/>
      <c r="N1614" s="70"/>
      <c r="O1614" s="77" t="s">
        <v>179</v>
      </c>
      <c r="P1614" s="79">
        <v>45141.114583333336</v>
      </c>
      <c r="Q1614" s="77" t="s">
        <v>2400</v>
      </c>
      <c r="R1614" s="77">
        <v>0</v>
      </c>
      <c r="S1614" s="77">
        <v>0</v>
      </c>
      <c r="T1614" s="77">
        <v>0</v>
      </c>
      <c r="U1614" s="77">
        <v>0</v>
      </c>
      <c r="V1614" s="77">
        <v>18</v>
      </c>
      <c r="W1614" s="82" t="s">
        <v>5808</v>
      </c>
      <c r="X1614" s="80" t="str">
        <f>HYPERLINK("https://go.hotmart.com/J45233469I")</f>
        <v>https://go.hotmart.com/J45233469I</v>
      </c>
      <c r="Y1614" s="77" t="s">
        <v>7118</v>
      </c>
      <c r="Z1614" s="77"/>
      <c r="AA1614" s="77" t="s">
        <v>7830</v>
      </c>
      <c r="AB1614" s="77" t="s">
        <v>8225</v>
      </c>
      <c r="AC1614" s="82" t="s">
        <v>8232</v>
      </c>
      <c r="AD1614" s="77" t="s">
        <v>8278</v>
      </c>
      <c r="AE1614" s="80" t="str">
        <f>HYPERLINK("https://twitter.com/digital_profit1/status/1686931140488179712")</f>
        <v>https://twitter.com/digital_profit1/status/1686931140488179712</v>
      </c>
      <c r="AF1614" s="79">
        <v>45141.114583333336</v>
      </c>
      <c r="AG1614" s="85">
        <v>45141</v>
      </c>
      <c r="AH1614" s="82" t="s">
        <v>9746</v>
      </c>
      <c r="AI1614" s="77" t="b">
        <v>0</v>
      </c>
      <c r="AJ1614" s="77"/>
      <c r="AK1614" s="77"/>
      <c r="AL1614" s="77"/>
      <c r="AM1614" s="77"/>
      <c r="AN1614" s="77"/>
      <c r="AO1614" s="77"/>
      <c r="AP1614" s="77"/>
      <c r="AQ1614" s="77" t="s">
        <v>12715</v>
      </c>
      <c r="AR1614" s="77"/>
      <c r="AS1614" s="77"/>
      <c r="AT1614" s="77"/>
      <c r="AU1614" s="77"/>
      <c r="AV1614" s="80" t="str">
        <f>HYPERLINK("https://pbs.twimg.com/media/F2dcn6PX0AMVvgd.jpg")</f>
        <v>https://pbs.twimg.com/media/F2dcn6PX0AMVvgd.jpg</v>
      </c>
      <c r="AW1614" s="82" t="s">
        <v>14705</v>
      </c>
      <c r="AX1614" s="82" t="s">
        <v>14705</v>
      </c>
      <c r="AY1614" s="77"/>
      <c r="AZ1614" s="82" t="s">
        <v>17385</v>
      </c>
      <c r="BA1614" s="82" t="s">
        <v>17385</v>
      </c>
      <c r="BB1614" s="82" t="s">
        <v>17385</v>
      </c>
      <c r="BC1614" s="82" t="s">
        <v>14705</v>
      </c>
      <c r="BD1614" s="82" t="s">
        <v>17590</v>
      </c>
      <c r="BE1614" s="77"/>
      <c r="BF1614" s="77"/>
      <c r="BG1614" s="77"/>
      <c r="BH1614" s="77"/>
      <c r="BI1614" s="77"/>
    </row>
    <row r="1615" spans="1:61" x14ac:dyDescent="0.25">
      <c r="A1615" s="62" t="s">
        <v>508</v>
      </c>
      <c r="B1615" s="62" t="s">
        <v>508</v>
      </c>
      <c r="C1615" s="63"/>
      <c r="D1615" s="64"/>
      <c r="E1615" s="65"/>
      <c r="F1615" s="66"/>
      <c r="G1615" s="63"/>
      <c r="H1615" s="67"/>
      <c r="I1615" s="68"/>
      <c r="J1615" s="68"/>
      <c r="K1615" s="32"/>
      <c r="L1615" s="75">
        <v>1615</v>
      </c>
      <c r="M1615" s="75"/>
      <c r="N1615" s="70"/>
      <c r="O1615" s="77" t="s">
        <v>179</v>
      </c>
      <c r="P1615" s="79">
        <v>45152.875</v>
      </c>
      <c r="Q1615" s="77" t="s">
        <v>2401</v>
      </c>
      <c r="R1615" s="77">
        <v>0</v>
      </c>
      <c r="S1615" s="77">
        <v>0</v>
      </c>
      <c r="T1615" s="77">
        <v>0</v>
      </c>
      <c r="U1615" s="77">
        <v>0</v>
      </c>
      <c r="V1615" s="77">
        <v>9</v>
      </c>
      <c r="W1615" s="82" t="s">
        <v>5808</v>
      </c>
      <c r="X1615" s="80" t="str">
        <f>HYPERLINK("https://go.hotmart.com/J45233469I")</f>
        <v>https://go.hotmart.com/J45233469I</v>
      </c>
      <c r="Y1615" s="77" t="s">
        <v>7118</v>
      </c>
      <c r="Z1615" s="77"/>
      <c r="AA1615" s="77" t="s">
        <v>7831</v>
      </c>
      <c r="AB1615" s="77" t="s">
        <v>8225</v>
      </c>
      <c r="AC1615" s="82" t="s">
        <v>8232</v>
      </c>
      <c r="AD1615" s="77" t="s">
        <v>8278</v>
      </c>
      <c r="AE1615" s="80" t="str">
        <f>HYPERLINK("https://twitter.com/digital_profit1/status/1691192974732902400")</f>
        <v>https://twitter.com/digital_profit1/status/1691192974732902400</v>
      </c>
      <c r="AF1615" s="79">
        <v>45152.875</v>
      </c>
      <c r="AG1615" s="85">
        <v>45152</v>
      </c>
      <c r="AH1615" s="82" t="s">
        <v>9526</v>
      </c>
      <c r="AI1615" s="77" t="b">
        <v>0</v>
      </c>
      <c r="AJ1615" s="77"/>
      <c r="AK1615" s="77"/>
      <c r="AL1615" s="77"/>
      <c r="AM1615" s="77"/>
      <c r="AN1615" s="77"/>
      <c r="AO1615" s="77"/>
      <c r="AP1615" s="77"/>
      <c r="AQ1615" s="77" t="s">
        <v>12716</v>
      </c>
      <c r="AR1615" s="77"/>
      <c r="AS1615" s="77"/>
      <c r="AT1615" s="77"/>
      <c r="AU1615" s="77"/>
      <c r="AV1615" s="80" t="str">
        <f>HYPERLINK("https://pbs.twimg.com/media/F3c3L_KXIAAilUa.jpg")</f>
        <v>https://pbs.twimg.com/media/F3c3L_KXIAAilUa.jpg</v>
      </c>
      <c r="AW1615" s="82" t="s">
        <v>14706</v>
      </c>
      <c r="AX1615" s="82" t="s">
        <v>14706</v>
      </c>
      <c r="AY1615" s="77"/>
      <c r="AZ1615" s="82" t="s">
        <v>17385</v>
      </c>
      <c r="BA1615" s="82" t="s">
        <v>17385</v>
      </c>
      <c r="BB1615" s="82" t="s">
        <v>17385</v>
      </c>
      <c r="BC1615" s="82" t="s">
        <v>14706</v>
      </c>
      <c r="BD1615" s="82" t="s">
        <v>17590</v>
      </c>
      <c r="BE1615" s="77"/>
      <c r="BF1615" s="77"/>
      <c r="BG1615" s="77"/>
      <c r="BH1615" s="77"/>
      <c r="BI1615" s="77"/>
    </row>
    <row r="1616" spans="1:61" x14ac:dyDescent="0.25">
      <c r="A1616" s="62" t="s">
        <v>508</v>
      </c>
      <c r="B1616" s="62" t="s">
        <v>508</v>
      </c>
      <c r="C1616" s="63"/>
      <c r="D1616" s="64"/>
      <c r="E1616" s="65"/>
      <c r="F1616" s="66"/>
      <c r="G1616" s="63"/>
      <c r="H1616" s="67"/>
      <c r="I1616" s="68"/>
      <c r="J1616" s="68"/>
      <c r="K1616" s="32"/>
      <c r="L1616" s="75">
        <v>1616</v>
      </c>
      <c r="M1616" s="75"/>
      <c r="N1616" s="70"/>
      <c r="O1616" s="77" t="s">
        <v>179</v>
      </c>
      <c r="P1616" s="79">
        <v>45119.614583333336</v>
      </c>
      <c r="Q1616" s="77" t="s">
        <v>2402</v>
      </c>
      <c r="R1616" s="77">
        <v>0</v>
      </c>
      <c r="S1616" s="77">
        <v>0</v>
      </c>
      <c r="T1616" s="77">
        <v>0</v>
      </c>
      <c r="U1616" s="77">
        <v>0</v>
      </c>
      <c r="V1616" s="77">
        <v>13</v>
      </c>
      <c r="W1616" s="82" t="s">
        <v>5809</v>
      </c>
      <c r="X1616" s="80" t="str">
        <f>HYPERLINK("https://go.hotmart.com/J45233469I")</f>
        <v>https://go.hotmart.com/J45233469I</v>
      </c>
      <c r="Y1616" s="77" t="s">
        <v>7118</v>
      </c>
      <c r="Z1616" s="77"/>
      <c r="AA1616" s="77" t="s">
        <v>7832</v>
      </c>
      <c r="AB1616" s="77" t="s">
        <v>8225</v>
      </c>
      <c r="AC1616" s="82" t="s">
        <v>8232</v>
      </c>
      <c r="AD1616" s="77" t="s">
        <v>8278</v>
      </c>
      <c r="AE1616" s="80" t="str">
        <f>HYPERLINK("https://twitter.com/digital_profit1/status/1679139802350796807")</f>
        <v>https://twitter.com/digital_profit1/status/1679139802350796807</v>
      </c>
      <c r="AF1616" s="79">
        <v>45119.614583333336</v>
      </c>
      <c r="AG1616" s="85">
        <v>45119</v>
      </c>
      <c r="AH1616" s="82" t="s">
        <v>9070</v>
      </c>
      <c r="AI1616" s="77" t="b">
        <v>0</v>
      </c>
      <c r="AJ1616" s="77"/>
      <c r="AK1616" s="77"/>
      <c r="AL1616" s="77"/>
      <c r="AM1616" s="77"/>
      <c r="AN1616" s="77"/>
      <c r="AO1616" s="77"/>
      <c r="AP1616" s="77"/>
      <c r="AQ1616" s="77" t="s">
        <v>12717</v>
      </c>
      <c r="AR1616" s="77"/>
      <c r="AS1616" s="77"/>
      <c r="AT1616" s="77"/>
      <c r="AU1616" s="77"/>
      <c r="AV1616" s="80" t="str">
        <f>HYPERLINK("https://pbs.twimg.com/media/F0xoIIRWcAAHCxL.jpg")</f>
        <v>https://pbs.twimg.com/media/F0xoIIRWcAAHCxL.jpg</v>
      </c>
      <c r="AW1616" s="82" t="s">
        <v>14707</v>
      </c>
      <c r="AX1616" s="82" t="s">
        <v>14707</v>
      </c>
      <c r="AY1616" s="77"/>
      <c r="AZ1616" s="82" t="s">
        <v>17385</v>
      </c>
      <c r="BA1616" s="82" t="s">
        <v>17385</v>
      </c>
      <c r="BB1616" s="82" t="s">
        <v>17385</v>
      </c>
      <c r="BC1616" s="82" t="s">
        <v>14707</v>
      </c>
      <c r="BD1616" s="82" t="s">
        <v>17590</v>
      </c>
      <c r="BE1616" s="77"/>
      <c r="BF1616" s="77"/>
      <c r="BG1616" s="77"/>
      <c r="BH1616" s="77"/>
      <c r="BI1616" s="77"/>
    </row>
    <row r="1617" spans="1:61" x14ac:dyDescent="0.25">
      <c r="A1617" s="62" t="s">
        <v>509</v>
      </c>
      <c r="B1617" s="62" t="s">
        <v>509</v>
      </c>
      <c r="C1617" s="63"/>
      <c r="D1617" s="64"/>
      <c r="E1617" s="65"/>
      <c r="F1617" s="66"/>
      <c r="G1617" s="63"/>
      <c r="H1617" s="67"/>
      <c r="I1617" s="68"/>
      <c r="J1617" s="68"/>
      <c r="K1617" s="32"/>
      <c r="L1617" s="75">
        <v>1617</v>
      </c>
      <c r="M1617" s="75"/>
      <c r="N1617" s="70"/>
      <c r="O1617" s="77" t="s">
        <v>179</v>
      </c>
      <c r="P1617" s="79">
        <v>45183.855694444443</v>
      </c>
      <c r="Q1617" s="77" t="s">
        <v>2403</v>
      </c>
      <c r="R1617" s="77">
        <v>0</v>
      </c>
      <c r="S1617" s="77">
        <v>0</v>
      </c>
      <c r="T1617" s="77">
        <v>0</v>
      </c>
      <c r="U1617" s="77">
        <v>0</v>
      </c>
      <c r="V1617" s="77">
        <v>41</v>
      </c>
      <c r="W1617" s="82" t="s">
        <v>5810</v>
      </c>
      <c r="X1617" s="80" t="str">
        <f>HYPERLINK("http://www.kontabil.net")</f>
        <v>http://www.kontabil.net</v>
      </c>
      <c r="Y1617" s="77" t="s">
        <v>7119</v>
      </c>
      <c r="Z1617" s="77"/>
      <c r="AA1617" s="77" t="s">
        <v>7833</v>
      </c>
      <c r="AB1617" s="77" t="s">
        <v>8225</v>
      </c>
      <c r="AC1617" s="82" t="s">
        <v>8232</v>
      </c>
      <c r="AD1617" s="77" t="s">
        <v>8278</v>
      </c>
      <c r="AE1617" s="80" t="str">
        <f>HYPERLINK("https://twitter.com/contadorfred/status/1702420000538304582")</f>
        <v>https://twitter.com/contadorfred/status/1702420000538304582</v>
      </c>
      <c r="AF1617" s="79">
        <v>45183.855694444443</v>
      </c>
      <c r="AG1617" s="85">
        <v>45183</v>
      </c>
      <c r="AH1617" s="82" t="s">
        <v>9747</v>
      </c>
      <c r="AI1617" s="77" t="b">
        <v>0</v>
      </c>
      <c r="AJ1617" s="77"/>
      <c r="AK1617" s="77"/>
      <c r="AL1617" s="77"/>
      <c r="AM1617" s="77"/>
      <c r="AN1617" s="77"/>
      <c r="AO1617" s="77"/>
      <c r="AP1617" s="77"/>
      <c r="AQ1617" s="77" t="s">
        <v>12718</v>
      </c>
      <c r="AR1617" s="77"/>
      <c r="AS1617" s="77"/>
      <c r="AT1617" s="77"/>
      <c r="AU1617" s="77"/>
      <c r="AV1617" s="80" t="str">
        <f>HYPERLINK("https://pbs.twimg.com/media/F6A1UKvXkAA3zlc.jpg")</f>
        <v>https://pbs.twimg.com/media/F6A1UKvXkAA3zlc.jpg</v>
      </c>
      <c r="AW1617" s="82" t="s">
        <v>14708</v>
      </c>
      <c r="AX1617" s="82" t="s">
        <v>14708</v>
      </c>
      <c r="AY1617" s="77"/>
      <c r="AZ1617" s="82" t="s">
        <v>17385</v>
      </c>
      <c r="BA1617" s="82" t="s">
        <v>17385</v>
      </c>
      <c r="BB1617" s="82" t="s">
        <v>17385</v>
      </c>
      <c r="BC1617" s="82" t="s">
        <v>14708</v>
      </c>
      <c r="BD1617" s="77">
        <v>1707652002</v>
      </c>
      <c r="BE1617" s="77"/>
      <c r="BF1617" s="77"/>
      <c r="BG1617" s="77"/>
      <c r="BH1617" s="77"/>
      <c r="BI1617" s="77"/>
    </row>
    <row r="1618" spans="1:61" x14ac:dyDescent="0.25">
      <c r="A1618" s="62" t="s">
        <v>510</v>
      </c>
      <c r="B1618" s="62" t="s">
        <v>510</v>
      </c>
      <c r="C1618" s="63"/>
      <c r="D1618" s="64"/>
      <c r="E1618" s="65"/>
      <c r="F1618" s="66"/>
      <c r="G1618" s="63"/>
      <c r="H1618" s="67"/>
      <c r="I1618" s="68"/>
      <c r="J1618" s="68"/>
      <c r="K1618" s="32"/>
      <c r="L1618" s="75">
        <v>1618</v>
      </c>
      <c r="M1618" s="75"/>
      <c r="N1618" s="70"/>
      <c r="O1618" s="77" t="s">
        <v>179</v>
      </c>
      <c r="P1618" s="79">
        <v>45062.618136574078</v>
      </c>
      <c r="Q1618" s="77" t="s">
        <v>2404</v>
      </c>
      <c r="R1618" s="77">
        <v>0</v>
      </c>
      <c r="S1618" s="77">
        <v>1</v>
      </c>
      <c r="T1618" s="77">
        <v>0</v>
      </c>
      <c r="U1618" s="77">
        <v>0</v>
      </c>
      <c r="V1618" s="77">
        <v>396</v>
      </c>
      <c r="W1618" s="82" t="s">
        <v>5637</v>
      </c>
      <c r="X1618" s="77"/>
      <c r="Y1618" s="77"/>
      <c r="Z1618" s="77"/>
      <c r="AA1618" s="77"/>
      <c r="AB1618" s="77"/>
      <c r="AC1618" s="82" t="s">
        <v>8232</v>
      </c>
      <c r="AD1618" s="77" t="s">
        <v>8278</v>
      </c>
      <c r="AE1618" s="80" t="str">
        <f>HYPERLINK("https://twitter.com/arhursantos/status/1658484980086104069")</f>
        <v>https://twitter.com/arhursantos/status/1658484980086104069</v>
      </c>
      <c r="AF1618" s="79">
        <v>45062.618136574078</v>
      </c>
      <c r="AG1618" s="85">
        <v>45062</v>
      </c>
      <c r="AH1618" s="82" t="s">
        <v>9748</v>
      </c>
      <c r="AI1618" s="77"/>
      <c r="AJ1618" s="77"/>
      <c r="AK1618" s="77"/>
      <c r="AL1618" s="77"/>
      <c r="AM1618" s="77"/>
      <c r="AN1618" s="77"/>
      <c r="AO1618" s="77"/>
      <c r="AP1618" s="77"/>
      <c r="AQ1618" s="77"/>
      <c r="AR1618" s="77"/>
      <c r="AS1618" s="77"/>
      <c r="AT1618" s="77"/>
      <c r="AU1618" s="77"/>
      <c r="AV1618" s="80" t="str">
        <f>HYPERLINK("https://pbs.twimg.com/profile_images/1593269386919526400/K9Vw4SjY_normal.jpg")</f>
        <v>https://pbs.twimg.com/profile_images/1593269386919526400/K9Vw4SjY_normal.jpg</v>
      </c>
      <c r="AW1618" s="82" t="s">
        <v>14709</v>
      </c>
      <c r="AX1618" s="82" t="s">
        <v>14709</v>
      </c>
      <c r="AY1618" s="77"/>
      <c r="AZ1618" s="82" t="s">
        <v>17385</v>
      </c>
      <c r="BA1618" s="82" t="s">
        <v>17385</v>
      </c>
      <c r="BB1618" s="82" t="s">
        <v>17385</v>
      </c>
      <c r="BC1618" s="82" t="s">
        <v>14709</v>
      </c>
      <c r="BD1618" s="82" t="s">
        <v>17591</v>
      </c>
      <c r="BE1618" s="77"/>
      <c r="BF1618" s="77"/>
      <c r="BG1618" s="77"/>
      <c r="BH1618" s="77"/>
      <c r="BI1618" s="77"/>
    </row>
    <row r="1619" spans="1:61" x14ac:dyDescent="0.25">
      <c r="A1619" s="62" t="s">
        <v>511</v>
      </c>
      <c r="B1619" s="62" t="s">
        <v>511</v>
      </c>
      <c r="C1619" s="63"/>
      <c r="D1619" s="64"/>
      <c r="E1619" s="65"/>
      <c r="F1619" s="66"/>
      <c r="G1619" s="63"/>
      <c r="H1619" s="67"/>
      <c r="I1619" s="68"/>
      <c r="J1619" s="68"/>
      <c r="K1619" s="32"/>
      <c r="L1619" s="75">
        <v>1619</v>
      </c>
      <c r="M1619" s="75"/>
      <c r="N1619" s="70"/>
      <c r="O1619" s="77" t="s">
        <v>179</v>
      </c>
      <c r="P1619" s="79">
        <v>45134.883587962962</v>
      </c>
      <c r="Q1619" s="77" t="s">
        <v>2405</v>
      </c>
      <c r="R1619" s="77">
        <v>0</v>
      </c>
      <c r="S1619" s="77">
        <v>0</v>
      </c>
      <c r="T1619" s="77">
        <v>0</v>
      </c>
      <c r="U1619" s="77">
        <v>0</v>
      </c>
      <c r="V1619" s="77">
        <v>104</v>
      </c>
      <c r="W1619" s="82" t="s">
        <v>5811</v>
      </c>
      <c r="X1619" s="77"/>
      <c r="Y1619" s="77"/>
      <c r="Z1619" s="77"/>
      <c r="AA1619" s="77"/>
      <c r="AB1619" s="77"/>
      <c r="AC1619" s="82" t="s">
        <v>8233</v>
      </c>
      <c r="AD1619" s="77" t="s">
        <v>8278</v>
      </c>
      <c r="AE1619" s="80" t="str">
        <f>HYPERLINK("https://twitter.com/viciodeinvestid/status/1684673106470694912")</f>
        <v>https://twitter.com/viciodeinvestid/status/1684673106470694912</v>
      </c>
      <c r="AF1619" s="79">
        <v>45134.883587962962</v>
      </c>
      <c r="AG1619" s="85">
        <v>45134</v>
      </c>
      <c r="AH1619" s="82" t="s">
        <v>9749</v>
      </c>
      <c r="AI1619" s="77"/>
      <c r="AJ1619" s="77"/>
      <c r="AK1619" s="77"/>
      <c r="AL1619" s="77"/>
      <c r="AM1619" s="77"/>
      <c r="AN1619" s="77"/>
      <c r="AO1619" s="77"/>
      <c r="AP1619" s="77"/>
      <c r="AQ1619" s="77"/>
      <c r="AR1619" s="77"/>
      <c r="AS1619" s="77"/>
      <c r="AT1619" s="77"/>
      <c r="AU1619" s="77"/>
      <c r="AV1619" s="80" t="str">
        <f>HYPERLINK("https://pbs.twimg.com/profile_images/1659223740339634179/kmGlmFwA_normal.jpg")</f>
        <v>https://pbs.twimg.com/profile_images/1659223740339634179/kmGlmFwA_normal.jpg</v>
      </c>
      <c r="AW1619" s="82" t="s">
        <v>14710</v>
      </c>
      <c r="AX1619" s="82" t="s">
        <v>14710</v>
      </c>
      <c r="AY1619" s="77"/>
      <c r="AZ1619" s="82" t="s">
        <v>17385</v>
      </c>
      <c r="BA1619" s="82" t="s">
        <v>17385</v>
      </c>
      <c r="BB1619" s="82" t="s">
        <v>17385</v>
      </c>
      <c r="BC1619" s="82" t="s">
        <v>14710</v>
      </c>
      <c r="BD1619" s="82" t="s">
        <v>17592</v>
      </c>
      <c r="BE1619" s="77"/>
      <c r="BF1619" s="77"/>
      <c r="BG1619" s="77"/>
      <c r="BH1619" s="77"/>
      <c r="BI1619" s="77"/>
    </row>
    <row r="1620" spans="1:61" x14ac:dyDescent="0.25">
      <c r="A1620" s="62" t="s">
        <v>512</v>
      </c>
      <c r="B1620" s="62" t="s">
        <v>512</v>
      </c>
      <c r="C1620" s="63"/>
      <c r="D1620" s="64"/>
      <c r="E1620" s="65"/>
      <c r="F1620" s="66"/>
      <c r="G1620" s="63"/>
      <c r="H1620" s="67"/>
      <c r="I1620" s="68"/>
      <c r="J1620" s="68"/>
      <c r="K1620" s="32"/>
      <c r="L1620" s="75">
        <v>1620</v>
      </c>
      <c r="M1620" s="75"/>
      <c r="N1620" s="70"/>
      <c r="O1620" s="77" t="s">
        <v>179</v>
      </c>
      <c r="P1620" s="79">
        <v>45138.701504629629</v>
      </c>
      <c r="Q1620" s="77" t="s">
        <v>2406</v>
      </c>
      <c r="R1620" s="77">
        <v>1</v>
      </c>
      <c r="S1620" s="77">
        <v>2</v>
      </c>
      <c r="T1620" s="77">
        <v>1</v>
      </c>
      <c r="U1620" s="77">
        <v>0</v>
      </c>
      <c r="V1620" s="77">
        <v>40</v>
      </c>
      <c r="W1620" s="82" t="s">
        <v>5812</v>
      </c>
      <c r="X1620" s="80" t="str">
        <f>HYPERLINK("https://investidorprudente.com/investir-accoes-seguras-pagam-dividendos/")</f>
        <v>https://investidorprudente.com/investir-accoes-seguras-pagam-dividendos/</v>
      </c>
      <c r="Y1620" s="77" t="s">
        <v>7120</v>
      </c>
      <c r="Z1620" s="77"/>
      <c r="AA1620" s="77" t="s">
        <v>7834</v>
      </c>
      <c r="AB1620" s="77" t="s">
        <v>8225</v>
      </c>
      <c r="AC1620" s="82" t="s">
        <v>8232</v>
      </c>
      <c r="AD1620" s="77" t="s">
        <v>8278</v>
      </c>
      <c r="AE1620" s="80" t="str">
        <f>HYPERLINK("https://twitter.com/prudente_ip/status/1686056672244953088")</f>
        <v>https://twitter.com/prudente_ip/status/1686056672244953088</v>
      </c>
      <c r="AF1620" s="79">
        <v>45138.701504629629</v>
      </c>
      <c r="AG1620" s="85">
        <v>45138</v>
      </c>
      <c r="AH1620" s="82" t="s">
        <v>9750</v>
      </c>
      <c r="AI1620" s="77" t="b">
        <v>0</v>
      </c>
      <c r="AJ1620" s="77"/>
      <c r="AK1620" s="77"/>
      <c r="AL1620" s="77"/>
      <c r="AM1620" s="77"/>
      <c r="AN1620" s="77"/>
      <c r="AO1620" s="77"/>
      <c r="AP1620" s="77"/>
      <c r="AQ1620" s="77" t="s">
        <v>12719</v>
      </c>
      <c r="AR1620" s="77"/>
      <c r="AS1620" s="77"/>
      <c r="AT1620" s="77"/>
      <c r="AU1620" s="77"/>
      <c r="AV1620" s="80" t="str">
        <f>HYPERLINK("https://pbs.twimg.com/media/F2YTkxGXwAgNsxj.jpg")</f>
        <v>https://pbs.twimg.com/media/F2YTkxGXwAgNsxj.jpg</v>
      </c>
      <c r="AW1620" s="82" t="s">
        <v>14711</v>
      </c>
      <c r="AX1620" s="82" t="s">
        <v>14711</v>
      </c>
      <c r="AY1620" s="77"/>
      <c r="AZ1620" s="82" t="s">
        <v>17385</v>
      </c>
      <c r="BA1620" s="82" t="s">
        <v>17385</v>
      </c>
      <c r="BB1620" s="82" t="s">
        <v>17385</v>
      </c>
      <c r="BC1620" s="82" t="s">
        <v>14711</v>
      </c>
      <c r="BD1620" s="82" t="s">
        <v>17593</v>
      </c>
      <c r="BE1620" s="77"/>
      <c r="BF1620" s="77"/>
      <c r="BG1620" s="77"/>
      <c r="BH1620" s="77"/>
      <c r="BI1620" s="77"/>
    </row>
    <row r="1621" spans="1:61" x14ac:dyDescent="0.25">
      <c r="A1621" s="62" t="s">
        <v>512</v>
      </c>
      <c r="B1621" s="62" t="s">
        <v>512</v>
      </c>
      <c r="C1621" s="63"/>
      <c r="D1621" s="64"/>
      <c r="E1621" s="65"/>
      <c r="F1621" s="66"/>
      <c r="G1621" s="63"/>
      <c r="H1621" s="67"/>
      <c r="I1621" s="68"/>
      <c r="J1621" s="68"/>
      <c r="K1621" s="32"/>
      <c r="L1621" s="75">
        <v>1621</v>
      </c>
      <c r="M1621" s="75"/>
      <c r="N1621" s="70"/>
      <c r="O1621" s="77" t="s">
        <v>179</v>
      </c>
      <c r="P1621" s="79">
        <v>45139.666666666664</v>
      </c>
      <c r="Q1621" s="77" t="s">
        <v>2407</v>
      </c>
      <c r="R1621" s="77">
        <v>0</v>
      </c>
      <c r="S1621" s="77">
        <v>0</v>
      </c>
      <c r="T1621" s="77">
        <v>0</v>
      </c>
      <c r="U1621" s="77">
        <v>0</v>
      </c>
      <c r="V1621" s="77">
        <v>52</v>
      </c>
      <c r="W1621" s="82" t="s">
        <v>5812</v>
      </c>
      <c r="X1621" s="77"/>
      <c r="Y1621" s="77"/>
      <c r="Z1621" s="77"/>
      <c r="AA1621" s="77" t="s">
        <v>7835</v>
      </c>
      <c r="AB1621" s="77" t="s">
        <v>8226</v>
      </c>
      <c r="AC1621" s="82" t="s">
        <v>8232</v>
      </c>
      <c r="AD1621" s="77" t="s">
        <v>8278</v>
      </c>
      <c r="AE1621" s="80" t="str">
        <f>HYPERLINK("https://twitter.com/prudente_ip/status/1686406433942974465")</f>
        <v>https://twitter.com/prudente_ip/status/1686406433942974465</v>
      </c>
      <c r="AF1621" s="79">
        <v>45139.666666666664</v>
      </c>
      <c r="AG1621" s="85">
        <v>45139</v>
      </c>
      <c r="AH1621" s="82" t="s">
        <v>8688</v>
      </c>
      <c r="AI1621" s="77" t="b">
        <v>0</v>
      </c>
      <c r="AJ1621" s="77"/>
      <c r="AK1621" s="77"/>
      <c r="AL1621" s="77"/>
      <c r="AM1621" s="77"/>
      <c r="AN1621" s="77"/>
      <c r="AO1621" s="77"/>
      <c r="AP1621" s="77"/>
      <c r="AQ1621" s="77" t="s">
        <v>12720</v>
      </c>
      <c r="AR1621" s="77"/>
      <c r="AS1621" s="77"/>
      <c r="AT1621" s="77"/>
      <c r="AU1621" s="77"/>
      <c r="AV1621" s="80" t="str">
        <f>HYPERLINK("https://pbs.twimg.com/media/F2cUs4oW4AAtkL7.jpg")</f>
        <v>https://pbs.twimg.com/media/F2cUs4oW4AAtkL7.jpg</v>
      </c>
      <c r="AW1621" s="82" t="s">
        <v>14712</v>
      </c>
      <c r="AX1621" s="82" t="s">
        <v>14712</v>
      </c>
      <c r="AY1621" s="77"/>
      <c r="AZ1621" s="82" t="s">
        <v>17385</v>
      </c>
      <c r="BA1621" s="82" t="s">
        <v>17385</v>
      </c>
      <c r="BB1621" s="82" t="s">
        <v>17385</v>
      </c>
      <c r="BC1621" s="82" t="s">
        <v>14712</v>
      </c>
      <c r="BD1621" s="82" t="s">
        <v>17593</v>
      </c>
      <c r="BE1621" s="77"/>
      <c r="BF1621" s="77"/>
      <c r="BG1621" s="77"/>
      <c r="BH1621" s="77"/>
      <c r="BI1621" s="77"/>
    </row>
    <row r="1622" spans="1:61" x14ac:dyDescent="0.25">
      <c r="A1622" s="62" t="s">
        <v>512</v>
      </c>
      <c r="B1622" s="62" t="s">
        <v>512</v>
      </c>
      <c r="C1622" s="63"/>
      <c r="D1622" s="64"/>
      <c r="E1622" s="65"/>
      <c r="F1622" s="66"/>
      <c r="G1622" s="63"/>
      <c r="H1622" s="67"/>
      <c r="I1622" s="68"/>
      <c r="J1622" s="68"/>
      <c r="K1622" s="32"/>
      <c r="L1622" s="75">
        <v>1622</v>
      </c>
      <c r="M1622" s="75"/>
      <c r="N1622" s="70"/>
      <c r="O1622" s="77" t="s">
        <v>179</v>
      </c>
      <c r="P1622" s="79">
        <v>45142.559432870374</v>
      </c>
      <c r="Q1622" s="77" t="s">
        <v>2408</v>
      </c>
      <c r="R1622" s="77">
        <v>0</v>
      </c>
      <c r="S1622" s="77">
        <v>1</v>
      </c>
      <c r="T1622" s="77">
        <v>0</v>
      </c>
      <c r="U1622" s="77">
        <v>0</v>
      </c>
      <c r="V1622" s="77">
        <v>54</v>
      </c>
      <c r="W1622" s="82" t="s">
        <v>5813</v>
      </c>
      <c r="X1622" s="77"/>
      <c r="Y1622" s="77"/>
      <c r="Z1622" s="77"/>
      <c r="AA1622" s="77" t="s">
        <v>7836</v>
      </c>
      <c r="AB1622" s="77" t="s">
        <v>8225</v>
      </c>
      <c r="AC1622" s="82" t="s">
        <v>8232</v>
      </c>
      <c r="AD1622" s="77" t="s">
        <v>8278</v>
      </c>
      <c r="AE1622" s="80" t="str">
        <f>HYPERLINK("https://twitter.com/prudente_ip/status/1687454736092409856")</f>
        <v>https://twitter.com/prudente_ip/status/1687454736092409856</v>
      </c>
      <c r="AF1622" s="79">
        <v>45142.559432870374</v>
      </c>
      <c r="AG1622" s="85">
        <v>45142</v>
      </c>
      <c r="AH1622" s="82" t="s">
        <v>9751</v>
      </c>
      <c r="AI1622" s="77" t="b">
        <v>0</v>
      </c>
      <c r="AJ1622" s="77"/>
      <c r="AK1622" s="77"/>
      <c r="AL1622" s="77"/>
      <c r="AM1622" s="77"/>
      <c r="AN1622" s="77"/>
      <c r="AO1622" s="77"/>
      <c r="AP1622" s="77"/>
      <c r="AQ1622" s="77" t="s">
        <v>12721</v>
      </c>
      <c r="AR1622" s="77"/>
      <c r="AS1622" s="77"/>
      <c r="AT1622" s="77"/>
      <c r="AU1622" s="77"/>
      <c r="AV1622" s="80" t="str">
        <f>HYPERLINK("https://pbs.twimg.com/media/F2sLDyxWAAEGs-M.jpg")</f>
        <v>https://pbs.twimg.com/media/F2sLDyxWAAEGs-M.jpg</v>
      </c>
      <c r="AW1622" s="82" t="s">
        <v>14713</v>
      </c>
      <c r="AX1622" s="82" t="s">
        <v>14713</v>
      </c>
      <c r="AY1622" s="77"/>
      <c r="AZ1622" s="82" t="s">
        <v>17385</v>
      </c>
      <c r="BA1622" s="82" t="s">
        <v>17385</v>
      </c>
      <c r="BB1622" s="82" t="s">
        <v>17385</v>
      </c>
      <c r="BC1622" s="82" t="s">
        <v>14713</v>
      </c>
      <c r="BD1622" s="82" t="s">
        <v>17593</v>
      </c>
      <c r="BE1622" s="77"/>
      <c r="BF1622" s="77"/>
      <c r="BG1622" s="77"/>
      <c r="BH1622" s="77"/>
      <c r="BI1622" s="77"/>
    </row>
    <row r="1623" spans="1:61" x14ac:dyDescent="0.25">
      <c r="A1623" s="62" t="s">
        <v>512</v>
      </c>
      <c r="B1623" s="62" t="s">
        <v>512</v>
      </c>
      <c r="C1623" s="63"/>
      <c r="D1623" s="64"/>
      <c r="E1623" s="65"/>
      <c r="F1623" s="66"/>
      <c r="G1623" s="63"/>
      <c r="H1623" s="67"/>
      <c r="I1623" s="68"/>
      <c r="J1623" s="68"/>
      <c r="K1623" s="32"/>
      <c r="L1623" s="75">
        <v>1623</v>
      </c>
      <c r="M1623" s="75"/>
      <c r="N1623" s="70"/>
      <c r="O1623" s="77" t="s">
        <v>179</v>
      </c>
      <c r="P1623" s="79">
        <v>45132.647222222222</v>
      </c>
      <c r="Q1623" s="77" t="s">
        <v>2409</v>
      </c>
      <c r="R1623" s="77">
        <v>2</v>
      </c>
      <c r="S1623" s="77">
        <v>2</v>
      </c>
      <c r="T1623" s="77">
        <v>0</v>
      </c>
      <c r="U1623" s="77">
        <v>0</v>
      </c>
      <c r="V1623" s="77">
        <v>30</v>
      </c>
      <c r="W1623" s="82" t="s">
        <v>5814</v>
      </c>
      <c r="X1623" s="77"/>
      <c r="Y1623" s="77"/>
      <c r="Z1623" s="77"/>
      <c r="AA1623" s="77" t="s">
        <v>7837</v>
      </c>
      <c r="AB1623" s="77" t="s">
        <v>8225</v>
      </c>
      <c r="AC1623" s="82" t="s">
        <v>8232</v>
      </c>
      <c r="AD1623" s="77" t="s">
        <v>8278</v>
      </c>
      <c r="AE1623" s="80" t="str">
        <f>HYPERLINK("https://twitter.com/prudente_ip/status/1683862671756754945")</f>
        <v>https://twitter.com/prudente_ip/status/1683862671756754945</v>
      </c>
      <c r="AF1623" s="79">
        <v>45132.647222222222</v>
      </c>
      <c r="AG1623" s="85">
        <v>45132</v>
      </c>
      <c r="AH1623" s="82" t="s">
        <v>9752</v>
      </c>
      <c r="AI1623" s="77" t="b">
        <v>0</v>
      </c>
      <c r="AJ1623" s="77"/>
      <c r="AK1623" s="77"/>
      <c r="AL1623" s="77"/>
      <c r="AM1623" s="77"/>
      <c r="AN1623" s="77"/>
      <c r="AO1623" s="77"/>
      <c r="AP1623" s="77"/>
      <c r="AQ1623" s="77" t="s">
        <v>12722</v>
      </c>
      <c r="AR1623" s="77"/>
      <c r="AS1623" s="77"/>
      <c r="AT1623" s="77"/>
      <c r="AU1623" s="77"/>
      <c r="AV1623" s="80" t="str">
        <f>HYPERLINK("https://pbs.twimg.com/media/F13oGZpXwAEmq7Z.jpg")</f>
        <v>https://pbs.twimg.com/media/F13oGZpXwAEmq7Z.jpg</v>
      </c>
      <c r="AW1623" s="82" t="s">
        <v>14714</v>
      </c>
      <c r="AX1623" s="82" t="s">
        <v>14714</v>
      </c>
      <c r="AY1623" s="77"/>
      <c r="AZ1623" s="82" t="s">
        <v>17385</v>
      </c>
      <c r="BA1623" s="82" t="s">
        <v>17385</v>
      </c>
      <c r="BB1623" s="82" t="s">
        <v>17385</v>
      </c>
      <c r="BC1623" s="82" t="s">
        <v>14714</v>
      </c>
      <c r="BD1623" s="82" t="s">
        <v>17593</v>
      </c>
      <c r="BE1623" s="77"/>
      <c r="BF1623" s="77"/>
      <c r="BG1623" s="77"/>
      <c r="BH1623" s="77"/>
      <c r="BI1623" s="77"/>
    </row>
    <row r="1624" spans="1:61" x14ac:dyDescent="0.25">
      <c r="A1624" s="62" t="s">
        <v>512</v>
      </c>
      <c r="B1624" s="62" t="s">
        <v>512</v>
      </c>
      <c r="C1624" s="63"/>
      <c r="D1624" s="64"/>
      <c r="E1624" s="65"/>
      <c r="F1624" s="66"/>
      <c r="G1624" s="63"/>
      <c r="H1624" s="67"/>
      <c r="I1624" s="68"/>
      <c r="J1624" s="68"/>
      <c r="K1624" s="32"/>
      <c r="L1624" s="75">
        <v>1624</v>
      </c>
      <c r="M1624" s="75"/>
      <c r="N1624" s="70"/>
      <c r="O1624" s="77" t="s">
        <v>179</v>
      </c>
      <c r="P1624" s="79">
        <v>45162.546342592592</v>
      </c>
      <c r="Q1624" s="77" t="s">
        <v>2410</v>
      </c>
      <c r="R1624" s="77">
        <v>0</v>
      </c>
      <c r="S1624" s="77">
        <v>0</v>
      </c>
      <c r="T1624" s="77">
        <v>0</v>
      </c>
      <c r="U1624" s="77">
        <v>0</v>
      </c>
      <c r="V1624" s="77">
        <v>129</v>
      </c>
      <c r="W1624" s="82" t="s">
        <v>5815</v>
      </c>
      <c r="X1624" s="77"/>
      <c r="Y1624" s="77"/>
      <c r="Z1624" s="77"/>
      <c r="AA1624" s="77" t="s">
        <v>7838</v>
      </c>
      <c r="AB1624" s="77" t="s">
        <v>8225</v>
      </c>
      <c r="AC1624" s="82" t="s">
        <v>8232</v>
      </c>
      <c r="AD1624" s="77" t="s">
        <v>8278</v>
      </c>
      <c r="AE1624" s="80" t="str">
        <f>HYPERLINK("https://twitter.com/prudente_ip/status/1694697752586809735")</f>
        <v>https://twitter.com/prudente_ip/status/1694697752586809735</v>
      </c>
      <c r="AF1624" s="79">
        <v>45162.546342592592</v>
      </c>
      <c r="AG1624" s="85">
        <v>45162</v>
      </c>
      <c r="AH1624" s="82" t="s">
        <v>9457</v>
      </c>
      <c r="AI1624" s="77" t="b">
        <v>0</v>
      </c>
      <c r="AJ1624" s="77"/>
      <c r="AK1624" s="77"/>
      <c r="AL1624" s="77"/>
      <c r="AM1624" s="77"/>
      <c r="AN1624" s="77"/>
      <c r="AO1624" s="77"/>
      <c r="AP1624" s="77"/>
      <c r="AQ1624" s="77" t="s">
        <v>12723</v>
      </c>
      <c r="AR1624" s="77"/>
      <c r="AS1624" s="77"/>
      <c r="AT1624" s="77"/>
      <c r="AU1624" s="77"/>
      <c r="AV1624" s="80" t="str">
        <f>HYPERLINK("https://pbs.twimg.com/media/F4TGnw6WoAACPUz.jpg")</f>
        <v>https://pbs.twimg.com/media/F4TGnw6WoAACPUz.jpg</v>
      </c>
      <c r="AW1624" s="82" t="s">
        <v>14715</v>
      </c>
      <c r="AX1624" s="82" t="s">
        <v>14715</v>
      </c>
      <c r="AY1624" s="77"/>
      <c r="AZ1624" s="82" t="s">
        <v>17385</v>
      </c>
      <c r="BA1624" s="82" t="s">
        <v>17385</v>
      </c>
      <c r="BB1624" s="82" t="s">
        <v>17385</v>
      </c>
      <c r="BC1624" s="82" t="s">
        <v>14715</v>
      </c>
      <c r="BD1624" s="82" t="s">
        <v>17593</v>
      </c>
      <c r="BE1624" s="77"/>
      <c r="BF1624" s="77"/>
      <c r="BG1624" s="77"/>
      <c r="BH1624" s="77"/>
      <c r="BI1624" s="77"/>
    </row>
    <row r="1625" spans="1:61" x14ac:dyDescent="0.25">
      <c r="A1625" s="62" t="s">
        <v>512</v>
      </c>
      <c r="B1625" s="62" t="s">
        <v>512</v>
      </c>
      <c r="C1625" s="63"/>
      <c r="D1625" s="64"/>
      <c r="E1625" s="65"/>
      <c r="F1625" s="66"/>
      <c r="G1625" s="63"/>
      <c r="H1625" s="67"/>
      <c r="I1625" s="68"/>
      <c r="J1625" s="68"/>
      <c r="K1625" s="32"/>
      <c r="L1625" s="75">
        <v>1625</v>
      </c>
      <c r="M1625" s="75"/>
      <c r="N1625" s="70"/>
      <c r="O1625" s="77" t="s">
        <v>179</v>
      </c>
      <c r="P1625" s="79">
        <v>45133.645138888889</v>
      </c>
      <c r="Q1625" s="77" t="s">
        <v>2411</v>
      </c>
      <c r="R1625" s="77">
        <v>1</v>
      </c>
      <c r="S1625" s="77">
        <v>2</v>
      </c>
      <c r="T1625" s="77">
        <v>0</v>
      </c>
      <c r="U1625" s="77">
        <v>0</v>
      </c>
      <c r="V1625" s="77">
        <v>110</v>
      </c>
      <c r="W1625" s="82" t="s">
        <v>5816</v>
      </c>
      <c r="X1625" s="77"/>
      <c r="Y1625" s="77"/>
      <c r="Z1625" s="77"/>
      <c r="AA1625" s="77" t="s">
        <v>7839</v>
      </c>
      <c r="AB1625" s="77" t="s">
        <v>8225</v>
      </c>
      <c r="AC1625" s="82" t="s">
        <v>8232</v>
      </c>
      <c r="AD1625" s="77" t="s">
        <v>8278</v>
      </c>
      <c r="AE1625" s="80" t="str">
        <f>HYPERLINK("https://twitter.com/prudente_ip/status/1684224304618307584")</f>
        <v>https://twitter.com/prudente_ip/status/1684224304618307584</v>
      </c>
      <c r="AF1625" s="79">
        <v>45133.645138888889</v>
      </c>
      <c r="AG1625" s="85">
        <v>45133</v>
      </c>
      <c r="AH1625" s="82" t="s">
        <v>9753</v>
      </c>
      <c r="AI1625" s="77" t="b">
        <v>0</v>
      </c>
      <c r="AJ1625" s="77"/>
      <c r="AK1625" s="77"/>
      <c r="AL1625" s="77"/>
      <c r="AM1625" s="77"/>
      <c r="AN1625" s="77"/>
      <c r="AO1625" s="77"/>
      <c r="AP1625" s="77"/>
      <c r="AQ1625" s="77" t="s">
        <v>12724</v>
      </c>
      <c r="AR1625" s="77"/>
      <c r="AS1625" s="77"/>
      <c r="AT1625" s="77"/>
      <c r="AU1625" s="77"/>
      <c r="AV1625" s="80" t="str">
        <f>HYPERLINK("https://pbs.twimg.com/media/F19n43nX0AM0P59.jpg")</f>
        <v>https://pbs.twimg.com/media/F19n43nX0AM0P59.jpg</v>
      </c>
      <c r="AW1625" s="82" t="s">
        <v>14716</v>
      </c>
      <c r="AX1625" s="82" t="s">
        <v>14716</v>
      </c>
      <c r="AY1625" s="77"/>
      <c r="AZ1625" s="82" t="s">
        <v>17385</v>
      </c>
      <c r="BA1625" s="82" t="s">
        <v>17385</v>
      </c>
      <c r="BB1625" s="82" t="s">
        <v>17385</v>
      </c>
      <c r="BC1625" s="82" t="s">
        <v>14716</v>
      </c>
      <c r="BD1625" s="82" t="s">
        <v>17593</v>
      </c>
      <c r="BE1625" s="77"/>
      <c r="BF1625" s="77"/>
      <c r="BG1625" s="77"/>
      <c r="BH1625" s="77"/>
      <c r="BI1625" s="77"/>
    </row>
    <row r="1626" spans="1:61" x14ac:dyDescent="0.25">
      <c r="A1626" s="62" t="s">
        <v>512</v>
      </c>
      <c r="B1626" s="62" t="s">
        <v>512</v>
      </c>
      <c r="C1626" s="63"/>
      <c r="D1626" s="64"/>
      <c r="E1626" s="65"/>
      <c r="F1626" s="66"/>
      <c r="G1626" s="63"/>
      <c r="H1626" s="67"/>
      <c r="I1626" s="68"/>
      <c r="J1626" s="68"/>
      <c r="K1626" s="32"/>
      <c r="L1626" s="75">
        <v>1626</v>
      </c>
      <c r="M1626" s="75"/>
      <c r="N1626" s="70"/>
      <c r="O1626" s="77" t="s">
        <v>179</v>
      </c>
      <c r="P1626" s="79">
        <v>45169.567141203705</v>
      </c>
      <c r="Q1626" s="77" t="s">
        <v>2412</v>
      </c>
      <c r="R1626" s="77">
        <v>0</v>
      </c>
      <c r="S1626" s="77">
        <v>0</v>
      </c>
      <c r="T1626" s="77">
        <v>0</v>
      </c>
      <c r="U1626" s="77">
        <v>0</v>
      </c>
      <c r="V1626" s="77">
        <v>38</v>
      </c>
      <c r="W1626" s="82" t="s">
        <v>5812</v>
      </c>
      <c r="X1626" s="80" t="str">
        <f>HYPERLINK("https://investidorprudente.com/planos-promo")</f>
        <v>https://investidorprudente.com/planos-promo</v>
      </c>
      <c r="Y1626" s="77" t="s">
        <v>7120</v>
      </c>
      <c r="Z1626" s="77"/>
      <c r="AA1626" s="77" t="s">
        <v>7840</v>
      </c>
      <c r="AB1626" s="77" t="s">
        <v>8225</v>
      </c>
      <c r="AC1626" s="82" t="s">
        <v>8232</v>
      </c>
      <c r="AD1626" s="77" t="s">
        <v>8278</v>
      </c>
      <c r="AE1626" s="80" t="str">
        <f>HYPERLINK("https://twitter.com/prudente_ip/status/1697242002696605892")</f>
        <v>https://twitter.com/prudente_ip/status/1697242002696605892</v>
      </c>
      <c r="AF1626" s="79">
        <v>45169.567141203705</v>
      </c>
      <c r="AG1626" s="85">
        <v>45169</v>
      </c>
      <c r="AH1626" s="82" t="s">
        <v>9754</v>
      </c>
      <c r="AI1626" s="77" t="b">
        <v>0</v>
      </c>
      <c r="AJ1626" s="77"/>
      <c r="AK1626" s="77"/>
      <c r="AL1626" s="77"/>
      <c r="AM1626" s="77"/>
      <c r="AN1626" s="77"/>
      <c r="AO1626" s="77"/>
      <c r="AP1626" s="77"/>
      <c r="AQ1626" s="77" t="s">
        <v>12725</v>
      </c>
      <c r="AR1626" s="77"/>
      <c r="AS1626" s="77"/>
      <c r="AT1626" s="77"/>
      <c r="AU1626" s="77"/>
      <c r="AV1626" s="80" t="str">
        <f>HYPERLINK("https://pbs.twimg.com/media/F43QktebgAA8Y2g.jpg")</f>
        <v>https://pbs.twimg.com/media/F43QktebgAA8Y2g.jpg</v>
      </c>
      <c r="AW1626" s="82" t="s">
        <v>14717</v>
      </c>
      <c r="AX1626" s="82" t="s">
        <v>14717</v>
      </c>
      <c r="AY1626" s="77"/>
      <c r="AZ1626" s="82" t="s">
        <v>17385</v>
      </c>
      <c r="BA1626" s="82" t="s">
        <v>17385</v>
      </c>
      <c r="BB1626" s="82" t="s">
        <v>17385</v>
      </c>
      <c r="BC1626" s="82" t="s">
        <v>14717</v>
      </c>
      <c r="BD1626" s="82" t="s">
        <v>17593</v>
      </c>
      <c r="BE1626" s="77"/>
      <c r="BF1626" s="77"/>
      <c r="BG1626" s="77"/>
      <c r="BH1626" s="77"/>
      <c r="BI1626" s="77"/>
    </row>
    <row r="1627" spans="1:61" x14ac:dyDescent="0.25">
      <c r="A1627" s="62" t="s">
        <v>512</v>
      </c>
      <c r="B1627" s="62" t="s">
        <v>512</v>
      </c>
      <c r="C1627" s="63"/>
      <c r="D1627" s="64"/>
      <c r="E1627" s="65"/>
      <c r="F1627" s="66"/>
      <c r="G1627" s="63"/>
      <c r="H1627" s="67"/>
      <c r="I1627" s="68"/>
      <c r="J1627" s="68"/>
      <c r="K1627" s="32"/>
      <c r="L1627" s="75">
        <v>1627</v>
      </c>
      <c r="M1627" s="75"/>
      <c r="N1627" s="70"/>
      <c r="O1627" s="77" t="s">
        <v>179</v>
      </c>
      <c r="P1627" s="79">
        <v>45191.522222222222</v>
      </c>
      <c r="Q1627" s="77" t="s">
        <v>2413</v>
      </c>
      <c r="R1627" s="77">
        <v>1</v>
      </c>
      <c r="S1627" s="77">
        <v>1</v>
      </c>
      <c r="T1627" s="77">
        <v>0</v>
      </c>
      <c r="U1627" s="77">
        <v>0</v>
      </c>
      <c r="V1627" s="77">
        <v>53</v>
      </c>
      <c r="W1627" s="82" t="s">
        <v>5817</v>
      </c>
      <c r="X1627" s="77"/>
      <c r="Y1627" s="77"/>
      <c r="Z1627" s="77"/>
      <c r="AA1627" s="77" t="s">
        <v>7841</v>
      </c>
      <c r="AB1627" s="77" t="s">
        <v>8225</v>
      </c>
      <c r="AC1627" s="82" t="s">
        <v>8232</v>
      </c>
      <c r="AD1627" s="77" t="s">
        <v>8278</v>
      </c>
      <c r="AE1627" s="80" t="str">
        <f>HYPERLINK("https://twitter.com/prudente_ip/status/1705198257293459883")</f>
        <v>https://twitter.com/prudente_ip/status/1705198257293459883</v>
      </c>
      <c r="AF1627" s="79">
        <v>45191.522222222222</v>
      </c>
      <c r="AG1627" s="85">
        <v>45191</v>
      </c>
      <c r="AH1627" s="82" t="s">
        <v>9755</v>
      </c>
      <c r="AI1627" s="77" t="b">
        <v>0</v>
      </c>
      <c r="AJ1627" s="77"/>
      <c r="AK1627" s="77"/>
      <c r="AL1627" s="77"/>
      <c r="AM1627" s="77"/>
      <c r="AN1627" s="77"/>
      <c r="AO1627" s="77"/>
      <c r="AP1627" s="77"/>
      <c r="AQ1627" s="77" t="s">
        <v>12726</v>
      </c>
      <c r="AR1627" s="77"/>
      <c r="AS1627" s="77"/>
      <c r="AT1627" s="77"/>
      <c r="AU1627" s="77"/>
      <c r="AV1627" s="80" t="str">
        <f>HYPERLINK("https://pbs.twimg.com/media/F5qh2OpWoAAlD9b.jpg")</f>
        <v>https://pbs.twimg.com/media/F5qh2OpWoAAlD9b.jpg</v>
      </c>
      <c r="AW1627" s="82" t="s">
        <v>14718</v>
      </c>
      <c r="AX1627" s="82" t="s">
        <v>14718</v>
      </c>
      <c r="AY1627" s="77"/>
      <c r="AZ1627" s="82" t="s">
        <v>17385</v>
      </c>
      <c r="BA1627" s="82" t="s">
        <v>17385</v>
      </c>
      <c r="BB1627" s="82" t="s">
        <v>17385</v>
      </c>
      <c r="BC1627" s="82" t="s">
        <v>14718</v>
      </c>
      <c r="BD1627" s="82" t="s">
        <v>17593</v>
      </c>
      <c r="BE1627" s="77"/>
      <c r="BF1627" s="77"/>
      <c r="BG1627" s="77"/>
      <c r="BH1627" s="77"/>
      <c r="BI1627" s="77"/>
    </row>
    <row r="1628" spans="1:61" x14ac:dyDescent="0.25">
      <c r="A1628" s="62" t="s">
        <v>512</v>
      </c>
      <c r="B1628" s="62" t="s">
        <v>512</v>
      </c>
      <c r="C1628" s="63"/>
      <c r="D1628" s="64"/>
      <c r="E1628" s="65"/>
      <c r="F1628" s="66"/>
      <c r="G1628" s="63"/>
      <c r="H1628" s="67"/>
      <c r="I1628" s="68"/>
      <c r="J1628" s="68"/>
      <c r="K1628" s="32"/>
      <c r="L1628" s="75">
        <v>1628</v>
      </c>
      <c r="M1628" s="75"/>
      <c r="N1628" s="70"/>
      <c r="O1628" s="77" t="s">
        <v>179</v>
      </c>
      <c r="P1628" s="79">
        <v>45149.636805555558</v>
      </c>
      <c r="Q1628" s="77" t="s">
        <v>2414</v>
      </c>
      <c r="R1628" s="77">
        <v>1</v>
      </c>
      <c r="S1628" s="77">
        <v>1</v>
      </c>
      <c r="T1628" s="77">
        <v>0</v>
      </c>
      <c r="U1628" s="77">
        <v>0</v>
      </c>
      <c r="V1628" s="77">
        <v>41</v>
      </c>
      <c r="W1628" s="82" t="s">
        <v>5818</v>
      </c>
      <c r="X1628" s="77"/>
      <c r="Y1628" s="77"/>
      <c r="Z1628" s="77"/>
      <c r="AA1628" s="77" t="s">
        <v>7842</v>
      </c>
      <c r="AB1628" s="77" t="s">
        <v>8225</v>
      </c>
      <c r="AC1628" s="82" t="s">
        <v>8232</v>
      </c>
      <c r="AD1628" s="77" t="s">
        <v>8278</v>
      </c>
      <c r="AE1628" s="80" t="str">
        <f>HYPERLINK("https://twitter.com/prudente_ip/status/1690019490493497344")</f>
        <v>https://twitter.com/prudente_ip/status/1690019490493497344</v>
      </c>
      <c r="AF1628" s="79">
        <v>45149.636805555558</v>
      </c>
      <c r="AG1628" s="85">
        <v>45149</v>
      </c>
      <c r="AH1628" s="82" t="s">
        <v>9756</v>
      </c>
      <c r="AI1628" s="77" t="b">
        <v>0</v>
      </c>
      <c r="AJ1628" s="77"/>
      <c r="AK1628" s="77"/>
      <c r="AL1628" s="77"/>
      <c r="AM1628" s="77"/>
      <c r="AN1628" s="77"/>
      <c r="AO1628" s="77"/>
      <c r="AP1628" s="77"/>
      <c r="AQ1628" s="77" t="s">
        <v>12727</v>
      </c>
      <c r="AR1628" s="77"/>
      <c r="AS1628" s="77"/>
      <c r="AT1628" s="77"/>
      <c r="AU1628" s="77"/>
      <c r="AV1628" s="80" t="str">
        <f>HYPERLINK("https://pbs.twimg.com/media/F3LeYcEaUAEfFbq.jpg")</f>
        <v>https://pbs.twimg.com/media/F3LeYcEaUAEfFbq.jpg</v>
      </c>
      <c r="AW1628" s="82" t="s">
        <v>14719</v>
      </c>
      <c r="AX1628" s="82" t="s">
        <v>14719</v>
      </c>
      <c r="AY1628" s="77"/>
      <c r="AZ1628" s="82" t="s">
        <v>17385</v>
      </c>
      <c r="BA1628" s="82" t="s">
        <v>17385</v>
      </c>
      <c r="BB1628" s="82" t="s">
        <v>17385</v>
      </c>
      <c r="BC1628" s="82" t="s">
        <v>14719</v>
      </c>
      <c r="BD1628" s="82" t="s">
        <v>17593</v>
      </c>
      <c r="BE1628" s="77"/>
      <c r="BF1628" s="77"/>
      <c r="BG1628" s="77"/>
      <c r="BH1628" s="77"/>
      <c r="BI1628" s="77"/>
    </row>
    <row r="1629" spans="1:61" x14ac:dyDescent="0.25">
      <c r="A1629" s="62" t="s">
        <v>513</v>
      </c>
      <c r="B1629" s="62" t="s">
        <v>513</v>
      </c>
      <c r="C1629" s="63"/>
      <c r="D1629" s="64"/>
      <c r="E1629" s="65"/>
      <c r="F1629" s="66"/>
      <c r="G1629" s="63"/>
      <c r="H1629" s="67"/>
      <c r="I1629" s="68"/>
      <c r="J1629" s="68"/>
      <c r="K1629" s="32"/>
      <c r="L1629" s="75">
        <v>1629</v>
      </c>
      <c r="M1629" s="75"/>
      <c r="N1629" s="70"/>
      <c r="O1629" s="77" t="s">
        <v>179</v>
      </c>
      <c r="P1629" s="79">
        <v>45167.584131944444</v>
      </c>
      <c r="Q1629" s="77" t="s">
        <v>2415</v>
      </c>
      <c r="R1629" s="77">
        <v>0</v>
      </c>
      <c r="S1629" s="77">
        <v>3</v>
      </c>
      <c r="T1629" s="77">
        <v>2</v>
      </c>
      <c r="U1629" s="77">
        <v>0</v>
      </c>
      <c r="V1629" s="77">
        <v>122</v>
      </c>
      <c r="W1629" s="82" t="s">
        <v>5819</v>
      </c>
      <c r="X1629" s="77"/>
      <c r="Y1629" s="77"/>
      <c r="Z1629" s="77"/>
      <c r="AA1629" s="77" t="s">
        <v>7843</v>
      </c>
      <c r="AB1629" s="77" t="s">
        <v>8227</v>
      </c>
      <c r="AC1629" s="82" t="s">
        <v>8232</v>
      </c>
      <c r="AD1629" s="77" t="s">
        <v>8278</v>
      </c>
      <c r="AE1629" s="80" t="str">
        <f>HYPERLINK("https://twitter.com/granacapital/status/1696523384665055235")</f>
        <v>https://twitter.com/granacapital/status/1696523384665055235</v>
      </c>
      <c r="AF1629" s="79">
        <v>45167.584131944444</v>
      </c>
      <c r="AG1629" s="85">
        <v>45167</v>
      </c>
      <c r="AH1629" s="82" t="s">
        <v>9757</v>
      </c>
      <c r="AI1629" s="77" t="b">
        <v>0</v>
      </c>
      <c r="AJ1629" s="77"/>
      <c r="AK1629" s="77"/>
      <c r="AL1629" s="77"/>
      <c r="AM1629" s="77"/>
      <c r="AN1629" s="77"/>
      <c r="AO1629" s="77"/>
      <c r="AP1629" s="77"/>
      <c r="AQ1629" s="77" t="s">
        <v>12728</v>
      </c>
      <c r="AR1629" s="77">
        <v>62787</v>
      </c>
      <c r="AS1629" s="77"/>
      <c r="AT1629" s="77"/>
      <c r="AU1629" s="77"/>
      <c r="AV1629" s="80" t="str">
        <f>HYPERLINK("https://pbs.twimg.com/ext_tw_video_thumb/1696522910746464256/pu/img/9FvxS2ukIUudGCmE.jpg")</f>
        <v>https://pbs.twimg.com/ext_tw_video_thumb/1696522910746464256/pu/img/9FvxS2ukIUudGCmE.jpg</v>
      </c>
      <c r="AW1629" s="82" t="s">
        <v>14720</v>
      </c>
      <c r="AX1629" s="82" t="s">
        <v>14720</v>
      </c>
      <c r="AY1629" s="77"/>
      <c r="AZ1629" s="82" t="s">
        <v>17385</v>
      </c>
      <c r="BA1629" s="82" t="s">
        <v>17385</v>
      </c>
      <c r="BB1629" s="82" t="s">
        <v>17385</v>
      </c>
      <c r="BC1629" s="82" t="s">
        <v>14720</v>
      </c>
      <c r="BD1629" s="82" t="s">
        <v>17355</v>
      </c>
      <c r="BE1629" s="77"/>
      <c r="BF1629" s="77"/>
      <c r="BG1629" s="77"/>
      <c r="BH1629" s="77"/>
      <c r="BI1629" s="77"/>
    </row>
    <row r="1630" spans="1:61" x14ac:dyDescent="0.25">
      <c r="A1630" s="62" t="s">
        <v>513</v>
      </c>
      <c r="B1630" s="62" t="s">
        <v>513</v>
      </c>
      <c r="C1630" s="63"/>
      <c r="D1630" s="64"/>
      <c r="E1630" s="65"/>
      <c r="F1630" s="66"/>
      <c r="G1630" s="63"/>
      <c r="H1630" s="67"/>
      <c r="I1630" s="68"/>
      <c r="J1630" s="68"/>
      <c r="K1630" s="32"/>
      <c r="L1630" s="75">
        <v>1630</v>
      </c>
      <c r="M1630" s="75"/>
      <c r="N1630" s="70"/>
      <c r="O1630" s="77" t="s">
        <v>800</v>
      </c>
      <c r="P1630" s="79">
        <v>45167.527685185189</v>
      </c>
      <c r="Q1630" s="77" t="s">
        <v>2416</v>
      </c>
      <c r="R1630" s="77">
        <v>0</v>
      </c>
      <c r="S1630" s="77">
        <v>0</v>
      </c>
      <c r="T1630" s="77">
        <v>1</v>
      </c>
      <c r="U1630" s="77">
        <v>0</v>
      </c>
      <c r="V1630" s="77">
        <v>30</v>
      </c>
      <c r="W1630" s="82" t="s">
        <v>5820</v>
      </c>
      <c r="X1630" s="77"/>
      <c r="Y1630" s="77"/>
      <c r="Z1630" s="77"/>
      <c r="AA1630" s="77"/>
      <c r="AB1630" s="77"/>
      <c r="AC1630" s="82" t="s">
        <v>8232</v>
      </c>
      <c r="AD1630" s="77" t="s">
        <v>8278</v>
      </c>
      <c r="AE1630" s="80" t="str">
        <f>HYPERLINK("https://twitter.com/granacapital/status/1696502927571984466")</f>
        <v>https://twitter.com/granacapital/status/1696502927571984466</v>
      </c>
      <c r="AF1630" s="79">
        <v>45167.527685185189</v>
      </c>
      <c r="AG1630" s="85">
        <v>45167</v>
      </c>
      <c r="AH1630" s="82" t="s">
        <v>9758</v>
      </c>
      <c r="AI1630" s="77"/>
      <c r="AJ1630" s="77"/>
      <c r="AK1630" s="77"/>
      <c r="AL1630" s="77"/>
      <c r="AM1630" s="77"/>
      <c r="AN1630" s="77"/>
      <c r="AO1630" s="77"/>
      <c r="AP1630" s="77"/>
      <c r="AQ1630" s="77"/>
      <c r="AR1630" s="77"/>
      <c r="AS1630" s="77"/>
      <c r="AT1630" s="77"/>
      <c r="AU1630" s="77"/>
      <c r="AV1630" s="80" t="str">
        <f>HYPERLINK("https://pbs.twimg.com/profile_images/1377746086446694403/Xn4eshg-_normal.jpg")</f>
        <v>https://pbs.twimg.com/profile_images/1377746086446694403/Xn4eshg-_normal.jpg</v>
      </c>
      <c r="AW1630" s="82" t="s">
        <v>14721</v>
      </c>
      <c r="AX1630" s="82" t="s">
        <v>17180</v>
      </c>
      <c r="AY1630" s="82" t="s">
        <v>17355</v>
      </c>
      <c r="AZ1630" s="82" t="s">
        <v>17411</v>
      </c>
      <c r="BA1630" s="82" t="s">
        <v>17385</v>
      </c>
      <c r="BB1630" s="82" t="s">
        <v>17385</v>
      </c>
      <c r="BC1630" s="82" t="s">
        <v>17411</v>
      </c>
      <c r="BD1630" s="82" t="s">
        <v>17355</v>
      </c>
      <c r="BE1630" s="77"/>
      <c r="BF1630" s="77"/>
      <c r="BG1630" s="77"/>
      <c r="BH1630" s="77"/>
      <c r="BI1630" s="77"/>
    </row>
    <row r="1631" spans="1:61" x14ac:dyDescent="0.25">
      <c r="A1631" s="62" t="s">
        <v>514</v>
      </c>
      <c r="B1631" s="62" t="s">
        <v>514</v>
      </c>
      <c r="C1631" s="63"/>
      <c r="D1631" s="64"/>
      <c r="E1631" s="65"/>
      <c r="F1631" s="66"/>
      <c r="G1631" s="63"/>
      <c r="H1631" s="67"/>
      <c r="I1631" s="68"/>
      <c r="J1631" s="68"/>
      <c r="K1631" s="32"/>
      <c r="L1631" s="75">
        <v>1631</v>
      </c>
      <c r="M1631" s="75"/>
      <c r="N1631" s="70"/>
      <c r="O1631" s="77" t="s">
        <v>800</v>
      </c>
      <c r="P1631" s="79">
        <v>45077.748437499999</v>
      </c>
      <c r="Q1631" s="77" t="s">
        <v>2417</v>
      </c>
      <c r="R1631" s="77">
        <v>0</v>
      </c>
      <c r="S1631" s="77">
        <v>3</v>
      </c>
      <c r="T1631" s="77">
        <v>0</v>
      </c>
      <c r="U1631" s="77">
        <v>0</v>
      </c>
      <c r="V1631" s="77">
        <v>39</v>
      </c>
      <c r="W1631" s="82" t="s">
        <v>5821</v>
      </c>
      <c r="X1631" s="77"/>
      <c r="Y1631" s="77"/>
      <c r="Z1631" s="77"/>
      <c r="AA1631" s="77" t="s">
        <v>7844</v>
      </c>
      <c r="AB1631" s="77" t="s">
        <v>8229</v>
      </c>
      <c r="AC1631" s="82" t="s">
        <v>8232</v>
      </c>
      <c r="AD1631" s="77" t="s">
        <v>8280</v>
      </c>
      <c r="AE1631" s="80" t="str">
        <f>HYPERLINK("https://twitter.com/sfainvest/status/1663968021138878464")</f>
        <v>https://twitter.com/sfainvest/status/1663968021138878464</v>
      </c>
      <c r="AF1631" s="79">
        <v>45077.748437499999</v>
      </c>
      <c r="AG1631" s="85">
        <v>45077</v>
      </c>
      <c r="AH1631" s="82" t="s">
        <v>9759</v>
      </c>
      <c r="AI1631" s="77" t="b">
        <v>0</v>
      </c>
      <c r="AJ1631" s="77"/>
      <c r="AK1631" s="77"/>
      <c r="AL1631" s="77"/>
      <c r="AM1631" s="77"/>
      <c r="AN1631" s="77"/>
      <c r="AO1631" s="77"/>
      <c r="AP1631" s="77"/>
      <c r="AQ1631" s="77" t="s">
        <v>12729</v>
      </c>
      <c r="AR1631" s="77"/>
      <c r="AS1631" s="77"/>
      <c r="AT1631" s="77"/>
      <c r="AU1631" s="77"/>
      <c r="AV1631" s="80" t="str">
        <f>HYPERLINK("https://pbs.twimg.com/media/FxeaDzWWwAgbUu7.jpg")</f>
        <v>https://pbs.twimg.com/media/FxeaDzWWwAgbUu7.jpg</v>
      </c>
      <c r="AW1631" s="82" t="s">
        <v>14722</v>
      </c>
      <c r="AX1631" s="82" t="s">
        <v>17181</v>
      </c>
      <c r="AY1631" s="82" t="s">
        <v>17356</v>
      </c>
      <c r="AZ1631" s="82" t="s">
        <v>17181</v>
      </c>
      <c r="BA1631" s="82" t="s">
        <v>17385</v>
      </c>
      <c r="BB1631" s="82" t="s">
        <v>17385</v>
      </c>
      <c r="BC1631" s="82" t="s">
        <v>17181</v>
      </c>
      <c r="BD1631" s="82" t="s">
        <v>17356</v>
      </c>
      <c r="BE1631" s="77"/>
      <c r="BF1631" s="77"/>
      <c r="BG1631" s="77"/>
      <c r="BH1631" s="77"/>
      <c r="BI1631" s="77"/>
    </row>
    <row r="1632" spans="1:61" x14ac:dyDescent="0.25">
      <c r="A1632" s="62" t="s">
        <v>514</v>
      </c>
      <c r="B1632" s="62" t="s">
        <v>514</v>
      </c>
      <c r="C1632" s="63"/>
      <c r="D1632" s="64"/>
      <c r="E1632" s="65"/>
      <c r="F1632" s="66"/>
      <c r="G1632" s="63"/>
      <c r="H1632" s="67"/>
      <c r="I1632" s="68"/>
      <c r="J1632" s="68"/>
      <c r="K1632" s="32"/>
      <c r="L1632" s="75">
        <v>1632</v>
      </c>
      <c r="M1632" s="75"/>
      <c r="N1632" s="70"/>
      <c r="O1632" s="77" t="s">
        <v>179</v>
      </c>
      <c r="P1632" s="79">
        <v>45104.7343287037</v>
      </c>
      <c r="Q1632" s="77" t="s">
        <v>2418</v>
      </c>
      <c r="R1632" s="77">
        <v>2</v>
      </c>
      <c r="S1632" s="77">
        <v>3</v>
      </c>
      <c r="T1632" s="77">
        <v>1</v>
      </c>
      <c r="U1632" s="77">
        <v>0</v>
      </c>
      <c r="V1632" s="77">
        <v>141</v>
      </c>
      <c r="W1632" s="82" t="s">
        <v>5822</v>
      </c>
      <c r="X1632" s="80" t="str">
        <f>HYPERLINK("https://www.sfainvestimentos.com.br/wp-content/uploads/2023/05/Carta-de-Gestao-SFA-1o-Trimestre-2023-.pdf")</f>
        <v>https://www.sfainvestimentos.com.br/wp-content/uploads/2023/05/Carta-de-Gestao-SFA-1o-Trimestre-2023-.pdf</v>
      </c>
      <c r="Y1632" s="77" t="s">
        <v>7053</v>
      </c>
      <c r="Z1632" s="77"/>
      <c r="AA1632" s="77" t="s">
        <v>7845</v>
      </c>
      <c r="AB1632" s="77" t="s">
        <v>8225</v>
      </c>
      <c r="AC1632" s="82" t="s">
        <v>8232</v>
      </c>
      <c r="AD1632" s="77" t="s">
        <v>8278</v>
      </c>
      <c r="AE1632" s="80" t="str">
        <f>HYPERLINK("https://twitter.com/sfainvest/status/1673747379067969539")</f>
        <v>https://twitter.com/sfainvest/status/1673747379067969539</v>
      </c>
      <c r="AF1632" s="79">
        <v>45104.7343287037</v>
      </c>
      <c r="AG1632" s="85">
        <v>45104</v>
      </c>
      <c r="AH1632" s="82" t="s">
        <v>9760</v>
      </c>
      <c r="AI1632" s="77" t="b">
        <v>0</v>
      </c>
      <c r="AJ1632" s="77"/>
      <c r="AK1632" s="77"/>
      <c r="AL1632" s="77"/>
      <c r="AM1632" s="77"/>
      <c r="AN1632" s="77"/>
      <c r="AO1632" s="77"/>
      <c r="AP1632" s="77"/>
      <c r="AQ1632" s="77" t="s">
        <v>12730</v>
      </c>
      <c r="AR1632" s="77"/>
      <c r="AS1632" s="77"/>
      <c r="AT1632" s="77"/>
      <c r="AU1632" s="77"/>
      <c r="AV1632" s="80" t="str">
        <f>HYPERLINK("https://pbs.twimg.com/media/FzpW5DUXwCQ6X10.jpg")</f>
        <v>https://pbs.twimg.com/media/FzpW5DUXwCQ6X10.jpg</v>
      </c>
      <c r="AW1632" s="82" t="s">
        <v>14723</v>
      </c>
      <c r="AX1632" s="82" t="s">
        <v>14723</v>
      </c>
      <c r="AY1632" s="77"/>
      <c r="AZ1632" s="82" t="s">
        <v>17385</v>
      </c>
      <c r="BA1632" s="82" t="s">
        <v>17385</v>
      </c>
      <c r="BB1632" s="82" t="s">
        <v>17385</v>
      </c>
      <c r="BC1632" s="82" t="s">
        <v>14723</v>
      </c>
      <c r="BD1632" s="82" t="s">
        <v>17356</v>
      </c>
      <c r="BE1632" s="77"/>
      <c r="BF1632" s="77"/>
      <c r="BG1632" s="77"/>
      <c r="BH1632" s="77"/>
      <c r="BI1632" s="77"/>
    </row>
    <row r="1633" spans="1:61" x14ac:dyDescent="0.25">
      <c r="A1633" s="62" t="s">
        <v>514</v>
      </c>
      <c r="B1633" s="62" t="s">
        <v>514</v>
      </c>
      <c r="C1633" s="63"/>
      <c r="D1633" s="64"/>
      <c r="E1633" s="65"/>
      <c r="F1633" s="66"/>
      <c r="G1633" s="63"/>
      <c r="H1633" s="67"/>
      <c r="I1633" s="68"/>
      <c r="J1633" s="68"/>
      <c r="K1633" s="32"/>
      <c r="L1633" s="75">
        <v>1633</v>
      </c>
      <c r="M1633" s="75"/>
      <c r="N1633" s="70"/>
      <c r="O1633" s="77" t="s">
        <v>800</v>
      </c>
      <c r="P1633" s="79">
        <v>45098.751932870371</v>
      </c>
      <c r="Q1633" s="77" t="s">
        <v>2419</v>
      </c>
      <c r="R1633" s="77">
        <v>0</v>
      </c>
      <c r="S1633" s="77">
        <v>2</v>
      </c>
      <c r="T1633" s="77">
        <v>1</v>
      </c>
      <c r="U1633" s="77">
        <v>0</v>
      </c>
      <c r="V1633" s="77">
        <v>71</v>
      </c>
      <c r="W1633" s="82" t="s">
        <v>5823</v>
      </c>
      <c r="X1633" s="80" t="str">
        <f>HYPERLINK("https://www.sfainvestimentos.com.br/wp-content/uploads/2023/05/Carta-de-Gestao-SFA-1o-Trimestre-2023-.pdf")</f>
        <v>https://www.sfainvestimentos.com.br/wp-content/uploads/2023/05/Carta-de-Gestao-SFA-1o-Trimestre-2023-.pdf</v>
      </c>
      <c r="Y1633" s="77" t="s">
        <v>7053</v>
      </c>
      <c r="Z1633" s="77"/>
      <c r="AA1633" s="77" t="s">
        <v>7846</v>
      </c>
      <c r="AB1633" s="77" t="s">
        <v>8225</v>
      </c>
      <c r="AC1633" s="82" t="s">
        <v>8232</v>
      </c>
      <c r="AD1633" s="77" t="s">
        <v>8278</v>
      </c>
      <c r="AE1633" s="80" t="str">
        <f>HYPERLINK("https://twitter.com/sfainvest/status/1671579429154299925")</f>
        <v>https://twitter.com/sfainvest/status/1671579429154299925</v>
      </c>
      <c r="AF1633" s="79">
        <v>45098.751932870371</v>
      </c>
      <c r="AG1633" s="85">
        <v>45098</v>
      </c>
      <c r="AH1633" s="82" t="s">
        <v>9761</v>
      </c>
      <c r="AI1633" s="77" t="b">
        <v>0</v>
      </c>
      <c r="AJ1633" s="77"/>
      <c r="AK1633" s="77"/>
      <c r="AL1633" s="77"/>
      <c r="AM1633" s="77"/>
      <c r="AN1633" s="77"/>
      <c r="AO1633" s="77"/>
      <c r="AP1633" s="77"/>
      <c r="AQ1633" s="77" t="s">
        <v>12731</v>
      </c>
      <c r="AR1633" s="77"/>
      <c r="AS1633" s="77"/>
      <c r="AT1633" s="77"/>
      <c r="AU1633" s="77"/>
      <c r="AV1633" s="80" t="str">
        <f>HYPERLINK("https://pbs.twimg.com/media/FzKkCA7XoBAFX-s.jpg")</f>
        <v>https://pbs.twimg.com/media/FzKkCA7XoBAFX-s.jpg</v>
      </c>
      <c r="AW1633" s="82" t="s">
        <v>14724</v>
      </c>
      <c r="AX1633" s="82" t="s">
        <v>17182</v>
      </c>
      <c r="AY1633" s="82" t="s">
        <v>17356</v>
      </c>
      <c r="AZ1633" s="82" t="s">
        <v>17182</v>
      </c>
      <c r="BA1633" s="82" t="s">
        <v>17385</v>
      </c>
      <c r="BB1633" s="82" t="s">
        <v>17385</v>
      </c>
      <c r="BC1633" s="82" t="s">
        <v>17182</v>
      </c>
      <c r="BD1633" s="82" t="s">
        <v>17356</v>
      </c>
      <c r="BE1633" s="77"/>
      <c r="BF1633" s="77"/>
      <c r="BG1633" s="77"/>
      <c r="BH1633" s="77"/>
      <c r="BI1633" s="77"/>
    </row>
    <row r="1634" spans="1:61" x14ac:dyDescent="0.25">
      <c r="A1634" s="62" t="s">
        <v>514</v>
      </c>
      <c r="B1634" s="62" t="s">
        <v>514</v>
      </c>
      <c r="C1634" s="63"/>
      <c r="D1634" s="64"/>
      <c r="E1634" s="65"/>
      <c r="F1634" s="66"/>
      <c r="G1634" s="63"/>
      <c r="H1634" s="67"/>
      <c r="I1634" s="68"/>
      <c r="J1634" s="68"/>
      <c r="K1634" s="32"/>
      <c r="L1634" s="75">
        <v>1634</v>
      </c>
      <c r="M1634" s="75"/>
      <c r="N1634" s="70"/>
      <c r="O1634" s="77" t="s">
        <v>800</v>
      </c>
      <c r="P1634" s="79">
        <v>45096.558032407411</v>
      </c>
      <c r="Q1634" s="77" t="s">
        <v>2420</v>
      </c>
      <c r="R1634" s="77">
        <v>0</v>
      </c>
      <c r="S1634" s="77">
        <v>2</v>
      </c>
      <c r="T1634" s="77">
        <v>1</v>
      </c>
      <c r="U1634" s="77">
        <v>0</v>
      </c>
      <c r="V1634" s="77">
        <v>36</v>
      </c>
      <c r="W1634" s="82" t="s">
        <v>5824</v>
      </c>
      <c r="X1634" s="80" t="str">
        <f>HYPERLINK("https://www.sfainvestimentos.com.br/wp-content/uploads/2023/05/Carta-de-Gestao-SFA-1o-Trimestre-2023-.pdf")</f>
        <v>https://www.sfainvestimentos.com.br/wp-content/uploads/2023/05/Carta-de-Gestao-SFA-1o-Trimestre-2023-.pdf</v>
      </c>
      <c r="Y1634" s="77" t="s">
        <v>7053</v>
      </c>
      <c r="Z1634" s="77"/>
      <c r="AA1634" s="77" t="s">
        <v>7847</v>
      </c>
      <c r="AB1634" s="77" t="s">
        <v>8225</v>
      </c>
      <c r="AC1634" s="82" t="s">
        <v>8232</v>
      </c>
      <c r="AD1634" s="77" t="s">
        <v>8278</v>
      </c>
      <c r="AE1634" s="80" t="str">
        <f>HYPERLINK("https://twitter.com/sfainvest/status/1670784386734727172")</f>
        <v>https://twitter.com/sfainvest/status/1670784386734727172</v>
      </c>
      <c r="AF1634" s="79">
        <v>45096.558032407411</v>
      </c>
      <c r="AG1634" s="85">
        <v>45096</v>
      </c>
      <c r="AH1634" s="82" t="s">
        <v>9762</v>
      </c>
      <c r="AI1634" s="77" t="b">
        <v>0</v>
      </c>
      <c r="AJ1634" s="77"/>
      <c r="AK1634" s="77"/>
      <c r="AL1634" s="77"/>
      <c r="AM1634" s="77"/>
      <c r="AN1634" s="77"/>
      <c r="AO1634" s="77"/>
      <c r="AP1634" s="77"/>
      <c r="AQ1634" s="77" t="s">
        <v>12732</v>
      </c>
      <c r="AR1634" s="77"/>
      <c r="AS1634" s="77"/>
      <c r="AT1634" s="77"/>
      <c r="AU1634" s="77"/>
      <c r="AV1634" s="80" t="str">
        <f>HYPERLINK("https://pbs.twimg.com/media/Fy_Q01uWcAE2oKe.jpg")</f>
        <v>https://pbs.twimg.com/media/Fy_Q01uWcAE2oKe.jpg</v>
      </c>
      <c r="AW1634" s="82" t="s">
        <v>14725</v>
      </c>
      <c r="AX1634" s="82" t="s">
        <v>17183</v>
      </c>
      <c r="AY1634" s="82" t="s">
        <v>17356</v>
      </c>
      <c r="AZ1634" s="82" t="s">
        <v>17183</v>
      </c>
      <c r="BA1634" s="82" t="s">
        <v>17385</v>
      </c>
      <c r="BB1634" s="82" t="s">
        <v>17385</v>
      </c>
      <c r="BC1634" s="82" t="s">
        <v>17183</v>
      </c>
      <c r="BD1634" s="82" t="s">
        <v>17356</v>
      </c>
      <c r="BE1634" s="77"/>
      <c r="BF1634" s="77"/>
      <c r="BG1634" s="77"/>
      <c r="BH1634" s="77"/>
      <c r="BI1634" s="77"/>
    </row>
    <row r="1635" spans="1:61" x14ac:dyDescent="0.25">
      <c r="A1635" s="62" t="s">
        <v>515</v>
      </c>
      <c r="B1635" s="62" t="s">
        <v>778</v>
      </c>
      <c r="C1635" s="63"/>
      <c r="D1635" s="64"/>
      <c r="E1635" s="65"/>
      <c r="F1635" s="66"/>
      <c r="G1635" s="63"/>
      <c r="H1635" s="67"/>
      <c r="I1635" s="68"/>
      <c r="J1635" s="68"/>
      <c r="K1635" s="32"/>
      <c r="L1635" s="75">
        <v>1635</v>
      </c>
      <c r="M1635" s="75"/>
      <c r="N1635" s="70"/>
      <c r="O1635" s="77" t="s">
        <v>802</v>
      </c>
      <c r="P1635" s="79">
        <v>45173.930081018516</v>
      </c>
      <c r="Q1635" s="77" t="s">
        <v>2421</v>
      </c>
      <c r="R1635" s="77">
        <v>0</v>
      </c>
      <c r="S1635" s="77">
        <v>0</v>
      </c>
      <c r="T1635" s="77">
        <v>0</v>
      </c>
      <c r="U1635" s="77">
        <v>0</v>
      </c>
      <c r="V1635" s="77">
        <v>24</v>
      </c>
      <c r="W1635" s="82" t="s">
        <v>5825</v>
      </c>
      <c r="X1635" s="80" t="str">
        <f>HYPERLINK("https://www.youtube.com/watch?v=WwFmpLCSQKc")</f>
        <v>https://www.youtube.com/watch?v=WwFmpLCSQKc</v>
      </c>
      <c r="Y1635" s="77" t="s">
        <v>7065</v>
      </c>
      <c r="Z1635" s="77" t="s">
        <v>778</v>
      </c>
      <c r="AA1635" s="77" t="s">
        <v>7848</v>
      </c>
      <c r="AB1635" s="77" t="s">
        <v>8225</v>
      </c>
      <c r="AC1635" s="82" t="s">
        <v>8232</v>
      </c>
      <c r="AD1635" s="77" t="s">
        <v>8278</v>
      </c>
      <c r="AE1635" s="80" t="str">
        <f>HYPERLINK("https://twitter.com/kaio_csilva/status/1698823077763629357")</f>
        <v>https://twitter.com/kaio_csilva/status/1698823077763629357</v>
      </c>
      <c r="AF1635" s="79">
        <v>45173.930081018516</v>
      </c>
      <c r="AG1635" s="85">
        <v>45173</v>
      </c>
      <c r="AH1635" s="82" t="s">
        <v>9763</v>
      </c>
      <c r="AI1635" s="77" t="b">
        <v>0</v>
      </c>
      <c r="AJ1635" s="77"/>
      <c r="AK1635" s="77"/>
      <c r="AL1635" s="77"/>
      <c r="AM1635" s="77"/>
      <c r="AN1635" s="77"/>
      <c r="AO1635" s="77"/>
      <c r="AP1635" s="77"/>
      <c r="AQ1635" s="77" t="s">
        <v>12733</v>
      </c>
      <c r="AR1635" s="77"/>
      <c r="AS1635" s="77"/>
      <c r="AT1635" s="77"/>
      <c r="AU1635" s="77"/>
      <c r="AV1635" s="80" t="str">
        <f>HYPERLINK("https://pbs.twimg.com/media/F5Nub24W8AAVxHA.jpg")</f>
        <v>https://pbs.twimg.com/media/F5Nub24W8AAVxHA.jpg</v>
      </c>
      <c r="AW1635" s="82" t="s">
        <v>14726</v>
      </c>
      <c r="AX1635" s="82" t="s">
        <v>14726</v>
      </c>
      <c r="AY1635" s="77"/>
      <c r="AZ1635" s="82" t="s">
        <v>17385</v>
      </c>
      <c r="BA1635" s="82" t="s">
        <v>17385</v>
      </c>
      <c r="BB1635" s="82" t="s">
        <v>17385</v>
      </c>
      <c r="BC1635" s="82" t="s">
        <v>14726</v>
      </c>
      <c r="BD1635" s="82" t="s">
        <v>17594</v>
      </c>
      <c r="BE1635" s="77"/>
      <c r="BF1635" s="77"/>
      <c r="BG1635" s="77"/>
      <c r="BH1635" s="77"/>
      <c r="BI1635" s="77"/>
    </row>
    <row r="1636" spans="1:61" x14ac:dyDescent="0.25">
      <c r="A1636" s="62" t="s">
        <v>515</v>
      </c>
      <c r="B1636" s="62" t="s">
        <v>515</v>
      </c>
      <c r="C1636" s="63"/>
      <c r="D1636" s="64"/>
      <c r="E1636" s="65"/>
      <c r="F1636" s="66"/>
      <c r="G1636" s="63"/>
      <c r="H1636" s="67"/>
      <c r="I1636" s="68"/>
      <c r="J1636" s="68"/>
      <c r="K1636" s="32"/>
      <c r="L1636" s="75">
        <v>1636</v>
      </c>
      <c r="M1636" s="75"/>
      <c r="N1636" s="70"/>
      <c r="O1636" s="77" t="s">
        <v>179</v>
      </c>
      <c r="P1636" s="79">
        <v>45139.511041666665</v>
      </c>
      <c r="Q1636" s="77" t="s">
        <v>2422</v>
      </c>
      <c r="R1636" s="77">
        <v>0</v>
      </c>
      <c r="S1636" s="77">
        <v>0</v>
      </c>
      <c r="T1636" s="77">
        <v>0</v>
      </c>
      <c r="U1636" s="77">
        <v>0</v>
      </c>
      <c r="V1636" s="77">
        <v>66</v>
      </c>
      <c r="W1636" s="82" t="s">
        <v>5826</v>
      </c>
      <c r="X1636" s="80" t="str">
        <f>HYPERLINK("https://www.youtube.com/watch?v=wIc54HqU8kY")</f>
        <v>https://www.youtube.com/watch?v=wIc54HqU8kY</v>
      </c>
      <c r="Y1636" s="77" t="s">
        <v>7065</v>
      </c>
      <c r="Z1636" s="77"/>
      <c r="AA1636" s="77" t="s">
        <v>7849</v>
      </c>
      <c r="AB1636" s="77" t="s">
        <v>8225</v>
      </c>
      <c r="AC1636" s="82" t="s">
        <v>8232</v>
      </c>
      <c r="AD1636" s="77" t="s">
        <v>8278</v>
      </c>
      <c r="AE1636" s="80" t="str">
        <f>HYPERLINK("https://twitter.com/kaio_csilva/status/1686350039294025728")</f>
        <v>https://twitter.com/kaio_csilva/status/1686350039294025728</v>
      </c>
      <c r="AF1636" s="79">
        <v>45139.511041666665</v>
      </c>
      <c r="AG1636" s="85">
        <v>45139</v>
      </c>
      <c r="AH1636" s="82" t="s">
        <v>9764</v>
      </c>
      <c r="AI1636" s="77" t="b">
        <v>0</v>
      </c>
      <c r="AJ1636" s="77"/>
      <c r="AK1636" s="77"/>
      <c r="AL1636" s="77"/>
      <c r="AM1636" s="77"/>
      <c r="AN1636" s="77"/>
      <c r="AO1636" s="77"/>
      <c r="AP1636" s="77"/>
      <c r="AQ1636" s="77" t="s">
        <v>12734</v>
      </c>
      <c r="AR1636" s="77"/>
      <c r="AS1636" s="77"/>
      <c r="AT1636" s="77"/>
      <c r="AU1636" s="77"/>
      <c r="AV1636" s="80" t="str">
        <f>HYPERLINK("https://pbs.twimg.com/media/F2ceaeCWoAEKXWV.jpg")</f>
        <v>https://pbs.twimg.com/media/F2ceaeCWoAEKXWV.jpg</v>
      </c>
      <c r="AW1636" s="82" t="s">
        <v>14727</v>
      </c>
      <c r="AX1636" s="82" t="s">
        <v>14727</v>
      </c>
      <c r="AY1636" s="77"/>
      <c r="AZ1636" s="82" t="s">
        <v>17385</v>
      </c>
      <c r="BA1636" s="82" t="s">
        <v>17385</v>
      </c>
      <c r="BB1636" s="82" t="s">
        <v>17385</v>
      </c>
      <c r="BC1636" s="82" t="s">
        <v>14727</v>
      </c>
      <c r="BD1636" s="82" t="s">
        <v>17594</v>
      </c>
      <c r="BE1636" s="77"/>
      <c r="BF1636" s="77"/>
      <c r="BG1636" s="77"/>
      <c r="BH1636" s="77"/>
      <c r="BI1636" s="77"/>
    </row>
    <row r="1637" spans="1:61" x14ac:dyDescent="0.25">
      <c r="A1637" s="62" t="s">
        <v>515</v>
      </c>
      <c r="B1637" s="62" t="s">
        <v>515</v>
      </c>
      <c r="C1637" s="63"/>
      <c r="D1637" s="64"/>
      <c r="E1637" s="65"/>
      <c r="F1637" s="66"/>
      <c r="G1637" s="63"/>
      <c r="H1637" s="67"/>
      <c r="I1637" s="68"/>
      <c r="J1637" s="68"/>
      <c r="K1637" s="32"/>
      <c r="L1637" s="75">
        <v>1637</v>
      </c>
      <c r="M1637" s="75"/>
      <c r="N1637" s="70"/>
      <c r="O1637" s="77" t="s">
        <v>179</v>
      </c>
      <c r="P1637" s="79">
        <v>45141.921643518515</v>
      </c>
      <c r="Q1637" s="77" t="s">
        <v>2423</v>
      </c>
      <c r="R1637" s="77">
        <v>0</v>
      </c>
      <c r="S1637" s="77">
        <v>0</v>
      </c>
      <c r="T1637" s="77">
        <v>0</v>
      </c>
      <c r="U1637" s="77">
        <v>0</v>
      </c>
      <c r="V1637" s="77">
        <v>146</v>
      </c>
      <c r="W1637" s="82" t="s">
        <v>5827</v>
      </c>
      <c r="X1637" s="80" t="str">
        <f>HYPERLINK("https://www.youtube.com/watch?v=coGWItcuJuA")</f>
        <v>https://www.youtube.com/watch?v=coGWItcuJuA</v>
      </c>
      <c r="Y1637" s="77" t="s">
        <v>7065</v>
      </c>
      <c r="Z1637" s="77"/>
      <c r="AA1637" s="77" t="s">
        <v>7850</v>
      </c>
      <c r="AB1637" s="77" t="s">
        <v>8225</v>
      </c>
      <c r="AC1637" s="82" t="s">
        <v>8232</v>
      </c>
      <c r="AD1637" s="77" t="s">
        <v>8278</v>
      </c>
      <c r="AE1637" s="80" t="str">
        <f>HYPERLINK("https://twitter.com/kaio_csilva/status/1687223611377991680")</f>
        <v>https://twitter.com/kaio_csilva/status/1687223611377991680</v>
      </c>
      <c r="AF1637" s="79">
        <v>45141.921643518515</v>
      </c>
      <c r="AG1637" s="85">
        <v>45141</v>
      </c>
      <c r="AH1637" s="82" t="s">
        <v>9765</v>
      </c>
      <c r="AI1637" s="77" t="b">
        <v>0</v>
      </c>
      <c r="AJ1637" s="77"/>
      <c r="AK1637" s="77"/>
      <c r="AL1637" s="77"/>
      <c r="AM1637" s="77"/>
      <c r="AN1637" s="77"/>
      <c r="AO1637" s="77"/>
      <c r="AP1637" s="77"/>
      <c r="AQ1637" s="77" t="s">
        <v>12735</v>
      </c>
      <c r="AR1637" s="77"/>
      <c r="AS1637" s="77"/>
      <c r="AT1637" s="77"/>
      <c r="AU1637" s="77"/>
      <c r="AV1637" s="80" t="str">
        <f>HYPERLINK("https://pbs.twimg.com/media/F2o468vXoAELZt6.jpg")</f>
        <v>https://pbs.twimg.com/media/F2o468vXoAELZt6.jpg</v>
      </c>
      <c r="AW1637" s="82" t="s">
        <v>14728</v>
      </c>
      <c r="AX1637" s="82" t="s">
        <v>14728</v>
      </c>
      <c r="AY1637" s="77"/>
      <c r="AZ1637" s="82" t="s">
        <v>17385</v>
      </c>
      <c r="BA1637" s="82" t="s">
        <v>17385</v>
      </c>
      <c r="BB1637" s="82" t="s">
        <v>17385</v>
      </c>
      <c r="BC1637" s="82" t="s">
        <v>14728</v>
      </c>
      <c r="BD1637" s="82" t="s">
        <v>17594</v>
      </c>
      <c r="BE1637" s="77"/>
      <c r="BF1637" s="77"/>
      <c r="BG1637" s="77"/>
      <c r="BH1637" s="77"/>
      <c r="BI1637" s="77"/>
    </row>
    <row r="1638" spans="1:61" x14ac:dyDescent="0.25">
      <c r="A1638" s="62" t="s">
        <v>515</v>
      </c>
      <c r="B1638" s="62" t="s">
        <v>515</v>
      </c>
      <c r="C1638" s="63"/>
      <c r="D1638" s="64"/>
      <c r="E1638" s="65"/>
      <c r="F1638" s="66"/>
      <c r="G1638" s="63"/>
      <c r="H1638" s="67"/>
      <c r="I1638" s="68"/>
      <c r="J1638" s="68"/>
      <c r="K1638" s="32"/>
      <c r="L1638" s="75">
        <v>1638</v>
      </c>
      <c r="M1638" s="75"/>
      <c r="N1638" s="70"/>
      <c r="O1638" s="77" t="s">
        <v>179</v>
      </c>
      <c r="P1638" s="79">
        <v>45151.025659722225</v>
      </c>
      <c r="Q1638" s="77" t="s">
        <v>2424</v>
      </c>
      <c r="R1638" s="77">
        <v>0</v>
      </c>
      <c r="S1638" s="77">
        <v>2</v>
      </c>
      <c r="T1638" s="77">
        <v>0</v>
      </c>
      <c r="U1638" s="77">
        <v>0</v>
      </c>
      <c r="V1638" s="77">
        <v>304</v>
      </c>
      <c r="W1638" s="82" t="s">
        <v>5828</v>
      </c>
      <c r="X1638" s="80" t="str">
        <f>HYPERLINK("https://www.youtube.com/watch?v=Q7mt-AgNfqQ")</f>
        <v>https://www.youtube.com/watch?v=Q7mt-AgNfqQ</v>
      </c>
      <c r="Y1638" s="77" t="s">
        <v>7065</v>
      </c>
      <c r="Z1638" s="77"/>
      <c r="AA1638" s="77" t="s">
        <v>7851</v>
      </c>
      <c r="AB1638" s="77" t="s">
        <v>8225</v>
      </c>
      <c r="AC1638" s="82" t="s">
        <v>8232</v>
      </c>
      <c r="AD1638" s="77" t="s">
        <v>8281</v>
      </c>
      <c r="AE1638" s="80" t="str">
        <f>HYPERLINK("https://twitter.com/kaio_csilva/status/1690522796529422337")</f>
        <v>https://twitter.com/kaio_csilva/status/1690522796529422337</v>
      </c>
      <c r="AF1638" s="79">
        <v>45151.025659722225</v>
      </c>
      <c r="AG1638" s="85">
        <v>45151</v>
      </c>
      <c r="AH1638" s="82" t="s">
        <v>9766</v>
      </c>
      <c r="AI1638" s="77" t="b">
        <v>0</v>
      </c>
      <c r="AJ1638" s="77"/>
      <c r="AK1638" s="77"/>
      <c r="AL1638" s="77"/>
      <c r="AM1638" s="77"/>
      <c r="AN1638" s="77"/>
      <c r="AO1638" s="77"/>
      <c r="AP1638" s="77"/>
      <c r="AQ1638" s="77" t="s">
        <v>12736</v>
      </c>
      <c r="AR1638" s="77"/>
      <c r="AS1638" s="77"/>
      <c r="AT1638" s="77"/>
      <c r="AU1638" s="77"/>
      <c r="AV1638" s="80" t="str">
        <f>HYPERLINK("https://pbs.twimg.com/media/F3XxfmOW0AE2ZEj.jpg")</f>
        <v>https://pbs.twimg.com/media/F3XxfmOW0AE2ZEj.jpg</v>
      </c>
      <c r="AW1638" s="82" t="s">
        <v>14729</v>
      </c>
      <c r="AX1638" s="82" t="s">
        <v>14729</v>
      </c>
      <c r="AY1638" s="77"/>
      <c r="AZ1638" s="82" t="s">
        <v>17385</v>
      </c>
      <c r="BA1638" s="82" t="s">
        <v>17385</v>
      </c>
      <c r="BB1638" s="82" t="s">
        <v>17385</v>
      </c>
      <c r="BC1638" s="82" t="s">
        <v>14729</v>
      </c>
      <c r="BD1638" s="82" t="s">
        <v>17594</v>
      </c>
      <c r="BE1638" s="77"/>
      <c r="BF1638" s="77"/>
      <c r="BG1638" s="77"/>
      <c r="BH1638" s="77"/>
      <c r="BI1638" s="77"/>
    </row>
    <row r="1639" spans="1:61" x14ac:dyDescent="0.25">
      <c r="A1639" s="62" t="s">
        <v>515</v>
      </c>
      <c r="B1639" s="62" t="s">
        <v>515</v>
      </c>
      <c r="C1639" s="63"/>
      <c r="D1639" s="64"/>
      <c r="E1639" s="65"/>
      <c r="F1639" s="66"/>
      <c r="G1639" s="63"/>
      <c r="H1639" s="67"/>
      <c r="I1639" s="68"/>
      <c r="J1639" s="68"/>
      <c r="K1639" s="32"/>
      <c r="L1639" s="75">
        <v>1639</v>
      </c>
      <c r="M1639" s="75"/>
      <c r="N1639" s="70"/>
      <c r="O1639" s="77" t="s">
        <v>179</v>
      </c>
      <c r="P1639" s="79">
        <v>45153.079722222225</v>
      </c>
      <c r="Q1639" s="77" t="s">
        <v>2425</v>
      </c>
      <c r="R1639" s="77">
        <v>1</v>
      </c>
      <c r="S1639" s="77">
        <v>3</v>
      </c>
      <c r="T1639" s="77">
        <v>0</v>
      </c>
      <c r="U1639" s="77">
        <v>0</v>
      </c>
      <c r="V1639" s="77">
        <v>504</v>
      </c>
      <c r="W1639" s="82" t="s">
        <v>5829</v>
      </c>
      <c r="X1639" s="80" t="str">
        <f>HYPERLINK("https://www.youtube.com/watch?v=RCLMrdQRqEo")</f>
        <v>https://www.youtube.com/watch?v=RCLMrdQRqEo</v>
      </c>
      <c r="Y1639" s="77" t="s">
        <v>7065</v>
      </c>
      <c r="Z1639" s="77"/>
      <c r="AA1639" s="77" t="s">
        <v>7852</v>
      </c>
      <c r="AB1639" s="77" t="s">
        <v>8225</v>
      </c>
      <c r="AC1639" s="82" t="s">
        <v>8232</v>
      </c>
      <c r="AD1639" s="77" t="s">
        <v>8278</v>
      </c>
      <c r="AE1639" s="80" t="str">
        <f>HYPERLINK("https://twitter.com/kaio_csilva/status/1691267162709602304")</f>
        <v>https://twitter.com/kaio_csilva/status/1691267162709602304</v>
      </c>
      <c r="AF1639" s="79">
        <v>45153.079722222225</v>
      </c>
      <c r="AG1639" s="85">
        <v>45153</v>
      </c>
      <c r="AH1639" s="82" t="s">
        <v>9767</v>
      </c>
      <c r="AI1639" s="77" t="b">
        <v>0</v>
      </c>
      <c r="AJ1639" s="77"/>
      <c r="AK1639" s="77"/>
      <c r="AL1639" s="77"/>
      <c r="AM1639" s="77"/>
      <c r="AN1639" s="77"/>
      <c r="AO1639" s="77"/>
      <c r="AP1639" s="77"/>
      <c r="AQ1639" s="77" t="s">
        <v>12737</v>
      </c>
      <c r="AR1639" s="77"/>
      <c r="AS1639" s="77"/>
      <c r="AT1639" s="77"/>
      <c r="AU1639" s="77"/>
      <c r="AV1639" s="80" t="str">
        <f>HYPERLINK("https://pbs.twimg.com/media/F3iWfD0XUAANpJg.jpg")</f>
        <v>https://pbs.twimg.com/media/F3iWfD0XUAANpJg.jpg</v>
      </c>
      <c r="AW1639" s="82" t="s">
        <v>14730</v>
      </c>
      <c r="AX1639" s="82" t="s">
        <v>14730</v>
      </c>
      <c r="AY1639" s="77"/>
      <c r="AZ1639" s="82" t="s">
        <v>17385</v>
      </c>
      <c r="BA1639" s="82" t="s">
        <v>17385</v>
      </c>
      <c r="BB1639" s="82" t="s">
        <v>17385</v>
      </c>
      <c r="BC1639" s="82" t="s">
        <v>14730</v>
      </c>
      <c r="BD1639" s="82" t="s">
        <v>17594</v>
      </c>
      <c r="BE1639" s="77"/>
      <c r="BF1639" s="77"/>
      <c r="BG1639" s="77"/>
      <c r="BH1639" s="77"/>
      <c r="BI1639" s="77"/>
    </row>
    <row r="1640" spans="1:61" x14ac:dyDescent="0.25">
      <c r="A1640" s="62" t="s">
        <v>515</v>
      </c>
      <c r="B1640" s="62" t="s">
        <v>515</v>
      </c>
      <c r="C1640" s="63"/>
      <c r="D1640" s="64"/>
      <c r="E1640" s="65"/>
      <c r="F1640" s="66"/>
      <c r="G1640" s="63"/>
      <c r="H1640" s="67"/>
      <c r="I1640" s="68"/>
      <c r="J1640" s="68"/>
      <c r="K1640" s="32"/>
      <c r="L1640" s="75">
        <v>1640</v>
      </c>
      <c r="M1640" s="75"/>
      <c r="N1640" s="70"/>
      <c r="O1640" s="77" t="s">
        <v>179</v>
      </c>
      <c r="P1640" s="79">
        <v>45147.785682870373</v>
      </c>
      <c r="Q1640" s="77" t="s">
        <v>2426</v>
      </c>
      <c r="R1640" s="77">
        <v>0</v>
      </c>
      <c r="S1640" s="77">
        <v>2</v>
      </c>
      <c r="T1640" s="77">
        <v>0</v>
      </c>
      <c r="U1640" s="77">
        <v>0</v>
      </c>
      <c r="V1640" s="77">
        <v>171</v>
      </c>
      <c r="W1640" s="82" t="s">
        <v>5830</v>
      </c>
      <c r="X1640" s="80" t="str">
        <f>HYPERLINK("https://www.youtube.com/watch?v=xX4OiWVuhx4")</f>
        <v>https://www.youtube.com/watch?v=xX4OiWVuhx4</v>
      </c>
      <c r="Y1640" s="77" t="s">
        <v>7065</v>
      </c>
      <c r="Z1640" s="77"/>
      <c r="AA1640" s="77" t="s">
        <v>7853</v>
      </c>
      <c r="AB1640" s="77" t="s">
        <v>8225</v>
      </c>
      <c r="AC1640" s="82" t="s">
        <v>8232</v>
      </c>
      <c r="AD1640" s="77" t="s">
        <v>8278</v>
      </c>
      <c r="AE1640" s="80" t="str">
        <f>HYPERLINK("https://twitter.com/kaio_csilva/status/1689348668925648896")</f>
        <v>https://twitter.com/kaio_csilva/status/1689348668925648896</v>
      </c>
      <c r="AF1640" s="79">
        <v>45147.785682870373</v>
      </c>
      <c r="AG1640" s="85">
        <v>45147</v>
      </c>
      <c r="AH1640" s="82" t="s">
        <v>9768</v>
      </c>
      <c r="AI1640" s="77" t="b">
        <v>0</v>
      </c>
      <c r="AJ1640" s="77"/>
      <c r="AK1640" s="77"/>
      <c r="AL1640" s="77"/>
      <c r="AM1640" s="77"/>
      <c r="AN1640" s="77"/>
      <c r="AO1640" s="77"/>
      <c r="AP1640" s="77"/>
      <c r="AQ1640" s="77" t="s">
        <v>12738</v>
      </c>
      <c r="AR1640" s="77"/>
      <c r="AS1640" s="77"/>
      <c r="AT1640" s="77"/>
      <c r="AU1640" s="77"/>
      <c r="AV1640" s="80" t="str">
        <f>HYPERLINK("https://pbs.twimg.com/media/F3HFotIXwAAgW5Q.jpg")</f>
        <v>https://pbs.twimg.com/media/F3HFotIXwAAgW5Q.jpg</v>
      </c>
      <c r="AW1640" s="82" t="s">
        <v>14731</v>
      </c>
      <c r="AX1640" s="82" t="s">
        <v>14731</v>
      </c>
      <c r="AY1640" s="77"/>
      <c r="AZ1640" s="82" t="s">
        <v>17385</v>
      </c>
      <c r="BA1640" s="82" t="s">
        <v>17385</v>
      </c>
      <c r="BB1640" s="82" t="s">
        <v>17385</v>
      </c>
      <c r="BC1640" s="82" t="s">
        <v>14731</v>
      </c>
      <c r="BD1640" s="82" t="s">
        <v>17594</v>
      </c>
      <c r="BE1640" s="77"/>
      <c r="BF1640" s="77"/>
      <c r="BG1640" s="77"/>
      <c r="BH1640" s="77"/>
      <c r="BI1640" s="77"/>
    </row>
    <row r="1641" spans="1:61" x14ac:dyDescent="0.25">
      <c r="A1641" s="62" t="s">
        <v>516</v>
      </c>
      <c r="B1641" s="62" t="s">
        <v>516</v>
      </c>
      <c r="C1641" s="63"/>
      <c r="D1641" s="64"/>
      <c r="E1641" s="65"/>
      <c r="F1641" s="66"/>
      <c r="G1641" s="63"/>
      <c r="H1641" s="67"/>
      <c r="I1641" s="68"/>
      <c r="J1641" s="68"/>
      <c r="K1641" s="32"/>
      <c r="L1641" s="75">
        <v>1641</v>
      </c>
      <c r="M1641" s="75"/>
      <c r="N1641" s="70"/>
      <c r="O1641" s="77" t="s">
        <v>800</v>
      </c>
      <c r="P1641" s="79">
        <v>45048.808622685188</v>
      </c>
      <c r="Q1641" s="77" t="s">
        <v>2427</v>
      </c>
      <c r="R1641" s="77">
        <v>0</v>
      </c>
      <c r="S1641" s="77">
        <v>4</v>
      </c>
      <c r="T1641" s="77">
        <v>0</v>
      </c>
      <c r="U1641" s="77">
        <v>0</v>
      </c>
      <c r="V1641" s="77">
        <v>1711</v>
      </c>
      <c r="W1641" s="82" t="s">
        <v>5831</v>
      </c>
      <c r="X1641" s="77"/>
      <c r="Y1641" s="77"/>
      <c r="Z1641" s="77"/>
      <c r="AA1641" s="77"/>
      <c r="AB1641" s="77"/>
      <c r="AC1641" s="82" t="s">
        <v>8232</v>
      </c>
      <c r="AD1641" s="77" t="s">
        <v>8278</v>
      </c>
      <c r="AE1641" s="80" t="str">
        <f>HYPERLINK("https://twitter.com/cptm_oficial/status/1653480581462671367")</f>
        <v>https://twitter.com/cptm_oficial/status/1653480581462671367</v>
      </c>
      <c r="AF1641" s="79">
        <v>45048.808622685188</v>
      </c>
      <c r="AG1641" s="85">
        <v>45048</v>
      </c>
      <c r="AH1641" s="82" t="s">
        <v>9769</v>
      </c>
      <c r="AI1641" s="77"/>
      <c r="AJ1641" s="77"/>
      <c r="AK1641" s="77"/>
      <c r="AL1641" s="77"/>
      <c r="AM1641" s="77"/>
      <c r="AN1641" s="77"/>
      <c r="AO1641" s="77"/>
      <c r="AP1641" s="77"/>
      <c r="AQ1641" s="77"/>
      <c r="AR1641" s="77"/>
      <c r="AS1641" s="77"/>
      <c r="AT1641" s="77"/>
      <c r="AU1641" s="77"/>
      <c r="AV1641" s="80" t="str">
        <f>HYPERLINK("https://pbs.twimg.com/profile_images/1631720949522341891/Wv7JBC7c_normal.jpg")</f>
        <v>https://pbs.twimg.com/profile_images/1631720949522341891/Wv7JBC7c_normal.jpg</v>
      </c>
      <c r="AW1641" s="82" t="s">
        <v>14732</v>
      </c>
      <c r="AX1641" s="82" t="s">
        <v>17184</v>
      </c>
      <c r="AY1641" s="82" t="s">
        <v>17357</v>
      </c>
      <c r="AZ1641" s="82" t="s">
        <v>17412</v>
      </c>
      <c r="BA1641" s="82" t="s">
        <v>17385</v>
      </c>
      <c r="BB1641" s="82" t="s">
        <v>17385</v>
      </c>
      <c r="BC1641" s="82" t="s">
        <v>17412</v>
      </c>
      <c r="BD1641" s="77">
        <v>75281850</v>
      </c>
      <c r="BE1641" s="77"/>
      <c r="BF1641" s="77"/>
      <c r="BG1641" s="77"/>
      <c r="BH1641" s="77"/>
      <c r="BI1641" s="77"/>
    </row>
    <row r="1642" spans="1:61" x14ac:dyDescent="0.25">
      <c r="A1642" s="62" t="s">
        <v>516</v>
      </c>
      <c r="B1642" s="62" t="s">
        <v>516</v>
      </c>
      <c r="C1642" s="63"/>
      <c r="D1642" s="64"/>
      <c r="E1642" s="65"/>
      <c r="F1642" s="66"/>
      <c r="G1642" s="63"/>
      <c r="H1642" s="67"/>
      <c r="I1642" s="68"/>
      <c r="J1642" s="68"/>
      <c r="K1642" s="32"/>
      <c r="L1642" s="75">
        <v>1642</v>
      </c>
      <c r="M1642" s="75"/>
      <c r="N1642" s="70"/>
      <c r="O1642" s="77" t="s">
        <v>800</v>
      </c>
      <c r="P1642" s="79">
        <v>45108.802222222221</v>
      </c>
      <c r="Q1642" s="77" t="s">
        <v>2428</v>
      </c>
      <c r="R1642" s="77">
        <v>0</v>
      </c>
      <c r="S1642" s="77">
        <v>2</v>
      </c>
      <c r="T1642" s="77">
        <v>0</v>
      </c>
      <c r="U1642" s="77">
        <v>0</v>
      </c>
      <c r="V1642" s="77">
        <v>1790</v>
      </c>
      <c r="W1642" s="82" t="s">
        <v>5832</v>
      </c>
      <c r="X1642" s="77"/>
      <c r="Y1642" s="77"/>
      <c r="Z1642" s="77"/>
      <c r="AA1642" s="77"/>
      <c r="AB1642" s="77"/>
      <c r="AC1642" s="82" t="s">
        <v>8232</v>
      </c>
      <c r="AD1642" s="77" t="s">
        <v>8282</v>
      </c>
      <c r="AE1642" s="80" t="str">
        <f>HYPERLINK("https://twitter.com/cptm_oficial/status/1675221532195401728")</f>
        <v>https://twitter.com/cptm_oficial/status/1675221532195401728</v>
      </c>
      <c r="AF1642" s="79">
        <v>45108.802222222221</v>
      </c>
      <c r="AG1642" s="85">
        <v>45108</v>
      </c>
      <c r="AH1642" s="82" t="s">
        <v>9770</v>
      </c>
      <c r="AI1642" s="77"/>
      <c r="AJ1642" s="77"/>
      <c r="AK1642" s="77"/>
      <c r="AL1642" s="77"/>
      <c r="AM1642" s="77"/>
      <c r="AN1642" s="77"/>
      <c r="AO1642" s="77"/>
      <c r="AP1642" s="77"/>
      <c r="AQ1642" s="77"/>
      <c r="AR1642" s="77"/>
      <c r="AS1642" s="77"/>
      <c r="AT1642" s="77"/>
      <c r="AU1642" s="77"/>
      <c r="AV1642" s="80" t="str">
        <f>HYPERLINK("https://pbs.twimg.com/profile_images/1631720949522341891/Wv7JBC7c_normal.jpg")</f>
        <v>https://pbs.twimg.com/profile_images/1631720949522341891/Wv7JBC7c_normal.jpg</v>
      </c>
      <c r="AW1642" s="82" t="s">
        <v>14733</v>
      </c>
      <c r="AX1642" s="82" t="s">
        <v>17185</v>
      </c>
      <c r="AY1642" s="82" t="s">
        <v>17357</v>
      </c>
      <c r="AZ1642" s="82" t="s">
        <v>17413</v>
      </c>
      <c r="BA1642" s="82" t="s">
        <v>17385</v>
      </c>
      <c r="BB1642" s="82" t="s">
        <v>17385</v>
      </c>
      <c r="BC1642" s="82" t="s">
        <v>17413</v>
      </c>
      <c r="BD1642" s="77">
        <v>75281850</v>
      </c>
      <c r="BE1642" s="77"/>
      <c r="BF1642" s="77"/>
      <c r="BG1642" s="77"/>
      <c r="BH1642" s="77"/>
      <c r="BI1642" s="77"/>
    </row>
    <row r="1643" spans="1:61" x14ac:dyDescent="0.25">
      <c r="A1643" s="62" t="s">
        <v>517</v>
      </c>
      <c r="B1643" s="62" t="s">
        <v>517</v>
      </c>
      <c r="C1643" s="63"/>
      <c r="D1643" s="64"/>
      <c r="E1643" s="65"/>
      <c r="F1643" s="66"/>
      <c r="G1643" s="63"/>
      <c r="H1643" s="67"/>
      <c r="I1643" s="68"/>
      <c r="J1643" s="68"/>
      <c r="K1643" s="32"/>
      <c r="L1643" s="75">
        <v>1643</v>
      </c>
      <c r="M1643" s="75"/>
      <c r="N1643" s="70"/>
      <c r="O1643" s="77" t="s">
        <v>179</v>
      </c>
      <c r="P1643" s="79">
        <v>45170.576770833337</v>
      </c>
      <c r="Q1643" s="77" t="s">
        <v>2429</v>
      </c>
      <c r="R1643" s="77">
        <v>0</v>
      </c>
      <c r="S1643" s="77">
        <v>0</v>
      </c>
      <c r="T1643" s="77">
        <v>0</v>
      </c>
      <c r="U1643" s="77">
        <v>0</v>
      </c>
      <c r="V1643" s="77">
        <v>58</v>
      </c>
      <c r="W1643" s="82" t="s">
        <v>5833</v>
      </c>
      <c r="X1643" s="77"/>
      <c r="Y1643" s="77"/>
      <c r="Z1643" s="77"/>
      <c r="AA1643" s="77" t="s">
        <v>7854</v>
      </c>
      <c r="AB1643" s="77" t="s">
        <v>8225</v>
      </c>
      <c r="AC1643" s="82" t="s">
        <v>8233</v>
      </c>
      <c r="AD1643" s="77" t="s">
        <v>8278</v>
      </c>
      <c r="AE1643" s="80" t="str">
        <f>HYPERLINK("https://twitter.com/juliocsborba27/status/1697607881636417933")</f>
        <v>https://twitter.com/juliocsborba27/status/1697607881636417933</v>
      </c>
      <c r="AF1643" s="79">
        <v>45170.576770833337</v>
      </c>
      <c r="AG1643" s="85">
        <v>45170</v>
      </c>
      <c r="AH1643" s="82" t="s">
        <v>9771</v>
      </c>
      <c r="AI1643" s="77" t="b">
        <v>0</v>
      </c>
      <c r="AJ1643" s="77"/>
      <c r="AK1643" s="77"/>
      <c r="AL1643" s="77"/>
      <c r="AM1643" s="77"/>
      <c r="AN1643" s="77"/>
      <c r="AO1643" s="77"/>
      <c r="AP1643" s="77"/>
      <c r="AQ1643" s="77" t="s">
        <v>12739</v>
      </c>
      <c r="AR1643" s="77"/>
      <c r="AS1643" s="77"/>
      <c r="AT1643" s="77"/>
      <c r="AU1643" s="77"/>
      <c r="AV1643" s="80" t="str">
        <f>HYPERLINK("https://pbs.twimg.com/media/F48dXovWwAAIQ4v.jpg")</f>
        <v>https://pbs.twimg.com/media/F48dXovWwAAIQ4v.jpg</v>
      </c>
      <c r="AW1643" s="82" t="s">
        <v>14734</v>
      </c>
      <c r="AX1643" s="82" t="s">
        <v>14734</v>
      </c>
      <c r="AY1643" s="77"/>
      <c r="AZ1643" s="82" t="s">
        <v>17385</v>
      </c>
      <c r="BA1643" s="82" t="s">
        <v>17385</v>
      </c>
      <c r="BB1643" s="82" t="s">
        <v>17385</v>
      </c>
      <c r="BC1643" s="82" t="s">
        <v>14734</v>
      </c>
      <c r="BD1643" s="82" t="s">
        <v>17595</v>
      </c>
      <c r="BE1643" s="77"/>
      <c r="BF1643" s="77"/>
      <c r="BG1643" s="77"/>
      <c r="BH1643" s="77"/>
      <c r="BI1643" s="77"/>
    </row>
    <row r="1644" spans="1:61" x14ac:dyDescent="0.25">
      <c r="A1644" s="62" t="s">
        <v>518</v>
      </c>
      <c r="B1644" s="62" t="s">
        <v>779</v>
      </c>
      <c r="C1644" s="63"/>
      <c r="D1644" s="64"/>
      <c r="E1644" s="65"/>
      <c r="F1644" s="66"/>
      <c r="G1644" s="63"/>
      <c r="H1644" s="67"/>
      <c r="I1644" s="68"/>
      <c r="J1644" s="68"/>
      <c r="K1644" s="32"/>
      <c r="L1644" s="75">
        <v>1644</v>
      </c>
      <c r="M1644" s="75"/>
      <c r="N1644" s="70"/>
      <c r="O1644" s="77" t="s">
        <v>802</v>
      </c>
      <c r="P1644" s="79">
        <v>45147.258321759262</v>
      </c>
      <c r="Q1644" s="77" t="s">
        <v>2430</v>
      </c>
      <c r="R1644" s="77">
        <v>3</v>
      </c>
      <c r="S1644" s="77">
        <v>22</v>
      </c>
      <c r="T1644" s="77">
        <v>2</v>
      </c>
      <c r="U1644" s="77">
        <v>1</v>
      </c>
      <c r="V1644" s="77">
        <v>2264</v>
      </c>
      <c r="W1644" s="82" t="s">
        <v>5834</v>
      </c>
      <c r="X1644" s="77"/>
      <c r="Y1644" s="77"/>
      <c r="Z1644" s="77" t="s">
        <v>779</v>
      </c>
      <c r="AA1644" s="77" t="s">
        <v>7855</v>
      </c>
      <c r="AB1644" s="77" t="s">
        <v>8225</v>
      </c>
      <c r="AC1644" s="82" t="s">
        <v>8232</v>
      </c>
      <c r="AD1644" s="77" t="s">
        <v>8278</v>
      </c>
      <c r="AE1644" s="80" t="str">
        <f>HYPERLINK("https://twitter.com/arthurvallephd/status/1689157558425292800")</f>
        <v>https://twitter.com/arthurvallephd/status/1689157558425292800</v>
      </c>
      <c r="AF1644" s="79">
        <v>45147.258321759262</v>
      </c>
      <c r="AG1644" s="85">
        <v>45147</v>
      </c>
      <c r="AH1644" s="82" t="s">
        <v>9772</v>
      </c>
      <c r="AI1644" s="77" t="b">
        <v>0</v>
      </c>
      <c r="AJ1644" s="77"/>
      <c r="AK1644" s="77"/>
      <c r="AL1644" s="77"/>
      <c r="AM1644" s="77"/>
      <c r="AN1644" s="77"/>
      <c r="AO1644" s="77"/>
      <c r="AP1644" s="77"/>
      <c r="AQ1644" s="77" t="s">
        <v>12740</v>
      </c>
      <c r="AR1644" s="77"/>
      <c r="AS1644" s="77"/>
      <c r="AT1644" s="77"/>
      <c r="AU1644" s="77"/>
      <c r="AV1644" s="80" t="str">
        <f>HYPERLINK("https://pbs.twimg.com/media/F3EVrLjaQAEEnxa.jpg")</f>
        <v>https://pbs.twimg.com/media/F3EVrLjaQAEEnxa.jpg</v>
      </c>
      <c r="AW1644" s="82" t="s">
        <v>14735</v>
      </c>
      <c r="AX1644" s="82" t="s">
        <v>14735</v>
      </c>
      <c r="AY1644" s="77"/>
      <c r="AZ1644" s="82" t="s">
        <v>17385</v>
      </c>
      <c r="BA1644" s="82" t="s">
        <v>17385</v>
      </c>
      <c r="BB1644" s="82" t="s">
        <v>17385</v>
      </c>
      <c r="BC1644" s="82" t="s">
        <v>14735</v>
      </c>
      <c r="BD1644" s="82" t="s">
        <v>17596</v>
      </c>
      <c r="BE1644" s="77"/>
      <c r="BF1644" s="77"/>
      <c r="BG1644" s="77"/>
      <c r="BH1644" s="77"/>
      <c r="BI1644" s="77"/>
    </row>
    <row r="1645" spans="1:61" x14ac:dyDescent="0.25">
      <c r="A1645" s="62" t="s">
        <v>518</v>
      </c>
      <c r="B1645" s="62" t="s">
        <v>780</v>
      </c>
      <c r="C1645" s="63"/>
      <c r="D1645" s="64"/>
      <c r="E1645" s="65"/>
      <c r="F1645" s="66"/>
      <c r="G1645" s="63"/>
      <c r="H1645" s="67"/>
      <c r="I1645" s="68"/>
      <c r="J1645" s="68"/>
      <c r="K1645" s="32"/>
      <c r="L1645" s="75">
        <v>1645</v>
      </c>
      <c r="M1645" s="75"/>
      <c r="N1645" s="70"/>
      <c r="O1645" s="77" t="s">
        <v>800</v>
      </c>
      <c r="P1645" s="79">
        <v>45158.790439814817</v>
      </c>
      <c r="Q1645" s="77" t="s">
        <v>2431</v>
      </c>
      <c r="R1645" s="77">
        <v>0</v>
      </c>
      <c r="S1645" s="77">
        <v>0</v>
      </c>
      <c r="T1645" s="77">
        <v>0</v>
      </c>
      <c r="U1645" s="77">
        <v>0</v>
      </c>
      <c r="V1645" s="77">
        <v>53</v>
      </c>
      <c r="W1645" s="82" t="s">
        <v>5835</v>
      </c>
      <c r="X1645" s="80" t="str">
        <f>HYPERLINK("https://www.spglobal.com/spdji/en/research-insights/spiva/#brazil")</f>
        <v>https://www.spglobal.com/spdji/en/research-insights/spiva/#brazil</v>
      </c>
      <c r="Y1645" s="77" t="s">
        <v>7121</v>
      </c>
      <c r="Z1645" s="77" t="s">
        <v>780</v>
      </c>
      <c r="AA1645" s="77"/>
      <c r="AB1645" s="77"/>
      <c r="AC1645" s="82" t="s">
        <v>8232</v>
      </c>
      <c r="AD1645" s="77" t="s">
        <v>8278</v>
      </c>
      <c r="AE1645" s="80" t="str">
        <f>HYPERLINK("https://twitter.com/arthurvallephd/status/1693336656382927055")</f>
        <v>https://twitter.com/arthurvallephd/status/1693336656382927055</v>
      </c>
      <c r="AF1645" s="79">
        <v>45158.790439814817</v>
      </c>
      <c r="AG1645" s="85">
        <v>45158</v>
      </c>
      <c r="AH1645" s="82" t="s">
        <v>9773</v>
      </c>
      <c r="AI1645" s="77" t="b">
        <v>0</v>
      </c>
      <c r="AJ1645" s="77"/>
      <c r="AK1645" s="77"/>
      <c r="AL1645" s="77"/>
      <c r="AM1645" s="77"/>
      <c r="AN1645" s="77"/>
      <c r="AO1645" s="77"/>
      <c r="AP1645" s="77"/>
      <c r="AQ1645" s="77"/>
      <c r="AR1645" s="77"/>
      <c r="AS1645" s="77"/>
      <c r="AT1645" s="77"/>
      <c r="AU1645" s="77"/>
      <c r="AV1645" s="80" t="str">
        <f>HYPERLINK("https://pbs.twimg.com/profile_images/1615501037283975171/ycPlUEDC_normal.jpg")</f>
        <v>https://pbs.twimg.com/profile_images/1615501037283975171/ycPlUEDC_normal.jpg</v>
      </c>
      <c r="AW1645" s="82" t="s">
        <v>14736</v>
      </c>
      <c r="AX1645" s="82" t="s">
        <v>17186</v>
      </c>
      <c r="AY1645" s="82" t="s">
        <v>17358</v>
      </c>
      <c r="AZ1645" s="82" t="s">
        <v>17186</v>
      </c>
      <c r="BA1645" s="82" t="s">
        <v>17385</v>
      </c>
      <c r="BB1645" s="82" t="s">
        <v>17385</v>
      </c>
      <c r="BC1645" s="82" t="s">
        <v>17186</v>
      </c>
      <c r="BD1645" s="82" t="s">
        <v>17596</v>
      </c>
      <c r="BE1645" s="77"/>
      <c r="BF1645" s="77"/>
      <c r="BG1645" s="77"/>
      <c r="BH1645" s="77"/>
      <c r="BI1645" s="77"/>
    </row>
    <row r="1646" spans="1:61" x14ac:dyDescent="0.25">
      <c r="A1646" s="62" t="s">
        <v>519</v>
      </c>
      <c r="B1646" s="62" t="s">
        <v>519</v>
      </c>
      <c r="C1646" s="63"/>
      <c r="D1646" s="64"/>
      <c r="E1646" s="65"/>
      <c r="F1646" s="66"/>
      <c r="G1646" s="63"/>
      <c r="H1646" s="67"/>
      <c r="I1646" s="68"/>
      <c r="J1646" s="68"/>
      <c r="K1646" s="32"/>
      <c r="L1646" s="75">
        <v>1646</v>
      </c>
      <c r="M1646" s="75"/>
      <c r="N1646" s="70"/>
      <c r="O1646" s="77" t="s">
        <v>800</v>
      </c>
      <c r="P1646" s="79">
        <v>45056.012812499997</v>
      </c>
      <c r="Q1646" s="77" t="s">
        <v>2432</v>
      </c>
      <c r="R1646" s="77">
        <v>1</v>
      </c>
      <c r="S1646" s="77">
        <v>4</v>
      </c>
      <c r="T1646" s="77">
        <v>0</v>
      </c>
      <c r="U1646" s="77">
        <v>0</v>
      </c>
      <c r="V1646" s="77">
        <v>3375</v>
      </c>
      <c r="W1646" s="82" t="s">
        <v>5836</v>
      </c>
      <c r="X1646" s="77"/>
      <c r="Y1646" s="77"/>
      <c r="Z1646" s="77"/>
      <c r="AA1646" s="77"/>
      <c r="AB1646" s="77"/>
      <c r="AC1646" s="82" t="s">
        <v>8232</v>
      </c>
      <c r="AD1646" s="77" t="s">
        <v>8278</v>
      </c>
      <c r="AE1646" s="80" t="str">
        <f>HYPERLINK("https://twitter.com/b3_oficial/status/1656091294077206529")</f>
        <v>https://twitter.com/b3_oficial/status/1656091294077206529</v>
      </c>
      <c r="AF1646" s="79">
        <v>45056.012812499997</v>
      </c>
      <c r="AG1646" s="85">
        <v>45056</v>
      </c>
      <c r="AH1646" s="82" t="s">
        <v>9774</v>
      </c>
      <c r="AI1646" s="77"/>
      <c r="AJ1646" s="77"/>
      <c r="AK1646" s="77"/>
      <c r="AL1646" s="77"/>
      <c r="AM1646" s="77"/>
      <c r="AN1646" s="77"/>
      <c r="AO1646" s="77"/>
      <c r="AP1646" s="77"/>
      <c r="AQ1646" s="77"/>
      <c r="AR1646" s="77"/>
      <c r="AS1646" s="77"/>
      <c r="AT1646" s="77"/>
      <c r="AU1646" s="77"/>
      <c r="AV1646" s="80" t="str">
        <f>HYPERLINK("https://pbs.twimg.com/profile_images/1505968327499436049/Ivkcir3F_normal.jpg")</f>
        <v>https://pbs.twimg.com/profile_images/1505968327499436049/Ivkcir3F_normal.jpg</v>
      </c>
      <c r="AW1646" s="82" t="s">
        <v>14737</v>
      </c>
      <c r="AX1646" s="82" t="s">
        <v>17187</v>
      </c>
      <c r="AY1646" s="82" t="s">
        <v>17359</v>
      </c>
      <c r="AZ1646" s="82" t="s">
        <v>17187</v>
      </c>
      <c r="BA1646" s="82" t="s">
        <v>17385</v>
      </c>
      <c r="BB1646" s="82" t="s">
        <v>17385</v>
      </c>
      <c r="BC1646" s="82" t="s">
        <v>17187</v>
      </c>
      <c r="BD1646" s="77">
        <v>74550038</v>
      </c>
      <c r="BE1646" s="77"/>
      <c r="BF1646" s="77"/>
      <c r="BG1646" s="77"/>
      <c r="BH1646" s="77"/>
      <c r="BI1646" s="77"/>
    </row>
    <row r="1647" spans="1:61" x14ac:dyDescent="0.25">
      <c r="A1647" s="62" t="s">
        <v>518</v>
      </c>
      <c r="B1647" s="62" t="s">
        <v>519</v>
      </c>
      <c r="C1647" s="63"/>
      <c r="D1647" s="64"/>
      <c r="E1647" s="65"/>
      <c r="F1647" s="66"/>
      <c r="G1647" s="63"/>
      <c r="H1647" s="67"/>
      <c r="I1647" s="68"/>
      <c r="J1647" s="68"/>
      <c r="K1647" s="32"/>
      <c r="L1647" s="75">
        <v>1647</v>
      </c>
      <c r="M1647" s="75"/>
      <c r="N1647" s="70"/>
      <c r="O1647" s="77" t="s">
        <v>802</v>
      </c>
      <c r="P1647" s="79">
        <v>45160.173483796294</v>
      </c>
      <c r="Q1647" s="77" t="s">
        <v>2433</v>
      </c>
      <c r="R1647" s="77">
        <v>0</v>
      </c>
      <c r="S1647" s="77">
        <v>0</v>
      </c>
      <c r="T1647" s="77">
        <v>1</v>
      </c>
      <c r="U1647" s="77">
        <v>0</v>
      </c>
      <c r="V1647" s="77">
        <v>178</v>
      </c>
      <c r="W1647" s="82" t="s">
        <v>5837</v>
      </c>
      <c r="X1647" s="80" t="str">
        <f>HYPERLINK("https://open.spotify.com/episode/0HYn1SWVx2E2QWQk9r4B91?si=lUTvavaxRiOH4QFncDybqQ")</f>
        <v>https://open.spotify.com/episode/0HYn1SWVx2E2QWQk9r4B91?si=lUTvavaxRiOH4QFncDybqQ</v>
      </c>
      <c r="Y1647" s="77" t="s">
        <v>7077</v>
      </c>
      <c r="Z1647" s="77" t="s">
        <v>519</v>
      </c>
      <c r="AA1647" s="77"/>
      <c r="AB1647" s="77"/>
      <c r="AC1647" s="82" t="s">
        <v>8232</v>
      </c>
      <c r="AD1647" s="77" t="s">
        <v>8278</v>
      </c>
      <c r="AE1647" s="80" t="str">
        <f>HYPERLINK("https://twitter.com/arthurvallephd/status/1693837854995357936")</f>
        <v>https://twitter.com/arthurvallephd/status/1693837854995357936</v>
      </c>
      <c r="AF1647" s="79">
        <v>45160.173483796294</v>
      </c>
      <c r="AG1647" s="85">
        <v>45160</v>
      </c>
      <c r="AH1647" s="82" t="s">
        <v>9775</v>
      </c>
      <c r="AI1647" s="77" t="b">
        <v>0</v>
      </c>
      <c r="AJ1647" s="77"/>
      <c r="AK1647" s="77"/>
      <c r="AL1647" s="77"/>
      <c r="AM1647" s="77"/>
      <c r="AN1647" s="77"/>
      <c r="AO1647" s="77"/>
      <c r="AP1647" s="77"/>
      <c r="AQ1647" s="77"/>
      <c r="AR1647" s="77"/>
      <c r="AS1647" s="77"/>
      <c r="AT1647" s="77"/>
      <c r="AU1647" s="77"/>
      <c r="AV1647" s="80" t="str">
        <f>HYPERLINK("https://pbs.twimg.com/profile_images/1615501037283975171/ycPlUEDC_normal.jpg")</f>
        <v>https://pbs.twimg.com/profile_images/1615501037283975171/ycPlUEDC_normal.jpg</v>
      </c>
      <c r="AW1647" s="82" t="s">
        <v>14738</v>
      </c>
      <c r="AX1647" s="82" t="s">
        <v>14738</v>
      </c>
      <c r="AY1647" s="77"/>
      <c r="AZ1647" s="82" t="s">
        <v>17385</v>
      </c>
      <c r="BA1647" s="82" t="s">
        <v>17385</v>
      </c>
      <c r="BB1647" s="82" t="s">
        <v>17385</v>
      </c>
      <c r="BC1647" s="82" t="s">
        <v>14738</v>
      </c>
      <c r="BD1647" s="82" t="s">
        <v>17596</v>
      </c>
      <c r="BE1647" s="77"/>
      <c r="BF1647" s="77"/>
      <c r="BG1647" s="77"/>
      <c r="BH1647" s="77"/>
      <c r="BI1647" s="77"/>
    </row>
    <row r="1648" spans="1:61" x14ac:dyDescent="0.25">
      <c r="A1648" s="62" t="s">
        <v>518</v>
      </c>
      <c r="B1648" s="62" t="s">
        <v>781</v>
      </c>
      <c r="C1648" s="63"/>
      <c r="D1648" s="64"/>
      <c r="E1648" s="65"/>
      <c r="F1648" s="66"/>
      <c r="G1648" s="63"/>
      <c r="H1648" s="67"/>
      <c r="I1648" s="68"/>
      <c r="J1648" s="68"/>
      <c r="K1648" s="32"/>
      <c r="L1648" s="75">
        <v>1648</v>
      </c>
      <c r="M1648" s="75"/>
      <c r="N1648" s="70"/>
      <c r="O1648" s="77" t="s">
        <v>802</v>
      </c>
      <c r="P1648" s="79">
        <v>45191.981909722221</v>
      </c>
      <c r="Q1648" s="77" t="s">
        <v>2434</v>
      </c>
      <c r="R1648" s="77">
        <v>0</v>
      </c>
      <c r="S1648" s="77">
        <v>0</v>
      </c>
      <c r="T1648" s="77">
        <v>0</v>
      </c>
      <c r="U1648" s="77">
        <v>0</v>
      </c>
      <c r="V1648" s="77">
        <v>73</v>
      </c>
      <c r="W1648" s="82" t="s">
        <v>5838</v>
      </c>
      <c r="X1648" s="77"/>
      <c r="Y1648" s="77"/>
      <c r="Z1648" s="77" t="s">
        <v>781</v>
      </c>
      <c r="AA1648" s="77" t="s">
        <v>7856</v>
      </c>
      <c r="AB1648" s="77" t="s">
        <v>8225</v>
      </c>
      <c r="AC1648" s="82" t="s">
        <v>8232</v>
      </c>
      <c r="AD1648" s="77" t="s">
        <v>8278</v>
      </c>
      <c r="AE1648" s="80" t="str">
        <f>HYPERLINK("https://twitter.com/arthurvallephd/status/1705364844101439950")</f>
        <v>https://twitter.com/arthurvallephd/status/1705364844101439950</v>
      </c>
      <c r="AF1648" s="79">
        <v>45191.981909722221</v>
      </c>
      <c r="AG1648" s="85">
        <v>45191</v>
      </c>
      <c r="AH1648" s="82" t="s">
        <v>9776</v>
      </c>
      <c r="AI1648" s="77" t="b">
        <v>0</v>
      </c>
      <c r="AJ1648" s="77"/>
      <c r="AK1648" s="77"/>
      <c r="AL1648" s="77"/>
      <c r="AM1648" s="77"/>
      <c r="AN1648" s="77"/>
      <c r="AO1648" s="77"/>
      <c r="AP1648" s="77"/>
      <c r="AQ1648" s="77" t="s">
        <v>12741</v>
      </c>
      <c r="AR1648" s="77"/>
      <c r="AS1648" s="77"/>
      <c r="AT1648" s="77"/>
      <c r="AU1648" s="77"/>
      <c r="AV1648" s="80" t="str">
        <f>HYPERLINK("https://pbs.twimg.com/media/F6qqSqSaUAAeqeE.jpg")</f>
        <v>https://pbs.twimg.com/media/F6qqSqSaUAAeqeE.jpg</v>
      </c>
      <c r="AW1648" s="82" t="s">
        <v>14739</v>
      </c>
      <c r="AX1648" s="82" t="s">
        <v>14739</v>
      </c>
      <c r="AY1648" s="77"/>
      <c r="AZ1648" s="82" t="s">
        <v>17385</v>
      </c>
      <c r="BA1648" s="82" t="s">
        <v>17385</v>
      </c>
      <c r="BB1648" s="82" t="s">
        <v>17385</v>
      </c>
      <c r="BC1648" s="82" t="s">
        <v>14739</v>
      </c>
      <c r="BD1648" s="82" t="s">
        <v>17596</v>
      </c>
      <c r="BE1648" s="77"/>
      <c r="BF1648" s="77"/>
      <c r="BG1648" s="77"/>
      <c r="BH1648" s="77"/>
      <c r="BI1648" s="77"/>
    </row>
    <row r="1649" spans="1:61" x14ac:dyDescent="0.25">
      <c r="A1649" s="62" t="s">
        <v>518</v>
      </c>
      <c r="B1649" s="62" t="s">
        <v>782</v>
      </c>
      <c r="C1649" s="63"/>
      <c r="D1649" s="64"/>
      <c r="E1649" s="65"/>
      <c r="F1649" s="66"/>
      <c r="G1649" s="63"/>
      <c r="H1649" s="67"/>
      <c r="I1649" s="68"/>
      <c r="J1649" s="68"/>
      <c r="K1649" s="32"/>
      <c r="L1649" s="75">
        <v>1649</v>
      </c>
      <c r="M1649" s="75"/>
      <c r="N1649" s="70"/>
      <c r="O1649" s="77" t="s">
        <v>800</v>
      </c>
      <c r="P1649" s="79">
        <v>45134.257210648146</v>
      </c>
      <c r="Q1649" s="77" t="s">
        <v>2435</v>
      </c>
      <c r="R1649" s="77">
        <v>0</v>
      </c>
      <c r="S1649" s="77">
        <v>0</v>
      </c>
      <c r="T1649" s="77">
        <v>0</v>
      </c>
      <c r="U1649" s="77">
        <v>0</v>
      </c>
      <c r="V1649" s="77">
        <v>80</v>
      </c>
      <c r="W1649" s="82" t="s">
        <v>5839</v>
      </c>
      <c r="X1649" s="80" t="str">
        <f>HYPERLINK("https://www.spglobal.com/spdji/en/research-insights/spiva/#brazil")</f>
        <v>https://www.spglobal.com/spdji/en/research-insights/spiva/#brazil</v>
      </c>
      <c r="Y1649" s="77" t="s">
        <v>7121</v>
      </c>
      <c r="Z1649" s="77" t="s">
        <v>782</v>
      </c>
      <c r="AA1649" s="77"/>
      <c r="AB1649" s="77"/>
      <c r="AC1649" s="82" t="s">
        <v>8232</v>
      </c>
      <c r="AD1649" s="77" t="s">
        <v>8278</v>
      </c>
      <c r="AE1649" s="80" t="str">
        <f>HYPERLINK("https://twitter.com/arthurvallephd/status/1684446111560499201")</f>
        <v>https://twitter.com/arthurvallephd/status/1684446111560499201</v>
      </c>
      <c r="AF1649" s="79">
        <v>45134.257210648146</v>
      </c>
      <c r="AG1649" s="85">
        <v>45134</v>
      </c>
      <c r="AH1649" s="82" t="s">
        <v>9777</v>
      </c>
      <c r="AI1649" s="77" t="b">
        <v>0</v>
      </c>
      <c r="AJ1649" s="77"/>
      <c r="AK1649" s="77"/>
      <c r="AL1649" s="77"/>
      <c r="AM1649" s="77"/>
      <c r="AN1649" s="77"/>
      <c r="AO1649" s="77"/>
      <c r="AP1649" s="77"/>
      <c r="AQ1649" s="77"/>
      <c r="AR1649" s="77"/>
      <c r="AS1649" s="77"/>
      <c r="AT1649" s="77"/>
      <c r="AU1649" s="77"/>
      <c r="AV1649" s="80" t="str">
        <f>HYPERLINK("https://pbs.twimg.com/profile_images/1615501037283975171/ycPlUEDC_normal.jpg")</f>
        <v>https://pbs.twimg.com/profile_images/1615501037283975171/ycPlUEDC_normal.jpg</v>
      </c>
      <c r="AW1649" s="82" t="s">
        <v>14740</v>
      </c>
      <c r="AX1649" s="82" t="s">
        <v>17188</v>
      </c>
      <c r="AY1649" s="82" t="s">
        <v>17360</v>
      </c>
      <c r="AZ1649" s="82" t="s">
        <v>17188</v>
      </c>
      <c r="BA1649" s="82" t="s">
        <v>17385</v>
      </c>
      <c r="BB1649" s="82" t="s">
        <v>17385</v>
      </c>
      <c r="BC1649" s="82" t="s">
        <v>17188</v>
      </c>
      <c r="BD1649" s="82" t="s">
        <v>17596</v>
      </c>
      <c r="BE1649" s="77"/>
      <c r="BF1649" s="77"/>
      <c r="BG1649" s="77"/>
      <c r="BH1649" s="77"/>
      <c r="BI1649" s="77"/>
    </row>
    <row r="1650" spans="1:61" x14ac:dyDescent="0.25">
      <c r="A1650" s="62" t="s">
        <v>518</v>
      </c>
      <c r="B1650" s="62" t="s">
        <v>518</v>
      </c>
      <c r="C1650" s="63"/>
      <c r="D1650" s="64"/>
      <c r="E1650" s="65"/>
      <c r="F1650" s="66"/>
      <c r="G1650" s="63"/>
      <c r="H1650" s="67"/>
      <c r="I1650" s="68"/>
      <c r="J1650" s="68"/>
      <c r="K1650" s="32"/>
      <c r="L1650" s="75">
        <v>1650</v>
      </c>
      <c r="M1650" s="75"/>
      <c r="N1650" s="70"/>
      <c r="O1650" s="77" t="s">
        <v>179</v>
      </c>
      <c r="P1650" s="79">
        <v>45137.100081018521</v>
      </c>
      <c r="Q1650" s="77" t="s">
        <v>2436</v>
      </c>
      <c r="R1650" s="77">
        <v>0</v>
      </c>
      <c r="S1650" s="77">
        <v>0</v>
      </c>
      <c r="T1650" s="77">
        <v>0</v>
      </c>
      <c r="U1650" s="77">
        <v>0</v>
      </c>
      <c r="V1650" s="77">
        <v>82</v>
      </c>
      <c r="W1650" s="82" t="s">
        <v>5840</v>
      </c>
      <c r="X1650" s="80" t="str">
        <f>HYPERLINK("http://www.trendsetconsulting.com/pt")</f>
        <v>http://www.trendsetconsulting.com/pt</v>
      </c>
      <c r="Y1650" s="77" t="s">
        <v>7122</v>
      </c>
      <c r="Z1650" s="77"/>
      <c r="AA1650" s="77"/>
      <c r="AB1650" s="77"/>
      <c r="AC1650" s="82" t="s">
        <v>8232</v>
      </c>
      <c r="AD1650" s="77" t="s">
        <v>8278</v>
      </c>
      <c r="AE1650" s="80" t="str">
        <f>HYPERLINK("https://twitter.com/arthurvallephd/status/1685476335593132032")</f>
        <v>https://twitter.com/arthurvallephd/status/1685476335593132032</v>
      </c>
      <c r="AF1650" s="79">
        <v>45137.100081018521</v>
      </c>
      <c r="AG1650" s="85">
        <v>45137</v>
      </c>
      <c r="AH1650" s="82" t="s">
        <v>9778</v>
      </c>
      <c r="AI1650" s="77" t="b">
        <v>0</v>
      </c>
      <c r="AJ1650" s="77"/>
      <c r="AK1650" s="77"/>
      <c r="AL1650" s="77"/>
      <c r="AM1650" s="77"/>
      <c r="AN1650" s="77"/>
      <c r="AO1650" s="77"/>
      <c r="AP1650" s="77"/>
      <c r="AQ1650" s="77"/>
      <c r="AR1650" s="77"/>
      <c r="AS1650" s="77"/>
      <c r="AT1650" s="77"/>
      <c r="AU1650" s="77"/>
      <c r="AV1650" s="80" t="str">
        <f>HYPERLINK("https://pbs.twimg.com/profile_images/1615501037283975171/ycPlUEDC_normal.jpg")</f>
        <v>https://pbs.twimg.com/profile_images/1615501037283975171/ycPlUEDC_normal.jpg</v>
      </c>
      <c r="AW1650" s="82" t="s">
        <v>14741</v>
      </c>
      <c r="AX1650" s="82" t="s">
        <v>14741</v>
      </c>
      <c r="AY1650" s="77"/>
      <c r="AZ1650" s="82" t="s">
        <v>17385</v>
      </c>
      <c r="BA1650" s="82" t="s">
        <v>17385</v>
      </c>
      <c r="BB1650" s="82" t="s">
        <v>17385</v>
      </c>
      <c r="BC1650" s="82" t="s">
        <v>14741</v>
      </c>
      <c r="BD1650" s="82" t="s">
        <v>17596</v>
      </c>
      <c r="BE1650" s="77"/>
      <c r="BF1650" s="77"/>
      <c r="BG1650" s="77"/>
      <c r="BH1650" s="77"/>
      <c r="BI1650" s="77"/>
    </row>
    <row r="1651" spans="1:61" x14ac:dyDescent="0.25">
      <c r="A1651" s="62" t="s">
        <v>518</v>
      </c>
      <c r="B1651" s="62" t="s">
        <v>518</v>
      </c>
      <c r="C1651" s="63"/>
      <c r="D1651" s="64"/>
      <c r="E1651" s="65"/>
      <c r="F1651" s="66"/>
      <c r="G1651" s="63"/>
      <c r="H1651" s="67"/>
      <c r="I1651" s="68"/>
      <c r="J1651" s="68"/>
      <c r="K1651" s="32"/>
      <c r="L1651" s="75">
        <v>1651</v>
      </c>
      <c r="M1651" s="75"/>
      <c r="N1651" s="70"/>
      <c r="O1651" s="77" t="s">
        <v>179</v>
      </c>
      <c r="P1651" s="79">
        <v>45047.855011574073</v>
      </c>
      <c r="Q1651" s="77" t="s">
        <v>2437</v>
      </c>
      <c r="R1651" s="77">
        <v>0</v>
      </c>
      <c r="S1651" s="77">
        <v>0</v>
      </c>
      <c r="T1651" s="77">
        <v>0</v>
      </c>
      <c r="U1651" s="77">
        <v>0</v>
      </c>
      <c r="V1651" s="77">
        <v>176</v>
      </c>
      <c r="W1651" s="82" t="s">
        <v>5841</v>
      </c>
      <c r="X1651" s="77"/>
      <c r="Y1651" s="77"/>
      <c r="Z1651" s="77"/>
      <c r="AA1651" s="77" t="s">
        <v>7857</v>
      </c>
      <c r="AB1651" s="77" t="s">
        <v>8225</v>
      </c>
      <c r="AC1651" s="82" t="s">
        <v>8232</v>
      </c>
      <c r="AD1651" s="77" t="s">
        <v>8278</v>
      </c>
      <c r="AE1651" s="80" t="str">
        <f>HYPERLINK("https://twitter.com/arthurvallephd/status/1653135005454041088")</f>
        <v>https://twitter.com/arthurvallephd/status/1653135005454041088</v>
      </c>
      <c r="AF1651" s="79">
        <v>45047.855011574073</v>
      </c>
      <c r="AG1651" s="85">
        <v>45047</v>
      </c>
      <c r="AH1651" s="82" t="s">
        <v>9779</v>
      </c>
      <c r="AI1651" s="77" t="b">
        <v>0</v>
      </c>
      <c r="AJ1651" s="77"/>
      <c r="AK1651" s="77"/>
      <c r="AL1651" s="77"/>
      <c r="AM1651" s="77"/>
      <c r="AN1651" s="77"/>
      <c r="AO1651" s="77"/>
      <c r="AP1651" s="77"/>
      <c r="AQ1651" s="77" t="s">
        <v>12742</v>
      </c>
      <c r="AR1651" s="77"/>
      <c r="AS1651" s="77"/>
      <c r="AT1651" s="77"/>
      <c r="AU1651" s="77"/>
      <c r="AV1651" s="80" t="str">
        <f>HYPERLINK("https://pbs.twimg.com/media/FvEda-PaYAAn6_r.jpg")</f>
        <v>https://pbs.twimg.com/media/FvEda-PaYAAn6_r.jpg</v>
      </c>
      <c r="AW1651" s="82" t="s">
        <v>14742</v>
      </c>
      <c r="AX1651" s="82" t="s">
        <v>14742</v>
      </c>
      <c r="AY1651" s="77"/>
      <c r="AZ1651" s="82" t="s">
        <v>17385</v>
      </c>
      <c r="BA1651" s="82" t="s">
        <v>17385</v>
      </c>
      <c r="BB1651" s="82" t="s">
        <v>17385</v>
      </c>
      <c r="BC1651" s="82" t="s">
        <v>14742</v>
      </c>
      <c r="BD1651" s="82" t="s">
        <v>17596</v>
      </c>
      <c r="BE1651" s="77"/>
      <c r="BF1651" s="77"/>
      <c r="BG1651" s="77"/>
      <c r="BH1651" s="77"/>
      <c r="BI1651" s="77"/>
    </row>
    <row r="1652" spans="1:61" x14ac:dyDescent="0.25">
      <c r="A1652" s="62" t="s">
        <v>518</v>
      </c>
      <c r="B1652" s="62" t="s">
        <v>518</v>
      </c>
      <c r="C1652" s="63"/>
      <c r="D1652" s="64"/>
      <c r="E1652" s="65"/>
      <c r="F1652" s="66"/>
      <c r="G1652" s="63"/>
      <c r="H1652" s="67"/>
      <c r="I1652" s="68"/>
      <c r="J1652" s="68"/>
      <c r="K1652" s="32"/>
      <c r="L1652" s="75">
        <v>1652</v>
      </c>
      <c r="M1652" s="75"/>
      <c r="N1652" s="70"/>
      <c r="O1652" s="77" t="s">
        <v>179</v>
      </c>
      <c r="P1652" s="79">
        <v>45168.966192129628</v>
      </c>
      <c r="Q1652" s="77" t="s">
        <v>2438</v>
      </c>
      <c r="R1652" s="77">
        <v>0</v>
      </c>
      <c r="S1652" s="77">
        <v>0</v>
      </c>
      <c r="T1652" s="77">
        <v>0</v>
      </c>
      <c r="U1652" s="77">
        <v>0</v>
      </c>
      <c r="V1652" s="77">
        <v>134</v>
      </c>
      <c r="W1652" s="82" t="s">
        <v>5842</v>
      </c>
      <c r="X1652" s="77"/>
      <c r="Y1652" s="77"/>
      <c r="Z1652" s="77"/>
      <c r="AA1652" s="77" t="s">
        <v>7858</v>
      </c>
      <c r="AB1652" s="77" t="s">
        <v>8225</v>
      </c>
      <c r="AC1652" s="82" t="s">
        <v>8232</v>
      </c>
      <c r="AD1652" s="77" t="s">
        <v>8278</v>
      </c>
      <c r="AE1652" s="80" t="str">
        <f>HYPERLINK("https://twitter.com/arthurvallephd/status/1697024228275659096")</f>
        <v>https://twitter.com/arthurvallephd/status/1697024228275659096</v>
      </c>
      <c r="AF1652" s="79">
        <v>45168.966192129628</v>
      </c>
      <c r="AG1652" s="85">
        <v>45168</v>
      </c>
      <c r="AH1652" s="82" t="s">
        <v>9780</v>
      </c>
      <c r="AI1652" s="77" t="b">
        <v>0</v>
      </c>
      <c r="AJ1652" s="77"/>
      <c r="AK1652" s="77"/>
      <c r="AL1652" s="77"/>
      <c r="AM1652" s="77"/>
      <c r="AN1652" s="77"/>
      <c r="AO1652" s="77"/>
      <c r="AP1652" s="77"/>
      <c r="AQ1652" s="77" t="s">
        <v>12743</v>
      </c>
      <c r="AR1652" s="77"/>
      <c r="AS1652" s="77"/>
      <c r="AT1652" s="77"/>
      <c r="AU1652" s="77"/>
      <c r="AV1652" s="80" t="str">
        <f>HYPERLINK("https://pbs.twimg.com/media/F40I8qsa0AQzAA7.jpg")</f>
        <v>https://pbs.twimg.com/media/F40I8qsa0AQzAA7.jpg</v>
      </c>
      <c r="AW1652" s="82" t="s">
        <v>14743</v>
      </c>
      <c r="AX1652" s="82" t="s">
        <v>14743</v>
      </c>
      <c r="AY1652" s="77"/>
      <c r="AZ1652" s="82" t="s">
        <v>17385</v>
      </c>
      <c r="BA1652" s="82" t="s">
        <v>17385</v>
      </c>
      <c r="BB1652" s="82" t="s">
        <v>17385</v>
      </c>
      <c r="BC1652" s="82" t="s">
        <v>14743</v>
      </c>
      <c r="BD1652" s="82" t="s">
        <v>17596</v>
      </c>
      <c r="BE1652" s="77"/>
      <c r="BF1652" s="77"/>
      <c r="BG1652" s="77"/>
      <c r="BH1652" s="77"/>
      <c r="BI1652" s="77"/>
    </row>
    <row r="1653" spans="1:61" x14ac:dyDescent="0.25">
      <c r="A1653" s="62" t="s">
        <v>518</v>
      </c>
      <c r="B1653" s="62" t="s">
        <v>518</v>
      </c>
      <c r="C1653" s="63"/>
      <c r="D1653" s="64"/>
      <c r="E1653" s="65"/>
      <c r="F1653" s="66"/>
      <c r="G1653" s="63"/>
      <c r="H1653" s="67"/>
      <c r="I1653" s="68"/>
      <c r="J1653" s="68"/>
      <c r="K1653" s="32"/>
      <c r="L1653" s="75">
        <v>1653</v>
      </c>
      <c r="M1653" s="75"/>
      <c r="N1653" s="70"/>
      <c r="O1653" s="77" t="s">
        <v>179</v>
      </c>
      <c r="P1653" s="79">
        <v>45190.940949074073</v>
      </c>
      <c r="Q1653" s="77" t="s">
        <v>2439</v>
      </c>
      <c r="R1653" s="77">
        <v>0</v>
      </c>
      <c r="S1653" s="77">
        <v>0</v>
      </c>
      <c r="T1653" s="77">
        <v>0</v>
      </c>
      <c r="U1653" s="77">
        <v>0</v>
      </c>
      <c r="V1653" s="77">
        <v>65</v>
      </c>
      <c r="W1653" s="82" t="s">
        <v>5843</v>
      </c>
      <c r="X1653" s="80" t="str">
        <f>HYPERLINK("https://www.trendsetconsulting.com/pt/page/81461")</f>
        <v>https://www.trendsetconsulting.com/pt/page/81461</v>
      </c>
      <c r="Y1653" s="77" t="s">
        <v>7122</v>
      </c>
      <c r="Z1653" s="77"/>
      <c r="AA1653" s="77" t="s">
        <v>7859</v>
      </c>
      <c r="AB1653" s="77" t="s">
        <v>8226</v>
      </c>
      <c r="AC1653" s="82" t="s">
        <v>8232</v>
      </c>
      <c r="AD1653" s="77" t="s">
        <v>8278</v>
      </c>
      <c r="AE1653" s="80" t="str">
        <f>HYPERLINK("https://twitter.com/arthurvallephd/status/1704987610538746142")</f>
        <v>https://twitter.com/arthurvallephd/status/1704987610538746142</v>
      </c>
      <c r="AF1653" s="79">
        <v>45190.940949074073</v>
      </c>
      <c r="AG1653" s="85">
        <v>45190</v>
      </c>
      <c r="AH1653" s="82" t="s">
        <v>9781</v>
      </c>
      <c r="AI1653" s="77" t="b">
        <v>0</v>
      </c>
      <c r="AJ1653" s="77"/>
      <c r="AK1653" s="77"/>
      <c r="AL1653" s="77"/>
      <c r="AM1653" s="77"/>
      <c r="AN1653" s="77"/>
      <c r="AO1653" s="77"/>
      <c r="AP1653" s="77"/>
      <c r="AQ1653" s="77" t="s">
        <v>12744</v>
      </c>
      <c r="AR1653" s="77"/>
      <c r="AS1653" s="77"/>
      <c r="AT1653" s="77"/>
      <c r="AU1653" s="77"/>
      <c r="AV1653" s="80" t="str">
        <f>HYPERLINK("https://pbs.twimg.com/media/F6lTq-PaQAANxtk.png")</f>
        <v>https://pbs.twimg.com/media/F6lTq-PaQAANxtk.png</v>
      </c>
      <c r="AW1653" s="82" t="s">
        <v>14744</v>
      </c>
      <c r="AX1653" s="82" t="s">
        <v>14744</v>
      </c>
      <c r="AY1653" s="77"/>
      <c r="AZ1653" s="82" t="s">
        <v>17385</v>
      </c>
      <c r="BA1653" s="82" t="s">
        <v>17385</v>
      </c>
      <c r="BB1653" s="82" t="s">
        <v>17385</v>
      </c>
      <c r="BC1653" s="82" t="s">
        <v>14744</v>
      </c>
      <c r="BD1653" s="82" t="s">
        <v>17596</v>
      </c>
      <c r="BE1653" s="77"/>
      <c r="BF1653" s="77"/>
      <c r="BG1653" s="77"/>
      <c r="BH1653" s="77"/>
      <c r="BI1653" s="77"/>
    </row>
    <row r="1654" spans="1:61" x14ac:dyDescent="0.25">
      <c r="A1654" s="62" t="s">
        <v>518</v>
      </c>
      <c r="B1654" s="62" t="s">
        <v>518</v>
      </c>
      <c r="C1654" s="63"/>
      <c r="D1654" s="64"/>
      <c r="E1654" s="65"/>
      <c r="F1654" s="66"/>
      <c r="G1654" s="63"/>
      <c r="H1654" s="67"/>
      <c r="I1654" s="68"/>
      <c r="J1654" s="68"/>
      <c r="K1654" s="32"/>
      <c r="L1654" s="75">
        <v>1654</v>
      </c>
      <c r="M1654" s="75"/>
      <c r="N1654" s="70"/>
      <c r="O1654" s="77" t="s">
        <v>179</v>
      </c>
      <c r="P1654" s="79">
        <v>45189.812141203707</v>
      </c>
      <c r="Q1654" s="77" t="s">
        <v>2440</v>
      </c>
      <c r="R1654" s="77">
        <v>0</v>
      </c>
      <c r="S1654" s="77">
        <v>0</v>
      </c>
      <c r="T1654" s="77">
        <v>0</v>
      </c>
      <c r="U1654" s="77">
        <v>1</v>
      </c>
      <c r="V1654" s="77">
        <v>197</v>
      </c>
      <c r="W1654" s="82" t="s">
        <v>5844</v>
      </c>
      <c r="X1654" s="77"/>
      <c r="Y1654" s="77"/>
      <c r="Z1654" s="77"/>
      <c r="AA1654" s="77" t="s">
        <v>7860</v>
      </c>
      <c r="AB1654" s="77" t="s">
        <v>8225</v>
      </c>
      <c r="AC1654" s="82" t="s">
        <v>8232</v>
      </c>
      <c r="AD1654" s="77" t="s">
        <v>8278</v>
      </c>
      <c r="AE1654" s="80" t="str">
        <f>HYPERLINK("https://twitter.com/arthurvallephd/status/1704578546717610229")</f>
        <v>https://twitter.com/arthurvallephd/status/1704578546717610229</v>
      </c>
      <c r="AF1654" s="79">
        <v>45189.812141203707</v>
      </c>
      <c r="AG1654" s="85">
        <v>45189</v>
      </c>
      <c r="AH1654" s="82" t="s">
        <v>9782</v>
      </c>
      <c r="AI1654" s="77" t="b">
        <v>0</v>
      </c>
      <c r="AJ1654" s="77"/>
      <c r="AK1654" s="77"/>
      <c r="AL1654" s="77"/>
      <c r="AM1654" s="77"/>
      <c r="AN1654" s="77"/>
      <c r="AO1654" s="77"/>
      <c r="AP1654" s="77"/>
      <c r="AQ1654" s="77" t="s">
        <v>12745</v>
      </c>
      <c r="AR1654" s="77"/>
      <c r="AS1654" s="77"/>
      <c r="AT1654" s="77"/>
      <c r="AU1654" s="77"/>
      <c r="AV1654" s="80" t="str">
        <f>HYPERLINK("https://pbs.twimg.com/media/F6fhJdpaQAEorht.jpg")</f>
        <v>https://pbs.twimg.com/media/F6fhJdpaQAEorht.jpg</v>
      </c>
      <c r="AW1654" s="82" t="s">
        <v>14745</v>
      </c>
      <c r="AX1654" s="82" t="s">
        <v>14745</v>
      </c>
      <c r="AY1654" s="77"/>
      <c r="AZ1654" s="82" t="s">
        <v>17385</v>
      </c>
      <c r="BA1654" s="82" t="s">
        <v>17385</v>
      </c>
      <c r="BB1654" s="82" t="s">
        <v>17385</v>
      </c>
      <c r="BC1654" s="82" t="s">
        <v>14745</v>
      </c>
      <c r="BD1654" s="82" t="s">
        <v>17596</v>
      </c>
      <c r="BE1654" s="77"/>
      <c r="BF1654" s="77"/>
      <c r="BG1654" s="77"/>
      <c r="BH1654" s="77"/>
      <c r="BI1654" s="77"/>
    </row>
    <row r="1655" spans="1:61" x14ac:dyDescent="0.25">
      <c r="A1655" s="62" t="s">
        <v>518</v>
      </c>
      <c r="B1655" s="62" t="s">
        <v>518</v>
      </c>
      <c r="C1655" s="63"/>
      <c r="D1655" s="64"/>
      <c r="E1655" s="65"/>
      <c r="F1655" s="66"/>
      <c r="G1655" s="63"/>
      <c r="H1655" s="67"/>
      <c r="I1655" s="68"/>
      <c r="J1655" s="68"/>
      <c r="K1655" s="32"/>
      <c r="L1655" s="75">
        <v>1655</v>
      </c>
      <c r="M1655" s="75"/>
      <c r="N1655" s="70"/>
      <c r="O1655" s="77" t="s">
        <v>179</v>
      </c>
      <c r="P1655" s="79">
        <v>45160.434467592589</v>
      </c>
      <c r="Q1655" s="77" t="s">
        <v>2441</v>
      </c>
      <c r="R1655" s="77">
        <v>0</v>
      </c>
      <c r="S1655" s="77">
        <v>2</v>
      </c>
      <c r="T1655" s="77">
        <v>1</v>
      </c>
      <c r="U1655" s="77">
        <v>0</v>
      </c>
      <c r="V1655" s="77">
        <v>123</v>
      </c>
      <c r="W1655" s="82" t="s">
        <v>5845</v>
      </c>
      <c r="X1655" s="77"/>
      <c r="Y1655" s="77"/>
      <c r="Z1655" s="77"/>
      <c r="AA1655" s="77" t="s">
        <v>7861</v>
      </c>
      <c r="AB1655" s="77" t="s">
        <v>8225</v>
      </c>
      <c r="AC1655" s="82" t="s">
        <v>8232</v>
      </c>
      <c r="AD1655" s="77" t="s">
        <v>8278</v>
      </c>
      <c r="AE1655" s="80" t="str">
        <f>HYPERLINK("https://twitter.com/arthurvallephd/status/1693932431467065679")</f>
        <v>https://twitter.com/arthurvallephd/status/1693932431467065679</v>
      </c>
      <c r="AF1655" s="79">
        <v>45160.434467592589</v>
      </c>
      <c r="AG1655" s="85">
        <v>45160</v>
      </c>
      <c r="AH1655" s="82" t="s">
        <v>9783</v>
      </c>
      <c r="AI1655" s="77" t="b">
        <v>0</v>
      </c>
      <c r="AJ1655" s="77"/>
      <c r="AK1655" s="77"/>
      <c r="AL1655" s="77"/>
      <c r="AM1655" s="77"/>
      <c r="AN1655" s="77"/>
      <c r="AO1655" s="77"/>
      <c r="AP1655" s="77"/>
      <c r="AQ1655" s="77" t="s">
        <v>12746</v>
      </c>
      <c r="AR1655" s="77"/>
      <c r="AS1655" s="77"/>
      <c r="AT1655" s="77"/>
      <c r="AU1655" s="77"/>
      <c r="AV1655" s="80" t="str">
        <f>HYPERLINK("https://pbs.twimg.com/media/F4IOiajaIAAAf9i.jpg")</f>
        <v>https://pbs.twimg.com/media/F4IOiajaIAAAf9i.jpg</v>
      </c>
      <c r="AW1655" s="82" t="s">
        <v>14746</v>
      </c>
      <c r="AX1655" s="82" t="s">
        <v>14746</v>
      </c>
      <c r="AY1655" s="77"/>
      <c r="AZ1655" s="82" t="s">
        <v>17385</v>
      </c>
      <c r="BA1655" s="82" t="s">
        <v>17385</v>
      </c>
      <c r="BB1655" s="82" t="s">
        <v>17385</v>
      </c>
      <c r="BC1655" s="82" t="s">
        <v>14746</v>
      </c>
      <c r="BD1655" s="82" t="s">
        <v>17596</v>
      </c>
      <c r="BE1655" s="77"/>
      <c r="BF1655" s="77"/>
      <c r="BG1655" s="77"/>
      <c r="BH1655" s="77"/>
      <c r="BI1655" s="77"/>
    </row>
    <row r="1656" spans="1:61" x14ac:dyDescent="0.25">
      <c r="A1656" s="62" t="s">
        <v>518</v>
      </c>
      <c r="B1656" s="62" t="s">
        <v>622</v>
      </c>
      <c r="C1656" s="63"/>
      <c r="D1656" s="64"/>
      <c r="E1656" s="65"/>
      <c r="F1656" s="66"/>
      <c r="G1656" s="63"/>
      <c r="H1656" s="67"/>
      <c r="I1656" s="68"/>
      <c r="J1656" s="68"/>
      <c r="K1656" s="32"/>
      <c r="L1656" s="75">
        <v>1656</v>
      </c>
      <c r="M1656" s="75"/>
      <c r="N1656" s="70"/>
      <c r="O1656" s="77" t="s">
        <v>802</v>
      </c>
      <c r="P1656" s="79">
        <v>45122.490636574075</v>
      </c>
      <c r="Q1656" s="77" t="s">
        <v>2442</v>
      </c>
      <c r="R1656" s="77">
        <v>0</v>
      </c>
      <c r="S1656" s="77">
        <v>3</v>
      </c>
      <c r="T1656" s="77">
        <v>0</v>
      </c>
      <c r="U1656" s="77">
        <v>0</v>
      </c>
      <c r="V1656" s="77">
        <v>126</v>
      </c>
      <c r="W1656" s="82" t="s">
        <v>5846</v>
      </c>
      <c r="X1656" s="77"/>
      <c r="Y1656" s="77"/>
      <c r="Z1656" s="77" t="s">
        <v>622</v>
      </c>
      <c r="AA1656" s="77" t="s">
        <v>7862</v>
      </c>
      <c r="AB1656" s="77" t="s">
        <v>8225</v>
      </c>
      <c r="AC1656" s="82" t="s">
        <v>8232</v>
      </c>
      <c r="AD1656" s="77" t="s">
        <v>8278</v>
      </c>
      <c r="AE1656" s="80" t="str">
        <f>HYPERLINK("https://twitter.com/arthurvallephd/status/1680182050509434882")</f>
        <v>https://twitter.com/arthurvallephd/status/1680182050509434882</v>
      </c>
      <c r="AF1656" s="79">
        <v>45122.490636574075</v>
      </c>
      <c r="AG1656" s="85">
        <v>45122</v>
      </c>
      <c r="AH1656" s="82" t="s">
        <v>9784</v>
      </c>
      <c r="AI1656" s="77" t="b">
        <v>0</v>
      </c>
      <c r="AJ1656" s="77"/>
      <c r="AK1656" s="77"/>
      <c r="AL1656" s="77"/>
      <c r="AM1656" s="77"/>
      <c r="AN1656" s="77"/>
      <c r="AO1656" s="77"/>
      <c r="AP1656" s="77"/>
      <c r="AQ1656" s="77" t="s">
        <v>12747</v>
      </c>
      <c r="AR1656" s="77"/>
      <c r="AS1656" s="77"/>
      <c r="AT1656" s="77"/>
      <c r="AU1656" s="77"/>
      <c r="AV1656" s="80" t="str">
        <f>HYPERLINK("https://pbs.twimg.com/media/F1EzLZoaQAA-zNz.jpg")</f>
        <v>https://pbs.twimg.com/media/F1EzLZoaQAA-zNz.jpg</v>
      </c>
      <c r="AW1656" s="82" t="s">
        <v>14747</v>
      </c>
      <c r="AX1656" s="82" t="s">
        <v>14747</v>
      </c>
      <c r="AY1656" s="77"/>
      <c r="AZ1656" s="82" t="s">
        <v>17385</v>
      </c>
      <c r="BA1656" s="82" t="s">
        <v>17385</v>
      </c>
      <c r="BB1656" s="82" t="s">
        <v>17385</v>
      </c>
      <c r="BC1656" s="82" t="s">
        <v>14747</v>
      </c>
      <c r="BD1656" s="82" t="s">
        <v>17596</v>
      </c>
      <c r="BE1656" s="77"/>
      <c r="BF1656" s="77"/>
      <c r="BG1656" s="77"/>
      <c r="BH1656" s="77"/>
      <c r="BI1656" s="77"/>
    </row>
    <row r="1657" spans="1:61" x14ac:dyDescent="0.25">
      <c r="A1657" s="62" t="s">
        <v>518</v>
      </c>
      <c r="B1657" s="62" t="s">
        <v>518</v>
      </c>
      <c r="C1657" s="63"/>
      <c r="D1657" s="64"/>
      <c r="E1657" s="65"/>
      <c r="F1657" s="66"/>
      <c r="G1657" s="63"/>
      <c r="H1657" s="67"/>
      <c r="I1657" s="68"/>
      <c r="J1657" s="68"/>
      <c r="K1657" s="32"/>
      <c r="L1657" s="75">
        <v>1657</v>
      </c>
      <c r="M1657" s="75"/>
      <c r="N1657" s="70"/>
      <c r="O1657" s="77" t="s">
        <v>179</v>
      </c>
      <c r="P1657" s="79">
        <v>45172.82240740741</v>
      </c>
      <c r="Q1657" s="77" t="s">
        <v>2443</v>
      </c>
      <c r="R1657" s="77">
        <v>0</v>
      </c>
      <c r="S1657" s="77">
        <v>0</v>
      </c>
      <c r="T1657" s="77">
        <v>0</v>
      </c>
      <c r="U1657" s="77">
        <v>0</v>
      </c>
      <c r="V1657" s="77">
        <v>110</v>
      </c>
      <c r="W1657" s="82" t="s">
        <v>5847</v>
      </c>
      <c r="X1657" s="77"/>
      <c r="Y1657" s="77"/>
      <c r="Z1657" s="77"/>
      <c r="AA1657" s="77"/>
      <c r="AB1657" s="77"/>
      <c r="AC1657" s="82" t="s">
        <v>8232</v>
      </c>
      <c r="AD1657" s="77" t="s">
        <v>8278</v>
      </c>
      <c r="AE1657" s="80" t="str">
        <f>HYPERLINK("https://twitter.com/arthurvallephd/status/1698421672351879413")</f>
        <v>https://twitter.com/arthurvallephd/status/1698421672351879413</v>
      </c>
      <c r="AF1657" s="79">
        <v>45172.82240740741</v>
      </c>
      <c r="AG1657" s="85">
        <v>45172</v>
      </c>
      <c r="AH1657" s="82" t="s">
        <v>9785</v>
      </c>
      <c r="AI1657" s="77" t="b">
        <v>0</v>
      </c>
      <c r="AJ1657" s="77"/>
      <c r="AK1657" s="77"/>
      <c r="AL1657" s="77"/>
      <c r="AM1657" s="77"/>
      <c r="AN1657" s="77"/>
      <c r="AO1657" s="77"/>
      <c r="AP1657" s="77"/>
      <c r="AQ1657" s="77"/>
      <c r="AR1657" s="77"/>
      <c r="AS1657" s="77"/>
      <c r="AT1657" s="77"/>
      <c r="AU1657" s="77"/>
      <c r="AV1657" s="80" t="str">
        <f>HYPERLINK("https://pbs.twimg.com/profile_images/1615501037283975171/ycPlUEDC_normal.jpg")</f>
        <v>https://pbs.twimg.com/profile_images/1615501037283975171/ycPlUEDC_normal.jpg</v>
      </c>
      <c r="AW1657" s="82" t="s">
        <v>14748</v>
      </c>
      <c r="AX1657" s="82" t="s">
        <v>14748</v>
      </c>
      <c r="AY1657" s="77"/>
      <c r="AZ1657" s="82" t="s">
        <v>17385</v>
      </c>
      <c r="BA1657" s="82" t="s">
        <v>17385</v>
      </c>
      <c r="BB1657" s="82" t="s">
        <v>17385</v>
      </c>
      <c r="BC1657" s="82" t="s">
        <v>14748</v>
      </c>
      <c r="BD1657" s="82" t="s">
        <v>17596</v>
      </c>
      <c r="BE1657" s="77"/>
      <c r="BF1657" s="77"/>
      <c r="BG1657" s="77"/>
      <c r="BH1657" s="77"/>
      <c r="BI1657" s="77"/>
    </row>
    <row r="1658" spans="1:61" x14ac:dyDescent="0.25">
      <c r="A1658" s="62" t="s">
        <v>518</v>
      </c>
      <c r="B1658" s="62" t="s">
        <v>518</v>
      </c>
      <c r="C1658" s="63"/>
      <c r="D1658" s="64"/>
      <c r="E1658" s="65"/>
      <c r="F1658" s="66"/>
      <c r="G1658" s="63"/>
      <c r="H1658" s="67"/>
      <c r="I1658" s="68"/>
      <c r="J1658" s="68"/>
      <c r="K1658" s="32"/>
      <c r="L1658" s="75">
        <v>1658</v>
      </c>
      <c r="M1658" s="75"/>
      <c r="N1658" s="70"/>
      <c r="O1658" s="77" t="s">
        <v>179</v>
      </c>
      <c r="P1658" s="79">
        <v>45161.83829861111</v>
      </c>
      <c r="Q1658" s="77" t="s">
        <v>2444</v>
      </c>
      <c r="R1658" s="77">
        <v>0</v>
      </c>
      <c r="S1658" s="77">
        <v>3</v>
      </c>
      <c r="T1658" s="77">
        <v>1</v>
      </c>
      <c r="U1658" s="77">
        <v>0</v>
      </c>
      <c r="V1658" s="77">
        <v>330</v>
      </c>
      <c r="W1658" s="82" t="s">
        <v>5848</v>
      </c>
      <c r="X1658" s="77"/>
      <c r="Y1658" s="77"/>
      <c r="Z1658" s="77"/>
      <c r="AA1658" s="77" t="s">
        <v>7863</v>
      </c>
      <c r="AB1658" s="77" t="s">
        <v>8225</v>
      </c>
      <c r="AC1658" s="82" t="s">
        <v>8232</v>
      </c>
      <c r="AD1658" s="77" t="s">
        <v>8278</v>
      </c>
      <c r="AE1658" s="80" t="str">
        <f>HYPERLINK("https://twitter.com/arthurvallephd/status/1694441166467727427")</f>
        <v>https://twitter.com/arthurvallephd/status/1694441166467727427</v>
      </c>
      <c r="AF1658" s="79">
        <v>45161.83829861111</v>
      </c>
      <c r="AG1658" s="85">
        <v>45161</v>
      </c>
      <c r="AH1658" s="82" t="s">
        <v>9786</v>
      </c>
      <c r="AI1658" s="77" t="b">
        <v>0</v>
      </c>
      <c r="AJ1658" s="77"/>
      <c r="AK1658" s="77"/>
      <c r="AL1658" s="77"/>
      <c r="AM1658" s="77"/>
      <c r="AN1658" s="77"/>
      <c r="AO1658" s="77"/>
      <c r="AP1658" s="77"/>
      <c r="AQ1658" s="77" t="s">
        <v>12748</v>
      </c>
      <c r="AR1658" s="77"/>
      <c r="AS1658" s="77"/>
      <c r="AT1658" s="77"/>
      <c r="AU1658" s="77"/>
      <c r="AV1658" s="80" t="str">
        <f>HYPERLINK("https://pbs.twimg.com/media/F4PdOmba4AAaNQl.jpg")</f>
        <v>https://pbs.twimg.com/media/F4PdOmba4AAaNQl.jpg</v>
      </c>
      <c r="AW1658" s="82" t="s">
        <v>14749</v>
      </c>
      <c r="AX1658" s="82" t="s">
        <v>14749</v>
      </c>
      <c r="AY1658" s="77"/>
      <c r="AZ1658" s="82" t="s">
        <v>17385</v>
      </c>
      <c r="BA1658" s="82" t="s">
        <v>17385</v>
      </c>
      <c r="BB1658" s="82" t="s">
        <v>17385</v>
      </c>
      <c r="BC1658" s="82" t="s">
        <v>14749</v>
      </c>
      <c r="BD1658" s="82" t="s">
        <v>17596</v>
      </c>
      <c r="BE1658" s="77"/>
      <c r="BF1658" s="77"/>
      <c r="BG1658" s="77"/>
      <c r="BH1658" s="77"/>
      <c r="BI1658" s="77"/>
    </row>
    <row r="1659" spans="1:61" x14ac:dyDescent="0.25">
      <c r="A1659" s="62" t="s">
        <v>518</v>
      </c>
      <c r="B1659" s="62" t="s">
        <v>622</v>
      </c>
      <c r="C1659" s="63"/>
      <c r="D1659" s="64"/>
      <c r="E1659" s="65"/>
      <c r="F1659" s="66"/>
      <c r="G1659" s="63"/>
      <c r="H1659" s="67"/>
      <c r="I1659" s="68"/>
      <c r="J1659" s="68"/>
      <c r="K1659" s="32"/>
      <c r="L1659" s="75">
        <v>1659</v>
      </c>
      <c r="M1659" s="75"/>
      <c r="N1659" s="70"/>
      <c r="O1659" s="77" t="s">
        <v>802</v>
      </c>
      <c r="P1659" s="79">
        <v>45128.91097222222</v>
      </c>
      <c r="Q1659" s="77" t="s">
        <v>2445</v>
      </c>
      <c r="R1659" s="77">
        <v>0</v>
      </c>
      <c r="S1659" s="77">
        <v>0</v>
      </c>
      <c r="T1659" s="77">
        <v>0</v>
      </c>
      <c r="U1659" s="77">
        <v>0</v>
      </c>
      <c r="V1659" s="77">
        <v>218</v>
      </c>
      <c r="W1659" s="82" t="s">
        <v>5849</v>
      </c>
      <c r="X1659" s="77"/>
      <c r="Y1659" s="77"/>
      <c r="Z1659" s="77" t="s">
        <v>622</v>
      </c>
      <c r="AA1659" s="77" t="s">
        <v>7864</v>
      </c>
      <c r="AB1659" s="77" t="s">
        <v>8225</v>
      </c>
      <c r="AC1659" s="82" t="s">
        <v>8232</v>
      </c>
      <c r="AD1659" s="77" t="s">
        <v>8278</v>
      </c>
      <c r="AE1659" s="80" t="str">
        <f>HYPERLINK("https://twitter.com/arthurvallephd/status/1682508702128164864")</f>
        <v>https://twitter.com/arthurvallephd/status/1682508702128164864</v>
      </c>
      <c r="AF1659" s="79">
        <v>45128.91097222222</v>
      </c>
      <c r="AG1659" s="85">
        <v>45128</v>
      </c>
      <c r="AH1659" s="82" t="s">
        <v>9787</v>
      </c>
      <c r="AI1659" s="77" t="b">
        <v>0</v>
      </c>
      <c r="AJ1659" s="77"/>
      <c r="AK1659" s="77"/>
      <c r="AL1659" s="77"/>
      <c r="AM1659" s="77"/>
      <c r="AN1659" s="77"/>
      <c r="AO1659" s="77"/>
      <c r="AP1659" s="77"/>
      <c r="AQ1659" s="77" t="s">
        <v>12749</v>
      </c>
      <c r="AR1659" s="77"/>
      <c r="AS1659" s="77"/>
      <c r="AT1659" s="77"/>
      <c r="AU1659" s="77"/>
      <c r="AV1659" s="80" t="str">
        <f>HYPERLINK("https://pbs.twimg.com/media/F1l4CnOakAAOZgS.jpg")</f>
        <v>https://pbs.twimg.com/media/F1l4CnOakAAOZgS.jpg</v>
      </c>
      <c r="AW1659" s="82" t="s">
        <v>14750</v>
      </c>
      <c r="AX1659" s="82" t="s">
        <v>14750</v>
      </c>
      <c r="AY1659" s="77"/>
      <c r="AZ1659" s="82" t="s">
        <v>17385</v>
      </c>
      <c r="BA1659" s="82" t="s">
        <v>17385</v>
      </c>
      <c r="BB1659" s="82" t="s">
        <v>17385</v>
      </c>
      <c r="BC1659" s="82" t="s">
        <v>14750</v>
      </c>
      <c r="BD1659" s="82" t="s">
        <v>17596</v>
      </c>
      <c r="BE1659" s="77"/>
      <c r="BF1659" s="77"/>
      <c r="BG1659" s="77"/>
      <c r="BH1659" s="77"/>
      <c r="BI1659" s="77"/>
    </row>
    <row r="1660" spans="1:61" x14ac:dyDescent="0.25">
      <c r="A1660" s="62" t="s">
        <v>518</v>
      </c>
      <c r="B1660" s="62" t="s">
        <v>518</v>
      </c>
      <c r="C1660" s="63"/>
      <c r="D1660" s="64"/>
      <c r="E1660" s="65"/>
      <c r="F1660" s="66"/>
      <c r="G1660" s="63"/>
      <c r="H1660" s="67"/>
      <c r="I1660" s="68"/>
      <c r="J1660" s="68"/>
      <c r="K1660" s="32"/>
      <c r="L1660" s="75">
        <v>1660</v>
      </c>
      <c r="M1660" s="75"/>
      <c r="N1660" s="70"/>
      <c r="O1660" s="77" t="s">
        <v>179</v>
      </c>
      <c r="P1660" s="79">
        <v>45195.766157407408</v>
      </c>
      <c r="Q1660" s="77" t="s">
        <v>2446</v>
      </c>
      <c r="R1660" s="77">
        <v>0</v>
      </c>
      <c r="S1660" s="77">
        <v>0</v>
      </c>
      <c r="T1660" s="77">
        <v>0</v>
      </c>
      <c r="U1660" s="77">
        <v>0</v>
      </c>
      <c r="V1660" s="77">
        <v>31</v>
      </c>
      <c r="W1660" s="82" t="s">
        <v>5850</v>
      </c>
      <c r="X1660" s="77"/>
      <c r="Y1660" s="77"/>
      <c r="Z1660" s="77"/>
      <c r="AA1660" s="77" t="s">
        <v>7865</v>
      </c>
      <c r="AB1660" s="77" t="s">
        <v>8225</v>
      </c>
      <c r="AC1660" s="82" t="s">
        <v>8232</v>
      </c>
      <c r="AD1660" s="77" t="s">
        <v>8278</v>
      </c>
      <c r="AE1660" s="80" t="str">
        <f>HYPERLINK("https://twitter.com/arthurvallephd/status/1706736209211670565")</f>
        <v>https://twitter.com/arthurvallephd/status/1706736209211670565</v>
      </c>
      <c r="AF1660" s="79">
        <v>45195.766157407408</v>
      </c>
      <c r="AG1660" s="85">
        <v>45195</v>
      </c>
      <c r="AH1660" s="82" t="s">
        <v>9788</v>
      </c>
      <c r="AI1660" s="77" t="b">
        <v>0</v>
      </c>
      <c r="AJ1660" s="77"/>
      <c r="AK1660" s="77"/>
      <c r="AL1660" s="77"/>
      <c r="AM1660" s="77"/>
      <c r="AN1660" s="77"/>
      <c r="AO1660" s="77"/>
      <c r="AP1660" s="77"/>
      <c r="AQ1660" s="77" t="s">
        <v>12750</v>
      </c>
      <c r="AR1660" s="77"/>
      <c r="AS1660" s="77"/>
      <c r="AT1660" s="77"/>
      <c r="AU1660" s="77"/>
      <c r="AV1660" s="80" t="str">
        <f>HYPERLINK("https://pbs.twimg.com/media/F6-LUWibwAEwWsZ.jpg")</f>
        <v>https://pbs.twimg.com/media/F6-LUWibwAEwWsZ.jpg</v>
      </c>
      <c r="AW1660" s="82" t="s">
        <v>14751</v>
      </c>
      <c r="AX1660" s="82" t="s">
        <v>14751</v>
      </c>
      <c r="AY1660" s="77"/>
      <c r="AZ1660" s="82" t="s">
        <v>17385</v>
      </c>
      <c r="BA1660" s="82" t="s">
        <v>17385</v>
      </c>
      <c r="BB1660" s="82" t="s">
        <v>17385</v>
      </c>
      <c r="BC1660" s="82" t="s">
        <v>14751</v>
      </c>
      <c r="BD1660" s="82" t="s">
        <v>17596</v>
      </c>
      <c r="BE1660" s="77"/>
      <c r="BF1660" s="77"/>
      <c r="BG1660" s="77"/>
      <c r="BH1660" s="77"/>
      <c r="BI1660" s="77"/>
    </row>
    <row r="1661" spans="1:61" x14ac:dyDescent="0.25">
      <c r="A1661" s="62" t="s">
        <v>518</v>
      </c>
      <c r="B1661" s="62" t="s">
        <v>518</v>
      </c>
      <c r="C1661" s="63"/>
      <c r="D1661" s="64"/>
      <c r="E1661" s="65"/>
      <c r="F1661" s="66"/>
      <c r="G1661" s="63"/>
      <c r="H1661" s="67"/>
      <c r="I1661" s="68"/>
      <c r="J1661" s="68"/>
      <c r="K1661" s="32"/>
      <c r="L1661" s="75">
        <v>1661</v>
      </c>
      <c r="M1661" s="75"/>
      <c r="N1661" s="70"/>
      <c r="O1661" s="77" t="s">
        <v>801</v>
      </c>
      <c r="P1661" s="79">
        <v>45189.889907407407</v>
      </c>
      <c r="Q1661" s="77" t="s">
        <v>2447</v>
      </c>
      <c r="R1661" s="77">
        <v>0</v>
      </c>
      <c r="S1661" s="77">
        <v>1</v>
      </c>
      <c r="T1661" s="77">
        <v>1</v>
      </c>
      <c r="U1661" s="77">
        <v>0</v>
      </c>
      <c r="V1661" s="77">
        <v>171</v>
      </c>
      <c r="W1661" s="82" t="s">
        <v>5851</v>
      </c>
      <c r="X1661" s="77"/>
      <c r="Y1661" s="77"/>
      <c r="Z1661" s="77"/>
      <c r="AA1661" s="77" t="s">
        <v>7866</v>
      </c>
      <c r="AB1661" s="77" t="s">
        <v>8225</v>
      </c>
      <c r="AC1661" s="82" t="s">
        <v>8232</v>
      </c>
      <c r="AD1661" s="77" t="s">
        <v>8278</v>
      </c>
      <c r="AE1661" s="80" t="str">
        <f>HYPERLINK("https://twitter.com/arthurvallephd/status/1704606728757940346")</f>
        <v>https://twitter.com/arthurvallephd/status/1704606728757940346</v>
      </c>
      <c r="AF1661" s="79">
        <v>45189.889907407407</v>
      </c>
      <c r="AG1661" s="85">
        <v>45189</v>
      </c>
      <c r="AH1661" s="82" t="s">
        <v>9789</v>
      </c>
      <c r="AI1661" s="77" t="b">
        <v>0</v>
      </c>
      <c r="AJ1661" s="77"/>
      <c r="AK1661" s="77"/>
      <c r="AL1661" s="77"/>
      <c r="AM1661" s="77"/>
      <c r="AN1661" s="77"/>
      <c r="AO1661" s="77"/>
      <c r="AP1661" s="77"/>
      <c r="AQ1661" s="77" t="s">
        <v>12751</v>
      </c>
      <c r="AR1661" s="77"/>
      <c r="AS1661" s="77"/>
      <c r="AT1661" s="77"/>
      <c r="AU1661" s="77"/>
      <c r="AV1661" s="80" t="str">
        <f>HYPERLINK("https://pbs.twimg.com/media/F6f5yMSacAAGgwL.jpg")</f>
        <v>https://pbs.twimg.com/media/F6f5yMSacAAGgwL.jpg</v>
      </c>
      <c r="AW1661" s="82" t="s">
        <v>14752</v>
      </c>
      <c r="AX1661" s="82" t="s">
        <v>14752</v>
      </c>
      <c r="AY1661" s="77"/>
      <c r="AZ1661" s="82" t="s">
        <v>17385</v>
      </c>
      <c r="BA1661" s="82" t="s">
        <v>14745</v>
      </c>
      <c r="BB1661" s="82" t="s">
        <v>17385</v>
      </c>
      <c r="BC1661" s="82" t="s">
        <v>14745</v>
      </c>
      <c r="BD1661" s="82" t="s">
        <v>17596</v>
      </c>
      <c r="BE1661" s="77"/>
      <c r="BF1661" s="77"/>
      <c r="BG1661" s="77"/>
      <c r="BH1661" s="77"/>
      <c r="BI1661" s="77"/>
    </row>
    <row r="1662" spans="1:61" x14ac:dyDescent="0.25">
      <c r="A1662" s="62" t="s">
        <v>518</v>
      </c>
      <c r="B1662" s="62" t="s">
        <v>518</v>
      </c>
      <c r="C1662" s="63"/>
      <c r="D1662" s="64"/>
      <c r="E1662" s="65"/>
      <c r="F1662" s="66"/>
      <c r="G1662" s="63"/>
      <c r="H1662" s="67"/>
      <c r="I1662" s="68"/>
      <c r="J1662" s="68"/>
      <c r="K1662" s="32"/>
      <c r="L1662" s="75">
        <v>1662</v>
      </c>
      <c r="M1662" s="75"/>
      <c r="N1662" s="70"/>
      <c r="O1662" s="77" t="s">
        <v>179</v>
      </c>
      <c r="P1662" s="79">
        <v>45186.967627314814</v>
      </c>
      <c r="Q1662" s="77" t="s">
        <v>2448</v>
      </c>
      <c r="R1662" s="77">
        <v>0</v>
      </c>
      <c r="S1662" s="77">
        <v>1</v>
      </c>
      <c r="T1662" s="77">
        <v>0</v>
      </c>
      <c r="U1662" s="77">
        <v>0</v>
      </c>
      <c r="V1662" s="77">
        <v>78</v>
      </c>
      <c r="W1662" s="82" t="s">
        <v>5852</v>
      </c>
      <c r="X1662" s="77"/>
      <c r="Y1662" s="77"/>
      <c r="Z1662" s="77"/>
      <c r="AA1662" s="77"/>
      <c r="AB1662" s="77"/>
      <c r="AC1662" s="82" t="s">
        <v>8232</v>
      </c>
      <c r="AD1662" s="77" t="s">
        <v>8278</v>
      </c>
      <c r="AE1662" s="80" t="str">
        <f>HYPERLINK("https://twitter.com/arthurvallephd/status/1703547727978868922")</f>
        <v>https://twitter.com/arthurvallephd/status/1703547727978868922</v>
      </c>
      <c r="AF1662" s="79">
        <v>45186.967627314814</v>
      </c>
      <c r="AG1662" s="85">
        <v>45186</v>
      </c>
      <c r="AH1662" s="82" t="s">
        <v>9790</v>
      </c>
      <c r="AI1662" s="77"/>
      <c r="AJ1662" s="77"/>
      <c r="AK1662" s="77"/>
      <c r="AL1662" s="77"/>
      <c r="AM1662" s="77"/>
      <c r="AN1662" s="77"/>
      <c r="AO1662" s="77"/>
      <c r="AP1662" s="77"/>
      <c r="AQ1662" s="77"/>
      <c r="AR1662" s="77"/>
      <c r="AS1662" s="77"/>
      <c r="AT1662" s="77"/>
      <c r="AU1662" s="77"/>
      <c r="AV1662" s="80" t="str">
        <f>HYPERLINK("https://pbs.twimg.com/profile_images/1615501037283975171/ycPlUEDC_normal.jpg")</f>
        <v>https://pbs.twimg.com/profile_images/1615501037283975171/ycPlUEDC_normal.jpg</v>
      </c>
      <c r="AW1662" s="82" t="s">
        <v>14753</v>
      </c>
      <c r="AX1662" s="82" t="s">
        <v>14753</v>
      </c>
      <c r="AY1662" s="77"/>
      <c r="AZ1662" s="82" t="s">
        <v>17385</v>
      </c>
      <c r="BA1662" s="82" t="s">
        <v>17385</v>
      </c>
      <c r="BB1662" s="82" t="s">
        <v>17385</v>
      </c>
      <c r="BC1662" s="82" t="s">
        <v>14753</v>
      </c>
      <c r="BD1662" s="82" t="s">
        <v>17596</v>
      </c>
      <c r="BE1662" s="77"/>
      <c r="BF1662" s="77"/>
      <c r="BG1662" s="77"/>
      <c r="BH1662" s="77"/>
      <c r="BI1662" s="77"/>
    </row>
    <row r="1663" spans="1:61" x14ac:dyDescent="0.25">
      <c r="A1663" s="62" t="s">
        <v>518</v>
      </c>
      <c r="B1663" s="62" t="s">
        <v>518</v>
      </c>
      <c r="C1663" s="63"/>
      <c r="D1663" s="64"/>
      <c r="E1663" s="65"/>
      <c r="F1663" s="66"/>
      <c r="G1663" s="63"/>
      <c r="H1663" s="67"/>
      <c r="I1663" s="68"/>
      <c r="J1663" s="68"/>
      <c r="K1663" s="32"/>
      <c r="L1663" s="75">
        <v>1663</v>
      </c>
      <c r="M1663" s="75"/>
      <c r="N1663" s="70"/>
      <c r="O1663" s="77" t="s">
        <v>179</v>
      </c>
      <c r="P1663" s="79">
        <v>45195.759953703702</v>
      </c>
      <c r="Q1663" s="77" t="s">
        <v>2449</v>
      </c>
      <c r="R1663" s="77">
        <v>0</v>
      </c>
      <c r="S1663" s="77">
        <v>1</v>
      </c>
      <c r="T1663" s="77">
        <v>1</v>
      </c>
      <c r="U1663" s="77">
        <v>0</v>
      </c>
      <c r="V1663" s="77">
        <v>75</v>
      </c>
      <c r="W1663" s="82" t="s">
        <v>5853</v>
      </c>
      <c r="X1663" s="77"/>
      <c r="Y1663" s="77"/>
      <c r="Z1663" s="77"/>
      <c r="AA1663" s="77" t="s">
        <v>7867</v>
      </c>
      <c r="AB1663" s="77" t="s">
        <v>8225</v>
      </c>
      <c r="AC1663" s="82" t="s">
        <v>8232</v>
      </c>
      <c r="AD1663" s="77" t="s">
        <v>8278</v>
      </c>
      <c r="AE1663" s="80" t="str">
        <f>HYPERLINK("https://twitter.com/arthurvallephd/status/1706733958787219578")</f>
        <v>https://twitter.com/arthurvallephd/status/1706733958787219578</v>
      </c>
      <c r="AF1663" s="79">
        <v>45195.759953703702</v>
      </c>
      <c r="AG1663" s="85">
        <v>45195</v>
      </c>
      <c r="AH1663" s="82" t="s">
        <v>9791</v>
      </c>
      <c r="AI1663" s="77" t="b">
        <v>0</v>
      </c>
      <c r="AJ1663" s="77"/>
      <c r="AK1663" s="77"/>
      <c r="AL1663" s="77"/>
      <c r="AM1663" s="77"/>
      <c r="AN1663" s="77"/>
      <c r="AO1663" s="77"/>
      <c r="AP1663" s="77"/>
      <c r="AQ1663" s="77" t="s">
        <v>12752</v>
      </c>
      <c r="AR1663" s="77"/>
      <c r="AS1663" s="77"/>
      <c r="AT1663" s="77"/>
      <c r="AU1663" s="77"/>
      <c r="AV1663" s="80" t="str">
        <f>HYPERLINK("https://pbs.twimg.com/media/F6-HOD5bwAAH4E9.jpg")</f>
        <v>https://pbs.twimg.com/media/F6-HOD5bwAAH4E9.jpg</v>
      </c>
      <c r="AW1663" s="82" t="s">
        <v>14754</v>
      </c>
      <c r="AX1663" s="82" t="s">
        <v>14754</v>
      </c>
      <c r="AY1663" s="77"/>
      <c r="AZ1663" s="82" t="s">
        <v>17385</v>
      </c>
      <c r="BA1663" s="82" t="s">
        <v>17385</v>
      </c>
      <c r="BB1663" s="82" t="s">
        <v>17385</v>
      </c>
      <c r="BC1663" s="82" t="s">
        <v>14754</v>
      </c>
      <c r="BD1663" s="82" t="s">
        <v>17596</v>
      </c>
      <c r="BE1663" s="77"/>
      <c r="BF1663" s="77"/>
      <c r="BG1663" s="77"/>
      <c r="BH1663" s="77"/>
      <c r="BI1663" s="77"/>
    </row>
    <row r="1664" spans="1:61" x14ac:dyDescent="0.25">
      <c r="A1664" s="62" t="s">
        <v>518</v>
      </c>
      <c r="B1664" s="62" t="s">
        <v>518</v>
      </c>
      <c r="C1664" s="63"/>
      <c r="D1664" s="64"/>
      <c r="E1664" s="65"/>
      <c r="F1664" s="66"/>
      <c r="G1664" s="63"/>
      <c r="H1664" s="67"/>
      <c r="I1664" s="68"/>
      <c r="J1664" s="68"/>
      <c r="K1664" s="32"/>
      <c r="L1664" s="75">
        <v>1664</v>
      </c>
      <c r="M1664" s="75"/>
      <c r="N1664" s="70"/>
      <c r="O1664" s="77" t="s">
        <v>179</v>
      </c>
      <c r="P1664" s="79">
        <v>45191.381539351853</v>
      </c>
      <c r="Q1664" s="77" t="s">
        <v>2450</v>
      </c>
      <c r="R1664" s="77">
        <v>0</v>
      </c>
      <c r="S1664" s="77">
        <v>1</v>
      </c>
      <c r="T1664" s="77">
        <v>0</v>
      </c>
      <c r="U1664" s="77">
        <v>0</v>
      </c>
      <c r="V1664" s="77">
        <v>64</v>
      </c>
      <c r="W1664" s="82" t="s">
        <v>5854</v>
      </c>
      <c r="X1664" s="77"/>
      <c r="Y1664" s="77"/>
      <c r="Z1664" s="77"/>
      <c r="AA1664" s="77"/>
      <c r="AB1664" s="77"/>
      <c r="AC1664" s="82" t="s">
        <v>8232</v>
      </c>
      <c r="AD1664" s="77" t="s">
        <v>8278</v>
      </c>
      <c r="AE1664" s="80" t="str">
        <f>HYPERLINK("https://twitter.com/arthurvallephd/status/1705147276291977563")</f>
        <v>https://twitter.com/arthurvallephd/status/1705147276291977563</v>
      </c>
      <c r="AF1664" s="79">
        <v>45191.381539351853</v>
      </c>
      <c r="AG1664" s="85">
        <v>45191</v>
      </c>
      <c r="AH1664" s="82" t="s">
        <v>9792</v>
      </c>
      <c r="AI1664" s="77"/>
      <c r="AJ1664" s="77"/>
      <c r="AK1664" s="77"/>
      <c r="AL1664" s="77"/>
      <c r="AM1664" s="77"/>
      <c r="AN1664" s="77"/>
      <c r="AO1664" s="77"/>
      <c r="AP1664" s="77"/>
      <c r="AQ1664" s="77"/>
      <c r="AR1664" s="77"/>
      <c r="AS1664" s="77"/>
      <c r="AT1664" s="77"/>
      <c r="AU1664" s="77"/>
      <c r="AV1664" s="80" t="str">
        <f>HYPERLINK("https://pbs.twimg.com/profile_images/1615501037283975171/ycPlUEDC_normal.jpg")</f>
        <v>https://pbs.twimg.com/profile_images/1615501037283975171/ycPlUEDC_normal.jpg</v>
      </c>
      <c r="AW1664" s="82" t="s">
        <v>14755</v>
      </c>
      <c r="AX1664" s="82" t="s">
        <v>14755</v>
      </c>
      <c r="AY1664" s="77"/>
      <c r="AZ1664" s="82" t="s">
        <v>17385</v>
      </c>
      <c r="BA1664" s="82" t="s">
        <v>17385</v>
      </c>
      <c r="BB1664" s="82" t="s">
        <v>17385</v>
      </c>
      <c r="BC1664" s="82" t="s">
        <v>14755</v>
      </c>
      <c r="BD1664" s="82" t="s">
        <v>17596</v>
      </c>
      <c r="BE1664" s="77"/>
      <c r="BF1664" s="77"/>
      <c r="BG1664" s="77"/>
      <c r="BH1664" s="77"/>
      <c r="BI1664" s="77"/>
    </row>
    <row r="1665" spans="1:61" x14ac:dyDescent="0.25">
      <c r="A1665" s="62" t="s">
        <v>518</v>
      </c>
      <c r="B1665" s="62" t="s">
        <v>518</v>
      </c>
      <c r="C1665" s="63"/>
      <c r="D1665" s="64"/>
      <c r="E1665" s="65"/>
      <c r="F1665" s="66"/>
      <c r="G1665" s="63"/>
      <c r="H1665" s="67"/>
      <c r="I1665" s="68"/>
      <c r="J1665" s="68"/>
      <c r="K1665" s="32"/>
      <c r="L1665" s="75">
        <v>1665</v>
      </c>
      <c r="M1665" s="75"/>
      <c r="N1665" s="70"/>
      <c r="O1665" s="77" t="s">
        <v>179</v>
      </c>
      <c r="P1665" s="79">
        <v>45150.486747685187</v>
      </c>
      <c r="Q1665" s="77" t="s">
        <v>2451</v>
      </c>
      <c r="R1665" s="77">
        <v>0</v>
      </c>
      <c r="S1665" s="77">
        <v>1</v>
      </c>
      <c r="T1665" s="77">
        <v>1</v>
      </c>
      <c r="U1665" s="77">
        <v>0</v>
      </c>
      <c r="V1665" s="77">
        <v>87</v>
      </c>
      <c r="W1665" s="82" t="s">
        <v>5855</v>
      </c>
      <c r="X1665" s="77"/>
      <c r="Y1665" s="77"/>
      <c r="Z1665" s="77"/>
      <c r="AA1665" s="77"/>
      <c r="AB1665" s="77"/>
      <c r="AC1665" s="82" t="s">
        <v>8232</v>
      </c>
      <c r="AD1665" s="77" t="s">
        <v>8278</v>
      </c>
      <c r="AE1665" s="80" t="str">
        <f>HYPERLINK("https://twitter.com/arthurvallephd/status/1690327499774058496")</f>
        <v>https://twitter.com/arthurvallephd/status/1690327499774058496</v>
      </c>
      <c r="AF1665" s="79">
        <v>45150.486747685187</v>
      </c>
      <c r="AG1665" s="85">
        <v>45150</v>
      </c>
      <c r="AH1665" s="82" t="s">
        <v>9793</v>
      </c>
      <c r="AI1665" s="77"/>
      <c r="AJ1665" s="77"/>
      <c r="AK1665" s="77"/>
      <c r="AL1665" s="77"/>
      <c r="AM1665" s="77"/>
      <c r="AN1665" s="77"/>
      <c r="AO1665" s="77"/>
      <c r="AP1665" s="77"/>
      <c r="AQ1665" s="77"/>
      <c r="AR1665" s="77"/>
      <c r="AS1665" s="77"/>
      <c r="AT1665" s="77"/>
      <c r="AU1665" s="77"/>
      <c r="AV1665" s="80" t="str">
        <f>HYPERLINK("https://pbs.twimg.com/profile_images/1615501037283975171/ycPlUEDC_normal.jpg")</f>
        <v>https://pbs.twimg.com/profile_images/1615501037283975171/ycPlUEDC_normal.jpg</v>
      </c>
      <c r="AW1665" s="82" t="s">
        <v>14756</v>
      </c>
      <c r="AX1665" s="82" t="s">
        <v>14756</v>
      </c>
      <c r="AY1665" s="77"/>
      <c r="AZ1665" s="82" t="s">
        <v>17385</v>
      </c>
      <c r="BA1665" s="82" t="s">
        <v>17385</v>
      </c>
      <c r="BB1665" s="82" t="s">
        <v>17385</v>
      </c>
      <c r="BC1665" s="82" t="s">
        <v>14756</v>
      </c>
      <c r="BD1665" s="82" t="s">
        <v>17596</v>
      </c>
      <c r="BE1665" s="77"/>
      <c r="BF1665" s="77"/>
      <c r="BG1665" s="77"/>
      <c r="BH1665" s="77"/>
      <c r="BI1665" s="77"/>
    </row>
    <row r="1666" spans="1:61" x14ac:dyDescent="0.25">
      <c r="A1666" s="62" t="s">
        <v>518</v>
      </c>
      <c r="B1666" s="62" t="s">
        <v>518</v>
      </c>
      <c r="C1666" s="63"/>
      <c r="D1666" s="64"/>
      <c r="E1666" s="65"/>
      <c r="F1666" s="66"/>
      <c r="G1666" s="63"/>
      <c r="H1666" s="67"/>
      <c r="I1666" s="68"/>
      <c r="J1666" s="68"/>
      <c r="K1666" s="32"/>
      <c r="L1666" s="75">
        <v>1666</v>
      </c>
      <c r="M1666" s="75"/>
      <c r="N1666" s="70"/>
      <c r="O1666" s="77" t="s">
        <v>179</v>
      </c>
      <c r="P1666" s="79">
        <v>45095.875625000001</v>
      </c>
      <c r="Q1666" s="77" t="s">
        <v>2452</v>
      </c>
      <c r="R1666" s="77">
        <v>0</v>
      </c>
      <c r="S1666" s="77">
        <v>0</v>
      </c>
      <c r="T1666" s="77">
        <v>1</v>
      </c>
      <c r="U1666" s="77">
        <v>0</v>
      </c>
      <c r="V1666" s="77">
        <v>156</v>
      </c>
      <c r="W1666" s="82" t="s">
        <v>5856</v>
      </c>
      <c r="X1666" s="77"/>
      <c r="Y1666" s="77"/>
      <c r="Z1666" s="77"/>
      <c r="AA1666" s="77" t="s">
        <v>7868</v>
      </c>
      <c r="AB1666" s="77" t="s">
        <v>8230</v>
      </c>
      <c r="AC1666" s="82" t="s">
        <v>8232</v>
      </c>
      <c r="AD1666" s="77" t="s">
        <v>8278</v>
      </c>
      <c r="AE1666" s="80" t="str">
        <f>HYPERLINK("https://twitter.com/arthurvallephd/status/1670537090227118080")</f>
        <v>https://twitter.com/arthurvallephd/status/1670537090227118080</v>
      </c>
      <c r="AF1666" s="79">
        <v>45095.875625000001</v>
      </c>
      <c r="AG1666" s="85">
        <v>45095</v>
      </c>
      <c r="AH1666" s="82" t="s">
        <v>9794</v>
      </c>
      <c r="AI1666" s="77" t="b">
        <v>0</v>
      </c>
      <c r="AJ1666" s="77"/>
      <c r="AK1666" s="77"/>
      <c r="AL1666" s="77"/>
      <c r="AM1666" s="77"/>
      <c r="AN1666" s="77"/>
      <c r="AO1666" s="77"/>
      <c r="AP1666" s="77"/>
      <c r="AQ1666" s="77" t="s">
        <v>12753</v>
      </c>
      <c r="AR1666" s="77"/>
      <c r="AS1666" s="77"/>
      <c r="AT1666" s="77"/>
      <c r="AU1666" s="77"/>
      <c r="AV1666" s="80" t="str">
        <f>HYPERLINK("https://pbs.twimg.com/tweet_video_thumb/Fy7wm0KaIAARcjL.jpg")</f>
        <v>https://pbs.twimg.com/tweet_video_thumb/Fy7wm0KaIAARcjL.jpg</v>
      </c>
      <c r="AW1666" s="82" t="s">
        <v>14757</v>
      </c>
      <c r="AX1666" s="82" t="s">
        <v>14757</v>
      </c>
      <c r="AY1666" s="77"/>
      <c r="AZ1666" s="82" t="s">
        <v>17385</v>
      </c>
      <c r="BA1666" s="82" t="s">
        <v>17385</v>
      </c>
      <c r="BB1666" s="82" t="s">
        <v>17385</v>
      </c>
      <c r="BC1666" s="82" t="s">
        <v>14757</v>
      </c>
      <c r="BD1666" s="82" t="s">
        <v>17596</v>
      </c>
      <c r="BE1666" s="77"/>
      <c r="BF1666" s="77"/>
      <c r="BG1666" s="77"/>
      <c r="BH1666" s="77"/>
      <c r="BI1666" s="77"/>
    </row>
    <row r="1667" spans="1:61" x14ac:dyDescent="0.25">
      <c r="A1667" s="62" t="s">
        <v>520</v>
      </c>
      <c r="B1667" s="62" t="s">
        <v>520</v>
      </c>
      <c r="C1667" s="63"/>
      <c r="D1667" s="64"/>
      <c r="E1667" s="65"/>
      <c r="F1667" s="66"/>
      <c r="G1667" s="63"/>
      <c r="H1667" s="67"/>
      <c r="I1667" s="68"/>
      <c r="J1667" s="68"/>
      <c r="K1667" s="32"/>
      <c r="L1667" s="75">
        <v>1667</v>
      </c>
      <c r="M1667" s="75"/>
      <c r="N1667" s="70"/>
      <c r="O1667" s="77" t="s">
        <v>800</v>
      </c>
      <c r="P1667" s="79">
        <v>45145.945057870369</v>
      </c>
      <c r="Q1667" s="77" t="s">
        <v>2453</v>
      </c>
      <c r="R1667" s="77">
        <v>0</v>
      </c>
      <c r="S1667" s="77">
        <v>1</v>
      </c>
      <c r="T1667" s="77">
        <v>0</v>
      </c>
      <c r="U1667" s="77">
        <v>0</v>
      </c>
      <c r="V1667" s="77">
        <v>22</v>
      </c>
      <c r="W1667" s="82" t="s">
        <v>5857</v>
      </c>
      <c r="X1667" s="77"/>
      <c r="Y1667" s="77"/>
      <c r="Z1667" s="77"/>
      <c r="AA1667" s="77"/>
      <c r="AB1667" s="77"/>
      <c r="AC1667" s="82" t="s">
        <v>8233</v>
      </c>
      <c r="AD1667" s="77" t="s">
        <v>8278</v>
      </c>
      <c r="AE1667" s="80" t="str">
        <f>HYPERLINK("https://twitter.com/carlosteles__/status/1688681648945074176")</f>
        <v>https://twitter.com/carlosteles__/status/1688681648945074176</v>
      </c>
      <c r="AF1667" s="79">
        <v>45145.945057870369</v>
      </c>
      <c r="AG1667" s="85">
        <v>45145</v>
      </c>
      <c r="AH1667" s="82" t="s">
        <v>9795</v>
      </c>
      <c r="AI1667" s="77"/>
      <c r="AJ1667" s="77"/>
      <c r="AK1667" s="77"/>
      <c r="AL1667" s="77"/>
      <c r="AM1667" s="77"/>
      <c r="AN1667" s="77"/>
      <c r="AO1667" s="77"/>
      <c r="AP1667" s="77"/>
      <c r="AQ1667" s="77"/>
      <c r="AR1667" s="77"/>
      <c r="AS1667" s="77"/>
      <c r="AT1667" s="77"/>
      <c r="AU1667" s="77"/>
      <c r="AV1667" s="80" t="str">
        <f>HYPERLINK("https://pbs.twimg.com/profile_images/1686086918222589952/6Iva1pFO_normal.jpg")</f>
        <v>https://pbs.twimg.com/profile_images/1686086918222589952/6Iva1pFO_normal.jpg</v>
      </c>
      <c r="AW1667" s="82" t="s">
        <v>14758</v>
      </c>
      <c r="AX1667" s="82" t="s">
        <v>17189</v>
      </c>
      <c r="AY1667" s="82" t="s">
        <v>17361</v>
      </c>
      <c r="AZ1667" s="82" t="s">
        <v>17414</v>
      </c>
      <c r="BA1667" s="82" t="s">
        <v>17385</v>
      </c>
      <c r="BB1667" s="82" t="s">
        <v>17385</v>
      </c>
      <c r="BC1667" s="82" t="s">
        <v>17414</v>
      </c>
      <c r="BD1667" s="82" t="s">
        <v>17361</v>
      </c>
      <c r="BE1667" s="77"/>
      <c r="BF1667" s="77"/>
      <c r="BG1667" s="77"/>
      <c r="BH1667" s="77"/>
      <c r="BI1667" s="77"/>
    </row>
    <row r="1668" spans="1:61" x14ac:dyDescent="0.25">
      <c r="A1668" s="62" t="s">
        <v>520</v>
      </c>
      <c r="B1668" s="62" t="s">
        <v>520</v>
      </c>
      <c r="C1668" s="63"/>
      <c r="D1668" s="64"/>
      <c r="E1668" s="65"/>
      <c r="F1668" s="66"/>
      <c r="G1668" s="63"/>
      <c r="H1668" s="67"/>
      <c r="I1668" s="68"/>
      <c r="J1668" s="68"/>
      <c r="K1668" s="32"/>
      <c r="L1668" s="75">
        <v>1668</v>
      </c>
      <c r="M1668" s="75"/>
      <c r="N1668" s="70"/>
      <c r="O1668" s="77" t="s">
        <v>800</v>
      </c>
      <c r="P1668" s="79">
        <v>45144.800543981481</v>
      </c>
      <c r="Q1668" s="77" t="s">
        <v>2454</v>
      </c>
      <c r="R1668" s="77">
        <v>0</v>
      </c>
      <c r="S1668" s="77">
        <v>1</v>
      </c>
      <c r="T1668" s="77">
        <v>0</v>
      </c>
      <c r="U1668" s="77">
        <v>0</v>
      </c>
      <c r="V1668" s="77">
        <v>13</v>
      </c>
      <c r="W1668" s="82" t="s">
        <v>5858</v>
      </c>
      <c r="X1668" s="77"/>
      <c r="Y1668" s="77"/>
      <c r="Z1668" s="77"/>
      <c r="AA1668" s="77"/>
      <c r="AB1668" s="77"/>
      <c r="AC1668" s="82" t="s">
        <v>8233</v>
      </c>
      <c r="AD1668" s="77" t="s">
        <v>8278</v>
      </c>
      <c r="AE1668" s="80" t="str">
        <f>HYPERLINK("https://twitter.com/carlosteles__/status/1688266888139153408")</f>
        <v>https://twitter.com/carlosteles__/status/1688266888139153408</v>
      </c>
      <c r="AF1668" s="79">
        <v>45144.800543981481</v>
      </c>
      <c r="AG1668" s="85">
        <v>45144</v>
      </c>
      <c r="AH1668" s="82" t="s">
        <v>9796</v>
      </c>
      <c r="AI1668" s="77"/>
      <c r="AJ1668" s="77"/>
      <c r="AK1668" s="77"/>
      <c r="AL1668" s="77"/>
      <c r="AM1668" s="77"/>
      <c r="AN1668" s="77"/>
      <c r="AO1668" s="77"/>
      <c r="AP1668" s="77"/>
      <c r="AQ1668" s="77"/>
      <c r="AR1668" s="77"/>
      <c r="AS1668" s="77"/>
      <c r="AT1668" s="77"/>
      <c r="AU1668" s="77"/>
      <c r="AV1668" s="80" t="str">
        <f>HYPERLINK("https://pbs.twimg.com/profile_images/1686086918222589952/6Iva1pFO_normal.jpg")</f>
        <v>https://pbs.twimg.com/profile_images/1686086918222589952/6Iva1pFO_normal.jpg</v>
      </c>
      <c r="AW1668" s="82" t="s">
        <v>14759</v>
      </c>
      <c r="AX1668" s="82" t="s">
        <v>17190</v>
      </c>
      <c r="AY1668" s="82" t="s">
        <v>17361</v>
      </c>
      <c r="AZ1668" s="82" t="s">
        <v>17190</v>
      </c>
      <c r="BA1668" s="82" t="s">
        <v>17385</v>
      </c>
      <c r="BB1668" s="82" t="s">
        <v>17385</v>
      </c>
      <c r="BC1668" s="82" t="s">
        <v>17190</v>
      </c>
      <c r="BD1668" s="82" t="s">
        <v>17361</v>
      </c>
      <c r="BE1668" s="77"/>
      <c r="BF1668" s="77"/>
      <c r="BG1668" s="77"/>
      <c r="BH1668" s="77"/>
      <c r="BI1668" s="77"/>
    </row>
    <row r="1669" spans="1:61" x14ac:dyDescent="0.25">
      <c r="A1669" s="62" t="s">
        <v>520</v>
      </c>
      <c r="B1669" s="62" t="s">
        <v>520</v>
      </c>
      <c r="C1669" s="63"/>
      <c r="D1669" s="64"/>
      <c r="E1669" s="65"/>
      <c r="F1669" s="66"/>
      <c r="G1669" s="63"/>
      <c r="H1669" s="67"/>
      <c r="I1669" s="68"/>
      <c r="J1669" s="68"/>
      <c r="K1669" s="32"/>
      <c r="L1669" s="75">
        <v>1669</v>
      </c>
      <c r="M1669" s="75"/>
      <c r="N1669" s="70"/>
      <c r="O1669" s="77" t="s">
        <v>800</v>
      </c>
      <c r="P1669" s="79">
        <v>45151.769120370373</v>
      </c>
      <c r="Q1669" s="77" t="s">
        <v>2455</v>
      </c>
      <c r="R1669" s="77">
        <v>0</v>
      </c>
      <c r="S1669" s="77">
        <v>1</v>
      </c>
      <c r="T1669" s="77">
        <v>0</v>
      </c>
      <c r="U1669" s="77">
        <v>0</v>
      </c>
      <c r="V1669" s="77">
        <v>32</v>
      </c>
      <c r="W1669" s="82" t="s">
        <v>5859</v>
      </c>
      <c r="X1669" s="77"/>
      <c r="Y1669" s="77"/>
      <c r="Z1669" s="77"/>
      <c r="AA1669" s="77"/>
      <c r="AB1669" s="77"/>
      <c r="AC1669" s="82" t="s">
        <v>8233</v>
      </c>
      <c r="AD1669" s="77" t="s">
        <v>8278</v>
      </c>
      <c r="AE1669" s="80" t="str">
        <f>HYPERLINK("https://twitter.com/carlosteles__/status/1690792218221498368")</f>
        <v>https://twitter.com/carlosteles__/status/1690792218221498368</v>
      </c>
      <c r="AF1669" s="79">
        <v>45151.769120370373</v>
      </c>
      <c r="AG1669" s="85">
        <v>45151</v>
      </c>
      <c r="AH1669" s="82" t="s">
        <v>9797</v>
      </c>
      <c r="AI1669" s="77"/>
      <c r="AJ1669" s="77"/>
      <c r="AK1669" s="77"/>
      <c r="AL1669" s="77"/>
      <c r="AM1669" s="77"/>
      <c r="AN1669" s="77"/>
      <c r="AO1669" s="77"/>
      <c r="AP1669" s="77"/>
      <c r="AQ1669" s="77"/>
      <c r="AR1669" s="77"/>
      <c r="AS1669" s="77"/>
      <c r="AT1669" s="77"/>
      <c r="AU1669" s="77"/>
      <c r="AV1669" s="80" t="str">
        <f>HYPERLINK("https://pbs.twimg.com/profile_images/1686086918222589952/6Iva1pFO_normal.jpg")</f>
        <v>https://pbs.twimg.com/profile_images/1686086918222589952/6Iva1pFO_normal.jpg</v>
      </c>
      <c r="AW1669" s="82" t="s">
        <v>14760</v>
      </c>
      <c r="AX1669" s="82" t="s">
        <v>17191</v>
      </c>
      <c r="AY1669" s="82" t="s">
        <v>17361</v>
      </c>
      <c r="AZ1669" s="82" t="s">
        <v>17191</v>
      </c>
      <c r="BA1669" s="82" t="s">
        <v>17385</v>
      </c>
      <c r="BB1669" s="82" t="s">
        <v>17385</v>
      </c>
      <c r="BC1669" s="82" t="s">
        <v>17191</v>
      </c>
      <c r="BD1669" s="82" t="s">
        <v>17361</v>
      </c>
      <c r="BE1669" s="77"/>
      <c r="BF1669" s="77"/>
      <c r="BG1669" s="77"/>
      <c r="BH1669" s="77"/>
      <c r="BI1669" s="77"/>
    </row>
    <row r="1670" spans="1:61" x14ac:dyDescent="0.25">
      <c r="A1670" s="62" t="s">
        <v>520</v>
      </c>
      <c r="B1670" s="62" t="s">
        <v>520</v>
      </c>
      <c r="C1670" s="63"/>
      <c r="D1670" s="64"/>
      <c r="E1670" s="65"/>
      <c r="F1670" s="66"/>
      <c r="G1670" s="63"/>
      <c r="H1670" s="67"/>
      <c r="I1670" s="68"/>
      <c r="J1670" s="68"/>
      <c r="K1670" s="32"/>
      <c r="L1670" s="75">
        <v>1670</v>
      </c>
      <c r="M1670" s="75"/>
      <c r="N1670" s="70"/>
      <c r="O1670" s="77" t="s">
        <v>179</v>
      </c>
      <c r="P1670" s="79">
        <v>45151.623668981483</v>
      </c>
      <c r="Q1670" s="77" t="s">
        <v>2456</v>
      </c>
      <c r="R1670" s="77">
        <v>0</v>
      </c>
      <c r="S1670" s="77">
        <v>1</v>
      </c>
      <c r="T1670" s="77">
        <v>0</v>
      </c>
      <c r="U1670" s="77">
        <v>0</v>
      </c>
      <c r="V1670" s="77">
        <v>49</v>
      </c>
      <c r="W1670" s="82" t="s">
        <v>5860</v>
      </c>
      <c r="X1670" s="77"/>
      <c r="Y1670" s="77"/>
      <c r="Z1670" s="77"/>
      <c r="AA1670" s="77" t="s">
        <v>7869</v>
      </c>
      <c r="AB1670" s="77" t="s">
        <v>8227</v>
      </c>
      <c r="AC1670" s="82" t="s">
        <v>8233</v>
      </c>
      <c r="AD1670" s="77" t="s">
        <v>8278</v>
      </c>
      <c r="AE1670" s="80" t="str">
        <f>HYPERLINK("https://twitter.com/carlosteles__/status/1690739505391620097")</f>
        <v>https://twitter.com/carlosteles__/status/1690739505391620097</v>
      </c>
      <c r="AF1670" s="79">
        <v>45151.623668981483</v>
      </c>
      <c r="AG1670" s="85">
        <v>45151</v>
      </c>
      <c r="AH1670" s="82" t="s">
        <v>9798</v>
      </c>
      <c r="AI1670" s="77" t="b">
        <v>0</v>
      </c>
      <c r="AJ1670" s="77"/>
      <c r="AK1670" s="77"/>
      <c r="AL1670" s="77"/>
      <c r="AM1670" s="77"/>
      <c r="AN1670" s="77"/>
      <c r="AO1670" s="77"/>
      <c r="AP1670" s="77"/>
      <c r="AQ1670" s="77" t="s">
        <v>12754</v>
      </c>
      <c r="AR1670" s="77">
        <v>5000</v>
      </c>
      <c r="AS1670" s="77"/>
      <c r="AT1670" s="77"/>
      <c r="AU1670" s="77"/>
      <c r="AV1670" s="80" t="str">
        <f>HYPERLINK("https://pbs.twimg.com/ext_tw_video_thumb/1690739489268695041/pu/img/3QndBW1iEdmbuYUF.jpg")</f>
        <v>https://pbs.twimg.com/ext_tw_video_thumb/1690739489268695041/pu/img/3QndBW1iEdmbuYUF.jpg</v>
      </c>
      <c r="AW1670" s="82" t="s">
        <v>14761</v>
      </c>
      <c r="AX1670" s="82" t="s">
        <v>14761</v>
      </c>
      <c r="AY1670" s="77"/>
      <c r="AZ1670" s="82" t="s">
        <v>17385</v>
      </c>
      <c r="BA1670" s="82" t="s">
        <v>17385</v>
      </c>
      <c r="BB1670" s="82" t="s">
        <v>17385</v>
      </c>
      <c r="BC1670" s="82" t="s">
        <v>14761</v>
      </c>
      <c r="BD1670" s="82" t="s">
        <v>17361</v>
      </c>
      <c r="BE1670" s="77"/>
      <c r="BF1670" s="77"/>
      <c r="BG1670" s="77"/>
      <c r="BH1670" s="77"/>
      <c r="BI1670" s="77"/>
    </row>
    <row r="1671" spans="1:61" x14ac:dyDescent="0.25">
      <c r="A1671" s="62" t="s">
        <v>520</v>
      </c>
      <c r="B1671" s="62" t="s">
        <v>520</v>
      </c>
      <c r="C1671" s="63"/>
      <c r="D1671" s="64"/>
      <c r="E1671" s="65"/>
      <c r="F1671" s="66"/>
      <c r="G1671" s="63"/>
      <c r="H1671" s="67"/>
      <c r="I1671" s="68"/>
      <c r="J1671" s="68"/>
      <c r="K1671" s="32"/>
      <c r="L1671" s="75">
        <v>1671</v>
      </c>
      <c r="M1671" s="75"/>
      <c r="N1671" s="70"/>
      <c r="O1671" s="77" t="s">
        <v>800</v>
      </c>
      <c r="P1671" s="79">
        <v>45143.378472222219</v>
      </c>
      <c r="Q1671" s="77" t="s">
        <v>2457</v>
      </c>
      <c r="R1671" s="77">
        <v>0</v>
      </c>
      <c r="S1671" s="77">
        <v>0</v>
      </c>
      <c r="T1671" s="77">
        <v>0</v>
      </c>
      <c r="U1671" s="77">
        <v>0</v>
      </c>
      <c r="V1671" s="77">
        <v>15</v>
      </c>
      <c r="W1671" s="82" t="s">
        <v>5861</v>
      </c>
      <c r="X1671" s="77"/>
      <c r="Y1671" s="77"/>
      <c r="Z1671" s="77"/>
      <c r="AA1671" s="77"/>
      <c r="AB1671" s="77"/>
      <c r="AC1671" s="82" t="s">
        <v>8233</v>
      </c>
      <c r="AD1671" s="77" t="s">
        <v>8282</v>
      </c>
      <c r="AE1671" s="80" t="str">
        <f>HYPERLINK("https://twitter.com/carlosteles__/status/1687751545599787008")</f>
        <v>https://twitter.com/carlosteles__/status/1687751545599787008</v>
      </c>
      <c r="AF1671" s="79">
        <v>45143.378472222219</v>
      </c>
      <c r="AG1671" s="85">
        <v>45143</v>
      </c>
      <c r="AH1671" s="82" t="s">
        <v>9799</v>
      </c>
      <c r="AI1671" s="77"/>
      <c r="AJ1671" s="77"/>
      <c r="AK1671" s="77"/>
      <c r="AL1671" s="77"/>
      <c r="AM1671" s="77"/>
      <c r="AN1671" s="77"/>
      <c r="AO1671" s="77"/>
      <c r="AP1671" s="77"/>
      <c r="AQ1671" s="77"/>
      <c r="AR1671" s="77"/>
      <c r="AS1671" s="77"/>
      <c r="AT1671" s="77"/>
      <c r="AU1671" s="77"/>
      <c r="AV1671" s="80" t="str">
        <f>HYPERLINK("https://pbs.twimg.com/profile_images/1686086918222589952/6Iva1pFO_normal.jpg")</f>
        <v>https://pbs.twimg.com/profile_images/1686086918222589952/6Iva1pFO_normal.jpg</v>
      </c>
      <c r="AW1671" s="82" t="s">
        <v>14762</v>
      </c>
      <c r="AX1671" s="82" t="s">
        <v>17192</v>
      </c>
      <c r="AY1671" s="82" t="s">
        <v>17361</v>
      </c>
      <c r="AZ1671" s="82" t="s">
        <v>17415</v>
      </c>
      <c r="BA1671" s="82" t="s">
        <v>17385</v>
      </c>
      <c r="BB1671" s="82" t="s">
        <v>17385</v>
      </c>
      <c r="BC1671" s="82" t="s">
        <v>17415</v>
      </c>
      <c r="BD1671" s="82" t="s">
        <v>17361</v>
      </c>
      <c r="BE1671" s="77"/>
      <c r="BF1671" s="77"/>
      <c r="BG1671" s="77"/>
      <c r="BH1671" s="77"/>
      <c r="BI1671" s="77"/>
    </row>
    <row r="1672" spans="1:61" x14ac:dyDescent="0.25">
      <c r="A1672" s="62" t="s">
        <v>520</v>
      </c>
      <c r="B1672" s="62" t="s">
        <v>520</v>
      </c>
      <c r="C1672" s="63"/>
      <c r="D1672" s="64"/>
      <c r="E1672" s="65"/>
      <c r="F1672" s="66"/>
      <c r="G1672" s="63"/>
      <c r="H1672" s="67"/>
      <c r="I1672" s="68"/>
      <c r="J1672" s="68"/>
      <c r="K1672" s="32"/>
      <c r="L1672" s="75">
        <v>1672</v>
      </c>
      <c r="M1672" s="75"/>
      <c r="N1672" s="70"/>
      <c r="O1672" s="77" t="s">
        <v>179</v>
      </c>
      <c r="P1672" s="79">
        <v>45154.566944444443</v>
      </c>
      <c r="Q1672" s="77" t="s">
        <v>2458</v>
      </c>
      <c r="R1672" s="77">
        <v>0</v>
      </c>
      <c r="S1672" s="77">
        <v>0</v>
      </c>
      <c r="T1672" s="77">
        <v>0</v>
      </c>
      <c r="U1672" s="77">
        <v>0</v>
      </c>
      <c r="V1672" s="77">
        <v>24</v>
      </c>
      <c r="W1672" s="82" t="s">
        <v>5862</v>
      </c>
      <c r="X1672" s="77"/>
      <c r="Y1672" s="77"/>
      <c r="Z1672" s="77"/>
      <c r="AA1672" s="77" t="s">
        <v>7870</v>
      </c>
      <c r="AB1672" s="77" t="s">
        <v>8225</v>
      </c>
      <c r="AC1672" s="82" t="s">
        <v>8233</v>
      </c>
      <c r="AD1672" s="77" t="s">
        <v>8278</v>
      </c>
      <c r="AE1672" s="80" t="str">
        <f>HYPERLINK("https://twitter.com/carlosteles__/status/1691806112104820800")</f>
        <v>https://twitter.com/carlosteles__/status/1691806112104820800</v>
      </c>
      <c r="AF1672" s="79">
        <v>45154.566944444443</v>
      </c>
      <c r="AG1672" s="85">
        <v>45154</v>
      </c>
      <c r="AH1672" s="82" t="s">
        <v>9800</v>
      </c>
      <c r="AI1672" s="77" t="b">
        <v>0</v>
      </c>
      <c r="AJ1672" s="77"/>
      <c r="AK1672" s="77"/>
      <c r="AL1672" s="77"/>
      <c r="AM1672" s="77"/>
      <c r="AN1672" s="77"/>
      <c r="AO1672" s="77"/>
      <c r="AP1672" s="77"/>
      <c r="AQ1672" s="77" t="s">
        <v>12755</v>
      </c>
      <c r="AR1672" s="77"/>
      <c r="AS1672" s="77"/>
      <c r="AT1672" s="77"/>
      <c r="AU1672" s="77"/>
      <c r="AV1672" s="80" t="str">
        <f>HYPERLINK("https://pbs.twimg.com/media/F3qAsJwXEAAvhoE.jpg")</f>
        <v>https://pbs.twimg.com/media/F3qAsJwXEAAvhoE.jpg</v>
      </c>
      <c r="AW1672" s="82" t="s">
        <v>14763</v>
      </c>
      <c r="AX1672" s="82" t="s">
        <v>14763</v>
      </c>
      <c r="AY1672" s="77"/>
      <c r="AZ1672" s="82" t="s">
        <v>17385</v>
      </c>
      <c r="BA1672" s="82" t="s">
        <v>17385</v>
      </c>
      <c r="BB1672" s="82" t="s">
        <v>17385</v>
      </c>
      <c r="BC1672" s="82" t="s">
        <v>14763</v>
      </c>
      <c r="BD1672" s="82" t="s">
        <v>17361</v>
      </c>
      <c r="BE1672" s="77"/>
      <c r="BF1672" s="77"/>
      <c r="BG1672" s="77"/>
      <c r="BH1672" s="77"/>
      <c r="BI1672" s="77"/>
    </row>
    <row r="1673" spans="1:61" x14ac:dyDescent="0.25">
      <c r="A1673" s="62" t="s">
        <v>520</v>
      </c>
      <c r="B1673" s="62" t="s">
        <v>520</v>
      </c>
      <c r="C1673" s="63"/>
      <c r="D1673" s="64"/>
      <c r="E1673" s="65"/>
      <c r="F1673" s="66"/>
      <c r="G1673" s="63"/>
      <c r="H1673" s="67"/>
      <c r="I1673" s="68"/>
      <c r="J1673" s="68"/>
      <c r="K1673" s="32"/>
      <c r="L1673" s="75">
        <v>1673</v>
      </c>
      <c r="M1673" s="75"/>
      <c r="N1673" s="70"/>
      <c r="O1673" s="77" t="s">
        <v>800</v>
      </c>
      <c r="P1673" s="79">
        <v>45159.599062499998</v>
      </c>
      <c r="Q1673" s="77" t="s">
        <v>2459</v>
      </c>
      <c r="R1673" s="77">
        <v>0</v>
      </c>
      <c r="S1673" s="77">
        <v>1</v>
      </c>
      <c r="T1673" s="77">
        <v>0</v>
      </c>
      <c r="U1673" s="77">
        <v>0</v>
      </c>
      <c r="V1673" s="77">
        <v>30</v>
      </c>
      <c r="W1673" s="82" t="s">
        <v>5863</v>
      </c>
      <c r="X1673" s="77"/>
      <c r="Y1673" s="77"/>
      <c r="Z1673" s="77"/>
      <c r="AA1673" s="77"/>
      <c r="AB1673" s="77"/>
      <c r="AC1673" s="82" t="s">
        <v>8233</v>
      </c>
      <c r="AD1673" s="77" t="s">
        <v>8278</v>
      </c>
      <c r="AE1673" s="80" t="str">
        <f>HYPERLINK("https://twitter.com/carlosteles__/status/1693629691389694417")</f>
        <v>https://twitter.com/carlosteles__/status/1693629691389694417</v>
      </c>
      <c r="AF1673" s="79">
        <v>45159.599062499998</v>
      </c>
      <c r="AG1673" s="85">
        <v>45159</v>
      </c>
      <c r="AH1673" s="82" t="s">
        <v>9801</v>
      </c>
      <c r="AI1673" s="77"/>
      <c r="AJ1673" s="77"/>
      <c r="AK1673" s="77"/>
      <c r="AL1673" s="77"/>
      <c r="AM1673" s="77"/>
      <c r="AN1673" s="77"/>
      <c r="AO1673" s="77"/>
      <c r="AP1673" s="77"/>
      <c r="AQ1673" s="77"/>
      <c r="AR1673" s="77"/>
      <c r="AS1673" s="77"/>
      <c r="AT1673" s="77"/>
      <c r="AU1673" s="77"/>
      <c r="AV1673" s="80" t="str">
        <f>HYPERLINK("https://pbs.twimg.com/profile_images/1686086918222589952/6Iva1pFO_normal.jpg")</f>
        <v>https://pbs.twimg.com/profile_images/1686086918222589952/6Iva1pFO_normal.jpg</v>
      </c>
      <c r="AW1673" s="82" t="s">
        <v>14764</v>
      </c>
      <c r="AX1673" s="82" t="s">
        <v>17193</v>
      </c>
      <c r="AY1673" s="82" t="s">
        <v>17361</v>
      </c>
      <c r="AZ1673" s="82" t="s">
        <v>17193</v>
      </c>
      <c r="BA1673" s="82" t="s">
        <v>17385</v>
      </c>
      <c r="BB1673" s="82" t="s">
        <v>17385</v>
      </c>
      <c r="BC1673" s="82" t="s">
        <v>17193</v>
      </c>
      <c r="BD1673" s="82" t="s">
        <v>17361</v>
      </c>
      <c r="BE1673" s="77"/>
      <c r="BF1673" s="77"/>
      <c r="BG1673" s="77"/>
      <c r="BH1673" s="77"/>
      <c r="BI1673" s="77"/>
    </row>
    <row r="1674" spans="1:61" x14ac:dyDescent="0.25">
      <c r="A1674" s="62" t="s">
        <v>520</v>
      </c>
      <c r="B1674" s="62" t="s">
        <v>520</v>
      </c>
      <c r="C1674" s="63"/>
      <c r="D1674" s="64"/>
      <c r="E1674" s="65"/>
      <c r="F1674" s="66"/>
      <c r="G1674" s="63"/>
      <c r="H1674" s="67"/>
      <c r="I1674" s="68"/>
      <c r="J1674" s="68"/>
      <c r="K1674" s="32"/>
      <c r="L1674" s="75">
        <v>1674</v>
      </c>
      <c r="M1674" s="75"/>
      <c r="N1674" s="70"/>
      <c r="O1674" s="77" t="s">
        <v>179</v>
      </c>
      <c r="P1674" s="79">
        <v>45167.911307870374</v>
      </c>
      <c r="Q1674" s="77" t="s">
        <v>2460</v>
      </c>
      <c r="R1674" s="77">
        <v>0</v>
      </c>
      <c r="S1674" s="77">
        <v>0</v>
      </c>
      <c r="T1674" s="77">
        <v>1</v>
      </c>
      <c r="U1674" s="77">
        <v>0</v>
      </c>
      <c r="V1674" s="77">
        <v>39</v>
      </c>
      <c r="W1674" s="82" t="s">
        <v>4835</v>
      </c>
      <c r="X1674" s="77"/>
      <c r="Y1674" s="77"/>
      <c r="Z1674" s="77"/>
      <c r="AA1674" s="77"/>
      <c r="AB1674" s="77"/>
      <c r="AC1674" s="82" t="s">
        <v>8233</v>
      </c>
      <c r="AD1674" s="77" t="s">
        <v>8278</v>
      </c>
      <c r="AE1674" s="80" t="str">
        <f>HYPERLINK("https://twitter.com/carlosteles__/status/1696641948642066507")</f>
        <v>https://twitter.com/carlosteles__/status/1696641948642066507</v>
      </c>
      <c r="AF1674" s="79">
        <v>45167.911307870374</v>
      </c>
      <c r="AG1674" s="85">
        <v>45167</v>
      </c>
      <c r="AH1674" s="82" t="s">
        <v>9802</v>
      </c>
      <c r="AI1674" s="77"/>
      <c r="AJ1674" s="77"/>
      <c r="AK1674" s="77"/>
      <c r="AL1674" s="77"/>
      <c r="AM1674" s="77"/>
      <c r="AN1674" s="77"/>
      <c r="AO1674" s="77"/>
      <c r="AP1674" s="77"/>
      <c r="AQ1674" s="77"/>
      <c r="AR1674" s="77"/>
      <c r="AS1674" s="77"/>
      <c r="AT1674" s="77"/>
      <c r="AU1674" s="77"/>
      <c r="AV1674" s="80" t="str">
        <f>HYPERLINK("https://pbs.twimg.com/profile_images/1686086918222589952/6Iva1pFO_normal.jpg")</f>
        <v>https://pbs.twimg.com/profile_images/1686086918222589952/6Iva1pFO_normal.jpg</v>
      </c>
      <c r="AW1674" s="82" t="s">
        <v>14765</v>
      </c>
      <c r="AX1674" s="82" t="s">
        <v>14765</v>
      </c>
      <c r="AY1674" s="77"/>
      <c r="AZ1674" s="82" t="s">
        <v>17385</v>
      </c>
      <c r="BA1674" s="82" t="s">
        <v>17385</v>
      </c>
      <c r="BB1674" s="82" t="s">
        <v>17385</v>
      </c>
      <c r="BC1674" s="82" t="s">
        <v>14765</v>
      </c>
      <c r="BD1674" s="82" t="s">
        <v>17361</v>
      </c>
      <c r="BE1674" s="77"/>
      <c r="BF1674" s="77"/>
      <c r="BG1674" s="77"/>
      <c r="BH1674" s="77"/>
      <c r="BI1674" s="77"/>
    </row>
    <row r="1675" spans="1:61" x14ac:dyDescent="0.25">
      <c r="A1675" s="62" t="s">
        <v>520</v>
      </c>
      <c r="B1675" s="62" t="s">
        <v>520</v>
      </c>
      <c r="C1675" s="63"/>
      <c r="D1675" s="64"/>
      <c r="E1675" s="65"/>
      <c r="F1675" s="66"/>
      <c r="G1675" s="63"/>
      <c r="H1675" s="67"/>
      <c r="I1675" s="68"/>
      <c r="J1675" s="68"/>
      <c r="K1675" s="32"/>
      <c r="L1675" s="75">
        <v>1675</v>
      </c>
      <c r="M1675" s="75"/>
      <c r="N1675" s="70"/>
      <c r="O1675" s="77" t="s">
        <v>800</v>
      </c>
      <c r="P1675" s="79">
        <v>45166.936481481483</v>
      </c>
      <c r="Q1675" s="77" t="s">
        <v>2461</v>
      </c>
      <c r="R1675" s="77">
        <v>0</v>
      </c>
      <c r="S1675" s="77">
        <v>0</v>
      </c>
      <c r="T1675" s="77">
        <v>0</v>
      </c>
      <c r="U1675" s="77">
        <v>0</v>
      </c>
      <c r="V1675" s="77">
        <v>74</v>
      </c>
      <c r="W1675" s="82" t="s">
        <v>5864</v>
      </c>
      <c r="X1675" s="77"/>
      <c r="Y1675" s="77"/>
      <c r="Z1675" s="77"/>
      <c r="AA1675" s="77"/>
      <c r="AB1675" s="77"/>
      <c r="AC1675" s="82" t="s">
        <v>8233</v>
      </c>
      <c r="AD1675" s="77" t="s">
        <v>8278</v>
      </c>
      <c r="AE1675" s="80" t="str">
        <f>HYPERLINK("https://twitter.com/carlosteles__/status/1696288682980831419")</f>
        <v>https://twitter.com/carlosteles__/status/1696288682980831419</v>
      </c>
      <c r="AF1675" s="79">
        <v>45166.936481481483</v>
      </c>
      <c r="AG1675" s="85">
        <v>45166</v>
      </c>
      <c r="AH1675" s="82" t="s">
        <v>9803</v>
      </c>
      <c r="AI1675" s="77"/>
      <c r="AJ1675" s="77"/>
      <c r="AK1675" s="77"/>
      <c r="AL1675" s="77"/>
      <c r="AM1675" s="77"/>
      <c r="AN1675" s="77"/>
      <c r="AO1675" s="77"/>
      <c r="AP1675" s="77"/>
      <c r="AQ1675" s="77"/>
      <c r="AR1675" s="77"/>
      <c r="AS1675" s="77"/>
      <c r="AT1675" s="77"/>
      <c r="AU1675" s="77"/>
      <c r="AV1675" s="80" t="str">
        <f>HYPERLINK("https://pbs.twimg.com/profile_images/1686086918222589952/6Iva1pFO_normal.jpg")</f>
        <v>https://pbs.twimg.com/profile_images/1686086918222589952/6Iva1pFO_normal.jpg</v>
      </c>
      <c r="AW1675" s="82" t="s">
        <v>14766</v>
      </c>
      <c r="AX1675" s="82" t="s">
        <v>17194</v>
      </c>
      <c r="AY1675" s="82" t="s">
        <v>17361</v>
      </c>
      <c r="AZ1675" s="82" t="s">
        <v>17194</v>
      </c>
      <c r="BA1675" s="82" t="s">
        <v>17385</v>
      </c>
      <c r="BB1675" s="82" t="s">
        <v>17385</v>
      </c>
      <c r="BC1675" s="82" t="s">
        <v>17194</v>
      </c>
      <c r="BD1675" s="82" t="s">
        <v>17361</v>
      </c>
      <c r="BE1675" s="77"/>
      <c r="BF1675" s="77"/>
      <c r="BG1675" s="77"/>
      <c r="BH1675" s="77"/>
      <c r="BI1675" s="77"/>
    </row>
    <row r="1676" spans="1:61" x14ac:dyDescent="0.25">
      <c r="A1676" s="62" t="s">
        <v>520</v>
      </c>
      <c r="B1676" s="62" t="s">
        <v>520</v>
      </c>
      <c r="C1676" s="63"/>
      <c r="D1676" s="64"/>
      <c r="E1676" s="65"/>
      <c r="F1676" s="66"/>
      <c r="G1676" s="63"/>
      <c r="H1676" s="67"/>
      <c r="I1676" s="68"/>
      <c r="J1676" s="68"/>
      <c r="K1676" s="32"/>
      <c r="L1676" s="75">
        <v>1676</v>
      </c>
      <c r="M1676" s="75"/>
      <c r="N1676" s="70"/>
      <c r="O1676" s="77" t="s">
        <v>179</v>
      </c>
      <c r="P1676" s="79">
        <v>45151.577592592592</v>
      </c>
      <c r="Q1676" s="77" t="s">
        <v>2462</v>
      </c>
      <c r="R1676" s="77">
        <v>0</v>
      </c>
      <c r="S1676" s="77">
        <v>1</v>
      </c>
      <c r="T1676" s="77">
        <v>0</v>
      </c>
      <c r="U1676" s="77">
        <v>0</v>
      </c>
      <c r="V1676" s="77">
        <v>56</v>
      </c>
      <c r="W1676" s="82" t="s">
        <v>5865</v>
      </c>
      <c r="X1676" s="77"/>
      <c r="Y1676" s="77"/>
      <c r="Z1676" s="77"/>
      <c r="AA1676" s="77" t="s">
        <v>7871</v>
      </c>
      <c r="AB1676" s="77" t="s">
        <v>8225</v>
      </c>
      <c r="AC1676" s="82" t="s">
        <v>8233</v>
      </c>
      <c r="AD1676" s="77" t="s">
        <v>8278</v>
      </c>
      <c r="AE1676" s="80" t="str">
        <f>HYPERLINK("https://twitter.com/carlosteles__/status/1690722808328753152")</f>
        <v>https://twitter.com/carlosteles__/status/1690722808328753152</v>
      </c>
      <c r="AF1676" s="79">
        <v>45151.577592592592</v>
      </c>
      <c r="AG1676" s="85">
        <v>45151</v>
      </c>
      <c r="AH1676" s="82" t="s">
        <v>9804</v>
      </c>
      <c r="AI1676" s="77" t="b">
        <v>0</v>
      </c>
      <c r="AJ1676" s="77"/>
      <c r="AK1676" s="77"/>
      <c r="AL1676" s="77"/>
      <c r="AM1676" s="77"/>
      <c r="AN1676" s="77"/>
      <c r="AO1676" s="77"/>
      <c r="AP1676" s="77"/>
      <c r="AQ1676" s="77" t="s">
        <v>12756</v>
      </c>
      <c r="AR1676" s="77"/>
      <c r="AS1676" s="77"/>
      <c r="AT1676" s="77"/>
      <c r="AU1676" s="77"/>
      <c r="AV1676" s="80" t="str">
        <f>HYPERLINK("https://pbs.twimg.com/media/F3anbnHXwAAJJos.jpg")</f>
        <v>https://pbs.twimg.com/media/F3anbnHXwAAJJos.jpg</v>
      </c>
      <c r="AW1676" s="82" t="s">
        <v>14767</v>
      </c>
      <c r="AX1676" s="82" t="s">
        <v>14767</v>
      </c>
      <c r="AY1676" s="77"/>
      <c r="AZ1676" s="82" t="s">
        <v>17385</v>
      </c>
      <c r="BA1676" s="82" t="s">
        <v>17385</v>
      </c>
      <c r="BB1676" s="82" t="s">
        <v>17385</v>
      </c>
      <c r="BC1676" s="82" t="s">
        <v>14767</v>
      </c>
      <c r="BD1676" s="82" t="s">
        <v>17361</v>
      </c>
      <c r="BE1676" s="77"/>
      <c r="BF1676" s="77"/>
      <c r="BG1676" s="77"/>
      <c r="BH1676" s="77"/>
      <c r="BI1676" s="77"/>
    </row>
    <row r="1677" spans="1:61" x14ac:dyDescent="0.25">
      <c r="A1677" s="62" t="s">
        <v>520</v>
      </c>
      <c r="B1677" s="62" t="s">
        <v>520</v>
      </c>
      <c r="C1677" s="63"/>
      <c r="D1677" s="64"/>
      <c r="E1677" s="65"/>
      <c r="F1677" s="66"/>
      <c r="G1677" s="63"/>
      <c r="H1677" s="67"/>
      <c r="I1677" s="68"/>
      <c r="J1677" s="68"/>
      <c r="K1677" s="32"/>
      <c r="L1677" s="75">
        <v>1677</v>
      </c>
      <c r="M1677" s="75"/>
      <c r="N1677" s="70"/>
      <c r="O1677" s="77" t="s">
        <v>179</v>
      </c>
      <c r="P1677" s="79">
        <v>45150.783807870372</v>
      </c>
      <c r="Q1677" s="77" t="s">
        <v>2463</v>
      </c>
      <c r="R1677" s="77">
        <v>0</v>
      </c>
      <c r="S1677" s="77">
        <v>1</v>
      </c>
      <c r="T1677" s="77">
        <v>0</v>
      </c>
      <c r="U1677" s="77">
        <v>0</v>
      </c>
      <c r="V1677" s="77">
        <v>48</v>
      </c>
      <c r="W1677" s="82" t="s">
        <v>5866</v>
      </c>
      <c r="X1677" s="77"/>
      <c r="Y1677" s="77"/>
      <c r="Z1677" s="77"/>
      <c r="AA1677" s="77" t="s">
        <v>7872</v>
      </c>
      <c r="AB1677" s="77" t="s">
        <v>8230</v>
      </c>
      <c r="AC1677" s="82" t="s">
        <v>8233</v>
      </c>
      <c r="AD1677" s="77" t="s">
        <v>8278</v>
      </c>
      <c r="AE1677" s="80" t="str">
        <f>HYPERLINK("https://twitter.com/carlosteles__/status/1690435152168542208")</f>
        <v>https://twitter.com/carlosteles__/status/1690435152168542208</v>
      </c>
      <c r="AF1677" s="79">
        <v>45150.783807870372</v>
      </c>
      <c r="AG1677" s="85">
        <v>45150</v>
      </c>
      <c r="AH1677" s="82" t="s">
        <v>9805</v>
      </c>
      <c r="AI1677" s="77" t="b">
        <v>0</v>
      </c>
      <c r="AJ1677" s="77"/>
      <c r="AK1677" s="77"/>
      <c r="AL1677" s="77"/>
      <c r="AM1677" s="77"/>
      <c r="AN1677" s="77"/>
      <c r="AO1677" s="77"/>
      <c r="AP1677" s="77"/>
      <c r="AQ1677" s="77" t="s">
        <v>12757</v>
      </c>
      <c r="AR1677" s="77"/>
      <c r="AS1677" s="77"/>
      <c r="AT1677" s="77"/>
      <c r="AU1677" s="77"/>
      <c r="AV1677" s="80" t="str">
        <f>HYPERLINK("https://pbs.twimg.com/tweet_video_thumb/F3Whzq9XkAAFIrC.jpg")</f>
        <v>https://pbs.twimg.com/tweet_video_thumb/F3Whzq9XkAAFIrC.jpg</v>
      </c>
      <c r="AW1677" s="82" t="s">
        <v>14768</v>
      </c>
      <c r="AX1677" s="82" t="s">
        <v>14768</v>
      </c>
      <c r="AY1677" s="77"/>
      <c r="AZ1677" s="82" t="s">
        <v>17385</v>
      </c>
      <c r="BA1677" s="82" t="s">
        <v>17385</v>
      </c>
      <c r="BB1677" s="82" t="s">
        <v>17385</v>
      </c>
      <c r="BC1677" s="82" t="s">
        <v>14768</v>
      </c>
      <c r="BD1677" s="82" t="s">
        <v>17361</v>
      </c>
      <c r="BE1677" s="77"/>
      <c r="BF1677" s="77"/>
      <c r="BG1677" s="77"/>
      <c r="BH1677" s="77"/>
      <c r="BI1677" s="77"/>
    </row>
    <row r="1678" spans="1:61" x14ac:dyDescent="0.25">
      <c r="A1678" s="62" t="s">
        <v>520</v>
      </c>
      <c r="B1678" s="62" t="s">
        <v>520</v>
      </c>
      <c r="C1678" s="63"/>
      <c r="D1678" s="64"/>
      <c r="E1678" s="65"/>
      <c r="F1678" s="66"/>
      <c r="G1678" s="63"/>
      <c r="H1678" s="67"/>
      <c r="I1678" s="68"/>
      <c r="J1678" s="68"/>
      <c r="K1678" s="32"/>
      <c r="L1678" s="75">
        <v>1678</v>
      </c>
      <c r="M1678" s="75"/>
      <c r="N1678" s="70"/>
      <c r="O1678" s="77" t="s">
        <v>179</v>
      </c>
      <c r="P1678" s="79">
        <v>45150.51667824074</v>
      </c>
      <c r="Q1678" s="77" t="s">
        <v>2464</v>
      </c>
      <c r="R1678" s="77">
        <v>0</v>
      </c>
      <c r="S1678" s="77">
        <v>1</v>
      </c>
      <c r="T1678" s="77">
        <v>0</v>
      </c>
      <c r="U1678" s="77">
        <v>0</v>
      </c>
      <c r="V1678" s="77">
        <v>175</v>
      </c>
      <c r="W1678" s="82" t="s">
        <v>5867</v>
      </c>
      <c r="X1678" s="77"/>
      <c r="Y1678" s="77"/>
      <c r="Z1678" s="77"/>
      <c r="AA1678" s="77" t="s">
        <v>7873</v>
      </c>
      <c r="AB1678" s="77" t="s">
        <v>8225</v>
      </c>
      <c r="AC1678" s="82" t="s">
        <v>8233</v>
      </c>
      <c r="AD1678" s="77" t="s">
        <v>8278</v>
      </c>
      <c r="AE1678" s="80" t="str">
        <f>HYPERLINK("https://twitter.com/carlosteles__/status/1690338348584329216")</f>
        <v>https://twitter.com/carlosteles__/status/1690338348584329216</v>
      </c>
      <c r="AF1678" s="79">
        <v>45150.51667824074</v>
      </c>
      <c r="AG1678" s="85">
        <v>45150</v>
      </c>
      <c r="AH1678" s="82" t="s">
        <v>9806</v>
      </c>
      <c r="AI1678" s="77" t="b">
        <v>0</v>
      </c>
      <c r="AJ1678" s="77"/>
      <c r="AK1678" s="77"/>
      <c r="AL1678" s="77"/>
      <c r="AM1678" s="77"/>
      <c r="AN1678" s="77"/>
      <c r="AO1678" s="77"/>
      <c r="AP1678" s="77"/>
      <c r="AQ1678" s="77" t="s">
        <v>12758</v>
      </c>
      <c r="AR1678" s="77"/>
      <c r="AS1678" s="77"/>
      <c r="AT1678" s="77"/>
      <c r="AU1678" s="77"/>
      <c r="AV1678" s="80" t="str">
        <f>HYPERLINK("https://pbs.twimg.com/media/F3VJxEvW8AIq1R4.jpg")</f>
        <v>https://pbs.twimg.com/media/F3VJxEvW8AIq1R4.jpg</v>
      </c>
      <c r="AW1678" s="82" t="s">
        <v>14769</v>
      </c>
      <c r="AX1678" s="82" t="s">
        <v>14769</v>
      </c>
      <c r="AY1678" s="77"/>
      <c r="AZ1678" s="82" t="s">
        <v>17385</v>
      </c>
      <c r="BA1678" s="82" t="s">
        <v>17385</v>
      </c>
      <c r="BB1678" s="82" t="s">
        <v>17385</v>
      </c>
      <c r="BC1678" s="82" t="s">
        <v>14769</v>
      </c>
      <c r="BD1678" s="82" t="s">
        <v>17361</v>
      </c>
      <c r="BE1678" s="77"/>
      <c r="BF1678" s="77"/>
      <c r="BG1678" s="77"/>
      <c r="BH1678" s="77"/>
      <c r="BI1678" s="77"/>
    </row>
    <row r="1679" spans="1:61" x14ac:dyDescent="0.25">
      <c r="A1679" s="62" t="s">
        <v>520</v>
      </c>
      <c r="B1679" s="62" t="s">
        <v>520</v>
      </c>
      <c r="C1679" s="63"/>
      <c r="D1679" s="64"/>
      <c r="E1679" s="65"/>
      <c r="F1679" s="66"/>
      <c r="G1679" s="63"/>
      <c r="H1679" s="67"/>
      <c r="I1679" s="68"/>
      <c r="J1679" s="68"/>
      <c r="K1679" s="32"/>
      <c r="L1679" s="75">
        <v>1679</v>
      </c>
      <c r="M1679" s="75"/>
      <c r="N1679" s="70"/>
      <c r="O1679" s="77" t="s">
        <v>179</v>
      </c>
      <c r="P1679" s="79">
        <v>45149.649571759262</v>
      </c>
      <c r="Q1679" s="77" t="s">
        <v>2465</v>
      </c>
      <c r="R1679" s="77">
        <v>0</v>
      </c>
      <c r="S1679" s="77">
        <v>1</v>
      </c>
      <c r="T1679" s="77">
        <v>0</v>
      </c>
      <c r="U1679" s="77">
        <v>0</v>
      </c>
      <c r="V1679" s="77">
        <v>146</v>
      </c>
      <c r="W1679" s="82" t="s">
        <v>5868</v>
      </c>
      <c r="X1679" s="77"/>
      <c r="Y1679" s="77"/>
      <c r="Z1679" s="77"/>
      <c r="AA1679" s="77" t="s">
        <v>7874</v>
      </c>
      <c r="AB1679" s="77" t="s">
        <v>8227</v>
      </c>
      <c r="AC1679" s="82" t="s">
        <v>8233</v>
      </c>
      <c r="AD1679" s="77" t="s">
        <v>8278</v>
      </c>
      <c r="AE1679" s="80" t="str">
        <f>HYPERLINK("https://twitter.com/carlosteles__/status/1690024118802923520")</f>
        <v>https://twitter.com/carlosteles__/status/1690024118802923520</v>
      </c>
      <c r="AF1679" s="79">
        <v>45149.649571759262</v>
      </c>
      <c r="AG1679" s="85">
        <v>45149</v>
      </c>
      <c r="AH1679" s="82" t="s">
        <v>9807</v>
      </c>
      <c r="AI1679" s="77" t="b">
        <v>0</v>
      </c>
      <c r="AJ1679" s="77"/>
      <c r="AK1679" s="77"/>
      <c r="AL1679" s="77"/>
      <c r="AM1679" s="77"/>
      <c r="AN1679" s="77"/>
      <c r="AO1679" s="77"/>
      <c r="AP1679" s="77"/>
      <c r="AQ1679" s="77" t="s">
        <v>12759</v>
      </c>
      <c r="AR1679" s="77">
        <v>39500</v>
      </c>
      <c r="AS1679" s="77"/>
      <c r="AT1679" s="77"/>
      <c r="AU1679" s="77"/>
      <c r="AV1679" s="80" t="str">
        <f>HYPERLINK("https://pbs.twimg.com/ext_tw_video_thumb/1690023998149496832/pu/img/21mZJMUNeaD4r_6c.jpg")</f>
        <v>https://pbs.twimg.com/ext_tw_video_thumb/1690023998149496832/pu/img/21mZJMUNeaD4r_6c.jpg</v>
      </c>
      <c r="AW1679" s="82" t="s">
        <v>14770</v>
      </c>
      <c r="AX1679" s="82" t="s">
        <v>14770</v>
      </c>
      <c r="AY1679" s="77"/>
      <c r="AZ1679" s="82" t="s">
        <v>17385</v>
      </c>
      <c r="BA1679" s="82" t="s">
        <v>17385</v>
      </c>
      <c r="BB1679" s="82" t="s">
        <v>17385</v>
      </c>
      <c r="BC1679" s="82" t="s">
        <v>14770</v>
      </c>
      <c r="BD1679" s="82" t="s">
        <v>17361</v>
      </c>
      <c r="BE1679" s="77"/>
      <c r="BF1679" s="77"/>
      <c r="BG1679" s="77"/>
      <c r="BH1679" s="77"/>
      <c r="BI1679" s="77"/>
    </row>
    <row r="1680" spans="1:61" x14ac:dyDescent="0.25">
      <c r="A1680" s="62" t="s">
        <v>520</v>
      </c>
      <c r="B1680" s="62" t="s">
        <v>520</v>
      </c>
      <c r="C1680" s="63"/>
      <c r="D1680" s="64"/>
      <c r="E1680" s="65"/>
      <c r="F1680" s="66"/>
      <c r="G1680" s="63"/>
      <c r="H1680" s="67"/>
      <c r="I1680" s="68"/>
      <c r="J1680" s="68"/>
      <c r="K1680" s="32"/>
      <c r="L1680" s="75">
        <v>1680</v>
      </c>
      <c r="M1680" s="75"/>
      <c r="N1680" s="70"/>
      <c r="O1680" s="77" t="s">
        <v>179</v>
      </c>
      <c r="P1680" s="79">
        <v>45148.915752314817</v>
      </c>
      <c r="Q1680" s="77" t="s">
        <v>2466</v>
      </c>
      <c r="R1680" s="77">
        <v>0</v>
      </c>
      <c r="S1680" s="77">
        <v>1</v>
      </c>
      <c r="T1680" s="77">
        <v>0</v>
      </c>
      <c r="U1680" s="77">
        <v>0</v>
      </c>
      <c r="V1680" s="77">
        <v>118</v>
      </c>
      <c r="W1680" s="82" t="s">
        <v>5869</v>
      </c>
      <c r="X1680" s="77"/>
      <c r="Y1680" s="77"/>
      <c r="Z1680" s="77"/>
      <c r="AA1680" s="77" t="s">
        <v>7875</v>
      </c>
      <c r="AB1680" s="77" t="s">
        <v>8227</v>
      </c>
      <c r="AC1680" s="82" t="s">
        <v>8233</v>
      </c>
      <c r="AD1680" s="77" t="s">
        <v>8278</v>
      </c>
      <c r="AE1680" s="80" t="str">
        <f>HYPERLINK("https://twitter.com/carlosteles__/status/1689758192656420865")</f>
        <v>https://twitter.com/carlosteles__/status/1689758192656420865</v>
      </c>
      <c r="AF1680" s="79">
        <v>45148.915752314817</v>
      </c>
      <c r="AG1680" s="85">
        <v>45148</v>
      </c>
      <c r="AH1680" s="82" t="s">
        <v>9808</v>
      </c>
      <c r="AI1680" s="77" t="b">
        <v>0</v>
      </c>
      <c r="AJ1680" s="77"/>
      <c r="AK1680" s="77"/>
      <c r="AL1680" s="77"/>
      <c r="AM1680" s="77"/>
      <c r="AN1680" s="77"/>
      <c r="AO1680" s="77"/>
      <c r="AP1680" s="77"/>
      <c r="AQ1680" s="77" t="s">
        <v>12760</v>
      </c>
      <c r="AR1680" s="77">
        <v>24933</v>
      </c>
      <c r="AS1680" s="77"/>
      <c r="AT1680" s="77"/>
      <c r="AU1680" s="77"/>
      <c r="AV1680" s="80" t="str">
        <f>HYPERLINK("https://pbs.twimg.com/ext_tw_video_thumb/1689758132942123009/pu/img/86wYlz1TjWDEcKIy.jpg")</f>
        <v>https://pbs.twimg.com/ext_tw_video_thumb/1689758132942123009/pu/img/86wYlz1TjWDEcKIy.jpg</v>
      </c>
      <c r="AW1680" s="82" t="s">
        <v>14771</v>
      </c>
      <c r="AX1680" s="82" t="s">
        <v>14771</v>
      </c>
      <c r="AY1680" s="77"/>
      <c r="AZ1680" s="82" t="s">
        <v>17385</v>
      </c>
      <c r="BA1680" s="82" t="s">
        <v>17385</v>
      </c>
      <c r="BB1680" s="82" t="s">
        <v>17385</v>
      </c>
      <c r="BC1680" s="82" t="s">
        <v>14771</v>
      </c>
      <c r="BD1680" s="82" t="s">
        <v>17361</v>
      </c>
      <c r="BE1680" s="77"/>
      <c r="BF1680" s="77"/>
      <c r="BG1680" s="77"/>
      <c r="BH1680" s="77"/>
      <c r="BI1680" s="77"/>
    </row>
    <row r="1681" spans="1:61" x14ac:dyDescent="0.25">
      <c r="A1681" s="62" t="s">
        <v>521</v>
      </c>
      <c r="B1681" s="62" t="s">
        <v>521</v>
      </c>
      <c r="C1681" s="63"/>
      <c r="D1681" s="64"/>
      <c r="E1681" s="65"/>
      <c r="F1681" s="66"/>
      <c r="G1681" s="63"/>
      <c r="H1681" s="67"/>
      <c r="I1681" s="68"/>
      <c r="J1681" s="68"/>
      <c r="K1681" s="32"/>
      <c r="L1681" s="75">
        <v>1681</v>
      </c>
      <c r="M1681" s="75"/>
      <c r="N1681" s="70"/>
      <c r="O1681" s="77" t="s">
        <v>179</v>
      </c>
      <c r="P1681" s="79">
        <v>45055.704560185186</v>
      </c>
      <c r="Q1681" s="77" t="s">
        <v>2467</v>
      </c>
      <c r="R1681" s="77">
        <v>0</v>
      </c>
      <c r="S1681" s="77">
        <v>0</v>
      </c>
      <c r="T1681" s="77">
        <v>0</v>
      </c>
      <c r="U1681" s="77">
        <v>0</v>
      </c>
      <c r="V1681" s="77">
        <v>228</v>
      </c>
      <c r="W1681" s="82" t="s">
        <v>5870</v>
      </c>
      <c r="X1681" s="80" t="str">
        <f>HYPERLINK("https://portaldeprefeitura.com.br/2023/05/09/igarassu-promove-campanha-do-maio-amarelo-para-reforcar-seguranca-viaria/")</f>
        <v>https://portaldeprefeitura.com.br/2023/05/09/igarassu-promove-campanha-do-maio-amarelo-para-reforcar-seguranca-viaria/</v>
      </c>
      <c r="Y1681" s="77" t="s">
        <v>7053</v>
      </c>
      <c r="Z1681" s="77"/>
      <c r="AA1681" s="77"/>
      <c r="AB1681" s="77"/>
      <c r="AC1681" s="82" t="s">
        <v>8261</v>
      </c>
      <c r="AD1681" s="77" t="s">
        <v>8278</v>
      </c>
      <c r="AE1681" s="80" t="str">
        <f>HYPERLINK("https://twitter.com/p_prefeitura/status/1655979585048018958")</f>
        <v>https://twitter.com/p_prefeitura/status/1655979585048018958</v>
      </c>
      <c r="AF1681" s="79">
        <v>45055.704560185186</v>
      </c>
      <c r="AG1681" s="85">
        <v>45055</v>
      </c>
      <c r="AH1681" s="82" t="s">
        <v>9809</v>
      </c>
      <c r="AI1681" s="77" t="b">
        <v>0</v>
      </c>
      <c r="AJ1681" s="77"/>
      <c r="AK1681" s="77"/>
      <c r="AL1681" s="77"/>
      <c r="AM1681" s="77"/>
      <c r="AN1681" s="77"/>
      <c r="AO1681" s="77"/>
      <c r="AP1681" s="77"/>
      <c r="AQ1681" s="77"/>
      <c r="AR1681" s="77"/>
      <c r="AS1681" s="77"/>
      <c r="AT1681" s="77"/>
      <c r="AU1681" s="77"/>
      <c r="AV1681" s="80" t="str">
        <f>HYPERLINK("https://pbs.twimg.com/profile_images/1669793783867645969/-NOFVFmF_normal.jpg")</f>
        <v>https://pbs.twimg.com/profile_images/1669793783867645969/-NOFVFmF_normal.jpg</v>
      </c>
      <c r="AW1681" s="82" t="s">
        <v>14772</v>
      </c>
      <c r="AX1681" s="82" t="s">
        <v>14772</v>
      </c>
      <c r="AY1681" s="77"/>
      <c r="AZ1681" s="82" t="s">
        <v>17385</v>
      </c>
      <c r="BA1681" s="82" t="s">
        <v>17385</v>
      </c>
      <c r="BB1681" s="82" t="s">
        <v>17385</v>
      </c>
      <c r="BC1681" s="82" t="s">
        <v>14772</v>
      </c>
      <c r="BD1681" s="77">
        <v>3024436931</v>
      </c>
      <c r="BE1681" s="77"/>
      <c r="BF1681" s="77"/>
      <c r="BG1681" s="77"/>
      <c r="BH1681" s="77"/>
      <c r="BI1681" s="77"/>
    </row>
    <row r="1682" spans="1:61" x14ac:dyDescent="0.25">
      <c r="A1682" s="62" t="s">
        <v>521</v>
      </c>
      <c r="B1682" s="62" t="s">
        <v>521</v>
      </c>
      <c r="C1682" s="63"/>
      <c r="D1682" s="64"/>
      <c r="E1682" s="65"/>
      <c r="F1682" s="66"/>
      <c r="G1682" s="63"/>
      <c r="H1682" s="67"/>
      <c r="I1682" s="68"/>
      <c r="J1682" s="68"/>
      <c r="K1682" s="32"/>
      <c r="L1682" s="75">
        <v>1682</v>
      </c>
      <c r="M1682" s="75"/>
      <c r="N1682" s="70"/>
      <c r="O1682" s="77" t="s">
        <v>179</v>
      </c>
      <c r="P1682" s="79">
        <v>45051.597013888888</v>
      </c>
      <c r="Q1682" s="77" t="s">
        <v>2468</v>
      </c>
      <c r="R1682" s="77">
        <v>0</v>
      </c>
      <c r="S1682" s="77">
        <v>0</v>
      </c>
      <c r="T1682" s="77">
        <v>0</v>
      </c>
      <c r="U1682" s="77">
        <v>0</v>
      </c>
      <c r="V1682" s="77">
        <v>283</v>
      </c>
      <c r="W1682" s="82" t="s">
        <v>5871</v>
      </c>
      <c r="X1682" s="80" t="str">
        <f>HYPERLINK("https://portaldeprefeitura.com.br/2023/05/05/belo-jardim-gilvandro-estrela-assina-termo-de-comprometimento-em-acoes-preventivas-sobre-a-analise-de-emissoes-de-gases-de-efeito-estufa/")</f>
        <v>https://portaldeprefeitura.com.br/2023/05/05/belo-jardim-gilvandro-estrela-assina-termo-de-comprometimento-em-acoes-preventivas-sobre-a-analise-de-emissoes-de-gases-de-efeito-estufa/</v>
      </c>
      <c r="Y1682" s="77" t="s">
        <v>7053</v>
      </c>
      <c r="Z1682" s="77"/>
      <c r="AA1682" s="77"/>
      <c r="AB1682" s="77"/>
      <c r="AC1682" s="82" t="s">
        <v>8261</v>
      </c>
      <c r="AD1682" s="77" t="s">
        <v>8278</v>
      </c>
      <c r="AE1682" s="80" t="str">
        <f>HYPERLINK("https://twitter.com/p_prefeitura/status/1654491059555008523")</f>
        <v>https://twitter.com/p_prefeitura/status/1654491059555008523</v>
      </c>
      <c r="AF1682" s="79">
        <v>45051.597013888888</v>
      </c>
      <c r="AG1682" s="85">
        <v>45051</v>
      </c>
      <c r="AH1682" s="82" t="s">
        <v>9810</v>
      </c>
      <c r="AI1682" s="77" t="b">
        <v>0</v>
      </c>
      <c r="AJ1682" s="77"/>
      <c r="AK1682" s="77"/>
      <c r="AL1682" s="77"/>
      <c r="AM1682" s="77"/>
      <c r="AN1682" s="77"/>
      <c r="AO1682" s="77"/>
      <c r="AP1682" s="77"/>
      <c r="AQ1682" s="77"/>
      <c r="AR1682" s="77"/>
      <c r="AS1682" s="77"/>
      <c r="AT1682" s="77"/>
      <c r="AU1682" s="77"/>
      <c r="AV1682" s="80" t="str">
        <f>HYPERLINK("https://pbs.twimg.com/profile_images/1669793783867645969/-NOFVFmF_normal.jpg")</f>
        <v>https://pbs.twimg.com/profile_images/1669793783867645969/-NOFVFmF_normal.jpg</v>
      </c>
      <c r="AW1682" s="82" t="s">
        <v>14773</v>
      </c>
      <c r="AX1682" s="82" t="s">
        <v>14773</v>
      </c>
      <c r="AY1682" s="77"/>
      <c r="AZ1682" s="82" t="s">
        <v>17385</v>
      </c>
      <c r="BA1682" s="82" t="s">
        <v>17385</v>
      </c>
      <c r="BB1682" s="82" t="s">
        <v>17385</v>
      </c>
      <c r="BC1682" s="82" t="s">
        <v>14773</v>
      </c>
      <c r="BD1682" s="77">
        <v>3024436931</v>
      </c>
      <c r="BE1682" s="77"/>
      <c r="BF1682" s="77"/>
      <c r="BG1682" s="77"/>
      <c r="BH1682" s="77"/>
      <c r="BI1682" s="77"/>
    </row>
    <row r="1683" spans="1:61" x14ac:dyDescent="0.25">
      <c r="A1683" s="62" t="s">
        <v>521</v>
      </c>
      <c r="B1683" s="62" t="s">
        <v>521</v>
      </c>
      <c r="C1683" s="63"/>
      <c r="D1683" s="64"/>
      <c r="E1683" s="65"/>
      <c r="F1683" s="66"/>
      <c r="G1683" s="63"/>
      <c r="H1683" s="67"/>
      <c r="I1683" s="68"/>
      <c r="J1683" s="68"/>
      <c r="K1683" s="32"/>
      <c r="L1683" s="75">
        <v>1683</v>
      </c>
      <c r="M1683" s="75"/>
      <c r="N1683" s="70"/>
      <c r="O1683" s="77" t="s">
        <v>179</v>
      </c>
      <c r="P1683" s="79">
        <v>45161.830358796295</v>
      </c>
      <c r="Q1683" s="77" t="s">
        <v>2469</v>
      </c>
      <c r="R1683" s="77">
        <v>0</v>
      </c>
      <c r="S1683" s="77">
        <v>0</v>
      </c>
      <c r="T1683" s="77">
        <v>0</v>
      </c>
      <c r="U1683" s="77">
        <v>0</v>
      </c>
      <c r="V1683" s="77">
        <v>160</v>
      </c>
      <c r="W1683" s="82" t="s">
        <v>5872</v>
      </c>
      <c r="X1683" s="80" t="str">
        <f>HYPERLINK("https://portaldeprefeitura.com.br/2023/08/23/raquel-lyra-apresenta-acoes-para-melhorar-situacao-economica-e-social-de-pernambuco-durante-evento-em-brasilia/")</f>
        <v>https://portaldeprefeitura.com.br/2023/08/23/raquel-lyra-apresenta-acoes-para-melhorar-situacao-economica-e-social-de-pernambuco-durante-evento-em-brasilia/</v>
      </c>
      <c r="Y1683" s="77" t="s">
        <v>7053</v>
      </c>
      <c r="Z1683" s="77"/>
      <c r="AA1683" s="77"/>
      <c r="AB1683" s="77"/>
      <c r="AC1683" s="82" t="s">
        <v>8232</v>
      </c>
      <c r="AD1683" s="77" t="s">
        <v>8278</v>
      </c>
      <c r="AE1683" s="80" t="str">
        <f>HYPERLINK("https://twitter.com/p_prefeitura/status/1694438287253831789")</f>
        <v>https://twitter.com/p_prefeitura/status/1694438287253831789</v>
      </c>
      <c r="AF1683" s="79">
        <v>45161.830358796295</v>
      </c>
      <c r="AG1683" s="85">
        <v>45161</v>
      </c>
      <c r="AH1683" s="82" t="s">
        <v>9811</v>
      </c>
      <c r="AI1683" s="77" t="b">
        <v>0</v>
      </c>
      <c r="AJ1683" s="77"/>
      <c r="AK1683" s="77"/>
      <c r="AL1683" s="77"/>
      <c r="AM1683" s="77"/>
      <c r="AN1683" s="77"/>
      <c r="AO1683" s="77"/>
      <c r="AP1683" s="77"/>
      <c r="AQ1683" s="77"/>
      <c r="AR1683" s="77"/>
      <c r="AS1683" s="77"/>
      <c r="AT1683" s="77"/>
      <c r="AU1683" s="77"/>
      <c r="AV1683" s="80" t="str">
        <f>HYPERLINK("https://pbs.twimg.com/profile_images/1669793783867645969/-NOFVFmF_normal.jpg")</f>
        <v>https://pbs.twimg.com/profile_images/1669793783867645969/-NOFVFmF_normal.jpg</v>
      </c>
      <c r="AW1683" s="82" t="s">
        <v>14774</v>
      </c>
      <c r="AX1683" s="82" t="s">
        <v>14774</v>
      </c>
      <c r="AY1683" s="77"/>
      <c r="AZ1683" s="82" t="s">
        <v>17385</v>
      </c>
      <c r="BA1683" s="82" t="s">
        <v>17385</v>
      </c>
      <c r="BB1683" s="82" t="s">
        <v>17385</v>
      </c>
      <c r="BC1683" s="82" t="s">
        <v>14774</v>
      </c>
      <c r="BD1683" s="77">
        <v>3024436931</v>
      </c>
      <c r="BE1683" s="77"/>
      <c r="BF1683" s="77"/>
      <c r="BG1683" s="77"/>
      <c r="BH1683" s="77"/>
      <c r="BI1683" s="77"/>
    </row>
    <row r="1684" spans="1:61" x14ac:dyDescent="0.25">
      <c r="A1684" s="62" t="s">
        <v>521</v>
      </c>
      <c r="B1684" s="62" t="s">
        <v>521</v>
      </c>
      <c r="C1684" s="63"/>
      <c r="D1684" s="64"/>
      <c r="E1684" s="65"/>
      <c r="F1684" s="66"/>
      <c r="G1684" s="63"/>
      <c r="H1684" s="67"/>
      <c r="I1684" s="68"/>
      <c r="J1684" s="68"/>
      <c r="K1684" s="32"/>
      <c r="L1684" s="75">
        <v>1684</v>
      </c>
      <c r="M1684" s="75"/>
      <c r="N1684" s="70"/>
      <c r="O1684" s="77" t="s">
        <v>179</v>
      </c>
      <c r="P1684" s="79">
        <v>45187.611689814818</v>
      </c>
      <c r="Q1684" s="77" t="s">
        <v>2470</v>
      </c>
      <c r="R1684" s="77">
        <v>0</v>
      </c>
      <c r="S1684" s="77">
        <v>0</v>
      </c>
      <c r="T1684" s="77">
        <v>0</v>
      </c>
      <c r="U1684" s="77">
        <v>0</v>
      </c>
      <c r="V1684" s="77">
        <v>164</v>
      </c>
      <c r="W1684" s="82" t="s">
        <v>5873</v>
      </c>
      <c r="X1684" s="80" t="str">
        <f>HYPERLINK("https://portaldeprefeitura.com.br/2023/09/acoes-policias-em-favelas-causam-prejuizo-de-r-14-milhoes-por-ano-segundo-dados-de-pesquisa-inedita/")</f>
        <v>https://portaldeprefeitura.com.br/2023/09/acoes-policias-em-favelas-causam-prejuizo-de-r-14-milhoes-por-ano-segundo-dados-de-pesquisa-inedita/</v>
      </c>
      <c r="Y1684" s="77" t="s">
        <v>7053</v>
      </c>
      <c r="Z1684" s="77"/>
      <c r="AA1684" s="77"/>
      <c r="AB1684" s="77"/>
      <c r="AC1684" s="82" t="s">
        <v>8232</v>
      </c>
      <c r="AD1684" s="77" t="s">
        <v>8278</v>
      </c>
      <c r="AE1684" s="80" t="str">
        <f>HYPERLINK("https://twitter.com/p_prefeitura/status/1703781130179097027")</f>
        <v>https://twitter.com/p_prefeitura/status/1703781130179097027</v>
      </c>
      <c r="AF1684" s="79">
        <v>45187.611689814818</v>
      </c>
      <c r="AG1684" s="85">
        <v>45187</v>
      </c>
      <c r="AH1684" s="82" t="s">
        <v>9812</v>
      </c>
      <c r="AI1684" s="77" t="b">
        <v>0</v>
      </c>
      <c r="AJ1684" s="77"/>
      <c r="AK1684" s="77"/>
      <c r="AL1684" s="77"/>
      <c r="AM1684" s="77"/>
      <c r="AN1684" s="77"/>
      <c r="AO1684" s="77"/>
      <c r="AP1684" s="77"/>
      <c r="AQ1684" s="77"/>
      <c r="AR1684" s="77"/>
      <c r="AS1684" s="77"/>
      <c r="AT1684" s="77"/>
      <c r="AU1684" s="77"/>
      <c r="AV1684" s="80" t="str">
        <f>HYPERLINK("https://pbs.twimg.com/profile_images/1669793783867645969/-NOFVFmF_normal.jpg")</f>
        <v>https://pbs.twimg.com/profile_images/1669793783867645969/-NOFVFmF_normal.jpg</v>
      </c>
      <c r="AW1684" s="82" t="s">
        <v>14775</v>
      </c>
      <c r="AX1684" s="82" t="s">
        <v>14775</v>
      </c>
      <c r="AY1684" s="77"/>
      <c r="AZ1684" s="82" t="s">
        <v>17385</v>
      </c>
      <c r="BA1684" s="82" t="s">
        <v>17385</v>
      </c>
      <c r="BB1684" s="82" t="s">
        <v>17385</v>
      </c>
      <c r="BC1684" s="82" t="s">
        <v>14775</v>
      </c>
      <c r="BD1684" s="77">
        <v>3024436931</v>
      </c>
      <c r="BE1684" s="77"/>
      <c r="BF1684" s="77"/>
      <c r="BG1684" s="77"/>
      <c r="BH1684" s="77"/>
      <c r="BI1684" s="77"/>
    </row>
    <row r="1685" spans="1:61" x14ac:dyDescent="0.25">
      <c r="A1685" s="62" t="s">
        <v>522</v>
      </c>
      <c r="B1685" s="62" t="s">
        <v>522</v>
      </c>
      <c r="C1685" s="63"/>
      <c r="D1685" s="64"/>
      <c r="E1685" s="65"/>
      <c r="F1685" s="66"/>
      <c r="G1685" s="63"/>
      <c r="H1685" s="67"/>
      <c r="I1685" s="68"/>
      <c r="J1685" s="68"/>
      <c r="K1685" s="32"/>
      <c r="L1685" s="75">
        <v>1685</v>
      </c>
      <c r="M1685" s="75"/>
      <c r="N1685" s="70"/>
      <c r="O1685" s="77" t="s">
        <v>179</v>
      </c>
      <c r="P1685" s="79">
        <v>45133.253912037035</v>
      </c>
      <c r="Q1685" s="77" t="s">
        <v>2471</v>
      </c>
      <c r="R1685" s="77">
        <v>0</v>
      </c>
      <c r="S1685" s="77">
        <v>0</v>
      </c>
      <c r="T1685" s="77">
        <v>0</v>
      </c>
      <c r="U1685" s="77">
        <v>0</v>
      </c>
      <c r="V1685" s="77">
        <v>45</v>
      </c>
      <c r="W1685" s="82" t="s">
        <v>5874</v>
      </c>
      <c r="X1685" s="80" t="str">
        <f>HYPERLINK("https://abrir.link/v8yeo")</f>
        <v>https://abrir.link/v8yeo</v>
      </c>
      <c r="Y1685" s="77" t="s">
        <v>7123</v>
      </c>
      <c r="Z1685" s="77"/>
      <c r="AA1685" s="77"/>
      <c r="AB1685" s="77"/>
      <c r="AC1685" s="82" t="s">
        <v>8233</v>
      </c>
      <c r="AD1685" s="77" t="s">
        <v>8278</v>
      </c>
      <c r="AE1685" s="80" t="str">
        <f>HYPERLINK("https://twitter.com/cadubr/status/1684082528603238407")</f>
        <v>https://twitter.com/cadubr/status/1684082528603238407</v>
      </c>
      <c r="AF1685" s="79">
        <v>45133.253912037035</v>
      </c>
      <c r="AG1685" s="85">
        <v>45133</v>
      </c>
      <c r="AH1685" s="82" t="s">
        <v>9813</v>
      </c>
      <c r="AI1685" s="77" t="b">
        <v>0</v>
      </c>
      <c r="AJ1685" s="77" t="s">
        <v>11998</v>
      </c>
      <c r="AK1685" s="77" t="s">
        <v>12007</v>
      </c>
      <c r="AL1685" s="77" t="s">
        <v>12010</v>
      </c>
      <c r="AM1685" s="77" t="s">
        <v>12007</v>
      </c>
      <c r="AN1685" s="77" t="s">
        <v>12030</v>
      </c>
      <c r="AO1685" s="77" t="s">
        <v>12007</v>
      </c>
      <c r="AP1685" s="77" t="s">
        <v>12052</v>
      </c>
      <c r="AQ1685" s="77"/>
      <c r="AR1685" s="77"/>
      <c r="AS1685" s="77"/>
      <c r="AT1685" s="77"/>
      <c r="AU1685" s="77"/>
      <c r="AV1685" s="80" t="str">
        <f>HYPERLINK("https://pbs.twimg.com/profile_images/1689814054355804160/1nRZBS3m_normal.jpg")</f>
        <v>https://pbs.twimg.com/profile_images/1689814054355804160/1nRZBS3m_normal.jpg</v>
      </c>
      <c r="AW1685" s="82" t="s">
        <v>14776</v>
      </c>
      <c r="AX1685" s="82" t="s">
        <v>14776</v>
      </c>
      <c r="AY1685" s="77"/>
      <c r="AZ1685" s="82" t="s">
        <v>17385</v>
      </c>
      <c r="BA1685" s="82" t="s">
        <v>17385</v>
      </c>
      <c r="BB1685" s="82" t="s">
        <v>17385</v>
      </c>
      <c r="BC1685" s="82" t="s">
        <v>14776</v>
      </c>
      <c r="BD1685" s="82" t="s">
        <v>17597</v>
      </c>
      <c r="BE1685" s="77"/>
      <c r="BF1685" s="77"/>
      <c r="BG1685" s="77"/>
      <c r="BH1685" s="77"/>
      <c r="BI1685" s="77"/>
    </row>
    <row r="1686" spans="1:61" x14ac:dyDescent="0.25">
      <c r="A1686" s="62" t="s">
        <v>522</v>
      </c>
      <c r="B1686" s="62" t="s">
        <v>522</v>
      </c>
      <c r="C1686" s="63"/>
      <c r="D1686" s="64"/>
      <c r="E1686" s="65"/>
      <c r="F1686" s="66"/>
      <c r="G1686" s="63"/>
      <c r="H1686" s="67"/>
      <c r="I1686" s="68"/>
      <c r="J1686" s="68"/>
      <c r="K1686" s="32"/>
      <c r="L1686" s="75">
        <v>1686</v>
      </c>
      <c r="M1686" s="75"/>
      <c r="N1686" s="70"/>
      <c r="O1686" s="77" t="s">
        <v>179</v>
      </c>
      <c r="P1686" s="79">
        <v>45167.098541666666</v>
      </c>
      <c r="Q1686" s="77" t="s">
        <v>2472</v>
      </c>
      <c r="R1686" s="77">
        <v>0</v>
      </c>
      <c r="S1686" s="77">
        <v>0</v>
      </c>
      <c r="T1686" s="77">
        <v>0</v>
      </c>
      <c r="U1686" s="77">
        <v>0</v>
      </c>
      <c r="V1686" s="77">
        <v>120</v>
      </c>
      <c r="W1686" s="82" t="s">
        <v>5080</v>
      </c>
      <c r="X1686" s="80" t="str">
        <f>HYPERLINK("http://bit.ly/EbookCaduBr")</f>
        <v>http://bit.ly/EbookCaduBr</v>
      </c>
      <c r="Y1686" s="77" t="s">
        <v>7063</v>
      </c>
      <c r="Z1686" s="77"/>
      <c r="AA1686" s="77"/>
      <c r="AB1686" s="77"/>
      <c r="AC1686" s="82" t="s">
        <v>8233</v>
      </c>
      <c r="AD1686" s="77" t="s">
        <v>8278</v>
      </c>
      <c r="AE1686" s="80" t="str">
        <f>HYPERLINK("https://twitter.com/cadubr/status/1696347414657962211")</f>
        <v>https://twitter.com/cadubr/status/1696347414657962211</v>
      </c>
      <c r="AF1686" s="79">
        <v>45167.098541666666</v>
      </c>
      <c r="AG1686" s="85">
        <v>45167</v>
      </c>
      <c r="AH1686" s="82" t="s">
        <v>9814</v>
      </c>
      <c r="AI1686" s="77" t="b">
        <v>0</v>
      </c>
      <c r="AJ1686" s="77"/>
      <c r="AK1686" s="77"/>
      <c r="AL1686" s="77"/>
      <c r="AM1686" s="77"/>
      <c r="AN1686" s="77"/>
      <c r="AO1686" s="77"/>
      <c r="AP1686" s="77"/>
      <c r="AQ1686" s="77"/>
      <c r="AR1686" s="77"/>
      <c r="AS1686" s="77"/>
      <c r="AT1686" s="77"/>
      <c r="AU1686" s="77"/>
      <c r="AV1686" s="80" t="str">
        <f>HYPERLINK("https://pbs.twimg.com/profile_images/1689814054355804160/1nRZBS3m_normal.jpg")</f>
        <v>https://pbs.twimg.com/profile_images/1689814054355804160/1nRZBS3m_normal.jpg</v>
      </c>
      <c r="AW1686" s="82" t="s">
        <v>14777</v>
      </c>
      <c r="AX1686" s="82" t="s">
        <v>14777</v>
      </c>
      <c r="AY1686" s="77"/>
      <c r="AZ1686" s="82" t="s">
        <v>17385</v>
      </c>
      <c r="BA1686" s="82" t="s">
        <v>17385</v>
      </c>
      <c r="BB1686" s="82" t="s">
        <v>17385</v>
      </c>
      <c r="BC1686" s="82" t="s">
        <v>14777</v>
      </c>
      <c r="BD1686" s="82" t="s">
        <v>17597</v>
      </c>
      <c r="BE1686" s="77"/>
      <c r="BF1686" s="77"/>
      <c r="BG1686" s="77"/>
      <c r="BH1686" s="77"/>
      <c r="BI1686" s="77"/>
    </row>
    <row r="1687" spans="1:61" x14ac:dyDescent="0.25">
      <c r="A1687" s="62" t="s">
        <v>522</v>
      </c>
      <c r="B1687" s="62" t="s">
        <v>522</v>
      </c>
      <c r="C1687" s="63"/>
      <c r="D1687" s="64"/>
      <c r="E1687" s="65"/>
      <c r="F1687" s="66"/>
      <c r="G1687" s="63"/>
      <c r="H1687" s="67"/>
      <c r="I1687" s="68"/>
      <c r="J1687" s="68"/>
      <c r="K1687" s="32"/>
      <c r="L1687" s="75">
        <v>1687</v>
      </c>
      <c r="M1687" s="75"/>
      <c r="N1687" s="70"/>
      <c r="O1687" s="77" t="s">
        <v>179</v>
      </c>
      <c r="P1687" s="79">
        <v>45117.697928240741</v>
      </c>
      <c r="Q1687" s="77" t="s">
        <v>2473</v>
      </c>
      <c r="R1687" s="77">
        <v>0</v>
      </c>
      <c r="S1687" s="77">
        <v>0</v>
      </c>
      <c r="T1687" s="77">
        <v>0</v>
      </c>
      <c r="U1687" s="77">
        <v>0</v>
      </c>
      <c r="V1687" s="77">
        <v>24</v>
      </c>
      <c r="W1687" s="82" t="s">
        <v>5875</v>
      </c>
      <c r="X1687" s="77"/>
      <c r="Y1687" s="77"/>
      <c r="Z1687" s="77"/>
      <c r="AA1687" s="77"/>
      <c r="AB1687" s="77"/>
      <c r="AC1687" s="82" t="s">
        <v>8233</v>
      </c>
      <c r="AD1687" s="77" t="s">
        <v>8278</v>
      </c>
      <c r="AE1687" s="80" t="str">
        <f>HYPERLINK("https://twitter.com/cadubr/status/1678445229823672323")</f>
        <v>https://twitter.com/cadubr/status/1678445229823672323</v>
      </c>
      <c r="AF1687" s="79">
        <v>45117.697928240741</v>
      </c>
      <c r="AG1687" s="85">
        <v>45117</v>
      </c>
      <c r="AH1687" s="82" t="s">
        <v>9815</v>
      </c>
      <c r="AI1687" s="77"/>
      <c r="AJ1687" s="77" t="s">
        <v>11998</v>
      </c>
      <c r="AK1687" s="77" t="s">
        <v>12007</v>
      </c>
      <c r="AL1687" s="77" t="s">
        <v>12010</v>
      </c>
      <c r="AM1687" s="77" t="s">
        <v>12007</v>
      </c>
      <c r="AN1687" s="77" t="s">
        <v>12030</v>
      </c>
      <c r="AO1687" s="77" t="s">
        <v>12007</v>
      </c>
      <c r="AP1687" s="77" t="s">
        <v>12052</v>
      </c>
      <c r="AQ1687" s="77"/>
      <c r="AR1687" s="77"/>
      <c r="AS1687" s="77"/>
      <c r="AT1687" s="77"/>
      <c r="AU1687" s="77"/>
      <c r="AV1687" s="80" t="str">
        <f>HYPERLINK("https://pbs.twimg.com/profile_images/1689814054355804160/1nRZBS3m_normal.jpg")</f>
        <v>https://pbs.twimg.com/profile_images/1689814054355804160/1nRZBS3m_normal.jpg</v>
      </c>
      <c r="AW1687" s="82" t="s">
        <v>14778</v>
      </c>
      <c r="AX1687" s="82" t="s">
        <v>14778</v>
      </c>
      <c r="AY1687" s="77"/>
      <c r="AZ1687" s="82" t="s">
        <v>17385</v>
      </c>
      <c r="BA1687" s="82" t="s">
        <v>17385</v>
      </c>
      <c r="BB1687" s="82" t="s">
        <v>17385</v>
      </c>
      <c r="BC1687" s="82" t="s">
        <v>14778</v>
      </c>
      <c r="BD1687" s="82" t="s">
        <v>17597</v>
      </c>
      <c r="BE1687" s="77"/>
      <c r="BF1687" s="77"/>
      <c r="BG1687" s="77"/>
      <c r="BH1687" s="77"/>
      <c r="BI1687" s="77"/>
    </row>
    <row r="1688" spans="1:61" x14ac:dyDescent="0.25">
      <c r="A1688" s="62" t="s">
        <v>523</v>
      </c>
      <c r="B1688" s="62" t="s">
        <v>523</v>
      </c>
      <c r="C1688" s="63"/>
      <c r="D1688" s="64"/>
      <c r="E1688" s="65"/>
      <c r="F1688" s="66"/>
      <c r="G1688" s="63"/>
      <c r="H1688" s="67"/>
      <c r="I1688" s="68"/>
      <c r="J1688" s="68"/>
      <c r="K1688" s="32"/>
      <c r="L1688" s="75">
        <v>1688</v>
      </c>
      <c r="M1688" s="75"/>
      <c r="N1688" s="70"/>
      <c r="O1688" s="77" t="s">
        <v>179</v>
      </c>
      <c r="P1688" s="79">
        <v>45076.782106481478</v>
      </c>
      <c r="Q1688" s="77" t="s">
        <v>2474</v>
      </c>
      <c r="R1688" s="77">
        <v>0</v>
      </c>
      <c r="S1688" s="77">
        <v>0</v>
      </c>
      <c r="T1688" s="77">
        <v>0</v>
      </c>
      <c r="U1688" s="77">
        <v>0</v>
      </c>
      <c r="V1688" s="77">
        <v>33</v>
      </c>
      <c r="W1688" s="82" t="s">
        <v>4982</v>
      </c>
      <c r="X1688" s="77"/>
      <c r="Y1688" s="77"/>
      <c r="Z1688" s="77"/>
      <c r="AA1688" s="77"/>
      <c r="AB1688" s="77"/>
      <c r="AC1688" s="82" t="s">
        <v>8247</v>
      </c>
      <c r="AD1688" s="77" t="s">
        <v>8278</v>
      </c>
      <c r="AE1688" s="80" t="str">
        <f>HYPERLINK("https://twitter.com/activtrades_pt/status/1663617832725118976")</f>
        <v>https://twitter.com/activtrades_pt/status/1663617832725118976</v>
      </c>
      <c r="AF1688" s="79">
        <v>45076.782106481478</v>
      </c>
      <c r="AG1688" s="85">
        <v>45076</v>
      </c>
      <c r="AH1688" s="82" t="s">
        <v>9816</v>
      </c>
      <c r="AI1688" s="77"/>
      <c r="AJ1688" s="77"/>
      <c r="AK1688" s="77"/>
      <c r="AL1688" s="77"/>
      <c r="AM1688" s="77"/>
      <c r="AN1688" s="77"/>
      <c r="AO1688" s="77"/>
      <c r="AP1688" s="77"/>
      <c r="AQ1688" s="77"/>
      <c r="AR1688" s="77"/>
      <c r="AS1688" s="77"/>
      <c r="AT1688" s="77"/>
      <c r="AU1688" s="77"/>
      <c r="AV1688" s="80" t="str">
        <f>HYPERLINK("https://pbs.twimg.com/profile_images/1496044203415064580/VKaLEV6b_normal.jpg")</f>
        <v>https://pbs.twimg.com/profile_images/1496044203415064580/VKaLEV6b_normal.jpg</v>
      </c>
      <c r="AW1688" s="82" t="s">
        <v>14779</v>
      </c>
      <c r="AX1688" s="82" t="s">
        <v>14779</v>
      </c>
      <c r="AY1688" s="77"/>
      <c r="AZ1688" s="82" t="s">
        <v>17385</v>
      </c>
      <c r="BA1688" s="82" t="s">
        <v>17385</v>
      </c>
      <c r="BB1688" s="82" t="s">
        <v>17385</v>
      </c>
      <c r="BC1688" s="82" t="s">
        <v>14779</v>
      </c>
      <c r="BD1688" s="77">
        <v>352118324</v>
      </c>
      <c r="BE1688" s="77"/>
      <c r="BF1688" s="77"/>
      <c r="BG1688" s="77"/>
      <c r="BH1688" s="77"/>
      <c r="BI1688" s="77"/>
    </row>
    <row r="1689" spans="1:61" x14ac:dyDescent="0.25">
      <c r="A1689" s="62" t="s">
        <v>523</v>
      </c>
      <c r="B1689" s="62" t="s">
        <v>523</v>
      </c>
      <c r="C1689" s="63"/>
      <c r="D1689" s="64"/>
      <c r="E1689" s="65"/>
      <c r="F1689" s="66"/>
      <c r="G1689" s="63"/>
      <c r="H1689" s="67"/>
      <c r="I1689" s="68"/>
      <c r="J1689" s="68"/>
      <c r="K1689" s="32"/>
      <c r="L1689" s="75">
        <v>1689</v>
      </c>
      <c r="M1689" s="75"/>
      <c r="N1689" s="70"/>
      <c r="O1689" s="77" t="s">
        <v>179</v>
      </c>
      <c r="P1689" s="79">
        <v>45075.667164351849</v>
      </c>
      <c r="Q1689" s="77" t="s">
        <v>2475</v>
      </c>
      <c r="R1689" s="77">
        <v>0</v>
      </c>
      <c r="S1689" s="77">
        <v>0</v>
      </c>
      <c r="T1689" s="77">
        <v>0</v>
      </c>
      <c r="U1689" s="77">
        <v>0</v>
      </c>
      <c r="V1689" s="77">
        <v>20</v>
      </c>
      <c r="W1689" s="82" t="s">
        <v>5876</v>
      </c>
      <c r="X1689" s="77"/>
      <c r="Y1689" s="77"/>
      <c r="Z1689" s="77"/>
      <c r="AA1689" s="77"/>
      <c r="AB1689" s="77"/>
      <c r="AC1689" s="82" t="s">
        <v>8247</v>
      </c>
      <c r="AD1689" s="77" t="s">
        <v>8278</v>
      </c>
      <c r="AE1689" s="80" t="str">
        <f>HYPERLINK("https://twitter.com/activtrades_pt/status/1663213790488326144")</f>
        <v>https://twitter.com/activtrades_pt/status/1663213790488326144</v>
      </c>
      <c r="AF1689" s="79">
        <v>45075.667164351849</v>
      </c>
      <c r="AG1689" s="85">
        <v>45075</v>
      </c>
      <c r="AH1689" s="82" t="s">
        <v>8791</v>
      </c>
      <c r="AI1689" s="77"/>
      <c r="AJ1689" s="77"/>
      <c r="AK1689" s="77"/>
      <c r="AL1689" s="77"/>
      <c r="AM1689" s="77"/>
      <c r="AN1689" s="77"/>
      <c r="AO1689" s="77"/>
      <c r="AP1689" s="77"/>
      <c r="AQ1689" s="77"/>
      <c r="AR1689" s="77"/>
      <c r="AS1689" s="77"/>
      <c r="AT1689" s="77"/>
      <c r="AU1689" s="77"/>
      <c r="AV1689" s="80" t="str">
        <f>HYPERLINK("https://pbs.twimg.com/profile_images/1496044203415064580/VKaLEV6b_normal.jpg")</f>
        <v>https://pbs.twimg.com/profile_images/1496044203415064580/VKaLEV6b_normal.jpg</v>
      </c>
      <c r="AW1689" s="82" t="s">
        <v>14780</v>
      </c>
      <c r="AX1689" s="82" t="s">
        <v>14780</v>
      </c>
      <c r="AY1689" s="77"/>
      <c r="AZ1689" s="82" t="s">
        <v>17385</v>
      </c>
      <c r="BA1689" s="82" t="s">
        <v>17385</v>
      </c>
      <c r="BB1689" s="82" t="s">
        <v>17385</v>
      </c>
      <c r="BC1689" s="82" t="s">
        <v>14780</v>
      </c>
      <c r="BD1689" s="77">
        <v>352118324</v>
      </c>
      <c r="BE1689" s="77"/>
      <c r="BF1689" s="77"/>
      <c r="BG1689" s="77"/>
      <c r="BH1689" s="77"/>
      <c r="BI1689" s="77"/>
    </row>
    <row r="1690" spans="1:61" x14ac:dyDescent="0.25">
      <c r="A1690" s="62" t="s">
        <v>523</v>
      </c>
      <c r="B1690" s="62" t="s">
        <v>523</v>
      </c>
      <c r="C1690" s="63"/>
      <c r="D1690" s="64"/>
      <c r="E1690" s="65"/>
      <c r="F1690" s="66"/>
      <c r="G1690" s="63"/>
      <c r="H1690" s="67"/>
      <c r="I1690" s="68"/>
      <c r="J1690" s="68"/>
      <c r="K1690" s="32"/>
      <c r="L1690" s="75">
        <v>1690</v>
      </c>
      <c r="M1690" s="75"/>
      <c r="N1690" s="70"/>
      <c r="O1690" s="77" t="s">
        <v>179</v>
      </c>
      <c r="P1690" s="79">
        <v>45061.619814814818</v>
      </c>
      <c r="Q1690" s="77" t="s">
        <v>2476</v>
      </c>
      <c r="R1690" s="77">
        <v>0</v>
      </c>
      <c r="S1690" s="77">
        <v>0</v>
      </c>
      <c r="T1690" s="77">
        <v>0</v>
      </c>
      <c r="U1690" s="77">
        <v>0</v>
      </c>
      <c r="V1690" s="77">
        <v>12</v>
      </c>
      <c r="W1690" s="82" t="s">
        <v>5877</v>
      </c>
      <c r="X1690" s="77"/>
      <c r="Y1690" s="77"/>
      <c r="Z1690" s="77"/>
      <c r="AA1690" s="77" t="s">
        <v>7876</v>
      </c>
      <c r="AB1690" s="77" t="s">
        <v>8225</v>
      </c>
      <c r="AC1690" s="82" t="s">
        <v>8247</v>
      </c>
      <c r="AD1690" s="77" t="s">
        <v>8278</v>
      </c>
      <c r="AE1690" s="80" t="str">
        <f>HYPERLINK("https://twitter.com/activtrades_pt/status/1658123201862422530")</f>
        <v>https://twitter.com/activtrades_pt/status/1658123201862422530</v>
      </c>
      <c r="AF1690" s="79">
        <v>45061.619814814818</v>
      </c>
      <c r="AG1690" s="85">
        <v>45061</v>
      </c>
      <c r="AH1690" s="82" t="s">
        <v>9817</v>
      </c>
      <c r="AI1690" s="77" t="b">
        <v>0</v>
      </c>
      <c r="AJ1690" s="77"/>
      <c r="AK1690" s="77"/>
      <c r="AL1690" s="77"/>
      <c r="AM1690" s="77"/>
      <c r="AN1690" s="77"/>
      <c r="AO1690" s="77"/>
      <c r="AP1690" s="77"/>
      <c r="AQ1690" s="77" t="s">
        <v>12761</v>
      </c>
      <c r="AR1690" s="77"/>
      <c r="AS1690" s="77"/>
      <c r="AT1690" s="77"/>
      <c r="AU1690" s="77"/>
      <c r="AV1690" s="80" t="str">
        <f>HYPERLINK("https://pbs.twimg.com/media/FwLWNqKWIAAxi3O.jpg")</f>
        <v>https://pbs.twimg.com/media/FwLWNqKWIAAxi3O.jpg</v>
      </c>
      <c r="AW1690" s="82" t="s">
        <v>14781</v>
      </c>
      <c r="AX1690" s="82" t="s">
        <v>14781</v>
      </c>
      <c r="AY1690" s="77"/>
      <c r="AZ1690" s="82" t="s">
        <v>17385</v>
      </c>
      <c r="BA1690" s="82" t="s">
        <v>17385</v>
      </c>
      <c r="BB1690" s="82" t="s">
        <v>17385</v>
      </c>
      <c r="BC1690" s="82" t="s">
        <v>14781</v>
      </c>
      <c r="BD1690" s="77">
        <v>352118324</v>
      </c>
      <c r="BE1690" s="77"/>
      <c r="BF1690" s="77"/>
      <c r="BG1690" s="77"/>
      <c r="BH1690" s="77"/>
      <c r="BI1690" s="77"/>
    </row>
    <row r="1691" spans="1:61" x14ac:dyDescent="0.25">
      <c r="A1691" s="62" t="s">
        <v>523</v>
      </c>
      <c r="B1691" s="62" t="s">
        <v>523</v>
      </c>
      <c r="C1691" s="63"/>
      <c r="D1691" s="64"/>
      <c r="E1691" s="65"/>
      <c r="F1691" s="66"/>
      <c r="G1691" s="63"/>
      <c r="H1691" s="67"/>
      <c r="I1691" s="68"/>
      <c r="J1691" s="68"/>
      <c r="K1691" s="32"/>
      <c r="L1691" s="75">
        <v>1691</v>
      </c>
      <c r="M1691" s="75"/>
      <c r="N1691" s="70"/>
      <c r="O1691" s="77" t="s">
        <v>179</v>
      </c>
      <c r="P1691" s="79">
        <v>45084.779027777775</v>
      </c>
      <c r="Q1691" s="77" t="s">
        <v>2477</v>
      </c>
      <c r="R1691" s="77">
        <v>0</v>
      </c>
      <c r="S1691" s="77">
        <v>1</v>
      </c>
      <c r="T1691" s="77">
        <v>1</v>
      </c>
      <c r="U1691" s="77">
        <v>0</v>
      </c>
      <c r="V1691" s="77">
        <v>72</v>
      </c>
      <c r="W1691" s="82" t="s">
        <v>5093</v>
      </c>
      <c r="X1691" s="77"/>
      <c r="Y1691" s="77"/>
      <c r="Z1691" s="77"/>
      <c r="AA1691" s="77"/>
      <c r="AB1691" s="77"/>
      <c r="AC1691" s="82" t="s">
        <v>8247</v>
      </c>
      <c r="AD1691" s="77" t="s">
        <v>8278</v>
      </c>
      <c r="AE1691" s="80" t="str">
        <f>HYPERLINK("https://twitter.com/activtrades_pt/status/1666515821655367688")</f>
        <v>https://twitter.com/activtrades_pt/status/1666515821655367688</v>
      </c>
      <c r="AF1691" s="79">
        <v>45084.779027777775</v>
      </c>
      <c r="AG1691" s="85">
        <v>45084</v>
      </c>
      <c r="AH1691" s="82" t="s">
        <v>9818</v>
      </c>
      <c r="AI1691" s="77"/>
      <c r="AJ1691" s="77"/>
      <c r="AK1691" s="77"/>
      <c r="AL1691" s="77"/>
      <c r="AM1691" s="77"/>
      <c r="AN1691" s="77"/>
      <c r="AO1691" s="77"/>
      <c r="AP1691" s="77"/>
      <c r="AQ1691" s="77"/>
      <c r="AR1691" s="77"/>
      <c r="AS1691" s="77"/>
      <c r="AT1691" s="77"/>
      <c r="AU1691" s="77"/>
      <c r="AV1691" s="80" t="str">
        <f>HYPERLINK("https://pbs.twimg.com/profile_images/1496044203415064580/VKaLEV6b_normal.jpg")</f>
        <v>https://pbs.twimg.com/profile_images/1496044203415064580/VKaLEV6b_normal.jpg</v>
      </c>
      <c r="AW1691" s="82" t="s">
        <v>14782</v>
      </c>
      <c r="AX1691" s="82" t="s">
        <v>14782</v>
      </c>
      <c r="AY1691" s="77"/>
      <c r="AZ1691" s="82" t="s">
        <v>17385</v>
      </c>
      <c r="BA1691" s="82" t="s">
        <v>17385</v>
      </c>
      <c r="BB1691" s="82" t="s">
        <v>17385</v>
      </c>
      <c r="BC1691" s="82" t="s">
        <v>14782</v>
      </c>
      <c r="BD1691" s="77">
        <v>352118324</v>
      </c>
      <c r="BE1691" s="77"/>
      <c r="BF1691" s="77"/>
      <c r="BG1691" s="77"/>
      <c r="BH1691" s="77"/>
      <c r="BI1691" s="77"/>
    </row>
    <row r="1692" spans="1:61" x14ac:dyDescent="0.25">
      <c r="A1692" s="62" t="s">
        <v>523</v>
      </c>
      <c r="B1692" s="62" t="s">
        <v>523</v>
      </c>
      <c r="C1692" s="63"/>
      <c r="D1692" s="64"/>
      <c r="E1692" s="65"/>
      <c r="F1692" s="66"/>
      <c r="G1692" s="63"/>
      <c r="H1692" s="67"/>
      <c r="I1692" s="68"/>
      <c r="J1692" s="68"/>
      <c r="K1692" s="32"/>
      <c r="L1692" s="75">
        <v>1692</v>
      </c>
      <c r="M1692" s="75"/>
      <c r="N1692" s="70"/>
      <c r="O1692" s="77" t="s">
        <v>179</v>
      </c>
      <c r="P1692" s="79">
        <v>45084.713252314818</v>
      </c>
      <c r="Q1692" s="77" t="s">
        <v>2478</v>
      </c>
      <c r="R1692" s="77">
        <v>0</v>
      </c>
      <c r="S1692" s="77">
        <v>1</v>
      </c>
      <c r="T1692" s="77">
        <v>0</v>
      </c>
      <c r="U1692" s="77">
        <v>0</v>
      </c>
      <c r="V1692" s="77">
        <v>24</v>
      </c>
      <c r="W1692" s="82" t="s">
        <v>5878</v>
      </c>
      <c r="X1692" s="77"/>
      <c r="Y1692" s="77"/>
      <c r="Z1692" s="77"/>
      <c r="AA1692" s="77"/>
      <c r="AB1692" s="77"/>
      <c r="AC1692" s="82" t="s">
        <v>8247</v>
      </c>
      <c r="AD1692" s="77" t="s">
        <v>8278</v>
      </c>
      <c r="AE1692" s="80" t="str">
        <f>HYPERLINK("https://twitter.com/activtrades_pt/status/1666491985006321687")</f>
        <v>https://twitter.com/activtrades_pt/status/1666491985006321687</v>
      </c>
      <c r="AF1692" s="79">
        <v>45084.713252314818</v>
      </c>
      <c r="AG1692" s="85">
        <v>45084</v>
      </c>
      <c r="AH1692" s="82" t="s">
        <v>9819</v>
      </c>
      <c r="AI1692" s="77"/>
      <c r="AJ1692" s="77"/>
      <c r="AK1692" s="77"/>
      <c r="AL1692" s="77"/>
      <c r="AM1692" s="77"/>
      <c r="AN1692" s="77"/>
      <c r="AO1692" s="77"/>
      <c r="AP1692" s="77"/>
      <c r="AQ1692" s="77"/>
      <c r="AR1692" s="77"/>
      <c r="AS1692" s="77"/>
      <c r="AT1692" s="77"/>
      <c r="AU1692" s="77"/>
      <c r="AV1692" s="80" t="str">
        <f>HYPERLINK("https://pbs.twimg.com/profile_images/1496044203415064580/VKaLEV6b_normal.jpg")</f>
        <v>https://pbs.twimg.com/profile_images/1496044203415064580/VKaLEV6b_normal.jpg</v>
      </c>
      <c r="AW1692" s="82" t="s">
        <v>14783</v>
      </c>
      <c r="AX1692" s="82" t="s">
        <v>14783</v>
      </c>
      <c r="AY1692" s="77"/>
      <c r="AZ1692" s="82" t="s">
        <v>17385</v>
      </c>
      <c r="BA1692" s="82" t="s">
        <v>17385</v>
      </c>
      <c r="BB1692" s="82" t="s">
        <v>17385</v>
      </c>
      <c r="BC1692" s="82" t="s">
        <v>14783</v>
      </c>
      <c r="BD1692" s="77">
        <v>352118324</v>
      </c>
      <c r="BE1692" s="77"/>
      <c r="BF1692" s="77"/>
      <c r="BG1692" s="77"/>
      <c r="BH1692" s="77"/>
      <c r="BI1692" s="77"/>
    </row>
    <row r="1693" spans="1:61" x14ac:dyDescent="0.25">
      <c r="A1693" s="62" t="s">
        <v>523</v>
      </c>
      <c r="B1693" s="62" t="s">
        <v>523</v>
      </c>
      <c r="C1693" s="63"/>
      <c r="D1693" s="64"/>
      <c r="E1693" s="65"/>
      <c r="F1693" s="66"/>
      <c r="G1693" s="63"/>
      <c r="H1693" s="67"/>
      <c r="I1693" s="68"/>
      <c r="J1693" s="68"/>
      <c r="K1693" s="32"/>
      <c r="L1693" s="75">
        <v>1693</v>
      </c>
      <c r="M1693" s="75"/>
      <c r="N1693" s="70"/>
      <c r="O1693" s="77" t="s">
        <v>179</v>
      </c>
      <c r="P1693" s="79">
        <v>45084.561516203707</v>
      </c>
      <c r="Q1693" s="77" t="s">
        <v>2479</v>
      </c>
      <c r="R1693" s="77">
        <v>0</v>
      </c>
      <c r="S1693" s="77">
        <v>1</v>
      </c>
      <c r="T1693" s="77">
        <v>0</v>
      </c>
      <c r="U1693" s="77">
        <v>0</v>
      </c>
      <c r="V1693" s="77">
        <v>43</v>
      </c>
      <c r="W1693" s="82" t="s">
        <v>5879</v>
      </c>
      <c r="X1693" s="77"/>
      <c r="Y1693" s="77"/>
      <c r="Z1693" s="77"/>
      <c r="AA1693" s="77"/>
      <c r="AB1693" s="77"/>
      <c r="AC1693" s="82" t="s">
        <v>8247</v>
      </c>
      <c r="AD1693" s="77" t="s">
        <v>8278</v>
      </c>
      <c r="AE1693" s="80" t="str">
        <f>HYPERLINK("https://twitter.com/activtrades_pt/status/1666436998393987073")</f>
        <v>https://twitter.com/activtrades_pt/status/1666436998393987073</v>
      </c>
      <c r="AF1693" s="79">
        <v>45084.561516203707</v>
      </c>
      <c r="AG1693" s="85">
        <v>45084</v>
      </c>
      <c r="AH1693" s="82" t="s">
        <v>9820</v>
      </c>
      <c r="AI1693" s="77"/>
      <c r="AJ1693" s="77"/>
      <c r="AK1693" s="77"/>
      <c r="AL1693" s="77"/>
      <c r="AM1693" s="77"/>
      <c r="AN1693" s="77"/>
      <c r="AO1693" s="77"/>
      <c r="AP1693" s="77"/>
      <c r="AQ1693" s="77"/>
      <c r="AR1693" s="77"/>
      <c r="AS1693" s="77"/>
      <c r="AT1693" s="77"/>
      <c r="AU1693" s="77"/>
      <c r="AV1693" s="80" t="str">
        <f>HYPERLINK("https://pbs.twimg.com/profile_images/1496044203415064580/VKaLEV6b_normal.jpg")</f>
        <v>https://pbs.twimg.com/profile_images/1496044203415064580/VKaLEV6b_normal.jpg</v>
      </c>
      <c r="AW1693" s="82" t="s">
        <v>14784</v>
      </c>
      <c r="AX1693" s="82" t="s">
        <v>14784</v>
      </c>
      <c r="AY1693" s="77"/>
      <c r="AZ1693" s="82" t="s">
        <v>17385</v>
      </c>
      <c r="BA1693" s="82" t="s">
        <v>17385</v>
      </c>
      <c r="BB1693" s="82" t="s">
        <v>17385</v>
      </c>
      <c r="BC1693" s="82" t="s">
        <v>14784</v>
      </c>
      <c r="BD1693" s="77">
        <v>352118324</v>
      </c>
      <c r="BE1693" s="77"/>
      <c r="BF1693" s="77"/>
      <c r="BG1693" s="77"/>
      <c r="BH1693" s="77"/>
      <c r="BI1693" s="77"/>
    </row>
    <row r="1694" spans="1:61" x14ac:dyDescent="0.25">
      <c r="A1694" s="62" t="s">
        <v>523</v>
      </c>
      <c r="B1694" s="62" t="s">
        <v>523</v>
      </c>
      <c r="C1694" s="63"/>
      <c r="D1694" s="64"/>
      <c r="E1694" s="65"/>
      <c r="F1694" s="66"/>
      <c r="G1694" s="63"/>
      <c r="H1694" s="67"/>
      <c r="I1694" s="68"/>
      <c r="J1694" s="68"/>
      <c r="K1694" s="32"/>
      <c r="L1694" s="75">
        <v>1694</v>
      </c>
      <c r="M1694" s="75"/>
      <c r="N1694" s="70"/>
      <c r="O1694" s="77" t="s">
        <v>179</v>
      </c>
      <c r="P1694" s="79">
        <v>45070.5703587963</v>
      </c>
      <c r="Q1694" s="77" t="s">
        <v>2480</v>
      </c>
      <c r="R1694" s="77">
        <v>0</v>
      </c>
      <c r="S1694" s="77">
        <v>0</v>
      </c>
      <c r="T1694" s="77">
        <v>0</v>
      </c>
      <c r="U1694" s="77">
        <v>0</v>
      </c>
      <c r="V1694" s="77">
        <v>26</v>
      </c>
      <c r="W1694" s="82" t="s">
        <v>5880</v>
      </c>
      <c r="X1694" s="77"/>
      <c r="Y1694" s="77"/>
      <c r="Z1694" s="77"/>
      <c r="AA1694" s="77"/>
      <c r="AB1694" s="77"/>
      <c r="AC1694" s="82" t="s">
        <v>8247</v>
      </c>
      <c r="AD1694" s="77" t="s">
        <v>8278</v>
      </c>
      <c r="AE1694" s="80" t="str">
        <f>HYPERLINK("https://twitter.com/activtrades_pt/status/1661366771398393857")</f>
        <v>https://twitter.com/activtrades_pt/status/1661366771398393857</v>
      </c>
      <c r="AF1694" s="79">
        <v>45070.5703587963</v>
      </c>
      <c r="AG1694" s="85">
        <v>45070</v>
      </c>
      <c r="AH1694" s="82" t="s">
        <v>9821</v>
      </c>
      <c r="AI1694" s="77"/>
      <c r="AJ1694" s="77"/>
      <c r="AK1694" s="77"/>
      <c r="AL1694" s="77"/>
      <c r="AM1694" s="77"/>
      <c r="AN1694" s="77"/>
      <c r="AO1694" s="77"/>
      <c r="AP1694" s="77"/>
      <c r="AQ1694" s="77"/>
      <c r="AR1694" s="77"/>
      <c r="AS1694" s="77"/>
      <c r="AT1694" s="77"/>
      <c r="AU1694" s="77"/>
      <c r="AV1694" s="80" t="str">
        <f>HYPERLINK("https://pbs.twimg.com/profile_images/1496044203415064580/VKaLEV6b_normal.jpg")</f>
        <v>https://pbs.twimg.com/profile_images/1496044203415064580/VKaLEV6b_normal.jpg</v>
      </c>
      <c r="AW1694" s="82" t="s">
        <v>14785</v>
      </c>
      <c r="AX1694" s="82" t="s">
        <v>14785</v>
      </c>
      <c r="AY1694" s="77"/>
      <c r="AZ1694" s="82" t="s">
        <v>17385</v>
      </c>
      <c r="BA1694" s="82" t="s">
        <v>17385</v>
      </c>
      <c r="BB1694" s="82" t="s">
        <v>17385</v>
      </c>
      <c r="BC1694" s="82" t="s">
        <v>14785</v>
      </c>
      <c r="BD1694" s="77">
        <v>352118324</v>
      </c>
      <c r="BE1694" s="77"/>
      <c r="BF1694" s="77"/>
      <c r="BG1694" s="77"/>
      <c r="BH1694" s="77"/>
      <c r="BI1694" s="77"/>
    </row>
    <row r="1695" spans="1:61" x14ac:dyDescent="0.25">
      <c r="A1695" s="62" t="s">
        <v>523</v>
      </c>
      <c r="B1695" s="62" t="s">
        <v>523</v>
      </c>
      <c r="C1695" s="63"/>
      <c r="D1695" s="64"/>
      <c r="E1695" s="65"/>
      <c r="F1695" s="66"/>
      <c r="G1695" s="63"/>
      <c r="H1695" s="67"/>
      <c r="I1695" s="68"/>
      <c r="J1695" s="68"/>
      <c r="K1695" s="32"/>
      <c r="L1695" s="75">
        <v>1695</v>
      </c>
      <c r="M1695" s="75"/>
      <c r="N1695" s="70"/>
      <c r="O1695" s="77" t="s">
        <v>179</v>
      </c>
      <c r="P1695" s="79">
        <v>45082.475335648145</v>
      </c>
      <c r="Q1695" s="77" t="s">
        <v>2481</v>
      </c>
      <c r="R1695" s="77">
        <v>0</v>
      </c>
      <c r="S1695" s="77">
        <v>0</v>
      </c>
      <c r="T1695" s="77">
        <v>0</v>
      </c>
      <c r="U1695" s="77">
        <v>0</v>
      </c>
      <c r="V1695" s="77">
        <v>12</v>
      </c>
      <c r="W1695" s="82" t="s">
        <v>5881</v>
      </c>
      <c r="X1695" s="77"/>
      <c r="Y1695" s="77"/>
      <c r="Z1695" s="77"/>
      <c r="AA1695" s="77"/>
      <c r="AB1695" s="77"/>
      <c r="AC1695" s="82" t="s">
        <v>8247</v>
      </c>
      <c r="AD1695" s="77" t="s">
        <v>8278</v>
      </c>
      <c r="AE1695" s="80" t="str">
        <f>HYPERLINK("https://twitter.com/activtrades_pt/status/1665680989597605893")</f>
        <v>https://twitter.com/activtrades_pt/status/1665680989597605893</v>
      </c>
      <c r="AF1695" s="79">
        <v>45082.475335648145</v>
      </c>
      <c r="AG1695" s="85">
        <v>45082</v>
      </c>
      <c r="AH1695" s="82" t="s">
        <v>9822</v>
      </c>
      <c r="AI1695" s="77"/>
      <c r="AJ1695" s="77"/>
      <c r="AK1695" s="77"/>
      <c r="AL1695" s="77"/>
      <c r="AM1695" s="77"/>
      <c r="AN1695" s="77"/>
      <c r="AO1695" s="77"/>
      <c r="AP1695" s="77"/>
      <c r="AQ1695" s="77"/>
      <c r="AR1695" s="77"/>
      <c r="AS1695" s="77"/>
      <c r="AT1695" s="77"/>
      <c r="AU1695" s="77"/>
      <c r="AV1695" s="80" t="str">
        <f>HYPERLINK("https://pbs.twimg.com/profile_images/1496044203415064580/VKaLEV6b_normal.jpg")</f>
        <v>https://pbs.twimg.com/profile_images/1496044203415064580/VKaLEV6b_normal.jpg</v>
      </c>
      <c r="AW1695" s="82" t="s">
        <v>14786</v>
      </c>
      <c r="AX1695" s="82" t="s">
        <v>14786</v>
      </c>
      <c r="AY1695" s="77"/>
      <c r="AZ1695" s="82" t="s">
        <v>17385</v>
      </c>
      <c r="BA1695" s="82" t="s">
        <v>17385</v>
      </c>
      <c r="BB1695" s="82" t="s">
        <v>17385</v>
      </c>
      <c r="BC1695" s="82" t="s">
        <v>14786</v>
      </c>
      <c r="BD1695" s="77">
        <v>352118324</v>
      </c>
      <c r="BE1695" s="77"/>
      <c r="BF1695" s="77"/>
      <c r="BG1695" s="77"/>
      <c r="BH1695" s="77"/>
      <c r="BI1695" s="77"/>
    </row>
    <row r="1696" spans="1:61" x14ac:dyDescent="0.25">
      <c r="A1696" s="62" t="s">
        <v>523</v>
      </c>
      <c r="B1696" s="62" t="s">
        <v>523</v>
      </c>
      <c r="C1696" s="63"/>
      <c r="D1696" s="64"/>
      <c r="E1696" s="65"/>
      <c r="F1696" s="66"/>
      <c r="G1696" s="63"/>
      <c r="H1696" s="67"/>
      <c r="I1696" s="68"/>
      <c r="J1696" s="68"/>
      <c r="K1696" s="32"/>
      <c r="L1696" s="75">
        <v>1696</v>
      </c>
      <c r="M1696" s="75"/>
      <c r="N1696" s="70"/>
      <c r="O1696" s="77" t="s">
        <v>179</v>
      </c>
      <c r="P1696" s="79">
        <v>45064.571550925924</v>
      </c>
      <c r="Q1696" s="77" t="s">
        <v>2482</v>
      </c>
      <c r="R1696" s="77">
        <v>0</v>
      </c>
      <c r="S1696" s="77">
        <v>0</v>
      </c>
      <c r="T1696" s="77">
        <v>0</v>
      </c>
      <c r="U1696" s="77">
        <v>0</v>
      </c>
      <c r="V1696" s="77">
        <v>24</v>
      </c>
      <c r="W1696" s="82" t="s">
        <v>4982</v>
      </c>
      <c r="X1696" s="77"/>
      <c r="Y1696" s="77"/>
      <c r="Z1696" s="77"/>
      <c r="AA1696" s="77"/>
      <c r="AB1696" s="77"/>
      <c r="AC1696" s="82" t="s">
        <v>8247</v>
      </c>
      <c r="AD1696" s="77" t="s">
        <v>8278</v>
      </c>
      <c r="AE1696" s="80" t="str">
        <f>HYPERLINK("https://twitter.com/activtrades_pt/status/1659192873815003136")</f>
        <v>https://twitter.com/activtrades_pt/status/1659192873815003136</v>
      </c>
      <c r="AF1696" s="79">
        <v>45064.571550925924</v>
      </c>
      <c r="AG1696" s="85">
        <v>45064</v>
      </c>
      <c r="AH1696" s="82" t="s">
        <v>9823</v>
      </c>
      <c r="AI1696" s="77"/>
      <c r="AJ1696" s="77"/>
      <c r="AK1696" s="77"/>
      <c r="AL1696" s="77"/>
      <c r="AM1696" s="77"/>
      <c r="AN1696" s="77"/>
      <c r="AO1696" s="77"/>
      <c r="AP1696" s="77"/>
      <c r="AQ1696" s="77"/>
      <c r="AR1696" s="77"/>
      <c r="AS1696" s="77"/>
      <c r="AT1696" s="77"/>
      <c r="AU1696" s="77"/>
      <c r="AV1696" s="80" t="str">
        <f>HYPERLINK("https://pbs.twimg.com/profile_images/1496044203415064580/VKaLEV6b_normal.jpg")</f>
        <v>https://pbs.twimg.com/profile_images/1496044203415064580/VKaLEV6b_normal.jpg</v>
      </c>
      <c r="AW1696" s="82" t="s">
        <v>14787</v>
      </c>
      <c r="AX1696" s="82" t="s">
        <v>14787</v>
      </c>
      <c r="AY1696" s="77"/>
      <c r="AZ1696" s="82" t="s">
        <v>17385</v>
      </c>
      <c r="BA1696" s="82" t="s">
        <v>17385</v>
      </c>
      <c r="BB1696" s="82" t="s">
        <v>17385</v>
      </c>
      <c r="BC1696" s="82" t="s">
        <v>14787</v>
      </c>
      <c r="BD1696" s="77">
        <v>352118324</v>
      </c>
      <c r="BE1696" s="77"/>
      <c r="BF1696" s="77"/>
      <c r="BG1696" s="77"/>
      <c r="BH1696" s="77"/>
      <c r="BI1696" s="77"/>
    </row>
    <row r="1697" spans="1:61" x14ac:dyDescent="0.25">
      <c r="A1697" s="62" t="s">
        <v>523</v>
      </c>
      <c r="B1697" s="62" t="s">
        <v>523</v>
      </c>
      <c r="C1697" s="63"/>
      <c r="D1697" s="64"/>
      <c r="E1697" s="65"/>
      <c r="F1697" s="66"/>
      <c r="G1697" s="63"/>
      <c r="H1697" s="67"/>
      <c r="I1697" s="68"/>
      <c r="J1697" s="68"/>
      <c r="K1697" s="32"/>
      <c r="L1697" s="75">
        <v>1697</v>
      </c>
      <c r="M1697" s="75"/>
      <c r="N1697" s="70"/>
      <c r="O1697" s="77" t="s">
        <v>179</v>
      </c>
      <c r="P1697" s="79">
        <v>45093.602071759262</v>
      </c>
      <c r="Q1697" s="77" t="s">
        <v>2483</v>
      </c>
      <c r="R1697" s="77">
        <v>0</v>
      </c>
      <c r="S1697" s="77">
        <v>0</v>
      </c>
      <c r="T1697" s="77">
        <v>0</v>
      </c>
      <c r="U1697" s="77">
        <v>0</v>
      </c>
      <c r="V1697" s="77">
        <v>19</v>
      </c>
      <c r="W1697" s="82" t="s">
        <v>5882</v>
      </c>
      <c r="X1697" s="77"/>
      <c r="Y1697" s="77"/>
      <c r="Z1697" s="77"/>
      <c r="AA1697" s="77"/>
      <c r="AB1697" s="77"/>
      <c r="AC1697" s="82" t="s">
        <v>8247</v>
      </c>
      <c r="AD1697" s="77" t="s">
        <v>8278</v>
      </c>
      <c r="AE1697" s="80" t="str">
        <f>HYPERLINK("https://twitter.com/activtrades_pt/status/1669713182779228160")</f>
        <v>https://twitter.com/activtrades_pt/status/1669713182779228160</v>
      </c>
      <c r="AF1697" s="79">
        <v>45093.602071759262</v>
      </c>
      <c r="AG1697" s="85">
        <v>45093</v>
      </c>
      <c r="AH1697" s="82" t="s">
        <v>9824</v>
      </c>
      <c r="AI1697" s="77"/>
      <c r="AJ1697" s="77"/>
      <c r="AK1697" s="77"/>
      <c r="AL1697" s="77"/>
      <c r="AM1697" s="77"/>
      <c r="AN1697" s="77"/>
      <c r="AO1697" s="77"/>
      <c r="AP1697" s="77"/>
      <c r="AQ1697" s="77"/>
      <c r="AR1697" s="77"/>
      <c r="AS1697" s="77"/>
      <c r="AT1697" s="77"/>
      <c r="AU1697" s="77"/>
      <c r="AV1697" s="80" t="str">
        <f>HYPERLINK("https://pbs.twimg.com/profile_images/1496044203415064580/VKaLEV6b_normal.jpg")</f>
        <v>https://pbs.twimg.com/profile_images/1496044203415064580/VKaLEV6b_normal.jpg</v>
      </c>
      <c r="AW1697" s="82" t="s">
        <v>14788</v>
      </c>
      <c r="AX1697" s="82" t="s">
        <v>14788</v>
      </c>
      <c r="AY1697" s="77"/>
      <c r="AZ1697" s="82" t="s">
        <v>17385</v>
      </c>
      <c r="BA1697" s="82" t="s">
        <v>17385</v>
      </c>
      <c r="BB1697" s="82" t="s">
        <v>17385</v>
      </c>
      <c r="BC1697" s="82" t="s">
        <v>14788</v>
      </c>
      <c r="BD1697" s="77">
        <v>352118324</v>
      </c>
      <c r="BE1697" s="77"/>
      <c r="BF1697" s="77"/>
      <c r="BG1697" s="77"/>
      <c r="BH1697" s="77"/>
      <c r="BI1697" s="77"/>
    </row>
    <row r="1698" spans="1:61" x14ac:dyDescent="0.25">
      <c r="A1698" s="62" t="s">
        <v>523</v>
      </c>
      <c r="B1698" s="62" t="s">
        <v>523</v>
      </c>
      <c r="C1698" s="63"/>
      <c r="D1698" s="64"/>
      <c r="E1698" s="65"/>
      <c r="F1698" s="66"/>
      <c r="G1698" s="63"/>
      <c r="H1698" s="67"/>
      <c r="I1698" s="68"/>
      <c r="J1698" s="68"/>
      <c r="K1698" s="32"/>
      <c r="L1698" s="75">
        <v>1698</v>
      </c>
      <c r="M1698" s="75"/>
      <c r="N1698" s="70"/>
      <c r="O1698" s="77" t="s">
        <v>179</v>
      </c>
      <c r="P1698" s="79">
        <v>45089.573553240742</v>
      </c>
      <c r="Q1698" s="77" t="s">
        <v>2484</v>
      </c>
      <c r="R1698" s="77">
        <v>0</v>
      </c>
      <c r="S1698" s="77">
        <v>0</v>
      </c>
      <c r="T1698" s="77">
        <v>0</v>
      </c>
      <c r="U1698" s="77">
        <v>0</v>
      </c>
      <c r="V1698" s="77">
        <v>46</v>
      </c>
      <c r="W1698" s="82" t="s">
        <v>5883</v>
      </c>
      <c r="X1698" s="77"/>
      <c r="Y1698" s="77"/>
      <c r="Z1698" s="77"/>
      <c r="AA1698" s="77" t="s">
        <v>7877</v>
      </c>
      <c r="AB1698" s="77" t="s">
        <v>8225</v>
      </c>
      <c r="AC1698" s="82" t="s">
        <v>8247</v>
      </c>
      <c r="AD1698" s="77" t="s">
        <v>8278</v>
      </c>
      <c r="AE1698" s="80" t="str">
        <f>HYPERLINK("https://twitter.com/activtrades_pt/status/1668253297684144135")</f>
        <v>https://twitter.com/activtrades_pt/status/1668253297684144135</v>
      </c>
      <c r="AF1698" s="79">
        <v>45089.573553240742</v>
      </c>
      <c r="AG1698" s="85">
        <v>45089</v>
      </c>
      <c r="AH1698" s="82" t="s">
        <v>9825</v>
      </c>
      <c r="AI1698" s="77" t="b">
        <v>0</v>
      </c>
      <c r="AJ1698" s="77"/>
      <c r="AK1698" s="77"/>
      <c r="AL1698" s="77"/>
      <c r="AM1698" s="77"/>
      <c r="AN1698" s="77"/>
      <c r="AO1698" s="77"/>
      <c r="AP1698" s="77"/>
      <c r="AQ1698" s="77" t="s">
        <v>12762</v>
      </c>
      <c r="AR1698" s="77"/>
      <c r="AS1698" s="77"/>
      <c r="AT1698" s="77"/>
      <c r="AU1698" s="77"/>
      <c r="AV1698" s="80" t="str">
        <f>HYPERLINK("https://pbs.twimg.com/media/FybTh0eWcAEo0hJ.png")</f>
        <v>https://pbs.twimg.com/media/FybTh0eWcAEo0hJ.png</v>
      </c>
      <c r="AW1698" s="82" t="s">
        <v>14789</v>
      </c>
      <c r="AX1698" s="82" t="s">
        <v>14789</v>
      </c>
      <c r="AY1698" s="77"/>
      <c r="AZ1698" s="82" t="s">
        <v>17385</v>
      </c>
      <c r="BA1698" s="82" t="s">
        <v>17385</v>
      </c>
      <c r="BB1698" s="82" t="s">
        <v>17385</v>
      </c>
      <c r="BC1698" s="82" t="s">
        <v>14789</v>
      </c>
      <c r="BD1698" s="77">
        <v>352118324</v>
      </c>
      <c r="BE1698" s="77"/>
      <c r="BF1698" s="77"/>
      <c r="BG1698" s="77"/>
      <c r="BH1698" s="77"/>
      <c r="BI1698" s="77"/>
    </row>
    <row r="1699" spans="1:61" x14ac:dyDescent="0.25">
      <c r="A1699" s="62" t="s">
        <v>523</v>
      </c>
      <c r="B1699" s="62" t="s">
        <v>523</v>
      </c>
      <c r="C1699" s="63"/>
      <c r="D1699" s="64"/>
      <c r="E1699" s="65"/>
      <c r="F1699" s="66"/>
      <c r="G1699" s="63"/>
      <c r="H1699" s="67"/>
      <c r="I1699" s="68"/>
      <c r="J1699" s="68"/>
      <c r="K1699" s="32"/>
      <c r="L1699" s="75">
        <v>1699</v>
      </c>
      <c r="M1699" s="75"/>
      <c r="N1699" s="70"/>
      <c r="O1699" s="77" t="s">
        <v>179</v>
      </c>
      <c r="P1699" s="79">
        <v>45062.568368055552</v>
      </c>
      <c r="Q1699" s="77" t="s">
        <v>2485</v>
      </c>
      <c r="R1699" s="77">
        <v>0</v>
      </c>
      <c r="S1699" s="77">
        <v>0</v>
      </c>
      <c r="T1699" s="77">
        <v>0</v>
      </c>
      <c r="U1699" s="77">
        <v>0</v>
      </c>
      <c r="V1699" s="77">
        <v>19</v>
      </c>
      <c r="W1699" s="82" t="s">
        <v>5884</v>
      </c>
      <c r="X1699" s="77"/>
      <c r="Y1699" s="77"/>
      <c r="Z1699" s="77"/>
      <c r="AA1699" s="77"/>
      <c r="AB1699" s="77"/>
      <c r="AC1699" s="82" t="s">
        <v>8247</v>
      </c>
      <c r="AD1699" s="77" t="s">
        <v>8278</v>
      </c>
      <c r="AE1699" s="80" t="str">
        <f>HYPERLINK("https://twitter.com/activtrades_pt/status/1658466945518411778")</f>
        <v>https://twitter.com/activtrades_pt/status/1658466945518411778</v>
      </c>
      <c r="AF1699" s="79">
        <v>45062.568368055552</v>
      </c>
      <c r="AG1699" s="85">
        <v>45062</v>
      </c>
      <c r="AH1699" s="82" t="s">
        <v>9826</v>
      </c>
      <c r="AI1699" s="77"/>
      <c r="AJ1699" s="77"/>
      <c r="AK1699" s="77"/>
      <c r="AL1699" s="77"/>
      <c r="AM1699" s="77"/>
      <c r="AN1699" s="77"/>
      <c r="AO1699" s="77"/>
      <c r="AP1699" s="77"/>
      <c r="AQ1699" s="77"/>
      <c r="AR1699" s="77"/>
      <c r="AS1699" s="77"/>
      <c r="AT1699" s="77"/>
      <c r="AU1699" s="77"/>
      <c r="AV1699" s="80" t="str">
        <f>HYPERLINK("https://pbs.twimg.com/profile_images/1496044203415064580/VKaLEV6b_normal.jpg")</f>
        <v>https://pbs.twimg.com/profile_images/1496044203415064580/VKaLEV6b_normal.jpg</v>
      </c>
      <c r="AW1699" s="82" t="s">
        <v>14790</v>
      </c>
      <c r="AX1699" s="82" t="s">
        <v>14790</v>
      </c>
      <c r="AY1699" s="77"/>
      <c r="AZ1699" s="82" t="s">
        <v>17385</v>
      </c>
      <c r="BA1699" s="82" t="s">
        <v>17385</v>
      </c>
      <c r="BB1699" s="82" t="s">
        <v>17385</v>
      </c>
      <c r="BC1699" s="82" t="s">
        <v>14790</v>
      </c>
      <c r="BD1699" s="77">
        <v>352118324</v>
      </c>
      <c r="BE1699" s="77"/>
      <c r="BF1699" s="77"/>
      <c r="BG1699" s="77"/>
      <c r="BH1699" s="77"/>
      <c r="BI1699" s="77"/>
    </row>
    <row r="1700" spans="1:61" x14ac:dyDescent="0.25">
      <c r="A1700" s="62" t="s">
        <v>523</v>
      </c>
      <c r="B1700" s="62" t="s">
        <v>523</v>
      </c>
      <c r="C1700" s="63"/>
      <c r="D1700" s="64"/>
      <c r="E1700" s="65"/>
      <c r="F1700" s="66"/>
      <c r="G1700" s="63"/>
      <c r="H1700" s="67"/>
      <c r="I1700" s="68"/>
      <c r="J1700" s="68"/>
      <c r="K1700" s="32"/>
      <c r="L1700" s="75">
        <v>1700</v>
      </c>
      <c r="M1700" s="75"/>
      <c r="N1700" s="70"/>
      <c r="O1700" s="77" t="s">
        <v>179</v>
      </c>
      <c r="P1700" s="79">
        <v>45142.736805555556</v>
      </c>
      <c r="Q1700" s="77" t="s">
        <v>2486</v>
      </c>
      <c r="R1700" s="77">
        <v>0</v>
      </c>
      <c r="S1700" s="77">
        <v>0</v>
      </c>
      <c r="T1700" s="77">
        <v>0</v>
      </c>
      <c r="U1700" s="77">
        <v>0</v>
      </c>
      <c r="V1700" s="77">
        <v>47</v>
      </c>
      <c r="W1700" s="82" t="s">
        <v>5885</v>
      </c>
      <c r="X1700" s="77"/>
      <c r="Y1700" s="77"/>
      <c r="Z1700" s="77"/>
      <c r="AA1700" s="77"/>
      <c r="AB1700" s="77"/>
      <c r="AC1700" s="82" t="s">
        <v>8232</v>
      </c>
      <c r="AD1700" s="77" t="s">
        <v>8278</v>
      </c>
      <c r="AE1700" s="80" t="str">
        <f>HYPERLINK("https://twitter.com/activtrades_pt/status/1687519016514965510")</f>
        <v>https://twitter.com/activtrades_pt/status/1687519016514965510</v>
      </c>
      <c r="AF1700" s="79">
        <v>45142.736805555556</v>
      </c>
      <c r="AG1700" s="85">
        <v>45142</v>
      </c>
      <c r="AH1700" s="82" t="s">
        <v>8589</v>
      </c>
      <c r="AI1700" s="77"/>
      <c r="AJ1700" s="77"/>
      <c r="AK1700" s="77"/>
      <c r="AL1700" s="77"/>
      <c r="AM1700" s="77"/>
      <c r="AN1700" s="77"/>
      <c r="AO1700" s="77"/>
      <c r="AP1700" s="77"/>
      <c r="AQ1700" s="77"/>
      <c r="AR1700" s="77"/>
      <c r="AS1700" s="77"/>
      <c r="AT1700" s="77"/>
      <c r="AU1700" s="77"/>
      <c r="AV1700" s="80" t="str">
        <f>HYPERLINK("https://pbs.twimg.com/profile_images/1496044203415064580/VKaLEV6b_normal.jpg")</f>
        <v>https://pbs.twimg.com/profile_images/1496044203415064580/VKaLEV6b_normal.jpg</v>
      </c>
      <c r="AW1700" s="82" t="s">
        <v>14791</v>
      </c>
      <c r="AX1700" s="82" t="s">
        <v>14791</v>
      </c>
      <c r="AY1700" s="77"/>
      <c r="AZ1700" s="82" t="s">
        <v>17385</v>
      </c>
      <c r="BA1700" s="82" t="s">
        <v>17385</v>
      </c>
      <c r="BB1700" s="82" t="s">
        <v>17385</v>
      </c>
      <c r="BC1700" s="82" t="s">
        <v>14791</v>
      </c>
      <c r="BD1700" s="77">
        <v>352118324</v>
      </c>
      <c r="BE1700" s="77"/>
      <c r="BF1700" s="77"/>
      <c r="BG1700" s="77"/>
      <c r="BH1700" s="77"/>
      <c r="BI1700" s="77"/>
    </row>
    <row r="1701" spans="1:61" x14ac:dyDescent="0.25">
      <c r="A1701" s="62" t="s">
        <v>523</v>
      </c>
      <c r="B1701" s="62" t="s">
        <v>523</v>
      </c>
      <c r="C1701" s="63"/>
      <c r="D1701" s="64"/>
      <c r="E1701" s="65"/>
      <c r="F1701" s="66"/>
      <c r="G1701" s="63"/>
      <c r="H1701" s="67"/>
      <c r="I1701" s="68"/>
      <c r="J1701" s="68"/>
      <c r="K1701" s="32"/>
      <c r="L1701" s="75">
        <v>1701</v>
      </c>
      <c r="M1701" s="75"/>
      <c r="N1701" s="70"/>
      <c r="O1701" s="77" t="s">
        <v>179</v>
      </c>
      <c r="P1701" s="79">
        <v>45097.62222222222</v>
      </c>
      <c r="Q1701" s="77" t="s">
        <v>2487</v>
      </c>
      <c r="R1701" s="77">
        <v>0</v>
      </c>
      <c r="S1701" s="77">
        <v>0</v>
      </c>
      <c r="T1701" s="77">
        <v>0</v>
      </c>
      <c r="U1701" s="77">
        <v>0</v>
      </c>
      <c r="V1701" s="77">
        <v>16</v>
      </c>
      <c r="W1701" s="82" t="s">
        <v>5886</v>
      </c>
      <c r="X1701" s="77"/>
      <c r="Y1701" s="77"/>
      <c r="Z1701" s="77"/>
      <c r="AA1701" s="77"/>
      <c r="AB1701" s="77"/>
      <c r="AC1701" s="82" t="s">
        <v>8247</v>
      </c>
      <c r="AD1701" s="77" t="s">
        <v>8278</v>
      </c>
      <c r="AE1701" s="80" t="str">
        <f>HYPERLINK("https://twitter.com/activtrades_pt/status/1671170039746269190")</f>
        <v>https://twitter.com/activtrades_pt/status/1671170039746269190</v>
      </c>
      <c r="AF1701" s="79">
        <v>45097.62222222222</v>
      </c>
      <c r="AG1701" s="85">
        <v>45097</v>
      </c>
      <c r="AH1701" s="82" t="s">
        <v>9729</v>
      </c>
      <c r="AI1701" s="77"/>
      <c r="AJ1701" s="77"/>
      <c r="AK1701" s="77"/>
      <c r="AL1701" s="77"/>
      <c r="AM1701" s="77"/>
      <c r="AN1701" s="77"/>
      <c r="AO1701" s="77"/>
      <c r="AP1701" s="77"/>
      <c r="AQ1701" s="77"/>
      <c r="AR1701" s="77"/>
      <c r="AS1701" s="77"/>
      <c r="AT1701" s="77"/>
      <c r="AU1701" s="77"/>
      <c r="AV1701" s="80" t="str">
        <f>HYPERLINK("https://pbs.twimg.com/profile_images/1496044203415064580/VKaLEV6b_normal.jpg")</f>
        <v>https://pbs.twimg.com/profile_images/1496044203415064580/VKaLEV6b_normal.jpg</v>
      </c>
      <c r="AW1701" s="82" t="s">
        <v>14792</v>
      </c>
      <c r="AX1701" s="82" t="s">
        <v>14792</v>
      </c>
      <c r="AY1701" s="77"/>
      <c r="AZ1701" s="82" t="s">
        <v>17385</v>
      </c>
      <c r="BA1701" s="82" t="s">
        <v>17385</v>
      </c>
      <c r="BB1701" s="82" t="s">
        <v>17385</v>
      </c>
      <c r="BC1701" s="82" t="s">
        <v>14792</v>
      </c>
      <c r="BD1701" s="77">
        <v>352118324</v>
      </c>
      <c r="BE1701" s="77"/>
      <c r="BF1701" s="77"/>
      <c r="BG1701" s="77"/>
      <c r="BH1701" s="77"/>
      <c r="BI1701" s="77"/>
    </row>
    <row r="1702" spans="1:61" x14ac:dyDescent="0.25">
      <c r="A1702" s="62" t="s">
        <v>523</v>
      </c>
      <c r="B1702" s="62" t="s">
        <v>523</v>
      </c>
      <c r="C1702" s="63"/>
      <c r="D1702" s="64"/>
      <c r="E1702" s="65"/>
      <c r="F1702" s="66"/>
      <c r="G1702" s="63"/>
      <c r="H1702" s="67"/>
      <c r="I1702" s="68"/>
      <c r="J1702" s="68"/>
      <c r="K1702" s="32"/>
      <c r="L1702" s="75">
        <v>1702</v>
      </c>
      <c r="M1702" s="75"/>
      <c r="N1702" s="70"/>
      <c r="O1702" s="77" t="s">
        <v>179</v>
      </c>
      <c r="P1702" s="79">
        <v>45072.561782407407</v>
      </c>
      <c r="Q1702" s="77" t="s">
        <v>2488</v>
      </c>
      <c r="R1702" s="77">
        <v>0</v>
      </c>
      <c r="S1702" s="77">
        <v>0</v>
      </c>
      <c r="T1702" s="77">
        <v>0</v>
      </c>
      <c r="U1702" s="77">
        <v>0</v>
      </c>
      <c r="V1702" s="77">
        <v>32</v>
      </c>
      <c r="W1702" s="82" t="s">
        <v>5887</v>
      </c>
      <c r="X1702" s="77"/>
      <c r="Y1702" s="77"/>
      <c r="Z1702" s="77"/>
      <c r="AA1702" s="77"/>
      <c r="AB1702" s="77"/>
      <c r="AC1702" s="82" t="s">
        <v>8247</v>
      </c>
      <c r="AD1702" s="77" t="s">
        <v>8278</v>
      </c>
      <c r="AE1702" s="80" t="str">
        <f>HYPERLINK("https://twitter.com/activtrades_pt/status/1662088437682393091")</f>
        <v>https://twitter.com/activtrades_pt/status/1662088437682393091</v>
      </c>
      <c r="AF1702" s="79">
        <v>45072.561782407407</v>
      </c>
      <c r="AG1702" s="85">
        <v>45072</v>
      </c>
      <c r="AH1702" s="82" t="s">
        <v>9827</v>
      </c>
      <c r="AI1702" s="77"/>
      <c r="AJ1702" s="77"/>
      <c r="AK1702" s="77"/>
      <c r="AL1702" s="77"/>
      <c r="AM1702" s="77"/>
      <c r="AN1702" s="77"/>
      <c r="AO1702" s="77"/>
      <c r="AP1702" s="77"/>
      <c r="AQ1702" s="77"/>
      <c r="AR1702" s="77"/>
      <c r="AS1702" s="77"/>
      <c r="AT1702" s="77"/>
      <c r="AU1702" s="77"/>
      <c r="AV1702" s="80" t="str">
        <f>HYPERLINK("https://pbs.twimg.com/profile_images/1496044203415064580/VKaLEV6b_normal.jpg")</f>
        <v>https://pbs.twimg.com/profile_images/1496044203415064580/VKaLEV6b_normal.jpg</v>
      </c>
      <c r="AW1702" s="82" t="s">
        <v>14793</v>
      </c>
      <c r="AX1702" s="82" t="s">
        <v>14793</v>
      </c>
      <c r="AY1702" s="77"/>
      <c r="AZ1702" s="82" t="s">
        <v>17385</v>
      </c>
      <c r="BA1702" s="82" t="s">
        <v>17385</v>
      </c>
      <c r="BB1702" s="82" t="s">
        <v>17385</v>
      </c>
      <c r="BC1702" s="82" t="s">
        <v>14793</v>
      </c>
      <c r="BD1702" s="77">
        <v>352118324</v>
      </c>
      <c r="BE1702" s="77"/>
      <c r="BF1702" s="77"/>
      <c r="BG1702" s="77"/>
      <c r="BH1702" s="77"/>
      <c r="BI1702" s="77"/>
    </row>
    <row r="1703" spans="1:61" x14ac:dyDescent="0.25">
      <c r="A1703" s="62" t="s">
        <v>523</v>
      </c>
      <c r="B1703" s="62" t="s">
        <v>523</v>
      </c>
      <c r="C1703" s="63"/>
      <c r="D1703" s="64"/>
      <c r="E1703" s="65"/>
      <c r="F1703" s="66"/>
      <c r="G1703" s="63"/>
      <c r="H1703" s="67"/>
      <c r="I1703" s="68"/>
      <c r="J1703" s="68"/>
      <c r="K1703" s="32"/>
      <c r="L1703" s="75">
        <v>1703</v>
      </c>
      <c r="M1703" s="75"/>
      <c r="N1703" s="70"/>
      <c r="O1703" s="77" t="s">
        <v>179</v>
      </c>
      <c r="P1703" s="79">
        <v>45145.585798611108</v>
      </c>
      <c r="Q1703" s="77" t="s">
        <v>2489</v>
      </c>
      <c r="R1703" s="77">
        <v>0</v>
      </c>
      <c r="S1703" s="77">
        <v>0</v>
      </c>
      <c r="T1703" s="77">
        <v>1</v>
      </c>
      <c r="U1703" s="77">
        <v>0</v>
      </c>
      <c r="V1703" s="77">
        <v>79</v>
      </c>
      <c r="W1703" s="82" t="s">
        <v>4982</v>
      </c>
      <c r="X1703" s="77"/>
      <c r="Y1703" s="77"/>
      <c r="Z1703" s="77"/>
      <c r="AA1703" s="77"/>
      <c r="AB1703" s="77"/>
      <c r="AC1703" s="82" t="s">
        <v>8232</v>
      </c>
      <c r="AD1703" s="77" t="s">
        <v>8278</v>
      </c>
      <c r="AE1703" s="80" t="str">
        <f>HYPERLINK("https://twitter.com/activtrades_pt/status/1688551456343805952")</f>
        <v>https://twitter.com/activtrades_pt/status/1688551456343805952</v>
      </c>
      <c r="AF1703" s="79">
        <v>45145.585798611108</v>
      </c>
      <c r="AG1703" s="85">
        <v>45145</v>
      </c>
      <c r="AH1703" s="82" t="s">
        <v>9828</v>
      </c>
      <c r="AI1703" s="77"/>
      <c r="AJ1703" s="77"/>
      <c r="AK1703" s="77"/>
      <c r="AL1703" s="77"/>
      <c r="AM1703" s="77"/>
      <c r="AN1703" s="77"/>
      <c r="AO1703" s="77"/>
      <c r="AP1703" s="77"/>
      <c r="AQ1703" s="77"/>
      <c r="AR1703" s="77"/>
      <c r="AS1703" s="77"/>
      <c r="AT1703" s="77"/>
      <c r="AU1703" s="77"/>
      <c r="AV1703" s="80" t="str">
        <f>HYPERLINK("https://pbs.twimg.com/profile_images/1496044203415064580/VKaLEV6b_normal.jpg")</f>
        <v>https://pbs.twimg.com/profile_images/1496044203415064580/VKaLEV6b_normal.jpg</v>
      </c>
      <c r="AW1703" s="82" t="s">
        <v>14794</v>
      </c>
      <c r="AX1703" s="82" t="s">
        <v>14794</v>
      </c>
      <c r="AY1703" s="77"/>
      <c r="AZ1703" s="82" t="s">
        <v>17385</v>
      </c>
      <c r="BA1703" s="82" t="s">
        <v>17385</v>
      </c>
      <c r="BB1703" s="82" t="s">
        <v>17385</v>
      </c>
      <c r="BC1703" s="82" t="s">
        <v>14794</v>
      </c>
      <c r="BD1703" s="77">
        <v>352118324</v>
      </c>
      <c r="BE1703" s="77"/>
      <c r="BF1703" s="77"/>
      <c r="BG1703" s="77"/>
      <c r="BH1703" s="77"/>
      <c r="BI1703" s="77"/>
    </row>
    <row r="1704" spans="1:61" x14ac:dyDescent="0.25">
      <c r="A1704" s="62" t="s">
        <v>523</v>
      </c>
      <c r="B1704" s="62" t="s">
        <v>523</v>
      </c>
      <c r="C1704" s="63"/>
      <c r="D1704" s="64"/>
      <c r="E1704" s="65"/>
      <c r="F1704" s="66"/>
      <c r="G1704" s="63"/>
      <c r="H1704" s="67"/>
      <c r="I1704" s="68"/>
      <c r="J1704" s="68"/>
      <c r="K1704" s="32"/>
      <c r="L1704" s="75">
        <v>1704</v>
      </c>
      <c r="M1704" s="75"/>
      <c r="N1704" s="70"/>
      <c r="O1704" s="77" t="s">
        <v>179</v>
      </c>
      <c r="P1704" s="79">
        <v>45134.573657407411</v>
      </c>
      <c r="Q1704" s="77" t="s">
        <v>2490</v>
      </c>
      <c r="R1704" s="77">
        <v>0</v>
      </c>
      <c r="S1704" s="77">
        <v>0</v>
      </c>
      <c r="T1704" s="77">
        <v>0</v>
      </c>
      <c r="U1704" s="77">
        <v>0</v>
      </c>
      <c r="V1704" s="77">
        <v>56</v>
      </c>
      <c r="W1704" s="82" t="s">
        <v>5888</v>
      </c>
      <c r="X1704" s="77"/>
      <c r="Y1704" s="77"/>
      <c r="Z1704" s="77"/>
      <c r="AA1704" s="77"/>
      <c r="AB1704" s="77"/>
      <c r="AC1704" s="82" t="s">
        <v>8232</v>
      </c>
      <c r="AD1704" s="77" t="s">
        <v>8278</v>
      </c>
      <c r="AE1704" s="80" t="str">
        <f>HYPERLINK("https://twitter.com/activtrades_pt/status/1684560789431259136")</f>
        <v>https://twitter.com/activtrades_pt/status/1684560789431259136</v>
      </c>
      <c r="AF1704" s="79">
        <v>45134.573657407411</v>
      </c>
      <c r="AG1704" s="85">
        <v>45134</v>
      </c>
      <c r="AH1704" s="82" t="s">
        <v>9829</v>
      </c>
      <c r="AI1704" s="77"/>
      <c r="AJ1704" s="77"/>
      <c r="AK1704" s="77"/>
      <c r="AL1704" s="77"/>
      <c r="AM1704" s="77"/>
      <c r="AN1704" s="77"/>
      <c r="AO1704" s="77"/>
      <c r="AP1704" s="77"/>
      <c r="AQ1704" s="77"/>
      <c r="AR1704" s="77"/>
      <c r="AS1704" s="77"/>
      <c r="AT1704" s="77"/>
      <c r="AU1704" s="77"/>
      <c r="AV1704" s="80" t="str">
        <f>HYPERLINK("https://pbs.twimg.com/profile_images/1496044203415064580/VKaLEV6b_normal.jpg")</f>
        <v>https://pbs.twimg.com/profile_images/1496044203415064580/VKaLEV6b_normal.jpg</v>
      </c>
      <c r="AW1704" s="82" t="s">
        <v>14795</v>
      </c>
      <c r="AX1704" s="82" t="s">
        <v>14795</v>
      </c>
      <c r="AY1704" s="77"/>
      <c r="AZ1704" s="82" t="s">
        <v>17385</v>
      </c>
      <c r="BA1704" s="82" t="s">
        <v>17385</v>
      </c>
      <c r="BB1704" s="82" t="s">
        <v>17385</v>
      </c>
      <c r="BC1704" s="82" t="s">
        <v>14795</v>
      </c>
      <c r="BD1704" s="77">
        <v>352118324</v>
      </c>
      <c r="BE1704" s="77"/>
      <c r="BF1704" s="77"/>
      <c r="BG1704" s="77"/>
      <c r="BH1704" s="77"/>
      <c r="BI1704" s="77"/>
    </row>
    <row r="1705" spans="1:61" x14ac:dyDescent="0.25">
      <c r="A1705" s="62" t="s">
        <v>523</v>
      </c>
      <c r="B1705" s="62" t="s">
        <v>523</v>
      </c>
      <c r="C1705" s="63"/>
      <c r="D1705" s="64"/>
      <c r="E1705" s="65"/>
      <c r="F1705" s="66"/>
      <c r="G1705" s="63"/>
      <c r="H1705" s="67"/>
      <c r="I1705" s="68"/>
      <c r="J1705" s="68"/>
      <c r="K1705" s="32"/>
      <c r="L1705" s="75">
        <v>1705</v>
      </c>
      <c r="M1705" s="75"/>
      <c r="N1705" s="70"/>
      <c r="O1705" s="77" t="s">
        <v>179</v>
      </c>
      <c r="P1705" s="79">
        <v>45134.573391203703</v>
      </c>
      <c r="Q1705" s="77" t="s">
        <v>2491</v>
      </c>
      <c r="R1705" s="77">
        <v>0</v>
      </c>
      <c r="S1705" s="77">
        <v>0</v>
      </c>
      <c r="T1705" s="77">
        <v>0</v>
      </c>
      <c r="U1705" s="77">
        <v>0</v>
      </c>
      <c r="V1705" s="77">
        <v>32</v>
      </c>
      <c r="W1705" s="82" t="s">
        <v>5889</v>
      </c>
      <c r="X1705" s="77"/>
      <c r="Y1705" s="77"/>
      <c r="Z1705" s="77"/>
      <c r="AA1705" s="77"/>
      <c r="AB1705" s="77"/>
      <c r="AC1705" s="82" t="s">
        <v>8232</v>
      </c>
      <c r="AD1705" s="77" t="s">
        <v>8278</v>
      </c>
      <c r="AE1705" s="80" t="str">
        <f>HYPERLINK("https://twitter.com/activtrades_pt/status/1684560692874203137")</f>
        <v>https://twitter.com/activtrades_pt/status/1684560692874203137</v>
      </c>
      <c r="AF1705" s="79">
        <v>45134.573391203703</v>
      </c>
      <c r="AG1705" s="85">
        <v>45134</v>
      </c>
      <c r="AH1705" s="82" t="s">
        <v>9830</v>
      </c>
      <c r="AI1705" s="77"/>
      <c r="AJ1705" s="77"/>
      <c r="AK1705" s="77"/>
      <c r="AL1705" s="77"/>
      <c r="AM1705" s="77"/>
      <c r="AN1705" s="77"/>
      <c r="AO1705" s="77"/>
      <c r="AP1705" s="77"/>
      <c r="AQ1705" s="77"/>
      <c r="AR1705" s="77"/>
      <c r="AS1705" s="77"/>
      <c r="AT1705" s="77"/>
      <c r="AU1705" s="77"/>
      <c r="AV1705" s="80" t="str">
        <f>HYPERLINK("https://pbs.twimg.com/profile_images/1496044203415064580/VKaLEV6b_normal.jpg")</f>
        <v>https://pbs.twimg.com/profile_images/1496044203415064580/VKaLEV6b_normal.jpg</v>
      </c>
      <c r="AW1705" s="82" t="s">
        <v>14796</v>
      </c>
      <c r="AX1705" s="82" t="s">
        <v>14796</v>
      </c>
      <c r="AY1705" s="77"/>
      <c r="AZ1705" s="82" t="s">
        <v>17385</v>
      </c>
      <c r="BA1705" s="82" t="s">
        <v>17385</v>
      </c>
      <c r="BB1705" s="82" t="s">
        <v>17385</v>
      </c>
      <c r="BC1705" s="82" t="s">
        <v>14796</v>
      </c>
      <c r="BD1705" s="77">
        <v>352118324</v>
      </c>
      <c r="BE1705" s="77"/>
      <c r="BF1705" s="77"/>
      <c r="BG1705" s="77"/>
      <c r="BH1705" s="77"/>
      <c r="BI1705" s="77"/>
    </row>
    <row r="1706" spans="1:61" x14ac:dyDescent="0.25">
      <c r="A1706" s="62" t="s">
        <v>523</v>
      </c>
      <c r="B1706" s="62" t="s">
        <v>523</v>
      </c>
      <c r="C1706" s="63"/>
      <c r="D1706" s="64"/>
      <c r="E1706" s="65"/>
      <c r="F1706" s="66"/>
      <c r="G1706" s="63"/>
      <c r="H1706" s="67"/>
      <c r="I1706" s="68"/>
      <c r="J1706" s="68"/>
      <c r="K1706" s="32"/>
      <c r="L1706" s="75">
        <v>1706</v>
      </c>
      <c r="M1706" s="75"/>
      <c r="N1706" s="70"/>
      <c r="O1706" s="77" t="s">
        <v>179</v>
      </c>
      <c r="P1706" s="79">
        <v>45082.656921296293</v>
      </c>
      <c r="Q1706" s="77" t="s">
        <v>2492</v>
      </c>
      <c r="R1706" s="77">
        <v>0</v>
      </c>
      <c r="S1706" s="77">
        <v>0</v>
      </c>
      <c r="T1706" s="77">
        <v>0</v>
      </c>
      <c r="U1706" s="77">
        <v>0</v>
      </c>
      <c r="V1706" s="77">
        <v>56</v>
      </c>
      <c r="W1706" s="82" t="s">
        <v>5890</v>
      </c>
      <c r="X1706" s="77"/>
      <c r="Y1706" s="77"/>
      <c r="Z1706" s="77"/>
      <c r="AA1706" s="77"/>
      <c r="AB1706" s="77"/>
      <c r="AC1706" s="82" t="s">
        <v>8247</v>
      </c>
      <c r="AD1706" s="77" t="s">
        <v>8278</v>
      </c>
      <c r="AE1706" s="80" t="str">
        <f>HYPERLINK("https://twitter.com/activtrades_pt/status/1665746793059983360")</f>
        <v>https://twitter.com/activtrades_pt/status/1665746793059983360</v>
      </c>
      <c r="AF1706" s="79">
        <v>45082.656921296293</v>
      </c>
      <c r="AG1706" s="85">
        <v>45082</v>
      </c>
      <c r="AH1706" s="82" t="s">
        <v>9831</v>
      </c>
      <c r="AI1706" s="77"/>
      <c r="AJ1706" s="77"/>
      <c r="AK1706" s="77"/>
      <c r="AL1706" s="77"/>
      <c r="AM1706" s="77"/>
      <c r="AN1706" s="77"/>
      <c r="AO1706" s="77"/>
      <c r="AP1706" s="77"/>
      <c r="AQ1706" s="77"/>
      <c r="AR1706" s="77"/>
      <c r="AS1706" s="77"/>
      <c r="AT1706" s="77"/>
      <c r="AU1706" s="77"/>
      <c r="AV1706" s="80" t="str">
        <f>HYPERLINK("https://pbs.twimg.com/profile_images/1496044203415064580/VKaLEV6b_normal.jpg")</f>
        <v>https://pbs.twimg.com/profile_images/1496044203415064580/VKaLEV6b_normal.jpg</v>
      </c>
      <c r="AW1706" s="82" t="s">
        <v>14797</v>
      </c>
      <c r="AX1706" s="82" t="s">
        <v>14797</v>
      </c>
      <c r="AY1706" s="77"/>
      <c r="AZ1706" s="82" t="s">
        <v>17385</v>
      </c>
      <c r="BA1706" s="82" t="s">
        <v>17385</v>
      </c>
      <c r="BB1706" s="82" t="s">
        <v>17385</v>
      </c>
      <c r="BC1706" s="82" t="s">
        <v>14797</v>
      </c>
      <c r="BD1706" s="77">
        <v>352118324</v>
      </c>
      <c r="BE1706" s="77"/>
      <c r="BF1706" s="77"/>
      <c r="BG1706" s="77"/>
      <c r="BH1706" s="77"/>
      <c r="BI1706" s="77"/>
    </row>
    <row r="1707" spans="1:61" x14ac:dyDescent="0.25">
      <c r="A1707" s="62" t="s">
        <v>524</v>
      </c>
      <c r="B1707" s="62" t="s">
        <v>524</v>
      </c>
      <c r="C1707" s="63"/>
      <c r="D1707" s="64"/>
      <c r="E1707" s="65"/>
      <c r="F1707" s="66"/>
      <c r="G1707" s="63"/>
      <c r="H1707" s="67"/>
      <c r="I1707" s="68"/>
      <c r="J1707" s="68"/>
      <c r="K1707" s="32"/>
      <c r="L1707" s="75">
        <v>1707</v>
      </c>
      <c r="M1707" s="75"/>
      <c r="N1707" s="70"/>
      <c r="O1707" s="77" t="s">
        <v>179</v>
      </c>
      <c r="P1707" s="79">
        <v>45133.762465277781</v>
      </c>
      <c r="Q1707" s="77" t="s">
        <v>2493</v>
      </c>
      <c r="R1707" s="77">
        <v>0</v>
      </c>
      <c r="S1707" s="77">
        <v>0</v>
      </c>
      <c r="T1707" s="77">
        <v>0</v>
      </c>
      <c r="U1707" s="77">
        <v>0</v>
      </c>
      <c r="V1707" s="77">
        <v>41</v>
      </c>
      <c r="W1707" s="82" t="s">
        <v>4835</v>
      </c>
      <c r="X1707" s="80" t="str">
        <f>HYPERLINK("https://contraponto.jor.br/copel-lanca-oferta-de-acoes-que-devem-ir-a-bolsa-de-valores/?feed_id=521&amp;_unique_id=64c16354ee648")</f>
        <v>https://contraponto.jor.br/copel-lanca-oferta-de-acoes-que-devem-ir-a-bolsa-de-valores/?feed_id=521&amp;_unique_id=64c16354ee648</v>
      </c>
      <c r="Y1707" s="77" t="s">
        <v>7124</v>
      </c>
      <c r="Z1707" s="77"/>
      <c r="AA1707" s="77"/>
      <c r="AB1707" s="77"/>
      <c r="AC1707" s="82" t="s">
        <v>8232</v>
      </c>
      <c r="AD1707" s="77" t="s">
        <v>8278</v>
      </c>
      <c r="AE1707" s="80" t="str">
        <f>HYPERLINK("https://twitter.com/contraponto_jor/status/1684266821896003594")</f>
        <v>https://twitter.com/contraponto_jor/status/1684266821896003594</v>
      </c>
      <c r="AF1707" s="79">
        <v>45133.762465277781</v>
      </c>
      <c r="AG1707" s="85">
        <v>45133</v>
      </c>
      <c r="AH1707" s="82" t="s">
        <v>9832</v>
      </c>
      <c r="AI1707" s="77" t="b">
        <v>0</v>
      </c>
      <c r="AJ1707" s="77"/>
      <c r="AK1707" s="77"/>
      <c r="AL1707" s="77"/>
      <c r="AM1707" s="77"/>
      <c r="AN1707" s="77"/>
      <c r="AO1707" s="77"/>
      <c r="AP1707" s="77"/>
      <c r="AQ1707" s="77"/>
      <c r="AR1707" s="77"/>
      <c r="AS1707" s="77"/>
      <c r="AT1707" s="77"/>
      <c r="AU1707" s="77"/>
      <c r="AV1707" s="80" t="str">
        <f>HYPERLINK("https://pbs.twimg.com/profile_images/884435440467677184/8hP6XcAD_normal.jpg")</f>
        <v>https://pbs.twimg.com/profile_images/884435440467677184/8hP6XcAD_normal.jpg</v>
      </c>
      <c r="AW1707" s="82" t="s">
        <v>14798</v>
      </c>
      <c r="AX1707" s="82" t="s">
        <v>14798</v>
      </c>
      <c r="AY1707" s="77"/>
      <c r="AZ1707" s="82" t="s">
        <v>17385</v>
      </c>
      <c r="BA1707" s="82" t="s">
        <v>17385</v>
      </c>
      <c r="BB1707" s="82" t="s">
        <v>17385</v>
      </c>
      <c r="BC1707" s="82" t="s">
        <v>14798</v>
      </c>
      <c r="BD1707" s="82" t="s">
        <v>17598</v>
      </c>
      <c r="BE1707" s="77"/>
      <c r="BF1707" s="77"/>
      <c r="BG1707" s="77"/>
      <c r="BH1707" s="77"/>
      <c r="BI1707" s="77"/>
    </row>
    <row r="1708" spans="1:61" x14ac:dyDescent="0.25">
      <c r="A1708" s="62" t="s">
        <v>525</v>
      </c>
      <c r="B1708" s="62" t="s">
        <v>525</v>
      </c>
      <c r="C1708" s="63"/>
      <c r="D1708" s="64"/>
      <c r="E1708" s="65"/>
      <c r="F1708" s="66"/>
      <c r="G1708" s="63"/>
      <c r="H1708" s="67"/>
      <c r="I1708" s="68"/>
      <c r="J1708" s="68"/>
      <c r="K1708" s="32"/>
      <c r="L1708" s="75">
        <v>1708</v>
      </c>
      <c r="M1708" s="75"/>
      <c r="N1708" s="70"/>
      <c r="O1708" s="77" t="s">
        <v>179</v>
      </c>
      <c r="P1708" s="79">
        <v>45071.616331018522</v>
      </c>
      <c r="Q1708" s="77" t="s">
        <v>2494</v>
      </c>
      <c r="R1708" s="77">
        <v>0</v>
      </c>
      <c r="S1708" s="77">
        <v>0</v>
      </c>
      <c r="T1708" s="77">
        <v>0</v>
      </c>
      <c r="U1708" s="77">
        <v>0</v>
      </c>
      <c r="V1708" s="77">
        <v>154</v>
      </c>
      <c r="W1708" s="82" t="s">
        <v>5891</v>
      </c>
      <c r="X1708" s="80" t="str">
        <f>HYPERLINK("http://bit.ly/3IHXIBL")</f>
        <v>http://bit.ly/3IHXIBL</v>
      </c>
      <c r="Y1708" s="77" t="s">
        <v>7063</v>
      </c>
      <c r="Z1708" s="77"/>
      <c r="AA1708" s="77" t="s">
        <v>7878</v>
      </c>
      <c r="AB1708" s="77" t="s">
        <v>8225</v>
      </c>
      <c r="AC1708" s="82" t="s">
        <v>8232</v>
      </c>
      <c r="AD1708" s="77" t="s">
        <v>8278</v>
      </c>
      <c r="AE1708" s="80" t="str">
        <f>HYPERLINK("https://twitter.com/plamevoficial/status/1661745818548985862")</f>
        <v>https://twitter.com/plamevoficial/status/1661745818548985862</v>
      </c>
      <c r="AF1708" s="79">
        <v>45071.616331018522</v>
      </c>
      <c r="AG1708" s="85">
        <v>45071</v>
      </c>
      <c r="AH1708" s="82" t="s">
        <v>9833</v>
      </c>
      <c r="AI1708" s="77" t="b">
        <v>0</v>
      </c>
      <c r="AJ1708" s="77"/>
      <c r="AK1708" s="77"/>
      <c r="AL1708" s="77"/>
      <c r="AM1708" s="77"/>
      <c r="AN1708" s="77"/>
      <c r="AO1708" s="77"/>
      <c r="AP1708" s="77"/>
      <c r="AQ1708" s="77" t="s">
        <v>12763</v>
      </c>
      <c r="AR1708" s="77"/>
      <c r="AS1708" s="77"/>
      <c r="AT1708" s="77"/>
      <c r="AU1708" s="77"/>
      <c r="AV1708" s="80" t="str">
        <f>HYPERLINK("https://pbs.twimg.com/media/Fw-09iNaMAY7K-_.jpg")</f>
        <v>https://pbs.twimg.com/media/Fw-09iNaMAY7K-_.jpg</v>
      </c>
      <c r="AW1708" s="82" t="s">
        <v>14799</v>
      </c>
      <c r="AX1708" s="82" t="s">
        <v>14799</v>
      </c>
      <c r="AY1708" s="77"/>
      <c r="AZ1708" s="82" t="s">
        <v>17385</v>
      </c>
      <c r="BA1708" s="82" t="s">
        <v>17385</v>
      </c>
      <c r="BB1708" s="82" t="s">
        <v>17385</v>
      </c>
      <c r="BC1708" s="82" t="s">
        <v>14799</v>
      </c>
      <c r="BD1708" s="82" t="s">
        <v>17599</v>
      </c>
      <c r="BE1708" s="77"/>
      <c r="BF1708" s="77"/>
      <c r="BG1708" s="77"/>
      <c r="BH1708" s="77"/>
      <c r="BI1708" s="77"/>
    </row>
    <row r="1709" spans="1:61" x14ac:dyDescent="0.25">
      <c r="A1709" s="62" t="s">
        <v>526</v>
      </c>
      <c r="B1709" s="62" t="s">
        <v>744</v>
      </c>
      <c r="C1709" s="63"/>
      <c r="D1709" s="64"/>
      <c r="E1709" s="65"/>
      <c r="F1709" s="66"/>
      <c r="G1709" s="63"/>
      <c r="H1709" s="67"/>
      <c r="I1709" s="68"/>
      <c r="J1709" s="68"/>
      <c r="K1709" s="32"/>
      <c r="L1709" s="75">
        <v>1709</v>
      </c>
      <c r="M1709" s="75"/>
      <c r="N1709" s="70"/>
      <c r="O1709" s="77" t="s">
        <v>802</v>
      </c>
      <c r="P1709" s="79">
        <v>45093.06013888889</v>
      </c>
      <c r="Q1709" s="77" t="s">
        <v>2495</v>
      </c>
      <c r="R1709" s="77">
        <v>0</v>
      </c>
      <c r="S1709" s="77">
        <v>0</v>
      </c>
      <c r="T1709" s="77">
        <v>0</v>
      </c>
      <c r="U1709" s="77">
        <v>0</v>
      </c>
      <c r="V1709" s="77">
        <v>21</v>
      </c>
      <c r="W1709" s="82" t="s">
        <v>5892</v>
      </c>
      <c r="X1709" s="80" t="str">
        <f>HYPERLINK("https://olhardigital.com.br/2023/06/15/pro/surpreendeu-bill-gates-microsoft-bate-recorde-de-valor-de-mercado-com-ia/")</f>
        <v>https://olhardigital.com.br/2023/06/15/pro/surpreendeu-bill-gates-microsoft-bate-recorde-de-valor-de-mercado-com-ia/</v>
      </c>
      <c r="Y1709" s="77" t="s">
        <v>7053</v>
      </c>
      <c r="Z1709" s="77" t="s">
        <v>744</v>
      </c>
      <c r="AA1709" s="77"/>
      <c r="AB1709" s="77"/>
      <c r="AC1709" s="82" t="s">
        <v>8232</v>
      </c>
      <c r="AD1709" s="77" t="s">
        <v>8278</v>
      </c>
      <c r="AE1709" s="80" t="str">
        <f>HYPERLINK("https://twitter.com/andreibecker/status/1669516796112564225")</f>
        <v>https://twitter.com/andreibecker/status/1669516796112564225</v>
      </c>
      <c r="AF1709" s="79">
        <v>45093.06013888889</v>
      </c>
      <c r="AG1709" s="85">
        <v>45093</v>
      </c>
      <c r="AH1709" s="82" t="s">
        <v>9834</v>
      </c>
      <c r="AI1709" s="77" t="b">
        <v>0</v>
      </c>
      <c r="AJ1709" s="77"/>
      <c r="AK1709" s="77"/>
      <c r="AL1709" s="77"/>
      <c r="AM1709" s="77"/>
      <c r="AN1709" s="77"/>
      <c r="AO1709" s="77"/>
      <c r="AP1709" s="77"/>
      <c r="AQ1709" s="77"/>
      <c r="AR1709" s="77"/>
      <c r="AS1709" s="77"/>
      <c r="AT1709" s="77"/>
      <c r="AU1709" s="77"/>
      <c r="AV1709" s="80" t="str">
        <f>HYPERLINK("https://pbs.twimg.com/profile_images/1107331168624619522/mMQjQNHv_normal.jpg")</f>
        <v>https://pbs.twimg.com/profile_images/1107331168624619522/mMQjQNHv_normal.jpg</v>
      </c>
      <c r="AW1709" s="82" t="s">
        <v>14800</v>
      </c>
      <c r="AX1709" s="82" t="s">
        <v>14800</v>
      </c>
      <c r="AY1709" s="77"/>
      <c r="AZ1709" s="82" t="s">
        <v>17385</v>
      </c>
      <c r="BA1709" s="82" t="s">
        <v>17385</v>
      </c>
      <c r="BB1709" s="82" t="s">
        <v>17385</v>
      </c>
      <c r="BC1709" s="82" t="s">
        <v>14800</v>
      </c>
      <c r="BD1709" s="77">
        <v>92586313</v>
      </c>
      <c r="BE1709" s="77"/>
      <c r="BF1709" s="77"/>
      <c r="BG1709" s="77"/>
      <c r="BH1709" s="77"/>
      <c r="BI1709" s="77"/>
    </row>
    <row r="1710" spans="1:61" x14ac:dyDescent="0.25">
      <c r="A1710" s="62" t="s">
        <v>527</v>
      </c>
      <c r="B1710" s="62" t="s">
        <v>527</v>
      </c>
      <c r="C1710" s="63"/>
      <c r="D1710" s="64"/>
      <c r="E1710" s="65"/>
      <c r="F1710" s="66"/>
      <c r="G1710" s="63"/>
      <c r="H1710" s="67"/>
      <c r="I1710" s="68"/>
      <c r="J1710" s="68"/>
      <c r="K1710" s="32"/>
      <c r="L1710" s="75">
        <v>1710</v>
      </c>
      <c r="M1710" s="75"/>
      <c r="N1710" s="70"/>
      <c r="O1710" s="77" t="s">
        <v>179</v>
      </c>
      <c r="P1710" s="79">
        <v>45150.089282407411</v>
      </c>
      <c r="Q1710" s="77" t="s">
        <v>2496</v>
      </c>
      <c r="R1710" s="77">
        <v>1</v>
      </c>
      <c r="S1710" s="77">
        <v>1</v>
      </c>
      <c r="T1710" s="77">
        <v>0</v>
      </c>
      <c r="U1710" s="77">
        <v>0</v>
      </c>
      <c r="V1710" s="77">
        <v>112</v>
      </c>
      <c r="W1710" s="82" t="s">
        <v>5893</v>
      </c>
      <c r="X1710" s="77"/>
      <c r="Y1710" s="77"/>
      <c r="Z1710" s="77"/>
      <c r="AA1710" s="77" t="s">
        <v>7879</v>
      </c>
      <c r="AB1710" s="77" t="s">
        <v>8225</v>
      </c>
      <c r="AC1710" s="82" t="s">
        <v>8233</v>
      </c>
      <c r="AD1710" s="77" t="s">
        <v>8278</v>
      </c>
      <c r="AE1710" s="80" t="str">
        <f>HYPERLINK("https://twitter.com/heulerandrey/status/1690183462253142019")</f>
        <v>https://twitter.com/heulerandrey/status/1690183462253142019</v>
      </c>
      <c r="AF1710" s="79">
        <v>45150.089282407411</v>
      </c>
      <c r="AG1710" s="85">
        <v>45150</v>
      </c>
      <c r="AH1710" s="82" t="s">
        <v>9835</v>
      </c>
      <c r="AI1710" s="77" t="b">
        <v>0</v>
      </c>
      <c r="AJ1710" s="77"/>
      <c r="AK1710" s="77"/>
      <c r="AL1710" s="77"/>
      <c r="AM1710" s="77"/>
      <c r="AN1710" s="77"/>
      <c r="AO1710" s="77"/>
      <c r="AP1710" s="77"/>
      <c r="AQ1710" s="77" t="s">
        <v>12764</v>
      </c>
      <c r="AR1710" s="77"/>
      <c r="AS1710" s="77"/>
      <c r="AT1710" s="77"/>
      <c r="AU1710" s="77"/>
      <c r="AV1710" s="80" t="str">
        <f>HYPERLINK("https://pbs.twimg.com/media/F3S85SJWIAEGRld.jpg")</f>
        <v>https://pbs.twimg.com/media/F3S85SJWIAEGRld.jpg</v>
      </c>
      <c r="AW1710" s="82" t="s">
        <v>14801</v>
      </c>
      <c r="AX1710" s="82" t="s">
        <v>14801</v>
      </c>
      <c r="AY1710" s="77"/>
      <c r="AZ1710" s="82" t="s">
        <v>17385</v>
      </c>
      <c r="BA1710" s="82" t="s">
        <v>17385</v>
      </c>
      <c r="BB1710" s="82" t="s">
        <v>17385</v>
      </c>
      <c r="BC1710" s="82" t="s">
        <v>14801</v>
      </c>
      <c r="BD1710" s="77">
        <v>140099978</v>
      </c>
      <c r="BE1710" s="77"/>
      <c r="BF1710" s="77"/>
      <c r="BG1710" s="77"/>
      <c r="BH1710" s="77"/>
      <c r="BI1710" s="77"/>
    </row>
    <row r="1711" spans="1:61" x14ac:dyDescent="0.25">
      <c r="A1711" s="62" t="s">
        <v>528</v>
      </c>
      <c r="B1711" s="62" t="s">
        <v>528</v>
      </c>
      <c r="C1711" s="63"/>
      <c r="D1711" s="64"/>
      <c r="E1711" s="65"/>
      <c r="F1711" s="66"/>
      <c r="G1711" s="63"/>
      <c r="H1711" s="67"/>
      <c r="I1711" s="68"/>
      <c r="J1711" s="68"/>
      <c r="K1711" s="32"/>
      <c r="L1711" s="75">
        <v>1711</v>
      </c>
      <c r="M1711" s="75"/>
      <c r="N1711" s="70"/>
      <c r="O1711" s="77" t="s">
        <v>179</v>
      </c>
      <c r="P1711" s="79">
        <v>45068.634641203702</v>
      </c>
      <c r="Q1711" s="77" t="s">
        <v>2497</v>
      </c>
      <c r="R1711" s="77">
        <v>0</v>
      </c>
      <c r="S1711" s="77">
        <v>0</v>
      </c>
      <c r="T1711" s="77">
        <v>0</v>
      </c>
      <c r="U1711" s="77">
        <v>0</v>
      </c>
      <c r="V1711" s="77">
        <v>17</v>
      </c>
      <c r="W1711" s="82" t="s">
        <v>5894</v>
      </c>
      <c r="X1711" s="77"/>
      <c r="Y1711" s="77"/>
      <c r="Z1711" s="77"/>
      <c r="AA1711" s="77" t="s">
        <v>7880</v>
      </c>
      <c r="AB1711" s="77" t="s">
        <v>8225</v>
      </c>
      <c r="AC1711" s="82" t="s">
        <v>8232</v>
      </c>
      <c r="AD1711" s="77" t="s">
        <v>8278</v>
      </c>
      <c r="AE1711" s="80" t="str">
        <f>HYPERLINK("https://twitter.com/cultivarofuturo/status/1660665289975930884")</f>
        <v>https://twitter.com/cultivarofuturo/status/1660665289975930884</v>
      </c>
      <c r="AF1711" s="79">
        <v>45068.634641203702</v>
      </c>
      <c r="AG1711" s="85">
        <v>45068</v>
      </c>
      <c r="AH1711" s="82" t="s">
        <v>9836</v>
      </c>
      <c r="AI1711" s="77" t="b">
        <v>0</v>
      </c>
      <c r="AJ1711" s="77"/>
      <c r="AK1711" s="77"/>
      <c r="AL1711" s="77"/>
      <c r="AM1711" s="77"/>
      <c r="AN1711" s="77"/>
      <c r="AO1711" s="77"/>
      <c r="AP1711" s="77"/>
      <c r="AQ1711" s="77" t="s">
        <v>12765</v>
      </c>
      <c r="AR1711" s="77"/>
      <c r="AS1711" s="77"/>
      <c r="AT1711" s="77"/>
      <c r="AU1711" s="77"/>
      <c r="AV1711" s="80" t="str">
        <f>HYPERLINK("https://pbs.twimg.com/media/Fwvd6FFXoAcuWHc.jpg")</f>
        <v>https://pbs.twimg.com/media/Fwvd6FFXoAcuWHc.jpg</v>
      </c>
      <c r="AW1711" s="82" t="s">
        <v>14802</v>
      </c>
      <c r="AX1711" s="82" t="s">
        <v>14802</v>
      </c>
      <c r="AY1711" s="77"/>
      <c r="AZ1711" s="82" t="s">
        <v>17385</v>
      </c>
      <c r="BA1711" s="82" t="s">
        <v>17385</v>
      </c>
      <c r="BB1711" s="82" t="s">
        <v>17385</v>
      </c>
      <c r="BC1711" s="82" t="s">
        <v>14802</v>
      </c>
      <c r="BD1711" s="82" t="s">
        <v>17600</v>
      </c>
      <c r="BE1711" s="77"/>
      <c r="BF1711" s="77"/>
      <c r="BG1711" s="77"/>
      <c r="BH1711" s="77"/>
      <c r="BI1711" s="77"/>
    </row>
    <row r="1712" spans="1:61" x14ac:dyDescent="0.25">
      <c r="A1712" s="62" t="s">
        <v>528</v>
      </c>
      <c r="B1712" s="62" t="s">
        <v>528</v>
      </c>
      <c r="C1712" s="63"/>
      <c r="D1712" s="64"/>
      <c r="E1712" s="65"/>
      <c r="F1712" s="66"/>
      <c r="G1712" s="63"/>
      <c r="H1712" s="67"/>
      <c r="I1712" s="68"/>
      <c r="J1712" s="68"/>
      <c r="K1712" s="32"/>
      <c r="L1712" s="75">
        <v>1712</v>
      </c>
      <c r="M1712" s="75"/>
      <c r="N1712" s="70"/>
      <c r="O1712" s="77" t="s">
        <v>179</v>
      </c>
      <c r="P1712" s="79">
        <v>45086.596192129633</v>
      </c>
      <c r="Q1712" s="77" t="s">
        <v>2498</v>
      </c>
      <c r="R1712" s="77">
        <v>0</v>
      </c>
      <c r="S1712" s="77">
        <v>0</v>
      </c>
      <c r="T1712" s="77">
        <v>0</v>
      </c>
      <c r="U1712" s="77">
        <v>0</v>
      </c>
      <c r="V1712" s="77">
        <v>8</v>
      </c>
      <c r="W1712" s="82" t="s">
        <v>5895</v>
      </c>
      <c r="X1712" s="80" t="str">
        <f>HYPERLINK("https://www.instagram.com/reel/CtRcOfXLEyA/?utm_source=ig_web_copy_link&amp;igshid=MmJiY2I4NDBkZg==")</f>
        <v>https://www.instagram.com/reel/CtRcOfXLEyA/?utm_source=ig_web_copy_link&amp;igshid=MmJiY2I4NDBkZg==</v>
      </c>
      <c r="Y1712" s="77" t="s">
        <v>7055</v>
      </c>
      <c r="Z1712" s="77"/>
      <c r="AA1712" s="77" t="s">
        <v>7881</v>
      </c>
      <c r="AB1712" s="77" t="s">
        <v>8225</v>
      </c>
      <c r="AC1712" s="82" t="s">
        <v>8232</v>
      </c>
      <c r="AD1712" s="77" t="s">
        <v>8278</v>
      </c>
      <c r="AE1712" s="80" t="str">
        <f>HYPERLINK("https://twitter.com/cultivarofuturo/status/1667174336292089857")</f>
        <v>https://twitter.com/cultivarofuturo/status/1667174336292089857</v>
      </c>
      <c r="AF1712" s="79">
        <v>45086.596192129633</v>
      </c>
      <c r="AG1712" s="85">
        <v>45086</v>
      </c>
      <c r="AH1712" s="82" t="s">
        <v>9837</v>
      </c>
      <c r="AI1712" s="77" t="b">
        <v>0</v>
      </c>
      <c r="AJ1712" s="77"/>
      <c r="AK1712" s="77"/>
      <c r="AL1712" s="77"/>
      <c r="AM1712" s="77"/>
      <c r="AN1712" s="77"/>
      <c r="AO1712" s="77"/>
      <c r="AP1712" s="77"/>
      <c r="AQ1712" s="77" t="s">
        <v>12766</v>
      </c>
      <c r="AR1712" s="77"/>
      <c r="AS1712" s="77"/>
      <c r="AT1712" s="77"/>
      <c r="AU1712" s="77"/>
      <c r="AV1712" s="80" t="str">
        <f>HYPERLINK("https://pbs.twimg.com/media/FyL908SWwAUVg3q.jpg")</f>
        <v>https://pbs.twimg.com/media/FyL908SWwAUVg3q.jpg</v>
      </c>
      <c r="AW1712" s="82" t="s">
        <v>14803</v>
      </c>
      <c r="AX1712" s="82" t="s">
        <v>14803</v>
      </c>
      <c r="AY1712" s="77"/>
      <c r="AZ1712" s="82" t="s">
        <v>17385</v>
      </c>
      <c r="BA1712" s="82" t="s">
        <v>17385</v>
      </c>
      <c r="BB1712" s="82" t="s">
        <v>17385</v>
      </c>
      <c r="BC1712" s="82" t="s">
        <v>14803</v>
      </c>
      <c r="BD1712" s="82" t="s">
        <v>17600</v>
      </c>
      <c r="BE1712" s="77"/>
      <c r="BF1712" s="77"/>
      <c r="BG1712" s="77"/>
      <c r="BH1712" s="77"/>
      <c r="BI1712" s="77"/>
    </row>
    <row r="1713" spans="1:61" x14ac:dyDescent="0.25">
      <c r="A1713" s="62" t="s">
        <v>528</v>
      </c>
      <c r="B1713" s="62" t="s">
        <v>528</v>
      </c>
      <c r="C1713" s="63"/>
      <c r="D1713" s="64"/>
      <c r="E1713" s="65"/>
      <c r="F1713" s="66"/>
      <c r="G1713" s="63"/>
      <c r="H1713" s="67"/>
      <c r="I1713" s="68"/>
      <c r="J1713" s="68"/>
      <c r="K1713" s="32"/>
      <c r="L1713" s="75">
        <v>1713</v>
      </c>
      <c r="M1713" s="75"/>
      <c r="N1713" s="70"/>
      <c r="O1713" s="77" t="s">
        <v>179</v>
      </c>
      <c r="P1713" s="79">
        <v>45093.733067129629</v>
      </c>
      <c r="Q1713" s="77" t="s">
        <v>2499</v>
      </c>
      <c r="R1713" s="77">
        <v>0</v>
      </c>
      <c r="S1713" s="77">
        <v>0</v>
      </c>
      <c r="T1713" s="77">
        <v>0</v>
      </c>
      <c r="U1713" s="77">
        <v>0</v>
      </c>
      <c r="V1713" s="77">
        <v>5</v>
      </c>
      <c r="W1713" s="82" t="s">
        <v>5896</v>
      </c>
      <c r="X1713" s="80" t="str">
        <f>HYPERLINK("https://www.instagram.com/p/CtjdmsbuF78/?igshid=MTc4MmM1YmI2Ng==")</f>
        <v>https://www.instagram.com/p/CtjdmsbuF78/?igshid=MTc4MmM1YmI2Ng==</v>
      </c>
      <c r="Y1713" s="77" t="s">
        <v>7055</v>
      </c>
      <c r="Z1713" s="77"/>
      <c r="AA1713" s="77"/>
      <c r="AB1713" s="77"/>
      <c r="AC1713" s="82" t="s">
        <v>8234</v>
      </c>
      <c r="AD1713" s="77" t="s">
        <v>8278</v>
      </c>
      <c r="AE1713" s="80" t="str">
        <f>HYPERLINK("https://twitter.com/cultivarofuturo/status/1669760653848920065")</f>
        <v>https://twitter.com/cultivarofuturo/status/1669760653848920065</v>
      </c>
      <c r="AF1713" s="79">
        <v>45093.733067129629</v>
      </c>
      <c r="AG1713" s="85">
        <v>45093</v>
      </c>
      <c r="AH1713" s="82" t="s">
        <v>9838</v>
      </c>
      <c r="AI1713" s="77" t="b">
        <v>0</v>
      </c>
      <c r="AJ1713" s="77"/>
      <c r="AK1713" s="77"/>
      <c r="AL1713" s="77"/>
      <c r="AM1713" s="77"/>
      <c r="AN1713" s="77"/>
      <c r="AO1713" s="77"/>
      <c r="AP1713" s="77"/>
      <c r="AQ1713" s="77"/>
      <c r="AR1713" s="77"/>
      <c r="AS1713" s="77"/>
      <c r="AT1713" s="77"/>
      <c r="AU1713" s="77"/>
      <c r="AV1713" s="80" t="str">
        <f>HYPERLINK("https://pbs.twimg.com/profile_images/1537970896081588224/EOaA95w8_normal.jpg")</f>
        <v>https://pbs.twimg.com/profile_images/1537970896081588224/EOaA95w8_normal.jpg</v>
      </c>
      <c r="AW1713" s="82" t="s">
        <v>14804</v>
      </c>
      <c r="AX1713" s="82" t="s">
        <v>14804</v>
      </c>
      <c r="AY1713" s="77"/>
      <c r="AZ1713" s="82" t="s">
        <v>17385</v>
      </c>
      <c r="BA1713" s="82" t="s">
        <v>17385</v>
      </c>
      <c r="BB1713" s="82" t="s">
        <v>17385</v>
      </c>
      <c r="BC1713" s="82" t="s">
        <v>14804</v>
      </c>
      <c r="BD1713" s="82" t="s">
        <v>17600</v>
      </c>
      <c r="BE1713" s="77"/>
      <c r="BF1713" s="77"/>
      <c r="BG1713" s="77"/>
      <c r="BH1713" s="77"/>
      <c r="BI1713" s="77"/>
    </row>
    <row r="1714" spans="1:61" x14ac:dyDescent="0.25">
      <c r="A1714" s="62" t="s">
        <v>529</v>
      </c>
      <c r="B1714" s="62" t="s">
        <v>783</v>
      </c>
      <c r="C1714" s="63"/>
      <c r="D1714" s="64"/>
      <c r="E1714" s="65"/>
      <c r="F1714" s="66"/>
      <c r="G1714" s="63"/>
      <c r="H1714" s="67"/>
      <c r="I1714" s="68"/>
      <c r="J1714" s="68"/>
      <c r="K1714" s="32"/>
      <c r="L1714" s="75">
        <v>1714</v>
      </c>
      <c r="M1714" s="75"/>
      <c r="N1714" s="70"/>
      <c r="O1714" s="77" t="s">
        <v>802</v>
      </c>
      <c r="P1714" s="79">
        <v>45072.21503472222</v>
      </c>
      <c r="Q1714" s="77" t="s">
        <v>2500</v>
      </c>
      <c r="R1714" s="77">
        <v>0</v>
      </c>
      <c r="S1714" s="77">
        <v>1</v>
      </c>
      <c r="T1714" s="77">
        <v>1</v>
      </c>
      <c r="U1714" s="77">
        <v>0</v>
      </c>
      <c r="V1714" s="77">
        <v>96</v>
      </c>
      <c r="W1714" s="82" t="s">
        <v>5897</v>
      </c>
      <c r="X1714" s="80" t="str">
        <f>HYPERLINK("https://www.investidorfrugal.com/qual-a-melhor-corretora-para-um-investidor-passivo/")</f>
        <v>https://www.investidorfrugal.com/qual-a-melhor-corretora-para-um-investidor-passivo/</v>
      </c>
      <c r="Y1714" s="77" t="s">
        <v>7125</v>
      </c>
      <c r="Z1714" s="77" t="s">
        <v>783</v>
      </c>
      <c r="AA1714" s="77"/>
      <c r="AB1714" s="77"/>
      <c r="AC1714" s="82" t="s">
        <v>8232</v>
      </c>
      <c r="AD1714" s="77" t="s">
        <v>8278</v>
      </c>
      <c r="AE1714" s="80" t="str">
        <f>HYPERLINK("https://twitter.com/investfrugal/status/1661962780109406211")</f>
        <v>https://twitter.com/investfrugal/status/1661962780109406211</v>
      </c>
      <c r="AF1714" s="79">
        <v>45072.21503472222</v>
      </c>
      <c r="AG1714" s="85">
        <v>45072</v>
      </c>
      <c r="AH1714" s="82" t="s">
        <v>9839</v>
      </c>
      <c r="AI1714" s="77" t="b">
        <v>0</v>
      </c>
      <c r="AJ1714" s="77"/>
      <c r="AK1714" s="77"/>
      <c r="AL1714" s="77"/>
      <c r="AM1714" s="77"/>
      <c r="AN1714" s="77"/>
      <c r="AO1714" s="77"/>
      <c r="AP1714" s="77"/>
      <c r="AQ1714" s="77"/>
      <c r="AR1714" s="77"/>
      <c r="AS1714" s="77"/>
      <c r="AT1714" s="77"/>
      <c r="AU1714" s="77"/>
      <c r="AV1714" s="80" t="str">
        <f>HYPERLINK("https://pbs.twimg.com/profile_images/1417120451755663368/-SfZzyXw_normal.png")</f>
        <v>https://pbs.twimg.com/profile_images/1417120451755663368/-SfZzyXw_normal.png</v>
      </c>
      <c r="AW1714" s="82" t="s">
        <v>14805</v>
      </c>
      <c r="AX1714" s="82" t="s">
        <v>14805</v>
      </c>
      <c r="AY1714" s="77"/>
      <c r="AZ1714" s="82" t="s">
        <v>17385</v>
      </c>
      <c r="BA1714" s="82" t="s">
        <v>17385</v>
      </c>
      <c r="BB1714" s="82" t="s">
        <v>17385</v>
      </c>
      <c r="BC1714" s="82" t="s">
        <v>14805</v>
      </c>
      <c r="BD1714" s="82" t="s">
        <v>17601</v>
      </c>
      <c r="BE1714" s="77"/>
      <c r="BF1714" s="77"/>
      <c r="BG1714" s="77"/>
      <c r="BH1714" s="77"/>
      <c r="BI1714" s="77"/>
    </row>
    <row r="1715" spans="1:61" x14ac:dyDescent="0.25">
      <c r="A1715" s="62" t="s">
        <v>529</v>
      </c>
      <c r="B1715" s="62" t="s">
        <v>529</v>
      </c>
      <c r="C1715" s="63"/>
      <c r="D1715" s="64"/>
      <c r="E1715" s="65"/>
      <c r="F1715" s="66"/>
      <c r="G1715" s="63"/>
      <c r="H1715" s="67"/>
      <c r="I1715" s="68"/>
      <c r="J1715" s="68"/>
      <c r="K1715" s="32"/>
      <c r="L1715" s="75">
        <v>1715</v>
      </c>
      <c r="M1715" s="75"/>
      <c r="N1715" s="70"/>
      <c r="O1715" s="77" t="s">
        <v>179</v>
      </c>
      <c r="P1715" s="79">
        <v>45090.580069444448</v>
      </c>
      <c r="Q1715" s="77" t="s">
        <v>2501</v>
      </c>
      <c r="R1715" s="77">
        <v>0</v>
      </c>
      <c r="S1715" s="77">
        <v>1</v>
      </c>
      <c r="T1715" s="77">
        <v>0</v>
      </c>
      <c r="U1715" s="77">
        <v>0</v>
      </c>
      <c r="V1715" s="77">
        <v>85</v>
      </c>
      <c r="W1715" s="82" t="s">
        <v>5898</v>
      </c>
      <c r="X1715" s="77"/>
      <c r="Y1715" s="77"/>
      <c r="Z1715" s="77"/>
      <c r="AA1715" s="77" t="s">
        <v>7882</v>
      </c>
      <c r="AB1715" s="77" t="s">
        <v>8225</v>
      </c>
      <c r="AC1715" s="82" t="s">
        <v>8232</v>
      </c>
      <c r="AD1715" s="77" t="s">
        <v>8278</v>
      </c>
      <c r="AE1715" s="80" t="str">
        <f>HYPERLINK("https://twitter.com/investfrugal/status/1668618046305624068")</f>
        <v>https://twitter.com/investfrugal/status/1668618046305624068</v>
      </c>
      <c r="AF1715" s="79">
        <v>45090.580069444448</v>
      </c>
      <c r="AG1715" s="85">
        <v>45090</v>
      </c>
      <c r="AH1715" s="82" t="s">
        <v>9840</v>
      </c>
      <c r="AI1715" s="77" t="b">
        <v>0</v>
      </c>
      <c r="AJ1715" s="77"/>
      <c r="AK1715" s="77"/>
      <c r="AL1715" s="77"/>
      <c r="AM1715" s="77"/>
      <c r="AN1715" s="77"/>
      <c r="AO1715" s="77"/>
      <c r="AP1715" s="77"/>
      <c r="AQ1715" s="77" t="s">
        <v>12767</v>
      </c>
      <c r="AR1715" s="77"/>
      <c r="AS1715" s="77"/>
      <c r="AT1715" s="77"/>
      <c r="AU1715" s="77"/>
      <c r="AV1715" s="80" t="str">
        <f>HYPERLINK("https://pbs.twimg.com/media/FygfQ2uaYAE2jvl.png")</f>
        <v>https://pbs.twimg.com/media/FygfQ2uaYAE2jvl.png</v>
      </c>
      <c r="AW1715" s="82" t="s">
        <v>14806</v>
      </c>
      <c r="AX1715" s="82" t="s">
        <v>14806</v>
      </c>
      <c r="AY1715" s="77"/>
      <c r="AZ1715" s="82" t="s">
        <v>17385</v>
      </c>
      <c r="BA1715" s="82" t="s">
        <v>17385</v>
      </c>
      <c r="BB1715" s="82" t="s">
        <v>17385</v>
      </c>
      <c r="BC1715" s="82" t="s">
        <v>14806</v>
      </c>
      <c r="BD1715" s="82" t="s">
        <v>17601</v>
      </c>
      <c r="BE1715" s="77"/>
      <c r="BF1715" s="77"/>
      <c r="BG1715" s="77"/>
      <c r="BH1715" s="77"/>
      <c r="BI1715" s="77"/>
    </row>
    <row r="1716" spans="1:61" x14ac:dyDescent="0.25">
      <c r="A1716" s="62" t="s">
        <v>529</v>
      </c>
      <c r="B1716" s="62" t="s">
        <v>529</v>
      </c>
      <c r="C1716" s="63"/>
      <c r="D1716" s="64"/>
      <c r="E1716" s="65"/>
      <c r="F1716" s="66"/>
      <c r="G1716" s="63"/>
      <c r="H1716" s="67"/>
      <c r="I1716" s="68"/>
      <c r="J1716" s="68"/>
      <c r="K1716" s="32"/>
      <c r="L1716" s="75">
        <v>1716</v>
      </c>
      <c r="M1716" s="75"/>
      <c r="N1716" s="70"/>
      <c r="O1716" s="77" t="s">
        <v>179</v>
      </c>
      <c r="P1716" s="79">
        <v>45077.714375000003</v>
      </c>
      <c r="Q1716" s="77" t="s">
        <v>2502</v>
      </c>
      <c r="R1716" s="77">
        <v>1</v>
      </c>
      <c r="S1716" s="77">
        <v>4</v>
      </c>
      <c r="T1716" s="77">
        <v>0</v>
      </c>
      <c r="U1716" s="77">
        <v>0</v>
      </c>
      <c r="V1716" s="77">
        <v>200</v>
      </c>
      <c r="W1716" s="82" t="s">
        <v>5899</v>
      </c>
      <c r="X1716" s="77"/>
      <c r="Y1716" s="77"/>
      <c r="Z1716" s="77"/>
      <c r="AA1716" s="77" t="s">
        <v>7883</v>
      </c>
      <c r="AB1716" s="77" t="s">
        <v>8225</v>
      </c>
      <c r="AC1716" s="82" t="s">
        <v>8232</v>
      </c>
      <c r="AD1716" s="77" t="s">
        <v>8278</v>
      </c>
      <c r="AE1716" s="80" t="str">
        <f>HYPERLINK("https://twitter.com/investfrugal/status/1663955677067214849")</f>
        <v>https://twitter.com/investfrugal/status/1663955677067214849</v>
      </c>
      <c r="AF1716" s="79">
        <v>45077.714375000003</v>
      </c>
      <c r="AG1716" s="85">
        <v>45077</v>
      </c>
      <c r="AH1716" s="82" t="s">
        <v>9841</v>
      </c>
      <c r="AI1716" s="77" t="b">
        <v>0</v>
      </c>
      <c r="AJ1716" s="77"/>
      <c r="AK1716" s="77"/>
      <c r="AL1716" s="77"/>
      <c r="AM1716" s="77"/>
      <c r="AN1716" s="77"/>
      <c r="AO1716" s="77"/>
      <c r="AP1716" s="77"/>
      <c r="AQ1716" s="77" t="s">
        <v>12768</v>
      </c>
      <c r="AR1716" s="77"/>
      <c r="AS1716" s="77"/>
      <c r="AT1716" s="77"/>
      <c r="AU1716" s="77"/>
      <c r="AV1716" s="80" t="str">
        <f>HYPERLINK("https://pbs.twimg.com/media/FxeO3WcX0AATf_l.jpg")</f>
        <v>https://pbs.twimg.com/media/FxeO3WcX0AATf_l.jpg</v>
      </c>
      <c r="AW1716" s="82" t="s">
        <v>14807</v>
      </c>
      <c r="AX1716" s="82" t="s">
        <v>14807</v>
      </c>
      <c r="AY1716" s="77"/>
      <c r="AZ1716" s="82" t="s">
        <v>17385</v>
      </c>
      <c r="BA1716" s="82" t="s">
        <v>17385</v>
      </c>
      <c r="BB1716" s="82" t="s">
        <v>17385</v>
      </c>
      <c r="BC1716" s="82" t="s">
        <v>14807</v>
      </c>
      <c r="BD1716" s="82" t="s">
        <v>17601</v>
      </c>
      <c r="BE1716" s="77"/>
      <c r="BF1716" s="77"/>
      <c r="BG1716" s="77"/>
      <c r="BH1716" s="77"/>
      <c r="BI1716" s="77"/>
    </row>
    <row r="1717" spans="1:61" x14ac:dyDescent="0.25">
      <c r="A1717" s="62" t="s">
        <v>529</v>
      </c>
      <c r="B1717" s="62" t="s">
        <v>529</v>
      </c>
      <c r="C1717" s="63"/>
      <c r="D1717" s="64"/>
      <c r="E1717" s="65"/>
      <c r="F1717" s="66"/>
      <c r="G1717" s="63"/>
      <c r="H1717" s="67"/>
      <c r="I1717" s="68"/>
      <c r="J1717" s="68"/>
      <c r="K1717" s="32"/>
      <c r="L1717" s="75">
        <v>1717</v>
      </c>
      <c r="M1717" s="75"/>
      <c r="N1717" s="70"/>
      <c r="O1717" s="77" t="s">
        <v>179</v>
      </c>
      <c r="P1717" s="79">
        <v>45046.261747685188</v>
      </c>
      <c r="Q1717" s="77" t="s">
        <v>2503</v>
      </c>
      <c r="R1717" s="77">
        <v>0</v>
      </c>
      <c r="S1717" s="77">
        <v>1</v>
      </c>
      <c r="T1717" s="77">
        <v>0</v>
      </c>
      <c r="U1717" s="77">
        <v>0</v>
      </c>
      <c r="V1717" s="77">
        <v>53</v>
      </c>
      <c r="W1717" s="82" t="s">
        <v>5898</v>
      </c>
      <c r="X1717" s="77"/>
      <c r="Y1717" s="77"/>
      <c r="Z1717" s="77"/>
      <c r="AA1717" s="77" t="s">
        <v>7884</v>
      </c>
      <c r="AB1717" s="77" t="s">
        <v>8225</v>
      </c>
      <c r="AC1717" s="82" t="s">
        <v>8232</v>
      </c>
      <c r="AD1717" s="77" t="s">
        <v>8278</v>
      </c>
      <c r="AE1717" s="80" t="str">
        <f>HYPERLINK("https://twitter.com/investfrugal/status/1652557624049631291")</f>
        <v>https://twitter.com/investfrugal/status/1652557624049631291</v>
      </c>
      <c r="AF1717" s="79">
        <v>45046.261747685188</v>
      </c>
      <c r="AG1717" s="85">
        <v>45046</v>
      </c>
      <c r="AH1717" s="82" t="s">
        <v>9842</v>
      </c>
      <c r="AI1717" s="77" t="b">
        <v>0</v>
      </c>
      <c r="AJ1717" s="77"/>
      <c r="AK1717" s="77"/>
      <c r="AL1717" s="77"/>
      <c r="AM1717" s="77"/>
      <c r="AN1717" s="77"/>
      <c r="AO1717" s="77"/>
      <c r="AP1717" s="77"/>
      <c r="AQ1717" s="77" t="s">
        <v>12769</v>
      </c>
      <c r="AR1717" s="77"/>
      <c r="AS1717" s="77"/>
      <c r="AT1717" s="77"/>
      <c r="AU1717" s="77"/>
      <c r="AV1717" s="80" t="str">
        <f>HYPERLINK("https://pbs.twimg.com/media/Fu8QVBUWIAEpNrX.png")</f>
        <v>https://pbs.twimg.com/media/Fu8QVBUWIAEpNrX.png</v>
      </c>
      <c r="AW1717" s="82" t="s">
        <v>14808</v>
      </c>
      <c r="AX1717" s="82" t="s">
        <v>14808</v>
      </c>
      <c r="AY1717" s="77"/>
      <c r="AZ1717" s="82" t="s">
        <v>17385</v>
      </c>
      <c r="BA1717" s="82" t="s">
        <v>17385</v>
      </c>
      <c r="BB1717" s="82" t="s">
        <v>17385</v>
      </c>
      <c r="BC1717" s="82" t="s">
        <v>14808</v>
      </c>
      <c r="BD1717" s="82" t="s">
        <v>17601</v>
      </c>
      <c r="BE1717" s="77"/>
      <c r="BF1717" s="77"/>
      <c r="BG1717" s="77"/>
      <c r="BH1717" s="77"/>
      <c r="BI1717" s="77"/>
    </row>
    <row r="1718" spans="1:61" x14ac:dyDescent="0.25">
      <c r="A1718" s="62" t="s">
        <v>529</v>
      </c>
      <c r="B1718" s="62" t="s">
        <v>529</v>
      </c>
      <c r="C1718" s="63"/>
      <c r="D1718" s="64"/>
      <c r="E1718" s="65"/>
      <c r="F1718" s="66"/>
      <c r="G1718" s="63"/>
      <c r="H1718" s="67"/>
      <c r="I1718" s="68"/>
      <c r="J1718" s="68"/>
      <c r="K1718" s="32"/>
      <c r="L1718" s="75">
        <v>1718</v>
      </c>
      <c r="M1718" s="75"/>
      <c r="N1718" s="70"/>
      <c r="O1718" s="77" t="s">
        <v>179</v>
      </c>
      <c r="P1718" s="79">
        <v>45103.796354166669</v>
      </c>
      <c r="Q1718" s="77" t="s">
        <v>2504</v>
      </c>
      <c r="R1718" s="77">
        <v>0</v>
      </c>
      <c r="S1718" s="77">
        <v>2</v>
      </c>
      <c r="T1718" s="77">
        <v>0</v>
      </c>
      <c r="U1718" s="77">
        <v>0</v>
      </c>
      <c r="V1718" s="77">
        <v>131</v>
      </c>
      <c r="W1718" s="82" t="s">
        <v>5900</v>
      </c>
      <c r="X1718" s="77"/>
      <c r="Y1718" s="77"/>
      <c r="Z1718" s="77"/>
      <c r="AA1718" s="77" t="s">
        <v>7885</v>
      </c>
      <c r="AB1718" s="77" t="s">
        <v>8225</v>
      </c>
      <c r="AC1718" s="82" t="s">
        <v>8232</v>
      </c>
      <c r="AD1718" s="77" t="s">
        <v>8278</v>
      </c>
      <c r="AE1718" s="80" t="str">
        <f>HYPERLINK("https://twitter.com/investfrugal/status/1673407469081567234")</f>
        <v>https://twitter.com/investfrugal/status/1673407469081567234</v>
      </c>
      <c r="AF1718" s="79">
        <v>45103.796354166669</v>
      </c>
      <c r="AG1718" s="85">
        <v>45103</v>
      </c>
      <c r="AH1718" s="82" t="s">
        <v>9843</v>
      </c>
      <c r="AI1718" s="77" t="b">
        <v>0</v>
      </c>
      <c r="AJ1718" s="77"/>
      <c r="AK1718" s="77"/>
      <c r="AL1718" s="77"/>
      <c r="AM1718" s="77"/>
      <c r="AN1718" s="77"/>
      <c r="AO1718" s="77"/>
      <c r="AP1718" s="77"/>
      <c r="AQ1718" s="77" t="s">
        <v>12770</v>
      </c>
      <c r="AR1718" s="77"/>
      <c r="AS1718" s="77"/>
      <c r="AT1718" s="77"/>
      <c r="AU1718" s="77"/>
      <c r="AV1718" s="80" t="str">
        <f>HYPERLINK("https://pbs.twimg.com/media/FzkjL-dXsAALYND.jpg")</f>
        <v>https://pbs.twimg.com/media/FzkjL-dXsAALYND.jpg</v>
      </c>
      <c r="AW1718" s="82" t="s">
        <v>14809</v>
      </c>
      <c r="AX1718" s="82" t="s">
        <v>14809</v>
      </c>
      <c r="AY1718" s="77"/>
      <c r="AZ1718" s="82" t="s">
        <v>17385</v>
      </c>
      <c r="BA1718" s="82" t="s">
        <v>17385</v>
      </c>
      <c r="BB1718" s="82" t="s">
        <v>17385</v>
      </c>
      <c r="BC1718" s="82" t="s">
        <v>14809</v>
      </c>
      <c r="BD1718" s="82" t="s">
        <v>17601</v>
      </c>
      <c r="BE1718" s="77"/>
      <c r="BF1718" s="77"/>
      <c r="BG1718" s="77"/>
      <c r="BH1718" s="77"/>
      <c r="BI1718" s="77"/>
    </row>
    <row r="1719" spans="1:61" x14ac:dyDescent="0.25">
      <c r="A1719" s="62" t="s">
        <v>529</v>
      </c>
      <c r="B1719" s="62" t="s">
        <v>529</v>
      </c>
      <c r="C1719" s="63"/>
      <c r="D1719" s="64"/>
      <c r="E1719" s="65"/>
      <c r="F1719" s="66"/>
      <c r="G1719" s="63"/>
      <c r="H1719" s="67"/>
      <c r="I1719" s="68"/>
      <c r="J1719" s="68"/>
      <c r="K1719" s="32"/>
      <c r="L1719" s="75">
        <v>1719</v>
      </c>
      <c r="M1719" s="75"/>
      <c r="N1719" s="70"/>
      <c r="O1719" s="77" t="s">
        <v>179</v>
      </c>
      <c r="P1719" s="79">
        <v>45122.88082175926</v>
      </c>
      <c r="Q1719" s="77" t="s">
        <v>2505</v>
      </c>
      <c r="R1719" s="77">
        <v>0</v>
      </c>
      <c r="S1719" s="77">
        <v>0</v>
      </c>
      <c r="T1719" s="77">
        <v>0</v>
      </c>
      <c r="U1719" s="77">
        <v>0</v>
      </c>
      <c r="V1719" s="77">
        <v>66</v>
      </c>
      <c r="W1719" s="82" t="s">
        <v>5898</v>
      </c>
      <c r="X1719" s="77"/>
      <c r="Y1719" s="77"/>
      <c r="Z1719" s="77"/>
      <c r="AA1719" s="77" t="s">
        <v>7886</v>
      </c>
      <c r="AB1719" s="77" t="s">
        <v>8225</v>
      </c>
      <c r="AC1719" s="82" t="s">
        <v>8232</v>
      </c>
      <c r="AD1719" s="77" t="s">
        <v>8278</v>
      </c>
      <c r="AE1719" s="80" t="str">
        <f>HYPERLINK("https://twitter.com/investfrugal/status/1680323448910802947")</f>
        <v>https://twitter.com/investfrugal/status/1680323448910802947</v>
      </c>
      <c r="AF1719" s="79">
        <v>45122.88082175926</v>
      </c>
      <c r="AG1719" s="85">
        <v>45122</v>
      </c>
      <c r="AH1719" s="82" t="s">
        <v>9844</v>
      </c>
      <c r="AI1719" s="77" t="b">
        <v>0</v>
      </c>
      <c r="AJ1719" s="77"/>
      <c r="AK1719" s="77"/>
      <c r="AL1719" s="77"/>
      <c r="AM1719" s="77"/>
      <c r="AN1719" s="77"/>
      <c r="AO1719" s="77"/>
      <c r="AP1719" s="77"/>
      <c r="AQ1719" s="77" t="s">
        <v>12771</v>
      </c>
      <c r="AR1719" s="77"/>
      <c r="AS1719" s="77"/>
      <c r="AT1719" s="77"/>
      <c r="AU1719" s="77"/>
      <c r="AV1719" s="80" t="str">
        <f>HYPERLINK("https://pbs.twimg.com/media/F1G1QZbX0AAFXWo.png")</f>
        <v>https://pbs.twimg.com/media/F1G1QZbX0AAFXWo.png</v>
      </c>
      <c r="AW1719" s="82" t="s">
        <v>14810</v>
      </c>
      <c r="AX1719" s="82" t="s">
        <v>14810</v>
      </c>
      <c r="AY1719" s="77"/>
      <c r="AZ1719" s="82" t="s">
        <v>17385</v>
      </c>
      <c r="BA1719" s="82" t="s">
        <v>17385</v>
      </c>
      <c r="BB1719" s="82" t="s">
        <v>17385</v>
      </c>
      <c r="BC1719" s="82" t="s">
        <v>14810</v>
      </c>
      <c r="BD1719" s="82" t="s">
        <v>17601</v>
      </c>
      <c r="BE1719" s="77"/>
      <c r="BF1719" s="77"/>
      <c r="BG1719" s="77"/>
      <c r="BH1719" s="77"/>
      <c r="BI1719" s="77"/>
    </row>
    <row r="1720" spans="1:61" x14ac:dyDescent="0.25">
      <c r="A1720" s="62" t="s">
        <v>529</v>
      </c>
      <c r="B1720" s="62" t="s">
        <v>529</v>
      </c>
      <c r="C1720" s="63"/>
      <c r="D1720" s="64"/>
      <c r="E1720" s="65"/>
      <c r="F1720" s="66"/>
      <c r="G1720" s="63"/>
      <c r="H1720" s="67"/>
      <c r="I1720" s="68"/>
      <c r="J1720" s="68"/>
      <c r="K1720" s="32"/>
      <c r="L1720" s="75">
        <v>1720</v>
      </c>
      <c r="M1720" s="75"/>
      <c r="N1720" s="70"/>
      <c r="O1720" s="77" t="s">
        <v>179</v>
      </c>
      <c r="P1720" s="79">
        <v>45137.332916666666</v>
      </c>
      <c r="Q1720" s="77" t="s">
        <v>2506</v>
      </c>
      <c r="R1720" s="77">
        <v>1</v>
      </c>
      <c r="S1720" s="77">
        <v>9</v>
      </c>
      <c r="T1720" s="77">
        <v>2</v>
      </c>
      <c r="U1720" s="77">
        <v>1</v>
      </c>
      <c r="V1720" s="77">
        <v>2686</v>
      </c>
      <c r="W1720" s="82" t="s">
        <v>5901</v>
      </c>
      <c r="X1720" s="80" t="str">
        <f>HYPERLINK("https://www.investidorfrugal.com/portugueses-desperdicam-anualmente-100-milhoes-de-euros-em-fundos-de-investimento-de-acoes/")</f>
        <v>https://www.investidorfrugal.com/portugueses-desperdicam-anualmente-100-milhoes-de-euros-em-fundos-de-investimento-de-acoes/</v>
      </c>
      <c r="Y1720" s="77" t="s">
        <v>7125</v>
      </c>
      <c r="Z1720" s="77"/>
      <c r="AA1720" s="77"/>
      <c r="AB1720" s="77"/>
      <c r="AC1720" s="82" t="s">
        <v>8232</v>
      </c>
      <c r="AD1720" s="77" t="s">
        <v>8278</v>
      </c>
      <c r="AE1720" s="80" t="str">
        <f>HYPERLINK("https://twitter.com/investfrugal/status/1685560712280616960")</f>
        <v>https://twitter.com/investfrugal/status/1685560712280616960</v>
      </c>
      <c r="AF1720" s="79">
        <v>45137.332916666666</v>
      </c>
      <c r="AG1720" s="85">
        <v>45137</v>
      </c>
      <c r="AH1720" s="82" t="s">
        <v>9845</v>
      </c>
      <c r="AI1720" s="77" t="b">
        <v>0</v>
      </c>
      <c r="AJ1720" s="77"/>
      <c r="AK1720" s="77"/>
      <c r="AL1720" s="77"/>
      <c r="AM1720" s="77"/>
      <c r="AN1720" s="77"/>
      <c r="AO1720" s="77"/>
      <c r="AP1720" s="77"/>
      <c r="AQ1720" s="77"/>
      <c r="AR1720" s="77"/>
      <c r="AS1720" s="77"/>
      <c r="AT1720" s="77"/>
      <c r="AU1720" s="77"/>
      <c r="AV1720" s="80" t="str">
        <f>HYPERLINK("https://pbs.twimg.com/profile_images/1417120451755663368/-SfZzyXw_normal.png")</f>
        <v>https://pbs.twimg.com/profile_images/1417120451755663368/-SfZzyXw_normal.png</v>
      </c>
      <c r="AW1720" s="82" t="s">
        <v>14811</v>
      </c>
      <c r="AX1720" s="82" t="s">
        <v>14811</v>
      </c>
      <c r="AY1720" s="77"/>
      <c r="AZ1720" s="82" t="s">
        <v>17385</v>
      </c>
      <c r="BA1720" s="82" t="s">
        <v>17385</v>
      </c>
      <c r="BB1720" s="82" t="s">
        <v>17385</v>
      </c>
      <c r="BC1720" s="82" t="s">
        <v>14811</v>
      </c>
      <c r="BD1720" s="82" t="s">
        <v>17601</v>
      </c>
      <c r="BE1720" s="77"/>
      <c r="BF1720" s="77"/>
      <c r="BG1720" s="77"/>
      <c r="BH1720" s="77"/>
      <c r="BI1720" s="77"/>
    </row>
    <row r="1721" spans="1:61" x14ac:dyDescent="0.25">
      <c r="A1721" s="62" t="s">
        <v>529</v>
      </c>
      <c r="B1721" s="62" t="s">
        <v>529</v>
      </c>
      <c r="C1721" s="63"/>
      <c r="D1721" s="64"/>
      <c r="E1721" s="65"/>
      <c r="F1721" s="66"/>
      <c r="G1721" s="63"/>
      <c r="H1721" s="67"/>
      <c r="I1721" s="68"/>
      <c r="J1721" s="68"/>
      <c r="K1721" s="32"/>
      <c r="L1721" s="75">
        <v>1721</v>
      </c>
      <c r="M1721" s="75"/>
      <c r="N1721" s="70"/>
      <c r="O1721" s="77" t="s">
        <v>179</v>
      </c>
      <c r="P1721" s="79">
        <v>45139.566435185188</v>
      </c>
      <c r="Q1721" s="77" t="s">
        <v>2507</v>
      </c>
      <c r="R1721" s="77">
        <v>0</v>
      </c>
      <c r="S1721" s="77">
        <v>3</v>
      </c>
      <c r="T1721" s="77">
        <v>1</v>
      </c>
      <c r="U1721" s="77">
        <v>0</v>
      </c>
      <c r="V1721" s="77">
        <v>131</v>
      </c>
      <c r="W1721" s="82" t="s">
        <v>5898</v>
      </c>
      <c r="X1721" s="77"/>
      <c r="Y1721" s="77"/>
      <c r="Z1721" s="77"/>
      <c r="AA1721" s="77" t="s">
        <v>7887</v>
      </c>
      <c r="AB1721" s="77" t="s">
        <v>8225</v>
      </c>
      <c r="AC1721" s="82" t="s">
        <v>8232</v>
      </c>
      <c r="AD1721" s="77" t="s">
        <v>8278</v>
      </c>
      <c r="AE1721" s="80" t="str">
        <f>HYPERLINK("https://twitter.com/investfrugal/status/1686370110838321154")</f>
        <v>https://twitter.com/investfrugal/status/1686370110838321154</v>
      </c>
      <c r="AF1721" s="79">
        <v>45139.566435185188</v>
      </c>
      <c r="AG1721" s="85">
        <v>45139</v>
      </c>
      <c r="AH1721" s="82" t="s">
        <v>9846</v>
      </c>
      <c r="AI1721" s="77" t="b">
        <v>0</v>
      </c>
      <c r="AJ1721" s="77"/>
      <c r="AK1721" s="77"/>
      <c r="AL1721" s="77"/>
      <c r="AM1721" s="77"/>
      <c r="AN1721" s="77"/>
      <c r="AO1721" s="77"/>
      <c r="AP1721" s="77"/>
      <c r="AQ1721" s="77" t="s">
        <v>12772</v>
      </c>
      <c r="AR1721" s="77"/>
      <c r="AS1721" s="77"/>
      <c r="AT1721" s="77"/>
      <c r="AU1721" s="77"/>
      <c r="AV1721" s="80" t="str">
        <f>HYPERLINK("https://pbs.twimg.com/media/F2cwo2FagAAtJoi.png")</f>
        <v>https://pbs.twimg.com/media/F2cwo2FagAAtJoi.png</v>
      </c>
      <c r="AW1721" s="82" t="s">
        <v>14812</v>
      </c>
      <c r="AX1721" s="82" t="s">
        <v>14812</v>
      </c>
      <c r="AY1721" s="77"/>
      <c r="AZ1721" s="82" t="s">
        <v>17385</v>
      </c>
      <c r="BA1721" s="82" t="s">
        <v>17385</v>
      </c>
      <c r="BB1721" s="82" t="s">
        <v>17385</v>
      </c>
      <c r="BC1721" s="82" t="s">
        <v>14812</v>
      </c>
      <c r="BD1721" s="82" t="s">
        <v>17601</v>
      </c>
      <c r="BE1721" s="77"/>
      <c r="BF1721" s="77"/>
      <c r="BG1721" s="77"/>
      <c r="BH1721" s="77"/>
      <c r="BI1721" s="77"/>
    </row>
    <row r="1722" spans="1:61" x14ac:dyDescent="0.25">
      <c r="A1722" s="62" t="s">
        <v>529</v>
      </c>
      <c r="B1722" s="62" t="s">
        <v>529</v>
      </c>
      <c r="C1722" s="63"/>
      <c r="D1722" s="64"/>
      <c r="E1722" s="65"/>
      <c r="F1722" s="66"/>
      <c r="G1722" s="63"/>
      <c r="H1722" s="67"/>
      <c r="I1722" s="68"/>
      <c r="J1722" s="68"/>
      <c r="K1722" s="32"/>
      <c r="L1722" s="75">
        <v>1722</v>
      </c>
      <c r="M1722" s="75"/>
      <c r="N1722" s="70"/>
      <c r="O1722" s="77" t="s">
        <v>179</v>
      </c>
      <c r="P1722" s="79">
        <v>45182.750347222223</v>
      </c>
      <c r="Q1722" s="77" t="s">
        <v>2508</v>
      </c>
      <c r="R1722" s="77">
        <v>0</v>
      </c>
      <c r="S1722" s="77">
        <v>1</v>
      </c>
      <c r="T1722" s="77">
        <v>0</v>
      </c>
      <c r="U1722" s="77">
        <v>0</v>
      </c>
      <c r="V1722" s="77">
        <v>55</v>
      </c>
      <c r="W1722" s="82" t="s">
        <v>5902</v>
      </c>
      <c r="X1722" s="80" t="str">
        <f>HYPERLINK("https://www.investidorfrugal.com/market-timing/")</f>
        <v>https://www.investidorfrugal.com/market-timing/</v>
      </c>
      <c r="Y1722" s="77" t="s">
        <v>7125</v>
      </c>
      <c r="Z1722" s="77"/>
      <c r="AA1722" s="77"/>
      <c r="AB1722" s="77"/>
      <c r="AC1722" s="82" t="s">
        <v>8232</v>
      </c>
      <c r="AD1722" s="77" t="s">
        <v>8278</v>
      </c>
      <c r="AE1722" s="80" t="str">
        <f>HYPERLINK("https://twitter.com/investfrugal/status/1702019436675297560")</f>
        <v>https://twitter.com/investfrugal/status/1702019436675297560</v>
      </c>
      <c r="AF1722" s="79">
        <v>45182.750347222223</v>
      </c>
      <c r="AG1722" s="85">
        <v>45182</v>
      </c>
      <c r="AH1722" s="82" t="s">
        <v>9847</v>
      </c>
      <c r="AI1722" s="77" t="b">
        <v>0</v>
      </c>
      <c r="AJ1722" s="77"/>
      <c r="AK1722" s="77"/>
      <c r="AL1722" s="77"/>
      <c r="AM1722" s="77"/>
      <c r="AN1722" s="77"/>
      <c r="AO1722" s="77"/>
      <c r="AP1722" s="77"/>
      <c r="AQ1722" s="77"/>
      <c r="AR1722" s="77"/>
      <c r="AS1722" s="77"/>
      <c r="AT1722" s="77"/>
      <c r="AU1722" s="77"/>
      <c r="AV1722" s="80" t="str">
        <f>HYPERLINK("https://pbs.twimg.com/profile_images/1417120451755663368/-SfZzyXw_normal.png")</f>
        <v>https://pbs.twimg.com/profile_images/1417120451755663368/-SfZzyXw_normal.png</v>
      </c>
      <c r="AW1722" s="82" t="s">
        <v>14813</v>
      </c>
      <c r="AX1722" s="82" t="s">
        <v>14813</v>
      </c>
      <c r="AY1722" s="77"/>
      <c r="AZ1722" s="82" t="s">
        <v>17385</v>
      </c>
      <c r="BA1722" s="82" t="s">
        <v>17385</v>
      </c>
      <c r="BB1722" s="82" t="s">
        <v>17385</v>
      </c>
      <c r="BC1722" s="82" t="s">
        <v>14813</v>
      </c>
      <c r="BD1722" s="82" t="s">
        <v>17601</v>
      </c>
      <c r="BE1722" s="77"/>
      <c r="BF1722" s="77"/>
      <c r="BG1722" s="77"/>
      <c r="BH1722" s="77"/>
      <c r="BI1722" s="77"/>
    </row>
    <row r="1723" spans="1:61" x14ac:dyDescent="0.25">
      <c r="A1723" s="62" t="s">
        <v>529</v>
      </c>
      <c r="B1723" s="62" t="s">
        <v>529</v>
      </c>
      <c r="C1723" s="63"/>
      <c r="D1723" s="64"/>
      <c r="E1723" s="65"/>
      <c r="F1723" s="66"/>
      <c r="G1723" s="63"/>
      <c r="H1723" s="67"/>
      <c r="I1723" s="68"/>
      <c r="J1723" s="68"/>
      <c r="K1723" s="32"/>
      <c r="L1723" s="75">
        <v>1723</v>
      </c>
      <c r="M1723" s="75"/>
      <c r="N1723" s="70"/>
      <c r="O1723" s="77" t="s">
        <v>179</v>
      </c>
      <c r="P1723" s="79">
        <v>45178.563842592594</v>
      </c>
      <c r="Q1723" s="77" t="s">
        <v>2509</v>
      </c>
      <c r="R1723" s="77">
        <v>1</v>
      </c>
      <c r="S1723" s="77">
        <v>3</v>
      </c>
      <c r="T1723" s="77">
        <v>0</v>
      </c>
      <c r="U1723" s="77">
        <v>0</v>
      </c>
      <c r="V1723" s="77">
        <v>180</v>
      </c>
      <c r="W1723" s="82" t="s">
        <v>5898</v>
      </c>
      <c r="X1723" s="77"/>
      <c r="Y1723" s="77"/>
      <c r="Z1723" s="77"/>
      <c r="AA1723" s="77" t="s">
        <v>7888</v>
      </c>
      <c r="AB1723" s="77" t="s">
        <v>8225</v>
      </c>
      <c r="AC1723" s="82" t="s">
        <v>8232</v>
      </c>
      <c r="AD1723" s="77" t="s">
        <v>8278</v>
      </c>
      <c r="AE1723" s="80" t="str">
        <f>HYPERLINK("https://twitter.com/investfrugal/status/1700502299842412607")</f>
        <v>https://twitter.com/investfrugal/status/1700502299842412607</v>
      </c>
      <c r="AF1723" s="79">
        <v>45178.563842592594</v>
      </c>
      <c r="AG1723" s="85">
        <v>45178</v>
      </c>
      <c r="AH1723" s="82" t="s">
        <v>9848</v>
      </c>
      <c r="AI1723" s="77" t="b">
        <v>0</v>
      </c>
      <c r="AJ1723" s="77"/>
      <c r="AK1723" s="77"/>
      <c r="AL1723" s="77"/>
      <c r="AM1723" s="77"/>
      <c r="AN1723" s="77"/>
      <c r="AO1723" s="77"/>
      <c r="AP1723" s="77"/>
      <c r="AQ1723" s="77" t="s">
        <v>12773</v>
      </c>
      <c r="AR1723" s="77"/>
      <c r="AS1723" s="77"/>
      <c r="AT1723" s="77"/>
      <c r="AU1723" s="77"/>
      <c r="AV1723" s="80" t="str">
        <f>HYPERLINK("https://pbs.twimg.com/media/F5llzeoXcAA8TBm.png")</f>
        <v>https://pbs.twimg.com/media/F5llzeoXcAA8TBm.png</v>
      </c>
      <c r="AW1723" s="82" t="s">
        <v>14814</v>
      </c>
      <c r="AX1723" s="82" t="s">
        <v>14814</v>
      </c>
      <c r="AY1723" s="77"/>
      <c r="AZ1723" s="82" t="s">
        <v>17385</v>
      </c>
      <c r="BA1723" s="82" t="s">
        <v>17385</v>
      </c>
      <c r="BB1723" s="82" t="s">
        <v>17385</v>
      </c>
      <c r="BC1723" s="82" t="s">
        <v>14814</v>
      </c>
      <c r="BD1723" s="82" t="s">
        <v>17601</v>
      </c>
      <c r="BE1723" s="77"/>
      <c r="BF1723" s="77"/>
      <c r="BG1723" s="77"/>
      <c r="BH1723" s="77"/>
      <c r="BI1723" s="77"/>
    </row>
    <row r="1724" spans="1:61" x14ac:dyDescent="0.25">
      <c r="A1724" s="62" t="s">
        <v>529</v>
      </c>
      <c r="B1724" s="62" t="s">
        <v>529</v>
      </c>
      <c r="C1724" s="63"/>
      <c r="D1724" s="64"/>
      <c r="E1724" s="65"/>
      <c r="F1724" s="66"/>
      <c r="G1724" s="63"/>
      <c r="H1724" s="67"/>
      <c r="I1724" s="68"/>
      <c r="J1724" s="68"/>
      <c r="K1724" s="32"/>
      <c r="L1724" s="75">
        <v>1724</v>
      </c>
      <c r="M1724" s="75"/>
      <c r="N1724" s="70"/>
      <c r="O1724" s="77" t="s">
        <v>179</v>
      </c>
      <c r="P1724" s="79">
        <v>45117.904756944445</v>
      </c>
      <c r="Q1724" s="77" t="s">
        <v>2510</v>
      </c>
      <c r="R1724" s="77">
        <v>0</v>
      </c>
      <c r="S1724" s="77">
        <v>1</v>
      </c>
      <c r="T1724" s="77">
        <v>0</v>
      </c>
      <c r="U1724" s="77">
        <v>0</v>
      </c>
      <c r="V1724" s="77">
        <v>54</v>
      </c>
      <c r="W1724" s="82" t="s">
        <v>5903</v>
      </c>
      <c r="X1724" s="80" t="str">
        <f>HYPERLINK("https://www.investidorfrugal.com/porque-nao-devemos-comprar-acoes-individuais-mas-sim-o-indice/")</f>
        <v>https://www.investidorfrugal.com/porque-nao-devemos-comprar-acoes-individuais-mas-sim-o-indice/</v>
      </c>
      <c r="Y1724" s="77" t="s">
        <v>7125</v>
      </c>
      <c r="Z1724" s="77"/>
      <c r="AA1724" s="77"/>
      <c r="AB1724" s="77"/>
      <c r="AC1724" s="82" t="s">
        <v>8232</v>
      </c>
      <c r="AD1724" s="77" t="s">
        <v>8278</v>
      </c>
      <c r="AE1724" s="80" t="str">
        <f>HYPERLINK("https://twitter.com/investfrugal/status/1678520182686339072")</f>
        <v>https://twitter.com/investfrugal/status/1678520182686339072</v>
      </c>
      <c r="AF1724" s="79">
        <v>45117.904756944445</v>
      </c>
      <c r="AG1724" s="85">
        <v>45117</v>
      </c>
      <c r="AH1724" s="82" t="s">
        <v>9849</v>
      </c>
      <c r="AI1724" s="77" t="b">
        <v>0</v>
      </c>
      <c r="AJ1724" s="77"/>
      <c r="AK1724" s="77"/>
      <c r="AL1724" s="77"/>
      <c r="AM1724" s="77"/>
      <c r="AN1724" s="77"/>
      <c r="AO1724" s="77"/>
      <c r="AP1724" s="77"/>
      <c r="AQ1724" s="77"/>
      <c r="AR1724" s="77"/>
      <c r="AS1724" s="77"/>
      <c r="AT1724" s="77"/>
      <c r="AU1724" s="77"/>
      <c r="AV1724" s="80" t="str">
        <f>HYPERLINK("https://pbs.twimg.com/profile_images/1417120451755663368/-SfZzyXw_normal.png")</f>
        <v>https://pbs.twimg.com/profile_images/1417120451755663368/-SfZzyXw_normal.png</v>
      </c>
      <c r="AW1724" s="82" t="s">
        <v>14815</v>
      </c>
      <c r="AX1724" s="82" t="s">
        <v>14815</v>
      </c>
      <c r="AY1724" s="77"/>
      <c r="AZ1724" s="82" t="s">
        <v>17385</v>
      </c>
      <c r="BA1724" s="82" t="s">
        <v>17385</v>
      </c>
      <c r="BB1724" s="82" t="s">
        <v>17385</v>
      </c>
      <c r="BC1724" s="82" t="s">
        <v>14815</v>
      </c>
      <c r="BD1724" s="82" t="s">
        <v>17601</v>
      </c>
      <c r="BE1724" s="77"/>
      <c r="BF1724" s="77"/>
      <c r="BG1724" s="77"/>
      <c r="BH1724" s="77"/>
      <c r="BI1724" s="77"/>
    </row>
    <row r="1725" spans="1:61" x14ac:dyDescent="0.25">
      <c r="A1725" s="62" t="s">
        <v>530</v>
      </c>
      <c r="B1725" s="62" t="s">
        <v>530</v>
      </c>
      <c r="C1725" s="63"/>
      <c r="D1725" s="64"/>
      <c r="E1725" s="65"/>
      <c r="F1725" s="66"/>
      <c r="G1725" s="63"/>
      <c r="H1725" s="67"/>
      <c r="I1725" s="68"/>
      <c r="J1725" s="68"/>
      <c r="K1725" s="32"/>
      <c r="L1725" s="75">
        <v>1725</v>
      </c>
      <c r="M1725" s="75"/>
      <c r="N1725" s="70"/>
      <c r="O1725" s="77" t="s">
        <v>179</v>
      </c>
      <c r="P1725" s="79">
        <v>45166.775243055556</v>
      </c>
      <c r="Q1725" s="77" t="s">
        <v>2511</v>
      </c>
      <c r="R1725" s="77">
        <v>0</v>
      </c>
      <c r="S1725" s="77">
        <v>0</v>
      </c>
      <c r="T1725" s="77">
        <v>0</v>
      </c>
      <c r="U1725" s="77">
        <v>0</v>
      </c>
      <c r="V1725" s="77">
        <v>22</v>
      </c>
      <c r="W1725" s="82" t="s">
        <v>5904</v>
      </c>
      <c r="X1725" s="80" t="str">
        <f>HYPERLINK("https://rendendohomenagem.blogspot.com/2015/08/dia-nacional-do-voluntariado.html")</f>
        <v>https://rendendohomenagem.blogspot.com/2015/08/dia-nacional-do-voluntariado.html</v>
      </c>
      <c r="Y1725" s="77" t="s">
        <v>7057</v>
      </c>
      <c r="Z1725" s="77"/>
      <c r="AA1725" s="77" t="s">
        <v>7889</v>
      </c>
      <c r="AB1725" s="77" t="s">
        <v>8225</v>
      </c>
      <c r="AC1725" s="82" t="s">
        <v>8233</v>
      </c>
      <c r="AD1725" s="77" t="s">
        <v>8278</v>
      </c>
      <c r="AE1725" s="80" t="str">
        <f>HYPERLINK("https://twitter.com/anatassara/status/1696230251762762171")</f>
        <v>https://twitter.com/anatassara/status/1696230251762762171</v>
      </c>
      <c r="AF1725" s="79">
        <v>45166.775243055556</v>
      </c>
      <c r="AG1725" s="85">
        <v>45166</v>
      </c>
      <c r="AH1725" s="82" t="s">
        <v>9850</v>
      </c>
      <c r="AI1725" s="77" t="b">
        <v>0</v>
      </c>
      <c r="AJ1725" s="77" t="s">
        <v>11994</v>
      </c>
      <c r="AK1725" s="77" t="s">
        <v>12007</v>
      </c>
      <c r="AL1725" s="77" t="s">
        <v>12010</v>
      </c>
      <c r="AM1725" s="77" t="s">
        <v>12014</v>
      </c>
      <c r="AN1725" s="77" t="s">
        <v>12026</v>
      </c>
      <c r="AO1725" s="77" t="s">
        <v>12040</v>
      </c>
      <c r="AP1725" s="77" t="s">
        <v>12051</v>
      </c>
      <c r="AQ1725" s="77" t="s">
        <v>12774</v>
      </c>
      <c r="AR1725" s="77"/>
      <c r="AS1725" s="77"/>
      <c r="AT1725" s="77"/>
      <c r="AU1725" s="77"/>
      <c r="AV1725" s="80" t="str">
        <f>HYPERLINK("https://pbs.twimg.com/media/F4o4bIgWMAA8bx8.jpg")</f>
        <v>https://pbs.twimg.com/media/F4o4bIgWMAA8bx8.jpg</v>
      </c>
      <c r="AW1725" s="82" t="s">
        <v>14816</v>
      </c>
      <c r="AX1725" s="82" t="s">
        <v>14816</v>
      </c>
      <c r="AY1725" s="77"/>
      <c r="AZ1725" s="82" t="s">
        <v>17385</v>
      </c>
      <c r="BA1725" s="82" t="s">
        <v>17385</v>
      </c>
      <c r="BB1725" s="82" t="s">
        <v>17385</v>
      </c>
      <c r="BC1725" s="82" t="s">
        <v>14816</v>
      </c>
      <c r="BD1725" s="77">
        <v>177181222</v>
      </c>
      <c r="BE1725" s="77"/>
      <c r="BF1725" s="77"/>
      <c r="BG1725" s="77"/>
      <c r="BH1725" s="77"/>
      <c r="BI1725" s="77"/>
    </row>
    <row r="1726" spans="1:61" x14ac:dyDescent="0.25">
      <c r="A1726" s="62" t="s">
        <v>531</v>
      </c>
      <c r="B1726" s="62" t="s">
        <v>531</v>
      </c>
      <c r="C1726" s="63"/>
      <c r="D1726" s="64"/>
      <c r="E1726" s="65"/>
      <c r="F1726" s="66"/>
      <c r="G1726" s="63"/>
      <c r="H1726" s="67"/>
      <c r="I1726" s="68"/>
      <c r="J1726" s="68"/>
      <c r="K1726" s="32"/>
      <c r="L1726" s="75">
        <v>1726</v>
      </c>
      <c r="M1726" s="75"/>
      <c r="N1726" s="70"/>
      <c r="O1726" s="77" t="s">
        <v>179</v>
      </c>
      <c r="P1726" s="79">
        <v>45082.645821759259</v>
      </c>
      <c r="Q1726" s="77" t="s">
        <v>2512</v>
      </c>
      <c r="R1726" s="77">
        <v>0</v>
      </c>
      <c r="S1726" s="77">
        <v>1</v>
      </c>
      <c r="T1726" s="77">
        <v>0</v>
      </c>
      <c r="U1726" s="77">
        <v>0</v>
      </c>
      <c r="V1726" s="77">
        <v>959</v>
      </c>
      <c r="W1726" s="82" t="s">
        <v>5905</v>
      </c>
      <c r="X1726" s="77"/>
      <c r="Y1726" s="77"/>
      <c r="Z1726" s="77"/>
      <c r="AA1726" s="77" t="s">
        <v>7890</v>
      </c>
      <c r="AB1726" s="77" t="s">
        <v>8225</v>
      </c>
      <c r="AC1726" s="82" t="s">
        <v>8232</v>
      </c>
      <c r="AD1726" s="77" t="s">
        <v>8278</v>
      </c>
      <c r="AE1726" s="80" t="str">
        <f>HYPERLINK("https://twitter.com/davidwashin/status/1665742771330723840")</f>
        <v>https://twitter.com/davidwashin/status/1665742771330723840</v>
      </c>
      <c r="AF1726" s="79">
        <v>45082.645821759259</v>
      </c>
      <c r="AG1726" s="85">
        <v>45082</v>
      </c>
      <c r="AH1726" s="82" t="s">
        <v>9851</v>
      </c>
      <c r="AI1726" s="77" t="b">
        <v>0</v>
      </c>
      <c r="AJ1726" s="77"/>
      <c r="AK1726" s="77"/>
      <c r="AL1726" s="77"/>
      <c r="AM1726" s="77"/>
      <c r="AN1726" s="77"/>
      <c r="AO1726" s="77"/>
      <c r="AP1726" s="77"/>
      <c r="AQ1726" s="77" t="s">
        <v>12775</v>
      </c>
      <c r="AR1726" s="77"/>
      <c r="AS1726" s="77"/>
      <c r="AT1726" s="77"/>
      <c r="AU1726" s="77"/>
      <c r="AV1726" s="80" t="str">
        <f>HYPERLINK("https://pbs.twimg.com/media/Fx3nVRDWIAEQqkR.jpg")</f>
        <v>https://pbs.twimg.com/media/Fx3nVRDWIAEQqkR.jpg</v>
      </c>
      <c r="AW1726" s="82" t="s">
        <v>14817</v>
      </c>
      <c r="AX1726" s="82" t="s">
        <v>14817</v>
      </c>
      <c r="AY1726" s="77"/>
      <c r="AZ1726" s="82" t="s">
        <v>17385</v>
      </c>
      <c r="BA1726" s="82" t="s">
        <v>17385</v>
      </c>
      <c r="BB1726" s="82" t="s">
        <v>17385</v>
      </c>
      <c r="BC1726" s="82" t="s">
        <v>14817</v>
      </c>
      <c r="BD1726" s="77">
        <v>134918494</v>
      </c>
      <c r="BE1726" s="77"/>
      <c r="BF1726" s="77"/>
      <c r="BG1726" s="77"/>
      <c r="BH1726" s="77"/>
      <c r="BI1726" s="77"/>
    </row>
    <row r="1727" spans="1:61" x14ac:dyDescent="0.25">
      <c r="A1727" s="62" t="s">
        <v>435</v>
      </c>
      <c r="B1727" s="62" t="s">
        <v>435</v>
      </c>
      <c r="C1727" s="63"/>
      <c r="D1727" s="64"/>
      <c r="E1727" s="65"/>
      <c r="F1727" s="66"/>
      <c r="G1727" s="63"/>
      <c r="H1727" s="67"/>
      <c r="I1727" s="68"/>
      <c r="J1727" s="68"/>
      <c r="K1727" s="32"/>
      <c r="L1727" s="75">
        <v>1727</v>
      </c>
      <c r="M1727" s="75"/>
      <c r="N1727" s="70"/>
      <c r="O1727" s="77" t="s">
        <v>179</v>
      </c>
      <c r="P1727" s="79">
        <v>45139.591805555552</v>
      </c>
      <c r="Q1727" s="77" t="s">
        <v>2513</v>
      </c>
      <c r="R1727" s="77">
        <v>1</v>
      </c>
      <c r="S1727" s="77">
        <v>4</v>
      </c>
      <c r="T1727" s="77">
        <v>0</v>
      </c>
      <c r="U1727" s="77">
        <v>0</v>
      </c>
      <c r="V1727" s="77">
        <v>350</v>
      </c>
      <c r="W1727" s="82" t="s">
        <v>5906</v>
      </c>
      <c r="X1727" s="80" t="str">
        <f>HYPERLINK("https://flj.com.br/noticia/cambuci-camb3-dona-da-penalty-dispara-9-apos-resultado")</f>
        <v>https://flj.com.br/noticia/cambuci-camb3-dona-da-penalty-dispara-9-apos-resultado</v>
      </c>
      <c r="Y1727" s="77" t="s">
        <v>7053</v>
      </c>
      <c r="Z1727" s="77"/>
      <c r="AA1727" s="77"/>
      <c r="AB1727" s="77"/>
      <c r="AC1727" s="82" t="s">
        <v>8232</v>
      </c>
      <c r="AD1727" s="77" t="s">
        <v>8278</v>
      </c>
      <c r="AE1727" s="80" t="str">
        <f>HYPERLINK("https://twitter.com/leiaflj/status/1686379304408825856")</f>
        <v>https://twitter.com/leiaflj/status/1686379304408825856</v>
      </c>
      <c r="AF1727" s="79">
        <v>45139.591805555552</v>
      </c>
      <c r="AG1727" s="85">
        <v>45139</v>
      </c>
      <c r="AH1727" s="82" t="s">
        <v>9852</v>
      </c>
      <c r="AI1727" s="77" t="b">
        <v>0</v>
      </c>
      <c r="AJ1727" s="77"/>
      <c r="AK1727" s="77"/>
      <c r="AL1727" s="77"/>
      <c r="AM1727" s="77"/>
      <c r="AN1727" s="77"/>
      <c r="AO1727" s="77"/>
      <c r="AP1727" s="77"/>
      <c r="AQ1727" s="77"/>
      <c r="AR1727" s="77"/>
      <c r="AS1727" s="77"/>
      <c r="AT1727" s="77"/>
      <c r="AU1727" s="77"/>
      <c r="AV1727" s="80" t="str">
        <f>HYPERLINK("https://pbs.twimg.com/profile_images/1620068456165933060/TShADQck_normal.jpg")</f>
        <v>https://pbs.twimg.com/profile_images/1620068456165933060/TShADQck_normal.jpg</v>
      </c>
      <c r="AW1727" s="82" t="s">
        <v>14818</v>
      </c>
      <c r="AX1727" s="82" t="s">
        <v>14818</v>
      </c>
      <c r="AY1727" s="77"/>
      <c r="AZ1727" s="82" t="s">
        <v>17385</v>
      </c>
      <c r="BA1727" s="82" t="s">
        <v>17385</v>
      </c>
      <c r="BB1727" s="82" t="s">
        <v>17385</v>
      </c>
      <c r="BC1727" s="82" t="s">
        <v>14818</v>
      </c>
      <c r="BD1727" s="82" t="s">
        <v>17557</v>
      </c>
      <c r="BE1727" s="77"/>
      <c r="BF1727" s="77"/>
      <c r="BG1727" s="77"/>
      <c r="BH1727" s="77"/>
      <c r="BI1727" s="77"/>
    </row>
    <row r="1728" spans="1:61" x14ac:dyDescent="0.25">
      <c r="A1728" s="62" t="s">
        <v>435</v>
      </c>
      <c r="B1728" s="62" t="s">
        <v>435</v>
      </c>
      <c r="C1728" s="63"/>
      <c r="D1728" s="64"/>
      <c r="E1728" s="65"/>
      <c r="F1728" s="66"/>
      <c r="G1728" s="63"/>
      <c r="H1728" s="67"/>
      <c r="I1728" s="68"/>
      <c r="J1728" s="68"/>
      <c r="K1728" s="32"/>
      <c r="L1728" s="75">
        <v>1728</v>
      </c>
      <c r="M1728" s="75"/>
      <c r="N1728" s="70"/>
      <c r="O1728" s="77" t="s">
        <v>179</v>
      </c>
      <c r="P1728" s="79">
        <v>45137.500011574077</v>
      </c>
      <c r="Q1728" s="77" t="s">
        <v>2514</v>
      </c>
      <c r="R1728" s="77">
        <v>0</v>
      </c>
      <c r="S1728" s="77">
        <v>1</v>
      </c>
      <c r="T1728" s="77">
        <v>0</v>
      </c>
      <c r="U1728" s="77">
        <v>0</v>
      </c>
      <c r="V1728" s="77">
        <v>118</v>
      </c>
      <c r="W1728" s="82" t="s">
        <v>5907</v>
      </c>
      <c r="X1728" s="80" t="str">
        <f>HYPERLINK("https://flj.com.br/")</f>
        <v>https://flj.com.br/</v>
      </c>
      <c r="Y1728" s="77" t="s">
        <v>7053</v>
      </c>
      <c r="Z1728" s="77"/>
      <c r="AA1728" s="77" t="s">
        <v>7891</v>
      </c>
      <c r="AB1728" s="77" t="s">
        <v>8229</v>
      </c>
      <c r="AC1728" s="82" t="s">
        <v>8232</v>
      </c>
      <c r="AD1728" s="77" t="s">
        <v>8278</v>
      </c>
      <c r="AE1728" s="80" t="str">
        <f>HYPERLINK("https://twitter.com/leiaflj/status/1685621265992933376")</f>
        <v>https://twitter.com/leiaflj/status/1685621265992933376</v>
      </c>
      <c r="AF1728" s="79">
        <v>45137.500011574077</v>
      </c>
      <c r="AG1728" s="85">
        <v>45137</v>
      </c>
      <c r="AH1728" s="82" t="s">
        <v>8596</v>
      </c>
      <c r="AI1728" s="77" t="b">
        <v>0</v>
      </c>
      <c r="AJ1728" s="77"/>
      <c r="AK1728" s="77"/>
      <c r="AL1728" s="77"/>
      <c r="AM1728" s="77"/>
      <c r="AN1728" s="77"/>
      <c r="AO1728" s="77"/>
      <c r="AP1728" s="77"/>
      <c r="AQ1728" s="77" t="s">
        <v>12776</v>
      </c>
      <c r="AR1728" s="77"/>
      <c r="AS1728" s="77"/>
      <c r="AT1728" s="77"/>
      <c r="AU1728" s="77"/>
      <c r="AV1728" s="80" t="str">
        <f>HYPERLINK("https://pbs.twimg.com/media/F2IzLtiXQAA3rpM.jpg")</f>
        <v>https://pbs.twimg.com/media/F2IzLtiXQAA3rpM.jpg</v>
      </c>
      <c r="AW1728" s="82" t="s">
        <v>14819</v>
      </c>
      <c r="AX1728" s="82" t="s">
        <v>14819</v>
      </c>
      <c r="AY1728" s="77"/>
      <c r="AZ1728" s="82" t="s">
        <v>17385</v>
      </c>
      <c r="BA1728" s="82" t="s">
        <v>17385</v>
      </c>
      <c r="BB1728" s="82" t="s">
        <v>17385</v>
      </c>
      <c r="BC1728" s="82" t="s">
        <v>14819</v>
      </c>
      <c r="BD1728" s="82" t="s">
        <v>17557</v>
      </c>
      <c r="BE1728" s="77"/>
      <c r="BF1728" s="77"/>
      <c r="BG1728" s="77"/>
      <c r="BH1728" s="77"/>
      <c r="BI1728" s="77"/>
    </row>
    <row r="1729" spans="1:61" x14ac:dyDescent="0.25">
      <c r="A1729" s="62" t="s">
        <v>435</v>
      </c>
      <c r="B1729" s="62" t="s">
        <v>435</v>
      </c>
      <c r="C1729" s="63"/>
      <c r="D1729" s="64"/>
      <c r="E1729" s="65"/>
      <c r="F1729" s="66"/>
      <c r="G1729" s="63"/>
      <c r="H1729" s="67"/>
      <c r="I1729" s="68"/>
      <c r="J1729" s="68"/>
      <c r="K1729" s="32"/>
      <c r="L1729" s="75">
        <v>1729</v>
      </c>
      <c r="M1729" s="75"/>
      <c r="N1729" s="70"/>
      <c r="O1729" s="77" t="s">
        <v>179</v>
      </c>
      <c r="P1729" s="79">
        <v>45121.445451388892</v>
      </c>
      <c r="Q1729" s="77" t="s">
        <v>2515</v>
      </c>
      <c r="R1729" s="77">
        <v>0</v>
      </c>
      <c r="S1729" s="77">
        <v>0</v>
      </c>
      <c r="T1729" s="77">
        <v>0</v>
      </c>
      <c r="U1729" s="77">
        <v>0</v>
      </c>
      <c r="V1729" s="77">
        <v>126</v>
      </c>
      <c r="W1729" s="82" t="s">
        <v>5908</v>
      </c>
      <c r="X1729" s="80" t="str">
        <f>HYPERLINK("https://flj.com.br/noticia/brf-brfs3-movimenta-r-5-4-bilhoes-em-oferta-de-acoes")</f>
        <v>https://flj.com.br/noticia/brf-brfs3-movimenta-r-5-4-bilhoes-em-oferta-de-acoes</v>
      </c>
      <c r="Y1729" s="77" t="s">
        <v>7053</v>
      </c>
      <c r="Z1729" s="77"/>
      <c r="AA1729" s="77"/>
      <c r="AB1729" s="77"/>
      <c r="AC1729" s="82" t="s">
        <v>8232</v>
      </c>
      <c r="AD1729" s="77" t="s">
        <v>8278</v>
      </c>
      <c r="AE1729" s="80" t="str">
        <f>HYPERLINK("https://twitter.com/leiaflj/status/1679803288831574016")</f>
        <v>https://twitter.com/leiaflj/status/1679803288831574016</v>
      </c>
      <c r="AF1729" s="79">
        <v>45121.445451388892</v>
      </c>
      <c r="AG1729" s="85">
        <v>45121</v>
      </c>
      <c r="AH1729" s="82" t="s">
        <v>9853</v>
      </c>
      <c r="AI1729" s="77" t="b">
        <v>0</v>
      </c>
      <c r="AJ1729" s="77"/>
      <c r="AK1729" s="77"/>
      <c r="AL1729" s="77"/>
      <c r="AM1729" s="77"/>
      <c r="AN1729" s="77"/>
      <c r="AO1729" s="77"/>
      <c r="AP1729" s="77"/>
      <c r="AQ1729" s="77"/>
      <c r="AR1729" s="77"/>
      <c r="AS1729" s="77"/>
      <c r="AT1729" s="77"/>
      <c r="AU1729" s="77"/>
      <c r="AV1729" s="80" t="str">
        <f>HYPERLINK("https://pbs.twimg.com/profile_images/1620068456165933060/TShADQck_normal.jpg")</f>
        <v>https://pbs.twimg.com/profile_images/1620068456165933060/TShADQck_normal.jpg</v>
      </c>
      <c r="AW1729" s="82" t="s">
        <v>14820</v>
      </c>
      <c r="AX1729" s="82" t="s">
        <v>14820</v>
      </c>
      <c r="AY1729" s="77"/>
      <c r="AZ1729" s="82" t="s">
        <v>17385</v>
      </c>
      <c r="BA1729" s="82" t="s">
        <v>17385</v>
      </c>
      <c r="BB1729" s="82" t="s">
        <v>17385</v>
      </c>
      <c r="BC1729" s="82" t="s">
        <v>14820</v>
      </c>
      <c r="BD1729" s="82" t="s">
        <v>17557</v>
      </c>
      <c r="BE1729" s="77"/>
      <c r="BF1729" s="77"/>
      <c r="BG1729" s="77"/>
      <c r="BH1729" s="77"/>
      <c r="BI1729" s="77"/>
    </row>
    <row r="1730" spans="1:61" x14ac:dyDescent="0.25">
      <c r="A1730" s="62" t="s">
        <v>435</v>
      </c>
      <c r="B1730" s="62" t="s">
        <v>435</v>
      </c>
      <c r="C1730" s="63"/>
      <c r="D1730" s="64"/>
      <c r="E1730" s="65"/>
      <c r="F1730" s="66"/>
      <c r="G1730" s="63"/>
      <c r="H1730" s="67"/>
      <c r="I1730" s="68"/>
      <c r="J1730" s="68"/>
      <c r="K1730" s="32"/>
      <c r="L1730" s="75">
        <v>1730</v>
      </c>
      <c r="M1730" s="75"/>
      <c r="N1730" s="70"/>
      <c r="O1730" s="77" t="s">
        <v>179</v>
      </c>
      <c r="P1730" s="79">
        <v>45096.589409722219</v>
      </c>
      <c r="Q1730" s="77" t="s">
        <v>2516</v>
      </c>
      <c r="R1730" s="77">
        <v>0</v>
      </c>
      <c r="S1730" s="77">
        <v>0</v>
      </c>
      <c r="T1730" s="77">
        <v>0</v>
      </c>
      <c r="U1730" s="77">
        <v>0</v>
      </c>
      <c r="V1730" s="77">
        <v>108</v>
      </c>
      <c r="W1730" s="82" t="s">
        <v>5909</v>
      </c>
      <c r="X1730" s="80" t="str">
        <f>HYPERLINK("https://flj.com.br/noticia/ibovespa-opera-estavel-em-dia-de-feriado-nos-eua")</f>
        <v>https://flj.com.br/noticia/ibovespa-opera-estavel-em-dia-de-feriado-nos-eua</v>
      </c>
      <c r="Y1730" s="77" t="s">
        <v>7053</v>
      </c>
      <c r="Z1730" s="77"/>
      <c r="AA1730" s="77"/>
      <c r="AB1730" s="77"/>
      <c r="AC1730" s="82" t="s">
        <v>8232</v>
      </c>
      <c r="AD1730" s="77" t="s">
        <v>8278</v>
      </c>
      <c r="AE1730" s="80" t="str">
        <f>HYPERLINK("https://twitter.com/leiaflj/status/1670795760135225351")</f>
        <v>https://twitter.com/leiaflj/status/1670795760135225351</v>
      </c>
      <c r="AF1730" s="79">
        <v>45096.589409722219</v>
      </c>
      <c r="AG1730" s="85">
        <v>45096</v>
      </c>
      <c r="AH1730" s="82" t="s">
        <v>9854</v>
      </c>
      <c r="AI1730" s="77" t="b">
        <v>0</v>
      </c>
      <c r="AJ1730" s="77"/>
      <c r="AK1730" s="77"/>
      <c r="AL1730" s="77"/>
      <c r="AM1730" s="77"/>
      <c r="AN1730" s="77"/>
      <c r="AO1730" s="77"/>
      <c r="AP1730" s="77"/>
      <c r="AQ1730" s="77"/>
      <c r="AR1730" s="77"/>
      <c r="AS1730" s="77"/>
      <c r="AT1730" s="77"/>
      <c r="AU1730" s="77"/>
      <c r="AV1730" s="80" t="str">
        <f>HYPERLINK("https://pbs.twimg.com/profile_images/1620068456165933060/TShADQck_normal.jpg")</f>
        <v>https://pbs.twimg.com/profile_images/1620068456165933060/TShADQck_normal.jpg</v>
      </c>
      <c r="AW1730" s="82" t="s">
        <v>14821</v>
      </c>
      <c r="AX1730" s="82" t="s">
        <v>14821</v>
      </c>
      <c r="AY1730" s="77"/>
      <c r="AZ1730" s="82" t="s">
        <v>17385</v>
      </c>
      <c r="BA1730" s="82" t="s">
        <v>17385</v>
      </c>
      <c r="BB1730" s="82" t="s">
        <v>17385</v>
      </c>
      <c r="BC1730" s="82" t="s">
        <v>14821</v>
      </c>
      <c r="BD1730" s="82" t="s">
        <v>17557</v>
      </c>
      <c r="BE1730" s="77"/>
      <c r="BF1730" s="77"/>
      <c r="BG1730" s="77"/>
      <c r="BH1730" s="77"/>
      <c r="BI1730" s="77"/>
    </row>
    <row r="1731" spans="1:61" x14ac:dyDescent="0.25">
      <c r="A1731" s="62" t="s">
        <v>435</v>
      </c>
      <c r="B1731" s="62" t="s">
        <v>435</v>
      </c>
      <c r="C1731" s="63"/>
      <c r="D1731" s="64"/>
      <c r="E1731" s="65"/>
      <c r="F1731" s="66"/>
      <c r="G1731" s="63"/>
      <c r="H1731" s="67"/>
      <c r="I1731" s="68"/>
      <c r="J1731" s="68"/>
      <c r="K1731" s="32"/>
      <c r="L1731" s="75">
        <v>1731</v>
      </c>
      <c r="M1731" s="75"/>
      <c r="N1731" s="70"/>
      <c r="O1731" s="77" t="s">
        <v>179</v>
      </c>
      <c r="P1731" s="79">
        <v>45089.522106481483</v>
      </c>
      <c r="Q1731" s="77" t="s">
        <v>2517</v>
      </c>
      <c r="R1731" s="77">
        <v>0</v>
      </c>
      <c r="S1731" s="77">
        <v>0</v>
      </c>
      <c r="T1731" s="77">
        <v>0</v>
      </c>
      <c r="U1731" s="77">
        <v>0</v>
      </c>
      <c r="V1731" s="77">
        <v>120</v>
      </c>
      <c r="W1731" s="82" t="s">
        <v>5910</v>
      </c>
      <c r="X1731" s="80" t="str">
        <f>HYPERLINK("https://flj.com.br/noticia/unipar-unip6-ofereceu-r-36-50-por-acao-da-braskem-brkm5")</f>
        <v>https://flj.com.br/noticia/unipar-unip6-ofereceu-r-36-50-por-acao-da-braskem-brkm5</v>
      </c>
      <c r="Y1731" s="77" t="s">
        <v>7053</v>
      </c>
      <c r="Z1731" s="77"/>
      <c r="AA1731" s="77"/>
      <c r="AB1731" s="77"/>
      <c r="AC1731" s="82" t="s">
        <v>8232</v>
      </c>
      <c r="AD1731" s="77" t="s">
        <v>8278</v>
      </c>
      <c r="AE1731" s="80" t="str">
        <f>HYPERLINK("https://twitter.com/leiaflj/status/1668234654107807745")</f>
        <v>https://twitter.com/leiaflj/status/1668234654107807745</v>
      </c>
      <c r="AF1731" s="79">
        <v>45089.522106481483</v>
      </c>
      <c r="AG1731" s="85">
        <v>45089</v>
      </c>
      <c r="AH1731" s="82" t="s">
        <v>9855</v>
      </c>
      <c r="AI1731" s="77" t="b">
        <v>0</v>
      </c>
      <c r="AJ1731" s="77"/>
      <c r="AK1731" s="77"/>
      <c r="AL1731" s="77"/>
      <c r="AM1731" s="77"/>
      <c r="AN1731" s="77"/>
      <c r="AO1731" s="77"/>
      <c r="AP1731" s="77"/>
      <c r="AQ1731" s="77"/>
      <c r="AR1731" s="77"/>
      <c r="AS1731" s="77"/>
      <c r="AT1731" s="77"/>
      <c r="AU1731" s="77"/>
      <c r="AV1731" s="80" t="str">
        <f>HYPERLINK("https://pbs.twimg.com/profile_images/1620068456165933060/TShADQck_normal.jpg")</f>
        <v>https://pbs.twimg.com/profile_images/1620068456165933060/TShADQck_normal.jpg</v>
      </c>
      <c r="AW1731" s="82" t="s">
        <v>14822</v>
      </c>
      <c r="AX1731" s="82" t="s">
        <v>14822</v>
      </c>
      <c r="AY1731" s="77"/>
      <c r="AZ1731" s="82" t="s">
        <v>17385</v>
      </c>
      <c r="BA1731" s="82" t="s">
        <v>17385</v>
      </c>
      <c r="BB1731" s="82" t="s">
        <v>17385</v>
      </c>
      <c r="BC1731" s="82" t="s">
        <v>14822</v>
      </c>
      <c r="BD1731" s="82" t="s">
        <v>17557</v>
      </c>
      <c r="BE1731" s="77"/>
      <c r="BF1731" s="77"/>
      <c r="BG1731" s="77"/>
      <c r="BH1731" s="77"/>
      <c r="BI1731" s="77"/>
    </row>
    <row r="1732" spans="1:61" x14ac:dyDescent="0.25">
      <c r="A1732" s="62" t="s">
        <v>435</v>
      </c>
      <c r="B1732" s="62" t="s">
        <v>435</v>
      </c>
      <c r="C1732" s="63"/>
      <c r="D1732" s="64"/>
      <c r="E1732" s="65"/>
      <c r="F1732" s="66"/>
      <c r="G1732" s="63"/>
      <c r="H1732" s="67"/>
      <c r="I1732" s="68"/>
      <c r="J1732" s="68"/>
      <c r="K1732" s="32"/>
      <c r="L1732" s="75">
        <v>1732</v>
      </c>
      <c r="M1732" s="75"/>
      <c r="N1732" s="70"/>
      <c r="O1732" s="77" t="s">
        <v>179</v>
      </c>
      <c r="P1732" s="79">
        <v>45089.457743055558</v>
      </c>
      <c r="Q1732" s="77" t="s">
        <v>2518</v>
      </c>
      <c r="R1732" s="77">
        <v>0</v>
      </c>
      <c r="S1732" s="77">
        <v>0</v>
      </c>
      <c r="T1732" s="77">
        <v>0</v>
      </c>
      <c r="U1732" s="77">
        <v>0</v>
      </c>
      <c r="V1732" s="77">
        <v>100</v>
      </c>
      <c r="W1732" s="82" t="s">
        <v>5911</v>
      </c>
      <c r="X1732" s="80" t="str">
        <f>HYPERLINK("https://flj.com.br/noticia/oncoclinas-onco3-conselho-de-administracao-aprova-oferta-de-acoes")</f>
        <v>https://flj.com.br/noticia/oncoclinas-onco3-conselho-de-administracao-aprova-oferta-de-acoes</v>
      </c>
      <c r="Y1732" s="77" t="s">
        <v>7053</v>
      </c>
      <c r="Z1732" s="77"/>
      <c r="AA1732" s="77"/>
      <c r="AB1732" s="77"/>
      <c r="AC1732" s="82" t="s">
        <v>8232</v>
      </c>
      <c r="AD1732" s="77" t="s">
        <v>8278</v>
      </c>
      <c r="AE1732" s="80" t="str">
        <f>HYPERLINK("https://twitter.com/leiaflj/status/1668211330489233408")</f>
        <v>https://twitter.com/leiaflj/status/1668211330489233408</v>
      </c>
      <c r="AF1732" s="79">
        <v>45089.457743055558</v>
      </c>
      <c r="AG1732" s="85">
        <v>45089</v>
      </c>
      <c r="AH1732" s="82" t="s">
        <v>9856</v>
      </c>
      <c r="AI1732" s="77" t="b">
        <v>0</v>
      </c>
      <c r="AJ1732" s="77"/>
      <c r="AK1732" s="77"/>
      <c r="AL1732" s="77"/>
      <c r="AM1732" s="77"/>
      <c r="AN1732" s="77"/>
      <c r="AO1732" s="77"/>
      <c r="AP1732" s="77"/>
      <c r="AQ1732" s="77"/>
      <c r="AR1732" s="77"/>
      <c r="AS1732" s="77"/>
      <c r="AT1732" s="77"/>
      <c r="AU1732" s="77"/>
      <c r="AV1732" s="80" t="str">
        <f>HYPERLINK("https://pbs.twimg.com/profile_images/1620068456165933060/TShADQck_normal.jpg")</f>
        <v>https://pbs.twimg.com/profile_images/1620068456165933060/TShADQck_normal.jpg</v>
      </c>
      <c r="AW1732" s="82" t="s">
        <v>14823</v>
      </c>
      <c r="AX1732" s="82" t="s">
        <v>14823</v>
      </c>
      <c r="AY1732" s="77"/>
      <c r="AZ1732" s="82" t="s">
        <v>17385</v>
      </c>
      <c r="BA1732" s="82" t="s">
        <v>17385</v>
      </c>
      <c r="BB1732" s="82" t="s">
        <v>17385</v>
      </c>
      <c r="BC1732" s="82" t="s">
        <v>14823</v>
      </c>
      <c r="BD1732" s="82" t="s">
        <v>17557</v>
      </c>
      <c r="BE1732" s="77"/>
      <c r="BF1732" s="77"/>
      <c r="BG1732" s="77"/>
      <c r="BH1732" s="77"/>
      <c r="BI1732" s="77"/>
    </row>
    <row r="1733" spans="1:61" x14ac:dyDescent="0.25">
      <c r="A1733" s="62" t="s">
        <v>435</v>
      </c>
      <c r="B1733" s="62" t="s">
        <v>435</v>
      </c>
      <c r="C1733" s="63"/>
      <c r="D1733" s="64"/>
      <c r="E1733" s="65"/>
      <c r="F1733" s="66"/>
      <c r="G1733" s="63"/>
      <c r="H1733" s="67"/>
      <c r="I1733" s="68"/>
      <c r="J1733" s="68"/>
      <c r="K1733" s="32"/>
      <c r="L1733" s="75">
        <v>1733</v>
      </c>
      <c r="M1733" s="75"/>
      <c r="N1733" s="70"/>
      <c r="O1733" s="77" t="s">
        <v>179</v>
      </c>
      <c r="P1733" s="79">
        <v>45078.591099537036</v>
      </c>
      <c r="Q1733" s="77" t="s">
        <v>2519</v>
      </c>
      <c r="R1733" s="77">
        <v>0</v>
      </c>
      <c r="S1733" s="77">
        <v>1</v>
      </c>
      <c r="T1733" s="77">
        <v>0</v>
      </c>
      <c r="U1733" s="77">
        <v>0</v>
      </c>
      <c r="V1733" s="77">
        <v>107</v>
      </c>
      <c r="W1733" s="82" t="s">
        <v>5909</v>
      </c>
      <c r="X1733" s="80" t="str">
        <f>HYPERLINK("https://flj.com.br/noticia/ibovespa-sobe-apos-dados-do-pib-acima-das-expectativas")</f>
        <v>https://flj.com.br/noticia/ibovespa-sobe-apos-dados-do-pib-acima-das-expectativas</v>
      </c>
      <c r="Y1733" s="77" t="s">
        <v>7053</v>
      </c>
      <c r="Z1733" s="77"/>
      <c r="AA1733" s="77"/>
      <c r="AB1733" s="77"/>
      <c r="AC1733" s="82" t="s">
        <v>8232</v>
      </c>
      <c r="AD1733" s="77" t="s">
        <v>8278</v>
      </c>
      <c r="AE1733" s="80" t="str">
        <f>HYPERLINK("https://twitter.com/leiaflj/status/1664273388565848065")</f>
        <v>https://twitter.com/leiaflj/status/1664273388565848065</v>
      </c>
      <c r="AF1733" s="79">
        <v>45078.591099537036</v>
      </c>
      <c r="AG1733" s="85">
        <v>45078</v>
      </c>
      <c r="AH1733" s="82" t="s">
        <v>9857</v>
      </c>
      <c r="AI1733" s="77" t="b">
        <v>0</v>
      </c>
      <c r="AJ1733" s="77"/>
      <c r="AK1733" s="77"/>
      <c r="AL1733" s="77"/>
      <c r="AM1733" s="77"/>
      <c r="AN1733" s="77"/>
      <c r="AO1733" s="77"/>
      <c r="AP1733" s="77"/>
      <c r="AQ1733" s="77"/>
      <c r="AR1733" s="77"/>
      <c r="AS1733" s="77"/>
      <c r="AT1733" s="77"/>
      <c r="AU1733" s="77"/>
      <c r="AV1733" s="80" t="str">
        <f>HYPERLINK("https://pbs.twimg.com/profile_images/1620068456165933060/TShADQck_normal.jpg")</f>
        <v>https://pbs.twimg.com/profile_images/1620068456165933060/TShADQck_normal.jpg</v>
      </c>
      <c r="AW1733" s="82" t="s">
        <v>14824</v>
      </c>
      <c r="AX1733" s="82" t="s">
        <v>14824</v>
      </c>
      <c r="AY1733" s="77"/>
      <c r="AZ1733" s="82" t="s">
        <v>17385</v>
      </c>
      <c r="BA1733" s="82" t="s">
        <v>17385</v>
      </c>
      <c r="BB1733" s="82" t="s">
        <v>17385</v>
      </c>
      <c r="BC1733" s="82" t="s">
        <v>14824</v>
      </c>
      <c r="BD1733" s="82" t="s">
        <v>17557</v>
      </c>
      <c r="BE1733" s="77"/>
      <c r="BF1733" s="77"/>
      <c r="BG1733" s="77"/>
      <c r="BH1733" s="77"/>
      <c r="BI1733" s="77"/>
    </row>
    <row r="1734" spans="1:61" x14ac:dyDescent="0.25">
      <c r="A1734" s="62" t="s">
        <v>435</v>
      </c>
      <c r="B1734" s="62" t="s">
        <v>435</v>
      </c>
      <c r="C1734" s="63"/>
      <c r="D1734" s="64"/>
      <c r="E1734" s="65"/>
      <c r="F1734" s="66"/>
      <c r="G1734" s="63"/>
      <c r="H1734" s="67"/>
      <c r="I1734" s="68"/>
      <c r="J1734" s="68"/>
      <c r="K1734" s="32"/>
      <c r="L1734" s="75">
        <v>1734</v>
      </c>
      <c r="M1734" s="75"/>
      <c r="N1734" s="70"/>
      <c r="O1734" s="77" t="s">
        <v>179</v>
      </c>
      <c r="P1734" s="79">
        <v>45078.573379629626</v>
      </c>
      <c r="Q1734" s="77" t="s">
        <v>2520</v>
      </c>
      <c r="R1734" s="77">
        <v>1</v>
      </c>
      <c r="S1734" s="77">
        <v>4</v>
      </c>
      <c r="T1734" s="77">
        <v>0</v>
      </c>
      <c r="U1734" s="77">
        <v>0</v>
      </c>
      <c r="V1734" s="77">
        <v>166</v>
      </c>
      <c r="W1734" s="82" t="s">
        <v>5912</v>
      </c>
      <c r="X1734" s="80" t="str">
        <f>HYPERLINK("https://flj.com.br/noticia/veja-10-small-caps-para-poder-lucrar-em-junho-segundo-a-guide")</f>
        <v>https://flj.com.br/noticia/veja-10-small-caps-para-poder-lucrar-em-junho-segundo-a-guide</v>
      </c>
      <c r="Y1734" s="77" t="s">
        <v>7053</v>
      </c>
      <c r="Z1734" s="77"/>
      <c r="AA1734" s="77"/>
      <c r="AB1734" s="77"/>
      <c r="AC1734" s="82" t="s">
        <v>8232</v>
      </c>
      <c r="AD1734" s="77" t="s">
        <v>8278</v>
      </c>
      <c r="AE1734" s="80" t="str">
        <f>HYPERLINK("https://twitter.com/leiaflj/status/1664266967480684557")</f>
        <v>https://twitter.com/leiaflj/status/1664266967480684557</v>
      </c>
      <c r="AF1734" s="79">
        <v>45078.573379629626</v>
      </c>
      <c r="AG1734" s="85">
        <v>45078</v>
      </c>
      <c r="AH1734" s="82" t="s">
        <v>9858</v>
      </c>
      <c r="AI1734" s="77" t="b">
        <v>0</v>
      </c>
      <c r="AJ1734" s="77"/>
      <c r="AK1734" s="77"/>
      <c r="AL1734" s="77"/>
      <c r="AM1734" s="77"/>
      <c r="AN1734" s="77"/>
      <c r="AO1734" s="77"/>
      <c r="AP1734" s="77"/>
      <c r="AQ1734" s="77"/>
      <c r="AR1734" s="77"/>
      <c r="AS1734" s="77"/>
      <c r="AT1734" s="77"/>
      <c r="AU1734" s="77"/>
      <c r="AV1734" s="80" t="str">
        <f>HYPERLINK("https://pbs.twimg.com/profile_images/1620068456165933060/TShADQck_normal.jpg")</f>
        <v>https://pbs.twimg.com/profile_images/1620068456165933060/TShADQck_normal.jpg</v>
      </c>
      <c r="AW1734" s="82" t="s">
        <v>14825</v>
      </c>
      <c r="AX1734" s="82" t="s">
        <v>14825</v>
      </c>
      <c r="AY1734" s="77"/>
      <c r="AZ1734" s="82" t="s">
        <v>17385</v>
      </c>
      <c r="BA1734" s="82" t="s">
        <v>17385</v>
      </c>
      <c r="BB1734" s="82" t="s">
        <v>17385</v>
      </c>
      <c r="BC1734" s="82" t="s">
        <v>14825</v>
      </c>
      <c r="BD1734" s="82" t="s">
        <v>17557</v>
      </c>
      <c r="BE1734" s="77"/>
      <c r="BF1734" s="77"/>
      <c r="BG1734" s="77"/>
      <c r="BH1734" s="77"/>
      <c r="BI1734" s="77"/>
    </row>
    <row r="1735" spans="1:61" x14ac:dyDescent="0.25">
      <c r="A1735" s="62" t="s">
        <v>435</v>
      </c>
      <c r="B1735" s="62" t="s">
        <v>435</v>
      </c>
      <c r="C1735" s="63"/>
      <c r="D1735" s="64"/>
      <c r="E1735" s="65"/>
      <c r="F1735" s="66"/>
      <c r="G1735" s="63"/>
      <c r="H1735" s="67"/>
      <c r="I1735" s="68"/>
      <c r="J1735" s="68"/>
      <c r="K1735" s="32"/>
      <c r="L1735" s="75">
        <v>1735</v>
      </c>
      <c r="M1735" s="75"/>
      <c r="N1735" s="70"/>
      <c r="O1735" s="77" t="s">
        <v>179</v>
      </c>
      <c r="P1735" s="79">
        <v>45074.500034722223</v>
      </c>
      <c r="Q1735" s="77" t="s">
        <v>2521</v>
      </c>
      <c r="R1735" s="77">
        <v>1</v>
      </c>
      <c r="S1735" s="77">
        <v>5</v>
      </c>
      <c r="T1735" s="77">
        <v>0</v>
      </c>
      <c r="U1735" s="77">
        <v>0</v>
      </c>
      <c r="V1735" s="77">
        <v>1635</v>
      </c>
      <c r="W1735" s="82" t="s">
        <v>5907</v>
      </c>
      <c r="X1735" s="77"/>
      <c r="Y1735" s="77"/>
      <c r="Z1735" s="77"/>
      <c r="AA1735" s="77" t="s">
        <v>7892</v>
      </c>
      <c r="AB1735" s="77" t="s">
        <v>8229</v>
      </c>
      <c r="AC1735" s="82" t="s">
        <v>8232</v>
      </c>
      <c r="AD1735" s="77" t="s">
        <v>8278</v>
      </c>
      <c r="AE1735" s="80" t="str">
        <f>HYPERLINK("https://twitter.com/leiaflj/status/1662790835652423682")</f>
        <v>https://twitter.com/leiaflj/status/1662790835652423682</v>
      </c>
      <c r="AF1735" s="79">
        <v>45074.500034722223</v>
      </c>
      <c r="AG1735" s="85">
        <v>45074</v>
      </c>
      <c r="AH1735" s="82" t="s">
        <v>9859</v>
      </c>
      <c r="AI1735" s="77" t="b">
        <v>0</v>
      </c>
      <c r="AJ1735" s="77"/>
      <c r="AK1735" s="77"/>
      <c r="AL1735" s="77"/>
      <c r="AM1735" s="77"/>
      <c r="AN1735" s="77"/>
      <c r="AO1735" s="77"/>
      <c r="AP1735" s="77"/>
      <c r="AQ1735" s="77" t="s">
        <v>12777</v>
      </c>
      <c r="AR1735" s="77"/>
      <c r="AS1735" s="77"/>
      <c r="AT1735" s="77"/>
      <c r="AU1735" s="77"/>
      <c r="AV1735" s="80" t="str">
        <f>HYPERLINK("https://pbs.twimg.com/media/FxFFHr2WwAoJE6r.jpg")</f>
        <v>https://pbs.twimg.com/media/FxFFHr2WwAoJE6r.jpg</v>
      </c>
      <c r="AW1735" s="82" t="s">
        <v>14826</v>
      </c>
      <c r="AX1735" s="82" t="s">
        <v>14826</v>
      </c>
      <c r="AY1735" s="77"/>
      <c r="AZ1735" s="82" t="s">
        <v>17385</v>
      </c>
      <c r="BA1735" s="82" t="s">
        <v>17385</v>
      </c>
      <c r="BB1735" s="82" t="s">
        <v>17385</v>
      </c>
      <c r="BC1735" s="82" t="s">
        <v>14826</v>
      </c>
      <c r="BD1735" s="82" t="s">
        <v>17557</v>
      </c>
      <c r="BE1735" s="77"/>
      <c r="BF1735" s="77"/>
      <c r="BG1735" s="77"/>
      <c r="BH1735" s="77"/>
      <c r="BI1735" s="77"/>
    </row>
    <row r="1736" spans="1:61" x14ac:dyDescent="0.25">
      <c r="A1736" s="62" t="s">
        <v>435</v>
      </c>
      <c r="B1736" s="62" t="s">
        <v>435</v>
      </c>
      <c r="C1736" s="63"/>
      <c r="D1736" s="64"/>
      <c r="E1736" s="65"/>
      <c r="F1736" s="66"/>
      <c r="G1736" s="63"/>
      <c r="H1736" s="67"/>
      <c r="I1736" s="68"/>
      <c r="J1736" s="68"/>
      <c r="K1736" s="32"/>
      <c r="L1736" s="75">
        <v>1736</v>
      </c>
      <c r="M1736" s="75"/>
      <c r="N1736" s="70"/>
      <c r="O1736" s="77" t="s">
        <v>179</v>
      </c>
      <c r="P1736" s="79">
        <v>45061.757430555554</v>
      </c>
      <c r="Q1736" s="77" t="s">
        <v>2522</v>
      </c>
      <c r="R1736" s="77">
        <v>0</v>
      </c>
      <c r="S1736" s="77">
        <v>2</v>
      </c>
      <c r="T1736" s="77">
        <v>0</v>
      </c>
      <c r="U1736" s="77">
        <v>0</v>
      </c>
      <c r="V1736" s="77">
        <v>177</v>
      </c>
      <c r="W1736" s="82" t="s">
        <v>5913</v>
      </c>
      <c r="X1736" s="80" t="str">
        <f>HYPERLINK("https://flj.com.br/noticia/azul-azul4-e-hora-de-vender-a-acao-apos-prejuizo-de-r-727-milhoes")</f>
        <v>https://flj.com.br/noticia/azul-azul4-e-hora-de-vender-a-acao-apos-prejuizo-de-r-727-milhoes</v>
      </c>
      <c r="Y1736" s="77" t="s">
        <v>7053</v>
      </c>
      <c r="Z1736" s="77"/>
      <c r="AA1736" s="77" t="s">
        <v>7893</v>
      </c>
      <c r="AB1736" s="77" t="s">
        <v>8225</v>
      </c>
      <c r="AC1736" s="82" t="s">
        <v>8232</v>
      </c>
      <c r="AD1736" s="77" t="s">
        <v>8278</v>
      </c>
      <c r="AE1736" s="80" t="str">
        <f>HYPERLINK("https://twitter.com/leiaflj/status/1658173071134449710")</f>
        <v>https://twitter.com/leiaflj/status/1658173071134449710</v>
      </c>
      <c r="AF1736" s="79">
        <v>45061.757430555554</v>
      </c>
      <c r="AG1736" s="85">
        <v>45061</v>
      </c>
      <c r="AH1736" s="82" t="s">
        <v>9860</v>
      </c>
      <c r="AI1736" s="77" t="b">
        <v>0</v>
      </c>
      <c r="AJ1736" s="77"/>
      <c r="AK1736" s="77"/>
      <c r="AL1736" s="77"/>
      <c r="AM1736" s="77"/>
      <c r="AN1736" s="77"/>
      <c r="AO1736" s="77"/>
      <c r="AP1736" s="77"/>
      <c r="AQ1736" s="77" t="s">
        <v>12778</v>
      </c>
      <c r="AR1736" s="77"/>
      <c r="AS1736" s="77"/>
      <c r="AT1736" s="77"/>
      <c r="AU1736" s="77"/>
      <c r="AV1736" s="80" t="str">
        <f>HYPERLINK("https://pbs.twimg.com/media/FwMC53OWYBUoy2p.jpg")</f>
        <v>https://pbs.twimg.com/media/FwMC53OWYBUoy2p.jpg</v>
      </c>
      <c r="AW1736" s="82" t="s">
        <v>14827</v>
      </c>
      <c r="AX1736" s="82" t="s">
        <v>14827</v>
      </c>
      <c r="AY1736" s="77"/>
      <c r="AZ1736" s="82" t="s">
        <v>17385</v>
      </c>
      <c r="BA1736" s="82" t="s">
        <v>17385</v>
      </c>
      <c r="BB1736" s="82" t="s">
        <v>17385</v>
      </c>
      <c r="BC1736" s="82" t="s">
        <v>14827</v>
      </c>
      <c r="BD1736" s="82" t="s">
        <v>17557</v>
      </c>
      <c r="BE1736" s="77"/>
      <c r="BF1736" s="77"/>
      <c r="BG1736" s="77"/>
      <c r="BH1736" s="77"/>
      <c r="BI1736" s="77"/>
    </row>
    <row r="1737" spans="1:61" x14ac:dyDescent="0.25">
      <c r="A1737" s="62" t="s">
        <v>435</v>
      </c>
      <c r="B1737" s="62" t="s">
        <v>435</v>
      </c>
      <c r="C1737" s="63"/>
      <c r="D1737" s="64"/>
      <c r="E1737" s="65"/>
      <c r="F1737" s="66"/>
      <c r="G1737" s="63"/>
      <c r="H1737" s="67"/>
      <c r="I1737" s="68"/>
      <c r="J1737" s="68"/>
      <c r="K1737" s="32"/>
      <c r="L1737" s="75">
        <v>1737</v>
      </c>
      <c r="M1737" s="75"/>
      <c r="N1737" s="70"/>
      <c r="O1737" s="77" t="s">
        <v>179</v>
      </c>
      <c r="P1737" s="79">
        <v>45048.680520833332</v>
      </c>
      <c r="Q1737" s="77" t="s">
        <v>2523</v>
      </c>
      <c r="R1737" s="77">
        <v>0</v>
      </c>
      <c r="S1737" s="77">
        <v>1</v>
      </c>
      <c r="T1737" s="77">
        <v>0</v>
      </c>
      <c r="U1737" s="77">
        <v>0</v>
      </c>
      <c r="V1737" s="77">
        <v>165</v>
      </c>
      <c r="W1737" s="82" t="s">
        <v>5914</v>
      </c>
      <c r="X1737" s="80" t="str">
        <f>HYPERLINK("https://flj.com.br/noticia/santander-escolhe-vivo-vivt3-e-outras-9-acoes-para-lucrar-com-dividendos-em-maio")</f>
        <v>https://flj.com.br/noticia/santander-escolhe-vivo-vivt3-e-outras-9-acoes-para-lucrar-com-dividendos-em-maio</v>
      </c>
      <c r="Y1737" s="77" t="s">
        <v>7053</v>
      </c>
      <c r="Z1737" s="77"/>
      <c r="AA1737" s="77"/>
      <c r="AB1737" s="77"/>
      <c r="AC1737" s="82" t="s">
        <v>8232</v>
      </c>
      <c r="AD1737" s="77" t="s">
        <v>8278</v>
      </c>
      <c r="AE1737" s="80" t="str">
        <f>HYPERLINK("https://twitter.com/leiaflj/status/1653434160545923086")</f>
        <v>https://twitter.com/leiaflj/status/1653434160545923086</v>
      </c>
      <c r="AF1737" s="79">
        <v>45048.680520833332</v>
      </c>
      <c r="AG1737" s="85">
        <v>45048</v>
      </c>
      <c r="AH1737" s="82" t="s">
        <v>9861</v>
      </c>
      <c r="AI1737" s="77" t="b">
        <v>0</v>
      </c>
      <c r="AJ1737" s="77"/>
      <c r="AK1737" s="77"/>
      <c r="AL1737" s="77"/>
      <c r="AM1737" s="77"/>
      <c r="AN1737" s="77"/>
      <c r="AO1737" s="77"/>
      <c r="AP1737" s="77"/>
      <c r="AQ1737" s="77"/>
      <c r="AR1737" s="77"/>
      <c r="AS1737" s="77"/>
      <c r="AT1737" s="77"/>
      <c r="AU1737" s="77"/>
      <c r="AV1737" s="80" t="str">
        <f>HYPERLINK("https://pbs.twimg.com/profile_images/1620068456165933060/TShADQck_normal.jpg")</f>
        <v>https://pbs.twimg.com/profile_images/1620068456165933060/TShADQck_normal.jpg</v>
      </c>
      <c r="AW1737" s="82" t="s">
        <v>14828</v>
      </c>
      <c r="AX1737" s="82" t="s">
        <v>14828</v>
      </c>
      <c r="AY1737" s="77"/>
      <c r="AZ1737" s="82" t="s">
        <v>17385</v>
      </c>
      <c r="BA1737" s="82" t="s">
        <v>17385</v>
      </c>
      <c r="BB1737" s="82" t="s">
        <v>17385</v>
      </c>
      <c r="BC1737" s="82" t="s">
        <v>14828</v>
      </c>
      <c r="BD1737" s="82" t="s">
        <v>17557</v>
      </c>
      <c r="BE1737" s="77"/>
      <c r="BF1737" s="77"/>
      <c r="BG1737" s="77"/>
      <c r="BH1737" s="77"/>
      <c r="BI1737" s="77"/>
    </row>
    <row r="1738" spans="1:61" x14ac:dyDescent="0.25">
      <c r="A1738" s="62" t="s">
        <v>435</v>
      </c>
      <c r="B1738" s="62" t="s">
        <v>435</v>
      </c>
      <c r="C1738" s="63"/>
      <c r="D1738" s="64"/>
      <c r="E1738" s="65"/>
      <c r="F1738" s="66"/>
      <c r="G1738" s="63"/>
      <c r="H1738" s="67"/>
      <c r="I1738" s="68"/>
      <c r="J1738" s="68"/>
      <c r="K1738" s="32"/>
      <c r="L1738" s="75">
        <v>1738</v>
      </c>
      <c r="M1738" s="75"/>
      <c r="N1738" s="70"/>
      <c r="O1738" s="77" t="s">
        <v>179</v>
      </c>
      <c r="P1738" s="79">
        <v>45048.501805555556</v>
      </c>
      <c r="Q1738" s="77" t="s">
        <v>2524</v>
      </c>
      <c r="R1738" s="77">
        <v>1</v>
      </c>
      <c r="S1738" s="77">
        <v>2</v>
      </c>
      <c r="T1738" s="77">
        <v>0</v>
      </c>
      <c r="U1738" s="77">
        <v>0</v>
      </c>
      <c r="V1738" s="77">
        <v>177</v>
      </c>
      <c r="W1738" s="82" t="s">
        <v>5915</v>
      </c>
      <c r="X1738" s="80" t="str">
        <f>HYPERLINK("https://flj.com.br/noticia/americanas-amer3-assembleia-e-suspensa-com-tensoes-entre-acionistas-minoritarios-e-3g")</f>
        <v>https://flj.com.br/noticia/americanas-amer3-assembleia-e-suspensa-com-tensoes-entre-acionistas-minoritarios-e-3g</v>
      </c>
      <c r="Y1738" s="77" t="s">
        <v>7053</v>
      </c>
      <c r="Z1738" s="77"/>
      <c r="AA1738" s="77"/>
      <c r="AB1738" s="77"/>
      <c r="AC1738" s="82" t="s">
        <v>8232</v>
      </c>
      <c r="AD1738" s="77" t="s">
        <v>8278</v>
      </c>
      <c r="AE1738" s="80" t="str">
        <f>HYPERLINK("https://twitter.com/leiaflj/status/1653369396213981185")</f>
        <v>https://twitter.com/leiaflj/status/1653369396213981185</v>
      </c>
      <c r="AF1738" s="79">
        <v>45048.501805555556</v>
      </c>
      <c r="AG1738" s="85">
        <v>45048</v>
      </c>
      <c r="AH1738" s="82" t="s">
        <v>9862</v>
      </c>
      <c r="AI1738" s="77" t="b">
        <v>0</v>
      </c>
      <c r="AJ1738" s="77"/>
      <c r="AK1738" s="77"/>
      <c r="AL1738" s="77"/>
      <c r="AM1738" s="77"/>
      <c r="AN1738" s="77"/>
      <c r="AO1738" s="77"/>
      <c r="AP1738" s="77"/>
      <c r="AQ1738" s="77"/>
      <c r="AR1738" s="77"/>
      <c r="AS1738" s="77"/>
      <c r="AT1738" s="77"/>
      <c r="AU1738" s="77"/>
      <c r="AV1738" s="80" t="str">
        <f>HYPERLINK("https://pbs.twimg.com/profile_images/1620068456165933060/TShADQck_normal.jpg")</f>
        <v>https://pbs.twimg.com/profile_images/1620068456165933060/TShADQck_normal.jpg</v>
      </c>
      <c r="AW1738" s="82" t="s">
        <v>14829</v>
      </c>
      <c r="AX1738" s="82" t="s">
        <v>14829</v>
      </c>
      <c r="AY1738" s="77"/>
      <c r="AZ1738" s="82" t="s">
        <v>17385</v>
      </c>
      <c r="BA1738" s="82" t="s">
        <v>17385</v>
      </c>
      <c r="BB1738" s="82" t="s">
        <v>17385</v>
      </c>
      <c r="BC1738" s="82" t="s">
        <v>14829</v>
      </c>
      <c r="BD1738" s="82" t="s">
        <v>17557</v>
      </c>
      <c r="BE1738" s="77"/>
      <c r="BF1738" s="77"/>
      <c r="BG1738" s="77"/>
      <c r="BH1738" s="77"/>
      <c r="BI1738" s="77"/>
    </row>
    <row r="1739" spans="1:61" x14ac:dyDescent="0.25">
      <c r="A1739" s="62" t="s">
        <v>435</v>
      </c>
      <c r="B1739" s="62" t="s">
        <v>435</v>
      </c>
      <c r="C1739" s="63"/>
      <c r="D1739" s="64"/>
      <c r="E1739" s="65"/>
      <c r="F1739" s="66"/>
      <c r="G1739" s="63"/>
      <c r="H1739" s="67"/>
      <c r="I1739" s="68"/>
      <c r="J1739" s="68"/>
      <c r="K1739" s="32"/>
      <c r="L1739" s="75">
        <v>1739</v>
      </c>
      <c r="M1739" s="75"/>
      <c r="N1739" s="70"/>
      <c r="O1739" s="77" t="s">
        <v>179</v>
      </c>
      <c r="P1739" s="79">
        <v>45158.458344907405</v>
      </c>
      <c r="Q1739" s="77" t="s">
        <v>2525</v>
      </c>
      <c r="R1739" s="77">
        <v>1</v>
      </c>
      <c r="S1739" s="77">
        <v>1</v>
      </c>
      <c r="T1739" s="77">
        <v>0</v>
      </c>
      <c r="U1739" s="77">
        <v>0</v>
      </c>
      <c r="V1739" s="77">
        <v>166</v>
      </c>
      <c r="W1739" s="82" t="s">
        <v>5916</v>
      </c>
      <c r="X1739" s="80" t="str">
        <f>HYPERLINK("https://flj.com.br/")</f>
        <v>https://flj.com.br/</v>
      </c>
      <c r="Y1739" s="77" t="s">
        <v>7053</v>
      </c>
      <c r="Z1739" s="77"/>
      <c r="AA1739" s="77" t="s">
        <v>7894</v>
      </c>
      <c r="AB1739" s="77" t="s">
        <v>8229</v>
      </c>
      <c r="AC1739" s="82" t="s">
        <v>8232</v>
      </c>
      <c r="AD1739" s="77" t="s">
        <v>8278</v>
      </c>
      <c r="AE1739" s="80" t="str">
        <f>HYPERLINK("https://twitter.com/leiaflj/status/1693216309402615857")</f>
        <v>https://twitter.com/leiaflj/status/1693216309402615857</v>
      </c>
      <c r="AF1739" s="79">
        <v>45158.458344907405</v>
      </c>
      <c r="AG1739" s="85">
        <v>45158</v>
      </c>
      <c r="AH1739" s="82" t="s">
        <v>9863</v>
      </c>
      <c r="AI1739" s="77" t="b">
        <v>0</v>
      </c>
      <c r="AJ1739" s="77"/>
      <c r="AK1739" s="77"/>
      <c r="AL1739" s="77"/>
      <c r="AM1739" s="77"/>
      <c r="AN1739" s="77"/>
      <c r="AO1739" s="77"/>
      <c r="AP1739" s="77"/>
      <c r="AQ1739" s="77" t="s">
        <v>12779</v>
      </c>
      <c r="AR1739" s="77"/>
      <c r="AS1739" s="77"/>
      <c r="AT1739" s="77"/>
      <c r="AU1739" s="77"/>
      <c r="AV1739" s="80" t="str">
        <f>HYPERLINK("https://pbs.twimg.com/media/F31n6GdXcAASF-S.jpg")</f>
        <v>https://pbs.twimg.com/media/F31n6GdXcAASF-S.jpg</v>
      </c>
      <c r="AW1739" s="82" t="s">
        <v>14830</v>
      </c>
      <c r="AX1739" s="82" t="s">
        <v>14830</v>
      </c>
      <c r="AY1739" s="77"/>
      <c r="AZ1739" s="82" t="s">
        <v>17385</v>
      </c>
      <c r="BA1739" s="82" t="s">
        <v>17385</v>
      </c>
      <c r="BB1739" s="82" t="s">
        <v>17385</v>
      </c>
      <c r="BC1739" s="82" t="s">
        <v>14830</v>
      </c>
      <c r="BD1739" s="82" t="s">
        <v>17557</v>
      </c>
      <c r="BE1739" s="77"/>
      <c r="BF1739" s="77"/>
      <c r="BG1739" s="77"/>
      <c r="BH1739" s="77"/>
      <c r="BI1739" s="77"/>
    </row>
    <row r="1740" spans="1:61" x14ac:dyDescent="0.25">
      <c r="A1740" s="62" t="s">
        <v>435</v>
      </c>
      <c r="B1740" s="62" t="s">
        <v>435</v>
      </c>
      <c r="C1740" s="63"/>
      <c r="D1740" s="64"/>
      <c r="E1740" s="65"/>
      <c r="F1740" s="66"/>
      <c r="G1740" s="63"/>
      <c r="H1740" s="67"/>
      <c r="I1740" s="68"/>
      <c r="J1740" s="68"/>
      <c r="K1740" s="32"/>
      <c r="L1740" s="75">
        <v>1740</v>
      </c>
      <c r="M1740" s="75"/>
      <c r="N1740" s="70"/>
      <c r="O1740" s="77" t="s">
        <v>179</v>
      </c>
      <c r="P1740" s="79">
        <v>45142.889641203707</v>
      </c>
      <c r="Q1740" s="77" t="s">
        <v>2526</v>
      </c>
      <c r="R1740" s="77">
        <v>0</v>
      </c>
      <c r="S1740" s="77">
        <v>1</v>
      </c>
      <c r="T1740" s="77">
        <v>0</v>
      </c>
      <c r="U1740" s="77">
        <v>0</v>
      </c>
      <c r="V1740" s="77">
        <v>127</v>
      </c>
      <c r="W1740" s="82" t="s">
        <v>5917</v>
      </c>
      <c r="X1740" s="80" t="str">
        <f>HYPERLINK("http://flj.com.br/noticia/em-rota-de-correcao-alpargatas-alpa4-vai-revisar-portfolio")</f>
        <v>http://flj.com.br/noticia/em-rota-de-correcao-alpargatas-alpa4-vai-revisar-portfolio</v>
      </c>
      <c r="Y1740" s="77" t="s">
        <v>7053</v>
      </c>
      <c r="Z1740" s="77"/>
      <c r="AA1740" s="77"/>
      <c r="AB1740" s="77"/>
      <c r="AC1740" s="82" t="s">
        <v>8232</v>
      </c>
      <c r="AD1740" s="77" t="s">
        <v>8278</v>
      </c>
      <c r="AE1740" s="80" t="str">
        <f>HYPERLINK("https://twitter.com/leiaflj/status/1687574402840330240")</f>
        <v>https://twitter.com/leiaflj/status/1687574402840330240</v>
      </c>
      <c r="AF1740" s="79">
        <v>45142.889641203707</v>
      </c>
      <c r="AG1740" s="85">
        <v>45142</v>
      </c>
      <c r="AH1740" s="82" t="s">
        <v>9864</v>
      </c>
      <c r="AI1740" s="77" t="b">
        <v>0</v>
      </c>
      <c r="AJ1740" s="77"/>
      <c r="AK1740" s="77"/>
      <c r="AL1740" s="77"/>
      <c r="AM1740" s="77"/>
      <c r="AN1740" s="77"/>
      <c r="AO1740" s="77"/>
      <c r="AP1740" s="77"/>
      <c r="AQ1740" s="77"/>
      <c r="AR1740" s="77"/>
      <c r="AS1740" s="77"/>
      <c r="AT1740" s="77"/>
      <c r="AU1740" s="77"/>
      <c r="AV1740" s="80" t="str">
        <f>HYPERLINK("https://pbs.twimg.com/profile_images/1620068456165933060/TShADQck_normal.jpg")</f>
        <v>https://pbs.twimg.com/profile_images/1620068456165933060/TShADQck_normal.jpg</v>
      </c>
      <c r="AW1740" s="82" t="s">
        <v>14831</v>
      </c>
      <c r="AX1740" s="82" t="s">
        <v>14831</v>
      </c>
      <c r="AY1740" s="77"/>
      <c r="AZ1740" s="82" t="s">
        <v>17385</v>
      </c>
      <c r="BA1740" s="82" t="s">
        <v>17385</v>
      </c>
      <c r="BB1740" s="82" t="s">
        <v>17385</v>
      </c>
      <c r="BC1740" s="82" t="s">
        <v>14831</v>
      </c>
      <c r="BD1740" s="82" t="s">
        <v>17557</v>
      </c>
      <c r="BE1740" s="77"/>
      <c r="BF1740" s="77"/>
      <c r="BG1740" s="77"/>
      <c r="BH1740" s="77"/>
      <c r="BI1740" s="77"/>
    </row>
    <row r="1741" spans="1:61" x14ac:dyDescent="0.25">
      <c r="A1741" s="62" t="s">
        <v>435</v>
      </c>
      <c r="B1741" s="62" t="s">
        <v>435</v>
      </c>
      <c r="C1741" s="63"/>
      <c r="D1741" s="64"/>
      <c r="E1741" s="65"/>
      <c r="F1741" s="66"/>
      <c r="G1741" s="63"/>
      <c r="H1741" s="67"/>
      <c r="I1741" s="68"/>
      <c r="J1741" s="68"/>
      <c r="K1741" s="32"/>
      <c r="L1741" s="75">
        <v>1741</v>
      </c>
      <c r="M1741" s="75"/>
      <c r="N1741" s="70"/>
      <c r="O1741" s="77" t="s">
        <v>179</v>
      </c>
      <c r="P1741" s="79">
        <v>45127.476736111108</v>
      </c>
      <c r="Q1741" s="77" t="s">
        <v>2527</v>
      </c>
      <c r="R1741" s="77">
        <v>0</v>
      </c>
      <c r="S1741" s="77">
        <v>2</v>
      </c>
      <c r="T1741" s="77">
        <v>0</v>
      </c>
      <c r="U1741" s="77">
        <v>0</v>
      </c>
      <c r="V1741" s="77">
        <v>112</v>
      </c>
      <c r="W1741" s="82" t="s">
        <v>5918</v>
      </c>
      <c r="X1741" s="80" t="str">
        <f>HYPERLINK("https://flj.com.br/noticia/mercados-operam-sem-direcao-com-foco-em-resultados-trimestrais")</f>
        <v>https://flj.com.br/noticia/mercados-operam-sem-direcao-com-foco-em-resultados-trimestrais</v>
      </c>
      <c r="Y1741" s="77" t="s">
        <v>7053</v>
      </c>
      <c r="Z1741" s="77"/>
      <c r="AA1741" s="77"/>
      <c r="AB1741" s="77"/>
      <c r="AC1741" s="82" t="s">
        <v>8232</v>
      </c>
      <c r="AD1741" s="77" t="s">
        <v>8278</v>
      </c>
      <c r="AE1741" s="80" t="str">
        <f>HYPERLINK("https://twitter.com/leiaflj/status/1681988950200549376")</f>
        <v>https://twitter.com/leiaflj/status/1681988950200549376</v>
      </c>
      <c r="AF1741" s="79">
        <v>45127.476736111108</v>
      </c>
      <c r="AG1741" s="85">
        <v>45127</v>
      </c>
      <c r="AH1741" s="82" t="s">
        <v>9865</v>
      </c>
      <c r="AI1741" s="77" t="b">
        <v>0</v>
      </c>
      <c r="AJ1741" s="77"/>
      <c r="AK1741" s="77"/>
      <c r="AL1741" s="77"/>
      <c r="AM1741" s="77"/>
      <c r="AN1741" s="77"/>
      <c r="AO1741" s="77"/>
      <c r="AP1741" s="77"/>
      <c r="AQ1741" s="77"/>
      <c r="AR1741" s="77"/>
      <c r="AS1741" s="77"/>
      <c r="AT1741" s="77"/>
      <c r="AU1741" s="77"/>
      <c r="AV1741" s="80" t="str">
        <f>HYPERLINK("https://pbs.twimg.com/profile_images/1620068456165933060/TShADQck_normal.jpg")</f>
        <v>https://pbs.twimg.com/profile_images/1620068456165933060/TShADQck_normal.jpg</v>
      </c>
      <c r="AW1741" s="82" t="s">
        <v>14832</v>
      </c>
      <c r="AX1741" s="82" t="s">
        <v>14832</v>
      </c>
      <c r="AY1741" s="77"/>
      <c r="AZ1741" s="82" t="s">
        <v>17385</v>
      </c>
      <c r="BA1741" s="82" t="s">
        <v>17385</v>
      </c>
      <c r="BB1741" s="82" t="s">
        <v>17385</v>
      </c>
      <c r="BC1741" s="82" t="s">
        <v>14832</v>
      </c>
      <c r="BD1741" s="82" t="s">
        <v>17557</v>
      </c>
      <c r="BE1741" s="77"/>
      <c r="BF1741" s="77"/>
      <c r="BG1741" s="77"/>
      <c r="BH1741" s="77"/>
      <c r="BI1741" s="77"/>
    </row>
    <row r="1742" spans="1:61" x14ac:dyDescent="0.25">
      <c r="A1742" s="62" t="s">
        <v>435</v>
      </c>
      <c r="B1742" s="62" t="s">
        <v>435</v>
      </c>
      <c r="C1742" s="63"/>
      <c r="D1742" s="64"/>
      <c r="E1742" s="65"/>
      <c r="F1742" s="66"/>
      <c r="G1742" s="63"/>
      <c r="H1742" s="67"/>
      <c r="I1742" s="68"/>
      <c r="J1742" s="68"/>
      <c r="K1742" s="32"/>
      <c r="L1742" s="75">
        <v>1742</v>
      </c>
      <c r="M1742" s="75"/>
      <c r="N1742" s="70"/>
      <c r="O1742" s="77" t="s">
        <v>179</v>
      </c>
      <c r="P1742" s="79">
        <v>45119.587337962963</v>
      </c>
      <c r="Q1742" s="77" t="s">
        <v>2528</v>
      </c>
      <c r="R1742" s="77">
        <v>0</v>
      </c>
      <c r="S1742" s="77">
        <v>1</v>
      </c>
      <c r="T1742" s="77">
        <v>0</v>
      </c>
      <c r="U1742" s="77">
        <v>0</v>
      </c>
      <c r="V1742" s="77">
        <v>101</v>
      </c>
      <c r="W1742" s="82" t="s">
        <v>5919</v>
      </c>
      <c r="X1742" s="80" t="str">
        <f>HYPERLINK("https://flj.com.br/noticia/acoes-da-jbs-jbss3-disparam-apos-anuncio-de-listagem-nos-eua")</f>
        <v>https://flj.com.br/noticia/acoes-da-jbs-jbss3-disparam-apos-anuncio-de-listagem-nos-eua</v>
      </c>
      <c r="Y1742" s="77" t="s">
        <v>7053</v>
      </c>
      <c r="Z1742" s="77"/>
      <c r="AA1742" s="77"/>
      <c r="AB1742" s="77"/>
      <c r="AC1742" s="82" t="s">
        <v>8232</v>
      </c>
      <c r="AD1742" s="77" t="s">
        <v>8278</v>
      </c>
      <c r="AE1742" s="80" t="str">
        <f>HYPERLINK("https://twitter.com/leiaflj/status/1679129929689059330")</f>
        <v>https://twitter.com/leiaflj/status/1679129929689059330</v>
      </c>
      <c r="AF1742" s="79">
        <v>45119.587337962963</v>
      </c>
      <c r="AG1742" s="85">
        <v>45119</v>
      </c>
      <c r="AH1742" s="82" t="s">
        <v>9866</v>
      </c>
      <c r="AI1742" s="77" t="b">
        <v>0</v>
      </c>
      <c r="AJ1742" s="77"/>
      <c r="AK1742" s="77"/>
      <c r="AL1742" s="77"/>
      <c r="AM1742" s="77"/>
      <c r="AN1742" s="77"/>
      <c r="AO1742" s="77"/>
      <c r="AP1742" s="77"/>
      <c r="AQ1742" s="77"/>
      <c r="AR1742" s="77"/>
      <c r="AS1742" s="77"/>
      <c r="AT1742" s="77"/>
      <c r="AU1742" s="77"/>
      <c r="AV1742" s="80" t="str">
        <f>HYPERLINK("https://pbs.twimg.com/profile_images/1620068456165933060/TShADQck_normal.jpg")</f>
        <v>https://pbs.twimg.com/profile_images/1620068456165933060/TShADQck_normal.jpg</v>
      </c>
      <c r="AW1742" s="82" t="s">
        <v>14833</v>
      </c>
      <c r="AX1742" s="82" t="s">
        <v>14833</v>
      </c>
      <c r="AY1742" s="77"/>
      <c r="AZ1742" s="82" t="s">
        <v>17385</v>
      </c>
      <c r="BA1742" s="82" t="s">
        <v>17385</v>
      </c>
      <c r="BB1742" s="82" t="s">
        <v>17385</v>
      </c>
      <c r="BC1742" s="82" t="s">
        <v>14833</v>
      </c>
      <c r="BD1742" s="82" t="s">
        <v>17557</v>
      </c>
      <c r="BE1742" s="77"/>
      <c r="BF1742" s="77"/>
      <c r="BG1742" s="77"/>
      <c r="BH1742" s="77"/>
      <c r="BI1742" s="77"/>
    </row>
    <row r="1743" spans="1:61" x14ac:dyDescent="0.25">
      <c r="A1743" s="62" t="s">
        <v>435</v>
      </c>
      <c r="B1743" s="62" t="s">
        <v>435</v>
      </c>
      <c r="C1743" s="63"/>
      <c r="D1743" s="64"/>
      <c r="E1743" s="65"/>
      <c r="F1743" s="66"/>
      <c r="G1743" s="63"/>
      <c r="H1743" s="67"/>
      <c r="I1743" s="68"/>
      <c r="J1743" s="68"/>
      <c r="K1743" s="32"/>
      <c r="L1743" s="75">
        <v>1743</v>
      </c>
      <c r="M1743" s="75"/>
      <c r="N1743" s="70"/>
      <c r="O1743" s="77" t="s">
        <v>179</v>
      </c>
      <c r="P1743" s="79">
        <v>45119.473645833335</v>
      </c>
      <c r="Q1743" s="77" t="s">
        <v>2529</v>
      </c>
      <c r="R1743" s="77">
        <v>0</v>
      </c>
      <c r="S1743" s="77">
        <v>0</v>
      </c>
      <c r="T1743" s="77">
        <v>0</v>
      </c>
      <c r="U1743" s="77">
        <v>0</v>
      </c>
      <c r="V1743" s="77">
        <v>82</v>
      </c>
      <c r="W1743" s="82" t="s">
        <v>5920</v>
      </c>
      <c r="X1743" s="80" t="str">
        <f>HYPERLINK("https://flj.com.br/noticia/mercados-sobem-antes-de-dados-da-inflacao-dos-eua")</f>
        <v>https://flj.com.br/noticia/mercados-sobem-antes-de-dados-da-inflacao-dos-eua</v>
      </c>
      <c r="Y1743" s="77" t="s">
        <v>7053</v>
      </c>
      <c r="Z1743" s="77"/>
      <c r="AA1743" s="77"/>
      <c r="AB1743" s="77"/>
      <c r="AC1743" s="82" t="s">
        <v>8232</v>
      </c>
      <c r="AD1743" s="77" t="s">
        <v>8278</v>
      </c>
      <c r="AE1743" s="80" t="str">
        <f>HYPERLINK("https://twitter.com/leiaflj/status/1679088729317572615")</f>
        <v>https://twitter.com/leiaflj/status/1679088729317572615</v>
      </c>
      <c r="AF1743" s="79">
        <v>45119.473645833335</v>
      </c>
      <c r="AG1743" s="85">
        <v>45119</v>
      </c>
      <c r="AH1743" s="82" t="s">
        <v>9867</v>
      </c>
      <c r="AI1743" s="77" t="b">
        <v>0</v>
      </c>
      <c r="AJ1743" s="77"/>
      <c r="AK1743" s="77"/>
      <c r="AL1743" s="77"/>
      <c r="AM1743" s="77"/>
      <c r="AN1743" s="77"/>
      <c r="AO1743" s="77"/>
      <c r="AP1743" s="77"/>
      <c r="AQ1743" s="77"/>
      <c r="AR1743" s="77"/>
      <c r="AS1743" s="77"/>
      <c r="AT1743" s="77"/>
      <c r="AU1743" s="77"/>
      <c r="AV1743" s="80" t="str">
        <f>HYPERLINK("https://pbs.twimg.com/profile_images/1620068456165933060/TShADQck_normal.jpg")</f>
        <v>https://pbs.twimg.com/profile_images/1620068456165933060/TShADQck_normal.jpg</v>
      </c>
      <c r="AW1743" s="82" t="s">
        <v>14834</v>
      </c>
      <c r="AX1743" s="82" t="s">
        <v>14834</v>
      </c>
      <c r="AY1743" s="77"/>
      <c r="AZ1743" s="82" t="s">
        <v>17385</v>
      </c>
      <c r="BA1743" s="82" t="s">
        <v>17385</v>
      </c>
      <c r="BB1743" s="82" t="s">
        <v>17385</v>
      </c>
      <c r="BC1743" s="82" t="s">
        <v>14834</v>
      </c>
      <c r="BD1743" s="82" t="s">
        <v>17557</v>
      </c>
      <c r="BE1743" s="77"/>
      <c r="BF1743" s="77"/>
      <c r="BG1743" s="77"/>
      <c r="BH1743" s="77"/>
      <c r="BI1743" s="77"/>
    </row>
    <row r="1744" spans="1:61" x14ac:dyDescent="0.25">
      <c r="A1744" s="62" t="s">
        <v>435</v>
      </c>
      <c r="B1744" s="62" t="s">
        <v>435</v>
      </c>
      <c r="C1744" s="63"/>
      <c r="D1744" s="64"/>
      <c r="E1744" s="65"/>
      <c r="F1744" s="66"/>
      <c r="G1744" s="63"/>
      <c r="H1744" s="67"/>
      <c r="I1744" s="68"/>
      <c r="J1744" s="68"/>
      <c r="K1744" s="32"/>
      <c r="L1744" s="75">
        <v>1744</v>
      </c>
      <c r="M1744" s="75"/>
      <c r="N1744" s="70"/>
      <c r="O1744" s="77" t="s">
        <v>179</v>
      </c>
      <c r="P1744" s="79">
        <v>45110.573865740742</v>
      </c>
      <c r="Q1744" s="77" t="s">
        <v>2530</v>
      </c>
      <c r="R1744" s="77">
        <v>0</v>
      </c>
      <c r="S1744" s="77">
        <v>1</v>
      </c>
      <c r="T1744" s="77">
        <v>0</v>
      </c>
      <c r="U1744" s="77">
        <v>0</v>
      </c>
      <c r="V1744" s="77">
        <v>194</v>
      </c>
      <c r="W1744" s="82" t="s">
        <v>5921</v>
      </c>
      <c r="X1744" s="80" t="str">
        <f>HYPERLINK("https://flj.com.br/noticia/vale-vale3-comeca-a-operar-barragem-em-brucutu")</f>
        <v>https://flj.com.br/noticia/vale-vale3-comeca-a-operar-barragem-em-brucutu</v>
      </c>
      <c r="Y1744" s="77" t="s">
        <v>7053</v>
      </c>
      <c r="Z1744" s="77"/>
      <c r="AA1744" s="77"/>
      <c r="AB1744" s="77"/>
      <c r="AC1744" s="82" t="s">
        <v>8232</v>
      </c>
      <c r="AD1744" s="77" t="s">
        <v>8278</v>
      </c>
      <c r="AE1744" s="80" t="str">
        <f>HYPERLINK("https://twitter.com/leiaflj/status/1675863557026590720")</f>
        <v>https://twitter.com/leiaflj/status/1675863557026590720</v>
      </c>
      <c r="AF1744" s="79">
        <v>45110.573865740742</v>
      </c>
      <c r="AG1744" s="85">
        <v>45110</v>
      </c>
      <c r="AH1744" s="82" t="s">
        <v>9868</v>
      </c>
      <c r="AI1744" s="77" t="b">
        <v>0</v>
      </c>
      <c r="AJ1744" s="77"/>
      <c r="AK1744" s="77"/>
      <c r="AL1744" s="77"/>
      <c r="AM1744" s="77"/>
      <c r="AN1744" s="77"/>
      <c r="AO1744" s="77"/>
      <c r="AP1744" s="77"/>
      <c r="AQ1744" s="77"/>
      <c r="AR1744" s="77"/>
      <c r="AS1744" s="77"/>
      <c r="AT1744" s="77"/>
      <c r="AU1744" s="77"/>
      <c r="AV1744" s="80" t="str">
        <f>HYPERLINK("https://pbs.twimg.com/profile_images/1620068456165933060/TShADQck_normal.jpg")</f>
        <v>https://pbs.twimg.com/profile_images/1620068456165933060/TShADQck_normal.jpg</v>
      </c>
      <c r="AW1744" s="82" t="s">
        <v>14835</v>
      </c>
      <c r="AX1744" s="82" t="s">
        <v>14835</v>
      </c>
      <c r="AY1744" s="77"/>
      <c r="AZ1744" s="82" t="s">
        <v>17385</v>
      </c>
      <c r="BA1744" s="82" t="s">
        <v>17385</v>
      </c>
      <c r="BB1744" s="82" t="s">
        <v>17385</v>
      </c>
      <c r="BC1744" s="82" t="s">
        <v>14835</v>
      </c>
      <c r="BD1744" s="82" t="s">
        <v>17557</v>
      </c>
      <c r="BE1744" s="77"/>
      <c r="BF1744" s="77"/>
      <c r="BG1744" s="77"/>
      <c r="BH1744" s="77"/>
      <c r="BI1744" s="77"/>
    </row>
    <row r="1745" spans="1:61" x14ac:dyDescent="0.25">
      <c r="A1745" s="62" t="s">
        <v>435</v>
      </c>
      <c r="B1745" s="62" t="s">
        <v>435</v>
      </c>
      <c r="C1745" s="63"/>
      <c r="D1745" s="64"/>
      <c r="E1745" s="65"/>
      <c r="F1745" s="66"/>
      <c r="G1745" s="63"/>
      <c r="H1745" s="67"/>
      <c r="I1745" s="68"/>
      <c r="J1745" s="68"/>
      <c r="K1745" s="32"/>
      <c r="L1745" s="75">
        <v>1745</v>
      </c>
      <c r="M1745" s="75"/>
      <c r="N1745" s="70"/>
      <c r="O1745" s="77" t="s">
        <v>179</v>
      </c>
      <c r="P1745" s="79">
        <v>45110.489502314813</v>
      </c>
      <c r="Q1745" s="77" t="s">
        <v>2531</v>
      </c>
      <c r="R1745" s="77">
        <v>0</v>
      </c>
      <c r="S1745" s="77">
        <v>0</v>
      </c>
      <c r="T1745" s="77">
        <v>0</v>
      </c>
      <c r="U1745" s="77">
        <v>0</v>
      </c>
      <c r="V1745" s="77">
        <v>109</v>
      </c>
      <c r="W1745" s="82" t="s">
        <v>5918</v>
      </c>
      <c r="X1745" s="80" t="str">
        <f>HYPERLINK("https://flj.com.br/noticia/mercado-ja-ve-inflacao-abaixo-de-5-e-selic-a-12-no-fim-do-ano")</f>
        <v>https://flj.com.br/noticia/mercado-ja-ve-inflacao-abaixo-de-5-e-selic-a-12-no-fim-do-ano</v>
      </c>
      <c r="Y1745" s="77" t="s">
        <v>7053</v>
      </c>
      <c r="Z1745" s="77"/>
      <c r="AA1745" s="77"/>
      <c r="AB1745" s="77"/>
      <c r="AC1745" s="82" t="s">
        <v>8232</v>
      </c>
      <c r="AD1745" s="77" t="s">
        <v>8278</v>
      </c>
      <c r="AE1745" s="80" t="str">
        <f>HYPERLINK("https://twitter.com/leiaflj/status/1675832984320999429")</f>
        <v>https://twitter.com/leiaflj/status/1675832984320999429</v>
      </c>
      <c r="AF1745" s="79">
        <v>45110.489502314813</v>
      </c>
      <c r="AG1745" s="85">
        <v>45110</v>
      </c>
      <c r="AH1745" s="82" t="s">
        <v>9869</v>
      </c>
      <c r="AI1745" s="77" t="b">
        <v>0</v>
      </c>
      <c r="AJ1745" s="77"/>
      <c r="AK1745" s="77"/>
      <c r="AL1745" s="77"/>
      <c r="AM1745" s="77"/>
      <c r="AN1745" s="77"/>
      <c r="AO1745" s="77"/>
      <c r="AP1745" s="77"/>
      <c r="AQ1745" s="77"/>
      <c r="AR1745" s="77"/>
      <c r="AS1745" s="77"/>
      <c r="AT1745" s="77"/>
      <c r="AU1745" s="77"/>
      <c r="AV1745" s="80" t="str">
        <f>HYPERLINK("https://pbs.twimg.com/profile_images/1620068456165933060/TShADQck_normal.jpg")</f>
        <v>https://pbs.twimg.com/profile_images/1620068456165933060/TShADQck_normal.jpg</v>
      </c>
      <c r="AW1745" s="82" t="s">
        <v>14836</v>
      </c>
      <c r="AX1745" s="82" t="s">
        <v>14836</v>
      </c>
      <c r="AY1745" s="77"/>
      <c r="AZ1745" s="82" t="s">
        <v>17385</v>
      </c>
      <c r="BA1745" s="82" t="s">
        <v>17385</v>
      </c>
      <c r="BB1745" s="82" t="s">
        <v>17385</v>
      </c>
      <c r="BC1745" s="82" t="s">
        <v>14836</v>
      </c>
      <c r="BD1745" s="82" t="s">
        <v>17557</v>
      </c>
      <c r="BE1745" s="77"/>
      <c r="BF1745" s="77"/>
      <c r="BG1745" s="77"/>
      <c r="BH1745" s="77"/>
      <c r="BI1745" s="77"/>
    </row>
    <row r="1746" spans="1:61" x14ac:dyDescent="0.25">
      <c r="A1746" s="62" t="s">
        <v>435</v>
      </c>
      <c r="B1746" s="62" t="s">
        <v>435</v>
      </c>
      <c r="C1746" s="63"/>
      <c r="D1746" s="64"/>
      <c r="E1746" s="65"/>
      <c r="F1746" s="66"/>
      <c r="G1746" s="63"/>
      <c r="H1746" s="67"/>
      <c r="I1746" s="68"/>
      <c r="J1746" s="68"/>
      <c r="K1746" s="32"/>
      <c r="L1746" s="75">
        <v>1746</v>
      </c>
      <c r="M1746" s="75"/>
      <c r="N1746" s="70"/>
      <c r="O1746" s="77" t="s">
        <v>179</v>
      </c>
      <c r="P1746" s="79">
        <v>45097.618425925924</v>
      </c>
      <c r="Q1746" s="77" t="s">
        <v>2532</v>
      </c>
      <c r="R1746" s="77">
        <v>0</v>
      </c>
      <c r="S1746" s="77">
        <v>1</v>
      </c>
      <c r="T1746" s="77">
        <v>0</v>
      </c>
      <c r="U1746" s="77">
        <v>0</v>
      </c>
      <c r="V1746" s="77">
        <v>112</v>
      </c>
      <c r="W1746" s="82" t="s">
        <v>5922</v>
      </c>
      <c r="X1746" s="80" t="str">
        <f>HYPERLINK("https://flj.com.br/noticia/ibovespa-recua-e-ensaia-movimento-de-ajuste")</f>
        <v>https://flj.com.br/noticia/ibovespa-recua-e-ensaia-movimento-de-ajuste</v>
      </c>
      <c r="Y1746" s="77" t="s">
        <v>7053</v>
      </c>
      <c r="Z1746" s="77"/>
      <c r="AA1746" s="77"/>
      <c r="AB1746" s="77"/>
      <c r="AC1746" s="82" t="s">
        <v>8232</v>
      </c>
      <c r="AD1746" s="77" t="s">
        <v>8278</v>
      </c>
      <c r="AE1746" s="80" t="str">
        <f>HYPERLINK("https://twitter.com/leiaflj/status/1671168661992906760")</f>
        <v>https://twitter.com/leiaflj/status/1671168661992906760</v>
      </c>
      <c r="AF1746" s="79">
        <v>45097.618425925924</v>
      </c>
      <c r="AG1746" s="85">
        <v>45097</v>
      </c>
      <c r="AH1746" s="82" t="s">
        <v>9870</v>
      </c>
      <c r="AI1746" s="77" t="b">
        <v>0</v>
      </c>
      <c r="AJ1746" s="77"/>
      <c r="AK1746" s="77"/>
      <c r="AL1746" s="77"/>
      <c r="AM1746" s="77"/>
      <c r="AN1746" s="77"/>
      <c r="AO1746" s="77"/>
      <c r="AP1746" s="77"/>
      <c r="AQ1746" s="77"/>
      <c r="AR1746" s="77"/>
      <c r="AS1746" s="77"/>
      <c r="AT1746" s="77"/>
      <c r="AU1746" s="77"/>
      <c r="AV1746" s="80" t="str">
        <f>HYPERLINK("https://pbs.twimg.com/profile_images/1620068456165933060/TShADQck_normal.jpg")</f>
        <v>https://pbs.twimg.com/profile_images/1620068456165933060/TShADQck_normal.jpg</v>
      </c>
      <c r="AW1746" s="82" t="s">
        <v>14837</v>
      </c>
      <c r="AX1746" s="82" t="s">
        <v>14837</v>
      </c>
      <c r="AY1746" s="77"/>
      <c r="AZ1746" s="82" t="s">
        <v>17385</v>
      </c>
      <c r="BA1746" s="82" t="s">
        <v>17385</v>
      </c>
      <c r="BB1746" s="82" t="s">
        <v>17385</v>
      </c>
      <c r="BC1746" s="82" t="s">
        <v>14837</v>
      </c>
      <c r="BD1746" s="82" t="s">
        <v>17557</v>
      </c>
      <c r="BE1746" s="77"/>
      <c r="BF1746" s="77"/>
      <c r="BG1746" s="77"/>
      <c r="BH1746" s="77"/>
      <c r="BI1746" s="77"/>
    </row>
    <row r="1747" spans="1:61" x14ac:dyDescent="0.25">
      <c r="A1747" s="62" t="s">
        <v>435</v>
      </c>
      <c r="B1747" s="62" t="s">
        <v>435</v>
      </c>
      <c r="C1747" s="63"/>
      <c r="D1747" s="64"/>
      <c r="E1747" s="65"/>
      <c r="F1747" s="66"/>
      <c r="G1747" s="63"/>
      <c r="H1747" s="67"/>
      <c r="I1747" s="68"/>
      <c r="J1747" s="68"/>
      <c r="K1747" s="32"/>
      <c r="L1747" s="75">
        <v>1747</v>
      </c>
      <c r="M1747" s="75"/>
      <c r="N1747" s="70"/>
      <c r="O1747" s="77" t="s">
        <v>179</v>
      </c>
      <c r="P1747" s="79">
        <v>45097.565555555557</v>
      </c>
      <c r="Q1747" s="77" t="s">
        <v>2533</v>
      </c>
      <c r="R1747" s="77">
        <v>0</v>
      </c>
      <c r="S1747" s="77">
        <v>1</v>
      </c>
      <c r="T1747" s="77">
        <v>1</v>
      </c>
      <c r="U1747" s="77">
        <v>0</v>
      </c>
      <c r="V1747" s="77">
        <v>146</v>
      </c>
      <c r="W1747" s="82" t="s">
        <v>5923</v>
      </c>
      <c r="X1747" s="77"/>
      <c r="Y1747" s="77"/>
      <c r="Z1747" s="77"/>
      <c r="AA1747" s="77"/>
      <c r="AB1747" s="77"/>
      <c r="AC1747" s="82" t="s">
        <v>8232</v>
      </c>
      <c r="AD1747" s="77" t="s">
        <v>8278</v>
      </c>
      <c r="AE1747" s="80" t="str">
        <f>HYPERLINK("https://twitter.com/leiaflj/status/1671149503339188225")</f>
        <v>https://twitter.com/leiaflj/status/1671149503339188225</v>
      </c>
      <c r="AF1747" s="79">
        <v>45097.565555555557</v>
      </c>
      <c r="AG1747" s="85">
        <v>45097</v>
      </c>
      <c r="AH1747" s="82" t="s">
        <v>9871</v>
      </c>
      <c r="AI1747" s="77" t="b">
        <v>0</v>
      </c>
      <c r="AJ1747" s="77"/>
      <c r="AK1747" s="77"/>
      <c r="AL1747" s="77"/>
      <c r="AM1747" s="77"/>
      <c r="AN1747" s="77"/>
      <c r="AO1747" s="77"/>
      <c r="AP1747" s="77"/>
      <c r="AQ1747" s="77"/>
      <c r="AR1747" s="77"/>
      <c r="AS1747" s="77"/>
      <c r="AT1747" s="77"/>
      <c r="AU1747" s="77"/>
      <c r="AV1747" s="80" t="str">
        <f>HYPERLINK("https://pbs.twimg.com/profile_images/1620068456165933060/TShADQck_normal.jpg")</f>
        <v>https://pbs.twimg.com/profile_images/1620068456165933060/TShADQck_normal.jpg</v>
      </c>
      <c r="AW1747" s="82" t="s">
        <v>14838</v>
      </c>
      <c r="AX1747" s="82" t="s">
        <v>14838</v>
      </c>
      <c r="AY1747" s="77"/>
      <c r="AZ1747" s="82" t="s">
        <v>17385</v>
      </c>
      <c r="BA1747" s="82" t="s">
        <v>17385</v>
      </c>
      <c r="BB1747" s="82" t="s">
        <v>17385</v>
      </c>
      <c r="BC1747" s="82" t="s">
        <v>14838</v>
      </c>
      <c r="BD1747" s="82" t="s">
        <v>17557</v>
      </c>
      <c r="BE1747" s="77"/>
      <c r="BF1747" s="77"/>
      <c r="BG1747" s="77"/>
      <c r="BH1747" s="77"/>
      <c r="BI1747" s="77"/>
    </row>
    <row r="1748" spans="1:61" x14ac:dyDescent="0.25">
      <c r="A1748" s="62" t="s">
        <v>435</v>
      </c>
      <c r="B1748" s="62" t="s">
        <v>435</v>
      </c>
      <c r="C1748" s="63"/>
      <c r="D1748" s="64"/>
      <c r="E1748" s="65"/>
      <c r="F1748" s="66"/>
      <c r="G1748" s="63"/>
      <c r="H1748" s="67"/>
      <c r="I1748" s="68"/>
      <c r="J1748" s="68"/>
      <c r="K1748" s="32"/>
      <c r="L1748" s="75">
        <v>1748</v>
      </c>
      <c r="M1748" s="75"/>
      <c r="N1748" s="70"/>
      <c r="O1748" s="77" t="s">
        <v>179</v>
      </c>
      <c r="P1748" s="79">
        <v>45086.491342592592</v>
      </c>
      <c r="Q1748" s="77" t="s">
        <v>2534</v>
      </c>
      <c r="R1748" s="77">
        <v>1</v>
      </c>
      <c r="S1748" s="77">
        <v>1</v>
      </c>
      <c r="T1748" s="77">
        <v>0</v>
      </c>
      <c r="U1748" s="77">
        <v>0</v>
      </c>
      <c r="V1748" s="77">
        <v>203</v>
      </c>
      <c r="W1748" s="82" t="s">
        <v>5924</v>
      </c>
      <c r="X1748" s="80" t="str">
        <f>HYPERLINK("https://flj.com.br/noticia/aura-minerals-aura33-vai-pagar-us-10-milhoes-em-dividendos")</f>
        <v>https://flj.com.br/noticia/aura-minerals-aura33-vai-pagar-us-10-milhoes-em-dividendos</v>
      </c>
      <c r="Y1748" s="77" t="s">
        <v>7053</v>
      </c>
      <c r="Z1748" s="77"/>
      <c r="AA1748" s="77"/>
      <c r="AB1748" s="77"/>
      <c r="AC1748" s="82" t="s">
        <v>8232</v>
      </c>
      <c r="AD1748" s="77" t="s">
        <v>8278</v>
      </c>
      <c r="AE1748" s="80" t="str">
        <f>HYPERLINK("https://twitter.com/leiaflj/status/1667136343988740097")</f>
        <v>https://twitter.com/leiaflj/status/1667136343988740097</v>
      </c>
      <c r="AF1748" s="79">
        <v>45086.491342592592</v>
      </c>
      <c r="AG1748" s="85">
        <v>45086</v>
      </c>
      <c r="AH1748" s="82" t="s">
        <v>9872</v>
      </c>
      <c r="AI1748" s="77" t="b">
        <v>0</v>
      </c>
      <c r="AJ1748" s="77"/>
      <c r="AK1748" s="77"/>
      <c r="AL1748" s="77"/>
      <c r="AM1748" s="77"/>
      <c r="AN1748" s="77"/>
      <c r="AO1748" s="77"/>
      <c r="AP1748" s="77"/>
      <c r="AQ1748" s="77"/>
      <c r="AR1748" s="77"/>
      <c r="AS1748" s="77"/>
      <c r="AT1748" s="77"/>
      <c r="AU1748" s="77"/>
      <c r="AV1748" s="80" t="str">
        <f>HYPERLINK("https://pbs.twimg.com/profile_images/1620068456165933060/TShADQck_normal.jpg")</f>
        <v>https://pbs.twimg.com/profile_images/1620068456165933060/TShADQck_normal.jpg</v>
      </c>
      <c r="AW1748" s="82" t="s">
        <v>14839</v>
      </c>
      <c r="AX1748" s="82" t="s">
        <v>14839</v>
      </c>
      <c r="AY1748" s="77"/>
      <c r="AZ1748" s="82" t="s">
        <v>17385</v>
      </c>
      <c r="BA1748" s="82" t="s">
        <v>17385</v>
      </c>
      <c r="BB1748" s="82" t="s">
        <v>17385</v>
      </c>
      <c r="BC1748" s="82" t="s">
        <v>14839</v>
      </c>
      <c r="BD1748" s="82" t="s">
        <v>17557</v>
      </c>
      <c r="BE1748" s="77"/>
      <c r="BF1748" s="77"/>
      <c r="BG1748" s="77"/>
      <c r="BH1748" s="77"/>
      <c r="BI1748" s="77"/>
    </row>
    <row r="1749" spans="1:61" x14ac:dyDescent="0.25">
      <c r="A1749" s="62" t="s">
        <v>435</v>
      </c>
      <c r="B1749" s="62" t="s">
        <v>435</v>
      </c>
      <c r="C1749" s="63"/>
      <c r="D1749" s="64"/>
      <c r="E1749" s="65"/>
      <c r="F1749" s="66"/>
      <c r="G1749" s="63"/>
      <c r="H1749" s="67"/>
      <c r="I1749" s="68"/>
      <c r="J1749" s="68"/>
      <c r="K1749" s="32"/>
      <c r="L1749" s="75">
        <v>1749</v>
      </c>
      <c r="M1749" s="75"/>
      <c r="N1749" s="70"/>
      <c r="O1749" s="77" t="s">
        <v>179</v>
      </c>
      <c r="P1749" s="79">
        <v>45086.456944444442</v>
      </c>
      <c r="Q1749" s="77" t="s">
        <v>2535</v>
      </c>
      <c r="R1749" s="77">
        <v>1</v>
      </c>
      <c r="S1749" s="77">
        <v>1</v>
      </c>
      <c r="T1749" s="77">
        <v>0</v>
      </c>
      <c r="U1749" s="77">
        <v>0</v>
      </c>
      <c r="V1749" s="77">
        <v>213</v>
      </c>
      <c r="W1749" s="82" t="s">
        <v>5925</v>
      </c>
      <c r="X1749" s="80" t="str">
        <f>HYPERLINK("https://flj.com.br/noticia/mercado-faz-ajuste-apos-maxima-do-s-p-500-minerio-de-ferro-sobe")</f>
        <v>https://flj.com.br/noticia/mercado-faz-ajuste-apos-maxima-do-s-p-500-minerio-de-ferro-sobe</v>
      </c>
      <c r="Y1749" s="77" t="s">
        <v>7053</v>
      </c>
      <c r="Z1749" s="77"/>
      <c r="AA1749" s="77"/>
      <c r="AB1749" s="77"/>
      <c r="AC1749" s="82" t="s">
        <v>8232</v>
      </c>
      <c r="AD1749" s="77" t="s">
        <v>8278</v>
      </c>
      <c r="AE1749" s="80" t="str">
        <f>HYPERLINK("https://twitter.com/leiaflj/status/1667123877783191553")</f>
        <v>https://twitter.com/leiaflj/status/1667123877783191553</v>
      </c>
      <c r="AF1749" s="79">
        <v>45086.456944444442</v>
      </c>
      <c r="AG1749" s="85">
        <v>45086</v>
      </c>
      <c r="AH1749" s="82" t="s">
        <v>9873</v>
      </c>
      <c r="AI1749" s="77" t="b">
        <v>0</v>
      </c>
      <c r="AJ1749" s="77"/>
      <c r="AK1749" s="77"/>
      <c r="AL1749" s="77"/>
      <c r="AM1749" s="77"/>
      <c r="AN1749" s="77"/>
      <c r="AO1749" s="77"/>
      <c r="AP1749" s="77"/>
      <c r="AQ1749" s="77"/>
      <c r="AR1749" s="77"/>
      <c r="AS1749" s="77"/>
      <c r="AT1749" s="77"/>
      <c r="AU1749" s="77"/>
      <c r="AV1749" s="80" t="str">
        <f>HYPERLINK("https://pbs.twimg.com/profile_images/1620068456165933060/TShADQck_normal.jpg")</f>
        <v>https://pbs.twimg.com/profile_images/1620068456165933060/TShADQck_normal.jpg</v>
      </c>
      <c r="AW1749" s="82" t="s">
        <v>14840</v>
      </c>
      <c r="AX1749" s="82" t="s">
        <v>14840</v>
      </c>
      <c r="AY1749" s="77"/>
      <c r="AZ1749" s="82" t="s">
        <v>17385</v>
      </c>
      <c r="BA1749" s="82" t="s">
        <v>17385</v>
      </c>
      <c r="BB1749" s="82" t="s">
        <v>17385</v>
      </c>
      <c r="BC1749" s="82" t="s">
        <v>14840</v>
      </c>
      <c r="BD1749" s="82" t="s">
        <v>17557</v>
      </c>
      <c r="BE1749" s="77"/>
      <c r="BF1749" s="77"/>
      <c r="BG1749" s="77"/>
      <c r="BH1749" s="77"/>
      <c r="BI1749" s="77"/>
    </row>
    <row r="1750" spans="1:61" x14ac:dyDescent="0.25">
      <c r="A1750" s="62" t="s">
        <v>435</v>
      </c>
      <c r="B1750" s="62" t="s">
        <v>435</v>
      </c>
      <c r="C1750" s="63"/>
      <c r="D1750" s="64"/>
      <c r="E1750" s="65"/>
      <c r="F1750" s="66"/>
      <c r="G1750" s="63"/>
      <c r="H1750" s="67"/>
      <c r="I1750" s="68"/>
      <c r="J1750" s="68"/>
      <c r="K1750" s="32"/>
      <c r="L1750" s="75">
        <v>1750</v>
      </c>
      <c r="M1750" s="75"/>
      <c r="N1750" s="70"/>
      <c r="O1750" s="77" t="s">
        <v>179</v>
      </c>
      <c r="P1750" s="79">
        <v>45086.446597222224</v>
      </c>
      <c r="Q1750" s="77" t="s">
        <v>2536</v>
      </c>
      <c r="R1750" s="77">
        <v>1</v>
      </c>
      <c r="S1750" s="77">
        <v>1</v>
      </c>
      <c r="T1750" s="77">
        <v>0</v>
      </c>
      <c r="U1750" s="77">
        <v>0</v>
      </c>
      <c r="V1750" s="77">
        <v>169</v>
      </c>
      <c r="W1750" s="82" t="s">
        <v>5926</v>
      </c>
      <c r="X1750" s="80" t="str">
        <f>HYPERLINK("https://flj.com.br/noticia/cvc-cvb3-contrata-citi-e-itau-bba-para-fazer-oferta-de-acoes")</f>
        <v>https://flj.com.br/noticia/cvc-cvb3-contrata-citi-e-itau-bba-para-fazer-oferta-de-acoes</v>
      </c>
      <c r="Y1750" s="77" t="s">
        <v>7053</v>
      </c>
      <c r="Z1750" s="77"/>
      <c r="AA1750" s="77"/>
      <c r="AB1750" s="77"/>
      <c r="AC1750" s="82" t="s">
        <v>8232</v>
      </c>
      <c r="AD1750" s="77" t="s">
        <v>8278</v>
      </c>
      <c r="AE1750" s="80" t="str">
        <f>HYPERLINK("https://twitter.com/leiaflj/status/1667120127299469317")</f>
        <v>https://twitter.com/leiaflj/status/1667120127299469317</v>
      </c>
      <c r="AF1750" s="79">
        <v>45086.446597222224</v>
      </c>
      <c r="AG1750" s="85">
        <v>45086</v>
      </c>
      <c r="AH1750" s="82" t="s">
        <v>9874</v>
      </c>
      <c r="AI1750" s="77" t="b">
        <v>0</v>
      </c>
      <c r="AJ1750" s="77"/>
      <c r="AK1750" s="77"/>
      <c r="AL1750" s="77"/>
      <c r="AM1750" s="77"/>
      <c r="AN1750" s="77"/>
      <c r="AO1750" s="77"/>
      <c r="AP1750" s="77"/>
      <c r="AQ1750" s="77"/>
      <c r="AR1750" s="77"/>
      <c r="AS1750" s="77"/>
      <c r="AT1750" s="77"/>
      <c r="AU1750" s="77"/>
      <c r="AV1750" s="80" t="str">
        <f>HYPERLINK("https://pbs.twimg.com/profile_images/1620068456165933060/TShADQck_normal.jpg")</f>
        <v>https://pbs.twimg.com/profile_images/1620068456165933060/TShADQck_normal.jpg</v>
      </c>
      <c r="AW1750" s="82" t="s">
        <v>14841</v>
      </c>
      <c r="AX1750" s="82" t="s">
        <v>14841</v>
      </c>
      <c r="AY1750" s="77"/>
      <c r="AZ1750" s="82" t="s">
        <v>17385</v>
      </c>
      <c r="BA1750" s="82" t="s">
        <v>17385</v>
      </c>
      <c r="BB1750" s="82" t="s">
        <v>17385</v>
      </c>
      <c r="BC1750" s="82" t="s">
        <v>14841</v>
      </c>
      <c r="BD1750" s="82" t="s">
        <v>17557</v>
      </c>
      <c r="BE1750" s="77"/>
      <c r="BF1750" s="77"/>
      <c r="BG1750" s="77"/>
      <c r="BH1750" s="77"/>
      <c r="BI1750" s="77"/>
    </row>
    <row r="1751" spans="1:61" x14ac:dyDescent="0.25">
      <c r="A1751" s="62" t="s">
        <v>435</v>
      </c>
      <c r="B1751" s="62" t="s">
        <v>435</v>
      </c>
      <c r="C1751" s="63"/>
      <c r="D1751" s="64"/>
      <c r="E1751" s="65"/>
      <c r="F1751" s="66"/>
      <c r="G1751" s="63"/>
      <c r="H1751" s="67"/>
      <c r="I1751" s="68"/>
      <c r="J1751" s="68"/>
      <c r="K1751" s="32"/>
      <c r="L1751" s="75">
        <v>1751</v>
      </c>
      <c r="M1751" s="75"/>
      <c r="N1751" s="70"/>
      <c r="O1751" s="77" t="s">
        <v>179</v>
      </c>
      <c r="P1751" s="79">
        <v>45072.572280092594</v>
      </c>
      <c r="Q1751" s="77" t="s">
        <v>2537</v>
      </c>
      <c r="R1751" s="77">
        <v>0</v>
      </c>
      <c r="S1751" s="77">
        <v>1</v>
      </c>
      <c r="T1751" s="77">
        <v>0</v>
      </c>
      <c r="U1751" s="77">
        <v>0</v>
      </c>
      <c r="V1751" s="77">
        <v>103</v>
      </c>
      <c r="W1751" s="82" t="s">
        <v>5927</v>
      </c>
      <c r="X1751" s="80" t="str">
        <f>HYPERLINK("https://flj.com.br/noticia/azul-azul4-e-gol-goll4-devem-decolar-apos-receberem-isencao-de-impostos")</f>
        <v>https://flj.com.br/noticia/azul-azul4-e-gol-goll4-devem-decolar-apos-receberem-isencao-de-impostos</v>
      </c>
      <c r="Y1751" s="77" t="s">
        <v>7053</v>
      </c>
      <c r="Z1751" s="77"/>
      <c r="AA1751" s="77"/>
      <c r="AB1751" s="77"/>
      <c r="AC1751" s="82" t="s">
        <v>8232</v>
      </c>
      <c r="AD1751" s="77" t="s">
        <v>8278</v>
      </c>
      <c r="AE1751" s="80" t="str">
        <f>HYPERLINK("https://twitter.com/leiaflj/status/1662092241005887488")</f>
        <v>https://twitter.com/leiaflj/status/1662092241005887488</v>
      </c>
      <c r="AF1751" s="79">
        <v>45072.572280092594</v>
      </c>
      <c r="AG1751" s="85">
        <v>45072</v>
      </c>
      <c r="AH1751" s="82" t="s">
        <v>9875</v>
      </c>
      <c r="AI1751" s="77" t="b">
        <v>0</v>
      </c>
      <c r="AJ1751" s="77"/>
      <c r="AK1751" s="77"/>
      <c r="AL1751" s="77"/>
      <c r="AM1751" s="77"/>
      <c r="AN1751" s="77"/>
      <c r="AO1751" s="77"/>
      <c r="AP1751" s="77"/>
      <c r="AQ1751" s="77"/>
      <c r="AR1751" s="77"/>
      <c r="AS1751" s="77"/>
      <c r="AT1751" s="77"/>
      <c r="AU1751" s="77"/>
      <c r="AV1751" s="80" t="str">
        <f>HYPERLINK("https://pbs.twimg.com/profile_images/1620068456165933060/TShADQck_normal.jpg")</f>
        <v>https://pbs.twimg.com/profile_images/1620068456165933060/TShADQck_normal.jpg</v>
      </c>
      <c r="AW1751" s="82" t="s">
        <v>14842</v>
      </c>
      <c r="AX1751" s="82" t="s">
        <v>14842</v>
      </c>
      <c r="AY1751" s="77"/>
      <c r="AZ1751" s="82" t="s">
        <v>17385</v>
      </c>
      <c r="BA1751" s="82" t="s">
        <v>17385</v>
      </c>
      <c r="BB1751" s="82" t="s">
        <v>17385</v>
      </c>
      <c r="BC1751" s="82" t="s">
        <v>14842</v>
      </c>
      <c r="BD1751" s="82" t="s">
        <v>17557</v>
      </c>
      <c r="BE1751" s="77"/>
      <c r="BF1751" s="77"/>
      <c r="BG1751" s="77"/>
      <c r="BH1751" s="77"/>
      <c r="BI1751" s="77"/>
    </row>
    <row r="1752" spans="1:61" x14ac:dyDescent="0.25">
      <c r="A1752" s="62" t="s">
        <v>435</v>
      </c>
      <c r="B1752" s="62" t="s">
        <v>435</v>
      </c>
      <c r="C1752" s="63"/>
      <c r="D1752" s="64"/>
      <c r="E1752" s="65"/>
      <c r="F1752" s="66"/>
      <c r="G1752" s="63"/>
      <c r="H1752" s="67"/>
      <c r="I1752" s="68"/>
      <c r="J1752" s="68"/>
      <c r="K1752" s="32"/>
      <c r="L1752" s="75">
        <v>1752</v>
      </c>
      <c r="M1752" s="75"/>
      <c r="N1752" s="70"/>
      <c r="O1752" s="77" t="s">
        <v>179</v>
      </c>
      <c r="P1752" s="79">
        <v>45071.625439814816</v>
      </c>
      <c r="Q1752" s="77" t="s">
        <v>2538</v>
      </c>
      <c r="R1752" s="77">
        <v>0</v>
      </c>
      <c r="S1752" s="77">
        <v>1</v>
      </c>
      <c r="T1752" s="77">
        <v>0</v>
      </c>
      <c r="U1752" s="77">
        <v>0</v>
      </c>
      <c r="V1752" s="77">
        <v>113</v>
      </c>
      <c r="W1752" s="82" t="s">
        <v>5928</v>
      </c>
      <c r="X1752" s="80" t="str">
        <f>HYPERLINK("https://flj.com.br/noticia/vivo-vivt3-e-acao-favorita-do-santander-para-o-setor-telecomunicacao-veja-o-motivo")</f>
        <v>https://flj.com.br/noticia/vivo-vivt3-e-acao-favorita-do-santander-para-o-setor-telecomunicacao-veja-o-motivo</v>
      </c>
      <c r="Y1752" s="77" t="s">
        <v>7053</v>
      </c>
      <c r="Z1752" s="77"/>
      <c r="AA1752" s="77"/>
      <c r="AB1752" s="77"/>
      <c r="AC1752" s="82" t="s">
        <v>8232</v>
      </c>
      <c r="AD1752" s="77" t="s">
        <v>8278</v>
      </c>
      <c r="AE1752" s="80" t="str">
        <f>HYPERLINK("https://twitter.com/leiaflj/status/1661749117432004608")</f>
        <v>https://twitter.com/leiaflj/status/1661749117432004608</v>
      </c>
      <c r="AF1752" s="79">
        <v>45071.625439814816</v>
      </c>
      <c r="AG1752" s="85">
        <v>45071</v>
      </c>
      <c r="AH1752" s="82" t="s">
        <v>9876</v>
      </c>
      <c r="AI1752" s="77" t="b">
        <v>0</v>
      </c>
      <c r="AJ1752" s="77"/>
      <c r="AK1752" s="77"/>
      <c r="AL1752" s="77"/>
      <c r="AM1752" s="77"/>
      <c r="AN1752" s="77"/>
      <c r="AO1752" s="77"/>
      <c r="AP1752" s="77"/>
      <c r="AQ1752" s="77"/>
      <c r="AR1752" s="77"/>
      <c r="AS1752" s="77"/>
      <c r="AT1752" s="77"/>
      <c r="AU1752" s="77"/>
      <c r="AV1752" s="80" t="str">
        <f>HYPERLINK("https://pbs.twimg.com/profile_images/1620068456165933060/TShADQck_normal.jpg")</f>
        <v>https://pbs.twimg.com/profile_images/1620068456165933060/TShADQck_normal.jpg</v>
      </c>
      <c r="AW1752" s="82" t="s">
        <v>14843</v>
      </c>
      <c r="AX1752" s="82" t="s">
        <v>14843</v>
      </c>
      <c r="AY1752" s="77"/>
      <c r="AZ1752" s="82" t="s">
        <v>17385</v>
      </c>
      <c r="BA1752" s="82" t="s">
        <v>17385</v>
      </c>
      <c r="BB1752" s="82" t="s">
        <v>17385</v>
      </c>
      <c r="BC1752" s="82" t="s">
        <v>14843</v>
      </c>
      <c r="BD1752" s="82" t="s">
        <v>17557</v>
      </c>
      <c r="BE1752" s="77"/>
      <c r="BF1752" s="77"/>
      <c r="BG1752" s="77"/>
      <c r="BH1752" s="77"/>
      <c r="BI1752" s="77"/>
    </row>
    <row r="1753" spans="1:61" x14ac:dyDescent="0.25">
      <c r="A1753" s="62" t="s">
        <v>435</v>
      </c>
      <c r="B1753" s="62" t="s">
        <v>435</v>
      </c>
      <c r="C1753" s="63"/>
      <c r="D1753" s="64"/>
      <c r="E1753" s="65"/>
      <c r="F1753" s="66"/>
      <c r="G1753" s="63"/>
      <c r="H1753" s="67"/>
      <c r="I1753" s="68"/>
      <c r="J1753" s="68"/>
      <c r="K1753" s="32"/>
      <c r="L1753" s="75">
        <v>1753</v>
      </c>
      <c r="M1753" s="75"/>
      <c r="N1753" s="70"/>
      <c r="O1753" s="77" t="s">
        <v>179</v>
      </c>
      <c r="P1753" s="79">
        <v>45071.560208333336</v>
      </c>
      <c r="Q1753" s="77" t="s">
        <v>2539</v>
      </c>
      <c r="R1753" s="77">
        <v>0</v>
      </c>
      <c r="S1753" s="77">
        <v>0</v>
      </c>
      <c r="T1753" s="77">
        <v>0</v>
      </c>
      <c r="U1753" s="77">
        <v>0</v>
      </c>
      <c r="V1753" s="77">
        <v>105</v>
      </c>
      <c r="W1753" s="82" t="s">
        <v>5929</v>
      </c>
      <c r="X1753" s="80" t="str">
        <f>HYPERLINK("https://flj.com.br/noticia/credit-suisse-rebaixa-recomendacao-da-csn-csna3-de-compra-para-neutra")</f>
        <v>https://flj.com.br/noticia/credit-suisse-rebaixa-recomendacao-da-csn-csna3-de-compra-para-neutra</v>
      </c>
      <c r="Y1753" s="77" t="s">
        <v>7053</v>
      </c>
      <c r="Z1753" s="77"/>
      <c r="AA1753" s="77"/>
      <c r="AB1753" s="77"/>
      <c r="AC1753" s="82" t="s">
        <v>8232</v>
      </c>
      <c r="AD1753" s="77" t="s">
        <v>8278</v>
      </c>
      <c r="AE1753" s="80" t="str">
        <f>HYPERLINK("https://twitter.com/leiaflj/status/1661725478510575616")</f>
        <v>https://twitter.com/leiaflj/status/1661725478510575616</v>
      </c>
      <c r="AF1753" s="79">
        <v>45071.560208333336</v>
      </c>
      <c r="AG1753" s="85">
        <v>45071</v>
      </c>
      <c r="AH1753" s="82" t="s">
        <v>9877</v>
      </c>
      <c r="AI1753" s="77" t="b">
        <v>0</v>
      </c>
      <c r="AJ1753" s="77"/>
      <c r="AK1753" s="77"/>
      <c r="AL1753" s="77"/>
      <c r="AM1753" s="77"/>
      <c r="AN1753" s="77"/>
      <c r="AO1753" s="77"/>
      <c r="AP1753" s="77"/>
      <c r="AQ1753" s="77"/>
      <c r="AR1753" s="77"/>
      <c r="AS1753" s="77"/>
      <c r="AT1753" s="77"/>
      <c r="AU1753" s="77"/>
      <c r="AV1753" s="80" t="str">
        <f>HYPERLINK("https://pbs.twimg.com/profile_images/1620068456165933060/TShADQck_normal.jpg")</f>
        <v>https://pbs.twimg.com/profile_images/1620068456165933060/TShADQck_normal.jpg</v>
      </c>
      <c r="AW1753" s="82" t="s">
        <v>14844</v>
      </c>
      <c r="AX1753" s="82" t="s">
        <v>14844</v>
      </c>
      <c r="AY1753" s="77"/>
      <c r="AZ1753" s="82" t="s">
        <v>17385</v>
      </c>
      <c r="BA1753" s="82" t="s">
        <v>17385</v>
      </c>
      <c r="BB1753" s="82" t="s">
        <v>17385</v>
      </c>
      <c r="BC1753" s="82" t="s">
        <v>14844</v>
      </c>
      <c r="BD1753" s="82" t="s">
        <v>17557</v>
      </c>
      <c r="BE1753" s="77"/>
      <c r="BF1753" s="77"/>
      <c r="BG1753" s="77"/>
      <c r="BH1753" s="77"/>
      <c r="BI1753" s="77"/>
    </row>
    <row r="1754" spans="1:61" x14ac:dyDescent="0.25">
      <c r="A1754" s="62" t="s">
        <v>435</v>
      </c>
      <c r="B1754" s="62" t="s">
        <v>435</v>
      </c>
      <c r="C1754" s="63"/>
      <c r="D1754" s="64"/>
      <c r="E1754" s="65"/>
      <c r="F1754" s="66"/>
      <c r="G1754" s="63"/>
      <c r="H1754" s="67"/>
      <c r="I1754" s="68"/>
      <c r="J1754" s="68"/>
      <c r="K1754" s="32"/>
      <c r="L1754" s="75">
        <v>1754</v>
      </c>
      <c r="M1754" s="75"/>
      <c r="N1754" s="70"/>
      <c r="O1754" s="77" t="s">
        <v>179</v>
      </c>
      <c r="P1754" s="79">
        <v>45071.532430555555</v>
      </c>
      <c r="Q1754" s="77" t="s">
        <v>2540</v>
      </c>
      <c r="R1754" s="77">
        <v>1</v>
      </c>
      <c r="S1754" s="77">
        <v>0</v>
      </c>
      <c r="T1754" s="77">
        <v>0</v>
      </c>
      <c r="U1754" s="77">
        <v>0</v>
      </c>
      <c r="V1754" s="77">
        <v>167</v>
      </c>
      <c r="W1754" s="82" t="s">
        <v>5930</v>
      </c>
      <c r="X1754" s="80" t="str">
        <f>HYPERLINK("https://flj.com.br/noticia/cvc-cvcb3-renuncia-de-ceo-deve-atrasar-ainda-mais-a-recuperacao-da-empresa-dizem-analistas")</f>
        <v>https://flj.com.br/noticia/cvc-cvcb3-renuncia-de-ceo-deve-atrasar-ainda-mais-a-recuperacao-da-empresa-dizem-analistas</v>
      </c>
      <c r="Y1754" s="77" t="s">
        <v>7053</v>
      </c>
      <c r="Z1754" s="77"/>
      <c r="AA1754" s="77"/>
      <c r="AB1754" s="77"/>
      <c r="AC1754" s="82" t="s">
        <v>8232</v>
      </c>
      <c r="AD1754" s="77" t="s">
        <v>8278</v>
      </c>
      <c r="AE1754" s="80" t="str">
        <f>HYPERLINK("https://twitter.com/leiaflj/status/1661715412684357633")</f>
        <v>https://twitter.com/leiaflj/status/1661715412684357633</v>
      </c>
      <c r="AF1754" s="79">
        <v>45071.532430555555</v>
      </c>
      <c r="AG1754" s="85">
        <v>45071</v>
      </c>
      <c r="AH1754" s="82" t="s">
        <v>9878</v>
      </c>
      <c r="AI1754" s="77" t="b">
        <v>0</v>
      </c>
      <c r="AJ1754" s="77"/>
      <c r="AK1754" s="77"/>
      <c r="AL1754" s="77"/>
      <c r="AM1754" s="77"/>
      <c r="AN1754" s="77"/>
      <c r="AO1754" s="77"/>
      <c r="AP1754" s="77"/>
      <c r="AQ1754" s="77"/>
      <c r="AR1754" s="77"/>
      <c r="AS1754" s="77"/>
      <c r="AT1754" s="77"/>
      <c r="AU1754" s="77"/>
      <c r="AV1754" s="80" t="str">
        <f>HYPERLINK("https://pbs.twimg.com/profile_images/1620068456165933060/TShADQck_normal.jpg")</f>
        <v>https://pbs.twimg.com/profile_images/1620068456165933060/TShADQck_normal.jpg</v>
      </c>
      <c r="AW1754" s="82" t="s">
        <v>14845</v>
      </c>
      <c r="AX1754" s="82" t="s">
        <v>14845</v>
      </c>
      <c r="AY1754" s="77"/>
      <c r="AZ1754" s="82" t="s">
        <v>17385</v>
      </c>
      <c r="BA1754" s="82" t="s">
        <v>17385</v>
      </c>
      <c r="BB1754" s="82" t="s">
        <v>17385</v>
      </c>
      <c r="BC1754" s="82" t="s">
        <v>14845</v>
      </c>
      <c r="BD1754" s="82" t="s">
        <v>17557</v>
      </c>
      <c r="BE1754" s="77"/>
      <c r="BF1754" s="77"/>
      <c r="BG1754" s="77"/>
      <c r="BH1754" s="77"/>
      <c r="BI1754" s="77"/>
    </row>
    <row r="1755" spans="1:61" x14ac:dyDescent="0.25">
      <c r="A1755" s="62" t="s">
        <v>435</v>
      </c>
      <c r="B1755" s="62" t="s">
        <v>435</v>
      </c>
      <c r="C1755" s="63"/>
      <c r="D1755" s="64"/>
      <c r="E1755" s="65"/>
      <c r="F1755" s="66"/>
      <c r="G1755" s="63"/>
      <c r="H1755" s="67"/>
      <c r="I1755" s="68"/>
      <c r="J1755" s="68"/>
      <c r="K1755" s="32"/>
      <c r="L1755" s="75">
        <v>1755</v>
      </c>
      <c r="M1755" s="75"/>
      <c r="N1755" s="70"/>
      <c r="O1755" s="77" t="s">
        <v>179</v>
      </c>
      <c r="P1755" s="79">
        <v>45070.844155092593</v>
      </c>
      <c r="Q1755" s="77" t="s">
        <v>2541</v>
      </c>
      <c r="R1755" s="77">
        <v>0</v>
      </c>
      <c r="S1755" s="77">
        <v>1</v>
      </c>
      <c r="T1755" s="77">
        <v>0</v>
      </c>
      <c r="U1755" s="77">
        <v>0</v>
      </c>
      <c r="V1755" s="77">
        <v>99</v>
      </c>
      <c r="W1755" s="82" t="s">
        <v>5931</v>
      </c>
      <c r="X1755" s="80" t="str">
        <f>HYPERLINK("https://flj.com.br/noticia/sob-protesto-de-marina-aliados-do-governo-no-congresso-articulam-esvaziar-poderes-do-ministerio-do-meio-ambiente")</f>
        <v>https://flj.com.br/noticia/sob-protesto-de-marina-aliados-do-governo-no-congresso-articulam-esvaziar-poderes-do-ministerio-do-meio-ambiente</v>
      </c>
      <c r="Y1755" s="77" t="s">
        <v>7053</v>
      </c>
      <c r="Z1755" s="77"/>
      <c r="AA1755" s="77"/>
      <c r="AB1755" s="77"/>
      <c r="AC1755" s="82" t="s">
        <v>8232</v>
      </c>
      <c r="AD1755" s="77" t="s">
        <v>8278</v>
      </c>
      <c r="AE1755" s="80" t="str">
        <f>HYPERLINK("https://twitter.com/leiaflj/status/1661465992088649730")</f>
        <v>https://twitter.com/leiaflj/status/1661465992088649730</v>
      </c>
      <c r="AF1755" s="79">
        <v>45070.844155092593</v>
      </c>
      <c r="AG1755" s="85">
        <v>45070</v>
      </c>
      <c r="AH1755" s="82" t="s">
        <v>9610</v>
      </c>
      <c r="AI1755" s="77" t="b">
        <v>0</v>
      </c>
      <c r="AJ1755" s="77"/>
      <c r="AK1755" s="77"/>
      <c r="AL1755" s="77"/>
      <c r="AM1755" s="77"/>
      <c r="AN1755" s="77"/>
      <c r="AO1755" s="77"/>
      <c r="AP1755" s="77"/>
      <c r="AQ1755" s="77"/>
      <c r="AR1755" s="77"/>
      <c r="AS1755" s="77"/>
      <c r="AT1755" s="77"/>
      <c r="AU1755" s="77"/>
      <c r="AV1755" s="80" t="str">
        <f>HYPERLINK("https://pbs.twimg.com/profile_images/1620068456165933060/TShADQck_normal.jpg")</f>
        <v>https://pbs.twimg.com/profile_images/1620068456165933060/TShADQck_normal.jpg</v>
      </c>
      <c r="AW1755" s="82" t="s">
        <v>14846</v>
      </c>
      <c r="AX1755" s="82" t="s">
        <v>14846</v>
      </c>
      <c r="AY1755" s="77"/>
      <c r="AZ1755" s="82" t="s">
        <v>17385</v>
      </c>
      <c r="BA1755" s="82" t="s">
        <v>17385</v>
      </c>
      <c r="BB1755" s="82" t="s">
        <v>17385</v>
      </c>
      <c r="BC1755" s="82" t="s">
        <v>14846</v>
      </c>
      <c r="BD1755" s="82" t="s">
        <v>17557</v>
      </c>
      <c r="BE1755" s="77"/>
      <c r="BF1755" s="77"/>
      <c r="BG1755" s="77"/>
      <c r="BH1755" s="77"/>
      <c r="BI1755" s="77"/>
    </row>
    <row r="1756" spans="1:61" x14ac:dyDescent="0.25">
      <c r="A1756" s="62" t="s">
        <v>435</v>
      </c>
      <c r="B1756" s="62" t="s">
        <v>435</v>
      </c>
      <c r="C1756" s="63"/>
      <c r="D1756" s="64"/>
      <c r="E1756" s="65"/>
      <c r="F1756" s="66"/>
      <c r="G1756" s="63"/>
      <c r="H1756" s="67"/>
      <c r="I1756" s="68"/>
      <c r="J1756" s="68"/>
      <c r="K1756" s="32"/>
      <c r="L1756" s="75">
        <v>1756</v>
      </c>
      <c r="M1756" s="75"/>
      <c r="N1756" s="70"/>
      <c r="O1756" s="77" t="s">
        <v>179</v>
      </c>
      <c r="P1756" s="79">
        <v>45165.500023148146</v>
      </c>
      <c r="Q1756" s="77" t="s">
        <v>2542</v>
      </c>
      <c r="R1756" s="77">
        <v>0</v>
      </c>
      <c r="S1756" s="77">
        <v>1</v>
      </c>
      <c r="T1756" s="77">
        <v>0</v>
      </c>
      <c r="U1756" s="77">
        <v>0</v>
      </c>
      <c r="V1756" s="77">
        <v>137</v>
      </c>
      <c r="W1756" s="82" t="s">
        <v>5907</v>
      </c>
      <c r="X1756" s="80" t="str">
        <f>HYPERLINK("https://flj.com.br/")</f>
        <v>https://flj.com.br/</v>
      </c>
      <c r="Y1756" s="77" t="s">
        <v>7053</v>
      </c>
      <c r="Z1756" s="77"/>
      <c r="AA1756" s="77" t="s">
        <v>7895</v>
      </c>
      <c r="AB1756" s="77" t="s">
        <v>8229</v>
      </c>
      <c r="AC1756" s="82" t="s">
        <v>8232</v>
      </c>
      <c r="AD1756" s="77" t="s">
        <v>8278</v>
      </c>
      <c r="AE1756" s="80" t="str">
        <f>HYPERLINK("https://twitter.com/leiaflj/status/1695768127521309088")</f>
        <v>https://twitter.com/leiaflj/status/1695768127521309088</v>
      </c>
      <c r="AF1756" s="79">
        <v>45165.500023148146</v>
      </c>
      <c r="AG1756" s="85">
        <v>45165</v>
      </c>
      <c r="AH1756" s="82" t="s">
        <v>8594</v>
      </c>
      <c r="AI1756" s="77" t="b">
        <v>0</v>
      </c>
      <c r="AJ1756" s="77"/>
      <c r="AK1756" s="77"/>
      <c r="AL1756" s="77"/>
      <c r="AM1756" s="77"/>
      <c r="AN1756" s="77"/>
      <c r="AO1756" s="77"/>
      <c r="AP1756" s="77"/>
      <c r="AQ1756" s="77" t="s">
        <v>12780</v>
      </c>
      <c r="AR1756" s="77"/>
      <c r="AS1756" s="77"/>
      <c r="AT1756" s="77"/>
      <c r="AU1756" s="77"/>
      <c r="AV1756" s="80" t="str">
        <f>HYPERLINK("https://pbs.twimg.com/media/F4ZrOjTWEAA9v7m.jpg")</f>
        <v>https://pbs.twimg.com/media/F4ZrOjTWEAA9v7m.jpg</v>
      </c>
      <c r="AW1756" s="82" t="s">
        <v>14847</v>
      </c>
      <c r="AX1756" s="82" t="s">
        <v>14847</v>
      </c>
      <c r="AY1756" s="77"/>
      <c r="AZ1756" s="82" t="s">
        <v>17385</v>
      </c>
      <c r="BA1756" s="82" t="s">
        <v>17385</v>
      </c>
      <c r="BB1756" s="82" t="s">
        <v>17385</v>
      </c>
      <c r="BC1756" s="82" t="s">
        <v>14847</v>
      </c>
      <c r="BD1756" s="82" t="s">
        <v>17557</v>
      </c>
      <c r="BE1756" s="77"/>
      <c r="BF1756" s="77"/>
      <c r="BG1756" s="77"/>
      <c r="BH1756" s="77"/>
      <c r="BI1756" s="77"/>
    </row>
    <row r="1757" spans="1:61" x14ac:dyDescent="0.25">
      <c r="A1757" s="62" t="s">
        <v>435</v>
      </c>
      <c r="B1757" s="62" t="s">
        <v>435</v>
      </c>
      <c r="C1757" s="63"/>
      <c r="D1757" s="64"/>
      <c r="E1757" s="65"/>
      <c r="F1757" s="66"/>
      <c r="G1757" s="63"/>
      <c r="H1757" s="67"/>
      <c r="I1757" s="68"/>
      <c r="J1757" s="68"/>
      <c r="K1757" s="32"/>
      <c r="L1757" s="75">
        <v>1757</v>
      </c>
      <c r="M1757" s="75"/>
      <c r="N1757" s="70"/>
      <c r="O1757" s="77" t="s">
        <v>179</v>
      </c>
      <c r="P1757" s="79">
        <v>45156.663530092592</v>
      </c>
      <c r="Q1757" s="77" t="s">
        <v>2543</v>
      </c>
      <c r="R1757" s="77">
        <v>0</v>
      </c>
      <c r="S1757" s="77">
        <v>0</v>
      </c>
      <c r="T1757" s="77">
        <v>0</v>
      </c>
      <c r="U1757" s="77">
        <v>0</v>
      </c>
      <c r="V1757" s="77">
        <v>137</v>
      </c>
      <c r="W1757" s="82" t="s">
        <v>4982</v>
      </c>
      <c r="X1757" s="80" t="str">
        <f>HYPERLINK("https://flj.com.br/noticia/ronda-mover-ibovespa-sobe-em-dia-de-vencimento-de-opcoes-dis-caem-em-linha-com-yields-no-exterior-e-dolar-recua")</f>
        <v>https://flj.com.br/noticia/ronda-mover-ibovespa-sobe-em-dia-de-vencimento-de-opcoes-dis-caem-em-linha-com-yields-no-exterior-e-dolar-recua</v>
      </c>
      <c r="Y1757" s="77" t="s">
        <v>7053</v>
      </c>
      <c r="Z1757" s="77"/>
      <c r="AA1757" s="77"/>
      <c r="AB1757" s="77"/>
      <c r="AC1757" s="82" t="s">
        <v>8232</v>
      </c>
      <c r="AD1757" s="77" t="s">
        <v>8278</v>
      </c>
      <c r="AE1757" s="80" t="str">
        <f>HYPERLINK("https://twitter.com/leiaflj/status/1692565893111337198")</f>
        <v>https://twitter.com/leiaflj/status/1692565893111337198</v>
      </c>
      <c r="AF1757" s="79">
        <v>45156.663530092592</v>
      </c>
      <c r="AG1757" s="85">
        <v>45156</v>
      </c>
      <c r="AH1757" s="82" t="s">
        <v>9879</v>
      </c>
      <c r="AI1757" s="77" t="b">
        <v>0</v>
      </c>
      <c r="AJ1757" s="77"/>
      <c r="AK1757" s="77"/>
      <c r="AL1757" s="77"/>
      <c r="AM1757" s="77"/>
      <c r="AN1757" s="77"/>
      <c r="AO1757" s="77"/>
      <c r="AP1757" s="77"/>
      <c r="AQ1757" s="77"/>
      <c r="AR1757" s="77"/>
      <c r="AS1757" s="77"/>
      <c r="AT1757" s="77"/>
      <c r="AU1757" s="77"/>
      <c r="AV1757" s="80" t="str">
        <f>HYPERLINK("https://pbs.twimg.com/profile_images/1620068456165933060/TShADQck_normal.jpg")</f>
        <v>https://pbs.twimg.com/profile_images/1620068456165933060/TShADQck_normal.jpg</v>
      </c>
      <c r="AW1757" s="82" t="s">
        <v>14848</v>
      </c>
      <c r="AX1757" s="82" t="s">
        <v>14848</v>
      </c>
      <c r="AY1757" s="77"/>
      <c r="AZ1757" s="82" t="s">
        <v>17385</v>
      </c>
      <c r="BA1757" s="82" t="s">
        <v>17385</v>
      </c>
      <c r="BB1757" s="82" t="s">
        <v>17385</v>
      </c>
      <c r="BC1757" s="82" t="s">
        <v>14848</v>
      </c>
      <c r="BD1757" s="82" t="s">
        <v>17557</v>
      </c>
      <c r="BE1757" s="77"/>
      <c r="BF1757" s="77"/>
      <c r="BG1757" s="77"/>
      <c r="BH1757" s="77"/>
      <c r="BI1757" s="77"/>
    </row>
    <row r="1758" spans="1:61" x14ac:dyDescent="0.25">
      <c r="A1758" s="62" t="s">
        <v>435</v>
      </c>
      <c r="B1758" s="62" t="s">
        <v>435</v>
      </c>
      <c r="C1758" s="63"/>
      <c r="D1758" s="64"/>
      <c r="E1758" s="65"/>
      <c r="F1758" s="66"/>
      <c r="G1758" s="63"/>
      <c r="H1758" s="67"/>
      <c r="I1758" s="68"/>
      <c r="J1758" s="68"/>
      <c r="K1758" s="32"/>
      <c r="L1758" s="75">
        <v>1758</v>
      </c>
      <c r="M1758" s="75"/>
      <c r="N1758" s="70"/>
      <c r="O1758" s="77" t="s">
        <v>179</v>
      </c>
      <c r="P1758" s="79">
        <v>45147.629236111112</v>
      </c>
      <c r="Q1758" s="77" t="s">
        <v>2544</v>
      </c>
      <c r="R1758" s="77">
        <v>0</v>
      </c>
      <c r="S1758" s="77">
        <v>0</v>
      </c>
      <c r="T1758" s="77">
        <v>0</v>
      </c>
      <c r="U1758" s="77">
        <v>0</v>
      </c>
      <c r="V1758" s="77">
        <v>109</v>
      </c>
      <c r="W1758" s="82" t="s">
        <v>5932</v>
      </c>
      <c r="X1758" s="80" t="str">
        <f>HYPERLINK("https://flj.com.br/noticia/cvc-cvcb3-acoes-caem-5-apos-prejuizo-aumentar-ainda-mais-no-2t23")</f>
        <v>https://flj.com.br/noticia/cvc-cvcb3-acoes-caem-5-apos-prejuizo-aumentar-ainda-mais-no-2t23</v>
      </c>
      <c r="Y1758" s="77" t="s">
        <v>7053</v>
      </c>
      <c r="Z1758" s="77"/>
      <c r="AA1758" s="77"/>
      <c r="AB1758" s="77"/>
      <c r="AC1758" s="82" t="s">
        <v>8232</v>
      </c>
      <c r="AD1758" s="77" t="s">
        <v>8278</v>
      </c>
      <c r="AE1758" s="80" t="str">
        <f>HYPERLINK("https://twitter.com/leiaflj/status/1689291972396154880")</f>
        <v>https://twitter.com/leiaflj/status/1689291972396154880</v>
      </c>
      <c r="AF1758" s="79">
        <v>45147.629236111112</v>
      </c>
      <c r="AG1758" s="85">
        <v>45147</v>
      </c>
      <c r="AH1758" s="82" t="s">
        <v>9880</v>
      </c>
      <c r="AI1758" s="77" t="b">
        <v>0</v>
      </c>
      <c r="AJ1758" s="77"/>
      <c r="AK1758" s="77"/>
      <c r="AL1758" s="77"/>
      <c r="AM1758" s="77"/>
      <c r="AN1758" s="77"/>
      <c r="AO1758" s="77"/>
      <c r="AP1758" s="77"/>
      <c r="AQ1758" s="77"/>
      <c r="AR1758" s="77"/>
      <c r="AS1758" s="77"/>
      <c r="AT1758" s="77"/>
      <c r="AU1758" s="77"/>
      <c r="AV1758" s="80" t="str">
        <f>HYPERLINK("https://pbs.twimg.com/profile_images/1620068456165933060/TShADQck_normal.jpg")</f>
        <v>https://pbs.twimg.com/profile_images/1620068456165933060/TShADQck_normal.jpg</v>
      </c>
      <c r="AW1758" s="82" t="s">
        <v>14849</v>
      </c>
      <c r="AX1758" s="82" t="s">
        <v>14849</v>
      </c>
      <c r="AY1758" s="77"/>
      <c r="AZ1758" s="82" t="s">
        <v>17385</v>
      </c>
      <c r="BA1758" s="82" t="s">
        <v>17385</v>
      </c>
      <c r="BB1758" s="82" t="s">
        <v>17385</v>
      </c>
      <c r="BC1758" s="82" t="s">
        <v>14849</v>
      </c>
      <c r="BD1758" s="82" t="s">
        <v>17557</v>
      </c>
      <c r="BE1758" s="77"/>
      <c r="BF1758" s="77"/>
      <c r="BG1758" s="77"/>
      <c r="BH1758" s="77"/>
      <c r="BI1758" s="77"/>
    </row>
    <row r="1759" spans="1:61" x14ac:dyDescent="0.25">
      <c r="A1759" s="62" t="s">
        <v>435</v>
      </c>
      <c r="B1759" s="62" t="s">
        <v>435</v>
      </c>
      <c r="C1759" s="63"/>
      <c r="D1759" s="64"/>
      <c r="E1759" s="65"/>
      <c r="F1759" s="66"/>
      <c r="G1759" s="63"/>
      <c r="H1759" s="67"/>
      <c r="I1759" s="68"/>
      <c r="J1759" s="68"/>
      <c r="K1759" s="32"/>
      <c r="L1759" s="75">
        <v>1759</v>
      </c>
      <c r="M1759" s="75"/>
      <c r="N1759" s="70"/>
      <c r="O1759" s="77" t="s">
        <v>179</v>
      </c>
      <c r="P1759" s="79">
        <v>45147.533472222225</v>
      </c>
      <c r="Q1759" s="77" t="s">
        <v>2545</v>
      </c>
      <c r="R1759" s="77">
        <v>0</v>
      </c>
      <c r="S1759" s="77">
        <v>0</v>
      </c>
      <c r="T1759" s="77">
        <v>0</v>
      </c>
      <c r="U1759" s="77">
        <v>0</v>
      </c>
      <c r="V1759" s="77">
        <v>95</v>
      </c>
      <c r="W1759" s="82" t="s">
        <v>5933</v>
      </c>
      <c r="X1759" s="80" t="str">
        <f>HYPERLINK("https://flj.com.br/noticia/gerdau-ggbr4-cinco-motivos-para-comprar-as-acoes-apos-o-resultado")</f>
        <v>https://flj.com.br/noticia/gerdau-ggbr4-cinco-motivos-para-comprar-as-acoes-apos-o-resultado</v>
      </c>
      <c r="Y1759" s="77" t="s">
        <v>7053</v>
      </c>
      <c r="Z1759" s="77"/>
      <c r="AA1759" s="77"/>
      <c r="AB1759" s="77"/>
      <c r="AC1759" s="82" t="s">
        <v>8232</v>
      </c>
      <c r="AD1759" s="77" t="s">
        <v>8278</v>
      </c>
      <c r="AE1759" s="80" t="str">
        <f>HYPERLINK("https://twitter.com/leiaflj/status/1689257270322900992")</f>
        <v>https://twitter.com/leiaflj/status/1689257270322900992</v>
      </c>
      <c r="AF1759" s="79">
        <v>45147.533472222225</v>
      </c>
      <c r="AG1759" s="85">
        <v>45147</v>
      </c>
      <c r="AH1759" s="82" t="s">
        <v>9881</v>
      </c>
      <c r="AI1759" s="77" t="b">
        <v>0</v>
      </c>
      <c r="AJ1759" s="77"/>
      <c r="AK1759" s="77"/>
      <c r="AL1759" s="77"/>
      <c r="AM1759" s="77"/>
      <c r="AN1759" s="77"/>
      <c r="AO1759" s="77"/>
      <c r="AP1759" s="77"/>
      <c r="AQ1759" s="77"/>
      <c r="AR1759" s="77"/>
      <c r="AS1759" s="77"/>
      <c r="AT1759" s="77"/>
      <c r="AU1759" s="77"/>
      <c r="AV1759" s="80" t="str">
        <f>HYPERLINK("https://pbs.twimg.com/profile_images/1620068456165933060/TShADQck_normal.jpg")</f>
        <v>https://pbs.twimg.com/profile_images/1620068456165933060/TShADQck_normal.jpg</v>
      </c>
      <c r="AW1759" s="82" t="s">
        <v>14850</v>
      </c>
      <c r="AX1759" s="82" t="s">
        <v>14850</v>
      </c>
      <c r="AY1759" s="77"/>
      <c r="AZ1759" s="82" t="s">
        <v>17385</v>
      </c>
      <c r="BA1759" s="82" t="s">
        <v>17385</v>
      </c>
      <c r="BB1759" s="82" t="s">
        <v>17385</v>
      </c>
      <c r="BC1759" s="82" t="s">
        <v>14850</v>
      </c>
      <c r="BD1759" s="82" t="s">
        <v>17557</v>
      </c>
      <c r="BE1759" s="77"/>
      <c r="BF1759" s="77"/>
      <c r="BG1759" s="77"/>
      <c r="BH1759" s="77"/>
      <c r="BI1759" s="77"/>
    </row>
    <row r="1760" spans="1:61" x14ac:dyDescent="0.25">
      <c r="A1760" s="62" t="s">
        <v>435</v>
      </c>
      <c r="B1760" s="62" t="s">
        <v>435</v>
      </c>
      <c r="C1760" s="63"/>
      <c r="D1760" s="64"/>
      <c r="E1760" s="65"/>
      <c r="F1760" s="66"/>
      <c r="G1760" s="63"/>
      <c r="H1760" s="67"/>
      <c r="I1760" s="68"/>
      <c r="J1760" s="68"/>
      <c r="K1760" s="32"/>
      <c r="L1760" s="75">
        <v>1760</v>
      </c>
      <c r="M1760" s="75"/>
      <c r="N1760" s="70"/>
      <c r="O1760" s="77" t="s">
        <v>179</v>
      </c>
      <c r="P1760" s="79">
        <v>45146.737997685188</v>
      </c>
      <c r="Q1760" s="77" t="s">
        <v>2546</v>
      </c>
      <c r="R1760" s="77">
        <v>0</v>
      </c>
      <c r="S1760" s="77">
        <v>0</v>
      </c>
      <c r="T1760" s="77">
        <v>0</v>
      </c>
      <c r="U1760" s="77">
        <v>0</v>
      </c>
      <c r="V1760" s="77">
        <v>85</v>
      </c>
      <c r="W1760" s="82" t="s">
        <v>5934</v>
      </c>
      <c r="X1760" s="80" t="str">
        <f>HYPERLINK("https://flj.com.br/noticia/fundo-verde-de-luis-stuhlberger-reduz-alocacao-em-bolsa-brasileira")</f>
        <v>https://flj.com.br/noticia/fundo-verde-de-luis-stuhlberger-reduz-alocacao-em-bolsa-brasileira</v>
      </c>
      <c r="Y1760" s="77" t="s">
        <v>7053</v>
      </c>
      <c r="Z1760" s="77"/>
      <c r="AA1760" s="77"/>
      <c r="AB1760" s="77"/>
      <c r="AC1760" s="82" t="s">
        <v>8232</v>
      </c>
      <c r="AD1760" s="77" t="s">
        <v>8278</v>
      </c>
      <c r="AE1760" s="80" t="str">
        <f>HYPERLINK("https://twitter.com/leiaflj/status/1688968999575367680")</f>
        <v>https://twitter.com/leiaflj/status/1688968999575367680</v>
      </c>
      <c r="AF1760" s="79">
        <v>45146.737997685188</v>
      </c>
      <c r="AG1760" s="85">
        <v>45146</v>
      </c>
      <c r="AH1760" s="82" t="s">
        <v>9882</v>
      </c>
      <c r="AI1760" s="77" t="b">
        <v>0</v>
      </c>
      <c r="AJ1760" s="77"/>
      <c r="AK1760" s="77"/>
      <c r="AL1760" s="77"/>
      <c r="AM1760" s="77"/>
      <c r="AN1760" s="77"/>
      <c r="AO1760" s="77"/>
      <c r="AP1760" s="77"/>
      <c r="AQ1760" s="77"/>
      <c r="AR1760" s="77"/>
      <c r="AS1760" s="77"/>
      <c r="AT1760" s="77"/>
      <c r="AU1760" s="77"/>
      <c r="AV1760" s="80" t="str">
        <f>HYPERLINK("https://pbs.twimg.com/profile_images/1620068456165933060/TShADQck_normal.jpg")</f>
        <v>https://pbs.twimg.com/profile_images/1620068456165933060/TShADQck_normal.jpg</v>
      </c>
      <c r="AW1760" s="82" t="s">
        <v>14851</v>
      </c>
      <c r="AX1760" s="82" t="s">
        <v>14851</v>
      </c>
      <c r="AY1760" s="77"/>
      <c r="AZ1760" s="82" t="s">
        <v>17385</v>
      </c>
      <c r="BA1760" s="82" t="s">
        <v>17385</v>
      </c>
      <c r="BB1760" s="82" t="s">
        <v>17385</v>
      </c>
      <c r="BC1760" s="82" t="s">
        <v>14851</v>
      </c>
      <c r="BD1760" s="82" t="s">
        <v>17557</v>
      </c>
      <c r="BE1760" s="77"/>
      <c r="BF1760" s="77"/>
      <c r="BG1760" s="77"/>
      <c r="BH1760" s="77"/>
      <c r="BI1760" s="77"/>
    </row>
    <row r="1761" spans="1:61" x14ac:dyDescent="0.25">
      <c r="A1761" s="62" t="s">
        <v>435</v>
      </c>
      <c r="B1761" s="62" t="s">
        <v>435</v>
      </c>
      <c r="C1761" s="63"/>
      <c r="D1761" s="64"/>
      <c r="E1761" s="65"/>
      <c r="F1761" s="66"/>
      <c r="G1761" s="63"/>
      <c r="H1761" s="67"/>
      <c r="I1761" s="68"/>
      <c r="J1761" s="68"/>
      <c r="K1761" s="32"/>
      <c r="L1761" s="75">
        <v>1761</v>
      </c>
      <c r="M1761" s="75"/>
      <c r="N1761" s="70"/>
      <c r="O1761" s="77" t="s">
        <v>179</v>
      </c>
      <c r="P1761" s="79">
        <v>45146.724618055552</v>
      </c>
      <c r="Q1761" s="77" t="s">
        <v>2547</v>
      </c>
      <c r="R1761" s="77">
        <v>0</v>
      </c>
      <c r="S1761" s="77">
        <v>0</v>
      </c>
      <c r="T1761" s="77">
        <v>0</v>
      </c>
      <c r="U1761" s="77">
        <v>0</v>
      </c>
      <c r="V1761" s="77">
        <v>71</v>
      </c>
      <c r="W1761" s="82" t="s">
        <v>5935</v>
      </c>
      <c r="X1761" s="80" t="str">
        <f>HYPERLINK("https://flj.com.br/noticia/dados-fracos-na-china-derrubam-bolsas-e-apreciam-dolar")</f>
        <v>https://flj.com.br/noticia/dados-fracos-na-china-derrubam-bolsas-e-apreciam-dolar</v>
      </c>
      <c r="Y1761" s="77" t="s">
        <v>7053</v>
      </c>
      <c r="Z1761" s="77"/>
      <c r="AA1761" s="77"/>
      <c r="AB1761" s="77"/>
      <c r="AC1761" s="82" t="s">
        <v>8232</v>
      </c>
      <c r="AD1761" s="77" t="s">
        <v>8278</v>
      </c>
      <c r="AE1761" s="80" t="str">
        <f>HYPERLINK("https://twitter.com/leiaflj/status/1688964151362654223")</f>
        <v>https://twitter.com/leiaflj/status/1688964151362654223</v>
      </c>
      <c r="AF1761" s="79">
        <v>45146.724618055552</v>
      </c>
      <c r="AG1761" s="85">
        <v>45146</v>
      </c>
      <c r="AH1761" s="82" t="s">
        <v>9883</v>
      </c>
      <c r="AI1761" s="77" t="b">
        <v>0</v>
      </c>
      <c r="AJ1761" s="77"/>
      <c r="AK1761" s="77"/>
      <c r="AL1761" s="77"/>
      <c r="AM1761" s="77"/>
      <c r="AN1761" s="77"/>
      <c r="AO1761" s="77"/>
      <c r="AP1761" s="77"/>
      <c r="AQ1761" s="77"/>
      <c r="AR1761" s="77"/>
      <c r="AS1761" s="77"/>
      <c r="AT1761" s="77"/>
      <c r="AU1761" s="77"/>
      <c r="AV1761" s="80" t="str">
        <f>HYPERLINK("https://pbs.twimg.com/profile_images/1620068456165933060/TShADQck_normal.jpg")</f>
        <v>https://pbs.twimg.com/profile_images/1620068456165933060/TShADQck_normal.jpg</v>
      </c>
      <c r="AW1761" s="82" t="s">
        <v>14852</v>
      </c>
      <c r="AX1761" s="82" t="s">
        <v>14852</v>
      </c>
      <c r="AY1761" s="77"/>
      <c r="AZ1761" s="82" t="s">
        <v>17385</v>
      </c>
      <c r="BA1761" s="82" t="s">
        <v>17385</v>
      </c>
      <c r="BB1761" s="82" t="s">
        <v>17385</v>
      </c>
      <c r="BC1761" s="82" t="s">
        <v>14852</v>
      </c>
      <c r="BD1761" s="82" t="s">
        <v>17557</v>
      </c>
      <c r="BE1761" s="77"/>
      <c r="BF1761" s="77"/>
      <c r="BG1761" s="77"/>
      <c r="BH1761" s="77"/>
      <c r="BI1761" s="77"/>
    </row>
    <row r="1762" spans="1:61" x14ac:dyDescent="0.25">
      <c r="A1762" s="62" t="s">
        <v>435</v>
      </c>
      <c r="B1762" s="62" t="s">
        <v>435</v>
      </c>
      <c r="C1762" s="63"/>
      <c r="D1762" s="64"/>
      <c r="E1762" s="65"/>
      <c r="F1762" s="66"/>
      <c r="G1762" s="63"/>
      <c r="H1762" s="67"/>
      <c r="I1762" s="68"/>
      <c r="J1762" s="68"/>
      <c r="K1762" s="32"/>
      <c r="L1762" s="75">
        <v>1762</v>
      </c>
      <c r="M1762" s="75"/>
      <c r="N1762" s="70"/>
      <c r="O1762" s="77" t="s">
        <v>179</v>
      </c>
      <c r="P1762" s="79">
        <v>45146.718229166669</v>
      </c>
      <c r="Q1762" s="77" t="s">
        <v>2548</v>
      </c>
      <c r="R1762" s="77">
        <v>0</v>
      </c>
      <c r="S1762" s="77">
        <v>1</v>
      </c>
      <c r="T1762" s="77">
        <v>1</v>
      </c>
      <c r="U1762" s="77">
        <v>0</v>
      </c>
      <c r="V1762" s="77">
        <v>82</v>
      </c>
      <c r="W1762" s="82" t="s">
        <v>5936</v>
      </c>
      <c r="X1762" s="80" t="str">
        <f>HYPERLINK("https://flj.com.br/noticia/acao-da-eletrobras-sobe-apos-balanco-do-2o-tri-analistas-veem-efeitos-positivos-de-privatizacao-nos-resultados")</f>
        <v>https://flj.com.br/noticia/acao-da-eletrobras-sobe-apos-balanco-do-2o-tri-analistas-veem-efeitos-positivos-de-privatizacao-nos-resultados</v>
      </c>
      <c r="Y1762" s="77" t="s">
        <v>7053</v>
      </c>
      <c r="Z1762" s="77"/>
      <c r="AA1762" s="77"/>
      <c r="AB1762" s="77"/>
      <c r="AC1762" s="82" t="s">
        <v>8232</v>
      </c>
      <c r="AD1762" s="77" t="s">
        <v>8278</v>
      </c>
      <c r="AE1762" s="80" t="str">
        <f>HYPERLINK("https://twitter.com/leiaflj/status/1688961836140400643")</f>
        <v>https://twitter.com/leiaflj/status/1688961836140400643</v>
      </c>
      <c r="AF1762" s="79">
        <v>45146.718229166669</v>
      </c>
      <c r="AG1762" s="85">
        <v>45146</v>
      </c>
      <c r="AH1762" s="82" t="s">
        <v>9884</v>
      </c>
      <c r="AI1762" s="77" t="b">
        <v>0</v>
      </c>
      <c r="AJ1762" s="77"/>
      <c r="AK1762" s="77"/>
      <c r="AL1762" s="77"/>
      <c r="AM1762" s="77"/>
      <c r="AN1762" s="77"/>
      <c r="AO1762" s="77"/>
      <c r="AP1762" s="77"/>
      <c r="AQ1762" s="77"/>
      <c r="AR1762" s="77"/>
      <c r="AS1762" s="77"/>
      <c r="AT1762" s="77"/>
      <c r="AU1762" s="77"/>
      <c r="AV1762" s="80" t="str">
        <f>HYPERLINK("https://pbs.twimg.com/profile_images/1620068456165933060/TShADQck_normal.jpg")</f>
        <v>https://pbs.twimg.com/profile_images/1620068456165933060/TShADQck_normal.jpg</v>
      </c>
      <c r="AW1762" s="82" t="s">
        <v>14853</v>
      </c>
      <c r="AX1762" s="82" t="s">
        <v>14853</v>
      </c>
      <c r="AY1762" s="77"/>
      <c r="AZ1762" s="82" t="s">
        <v>17385</v>
      </c>
      <c r="BA1762" s="82" t="s">
        <v>17385</v>
      </c>
      <c r="BB1762" s="82" t="s">
        <v>17385</v>
      </c>
      <c r="BC1762" s="82" t="s">
        <v>14853</v>
      </c>
      <c r="BD1762" s="82" t="s">
        <v>17557</v>
      </c>
      <c r="BE1762" s="77"/>
      <c r="BF1762" s="77"/>
      <c r="BG1762" s="77"/>
      <c r="BH1762" s="77"/>
      <c r="BI1762" s="77"/>
    </row>
    <row r="1763" spans="1:61" x14ac:dyDescent="0.25">
      <c r="A1763" s="62" t="s">
        <v>435</v>
      </c>
      <c r="B1763" s="62" t="s">
        <v>435</v>
      </c>
      <c r="C1763" s="63"/>
      <c r="D1763" s="64"/>
      <c r="E1763" s="65"/>
      <c r="F1763" s="66"/>
      <c r="G1763" s="63"/>
      <c r="H1763" s="67"/>
      <c r="I1763" s="68"/>
      <c r="J1763" s="68"/>
      <c r="K1763" s="32"/>
      <c r="L1763" s="75">
        <v>1763</v>
      </c>
      <c r="M1763" s="75"/>
      <c r="N1763" s="70"/>
      <c r="O1763" s="77" t="s">
        <v>179</v>
      </c>
      <c r="P1763" s="79">
        <v>45146.456307870372</v>
      </c>
      <c r="Q1763" s="77" t="s">
        <v>2549</v>
      </c>
      <c r="R1763" s="77">
        <v>0</v>
      </c>
      <c r="S1763" s="77">
        <v>1</v>
      </c>
      <c r="T1763" s="77">
        <v>0</v>
      </c>
      <c r="U1763" s="77">
        <v>0</v>
      </c>
      <c r="V1763" s="77">
        <v>100</v>
      </c>
      <c r="W1763" s="82" t="s">
        <v>5937</v>
      </c>
      <c r="X1763" s="80" t="str">
        <f>HYPERLINK("https://flj.com.br/noticia/mercados-caem-com-dados-fracos-na-china-e-cenario-de-aversao-ao-risco")</f>
        <v>https://flj.com.br/noticia/mercados-caem-com-dados-fracos-na-china-e-cenario-de-aversao-ao-risco</v>
      </c>
      <c r="Y1763" s="77" t="s">
        <v>7053</v>
      </c>
      <c r="Z1763" s="77"/>
      <c r="AA1763" s="77"/>
      <c r="AB1763" s="77"/>
      <c r="AC1763" s="82" t="s">
        <v>8232</v>
      </c>
      <c r="AD1763" s="77" t="s">
        <v>8278</v>
      </c>
      <c r="AE1763" s="80" t="str">
        <f>HYPERLINK("https://twitter.com/leiaflj/status/1688866917740625921")</f>
        <v>https://twitter.com/leiaflj/status/1688866917740625921</v>
      </c>
      <c r="AF1763" s="79">
        <v>45146.456307870372</v>
      </c>
      <c r="AG1763" s="85">
        <v>45146</v>
      </c>
      <c r="AH1763" s="82" t="s">
        <v>9885</v>
      </c>
      <c r="AI1763" s="77" t="b">
        <v>0</v>
      </c>
      <c r="AJ1763" s="77"/>
      <c r="AK1763" s="77"/>
      <c r="AL1763" s="77"/>
      <c r="AM1763" s="77"/>
      <c r="AN1763" s="77"/>
      <c r="AO1763" s="77"/>
      <c r="AP1763" s="77"/>
      <c r="AQ1763" s="77"/>
      <c r="AR1763" s="77"/>
      <c r="AS1763" s="77"/>
      <c r="AT1763" s="77"/>
      <c r="AU1763" s="77"/>
      <c r="AV1763" s="80" t="str">
        <f>HYPERLINK("https://pbs.twimg.com/profile_images/1620068456165933060/TShADQck_normal.jpg")</f>
        <v>https://pbs.twimg.com/profile_images/1620068456165933060/TShADQck_normal.jpg</v>
      </c>
      <c r="AW1763" s="82" t="s">
        <v>14854</v>
      </c>
      <c r="AX1763" s="82" t="s">
        <v>14854</v>
      </c>
      <c r="AY1763" s="77"/>
      <c r="AZ1763" s="82" t="s">
        <v>17385</v>
      </c>
      <c r="BA1763" s="82" t="s">
        <v>17385</v>
      </c>
      <c r="BB1763" s="82" t="s">
        <v>17385</v>
      </c>
      <c r="BC1763" s="82" t="s">
        <v>14854</v>
      </c>
      <c r="BD1763" s="82" t="s">
        <v>17557</v>
      </c>
      <c r="BE1763" s="77"/>
      <c r="BF1763" s="77"/>
      <c r="BG1763" s="77"/>
      <c r="BH1763" s="77"/>
      <c r="BI1763" s="77"/>
    </row>
    <row r="1764" spans="1:61" x14ac:dyDescent="0.25">
      <c r="A1764" s="62" t="s">
        <v>435</v>
      </c>
      <c r="B1764" s="62" t="s">
        <v>435</v>
      </c>
      <c r="C1764" s="63"/>
      <c r="D1764" s="64"/>
      <c r="E1764" s="65"/>
      <c r="F1764" s="66"/>
      <c r="G1764" s="63"/>
      <c r="H1764" s="67"/>
      <c r="I1764" s="68"/>
      <c r="J1764" s="68"/>
      <c r="K1764" s="32"/>
      <c r="L1764" s="75">
        <v>1764</v>
      </c>
      <c r="M1764" s="75"/>
      <c r="N1764" s="70"/>
      <c r="O1764" s="77" t="s">
        <v>179</v>
      </c>
      <c r="P1764" s="79">
        <v>45145.766875000001</v>
      </c>
      <c r="Q1764" s="77" t="s">
        <v>2550</v>
      </c>
      <c r="R1764" s="77">
        <v>0</v>
      </c>
      <c r="S1764" s="77">
        <v>1</v>
      </c>
      <c r="T1764" s="77">
        <v>0</v>
      </c>
      <c r="U1764" s="77">
        <v>0</v>
      </c>
      <c r="V1764" s="77">
        <v>111</v>
      </c>
      <c r="W1764" s="82" t="s">
        <v>5938</v>
      </c>
      <c r="X1764" s="80" t="str">
        <f>HYPERLINK("https://flj.com.br/noticia/resultado-da-bb-seguridade-bbse3-agrada-maioria-mas-ainda-existem-riscos")</f>
        <v>https://flj.com.br/noticia/resultado-da-bb-seguridade-bbse3-agrada-maioria-mas-ainda-existem-riscos</v>
      </c>
      <c r="Y1764" s="77" t="s">
        <v>7053</v>
      </c>
      <c r="Z1764" s="77"/>
      <c r="AA1764" s="77"/>
      <c r="AB1764" s="77"/>
      <c r="AC1764" s="82" t="s">
        <v>8232</v>
      </c>
      <c r="AD1764" s="77" t="s">
        <v>8278</v>
      </c>
      <c r="AE1764" s="80" t="str">
        <f>HYPERLINK("https://twitter.com/leiaflj/status/1688617074178875393")</f>
        <v>https://twitter.com/leiaflj/status/1688617074178875393</v>
      </c>
      <c r="AF1764" s="79">
        <v>45145.766875000001</v>
      </c>
      <c r="AG1764" s="85">
        <v>45145</v>
      </c>
      <c r="AH1764" s="82" t="s">
        <v>9886</v>
      </c>
      <c r="AI1764" s="77" t="b">
        <v>0</v>
      </c>
      <c r="AJ1764" s="77"/>
      <c r="AK1764" s="77"/>
      <c r="AL1764" s="77"/>
      <c r="AM1764" s="77"/>
      <c r="AN1764" s="77"/>
      <c r="AO1764" s="77"/>
      <c r="AP1764" s="77"/>
      <c r="AQ1764" s="77"/>
      <c r="AR1764" s="77"/>
      <c r="AS1764" s="77"/>
      <c r="AT1764" s="77"/>
      <c r="AU1764" s="77"/>
      <c r="AV1764" s="80" t="str">
        <f>HYPERLINK("https://pbs.twimg.com/profile_images/1620068456165933060/TShADQck_normal.jpg")</f>
        <v>https://pbs.twimg.com/profile_images/1620068456165933060/TShADQck_normal.jpg</v>
      </c>
      <c r="AW1764" s="82" t="s">
        <v>14855</v>
      </c>
      <c r="AX1764" s="82" t="s">
        <v>14855</v>
      </c>
      <c r="AY1764" s="77"/>
      <c r="AZ1764" s="82" t="s">
        <v>17385</v>
      </c>
      <c r="BA1764" s="82" t="s">
        <v>17385</v>
      </c>
      <c r="BB1764" s="82" t="s">
        <v>17385</v>
      </c>
      <c r="BC1764" s="82" t="s">
        <v>14855</v>
      </c>
      <c r="BD1764" s="82" t="s">
        <v>17557</v>
      </c>
      <c r="BE1764" s="77"/>
      <c r="BF1764" s="77"/>
      <c r="BG1764" s="77"/>
      <c r="BH1764" s="77"/>
      <c r="BI1764" s="77"/>
    </row>
    <row r="1765" spans="1:61" x14ac:dyDescent="0.25">
      <c r="A1765" s="62" t="s">
        <v>435</v>
      </c>
      <c r="B1765" s="62" t="s">
        <v>435</v>
      </c>
      <c r="C1765" s="63"/>
      <c r="D1765" s="64"/>
      <c r="E1765" s="65"/>
      <c r="F1765" s="66"/>
      <c r="G1765" s="63"/>
      <c r="H1765" s="67"/>
      <c r="I1765" s="68"/>
      <c r="J1765" s="68"/>
      <c r="K1765" s="32"/>
      <c r="L1765" s="75">
        <v>1765</v>
      </c>
      <c r="M1765" s="75"/>
      <c r="N1765" s="70"/>
      <c r="O1765" s="77" t="s">
        <v>179</v>
      </c>
      <c r="P1765" s="79">
        <v>45145.68340277778</v>
      </c>
      <c r="Q1765" s="77" t="s">
        <v>2551</v>
      </c>
      <c r="R1765" s="77">
        <v>0</v>
      </c>
      <c r="S1765" s="77">
        <v>0</v>
      </c>
      <c r="T1765" s="77">
        <v>0</v>
      </c>
      <c r="U1765" s="77">
        <v>0</v>
      </c>
      <c r="V1765" s="77">
        <v>129</v>
      </c>
      <c r="W1765" s="82" t="s">
        <v>5939</v>
      </c>
      <c r="X1765" s="80" t="str">
        <f>HYPERLINK("https://flj.com.br/noticia/bb-seguridade-e-assai-lideram-altas-no-ibovespa-de-olho-em-balanco-e-recomendacao-do-bofa")</f>
        <v>https://flj.com.br/noticia/bb-seguridade-e-assai-lideram-altas-no-ibovespa-de-olho-em-balanco-e-recomendacao-do-bofa</v>
      </c>
      <c r="Y1765" s="77" t="s">
        <v>7053</v>
      </c>
      <c r="Z1765" s="77"/>
      <c r="AA1765" s="77"/>
      <c r="AB1765" s="77"/>
      <c r="AC1765" s="82" t="s">
        <v>8232</v>
      </c>
      <c r="AD1765" s="77" t="s">
        <v>8278</v>
      </c>
      <c r="AE1765" s="80" t="str">
        <f>HYPERLINK("https://twitter.com/leiaflj/status/1688586827278565378")</f>
        <v>https://twitter.com/leiaflj/status/1688586827278565378</v>
      </c>
      <c r="AF1765" s="79">
        <v>45145.68340277778</v>
      </c>
      <c r="AG1765" s="85">
        <v>45145</v>
      </c>
      <c r="AH1765" s="82" t="s">
        <v>9887</v>
      </c>
      <c r="AI1765" s="77" t="b">
        <v>0</v>
      </c>
      <c r="AJ1765" s="77"/>
      <c r="AK1765" s="77"/>
      <c r="AL1765" s="77"/>
      <c r="AM1765" s="77"/>
      <c r="AN1765" s="77"/>
      <c r="AO1765" s="77"/>
      <c r="AP1765" s="77"/>
      <c r="AQ1765" s="77"/>
      <c r="AR1765" s="77"/>
      <c r="AS1765" s="77"/>
      <c r="AT1765" s="77"/>
      <c r="AU1765" s="77"/>
      <c r="AV1765" s="80" t="str">
        <f>HYPERLINK("https://pbs.twimg.com/profile_images/1620068456165933060/TShADQck_normal.jpg")</f>
        <v>https://pbs.twimg.com/profile_images/1620068456165933060/TShADQck_normal.jpg</v>
      </c>
      <c r="AW1765" s="82" t="s">
        <v>14856</v>
      </c>
      <c r="AX1765" s="82" t="s">
        <v>14856</v>
      </c>
      <c r="AY1765" s="77"/>
      <c r="AZ1765" s="82" t="s">
        <v>17385</v>
      </c>
      <c r="BA1765" s="82" t="s">
        <v>17385</v>
      </c>
      <c r="BB1765" s="82" t="s">
        <v>17385</v>
      </c>
      <c r="BC1765" s="82" t="s">
        <v>14856</v>
      </c>
      <c r="BD1765" s="82" t="s">
        <v>17557</v>
      </c>
      <c r="BE1765" s="77"/>
      <c r="BF1765" s="77"/>
      <c r="BG1765" s="77"/>
      <c r="BH1765" s="77"/>
      <c r="BI1765" s="77"/>
    </row>
    <row r="1766" spans="1:61" x14ac:dyDescent="0.25">
      <c r="A1766" s="62" t="s">
        <v>435</v>
      </c>
      <c r="B1766" s="62" t="s">
        <v>435</v>
      </c>
      <c r="C1766" s="63"/>
      <c r="D1766" s="64"/>
      <c r="E1766" s="65"/>
      <c r="F1766" s="66"/>
      <c r="G1766" s="63"/>
      <c r="H1766" s="67"/>
      <c r="I1766" s="68"/>
      <c r="J1766" s="68"/>
      <c r="K1766" s="32"/>
      <c r="L1766" s="75">
        <v>1766</v>
      </c>
      <c r="M1766" s="75"/>
      <c r="N1766" s="70"/>
      <c r="O1766" s="77" t="s">
        <v>179</v>
      </c>
      <c r="P1766" s="79">
        <v>45145.594178240739</v>
      </c>
      <c r="Q1766" s="77" t="s">
        <v>2552</v>
      </c>
      <c r="R1766" s="77">
        <v>0</v>
      </c>
      <c r="S1766" s="77">
        <v>0</v>
      </c>
      <c r="T1766" s="77">
        <v>0</v>
      </c>
      <c r="U1766" s="77">
        <v>0</v>
      </c>
      <c r="V1766" s="77">
        <v>103</v>
      </c>
      <c r="W1766" s="82" t="s">
        <v>5940</v>
      </c>
      <c r="X1766" s="80" t="str">
        <f>HYPERLINK("https://flj.com.br/noticia/abertura-ibovespa-opera-sem-direcao-definida-a-espera-por-ata-do-copom-bb-seguridade-dispara")</f>
        <v>https://flj.com.br/noticia/abertura-ibovespa-opera-sem-direcao-definida-a-espera-por-ata-do-copom-bb-seguridade-dispara</v>
      </c>
      <c r="Y1766" s="77" t="s">
        <v>7053</v>
      </c>
      <c r="Z1766" s="77"/>
      <c r="AA1766" s="77"/>
      <c r="AB1766" s="77"/>
      <c r="AC1766" s="82" t="s">
        <v>8232</v>
      </c>
      <c r="AD1766" s="77" t="s">
        <v>8278</v>
      </c>
      <c r="AE1766" s="80" t="str">
        <f>HYPERLINK("https://twitter.com/leiaflj/status/1688554490654232576")</f>
        <v>https://twitter.com/leiaflj/status/1688554490654232576</v>
      </c>
      <c r="AF1766" s="79">
        <v>45145.594178240739</v>
      </c>
      <c r="AG1766" s="85">
        <v>45145</v>
      </c>
      <c r="AH1766" s="82" t="s">
        <v>9888</v>
      </c>
      <c r="AI1766" s="77" t="b">
        <v>0</v>
      </c>
      <c r="AJ1766" s="77"/>
      <c r="AK1766" s="77"/>
      <c r="AL1766" s="77"/>
      <c r="AM1766" s="77"/>
      <c r="AN1766" s="77"/>
      <c r="AO1766" s="77"/>
      <c r="AP1766" s="77"/>
      <c r="AQ1766" s="77"/>
      <c r="AR1766" s="77"/>
      <c r="AS1766" s="77"/>
      <c r="AT1766" s="77"/>
      <c r="AU1766" s="77"/>
      <c r="AV1766" s="80" t="str">
        <f>HYPERLINK("https://pbs.twimg.com/profile_images/1620068456165933060/TShADQck_normal.jpg")</f>
        <v>https://pbs.twimg.com/profile_images/1620068456165933060/TShADQck_normal.jpg</v>
      </c>
      <c r="AW1766" s="82" t="s">
        <v>14857</v>
      </c>
      <c r="AX1766" s="82" t="s">
        <v>14857</v>
      </c>
      <c r="AY1766" s="77"/>
      <c r="AZ1766" s="82" t="s">
        <v>17385</v>
      </c>
      <c r="BA1766" s="82" t="s">
        <v>17385</v>
      </c>
      <c r="BB1766" s="82" t="s">
        <v>17385</v>
      </c>
      <c r="BC1766" s="82" t="s">
        <v>14857</v>
      </c>
      <c r="BD1766" s="82" t="s">
        <v>17557</v>
      </c>
      <c r="BE1766" s="77"/>
      <c r="BF1766" s="77"/>
      <c r="BG1766" s="77"/>
      <c r="BH1766" s="77"/>
      <c r="BI1766" s="77"/>
    </row>
    <row r="1767" spans="1:61" x14ac:dyDescent="0.25">
      <c r="A1767" s="62" t="s">
        <v>435</v>
      </c>
      <c r="B1767" s="62" t="s">
        <v>435</v>
      </c>
      <c r="C1767" s="63"/>
      <c r="D1767" s="64"/>
      <c r="E1767" s="65"/>
      <c r="F1767" s="66"/>
      <c r="G1767" s="63"/>
      <c r="H1767" s="67"/>
      <c r="I1767" s="68"/>
      <c r="J1767" s="68"/>
      <c r="K1767" s="32"/>
      <c r="L1767" s="75">
        <v>1767</v>
      </c>
      <c r="M1767" s="75"/>
      <c r="N1767" s="70"/>
      <c r="O1767" s="77" t="s">
        <v>179</v>
      </c>
      <c r="P1767" s="79">
        <v>45114.631608796299</v>
      </c>
      <c r="Q1767" s="77" t="s">
        <v>2553</v>
      </c>
      <c r="R1767" s="77">
        <v>1</v>
      </c>
      <c r="S1767" s="77">
        <v>4</v>
      </c>
      <c r="T1767" s="77">
        <v>0</v>
      </c>
      <c r="U1767" s="77">
        <v>0</v>
      </c>
      <c r="V1767" s="77">
        <v>431</v>
      </c>
      <c r="W1767" s="82" t="s">
        <v>5941</v>
      </c>
      <c r="X1767" s="80" t="str">
        <f>HYPERLINK("https://flj.com.br/noticia/acoes-da-3r-petrolleum-rrrp3-disparam-apos-dados-de-producao")</f>
        <v>https://flj.com.br/noticia/acoes-da-3r-petrolleum-rrrp3-disparam-apos-dados-de-producao</v>
      </c>
      <c r="Y1767" s="77" t="s">
        <v>7053</v>
      </c>
      <c r="Z1767" s="77"/>
      <c r="AA1767" s="77"/>
      <c r="AB1767" s="77"/>
      <c r="AC1767" s="82" t="s">
        <v>8232</v>
      </c>
      <c r="AD1767" s="77" t="s">
        <v>8278</v>
      </c>
      <c r="AE1767" s="80" t="str">
        <f>HYPERLINK("https://twitter.com/leiaflj/status/1677334035020783621")</f>
        <v>https://twitter.com/leiaflj/status/1677334035020783621</v>
      </c>
      <c r="AF1767" s="79">
        <v>45114.631608796299</v>
      </c>
      <c r="AG1767" s="85">
        <v>45114</v>
      </c>
      <c r="AH1767" s="82" t="s">
        <v>9889</v>
      </c>
      <c r="AI1767" s="77" t="b">
        <v>0</v>
      </c>
      <c r="AJ1767" s="77"/>
      <c r="AK1767" s="77"/>
      <c r="AL1767" s="77"/>
      <c r="AM1767" s="77"/>
      <c r="AN1767" s="77"/>
      <c r="AO1767" s="77"/>
      <c r="AP1767" s="77"/>
      <c r="AQ1767" s="77"/>
      <c r="AR1767" s="77"/>
      <c r="AS1767" s="77"/>
      <c r="AT1767" s="77"/>
      <c r="AU1767" s="77"/>
      <c r="AV1767" s="80" t="str">
        <f>HYPERLINK("https://pbs.twimg.com/profile_images/1620068456165933060/TShADQck_normal.jpg")</f>
        <v>https://pbs.twimg.com/profile_images/1620068456165933060/TShADQck_normal.jpg</v>
      </c>
      <c r="AW1767" s="82" t="s">
        <v>14858</v>
      </c>
      <c r="AX1767" s="82" t="s">
        <v>14858</v>
      </c>
      <c r="AY1767" s="77"/>
      <c r="AZ1767" s="82" t="s">
        <v>17385</v>
      </c>
      <c r="BA1767" s="82" t="s">
        <v>17385</v>
      </c>
      <c r="BB1767" s="82" t="s">
        <v>17385</v>
      </c>
      <c r="BC1767" s="82" t="s">
        <v>14858</v>
      </c>
      <c r="BD1767" s="82" t="s">
        <v>17557</v>
      </c>
      <c r="BE1767" s="77"/>
      <c r="BF1767" s="77"/>
      <c r="BG1767" s="77"/>
      <c r="BH1767" s="77"/>
      <c r="BI1767" s="77"/>
    </row>
    <row r="1768" spans="1:61" x14ac:dyDescent="0.25">
      <c r="A1768" s="62" t="s">
        <v>435</v>
      </c>
      <c r="B1768" s="62" t="s">
        <v>435</v>
      </c>
      <c r="C1768" s="63"/>
      <c r="D1768" s="64"/>
      <c r="E1768" s="65"/>
      <c r="F1768" s="66"/>
      <c r="G1768" s="63"/>
      <c r="H1768" s="67"/>
      <c r="I1768" s="68"/>
      <c r="J1768" s="68"/>
      <c r="K1768" s="32"/>
      <c r="L1768" s="75">
        <v>1768</v>
      </c>
      <c r="M1768" s="75"/>
      <c r="N1768" s="70"/>
      <c r="O1768" s="77" t="s">
        <v>179</v>
      </c>
      <c r="P1768" s="79">
        <v>45113.476701388892</v>
      </c>
      <c r="Q1768" s="77" t="s">
        <v>2554</v>
      </c>
      <c r="R1768" s="77">
        <v>0</v>
      </c>
      <c r="S1768" s="77">
        <v>0</v>
      </c>
      <c r="T1768" s="77">
        <v>0</v>
      </c>
      <c r="U1768" s="77">
        <v>0</v>
      </c>
      <c r="V1768" s="77">
        <v>101</v>
      </c>
      <c r="W1768" s="82" t="s">
        <v>5942</v>
      </c>
      <c r="X1768" s="80" t="str">
        <f>HYPERLINK("https://flj.com.br/noticia/mercado-internacional-recua-antes-de-dados-do-emprego")</f>
        <v>https://flj.com.br/noticia/mercado-internacional-recua-antes-de-dados-do-emprego</v>
      </c>
      <c r="Y1768" s="77" t="s">
        <v>7053</v>
      </c>
      <c r="Z1768" s="77"/>
      <c r="AA1768" s="77"/>
      <c r="AB1768" s="77"/>
      <c r="AC1768" s="82" t="s">
        <v>8232</v>
      </c>
      <c r="AD1768" s="77" t="s">
        <v>8281</v>
      </c>
      <c r="AE1768" s="80" t="str">
        <f>HYPERLINK("https://twitter.com/leiaflj/status/1676915508816367617")</f>
        <v>https://twitter.com/leiaflj/status/1676915508816367617</v>
      </c>
      <c r="AF1768" s="79">
        <v>45113.476701388892</v>
      </c>
      <c r="AG1768" s="85">
        <v>45113</v>
      </c>
      <c r="AH1768" s="82" t="s">
        <v>9890</v>
      </c>
      <c r="AI1768" s="77" t="b">
        <v>0</v>
      </c>
      <c r="AJ1768" s="77"/>
      <c r="AK1768" s="77"/>
      <c r="AL1768" s="77"/>
      <c r="AM1768" s="77"/>
      <c r="AN1768" s="77"/>
      <c r="AO1768" s="77"/>
      <c r="AP1768" s="77"/>
      <c r="AQ1768" s="77"/>
      <c r="AR1768" s="77"/>
      <c r="AS1768" s="77"/>
      <c r="AT1768" s="77"/>
      <c r="AU1768" s="77"/>
      <c r="AV1768" s="80" t="str">
        <f>HYPERLINK("https://pbs.twimg.com/profile_images/1620068456165933060/TShADQck_normal.jpg")</f>
        <v>https://pbs.twimg.com/profile_images/1620068456165933060/TShADQck_normal.jpg</v>
      </c>
      <c r="AW1768" s="82" t="s">
        <v>14859</v>
      </c>
      <c r="AX1768" s="82" t="s">
        <v>14859</v>
      </c>
      <c r="AY1768" s="77"/>
      <c r="AZ1768" s="82" t="s">
        <v>17385</v>
      </c>
      <c r="BA1768" s="82" t="s">
        <v>17385</v>
      </c>
      <c r="BB1768" s="82" t="s">
        <v>17385</v>
      </c>
      <c r="BC1768" s="82" t="s">
        <v>14859</v>
      </c>
      <c r="BD1768" s="82" t="s">
        <v>17557</v>
      </c>
      <c r="BE1768" s="77"/>
      <c r="BF1768" s="77"/>
      <c r="BG1768" s="77"/>
      <c r="BH1768" s="77"/>
      <c r="BI1768" s="77"/>
    </row>
    <row r="1769" spans="1:61" x14ac:dyDescent="0.25">
      <c r="A1769" s="62" t="s">
        <v>435</v>
      </c>
      <c r="B1769" s="62" t="s">
        <v>435</v>
      </c>
      <c r="C1769" s="63"/>
      <c r="D1769" s="64"/>
      <c r="E1769" s="65"/>
      <c r="F1769" s="66"/>
      <c r="G1769" s="63"/>
      <c r="H1769" s="67"/>
      <c r="I1769" s="68"/>
      <c r="J1769" s="68"/>
      <c r="K1769" s="32"/>
      <c r="L1769" s="75">
        <v>1769</v>
      </c>
      <c r="M1769" s="75"/>
      <c r="N1769" s="70"/>
      <c r="O1769" s="77" t="s">
        <v>179</v>
      </c>
      <c r="P1769" s="79">
        <v>45077.608657407407</v>
      </c>
      <c r="Q1769" s="77" t="s">
        <v>2555</v>
      </c>
      <c r="R1769" s="77">
        <v>0</v>
      </c>
      <c r="S1769" s="77">
        <v>2</v>
      </c>
      <c r="T1769" s="77">
        <v>0</v>
      </c>
      <c r="U1769" s="77">
        <v>0</v>
      </c>
      <c r="V1769" s="77">
        <v>135</v>
      </c>
      <c r="W1769" s="82" t="s">
        <v>5909</v>
      </c>
      <c r="X1769" s="80" t="str">
        <f>HYPERLINK("https://flj.com.br/noticia/ibovespa-cai-pressionado-por-commodites-apos-dados-da-china")</f>
        <v>https://flj.com.br/noticia/ibovespa-cai-pressionado-por-commodites-apos-dados-da-china</v>
      </c>
      <c r="Y1769" s="77" t="s">
        <v>7053</v>
      </c>
      <c r="Z1769" s="77"/>
      <c r="AA1769" s="77"/>
      <c r="AB1769" s="77"/>
      <c r="AC1769" s="82" t="s">
        <v>8232</v>
      </c>
      <c r="AD1769" s="77" t="s">
        <v>8278</v>
      </c>
      <c r="AE1769" s="80" t="str">
        <f>HYPERLINK("https://twitter.com/leiaflj/status/1663917364977573890")</f>
        <v>https://twitter.com/leiaflj/status/1663917364977573890</v>
      </c>
      <c r="AF1769" s="79">
        <v>45077.608657407407</v>
      </c>
      <c r="AG1769" s="85">
        <v>45077</v>
      </c>
      <c r="AH1769" s="82" t="s">
        <v>9891</v>
      </c>
      <c r="AI1769" s="77" t="b">
        <v>0</v>
      </c>
      <c r="AJ1769" s="77"/>
      <c r="AK1769" s="77"/>
      <c r="AL1769" s="77"/>
      <c r="AM1769" s="77"/>
      <c r="AN1769" s="77"/>
      <c r="AO1769" s="77"/>
      <c r="AP1769" s="77"/>
      <c r="AQ1769" s="77"/>
      <c r="AR1769" s="77"/>
      <c r="AS1769" s="77"/>
      <c r="AT1769" s="77"/>
      <c r="AU1769" s="77"/>
      <c r="AV1769" s="80" t="str">
        <f>HYPERLINK("https://pbs.twimg.com/profile_images/1620068456165933060/TShADQck_normal.jpg")</f>
        <v>https://pbs.twimg.com/profile_images/1620068456165933060/TShADQck_normal.jpg</v>
      </c>
      <c r="AW1769" s="82" t="s">
        <v>14860</v>
      </c>
      <c r="AX1769" s="82" t="s">
        <v>14860</v>
      </c>
      <c r="AY1769" s="77"/>
      <c r="AZ1769" s="82" t="s">
        <v>17385</v>
      </c>
      <c r="BA1769" s="82" t="s">
        <v>17385</v>
      </c>
      <c r="BB1769" s="82" t="s">
        <v>17385</v>
      </c>
      <c r="BC1769" s="82" t="s">
        <v>14860</v>
      </c>
      <c r="BD1769" s="82" t="s">
        <v>17557</v>
      </c>
      <c r="BE1769" s="77"/>
      <c r="BF1769" s="77"/>
      <c r="BG1769" s="77"/>
      <c r="BH1769" s="77"/>
      <c r="BI1769" s="77"/>
    </row>
    <row r="1770" spans="1:61" x14ac:dyDescent="0.25">
      <c r="A1770" s="62" t="s">
        <v>435</v>
      </c>
      <c r="B1770" s="62" t="s">
        <v>435</v>
      </c>
      <c r="C1770" s="63"/>
      <c r="D1770" s="64"/>
      <c r="E1770" s="65"/>
      <c r="F1770" s="66"/>
      <c r="G1770" s="63"/>
      <c r="H1770" s="67"/>
      <c r="I1770" s="68"/>
      <c r="J1770" s="68"/>
      <c r="K1770" s="32"/>
      <c r="L1770" s="75">
        <v>1770</v>
      </c>
      <c r="M1770" s="75"/>
      <c r="N1770" s="70"/>
      <c r="O1770" s="77" t="s">
        <v>179</v>
      </c>
      <c r="P1770" s="79">
        <v>45077.511967592596</v>
      </c>
      <c r="Q1770" s="77" t="s">
        <v>2556</v>
      </c>
      <c r="R1770" s="77">
        <v>0</v>
      </c>
      <c r="S1770" s="77">
        <v>2</v>
      </c>
      <c r="T1770" s="77">
        <v>0</v>
      </c>
      <c r="U1770" s="77">
        <v>0</v>
      </c>
      <c r="V1770" s="77">
        <v>213</v>
      </c>
      <c r="W1770" s="82" t="s">
        <v>5943</v>
      </c>
      <c r="X1770" s="80" t="str">
        <f>HYPERLINK("https://flj.com.br/noticia/brf-brfs3-recebe-compromisso-de-investimento-em-ate-250-milhoes-de-acoes")</f>
        <v>https://flj.com.br/noticia/brf-brfs3-recebe-compromisso-de-investimento-em-ate-250-milhoes-de-acoes</v>
      </c>
      <c r="Y1770" s="77" t="s">
        <v>7053</v>
      </c>
      <c r="Z1770" s="77"/>
      <c r="AA1770" s="77"/>
      <c r="AB1770" s="77"/>
      <c r="AC1770" s="82" t="s">
        <v>8232</v>
      </c>
      <c r="AD1770" s="77" t="s">
        <v>8278</v>
      </c>
      <c r="AE1770" s="80" t="str">
        <f>HYPERLINK("https://twitter.com/leiaflj/status/1663882323534684160")</f>
        <v>https://twitter.com/leiaflj/status/1663882323534684160</v>
      </c>
      <c r="AF1770" s="79">
        <v>45077.511967592596</v>
      </c>
      <c r="AG1770" s="85">
        <v>45077</v>
      </c>
      <c r="AH1770" s="82" t="s">
        <v>9892</v>
      </c>
      <c r="AI1770" s="77" t="b">
        <v>0</v>
      </c>
      <c r="AJ1770" s="77"/>
      <c r="AK1770" s="77"/>
      <c r="AL1770" s="77"/>
      <c r="AM1770" s="77"/>
      <c r="AN1770" s="77"/>
      <c r="AO1770" s="77"/>
      <c r="AP1770" s="77"/>
      <c r="AQ1770" s="77"/>
      <c r="AR1770" s="77"/>
      <c r="AS1770" s="77"/>
      <c r="AT1770" s="77"/>
      <c r="AU1770" s="77"/>
      <c r="AV1770" s="80" t="str">
        <f>HYPERLINK("https://pbs.twimg.com/profile_images/1620068456165933060/TShADQck_normal.jpg")</f>
        <v>https://pbs.twimg.com/profile_images/1620068456165933060/TShADQck_normal.jpg</v>
      </c>
      <c r="AW1770" s="82" t="s">
        <v>14861</v>
      </c>
      <c r="AX1770" s="82" t="s">
        <v>14861</v>
      </c>
      <c r="AY1770" s="77"/>
      <c r="AZ1770" s="82" t="s">
        <v>17385</v>
      </c>
      <c r="BA1770" s="82" t="s">
        <v>17385</v>
      </c>
      <c r="BB1770" s="82" t="s">
        <v>17385</v>
      </c>
      <c r="BC1770" s="82" t="s">
        <v>14861</v>
      </c>
      <c r="BD1770" s="82" t="s">
        <v>17557</v>
      </c>
      <c r="BE1770" s="77"/>
      <c r="BF1770" s="77"/>
      <c r="BG1770" s="77"/>
      <c r="BH1770" s="77"/>
      <c r="BI1770" s="77"/>
    </row>
    <row r="1771" spans="1:61" x14ac:dyDescent="0.25">
      <c r="A1771" s="62" t="s">
        <v>435</v>
      </c>
      <c r="B1771" s="62" t="s">
        <v>435</v>
      </c>
      <c r="C1771" s="63"/>
      <c r="D1771" s="64"/>
      <c r="E1771" s="65"/>
      <c r="F1771" s="66"/>
      <c r="G1771" s="63"/>
      <c r="H1771" s="67"/>
      <c r="I1771" s="68"/>
      <c r="J1771" s="68"/>
      <c r="K1771" s="32"/>
      <c r="L1771" s="75">
        <v>1771</v>
      </c>
      <c r="M1771" s="75"/>
      <c r="N1771" s="70"/>
      <c r="O1771" s="77" t="s">
        <v>179</v>
      </c>
      <c r="P1771" s="79">
        <v>45076.532453703701</v>
      </c>
      <c r="Q1771" s="77" t="s">
        <v>2557</v>
      </c>
      <c r="R1771" s="77">
        <v>0</v>
      </c>
      <c r="S1771" s="77">
        <v>1</v>
      </c>
      <c r="T1771" s="77">
        <v>0</v>
      </c>
      <c r="U1771" s="77">
        <v>0</v>
      </c>
      <c r="V1771" s="77">
        <v>100</v>
      </c>
      <c r="W1771" s="82" t="s">
        <v>5944</v>
      </c>
      <c r="X1771" s="80" t="str">
        <f>HYPERLINK("https://flj.com.br/noticia/camil-caml3-aprova-pagamento-de-r-25-milhoes-em-proventos")</f>
        <v>https://flj.com.br/noticia/camil-caml3-aprova-pagamento-de-r-25-milhoes-em-proventos</v>
      </c>
      <c r="Y1771" s="77" t="s">
        <v>7053</v>
      </c>
      <c r="Z1771" s="77"/>
      <c r="AA1771" s="77"/>
      <c r="AB1771" s="77"/>
      <c r="AC1771" s="82" t="s">
        <v>8232</v>
      </c>
      <c r="AD1771" s="77" t="s">
        <v>8278</v>
      </c>
      <c r="AE1771" s="80" t="str">
        <f>HYPERLINK("https://twitter.com/leiaflj/status/1663527363144032258")</f>
        <v>https://twitter.com/leiaflj/status/1663527363144032258</v>
      </c>
      <c r="AF1771" s="79">
        <v>45076.532453703701</v>
      </c>
      <c r="AG1771" s="85">
        <v>45076</v>
      </c>
      <c r="AH1771" s="82" t="s">
        <v>9893</v>
      </c>
      <c r="AI1771" s="77" t="b">
        <v>0</v>
      </c>
      <c r="AJ1771" s="77"/>
      <c r="AK1771" s="77"/>
      <c r="AL1771" s="77"/>
      <c r="AM1771" s="77"/>
      <c r="AN1771" s="77"/>
      <c r="AO1771" s="77"/>
      <c r="AP1771" s="77"/>
      <c r="AQ1771" s="77"/>
      <c r="AR1771" s="77"/>
      <c r="AS1771" s="77"/>
      <c r="AT1771" s="77"/>
      <c r="AU1771" s="77"/>
      <c r="AV1771" s="80" t="str">
        <f>HYPERLINK("https://pbs.twimg.com/profile_images/1620068456165933060/TShADQck_normal.jpg")</f>
        <v>https://pbs.twimg.com/profile_images/1620068456165933060/TShADQck_normal.jpg</v>
      </c>
      <c r="AW1771" s="82" t="s">
        <v>14862</v>
      </c>
      <c r="AX1771" s="82" t="s">
        <v>14862</v>
      </c>
      <c r="AY1771" s="77"/>
      <c r="AZ1771" s="82" t="s">
        <v>17385</v>
      </c>
      <c r="BA1771" s="82" t="s">
        <v>17385</v>
      </c>
      <c r="BB1771" s="82" t="s">
        <v>17385</v>
      </c>
      <c r="BC1771" s="82" t="s">
        <v>14862</v>
      </c>
      <c r="BD1771" s="82" t="s">
        <v>17557</v>
      </c>
      <c r="BE1771" s="77"/>
      <c r="BF1771" s="77"/>
      <c r="BG1771" s="77"/>
      <c r="BH1771" s="77"/>
      <c r="BI1771" s="77"/>
    </row>
    <row r="1772" spans="1:61" x14ac:dyDescent="0.25">
      <c r="A1772" s="62" t="s">
        <v>435</v>
      </c>
      <c r="B1772" s="62" t="s">
        <v>435</v>
      </c>
      <c r="C1772" s="63"/>
      <c r="D1772" s="64"/>
      <c r="E1772" s="65"/>
      <c r="F1772" s="66"/>
      <c r="G1772" s="63"/>
      <c r="H1772" s="67"/>
      <c r="I1772" s="68"/>
      <c r="J1772" s="68"/>
      <c r="K1772" s="32"/>
      <c r="L1772" s="75">
        <v>1772</v>
      </c>
      <c r="M1772" s="75"/>
      <c r="N1772" s="70"/>
      <c r="O1772" s="77" t="s">
        <v>179</v>
      </c>
      <c r="P1772" s="79">
        <v>45076.505752314813</v>
      </c>
      <c r="Q1772" s="77" t="s">
        <v>2558</v>
      </c>
      <c r="R1772" s="77">
        <v>0</v>
      </c>
      <c r="S1772" s="77">
        <v>0</v>
      </c>
      <c r="T1772" s="77">
        <v>0</v>
      </c>
      <c r="U1772" s="77">
        <v>0</v>
      </c>
      <c r="V1772" s="77">
        <v>106</v>
      </c>
      <c r="W1772" s="82" t="s">
        <v>5945</v>
      </c>
      <c r="X1772" s="80" t="str">
        <f>HYPERLINK("https://flj.com.br/noticia/smart-fit-smft3-patria-precifica-acoes-da-companhia-a-r-18-15")</f>
        <v>https://flj.com.br/noticia/smart-fit-smft3-patria-precifica-acoes-da-companhia-a-r-18-15</v>
      </c>
      <c r="Y1772" s="77" t="s">
        <v>7053</v>
      </c>
      <c r="Z1772" s="77"/>
      <c r="AA1772" s="77"/>
      <c r="AB1772" s="77"/>
      <c r="AC1772" s="82" t="s">
        <v>8232</v>
      </c>
      <c r="AD1772" s="77" t="s">
        <v>8278</v>
      </c>
      <c r="AE1772" s="80" t="str">
        <f>HYPERLINK("https://twitter.com/leiaflj/status/1663517685928304641")</f>
        <v>https://twitter.com/leiaflj/status/1663517685928304641</v>
      </c>
      <c r="AF1772" s="79">
        <v>45076.505752314813</v>
      </c>
      <c r="AG1772" s="85">
        <v>45076</v>
      </c>
      <c r="AH1772" s="82" t="s">
        <v>9894</v>
      </c>
      <c r="AI1772" s="77" t="b">
        <v>0</v>
      </c>
      <c r="AJ1772" s="77"/>
      <c r="AK1772" s="77"/>
      <c r="AL1772" s="77"/>
      <c r="AM1772" s="77"/>
      <c r="AN1772" s="77"/>
      <c r="AO1772" s="77"/>
      <c r="AP1772" s="77"/>
      <c r="AQ1772" s="77"/>
      <c r="AR1772" s="77"/>
      <c r="AS1772" s="77"/>
      <c r="AT1772" s="77"/>
      <c r="AU1772" s="77"/>
      <c r="AV1772" s="80" t="str">
        <f>HYPERLINK("https://pbs.twimg.com/profile_images/1620068456165933060/TShADQck_normal.jpg")</f>
        <v>https://pbs.twimg.com/profile_images/1620068456165933060/TShADQck_normal.jpg</v>
      </c>
      <c r="AW1772" s="82" t="s">
        <v>14863</v>
      </c>
      <c r="AX1772" s="82" t="s">
        <v>14863</v>
      </c>
      <c r="AY1772" s="77"/>
      <c r="AZ1772" s="82" t="s">
        <v>17385</v>
      </c>
      <c r="BA1772" s="82" t="s">
        <v>17385</v>
      </c>
      <c r="BB1772" s="82" t="s">
        <v>17385</v>
      </c>
      <c r="BC1772" s="82" t="s">
        <v>14863</v>
      </c>
      <c r="BD1772" s="82" t="s">
        <v>17557</v>
      </c>
      <c r="BE1772" s="77"/>
      <c r="BF1772" s="77"/>
      <c r="BG1772" s="77"/>
      <c r="BH1772" s="77"/>
      <c r="BI1772" s="77"/>
    </row>
    <row r="1773" spans="1:61" x14ac:dyDescent="0.25">
      <c r="A1773" s="62" t="s">
        <v>435</v>
      </c>
      <c r="B1773" s="62" t="s">
        <v>435</v>
      </c>
      <c r="C1773" s="63"/>
      <c r="D1773" s="64"/>
      <c r="E1773" s="65"/>
      <c r="F1773" s="66"/>
      <c r="G1773" s="63"/>
      <c r="H1773" s="67"/>
      <c r="I1773" s="68"/>
      <c r="J1773" s="68"/>
      <c r="K1773" s="32"/>
      <c r="L1773" s="75">
        <v>1773</v>
      </c>
      <c r="M1773" s="75"/>
      <c r="N1773" s="70"/>
      <c r="O1773" s="77" t="s">
        <v>179</v>
      </c>
      <c r="P1773" s="79">
        <v>45075.85255787037</v>
      </c>
      <c r="Q1773" s="77" t="s">
        <v>2559</v>
      </c>
      <c r="R1773" s="77">
        <v>0</v>
      </c>
      <c r="S1773" s="77">
        <v>1</v>
      </c>
      <c r="T1773" s="77">
        <v>0</v>
      </c>
      <c r="U1773" s="77">
        <v>0</v>
      </c>
      <c r="V1773" s="77">
        <v>123</v>
      </c>
      <c r="W1773" s="82" t="s">
        <v>5946</v>
      </c>
      <c r="X1773" s="80" t="str">
        <f>HYPERLINK("https://flj.com.br/noticia/ibovespa-fecha-em-queda-em-dia-de-volume-reduzido-com-feriado-nos-eua")</f>
        <v>https://flj.com.br/noticia/ibovespa-fecha-em-queda-em-dia-de-volume-reduzido-com-feriado-nos-eua</v>
      </c>
      <c r="Y1773" s="77" t="s">
        <v>7053</v>
      </c>
      <c r="Z1773" s="77"/>
      <c r="AA1773" s="77"/>
      <c r="AB1773" s="77"/>
      <c r="AC1773" s="82" t="s">
        <v>8232</v>
      </c>
      <c r="AD1773" s="77" t="s">
        <v>8278</v>
      </c>
      <c r="AE1773" s="80" t="str">
        <f>HYPERLINK("https://twitter.com/leiaflj/status/1663280976598843394")</f>
        <v>https://twitter.com/leiaflj/status/1663280976598843394</v>
      </c>
      <c r="AF1773" s="79">
        <v>45075.85255787037</v>
      </c>
      <c r="AG1773" s="85">
        <v>45075</v>
      </c>
      <c r="AH1773" s="82" t="s">
        <v>9895</v>
      </c>
      <c r="AI1773" s="77" t="b">
        <v>0</v>
      </c>
      <c r="AJ1773" s="77"/>
      <c r="AK1773" s="77"/>
      <c r="AL1773" s="77"/>
      <c r="AM1773" s="77"/>
      <c r="AN1773" s="77"/>
      <c r="AO1773" s="77"/>
      <c r="AP1773" s="77"/>
      <c r="AQ1773" s="77"/>
      <c r="AR1773" s="77"/>
      <c r="AS1773" s="77"/>
      <c r="AT1773" s="77"/>
      <c r="AU1773" s="77"/>
      <c r="AV1773" s="80" t="str">
        <f>HYPERLINK("https://pbs.twimg.com/profile_images/1620068456165933060/TShADQck_normal.jpg")</f>
        <v>https://pbs.twimg.com/profile_images/1620068456165933060/TShADQck_normal.jpg</v>
      </c>
      <c r="AW1773" s="82" t="s">
        <v>14864</v>
      </c>
      <c r="AX1773" s="82" t="s">
        <v>14864</v>
      </c>
      <c r="AY1773" s="77"/>
      <c r="AZ1773" s="82" t="s">
        <v>17385</v>
      </c>
      <c r="BA1773" s="82" t="s">
        <v>17385</v>
      </c>
      <c r="BB1773" s="82" t="s">
        <v>17385</v>
      </c>
      <c r="BC1773" s="82" t="s">
        <v>14864</v>
      </c>
      <c r="BD1773" s="82" t="s">
        <v>17557</v>
      </c>
      <c r="BE1773" s="77"/>
      <c r="BF1773" s="77"/>
      <c r="BG1773" s="77"/>
      <c r="BH1773" s="77"/>
      <c r="BI1773" s="77"/>
    </row>
    <row r="1774" spans="1:61" x14ac:dyDescent="0.25">
      <c r="A1774" s="62" t="s">
        <v>435</v>
      </c>
      <c r="B1774" s="62" t="s">
        <v>435</v>
      </c>
      <c r="C1774" s="63"/>
      <c r="D1774" s="64"/>
      <c r="E1774" s="65"/>
      <c r="F1774" s="66"/>
      <c r="G1774" s="63"/>
      <c r="H1774" s="67"/>
      <c r="I1774" s="68"/>
      <c r="J1774" s="68"/>
      <c r="K1774" s="32"/>
      <c r="L1774" s="75">
        <v>1774</v>
      </c>
      <c r="M1774" s="75"/>
      <c r="N1774" s="70"/>
      <c r="O1774" s="77" t="s">
        <v>179</v>
      </c>
      <c r="P1774" s="79">
        <v>45075.637650462966</v>
      </c>
      <c r="Q1774" s="77" t="s">
        <v>2560</v>
      </c>
      <c r="R1774" s="77">
        <v>1</v>
      </c>
      <c r="S1774" s="77">
        <v>2</v>
      </c>
      <c r="T1774" s="77">
        <v>0</v>
      </c>
      <c r="U1774" s="77">
        <v>0</v>
      </c>
      <c r="V1774" s="77">
        <v>204</v>
      </c>
      <c r="W1774" s="82" t="s">
        <v>5947</v>
      </c>
      <c r="X1774" s="80" t="str">
        <f>HYPERLINK("https://flj.com.br/noticia/cemig-cmig4-descubra-os-motivos-que-podem-fazer-a-acao-cair-segundo-o-santander")</f>
        <v>https://flj.com.br/noticia/cemig-cmig4-descubra-os-motivos-que-podem-fazer-a-acao-cair-segundo-o-santander</v>
      </c>
      <c r="Y1774" s="77" t="s">
        <v>7053</v>
      </c>
      <c r="Z1774" s="77"/>
      <c r="AA1774" s="77"/>
      <c r="AB1774" s="77"/>
      <c r="AC1774" s="82" t="s">
        <v>8232</v>
      </c>
      <c r="AD1774" s="77" t="s">
        <v>8278</v>
      </c>
      <c r="AE1774" s="80" t="str">
        <f>HYPERLINK("https://twitter.com/leiaflj/status/1663203096984535040")</f>
        <v>https://twitter.com/leiaflj/status/1663203096984535040</v>
      </c>
      <c r="AF1774" s="79">
        <v>45075.637650462966</v>
      </c>
      <c r="AG1774" s="85">
        <v>45075</v>
      </c>
      <c r="AH1774" s="82" t="s">
        <v>9896</v>
      </c>
      <c r="AI1774" s="77" t="b">
        <v>0</v>
      </c>
      <c r="AJ1774" s="77"/>
      <c r="AK1774" s="77"/>
      <c r="AL1774" s="77"/>
      <c r="AM1774" s="77"/>
      <c r="AN1774" s="77"/>
      <c r="AO1774" s="77"/>
      <c r="AP1774" s="77"/>
      <c r="AQ1774" s="77"/>
      <c r="AR1774" s="77"/>
      <c r="AS1774" s="77"/>
      <c r="AT1774" s="77"/>
      <c r="AU1774" s="77"/>
      <c r="AV1774" s="80" t="str">
        <f>HYPERLINK("https://pbs.twimg.com/profile_images/1620068456165933060/TShADQck_normal.jpg")</f>
        <v>https://pbs.twimg.com/profile_images/1620068456165933060/TShADQck_normal.jpg</v>
      </c>
      <c r="AW1774" s="82" t="s">
        <v>14865</v>
      </c>
      <c r="AX1774" s="82" t="s">
        <v>14865</v>
      </c>
      <c r="AY1774" s="77"/>
      <c r="AZ1774" s="82" t="s">
        <v>17385</v>
      </c>
      <c r="BA1774" s="82" t="s">
        <v>17385</v>
      </c>
      <c r="BB1774" s="82" t="s">
        <v>17385</v>
      </c>
      <c r="BC1774" s="82" t="s">
        <v>14865</v>
      </c>
      <c r="BD1774" s="82" t="s">
        <v>17557</v>
      </c>
      <c r="BE1774" s="77"/>
      <c r="BF1774" s="77"/>
      <c r="BG1774" s="77"/>
      <c r="BH1774" s="77"/>
      <c r="BI1774" s="77"/>
    </row>
    <row r="1775" spans="1:61" x14ac:dyDescent="0.25">
      <c r="A1775" s="62" t="s">
        <v>435</v>
      </c>
      <c r="B1775" s="62" t="s">
        <v>435</v>
      </c>
      <c r="C1775" s="63"/>
      <c r="D1775" s="64"/>
      <c r="E1775" s="65"/>
      <c r="F1775" s="66"/>
      <c r="G1775" s="63"/>
      <c r="H1775" s="67"/>
      <c r="I1775" s="68"/>
      <c r="J1775" s="68"/>
      <c r="K1775" s="32"/>
      <c r="L1775" s="75">
        <v>1775</v>
      </c>
      <c r="M1775" s="75"/>
      <c r="N1775" s="70"/>
      <c r="O1775" s="77" t="s">
        <v>179</v>
      </c>
      <c r="P1775" s="79">
        <v>45075.558287037034</v>
      </c>
      <c r="Q1775" s="77" t="s">
        <v>2561</v>
      </c>
      <c r="R1775" s="77">
        <v>0</v>
      </c>
      <c r="S1775" s="77">
        <v>1</v>
      </c>
      <c r="T1775" s="77">
        <v>0</v>
      </c>
      <c r="U1775" s="77">
        <v>0</v>
      </c>
      <c r="V1775" s="77">
        <v>131</v>
      </c>
      <c r="W1775" s="82" t="s">
        <v>5909</v>
      </c>
      <c r="X1775" s="80" t="str">
        <f>HYPERLINK("https://flj.com.br/noticia/ibovespa-oscila-pouco-na-abertura-em-dia-com-feriado-nos-eua")</f>
        <v>https://flj.com.br/noticia/ibovespa-oscila-pouco-na-abertura-em-dia-com-feriado-nos-eua</v>
      </c>
      <c r="Y1775" s="77" t="s">
        <v>7053</v>
      </c>
      <c r="Z1775" s="77"/>
      <c r="AA1775" s="77"/>
      <c r="AB1775" s="77"/>
      <c r="AC1775" s="82" t="s">
        <v>8232</v>
      </c>
      <c r="AD1775" s="77" t="s">
        <v>8278</v>
      </c>
      <c r="AE1775" s="80" t="str">
        <f>HYPERLINK("https://twitter.com/leiaflj/status/1663174336776208386")</f>
        <v>https://twitter.com/leiaflj/status/1663174336776208386</v>
      </c>
      <c r="AF1775" s="79">
        <v>45075.558287037034</v>
      </c>
      <c r="AG1775" s="85">
        <v>45075</v>
      </c>
      <c r="AH1775" s="82" t="s">
        <v>9897</v>
      </c>
      <c r="AI1775" s="77" t="b">
        <v>0</v>
      </c>
      <c r="AJ1775" s="77"/>
      <c r="AK1775" s="77"/>
      <c r="AL1775" s="77"/>
      <c r="AM1775" s="77"/>
      <c r="AN1775" s="77"/>
      <c r="AO1775" s="77"/>
      <c r="AP1775" s="77"/>
      <c r="AQ1775" s="77"/>
      <c r="AR1775" s="77"/>
      <c r="AS1775" s="77"/>
      <c r="AT1775" s="77"/>
      <c r="AU1775" s="77"/>
      <c r="AV1775" s="80" t="str">
        <f>HYPERLINK("https://pbs.twimg.com/profile_images/1620068456165933060/TShADQck_normal.jpg")</f>
        <v>https://pbs.twimg.com/profile_images/1620068456165933060/TShADQck_normal.jpg</v>
      </c>
      <c r="AW1775" s="82" t="s">
        <v>14866</v>
      </c>
      <c r="AX1775" s="82" t="s">
        <v>14866</v>
      </c>
      <c r="AY1775" s="77"/>
      <c r="AZ1775" s="82" t="s">
        <v>17385</v>
      </c>
      <c r="BA1775" s="82" t="s">
        <v>17385</v>
      </c>
      <c r="BB1775" s="82" t="s">
        <v>17385</v>
      </c>
      <c r="BC1775" s="82" t="s">
        <v>14866</v>
      </c>
      <c r="BD1775" s="82" t="s">
        <v>17557</v>
      </c>
      <c r="BE1775" s="77"/>
      <c r="BF1775" s="77"/>
      <c r="BG1775" s="77"/>
      <c r="BH1775" s="77"/>
      <c r="BI1775" s="77"/>
    </row>
    <row r="1776" spans="1:61" x14ac:dyDescent="0.25">
      <c r="A1776" s="62" t="s">
        <v>435</v>
      </c>
      <c r="B1776" s="62" t="s">
        <v>435</v>
      </c>
      <c r="C1776" s="63"/>
      <c r="D1776" s="64"/>
      <c r="E1776" s="65"/>
      <c r="F1776" s="66"/>
      <c r="G1776" s="63"/>
      <c r="H1776" s="67"/>
      <c r="I1776" s="68"/>
      <c r="J1776" s="68"/>
      <c r="K1776" s="32"/>
      <c r="L1776" s="75">
        <v>1776</v>
      </c>
      <c r="M1776" s="75"/>
      <c r="N1776" s="70"/>
      <c r="O1776" s="77" t="s">
        <v>179</v>
      </c>
      <c r="P1776" s="79">
        <v>45075.538344907407</v>
      </c>
      <c r="Q1776" s="77" t="s">
        <v>2562</v>
      </c>
      <c r="R1776" s="77">
        <v>2</v>
      </c>
      <c r="S1776" s="77">
        <v>8</v>
      </c>
      <c r="T1776" s="77">
        <v>0</v>
      </c>
      <c r="U1776" s="77">
        <v>0</v>
      </c>
      <c r="V1776" s="77">
        <v>1353</v>
      </c>
      <c r="W1776" s="82" t="s">
        <v>5948</v>
      </c>
      <c r="X1776" s="80" t="str">
        <f>HYPERLINK("https://flj.com.br/noticia/3r-petroeleum-rrrp3-retoma-operacao-de-polo-papa-terra")</f>
        <v>https://flj.com.br/noticia/3r-petroeleum-rrrp3-retoma-operacao-de-polo-papa-terra</v>
      </c>
      <c r="Y1776" s="77" t="s">
        <v>7053</v>
      </c>
      <c r="Z1776" s="77"/>
      <c r="AA1776" s="77"/>
      <c r="AB1776" s="77"/>
      <c r="AC1776" s="82" t="s">
        <v>8232</v>
      </c>
      <c r="AD1776" s="77" t="s">
        <v>8278</v>
      </c>
      <c r="AE1776" s="80" t="str">
        <f>HYPERLINK("https://twitter.com/leiaflj/status/1663167109453475841")</f>
        <v>https://twitter.com/leiaflj/status/1663167109453475841</v>
      </c>
      <c r="AF1776" s="79">
        <v>45075.538344907407</v>
      </c>
      <c r="AG1776" s="85">
        <v>45075</v>
      </c>
      <c r="AH1776" s="82" t="s">
        <v>9898</v>
      </c>
      <c r="AI1776" s="77" t="b">
        <v>0</v>
      </c>
      <c r="AJ1776" s="77"/>
      <c r="AK1776" s="77"/>
      <c r="AL1776" s="77"/>
      <c r="AM1776" s="77"/>
      <c r="AN1776" s="77"/>
      <c r="AO1776" s="77"/>
      <c r="AP1776" s="77"/>
      <c r="AQ1776" s="77"/>
      <c r="AR1776" s="77"/>
      <c r="AS1776" s="77"/>
      <c r="AT1776" s="77"/>
      <c r="AU1776" s="77"/>
      <c r="AV1776" s="80" t="str">
        <f>HYPERLINK("https://pbs.twimg.com/profile_images/1620068456165933060/TShADQck_normal.jpg")</f>
        <v>https://pbs.twimg.com/profile_images/1620068456165933060/TShADQck_normal.jpg</v>
      </c>
      <c r="AW1776" s="82" t="s">
        <v>14867</v>
      </c>
      <c r="AX1776" s="82" t="s">
        <v>14867</v>
      </c>
      <c r="AY1776" s="77"/>
      <c r="AZ1776" s="82" t="s">
        <v>17385</v>
      </c>
      <c r="BA1776" s="82" t="s">
        <v>17385</v>
      </c>
      <c r="BB1776" s="82" t="s">
        <v>17385</v>
      </c>
      <c r="BC1776" s="82" t="s">
        <v>14867</v>
      </c>
      <c r="BD1776" s="82" t="s">
        <v>17557</v>
      </c>
      <c r="BE1776" s="77"/>
      <c r="BF1776" s="77"/>
      <c r="BG1776" s="77"/>
      <c r="BH1776" s="77"/>
      <c r="BI1776" s="77"/>
    </row>
    <row r="1777" spans="1:61" x14ac:dyDescent="0.25">
      <c r="A1777" s="62" t="s">
        <v>435</v>
      </c>
      <c r="B1777" s="62" t="s">
        <v>435</v>
      </c>
      <c r="C1777" s="63"/>
      <c r="D1777" s="64"/>
      <c r="E1777" s="65"/>
      <c r="F1777" s="66"/>
      <c r="G1777" s="63"/>
      <c r="H1777" s="67"/>
      <c r="I1777" s="68"/>
      <c r="J1777" s="68"/>
      <c r="K1777" s="32"/>
      <c r="L1777" s="75">
        <v>1777</v>
      </c>
      <c r="M1777" s="75"/>
      <c r="N1777" s="70"/>
      <c r="O1777" s="77" t="s">
        <v>179</v>
      </c>
      <c r="P1777" s="79">
        <v>45075.485648148147</v>
      </c>
      <c r="Q1777" s="77" t="s">
        <v>2563</v>
      </c>
      <c r="R1777" s="77">
        <v>0</v>
      </c>
      <c r="S1777" s="77">
        <v>1</v>
      </c>
      <c r="T1777" s="77">
        <v>0</v>
      </c>
      <c r="U1777" s="77">
        <v>0</v>
      </c>
      <c r="V1777" s="77">
        <v>235</v>
      </c>
      <c r="W1777" s="82" t="s">
        <v>5949</v>
      </c>
      <c r="X1777" s="80" t="str">
        <f>HYPERLINK("https://flj.com.br/noticia/petrobras-e-vibra-anima-stone-3r-petroleum-gpa")</f>
        <v>https://flj.com.br/noticia/petrobras-e-vibra-anima-stone-3r-petroleum-gpa</v>
      </c>
      <c r="Y1777" s="77" t="s">
        <v>7053</v>
      </c>
      <c r="Z1777" s="77"/>
      <c r="AA1777" s="77"/>
      <c r="AB1777" s="77"/>
      <c r="AC1777" s="82" t="s">
        <v>8232</v>
      </c>
      <c r="AD1777" s="77" t="s">
        <v>8278</v>
      </c>
      <c r="AE1777" s="80" t="str">
        <f>HYPERLINK("https://twitter.com/leiaflj/status/1663148010069536768")</f>
        <v>https://twitter.com/leiaflj/status/1663148010069536768</v>
      </c>
      <c r="AF1777" s="79">
        <v>45075.485648148147</v>
      </c>
      <c r="AG1777" s="85">
        <v>45075</v>
      </c>
      <c r="AH1777" s="82" t="s">
        <v>9899</v>
      </c>
      <c r="AI1777" s="77" t="b">
        <v>0</v>
      </c>
      <c r="AJ1777" s="77"/>
      <c r="AK1777" s="77"/>
      <c r="AL1777" s="77"/>
      <c r="AM1777" s="77"/>
      <c r="AN1777" s="77"/>
      <c r="AO1777" s="77"/>
      <c r="AP1777" s="77"/>
      <c r="AQ1777" s="77"/>
      <c r="AR1777" s="77"/>
      <c r="AS1777" s="77"/>
      <c r="AT1777" s="77"/>
      <c r="AU1777" s="77"/>
      <c r="AV1777" s="80" t="str">
        <f>HYPERLINK("https://pbs.twimg.com/profile_images/1620068456165933060/TShADQck_normal.jpg")</f>
        <v>https://pbs.twimg.com/profile_images/1620068456165933060/TShADQck_normal.jpg</v>
      </c>
      <c r="AW1777" s="82" t="s">
        <v>14868</v>
      </c>
      <c r="AX1777" s="82" t="s">
        <v>14868</v>
      </c>
      <c r="AY1777" s="77"/>
      <c r="AZ1777" s="82" t="s">
        <v>17385</v>
      </c>
      <c r="BA1777" s="82" t="s">
        <v>17385</v>
      </c>
      <c r="BB1777" s="82" t="s">
        <v>17385</v>
      </c>
      <c r="BC1777" s="82" t="s">
        <v>14868</v>
      </c>
      <c r="BD1777" s="82" t="s">
        <v>17557</v>
      </c>
      <c r="BE1777" s="77"/>
      <c r="BF1777" s="77"/>
      <c r="BG1777" s="77"/>
      <c r="BH1777" s="77"/>
      <c r="BI1777" s="77"/>
    </row>
    <row r="1778" spans="1:61" x14ac:dyDescent="0.25">
      <c r="A1778" s="62" t="s">
        <v>435</v>
      </c>
      <c r="B1778" s="62" t="s">
        <v>435</v>
      </c>
      <c r="C1778" s="63"/>
      <c r="D1778" s="64"/>
      <c r="E1778" s="65"/>
      <c r="F1778" s="66"/>
      <c r="G1778" s="63"/>
      <c r="H1778" s="67"/>
      <c r="I1778" s="68"/>
      <c r="J1778" s="68"/>
      <c r="K1778" s="32"/>
      <c r="L1778" s="75">
        <v>1778</v>
      </c>
      <c r="M1778" s="75"/>
      <c r="N1778" s="70"/>
      <c r="O1778" s="77" t="s">
        <v>179</v>
      </c>
      <c r="P1778" s="79">
        <v>45166.469618055555</v>
      </c>
      <c r="Q1778" s="77" t="s">
        <v>2564</v>
      </c>
      <c r="R1778" s="77">
        <v>0</v>
      </c>
      <c r="S1778" s="77">
        <v>3</v>
      </c>
      <c r="T1778" s="77">
        <v>0</v>
      </c>
      <c r="U1778" s="77">
        <v>0</v>
      </c>
      <c r="V1778" s="77">
        <v>148</v>
      </c>
      <c r="W1778" s="82" t="s">
        <v>5918</v>
      </c>
      <c r="X1778" s="80" t="str">
        <f>HYPERLINK("https://flj.com.br/noticia/mercados-sobem-de-olho-em-juros-e-com-china-no-radar")</f>
        <v>https://flj.com.br/noticia/mercados-sobem-de-olho-em-juros-e-com-china-no-radar</v>
      </c>
      <c r="Y1778" s="77" t="s">
        <v>7053</v>
      </c>
      <c r="Z1778" s="77"/>
      <c r="AA1778" s="77"/>
      <c r="AB1778" s="77"/>
      <c r="AC1778" s="82" t="s">
        <v>8232</v>
      </c>
      <c r="AD1778" s="77" t="s">
        <v>8278</v>
      </c>
      <c r="AE1778" s="80" t="str">
        <f>HYPERLINK("https://twitter.com/leiaflj/status/1696119498518982931")</f>
        <v>https://twitter.com/leiaflj/status/1696119498518982931</v>
      </c>
      <c r="AF1778" s="79">
        <v>45166.469618055555</v>
      </c>
      <c r="AG1778" s="85">
        <v>45166</v>
      </c>
      <c r="AH1778" s="82" t="s">
        <v>9900</v>
      </c>
      <c r="AI1778" s="77" t="b">
        <v>0</v>
      </c>
      <c r="AJ1778" s="77"/>
      <c r="AK1778" s="77"/>
      <c r="AL1778" s="77"/>
      <c r="AM1778" s="77"/>
      <c r="AN1778" s="77"/>
      <c r="AO1778" s="77"/>
      <c r="AP1778" s="77"/>
      <c r="AQ1778" s="77"/>
      <c r="AR1778" s="77"/>
      <c r="AS1778" s="77"/>
      <c r="AT1778" s="77"/>
      <c r="AU1778" s="77"/>
      <c r="AV1778" s="80" t="str">
        <f>HYPERLINK("https://pbs.twimg.com/profile_images/1620068456165933060/TShADQck_normal.jpg")</f>
        <v>https://pbs.twimg.com/profile_images/1620068456165933060/TShADQck_normal.jpg</v>
      </c>
      <c r="AW1778" s="82" t="s">
        <v>14869</v>
      </c>
      <c r="AX1778" s="82" t="s">
        <v>14869</v>
      </c>
      <c r="AY1778" s="77"/>
      <c r="AZ1778" s="82" t="s">
        <v>17385</v>
      </c>
      <c r="BA1778" s="82" t="s">
        <v>17385</v>
      </c>
      <c r="BB1778" s="82" t="s">
        <v>17385</v>
      </c>
      <c r="BC1778" s="82" t="s">
        <v>14869</v>
      </c>
      <c r="BD1778" s="82" t="s">
        <v>17557</v>
      </c>
      <c r="BE1778" s="77"/>
      <c r="BF1778" s="77"/>
      <c r="BG1778" s="77"/>
      <c r="BH1778" s="77"/>
      <c r="BI1778" s="77"/>
    </row>
    <row r="1779" spans="1:61" x14ac:dyDescent="0.25">
      <c r="A1779" s="62" t="s">
        <v>435</v>
      </c>
      <c r="B1779" s="62" t="s">
        <v>435</v>
      </c>
      <c r="C1779" s="63"/>
      <c r="D1779" s="64"/>
      <c r="E1779" s="65"/>
      <c r="F1779" s="66"/>
      <c r="G1779" s="63"/>
      <c r="H1779" s="67"/>
      <c r="I1779" s="68"/>
      <c r="J1779" s="68"/>
      <c r="K1779" s="32"/>
      <c r="L1779" s="75">
        <v>1779</v>
      </c>
      <c r="M1779" s="75"/>
      <c r="N1779" s="70"/>
      <c r="O1779" s="77" t="s">
        <v>179</v>
      </c>
      <c r="P1779" s="79">
        <v>45156.915810185186</v>
      </c>
      <c r="Q1779" s="77" t="s">
        <v>2565</v>
      </c>
      <c r="R1779" s="77">
        <v>0</v>
      </c>
      <c r="S1779" s="77">
        <v>0</v>
      </c>
      <c r="T1779" s="77">
        <v>0</v>
      </c>
      <c r="U1779" s="77">
        <v>0</v>
      </c>
      <c r="V1779" s="77">
        <v>135</v>
      </c>
      <c r="W1779" s="82" t="s">
        <v>5950</v>
      </c>
      <c r="X1779" s="80" t="str">
        <f>HYPERLINK("http://flj.com.br/noticia/irb-apos-alta-de-71-em-2023-investidores-se-dividem-entre-otimismo-e-cautela")</f>
        <v>http://flj.com.br/noticia/irb-apos-alta-de-71-em-2023-investidores-se-dividem-entre-otimismo-e-cautela</v>
      </c>
      <c r="Y1779" s="77" t="s">
        <v>7053</v>
      </c>
      <c r="Z1779" s="77"/>
      <c r="AA1779" s="77"/>
      <c r="AB1779" s="77"/>
      <c r="AC1779" s="82" t="s">
        <v>8232</v>
      </c>
      <c r="AD1779" s="77" t="s">
        <v>8278</v>
      </c>
      <c r="AE1779" s="80" t="str">
        <f>HYPERLINK("https://twitter.com/leiaflj/status/1692657314048651437")</f>
        <v>https://twitter.com/leiaflj/status/1692657314048651437</v>
      </c>
      <c r="AF1779" s="79">
        <v>45156.915810185186</v>
      </c>
      <c r="AG1779" s="85">
        <v>45156</v>
      </c>
      <c r="AH1779" s="82" t="s">
        <v>9901</v>
      </c>
      <c r="AI1779" s="77" t="b">
        <v>0</v>
      </c>
      <c r="AJ1779" s="77"/>
      <c r="AK1779" s="77"/>
      <c r="AL1779" s="77"/>
      <c r="AM1779" s="77"/>
      <c r="AN1779" s="77"/>
      <c r="AO1779" s="77"/>
      <c r="AP1779" s="77"/>
      <c r="AQ1779" s="77"/>
      <c r="AR1779" s="77"/>
      <c r="AS1779" s="77"/>
      <c r="AT1779" s="77"/>
      <c r="AU1779" s="77"/>
      <c r="AV1779" s="80" t="str">
        <f>HYPERLINK("https://pbs.twimg.com/profile_images/1620068456165933060/TShADQck_normal.jpg")</f>
        <v>https://pbs.twimg.com/profile_images/1620068456165933060/TShADQck_normal.jpg</v>
      </c>
      <c r="AW1779" s="82" t="s">
        <v>14870</v>
      </c>
      <c r="AX1779" s="82" t="s">
        <v>14870</v>
      </c>
      <c r="AY1779" s="77"/>
      <c r="AZ1779" s="82" t="s">
        <v>17385</v>
      </c>
      <c r="BA1779" s="82" t="s">
        <v>17385</v>
      </c>
      <c r="BB1779" s="82" t="s">
        <v>17385</v>
      </c>
      <c r="BC1779" s="82" t="s">
        <v>14870</v>
      </c>
      <c r="BD1779" s="82" t="s">
        <v>17557</v>
      </c>
      <c r="BE1779" s="77"/>
      <c r="BF1779" s="77"/>
      <c r="BG1779" s="77"/>
      <c r="BH1779" s="77"/>
      <c r="BI1779" s="77"/>
    </row>
    <row r="1780" spans="1:61" x14ac:dyDescent="0.25">
      <c r="A1780" s="62" t="s">
        <v>435</v>
      </c>
      <c r="B1780" s="62" t="s">
        <v>435</v>
      </c>
      <c r="C1780" s="63"/>
      <c r="D1780" s="64"/>
      <c r="E1780" s="65"/>
      <c r="F1780" s="66"/>
      <c r="G1780" s="63"/>
      <c r="H1780" s="67"/>
      <c r="I1780" s="68"/>
      <c r="J1780" s="68"/>
      <c r="K1780" s="32"/>
      <c r="L1780" s="75">
        <v>1780</v>
      </c>
      <c r="M1780" s="75"/>
      <c r="N1780" s="70"/>
      <c r="O1780" s="77" t="s">
        <v>179</v>
      </c>
      <c r="P1780" s="79">
        <v>45152.793368055558</v>
      </c>
      <c r="Q1780" s="77" t="s">
        <v>2566</v>
      </c>
      <c r="R1780" s="77">
        <v>0</v>
      </c>
      <c r="S1780" s="77">
        <v>1</v>
      </c>
      <c r="T1780" s="77">
        <v>0</v>
      </c>
      <c r="U1780" s="77">
        <v>0</v>
      </c>
      <c r="V1780" s="77">
        <v>123</v>
      </c>
      <c r="W1780" s="82" t="s">
        <v>5951</v>
      </c>
      <c r="X1780" s="80" t="str">
        <f>HYPERLINK("https://flj.com.br/noticia/por-que-yduqs-yduq3-desaba-12-nesta-segunda-feira")</f>
        <v>https://flj.com.br/noticia/por-que-yduqs-yduq3-desaba-12-nesta-segunda-feira</v>
      </c>
      <c r="Y1780" s="77" t="s">
        <v>7053</v>
      </c>
      <c r="Z1780" s="77"/>
      <c r="AA1780" s="77"/>
      <c r="AB1780" s="77"/>
      <c r="AC1780" s="82" t="s">
        <v>8232</v>
      </c>
      <c r="AD1780" s="77" t="s">
        <v>8281</v>
      </c>
      <c r="AE1780" s="80" t="str">
        <f>HYPERLINK("https://twitter.com/leiaflj/status/1691163391816060930")</f>
        <v>https://twitter.com/leiaflj/status/1691163391816060930</v>
      </c>
      <c r="AF1780" s="79">
        <v>45152.793368055558</v>
      </c>
      <c r="AG1780" s="85">
        <v>45152</v>
      </c>
      <c r="AH1780" s="82" t="s">
        <v>9902</v>
      </c>
      <c r="AI1780" s="77" t="b">
        <v>0</v>
      </c>
      <c r="AJ1780" s="77"/>
      <c r="AK1780" s="77"/>
      <c r="AL1780" s="77"/>
      <c r="AM1780" s="77"/>
      <c r="AN1780" s="77"/>
      <c r="AO1780" s="77"/>
      <c r="AP1780" s="77"/>
      <c r="AQ1780" s="77"/>
      <c r="AR1780" s="77"/>
      <c r="AS1780" s="77"/>
      <c r="AT1780" s="77"/>
      <c r="AU1780" s="77"/>
      <c r="AV1780" s="80" t="str">
        <f>HYPERLINK("https://pbs.twimg.com/profile_images/1620068456165933060/TShADQck_normal.jpg")</f>
        <v>https://pbs.twimg.com/profile_images/1620068456165933060/TShADQck_normal.jpg</v>
      </c>
      <c r="AW1780" s="82" t="s">
        <v>14871</v>
      </c>
      <c r="AX1780" s="82" t="s">
        <v>14871</v>
      </c>
      <c r="AY1780" s="77"/>
      <c r="AZ1780" s="82" t="s">
        <v>17385</v>
      </c>
      <c r="BA1780" s="82" t="s">
        <v>17385</v>
      </c>
      <c r="BB1780" s="82" t="s">
        <v>17385</v>
      </c>
      <c r="BC1780" s="82" t="s">
        <v>14871</v>
      </c>
      <c r="BD1780" s="82" t="s">
        <v>17557</v>
      </c>
      <c r="BE1780" s="77"/>
      <c r="BF1780" s="77"/>
      <c r="BG1780" s="77"/>
      <c r="BH1780" s="77"/>
      <c r="BI1780" s="77"/>
    </row>
    <row r="1781" spans="1:61" x14ac:dyDescent="0.25">
      <c r="A1781" s="62" t="s">
        <v>435</v>
      </c>
      <c r="B1781" s="62" t="s">
        <v>435</v>
      </c>
      <c r="C1781" s="63"/>
      <c r="D1781" s="64"/>
      <c r="E1781" s="65"/>
      <c r="F1781" s="66"/>
      <c r="G1781" s="63"/>
      <c r="H1781" s="67"/>
      <c r="I1781" s="68"/>
      <c r="J1781" s="68"/>
      <c r="K1781" s="32"/>
      <c r="L1781" s="75">
        <v>1781</v>
      </c>
      <c r="M1781" s="75"/>
      <c r="N1781" s="70"/>
      <c r="O1781" s="77" t="s">
        <v>179</v>
      </c>
      <c r="P1781" s="79">
        <v>45138.640335648146</v>
      </c>
      <c r="Q1781" s="77" t="s">
        <v>2567</v>
      </c>
      <c r="R1781" s="77">
        <v>0</v>
      </c>
      <c r="S1781" s="77">
        <v>0</v>
      </c>
      <c r="T1781" s="77">
        <v>1</v>
      </c>
      <c r="U1781" s="77">
        <v>0</v>
      </c>
      <c r="V1781" s="77">
        <v>7306</v>
      </c>
      <c r="W1781" s="82" t="s">
        <v>5952</v>
      </c>
      <c r="X1781" s="80" t="str">
        <f>HYPERLINK("https://flj.com.br/noticia/petrobras-petr4-nova-politica-de-dividendos-abre-caminho-para-compra-das-acoes")</f>
        <v>https://flj.com.br/noticia/petrobras-petr4-nova-politica-de-dividendos-abre-caminho-para-compra-das-acoes</v>
      </c>
      <c r="Y1781" s="77" t="s">
        <v>7053</v>
      </c>
      <c r="Z1781" s="77"/>
      <c r="AA1781" s="77"/>
      <c r="AB1781" s="77"/>
      <c r="AC1781" s="82" t="s">
        <v>8232</v>
      </c>
      <c r="AD1781" s="77" t="s">
        <v>8278</v>
      </c>
      <c r="AE1781" s="80" t="str">
        <f>HYPERLINK("https://twitter.com/leiaflj/status/1686034504056549376")</f>
        <v>https://twitter.com/leiaflj/status/1686034504056549376</v>
      </c>
      <c r="AF1781" s="79">
        <v>45138.640335648146</v>
      </c>
      <c r="AG1781" s="85">
        <v>45138</v>
      </c>
      <c r="AH1781" s="82" t="s">
        <v>9903</v>
      </c>
      <c r="AI1781" s="77" t="b">
        <v>0</v>
      </c>
      <c r="AJ1781" s="77"/>
      <c r="AK1781" s="77"/>
      <c r="AL1781" s="77"/>
      <c r="AM1781" s="77"/>
      <c r="AN1781" s="77"/>
      <c r="AO1781" s="77"/>
      <c r="AP1781" s="77"/>
      <c r="AQ1781" s="77"/>
      <c r="AR1781" s="77"/>
      <c r="AS1781" s="77"/>
      <c r="AT1781" s="77"/>
      <c r="AU1781" s="77"/>
      <c r="AV1781" s="80" t="str">
        <f>HYPERLINK("https://pbs.twimg.com/profile_images/1620068456165933060/TShADQck_normal.jpg")</f>
        <v>https://pbs.twimg.com/profile_images/1620068456165933060/TShADQck_normal.jpg</v>
      </c>
      <c r="AW1781" s="82" t="s">
        <v>14872</v>
      </c>
      <c r="AX1781" s="82" t="s">
        <v>14872</v>
      </c>
      <c r="AY1781" s="77"/>
      <c r="AZ1781" s="82" t="s">
        <v>17385</v>
      </c>
      <c r="BA1781" s="82" t="s">
        <v>17385</v>
      </c>
      <c r="BB1781" s="82" t="s">
        <v>17385</v>
      </c>
      <c r="BC1781" s="82" t="s">
        <v>14872</v>
      </c>
      <c r="BD1781" s="82" t="s">
        <v>17557</v>
      </c>
      <c r="BE1781" s="77"/>
      <c r="BF1781" s="77"/>
      <c r="BG1781" s="77"/>
      <c r="BH1781" s="77"/>
      <c r="BI1781" s="77"/>
    </row>
    <row r="1782" spans="1:61" x14ac:dyDescent="0.25">
      <c r="A1782" s="62" t="s">
        <v>435</v>
      </c>
      <c r="B1782" s="62" t="s">
        <v>435</v>
      </c>
      <c r="C1782" s="63"/>
      <c r="D1782" s="64"/>
      <c r="E1782" s="65"/>
      <c r="F1782" s="66"/>
      <c r="G1782" s="63"/>
      <c r="H1782" s="67"/>
      <c r="I1782" s="68"/>
      <c r="J1782" s="68"/>
      <c r="K1782" s="32"/>
      <c r="L1782" s="75">
        <v>1782</v>
      </c>
      <c r="M1782" s="75"/>
      <c r="N1782" s="70"/>
      <c r="O1782" s="77" t="s">
        <v>179</v>
      </c>
      <c r="P1782" s="79">
        <v>45116.500011574077</v>
      </c>
      <c r="Q1782" s="77" t="s">
        <v>2568</v>
      </c>
      <c r="R1782" s="77">
        <v>0</v>
      </c>
      <c r="S1782" s="77">
        <v>0</v>
      </c>
      <c r="T1782" s="77">
        <v>0</v>
      </c>
      <c r="U1782" s="77">
        <v>0</v>
      </c>
      <c r="V1782" s="77">
        <v>124</v>
      </c>
      <c r="W1782" s="82" t="s">
        <v>5907</v>
      </c>
      <c r="X1782" s="80" t="str">
        <f>HYPERLINK("https://flj.com.br/")</f>
        <v>https://flj.com.br/</v>
      </c>
      <c r="Y1782" s="77" t="s">
        <v>7053</v>
      </c>
      <c r="Z1782" s="77"/>
      <c r="AA1782" s="77" t="s">
        <v>7896</v>
      </c>
      <c r="AB1782" s="77" t="s">
        <v>8229</v>
      </c>
      <c r="AC1782" s="82" t="s">
        <v>8232</v>
      </c>
      <c r="AD1782" s="77" t="s">
        <v>8278</v>
      </c>
      <c r="AE1782" s="80" t="str">
        <f>HYPERLINK("https://twitter.com/leiaflj/status/1678011121033261062")</f>
        <v>https://twitter.com/leiaflj/status/1678011121033261062</v>
      </c>
      <c r="AF1782" s="79">
        <v>45116.500011574077</v>
      </c>
      <c r="AG1782" s="85">
        <v>45116</v>
      </c>
      <c r="AH1782" s="82" t="s">
        <v>8596</v>
      </c>
      <c r="AI1782" s="77" t="b">
        <v>0</v>
      </c>
      <c r="AJ1782" s="77"/>
      <c r="AK1782" s="77"/>
      <c r="AL1782" s="77"/>
      <c r="AM1782" s="77"/>
      <c r="AN1782" s="77"/>
      <c r="AO1782" s="77"/>
      <c r="AP1782" s="77"/>
      <c r="AQ1782" s="77" t="s">
        <v>12781</v>
      </c>
      <c r="AR1782" s="77"/>
      <c r="AS1782" s="77"/>
      <c r="AT1782" s="77"/>
      <c r="AU1782" s="77"/>
      <c r="AV1782" s="80" t="str">
        <f>HYPERLINK("https://pbs.twimg.com/media/F0dZwliXgAIH_Z6.jpg")</f>
        <v>https://pbs.twimg.com/media/F0dZwliXgAIH_Z6.jpg</v>
      </c>
      <c r="AW1782" s="82" t="s">
        <v>14873</v>
      </c>
      <c r="AX1782" s="82" t="s">
        <v>14873</v>
      </c>
      <c r="AY1782" s="77"/>
      <c r="AZ1782" s="82" t="s">
        <v>17385</v>
      </c>
      <c r="BA1782" s="82" t="s">
        <v>17385</v>
      </c>
      <c r="BB1782" s="82" t="s">
        <v>17385</v>
      </c>
      <c r="BC1782" s="82" t="s">
        <v>14873</v>
      </c>
      <c r="BD1782" s="82" t="s">
        <v>17557</v>
      </c>
      <c r="BE1782" s="77"/>
      <c r="BF1782" s="77"/>
      <c r="BG1782" s="77"/>
      <c r="BH1782" s="77"/>
      <c r="BI1782" s="77"/>
    </row>
    <row r="1783" spans="1:61" x14ac:dyDescent="0.25">
      <c r="A1783" s="62" t="s">
        <v>435</v>
      </c>
      <c r="B1783" s="62" t="s">
        <v>435</v>
      </c>
      <c r="C1783" s="63"/>
      <c r="D1783" s="64"/>
      <c r="E1783" s="65"/>
      <c r="F1783" s="66"/>
      <c r="G1783" s="63"/>
      <c r="H1783" s="67"/>
      <c r="I1783" s="68"/>
      <c r="J1783" s="68"/>
      <c r="K1783" s="32"/>
      <c r="L1783" s="75">
        <v>1783</v>
      </c>
      <c r="M1783" s="75"/>
      <c r="N1783" s="70"/>
      <c r="O1783" s="77" t="s">
        <v>179</v>
      </c>
      <c r="P1783" s="79">
        <v>45109.5</v>
      </c>
      <c r="Q1783" s="77" t="s">
        <v>2569</v>
      </c>
      <c r="R1783" s="77">
        <v>0</v>
      </c>
      <c r="S1783" s="77">
        <v>1</v>
      </c>
      <c r="T1783" s="77">
        <v>0</v>
      </c>
      <c r="U1783" s="77">
        <v>0</v>
      </c>
      <c r="V1783" s="77">
        <v>130</v>
      </c>
      <c r="W1783" s="82" t="s">
        <v>5907</v>
      </c>
      <c r="X1783" s="80" t="str">
        <f>HYPERLINK("https://flj.com.br/")</f>
        <v>https://flj.com.br/</v>
      </c>
      <c r="Y1783" s="77" t="s">
        <v>7053</v>
      </c>
      <c r="Z1783" s="77"/>
      <c r="AA1783" s="77" t="s">
        <v>7897</v>
      </c>
      <c r="AB1783" s="77" t="s">
        <v>8229</v>
      </c>
      <c r="AC1783" s="82" t="s">
        <v>8232</v>
      </c>
      <c r="AD1783" s="77" t="s">
        <v>8278</v>
      </c>
      <c r="AE1783" s="80" t="str">
        <f>HYPERLINK("https://twitter.com/leiaflj/status/1675474400584560640")</f>
        <v>https://twitter.com/leiaflj/status/1675474400584560640</v>
      </c>
      <c r="AF1783" s="79">
        <v>45109.5</v>
      </c>
      <c r="AG1783" s="85">
        <v>45109</v>
      </c>
      <c r="AH1783" s="82" t="s">
        <v>8595</v>
      </c>
      <c r="AI1783" s="77" t="b">
        <v>0</v>
      </c>
      <c r="AJ1783" s="77"/>
      <c r="AK1783" s="77"/>
      <c r="AL1783" s="77"/>
      <c r="AM1783" s="77"/>
      <c r="AN1783" s="77"/>
      <c r="AO1783" s="77"/>
      <c r="AP1783" s="77"/>
      <c r="AQ1783" s="77" t="s">
        <v>12782</v>
      </c>
      <c r="AR1783" s="77"/>
      <c r="AS1783" s="77"/>
      <c r="AT1783" s="77"/>
      <c r="AU1783" s="77"/>
      <c r="AV1783" s="80" t="str">
        <f>HYPERLINK("https://pbs.twimg.com/media/Fz63h00WwAMP0Z8.jpg")</f>
        <v>https://pbs.twimg.com/media/Fz63h00WwAMP0Z8.jpg</v>
      </c>
      <c r="AW1783" s="82" t="s">
        <v>14874</v>
      </c>
      <c r="AX1783" s="82" t="s">
        <v>14874</v>
      </c>
      <c r="AY1783" s="77"/>
      <c r="AZ1783" s="82" t="s">
        <v>17385</v>
      </c>
      <c r="BA1783" s="82" t="s">
        <v>17385</v>
      </c>
      <c r="BB1783" s="82" t="s">
        <v>17385</v>
      </c>
      <c r="BC1783" s="82" t="s">
        <v>14874</v>
      </c>
      <c r="BD1783" s="82" t="s">
        <v>17557</v>
      </c>
      <c r="BE1783" s="77"/>
      <c r="BF1783" s="77"/>
      <c r="BG1783" s="77"/>
      <c r="BH1783" s="77"/>
      <c r="BI1783" s="77"/>
    </row>
    <row r="1784" spans="1:61" x14ac:dyDescent="0.25">
      <c r="A1784" s="62" t="s">
        <v>435</v>
      </c>
      <c r="B1784" s="62" t="s">
        <v>435</v>
      </c>
      <c r="C1784" s="63"/>
      <c r="D1784" s="64"/>
      <c r="E1784" s="65"/>
      <c r="F1784" s="66"/>
      <c r="G1784" s="63"/>
      <c r="H1784" s="67"/>
      <c r="I1784" s="68"/>
      <c r="J1784" s="68"/>
      <c r="K1784" s="32"/>
      <c r="L1784" s="75">
        <v>1784</v>
      </c>
      <c r="M1784" s="75"/>
      <c r="N1784" s="70"/>
      <c r="O1784" s="77" t="s">
        <v>179</v>
      </c>
      <c r="P1784" s="79">
        <v>45107.540324074071</v>
      </c>
      <c r="Q1784" s="77" t="s">
        <v>2570</v>
      </c>
      <c r="R1784" s="77">
        <v>0</v>
      </c>
      <c r="S1784" s="77">
        <v>1</v>
      </c>
      <c r="T1784" s="77">
        <v>0</v>
      </c>
      <c r="U1784" s="77">
        <v>0</v>
      </c>
      <c r="V1784" s="77">
        <v>152</v>
      </c>
      <c r="W1784" s="82" t="s">
        <v>5953</v>
      </c>
      <c r="X1784" s="80" t="str">
        <f>HYPERLINK("https://flj.com.br/noticia/blackrock-vende-acoes-da-usiminas-usim5")</f>
        <v>https://flj.com.br/noticia/blackrock-vende-acoes-da-usiminas-usim5</v>
      </c>
      <c r="Y1784" s="77" t="s">
        <v>7053</v>
      </c>
      <c r="Z1784" s="77"/>
      <c r="AA1784" s="77"/>
      <c r="AB1784" s="77"/>
      <c r="AC1784" s="82" t="s">
        <v>8232</v>
      </c>
      <c r="AD1784" s="77" t="s">
        <v>8278</v>
      </c>
      <c r="AE1784" s="80" t="str">
        <f>HYPERLINK("https://twitter.com/leiaflj/status/1674764238491926533")</f>
        <v>https://twitter.com/leiaflj/status/1674764238491926533</v>
      </c>
      <c r="AF1784" s="79">
        <v>45107.540324074071</v>
      </c>
      <c r="AG1784" s="85">
        <v>45107</v>
      </c>
      <c r="AH1784" s="82" t="s">
        <v>9904</v>
      </c>
      <c r="AI1784" s="77" t="b">
        <v>0</v>
      </c>
      <c r="AJ1784" s="77"/>
      <c r="AK1784" s="77"/>
      <c r="AL1784" s="77"/>
      <c r="AM1784" s="77"/>
      <c r="AN1784" s="77"/>
      <c r="AO1784" s="77"/>
      <c r="AP1784" s="77"/>
      <c r="AQ1784" s="77"/>
      <c r="AR1784" s="77"/>
      <c r="AS1784" s="77"/>
      <c r="AT1784" s="77"/>
      <c r="AU1784" s="77"/>
      <c r="AV1784" s="80" t="str">
        <f>HYPERLINK("https://pbs.twimg.com/profile_images/1620068456165933060/TShADQck_normal.jpg")</f>
        <v>https://pbs.twimg.com/profile_images/1620068456165933060/TShADQck_normal.jpg</v>
      </c>
      <c r="AW1784" s="82" t="s">
        <v>14875</v>
      </c>
      <c r="AX1784" s="82" t="s">
        <v>14875</v>
      </c>
      <c r="AY1784" s="77"/>
      <c r="AZ1784" s="82" t="s">
        <v>17385</v>
      </c>
      <c r="BA1784" s="82" t="s">
        <v>17385</v>
      </c>
      <c r="BB1784" s="82" t="s">
        <v>17385</v>
      </c>
      <c r="BC1784" s="82" t="s">
        <v>14875</v>
      </c>
      <c r="BD1784" s="82" t="s">
        <v>17557</v>
      </c>
      <c r="BE1784" s="77"/>
      <c r="BF1784" s="77"/>
      <c r="BG1784" s="77"/>
      <c r="BH1784" s="77"/>
      <c r="BI1784" s="77"/>
    </row>
    <row r="1785" spans="1:61" x14ac:dyDescent="0.25">
      <c r="A1785" s="62" t="s">
        <v>435</v>
      </c>
      <c r="B1785" s="62" t="s">
        <v>435</v>
      </c>
      <c r="C1785" s="63"/>
      <c r="D1785" s="64"/>
      <c r="E1785" s="65"/>
      <c r="F1785" s="66"/>
      <c r="G1785" s="63"/>
      <c r="H1785" s="67"/>
      <c r="I1785" s="68"/>
      <c r="J1785" s="68"/>
      <c r="K1785" s="32"/>
      <c r="L1785" s="75">
        <v>1785</v>
      </c>
      <c r="M1785" s="75"/>
      <c r="N1785" s="70"/>
      <c r="O1785" s="77" t="s">
        <v>179</v>
      </c>
      <c r="P1785" s="79">
        <v>45085.603738425925</v>
      </c>
      <c r="Q1785" s="77" t="s">
        <v>2571</v>
      </c>
      <c r="R1785" s="77">
        <v>1</v>
      </c>
      <c r="S1785" s="77">
        <v>3</v>
      </c>
      <c r="T1785" s="77">
        <v>0</v>
      </c>
      <c r="U1785" s="77">
        <v>0</v>
      </c>
      <c r="V1785" s="77">
        <v>417</v>
      </c>
      <c r="W1785" s="82" t="s">
        <v>5954</v>
      </c>
      <c r="X1785" s="80" t="str">
        <f>HYPERLINK("https://flj.com.br/noticia/oi-oibr3-credores-desembolsam-primeira-parcela-de-us-200-milhoes-do-financiamento-dpi")</f>
        <v>https://flj.com.br/noticia/oi-oibr3-credores-desembolsam-primeira-parcela-de-us-200-milhoes-do-financiamento-dpi</v>
      </c>
      <c r="Y1785" s="77" t="s">
        <v>7053</v>
      </c>
      <c r="Z1785" s="77"/>
      <c r="AA1785" s="77"/>
      <c r="AB1785" s="77"/>
      <c r="AC1785" s="82" t="s">
        <v>8232</v>
      </c>
      <c r="AD1785" s="77" t="s">
        <v>8278</v>
      </c>
      <c r="AE1785" s="80" t="str">
        <f>HYPERLINK("https://twitter.com/leiaflj/status/1666814684534804489")</f>
        <v>https://twitter.com/leiaflj/status/1666814684534804489</v>
      </c>
      <c r="AF1785" s="79">
        <v>45085.603738425925</v>
      </c>
      <c r="AG1785" s="85">
        <v>45085</v>
      </c>
      <c r="AH1785" s="82" t="s">
        <v>9905</v>
      </c>
      <c r="AI1785" s="77" t="b">
        <v>0</v>
      </c>
      <c r="AJ1785" s="77"/>
      <c r="AK1785" s="77"/>
      <c r="AL1785" s="77"/>
      <c r="AM1785" s="77"/>
      <c r="AN1785" s="77"/>
      <c r="AO1785" s="77"/>
      <c r="AP1785" s="77"/>
      <c r="AQ1785" s="77"/>
      <c r="AR1785" s="77"/>
      <c r="AS1785" s="77"/>
      <c r="AT1785" s="77"/>
      <c r="AU1785" s="77"/>
      <c r="AV1785" s="80" t="str">
        <f>HYPERLINK("https://pbs.twimg.com/profile_images/1620068456165933060/TShADQck_normal.jpg")</f>
        <v>https://pbs.twimg.com/profile_images/1620068456165933060/TShADQck_normal.jpg</v>
      </c>
      <c r="AW1785" s="82" t="s">
        <v>14876</v>
      </c>
      <c r="AX1785" s="82" t="s">
        <v>14876</v>
      </c>
      <c r="AY1785" s="77"/>
      <c r="AZ1785" s="82" t="s">
        <v>17385</v>
      </c>
      <c r="BA1785" s="82" t="s">
        <v>17385</v>
      </c>
      <c r="BB1785" s="82" t="s">
        <v>17385</v>
      </c>
      <c r="BC1785" s="82" t="s">
        <v>14876</v>
      </c>
      <c r="BD1785" s="82" t="s">
        <v>17557</v>
      </c>
      <c r="BE1785" s="77"/>
      <c r="BF1785" s="77"/>
      <c r="BG1785" s="77"/>
      <c r="BH1785" s="77"/>
      <c r="BI1785" s="77"/>
    </row>
    <row r="1786" spans="1:61" x14ac:dyDescent="0.25">
      <c r="A1786" s="62" t="s">
        <v>435</v>
      </c>
      <c r="B1786" s="62" t="s">
        <v>435</v>
      </c>
      <c r="C1786" s="63"/>
      <c r="D1786" s="64"/>
      <c r="E1786" s="65"/>
      <c r="F1786" s="66"/>
      <c r="G1786" s="63"/>
      <c r="H1786" s="67"/>
      <c r="I1786" s="68"/>
      <c r="J1786" s="68"/>
      <c r="K1786" s="32"/>
      <c r="L1786" s="75">
        <v>1786</v>
      </c>
      <c r="M1786" s="75"/>
      <c r="N1786" s="70"/>
      <c r="O1786" s="77" t="s">
        <v>179</v>
      </c>
      <c r="P1786" s="79">
        <v>45085.554618055554</v>
      </c>
      <c r="Q1786" s="77" t="s">
        <v>2572</v>
      </c>
      <c r="R1786" s="77">
        <v>0</v>
      </c>
      <c r="S1786" s="77">
        <v>0</v>
      </c>
      <c r="T1786" s="77">
        <v>0</v>
      </c>
      <c r="U1786" s="77">
        <v>0</v>
      </c>
      <c r="V1786" s="77">
        <v>103</v>
      </c>
      <c r="W1786" s="82" t="s">
        <v>5955</v>
      </c>
      <c r="X1786" s="80" t="str">
        <f>HYPERLINK("https://flj.com.br/noticia/copel-cple6-tem-novo-avanco-em-proposta-de-privatizacao")</f>
        <v>https://flj.com.br/noticia/copel-cple6-tem-novo-avanco-em-proposta-de-privatizacao</v>
      </c>
      <c r="Y1786" s="77" t="s">
        <v>7053</v>
      </c>
      <c r="Z1786" s="77"/>
      <c r="AA1786" s="77"/>
      <c r="AB1786" s="77"/>
      <c r="AC1786" s="82" t="s">
        <v>8232</v>
      </c>
      <c r="AD1786" s="77" t="s">
        <v>8278</v>
      </c>
      <c r="AE1786" s="80" t="str">
        <f>HYPERLINK("https://twitter.com/leiaflj/status/1666796884545925121")</f>
        <v>https://twitter.com/leiaflj/status/1666796884545925121</v>
      </c>
      <c r="AF1786" s="79">
        <v>45085.554618055554</v>
      </c>
      <c r="AG1786" s="85">
        <v>45085</v>
      </c>
      <c r="AH1786" s="82" t="s">
        <v>9906</v>
      </c>
      <c r="AI1786" s="77" t="b">
        <v>0</v>
      </c>
      <c r="AJ1786" s="77"/>
      <c r="AK1786" s="77"/>
      <c r="AL1786" s="77"/>
      <c r="AM1786" s="77"/>
      <c r="AN1786" s="77"/>
      <c r="AO1786" s="77"/>
      <c r="AP1786" s="77"/>
      <c r="AQ1786" s="77"/>
      <c r="AR1786" s="77"/>
      <c r="AS1786" s="77"/>
      <c r="AT1786" s="77"/>
      <c r="AU1786" s="77"/>
      <c r="AV1786" s="80" t="str">
        <f>HYPERLINK("https://pbs.twimg.com/profile_images/1620068456165933060/TShADQck_normal.jpg")</f>
        <v>https://pbs.twimg.com/profile_images/1620068456165933060/TShADQck_normal.jpg</v>
      </c>
      <c r="AW1786" s="82" t="s">
        <v>14877</v>
      </c>
      <c r="AX1786" s="82" t="s">
        <v>14877</v>
      </c>
      <c r="AY1786" s="77"/>
      <c r="AZ1786" s="82" t="s">
        <v>17385</v>
      </c>
      <c r="BA1786" s="82" t="s">
        <v>17385</v>
      </c>
      <c r="BB1786" s="82" t="s">
        <v>17385</v>
      </c>
      <c r="BC1786" s="82" t="s">
        <v>14877</v>
      </c>
      <c r="BD1786" s="82" t="s">
        <v>17557</v>
      </c>
      <c r="BE1786" s="77"/>
      <c r="BF1786" s="77"/>
      <c r="BG1786" s="77"/>
      <c r="BH1786" s="77"/>
      <c r="BI1786" s="77"/>
    </row>
    <row r="1787" spans="1:61" x14ac:dyDescent="0.25">
      <c r="A1787" s="62" t="s">
        <v>435</v>
      </c>
      <c r="B1787" s="62" t="s">
        <v>435</v>
      </c>
      <c r="C1787" s="63"/>
      <c r="D1787" s="64"/>
      <c r="E1787" s="65"/>
      <c r="F1787" s="66"/>
      <c r="G1787" s="63"/>
      <c r="H1787" s="67"/>
      <c r="I1787" s="68"/>
      <c r="J1787" s="68"/>
      <c r="K1787" s="32"/>
      <c r="L1787" s="75">
        <v>1787</v>
      </c>
      <c r="M1787" s="75"/>
      <c r="N1787" s="70"/>
      <c r="O1787" s="77" t="s">
        <v>179</v>
      </c>
      <c r="P1787" s="79">
        <v>45084.901608796295</v>
      </c>
      <c r="Q1787" s="77" t="s">
        <v>2573</v>
      </c>
      <c r="R1787" s="77">
        <v>1</v>
      </c>
      <c r="S1787" s="77">
        <v>1</v>
      </c>
      <c r="T1787" s="77">
        <v>0</v>
      </c>
      <c r="U1787" s="77">
        <v>0</v>
      </c>
      <c r="V1787" s="77">
        <v>179</v>
      </c>
      <c r="W1787" s="82" t="s">
        <v>5956</v>
      </c>
      <c r="X1787" s="80" t="str">
        <f>HYPERLINK("https://flj.com.br/noticia/itau-unibanco-itub4-define-data-de-pagamento-de-dois-jcps-saiba-mais")</f>
        <v>https://flj.com.br/noticia/itau-unibanco-itub4-define-data-de-pagamento-de-dois-jcps-saiba-mais</v>
      </c>
      <c r="Y1787" s="77" t="s">
        <v>7053</v>
      </c>
      <c r="Z1787" s="77"/>
      <c r="AA1787" s="77"/>
      <c r="AB1787" s="77"/>
      <c r="AC1787" s="82" t="s">
        <v>8232</v>
      </c>
      <c r="AD1787" s="77" t="s">
        <v>8278</v>
      </c>
      <c r="AE1787" s="80" t="str">
        <f>HYPERLINK("https://twitter.com/leiaflj/status/1666560239951400960")</f>
        <v>https://twitter.com/leiaflj/status/1666560239951400960</v>
      </c>
      <c r="AF1787" s="79">
        <v>45084.901608796295</v>
      </c>
      <c r="AG1787" s="85">
        <v>45084</v>
      </c>
      <c r="AH1787" s="82" t="s">
        <v>9907</v>
      </c>
      <c r="AI1787" s="77" t="b">
        <v>0</v>
      </c>
      <c r="AJ1787" s="77"/>
      <c r="AK1787" s="77"/>
      <c r="AL1787" s="77"/>
      <c r="AM1787" s="77"/>
      <c r="AN1787" s="77"/>
      <c r="AO1787" s="77"/>
      <c r="AP1787" s="77"/>
      <c r="AQ1787" s="77"/>
      <c r="AR1787" s="77"/>
      <c r="AS1787" s="77"/>
      <c r="AT1787" s="77"/>
      <c r="AU1787" s="77"/>
      <c r="AV1787" s="80" t="str">
        <f>HYPERLINK("https://pbs.twimg.com/profile_images/1620068456165933060/TShADQck_normal.jpg")</f>
        <v>https://pbs.twimg.com/profile_images/1620068456165933060/TShADQck_normal.jpg</v>
      </c>
      <c r="AW1787" s="82" t="s">
        <v>14878</v>
      </c>
      <c r="AX1787" s="82" t="s">
        <v>14878</v>
      </c>
      <c r="AY1787" s="77"/>
      <c r="AZ1787" s="82" t="s">
        <v>17385</v>
      </c>
      <c r="BA1787" s="82" t="s">
        <v>17385</v>
      </c>
      <c r="BB1787" s="82" t="s">
        <v>17385</v>
      </c>
      <c r="BC1787" s="82" t="s">
        <v>14878</v>
      </c>
      <c r="BD1787" s="82" t="s">
        <v>17557</v>
      </c>
      <c r="BE1787" s="77"/>
      <c r="BF1787" s="77"/>
      <c r="BG1787" s="77"/>
      <c r="BH1787" s="77"/>
      <c r="BI1787" s="77"/>
    </row>
    <row r="1788" spans="1:61" x14ac:dyDescent="0.25">
      <c r="A1788" s="62" t="s">
        <v>435</v>
      </c>
      <c r="B1788" s="62" t="s">
        <v>435</v>
      </c>
      <c r="C1788" s="63"/>
      <c r="D1788" s="64"/>
      <c r="E1788" s="65"/>
      <c r="F1788" s="66"/>
      <c r="G1788" s="63"/>
      <c r="H1788" s="67"/>
      <c r="I1788" s="68"/>
      <c r="J1788" s="68"/>
      <c r="K1788" s="32"/>
      <c r="L1788" s="75">
        <v>1788</v>
      </c>
      <c r="M1788" s="75"/>
      <c r="N1788" s="70"/>
      <c r="O1788" s="77" t="s">
        <v>179</v>
      </c>
      <c r="P1788" s="79">
        <v>45084.459351851852</v>
      </c>
      <c r="Q1788" s="77" t="s">
        <v>2574</v>
      </c>
      <c r="R1788" s="77">
        <v>0</v>
      </c>
      <c r="S1788" s="77">
        <v>0</v>
      </c>
      <c r="T1788" s="77">
        <v>0</v>
      </c>
      <c r="U1788" s="77">
        <v>0</v>
      </c>
      <c r="V1788" s="77">
        <v>77</v>
      </c>
      <c r="W1788" s="82" t="s">
        <v>5957</v>
      </c>
      <c r="X1788" s="80" t="str">
        <f>HYPERLINK("https://flj.com.br/noticia/itausa-itsa4-vende-r-1-bilhao-em-acoes-da-xp")</f>
        <v>https://flj.com.br/noticia/itausa-itsa4-vende-r-1-bilhao-em-acoes-da-xp</v>
      </c>
      <c r="Y1788" s="77" t="s">
        <v>7053</v>
      </c>
      <c r="Z1788" s="77"/>
      <c r="AA1788" s="77"/>
      <c r="AB1788" s="77"/>
      <c r="AC1788" s="82" t="s">
        <v>8232</v>
      </c>
      <c r="AD1788" s="77" t="s">
        <v>8278</v>
      </c>
      <c r="AE1788" s="80" t="str">
        <f>HYPERLINK("https://twitter.com/leiaflj/status/1666399971929628673")</f>
        <v>https://twitter.com/leiaflj/status/1666399971929628673</v>
      </c>
      <c r="AF1788" s="79">
        <v>45084.459351851852</v>
      </c>
      <c r="AG1788" s="85">
        <v>45084</v>
      </c>
      <c r="AH1788" s="82" t="s">
        <v>9908</v>
      </c>
      <c r="AI1788" s="77" t="b">
        <v>0</v>
      </c>
      <c r="AJ1788" s="77"/>
      <c r="AK1788" s="77"/>
      <c r="AL1788" s="77"/>
      <c r="AM1788" s="77"/>
      <c r="AN1788" s="77"/>
      <c r="AO1788" s="77"/>
      <c r="AP1788" s="77"/>
      <c r="AQ1788" s="77"/>
      <c r="AR1788" s="77"/>
      <c r="AS1788" s="77"/>
      <c r="AT1788" s="77"/>
      <c r="AU1788" s="77"/>
      <c r="AV1788" s="80" t="str">
        <f>HYPERLINK("https://pbs.twimg.com/profile_images/1620068456165933060/TShADQck_normal.jpg")</f>
        <v>https://pbs.twimg.com/profile_images/1620068456165933060/TShADQck_normal.jpg</v>
      </c>
      <c r="AW1788" s="82" t="s">
        <v>14879</v>
      </c>
      <c r="AX1788" s="82" t="s">
        <v>14879</v>
      </c>
      <c r="AY1788" s="77"/>
      <c r="AZ1788" s="82" t="s">
        <v>17385</v>
      </c>
      <c r="BA1788" s="82" t="s">
        <v>17385</v>
      </c>
      <c r="BB1788" s="82" t="s">
        <v>17385</v>
      </c>
      <c r="BC1788" s="82" t="s">
        <v>14879</v>
      </c>
      <c r="BD1788" s="82" t="s">
        <v>17557</v>
      </c>
      <c r="BE1788" s="77"/>
      <c r="BF1788" s="77"/>
      <c r="BG1788" s="77"/>
      <c r="BH1788" s="77"/>
      <c r="BI1788" s="77"/>
    </row>
    <row r="1789" spans="1:61" x14ac:dyDescent="0.25">
      <c r="A1789" s="62" t="s">
        <v>435</v>
      </c>
      <c r="B1789" s="62" t="s">
        <v>435</v>
      </c>
      <c r="C1789" s="63"/>
      <c r="D1789" s="64"/>
      <c r="E1789" s="65"/>
      <c r="F1789" s="66"/>
      <c r="G1789" s="63"/>
      <c r="H1789" s="67"/>
      <c r="I1789" s="68"/>
      <c r="J1789" s="68"/>
      <c r="K1789" s="32"/>
      <c r="L1789" s="75">
        <v>1789</v>
      </c>
      <c r="M1789" s="75"/>
      <c r="N1789" s="70"/>
      <c r="O1789" s="77" t="s">
        <v>179</v>
      </c>
      <c r="P1789" s="79">
        <v>45070.818668981483</v>
      </c>
      <c r="Q1789" s="77" t="s">
        <v>2575</v>
      </c>
      <c r="R1789" s="77">
        <v>0</v>
      </c>
      <c r="S1789" s="77">
        <v>1</v>
      </c>
      <c r="T1789" s="77">
        <v>1</v>
      </c>
      <c r="U1789" s="77">
        <v>0</v>
      </c>
      <c r="V1789" s="77">
        <v>113</v>
      </c>
      <c r="W1789" s="82" t="s">
        <v>5918</v>
      </c>
      <c r="X1789" s="80" t="str">
        <f>HYPERLINK("https://flj.com.br/noticia/alta-de-juros-nao-sera-necessaria-se-economia-for-como-o-esperado-diz-fed")</f>
        <v>https://flj.com.br/noticia/alta-de-juros-nao-sera-necessaria-se-economia-for-como-o-esperado-diz-fed</v>
      </c>
      <c r="Y1789" s="77" t="s">
        <v>7053</v>
      </c>
      <c r="Z1789" s="77"/>
      <c r="AA1789" s="77"/>
      <c r="AB1789" s="77"/>
      <c r="AC1789" s="82" t="s">
        <v>8232</v>
      </c>
      <c r="AD1789" s="77" t="s">
        <v>8278</v>
      </c>
      <c r="AE1789" s="80" t="str">
        <f>HYPERLINK("https://twitter.com/leiaflj/status/1661456753555394562")</f>
        <v>https://twitter.com/leiaflj/status/1661456753555394562</v>
      </c>
      <c r="AF1789" s="79">
        <v>45070.818668981483</v>
      </c>
      <c r="AG1789" s="85">
        <v>45070</v>
      </c>
      <c r="AH1789" s="82" t="s">
        <v>9909</v>
      </c>
      <c r="AI1789" s="77" t="b">
        <v>0</v>
      </c>
      <c r="AJ1789" s="77"/>
      <c r="AK1789" s="77"/>
      <c r="AL1789" s="77"/>
      <c r="AM1789" s="77"/>
      <c r="AN1789" s="77"/>
      <c r="AO1789" s="77"/>
      <c r="AP1789" s="77"/>
      <c r="AQ1789" s="77"/>
      <c r="AR1789" s="77"/>
      <c r="AS1789" s="77"/>
      <c r="AT1789" s="77"/>
      <c r="AU1789" s="77"/>
      <c r="AV1789" s="80" t="str">
        <f>HYPERLINK("https://pbs.twimg.com/profile_images/1620068456165933060/TShADQck_normal.jpg")</f>
        <v>https://pbs.twimg.com/profile_images/1620068456165933060/TShADQck_normal.jpg</v>
      </c>
      <c r="AW1789" s="82" t="s">
        <v>14880</v>
      </c>
      <c r="AX1789" s="82" t="s">
        <v>14880</v>
      </c>
      <c r="AY1789" s="77"/>
      <c r="AZ1789" s="82" t="s">
        <v>17385</v>
      </c>
      <c r="BA1789" s="82" t="s">
        <v>17385</v>
      </c>
      <c r="BB1789" s="82" t="s">
        <v>17385</v>
      </c>
      <c r="BC1789" s="82" t="s">
        <v>14880</v>
      </c>
      <c r="BD1789" s="82" t="s">
        <v>17557</v>
      </c>
      <c r="BE1789" s="77"/>
      <c r="BF1789" s="77"/>
      <c r="BG1789" s="77"/>
      <c r="BH1789" s="77"/>
      <c r="BI1789" s="77"/>
    </row>
    <row r="1790" spans="1:61" x14ac:dyDescent="0.25">
      <c r="A1790" s="62" t="s">
        <v>435</v>
      </c>
      <c r="B1790" s="62" t="s">
        <v>435</v>
      </c>
      <c r="C1790" s="63"/>
      <c r="D1790" s="64"/>
      <c r="E1790" s="65"/>
      <c r="F1790" s="66"/>
      <c r="G1790" s="63"/>
      <c r="H1790" s="67"/>
      <c r="I1790" s="68"/>
      <c r="J1790" s="68"/>
      <c r="K1790" s="32"/>
      <c r="L1790" s="75">
        <v>1790</v>
      </c>
      <c r="M1790" s="75"/>
      <c r="N1790" s="70"/>
      <c r="O1790" s="77" t="s">
        <v>179</v>
      </c>
      <c r="P1790" s="79">
        <v>45070.526041666664</v>
      </c>
      <c r="Q1790" s="77" t="s">
        <v>2576</v>
      </c>
      <c r="R1790" s="77">
        <v>0</v>
      </c>
      <c r="S1790" s="77">
        <v>1</v>
      </c>
      <c r="T1790" s="77">
        <v>0</v>
      </c>
      <c r="U1790" s="77">
        <v>0</v>
      </c>
      <c r="V1790" s="77">
        <v>129</v>
      </c>
      <c r="W1790" s="82" t="s">
        <v>5958</v>
      </c>
      <c r="X1790" s="80" t="str">
        <f>HYPERLINK("https://flj.com.br/noticia/b3-b3sa3-altera-requisitos-economicos-e-cria-figura-de-controlador-garantidor")</f>
        <v>https://flj.com.br/noticia/b3-b3sa3-altera-requisitos-economicos-e-cria-figura-de-controlador-garantidor</v>
      </c>
      <c r="Y1790" s="77" t="s">
        <v>7053</v>
      </c>
      <c r="Z1790" s="77"/>
      <c r="AA1790" s="77"/>
      <c r="AB1790" s="77"/>
      <c r="AC1790" s="82" t="s">
        <v>8232</v>
      </c>
      <c r="AD1790" s="77" t="s">
        <v>8278</v>
      </c>
      <c r="AE1790" s="80" t="str">
        <f>HYPERLINK("https://twitter.com/leiaflj/status/1661350712637284356")</f>
        <v>https://twitter.com/leiaflj/status/1661350712637284356</v>
      </c>
      <c r="AF1790" s="79">
        <v>45070.526041666664</v>
      </c>
      <c r="AG1790" s="85">
        <v>45070</v>
      </c>
      <c r="AH1790" s="82" t="s">
        <v>9910</v>
      </c>
      <c r="AI1790" s="77" t="b">
        <v>0</v>
      </c>
      <c r="AJ1790" s="77"/>
      <c r="AK1790" s="77"/>
      <c r="AL1790" s="77"/>
      <c r="AM1790" s="77"/>
      <c r="AN1790" s="77"/>
      <c r="AO1790" s="77"/>
      <c r="AP1790" s="77"/>
      <c r="AQ1790" s="77"/>
      <c r="AR1790" s="77"/>
      <c r="AS1790" s="77"/>
      <c r="AT1790" s="77"/>
      <c r="AU1790" s="77"/>
      <c r="AV1790" s="80" t="str">
        <f>HYPERLINK("https://pbs.twimg.com/profile_images/1620068456165933060/TShADQck_normal.jpg")</f>
        <v>https://pbs.twimg.com/profile_images/1620068456165933060/TShADQck_normal.jpg</v>
      </c>
      <c r="AW1790" s="82" t="s">
        <v>14881</v>
      </c>
      <c r="AX1790" s="82" t="s">
        <v>14881</v>
      </c>
      <c r="AY1790" s="77"/>
      <c r="AZ1790" s="82" t="s">
        <v>17385</v>
      </c>
      <c r="BA1790" s="82" t="s">
        <v>17385</v>
      </c>
      <c r="BB1790" s="82" t="s">
        <v>17385</v>
      </c>
      <c r="BC1790" s="82" t="s">
        <v>14881</v>
      </c>
      <c r="BD1790" s="82" t="s">
        <v>17557</v>
      </c>
      <c r="BE1790" s="77"/>
      <c r="BF1790" s="77"/>
      <c r="BG1790" s="77"/>
      <c r="BH1790" s="77"/>
      <c r="BI1790" s="77"/>
    </row>
    <row r="1791" spans="1:61" x14ac:dyDescent="0.25">
      <c r="A1791" s="62" t="s">
        <v>435</v>
      </c>
      <c r="B1791" s="62" t="s">
        <v>435</v>
      </c>
      <c r="C1791" s="63"/>
      <c r="D1791" s="64"/>
      <c r="E1791" s="65"/>
      <c r="F1791" s="66"/>
      <c r="G1791" s="63"/>
      <c r="H1791" s="67"/>
      <c r="I1791" s="68"/>
      <c r="J1791" s="68"/>
      <c r="K1791" s="32"/>
      <c r="L1791" s="75">
        <v>1791</v>
      </c>
      <c r="M1791" s="75"/>
      <c r="N1791" s="70"/>
      <c r="O1791" s="77" t="s">
        <v>179</v>
      </c>
      <c r="P1791" s="79">
        <v>45069.624895833331</v>
      </c>
      <c r="Q1791" s="77" t="s">
        <v>2577</v>
      </c>
      <c r="R1791" s="77">
        <v>0</v>
      </c>
      <c r="S1791" s="77">
        <v>1</v>
      </c>
      <c r="T1791" s="77">
        <v>0</v>
      </c>
      <c r="U1791" s="77">
        <v>0</v>
      </c>
      <c r="V1791" s="77">
        <v>107</v>
      </c>
      <c r="W1791" s="82" t="s">
        <v>5959</v>
      </c>
      <c r="X1791" s="80" t="str">
        <f>HYPERLINK("https://flj.com.br/noticia/acoes-da-suzano-suzb3-sobem-apos-empresa-elevar-preco-da-celulose-na-asia")</f>
        <v>https://flj.com.br/noticia/acoes-da-suzano-suzb3-sobem-apos-empresa-elevar-preco-da-celulose-na-asia</v>
      </c>
      <c r="Y1791" s="77" t="s">
        <v>7053</v>
      </c>
      <c r="Z1791" s="77"/>
      <c r="AA1791" s="77"/>
      <c r="AB1791" s="77"/>
      <c r="AC1791" s="82" t="s">
        <v>8232</v>
      </c>
      <c r="AD1791" s="77" t="s">
        <v>8278</v>
      </c>
      <c r="AE1791" s="80" t="str">
        <f>HYPERLINK("https://twitter.com/leiaflj/status/1661024147361636352")</f>
        <v>https://twitter.com/leiaflj/status/1661024147361636352</v>
      </c>
      <c r="AF1791" s="79">
        <v>45069.624895833331</v>
      </c>
      <c r="AG1791" s="85">
        <v>45069</v>
      </c>
      <c r="AH1791" s="82" t="s">
        <v>9911</v>
      </c>
      <c r="AI1791" s="77" t="b">
        <v>0</v>
      </c>
      <c r="AJ1791" s="77"/>
      <c r="AK1791" s="77"/>
      <c r="AL1791" s="77"/>
      <c r="AM1791" s="77"/>
      <c r="AN1791" s="77"/>
      <c r="AO1791" s="77"/>
      <c r="AP1791" s="77"/>
      <c r="AQ1791" s="77"/>
      <c r="AR1791" s="77"/>
      <c r="AS1791" s="77"/>
      <c r="AT1791" s="77"/>
      <c r="AU1791" s="77"/>
      <c r="AV1791" s="80" t="str">
        <f>HYPERLINK("https://pbs.twimg.com/profile_images/1620068456165933060/TShADQck_normal.jpg")</f>
        <v>https://pbs.twimg.com/profile_images/1620068456165933060/TShADQck_normal.jpg</v>
      </c>
      <c r="AW1791" s="82" t="s">
        <v>14882</v>
      </c>
      <c r="AX1791" s="82" t="s">
        <v>14882</v>
      </c>
      <c r="AY1791" s="77"/>
      <c r="AZ1791" s="82" t="s">
        <v>17385</v>
      </c>
      <c r="BA1791" s="82" t="s">
        <v>17385</v>
      </c>
      <c r="BB1791" s="82" t="s">
        <v>17385</v>
      </c>
      <c r="BC1791" s="82" t="s">
        <v>14882</v>
      </c>
      <c r="BD1791" s="82" t="s">
        <v>17557</v>
      </c>
      <c r="BE1791" s="77"/>
      <c r="BF1791" s="77"/>
      <c r="BG1791" s="77"/>
      <c r="BH1791" s="77"/>
      <c r="BI1791" s="77"/>
    </row>
    <row r="1792" spans="1:61" x14ac:dyDescent="0.25">
      <c r="A1792" s="62" t="s">
        <v>435</v>
      </c>
      <c r="B1792" s="62" t="s">
        <v>435</v>
      </c>
      <c r="C1792" s="63"/>
      <c r="D1792" s="64"/>
      <c r="E1792" s="65"/>
      <c r="F1792" s="66"/>
      <c r="G1792" s="63"/>
      <c r="H1792" s="67"/>
      <c r="I1792" s="68"/>
      <c r="J1792" s="68"/>
      <c r="K1792" s="32"/>
      <c r="L1792" s="75">
        <v>1792</v>
      </c>
      <c r="M1792" s="75"/>
      <c r="N1792" s="70"/>
      <c r="O1792" s="77" t="s">
        <v>179</v>
      </c>
      <c r="P1792" s="79">
        <v>45069.509467592594</v>
      </c>
      <c r="Q1792" s="77" t="s">
        <v>2578</v>
      </c>
      <c r="R1792" s="77">
        <v>0</v>
      </c>
      <c r="S1792" s="77">
        <v>0</v>
      </c>
      <c r="T1792" s="77">
        <v>0</v>
      </c>
      <c r="U1792" s="77">
        <v>0</v>
      </c>
      <c r="V1792" s="77">
        <v>156</v>
      </c>
      <c r="W1792" s="82" t="s">
        <v>5960</v>
      </c>
      <c r="X1792" s="80" t="str">
        <f>HYPERLINK("https://flj.com.br/noticia/oi-oibr3-o-que-fazer-com-a-acao-apos-prejuizo-de-r-19-2-bi-em-2022")</f>
        <v>https://flj.com.br/noticia/oi-oibr3-o-que-fazer-com-a-acao-apos-prejuizo-de-r-19-2-bi-em-2022</v>
      </c>
      <c r="Y1792" s="77" t="s">
        <v>7053</v>
      </c>
      <c r="Z1792" s="77"/>
      <c r="AA1792" s="77"/>
      <c r="AB1792" s="77"/>
      <c r="AC1792" s="82" t="s">
        <v>8232</v>
      </c>
      <c r="AD1792" s="77" t="s">
        <v>8278</v>
      </c>
      <c r="AE1792" s="80" t="str">
        <f>HYPERLINK("https://twitter.com/leiaflj/status/1660982316523569153")</f>
        <v>https://twitter.com/leiaflj/status/1660982316523569153</v>
      </c>
      <c r="AF1792" s="79">
        <v>45069.509467592594</v>
      </c>
      <c r="AG1792" s="85">
        <v>45069</v>
      </c>
      <c r="AH1792" s="82" t="s">
        <v>9912</v>
      </c>
      <c r="AI1792" s="77" t="b">
        <v>0</v>
      </c>
      <c r="AJ1792" s="77"/>
      <c r="AK1792" s="77"/>
      <c r="AL1792" s="77"/>
      <c r="AM1792" s="77"/>
      <c r="AN1792" s="77"/>
      <c r="AO1792" s="77"/>
      <c r="AP1792" s="77"/>
      <c r="AQ1792" s="77"/>
      <c r="AR1792" s="77"/>
      <c r="AS1792" s="77"/>
      <c r="AT1792" s="77"/>
      <c r="AU1792" s="77"/>
      <c r="AV1792" s="80" t="str">
        <f>HYPERLINK("https://pbs.twimg.com/profile_images/1620068456165933060/TShADQck_normal.jpg")</f>
        <v>https://pbs.twimg.com/profile_images/1620068456165933060/TShADQck_normal.jpg</v>
      </c>
      <c r="AW1792" s="82" t="s">
        <v>14883</v>
      </c>
      <c r="AX1792" s="82" t="s">
        <v>14883</v>
      </c>
      <c r="AY1792" s="77"/>
      <c r="AZ1792" s="82" t="s">
        <v>17385</v>
      </c>
      <c r="BA1792" s="82" t="s">
        <v>17385</v>
      </c>
      <c r="BB1792" s="82" t="s">
        <v>17385</v>
      </c>
      <c r="BC1792" s="82" t="s">
        <v>14883</v>
      </c>
      <c r="BD1792" s="82" t="s">
        <v>17557</v>
      </c>
      <c r="BE1792" s="77"/>
      <c r="BF1792" s="77"/>
      <c r="BG1792" s="77"/>
      <c r="BH1792" s="77"/>
      <c r="BI1792" s="77"/>
    </row>
    <row r="1793" spans="1:61" x14ac:dyDescent="0.25">
      <c r="A1793" s="62" t="s">
        <v>435</v>
      </c>
      <c r="B1793" s="62" t="s">
        <v>435</v>
      </c>
      <c r="C1793" s="63"/>
      <c r="D1793" s="64"/>
      <c r="E1793" s="65"/>
      <c r="F1793" s="66"/>
      <c r="G1793" s="63"/>
      <c r="H1793" s="67"/>
      <c r="I1793" s="68"/>
      <c r="J1793" s="68"/>
      <c r="K1793" s="32"/>
      <c r="L1793" s="75">
        <v>1793</v>
      </c>
      <c r="M1793" s="75"/>
      <c r="N1793" s="70"/>
      <c r="O1793" s="77" t="s">
        <v>179</v>
      </c>
      <c r="P1793" s="79">
        <v>45068.880590277775</v>
      </c>
      <c r="Q1793" s="77" t="s">
        <v>2579</v>
      </c>
      <c r="R1793" s="77">
        <v>2</v>
      </c>
      <c r="S1793" s="77">
        <v>6</v>
      </c>
      <c r="T1793" s="77">
        <v>0</v>
      </c>
      <c r="U1793" s="77">
        <v>0</v>
      </c>
      <c r="V1793" s="77">
        <v>846</v>
      </c>
      <c r="W1793" s="82" t="s">
        <v>5961</v>
      </c>
      <c r="X1793" s="80" t="str">
        <f>HYPERLINK("https://flj.com.br/noticia/oi-oibr3-entra-em-recuperacao-judicial-e-acao-sobe-como-explicar")</f>
        <v>https://flj.com.br/noticia/oi-oibr3-entra-em-recuperacao-judicial-e-acao-sobe-como-explicar</v>
      </c>
      <c r="Y1793" s="77" t="s">
        <v>7053</v>
      </c>
      <c r="Z1793" s="77"/>
      <c r="AA1793" s="77"/>
      <c r="AB1793" s="77"/>
      <c r="AC1793" s="82" t="s">
        <v>8232</v>
      </c>
      <c r="AD1793" s="77" t="s">
        <v>8278</v>
      </c>
      <c r="AE1793" s="80" t="str">
        <f>HYPERLINK("https://twitter.com/leiaflj/status/1660754419648978948")</f>
        <v>https://twitter.com/leiaflj/status/1660754419648978948</v>
      </c>
      <c r="AF1793" s="79">
        <v>45068.880590277775</v>
      </c>
      <c r="AG1793" s="85">
        <v>45068</v>
      </c>
      <c r="AH1793" s="82" t="s">
        <v>9913</v>
      </c>
      <c r="AI1793" s="77" t="b">
        <v>0</v>
      </c>
      <c r="AJ1793" s="77"/>
      <c r="AK1793" s="77"/>
      <c r="AL1793" s="77"/>
      <c r="AM1793" s="77"/>
      <c r="AN1793" s="77"/>
      <c r="AO1793" s="77"/>
      <c r="AP1793" s="77"/>
      <c r="AQ1793" s="77"/>
      <c r="AR1793" s="77"/>
      <c r="AS1793" s="77"/>
      <c r="AT1793" s="77"/>
      <c r="AU1793" s="77"/>
      <c r="AV1793" s="80" t="str">
        <f>HYPERLINK("https://pbs.twimg.com/profile_images/1620068456165933060/TShADQck_normal.jpg")</f>
        <v>https://pbs.twimg.com/profile_images/1620068456165933060/TShADQck_normal.jpg</v>
      </c>
      <c r="AW1793" s="82" t="s">
        <v>14884</v>
      </c>
      <c r="AX1793" s="82" t="s">
        <v>14884</v>
      </c>
      <c r="AY1793" s="77"/>
      <c r="AZ1793" s="82" t="s">
        <v>17385</v>
      </c>
      <c r="BA1793" s="82" t="s">
        <v>17385</v>
      </c>
      <c r="BB1793" s="82" t="s">
        <v>17385</v>
      </c>
      <c r="BC1793" s="82" t="s">
        <v>14884</v>
      </c>
      <c r="BD1793" s="82" t="s">
        <v>17557</v>
      </c>
      <c r="BE1793" s="77"/>
      <c r="BF1793" s="77"/>
      <c r="BG1793" s="77"/>
      <c r="BH1793" s="77"/>
      <c r="BI1793" s="77"/>
    </row>
    <row r="1794" spans="1:61" x14ac:dyDescent="0.25">
      <c r="A1794" s="62" t="s">
        <v>435</v>
      </c>
      <c r="B1794" s="62" t="s">
        <v>435</v>
      </c>
      <c r="C1794" s="63"/>
      <c r="D1794" s="64"/>
      <c r="E1794" s="65"/>
      <c r="F1794" s="66"/>
      <c r="G1794" s="63"/>
      <c r="H1794" s="67"/>
      <c r="I1794" s="68"/>
      <c r="J1794" s="68"/>
      <c r="K1794" s="32"/>
      <c r="L1794" s="75">
        <v>1794</v>
      </c>
      <c r="M1794" s="75"/>
      <c r="N1794" s="70"/>
      <c r="O1794" s="77" t="s">
        <v>179</v>
      </c>
      <c r="P1794" s="79">
        <v>45053.500023148146</v>
      </c>
      <c r="Q1794" s="77" t="s">
        <v>2580</v>
      </c>
      <c r="R1794" s="77">
        <v>1</v>
      </c>
      <c r="S1794" s="77">
        <v>4</v>
      </c>
      <c r="T1794" s="77">
        <v>0</v>
      </c>
      <c r="U1794" s="77">
        <v>0</v>
      </c>
      <c r="V1794" s="77">
        <v>268</v>
      </c>
      <c r="W1794" s="82" t="s">
        <v>5907</v>
      </c>
      <c r="X1794" s="77"/>
      <c r="Y1794" s="77"/>
      <c r="Z1794" s="77"/>
      <c r="AA1794" s="77" t="s">
        <v>7898</v>
      </c>
      <c r="AB1794" s="77" t="s">
        <v>8229</v>
      </c>
      <c r="AC1794" s="82" t="s">
        <v>8232</v>
      </c>
      <c r="AD1794" s="77" t="s">
        <v>8278</v>
      </c>
      <c r="AE1794" s="80" t="str">
        <f>HYPERLINK("https://twitter.com/leiaflj/status/1655180686599553024")</f>
        <v>https://twitter.com/leiaflj/status/1655180686599553024</v>
      </c>
      <c r="AF1794" s="79">
        <v>45053.500023148146</v>
      </c>
      <c r="AG1794" s="85">
        <v>45053</v>
      </c>
      <c r="AH1794" s="82" t="s">
        <v>8594</v>
      </c>
      <c r="AI1794" s="77" t="b">
        <v>0</v>
      </c>
      <c r="AJ1794" s="77"/>
      <c r="AK1794" s="77"/>
      <c r="AL1794" s="77"/>
      <c r="AM1794" s="77"/>
      <c r="AN1794" s="77"/>
      <c r="AO1794" s="77"/>
      <c r="AP1794" s="77"/>
      <c r="AQ1794" s="77" t="s">
        <v>12783</v>
      </c>
      <c r="AR1794" s="77"/>
      <c r="AS1794" s="77"/>
      <c r="AT1794" s="77"/>
      <c r="AU1794" s="77"/>
      <c r="AV1794" s="80" t="str">
        <f>HYPERLINK("https://pbs.twimg.com/media/FvYcukaWIAQ29UK.jpg")</f>
        <v>https://pbs.twimg.com/media/FvYcukaWIAQ29UK.jpg</v>
      </c>
      <c r="AW1794" s="82" t="s">
        <v>14885</v>
      </c>
      <c r="AX1794" s="82" t="s">
        <v>14885</v>
      </c>
      <c r="AY1794" s="77"/>
      <c r="AZ1794" s="82" t="s">
        <v>17385</v>
      </c>
      <c r="BA1794" s="82" t="s">
        <v>17385</v>
      </c>
      <c r="BB1794" s="82" t="s">
        <v>17385</v>
      </c>
      <c r="BC1794" s="82" t="s">
        <v>14885</v>
      </c>
      <c r="BD1794" s="82" t="s">
        <v>17557</v>
      </c>
      <c r="BE1794" s="77"/>
      <c r="BF1794" s="77"/>
      <c r="BG1794" s="77"/>
      <c r="BH1794" s="77"/>
      <c r="BI1794" s="77"/>
    </row>
    <row r="1795" spans="1:61" x14ac:dyDescent="0.25">
      <c r="A1795" s="62" t="s">
        <v>435</v>
      </c>
      <c r="B1795" s="62" t="s">
        <v>435</v>
      </c>
      <c r="C1795" s="63"/>
      <c r="D1795" s="64"/>
      <c r="E1795" s="65"/>
      <c r="F1795" s="66"/>
      <c r="G1795" s="63"/>
      <c r="H1795" s="67"/>
      <c r="I1795" s="68"/>
      <c r="J1795" s="68"/>
      <c r="K1795" s="32"/>
      <c r="L1795" s="75">
        <v>1795</v>
      </c>
      <c r="M1795" s="75"/>
      <c r="N1795" s="70"/>
      <c r="O1795" s="77" t="s">
        <v>179</v>
      </c>
      <c r="P1795" s="79">
        <v>45050.886805555558</v>
      </c>
      <c r="Q1795" s="77" t="s">
        <v>2581</v>
      </c>
      <c r="R1795" s="77">
        <v>1</v>
      </c>
      <c r="S1795" s="77">
        <v>2</v>
      </c>
      <c r="T1795" s="77">
        <v>0</v>
      </c>
      <c r="U1795" s="77">
        <v>0</v>
      </c>
      <c r="V1795" s="77">
        <v>150</v>
      </c>
      <c r="W1795" s="82" t="s">
        <v>5962</v>
      </c>
      <c r="X1795" s="80" t="str">
        <f>HYPERLINK("https://flj.com.br/noticia/ibovespa-fecha-em-alta-puxada-por-petrobras-petr4-e-bancos")</f>
        <v>https://flj.com.br/noticia/ibovespa-fecha-em-alta-puxada-por-petrobras-petr4-e-bancos</v>
      </c>
      <c r="Y1795" s="77" t="s">
        <v>7053</v>
      </c>
      <c r="Z1795" s="77"/>
      <c r="AA1795" s="77"/>
      <c r="AB1795" s="77"/>
      <c r="AC1795" s="82" t="s">
        <v>8232</v>
      </c>
      <c r="AD1795" s="77" t="s">
        <v>8278</v>
      </c>
      <c r="AE1795" s="80" t="str">
        <f>HYPERLINK("https://twitter.com/leiaflj/status/1654233690543734786")</f>
        <v>https://twitter.com/leiaflj/status/1654233690543734786</v>
      </c>
      <c r="AF1795" s="79">
        <v>45050.886805555558</v>
      </c>
      <c r="AG1795" s="85">
        <v>45050</v>
      </c>
      <c r="AH1795" s="82" t="s">
        <v>9914</v>
      </c>
      <c r="AI1795" s="77" t="b">
        <v>0</v>
      </c>
      <c r="AJ1795" s="77"/>
      <c r="AK1795" s="77"/>
      <c r="AL1795" s="77"/>
      <c r="AM1795" s="77"/>
      <c r="AN1795" s="77"/>
      <c r="AO1795" s="77"/>
      <c r="AP1795" s="77"/>
      <c r="AQ1795" s="77"/>
      <c r="AR1795" s="77"/>
      <c r="AS1795" s="77"/>
      <c r="AT1795" s="77"/>
      <c r="AU1795" s="77"/>
      <c r="AV1795" s="80" t="str">
        <f>HYPERLINK("https://pbs.twimg.com/profile_images/1620068456165933060/TShADQck_normal.jpg")</f>
        <v>https://pbs.twimg.com/profile_images/1620068456165933060/TShADQck_normal.jpg</v>
      </c>
      <c r="AW1795" s="82" t="s">
        <v>14886</v>
      </c>
      <c r="AX1795" s="82" t="s">
        <v>14886</v>
      </c>
      <c r="AY1795" s="77"/>
      <c r="AZ1795" s="82" t="s">
        <v>17385</v>
      </c>
      <c r="BA1795" s="82" t="s">
        <v>17385</v>
      </c>
      <c r="BB1795" s="82" t="s">
        <v>17385</v>
      </c>
      <c r="BC1795" s="82" t="s">
        <v>14886</v>
      </c>
      <c r="BD1795" s="82" t="s">
        <v>17557</v>
      </c>
      <c r="BE1795" s="77"/>
      <c r="BF1795" s="77"/>
      <c r="BG1795" s="77"/>
      <c r="BH1795" s="77"/>
      <c r="BI1795" s="77"/>
    </row>
    <row r="1796" spans="1:61" x14ac:dyDescent="0.25">
      <c r="A1796" s="62" t="s">
        <v>435</v>
      </c>
      <c r="B1796" s="62" t="s">
        <v>435</v>
      </c>
      <c r="C1796" s="63"/>
      <c r="D1796" s="64"/>
      <c r="E1796" s="65"/>
      <c r="F1796" s="66"/>
      <c r="G1796" s="63"/>
      <c r="H1796" s="67"/>
      <c r="I1796" s="68"/>
      <c r="J1796" s="68"/>
      <c r="K1796" s="32"/>
      <c r="L1796" s="75">
        <v>1796</v>
      </c>
      <c r="M1796" s="75"/>
      <c r="N1796" s="70"/>
      <c r="O1796" s="77" t="s">
        <v>179</v>
      </c>
      <c r="P1796" s="79">
        <v>45050.639768518522</v>
      </c>
      <c r="Q1796" s="77" t="s">
        <v>2582</v>
      </c>
      <c r="R1796" s="77">
        <v>1</v>
      </c>
      <c r="S1796" s="77">
        <v>2</v>
      </c>
      <c r="T1796" s="77">
        <v>0</v>
      </c>
      <c r="U1796" s="77">
        <v>0</v>
      </c>
      <c r="V1796" s="77">
        <v>165</v>
      </c>
      <c r="W1796" s="82" t="s">
        <v>5963</v>
      </c>
      <c r="X1796" s="80" t="str">
        <f>HYPERLINK("https://flj.com.br/noticia/ibovespa-sobe-apos-decisoes-do-copom-e-fed")</f>
        <v>https://flj.com.br/noticia/ibovespa-sobe-apos-decisoes-do-copom-e-fed</v>
      </c>
      <c r="Y1796" s="77" t="s">
        <v>7053</v>
      </c>
      <c r="Z1796" s="77"/>
      <c r="AA1796" s="77"/>
      <c r="AB1796" s="77"/>
      <c r="AC1796" s="82" t="s">
        <v>8232</v>
      </c>
      <c r="AD1796" s="77" t="s">
        <v>8278</v>
      </c>
      <c r="AE1796" s="80" t="str">
        <f>HYPERLINK("https://twitter.com/leiaflj/status/1654144164810899456")</f>
        <v>https://twitter.com/leiaflj/status/1654144164810899456</v>
      </c>
      <c r="AF1796" s="79">
        <v>45050.639768518522</v>
      </c>
      <c r="AG1796" s="85">
        <v>45050</v>
      </c>
      <c r="AH1796" s="82" t="s">
        <v>9915</v>
      </c>
      <c r="AI1796" s="77" t="b">
        <v>0</v>
      </c>
      <c r="AJ1796" s="77"/>
      <c r="AK1796" s="77"/>
      <c r="AL1796" s="77"/>
      <c r="AM1796" s="77"/>
      <c r="AN1796" s="77"/>
      <c r="AO1796" s="77"/>
      <c r="AP1796" s="77"/>
      <c r="AQ1796" s="77"/>
      <c r="AR1796" s="77"/>
      <c r="AS1796" s="77"/>
      <c r="AT1796" s="77"/>
      <c r="AU1796" s="77"/>
      <c r="AV1796" s="80" t="str">
        <f>HYPERLINK("https://pbs.twimg.com/profile_images/1620068456165933060/TShADQck_normal.jpg")</f>
        <v>https://pbs.twimg.com/profile_images/1620068456165933060/TShADQck_normal.jpg</v>
      </c>
      <c r="AW1796" s="82" t="s">
        <v>14887</v>
      </c>
      <c r="AX1796" s="82" t="s">
        <v>14887</v>
      </c>
      <c r="AY1796" s="77"/>
      <c r="AZ1796" s="82" t="s">
        <v>17385</v>
      </c>
      <c r="BA1796" s="82" t="s">
        <v>17385</v>
      </c>
      <c r="BB1796" s="82" t="s">
        <v>17385</v>
      </c>
      <c r="BC1796" s="82" t="s">
        <v>14887</v>
      </c>
      <c r="BD1796" s="82" t="s">
        <v>17557</v>
      </c>
      <c r="BE1796" s="77"/>
      <c r="BF1796" s="77"/>
      <c r="BG1796" s="77"/>
      <c r="BH1796" s="77"/>
      <c r="BI1796" s="77"/>
    </row>
    <row r="1797" spans="1:61" x14ac:dyDescent="0.25">
      <c r="A1797" s="62" t="s">
        <v>435</v>
      </c>
      <c r="B1797" s="62" t="s">
        <v>435</v>
      </c>
      <c r="C1797" s="63"/>
      <c r="D1797" s="64"/>
      <c r="E1797" s="65"/>
      <c r="F1797" s="66"/>
      <c r="G1797" s="63"/>
      <c r="H1797" s="67"/>
      <c r="I1797" s="68"/>
      <c r="J1797" s="68"/>
      <c r="K1797" s="32"/>
      <c r="L1797" s="75">
        <v>1797</v>
      </c>
      <c r="M1797" s="75"/>
      <c r="N1797" s="70"/>
      <c r="O1797" s="77" t="s">
        <v>179</v>
      </c>
      <c r="P1797" s="79">
        <v>45050.634652777779</v>
      </c>
      <c r="Q1797" s="77" t="s">
        <v>2583</v>
      </c>
      <c r="R1797" s="77">
        <v>0</v>
      </c>
      <c r="S1797" s="77">
        <v>1</v>
      </c>
      <c r="T1797" s="77">
        <v>0</v>
      </c>
      <c r="U1797" s="77">
        <v>0</v>
      </c>
      <c r="V1797" s="77">
        <v>151</v>
      </c>
      <c r="W1797" s="82" t="s">
        <v>5964</v>
      </c>
      <c r="X1797" s="80" t="str">
        <f>HYPERLINK("https://flj.com.br/noticia/embraer-embr3-por-que-as-acoes-caem-forte-nesta-quinta-feira")</f>
        <v>https://flj.com.br/noticia/embraer-embr3-por-que-as-acoes-caem-forte-nesta-quinta-feira</v>
      </c>
      <c r="Y1797" s="77" t="s">
        <v>7053</v>
      </c>
      <c r="Z1797" s="77"/>
      <c r="AA1797" s="77"/>
      <c r="AB1797" s="77"/>
      <c r="AC1797" s="82" t="s">
        <v>8232</v>
      </c>
      <c r="AD1797" s="77" t="s">
        <v>8278</v>
      </c>
      <c r="AE1797" s="80" t="str">
        <f>HYPERLINK("https://twitter.com/leiaflj/status/1654142314845970432")</f>
        <v>https://twitter.com/leiaflj/status/1654142314845970432</v>
      </c>
      <c r="AF1797" s="79">
        <v>45050.634652777779</v>
      </c>
      <c r="AG1797" s="85">
        <v>45050</v>
      </c>
      <c r="AH1797" s="82" t="s">
        <v>9916</v>
      </c>
      <c r="AI1797" s="77" t="b">
        <v>0</v>
      </c>
      <c r="AJ1797" s="77"/>
      <c r="AK1797" s="77"/>
      <c r="AL1797" s="77"/>
      <c r="AM1797" s="77"/>
      <c r="AN1797" s="77"/>
      <c r="AO1797" s="77"/>
      <c r="AP1797" s="77"/>
      <c r="AQ1797" s="77"/>
      <c r="AR1797" s="77"/>
      <c r="AS1797" s="77"/>
      <c r="AT1797" s="77"/>
      <c r="AU1797" s="77"/>
      <c r="AV1797" s="80" t="str">
        <f>HYPERLINK("https://pbs.twimg.com/profile_images/1620068456165933060/TShADQck_normal.jpg")</f>
        <v>https://pbs.twimg.com/profile_images/1620068456165933060/TShADQck_normal.jpg</v>
      </c>
      <c r="AW1797" s="82" t="s">
        <v>14888</v>
      </c>
      <c r="AX1797" s="82" t="s">
        <v>14888</v>
      </c>
      <c r="AY1797" s="77"/>
      <c r="AZ1797" s="82" t="s">
        <v>17385</v>
      </c>
      <c r="BA1797" s="82" t="s">
        <v>17385</v>
      </c>
      <c r="BB1797" s="82" t="s">
        <v>17385</v>
      </c>
      <c r="BC1797" s="82" t="s">
        <v>14888</v>
      </c>
      <c r="BD1797" s="82" t="s">
        <v>17557</v>
      </c>
      <c r="BE1797" s="77"/>
      <c r="BF1797" s="77"/>
      <c r="BG1797" s="77"/>
      <c r="BH1797" s="77"/>
      <c r="BI1797" s="77"/>
    </row>
    <row r="1798" spans="1:61" x14ac:dyDescent="0.25">
      <c r="A1798" s="62" t="s">
        <v>435</v>
      </c>
      <c r="B1798" s="62" t="s">
        <v>435</v>
      </c>
      <c r="C1798" s="63"/>
      <c r="D1798" s="64"/>
      <c r="E1798" s="65"/>
      <c r="F1798" s="66"/>
      <c r="G1798" s="63"/>
      <c r="H1798" s="67"/>
      <c r="I1798" s="68"/>
      <c r="J1798" s="68"/>
      <c r="K1798" s="32"/>
      <c r="L1798" s="75">
        <v>1798</v>
      </c>
      <c r="M1798" s="75"/>
      <c r="N1798" s="70"/>
      <c r="O1798" s="77" t="s">
        <v>179</v>
      </c>
      <c r="P1798" s="79">
        <v>45187.535613425927</v>
      </c>
      <c r="Q1798" s="77" t="s">
        <v>2584</v>
      </c>
      <c r="R1798" s="77">
        <v>0</v>
      </c>
      <c r="S1798" s="77">
        <v>0</v>
      </c>
      <c r="T1798" s="77">
        <v>0</v>
      </c>
      <c r="U1798" s="77">
        <v>0</v>
      </c>
      <c r="V1798" s="77">
        <v>109</v>
      </c>
      <c r="W1798" s="82" t="s">
        <v>5965</v>
      </c>
      <c r="X1798" s="80" t="str">
        <f>HYPERLINK("https://flj.com.br/noticia/dolar-oscila-perto-da-estabilidade-de-olho-em-super-quarta")</f>
        <v>https://flj.com.br/noticia/dolar-oscila-perto-da-estabilidade-de-olho-em-super-quarta</v>
      </c>
      <c r="Y1798" s="77" t="s">
        <v>7053</v>
      </c>
      <c r="Z1798" s="77"/>
      <c r="AA1798" s="77"/>
      <c r="AB1798" s="77"/>
      <c r="AC1798" s="82" t="s">
        <v>8232</v>
      </c>
      <c r="AD1798" s="77" t="s">
        <v>8278</v>
      </c>
      <c r="AE1798" s="80" t="str">
        <f>HYPERLINK("https://twitter.com/leiaflj/status/1703753560255590503")</f>
        <v>https://twitter.com/leiaflj/status/1703753560255590503</v>
      </c>
      <c r="AF1798" s="79">
        <v>45187.535613425927</v>
      </c>
      <c r="AG1798" s="85">
        <v>45187</v>
      </c>
      <c r="AH1798" s="82" t="s">
        <v>9917</v>
      </c>
      <c r="AI1798" s="77" t="b">
        <v>0</v>
      </c>
      <c r="AJ1798" s="77"/>
      <c r="AK1798" s="77"/>
      <c r="AL1798" s="77"/>
      <c r="AM1798" s="77"/>
      <c r="AN1798" s="77"/>
      <c r="AO1798" s="77"/>
      <c r="AP1798" s="77"/>
      <c r="AQ1798" s="77"/>
      <c r="AR1798" s="77"/>
      <c r="AS1798" s="77"/>
      <c r="AT1798" s="77"/>
      <c r="AU1798" s="77"/>
      <c r="AV1798" s="80" t="str">
        <f>HYPERLINK("https://pbs.twimg.com/profile_images/1620068456165933060/TShADQck_normal.jpg")</f>
        <v>https://pbs.twimg.com/profile_images/1620068456165933060/TShADQck_normal.jpg</v>
      </c>
      <c r="AW1798" s="82" t="s">
        <v>14889</v>
      </c>
      <c r="AX1798" s="82" t="s">
        <v>14889</v>
      </c>
      <c r="AY1798" s="77"/>
      <c r="AZ1798" s="82" t="s">
        <v>17385</v>
      </c>
      <c r="BA1798" s="82" t="s">
        <v>17385</v>
      </c>
      <c r="BB1798" s="82" t="s">
        <v>17385</v>
      </c>
      <c r="BC1798" s="82" t="s">
        <v>14889</v>
      </c>
      <c r="BD1798" s="82" t="s">
        <v>17557</v>
      </c>
      <c r="BE1798" s="77"/>
      <c r="BF1798" s="77"/>
      <c r="BG1798" s="77"/>
      <c r="BH1798" s="77"/>
      <c r="BI1798" s="77"/>
    </row>
    <row r="1799" spans="1:61" x14ac:dyDescent="0.25">
      <c r="A1799" s="62" t="s">
        <v>435</v>
      </c>
      <c r="B1799" s="62" t="s">
        <v>435</v>
      </c>
      <c r="C1799" s="63"/>
      <c r="D1799" s="64"/>
      <c r="E1799" s="65"/>
      <c r="F1799" s="66"/>
      <c r="G1799" s="63"/>
      <c r="H1799" s="67"/>
      <c r="I1799" s="68"/>
      <c r="J1799" s="68"/>
      <c r="K1799" s="32"/>
      <c r="L1799" s="75">
        <v>1799</v>
      </c>
      <c r="M1799" s="75"/>
      <c r="N1799" s="70"/>
      <c r="O1799" s="77" t="s">
        <v>179</v>
      </c>
      <c r="P1799" s="79">
        <v>45169.505949074075</v>
      </c>
      <c r="Q1799" s="77" t="s">
        <v>2585</v>
      </c>
      <c r="R1799" s="77">
        <v>1</v>
      </c>
      <c r="S1799" s="77">
        <v>4</v>
      </c>
      <c r="T1799" s="77">
        <v>0</v>
      </c>
      <c r="U1799" s="77">
        <v>0</v>
      </c>
      <c r="V1799" s="77">
        <v>297</v>
      </c>
      <c r="W1799" s="82" t="s">
        <v>5966</v>
      </c>
      <c r="X1799" s="80" t="str">
        <f>HYPERLINK("https://flj.com.br/noticia/via-contrata-bancos-para-potencial-oferta-de-acoes-de-r-1-bilhao")</f>
        <v>https://flj.com.br/noticia/via-contrata-bancos-para-potencial-oferta-de-acoes-de-r-1-bilhao</v>
      </c>
      <c r="Y1799" s="77" t="s">
        <v>7053</v>
      </c>
      <c r="Z1799" s="77"/>
      <c r="AA1799" s="77"/>
      <c r="AB1799" s="77"/>
      <c r="AC1799" s="82" t="s">
        <v>8232</v>
      </c>
      <c r="AD1799" s="77" t="s">
        <v>8278</v>
      </c>
      <c r="AE1799" s="80" t="str">
        <f>HYPERLINK("https://twitter.com/leiaflj/status/1697219829889933586")</f>
        <v>https://twitter.com/leiaflj/status/1697219829889933586</v>
      </c>
      <c r="AF1799" s="79">
        <v>45169.505949074075</v>
      </c>
      <c r="AG1799" s="85">
        <v>45169</v>
      </c>
      <c r="AH1799" s="82" t="s">
        <v>9918</v>
      </c>
      <c r="AI1799" s="77" t="b">
        <v>0</v>
      </c>
      <c r="AJ1799" s="77"/>
      <c r="AK1799" s="77"/>
      <c r="AL1799" s="77"/>
      <c r="AM1799" s="77"/>
      <c r="AN1799" s="77"/>
      <c r="AO1799" s="77"/>
      <c r="AP1799" s="77"/>
      <c r="AQ1799" s="77"/>
      <c r="AR1799" s="77"/>
      <c r="AS1799" s="77"/>
      <c r="AT1799" s="77"/>
      <c r="AU1799" s="77"/>
      <c r="AV1799" s="80" t="str">
        <f>HYPERLINK("https://pbs.twimg.com/profile_images/1620068456165933060/TShADQck_normal.jpg")</f>
        <v>https://pbs.twimg.com/profile_images/1620068456165933060/TShADQck_normal.jpg</v>
      </c>
      <c r="AW1799" s="82" t="s">
        <v>14890</v>
      </c>
      <c r="AX1799" s="82" t="s">
        <v>14890</v>
      </c>
      <c r="AY1799" s="77"/>
      <c r="AZ1799" s="82" t="s">
        <v>17385</v>
      </c>
      <c r="BA1799" s="82" t="s">
        <v>17385</v>
      </c>
      <c r="BB1799" s="82" t="s">
        <v>17385</v>
      </c>
      <c r="BC1799" s="82" t="s">
        <v>14890</v>
      </c>
      <c r="BD1799" s="82" t="s">
        <v>17557</v>
      </c>
      <c r="BE1799" s="77"/>
      <c r="BF1799" s="77"/>
      <c r="BG1799" s="77"/>
      <c r="BH1799" s="77"/>
      <c r="BI1799" s="77"/>
    </row>
    <row r="1800" spans="1:61" x14ac:dyDescent="0.25">
      <c r="A1800" s="62" t="s">
        <v>435</v>
      </c>
      <c r="B1800" s="62" t="s">
        <v>435</v>
      </c>
      <c r="C1800" s="63"/>
      <c r="D1800" s="64"/>
      <c r="E1800" s="65"/>
      <c r="F1800" s="66"/>
      <c r="G1800" s="63"/>
      <c r="H1800" s="67"/>
      <c r="I1800" s="68"/>
      <c r="J1800" s="68"/>
      <c r="K1800" s="32"/>
      <c r="L1800" s="75">
        <v>1800</v>
      </c>
      <c r="M1800" s="75"/>
      <c r="N1800" s="70"/>
      <c r="O1800" s="77" t="s">
        <v>179</v>
      </c>
      <c r="P1800" s="79">
        <v>45159.525381944448</v>
      </c>
      <c r="Q1800" s="77" t="s">
        <v>2586</v>
      </c>
      <c r="R1800" s="77">
        <v>0</v>
      </c>
      <c r="S1800" s="77">
        <v>0</v>
      </c>
      <c r="T1800" s="77">
        <v>0</v>
      </c>
      <c r="U1800" s="77">
        <v>0</v>
      </c>
      <c r="V1800" s="77">
        <v>135</v>
      </c>
      <c r="W1800" s="82" t="s">
        <v>5967</v>
      </c>
      <c r="X1800" s="80" t="str">
        <f>HYPERLINK("https://flj.com.br/noticia/raizen-recebe-certificacao-que-habilita-etanol-para-combustivel-sustentavel-de-aviacao")</f>
        <v>https://flj.com.br/noticia/raizen-recebe-certificacao-que-habilita-etanol-para-combustivel-sustentavel-de-aviacao</v>
      </c>
      <c r="Y1800" s="77" t="s">
        <v>7053</v>
      </c>
      <c r="Z1800" s="77"/>
      <c r="AA1800" s="77"/>
      <c r="AB1800" s="77"/>
      <c r="AC1800" s="82" t="s">
        <v>8232</v>
      </c>
      <c r="AD1800" s="77" t="s">
        <v>8278</v>
      </c>
      <c r="AE1800" s="80" t="str">
        <f>HYPERLINK("https://twitter.com/leiaflj/status/1693602990920286551")</f>
        <v>https://twitter.com/leiaflj/status/1693602990920286551</v>
      </c>
      <c r="AF1800" s="79">
        <v>45159.525381944448</v>
      </c>
      <c r="AG1800" s="85">
        <v>45159</v>
      </c>
      <c r="AH1800" s="82" t="s">
        <v>9919</v>
      </c>
      <c r="AI1800" s="77" t="b">
        <v>0</v>
      </c>
      <c r="AJ1800" s="77"/>
      <c r="AK1800" s="77"/>
      <c r="AL1800" s="77"/>
      <c r="AM1800" s="77"/>
      <c r="AN1800" s="77"/>
      <c r="AO1800" s="77"/>
      <c r="AP1800" s="77"/>
      <c r="AQ1800" s="77"/>
      <c r="AR1800" s="77"/>
      <c r="AS1800" s="77"/>
      <c r="AT1800" s="77"/>
      <c r="AU1800" s="77"/>
      <c r="AV1800" s="80" t="str">
        <f>HYPERLINK("https://pbs.twimg.com/profile_images/1620068456165933060/TShADQck_normal.jpg")</f>
        <v>https://pbs.twimg.com/profile_images/1620068456165933060/TShADQck_normal.jpg</v>
      </c>
      <c r="AW1800" s="82" t="s">
        <v>14891</v>
      </c>
      <c r="AX1800" s="82" t="s">
        <v>14891</v>
      </c>
      <c r="AY1800" s="77"/>
      <c r="AZ1800" s="82" t="s">
        <v>17385</v>
      </c>
      <c r="BA1800" s="82" t="s">
        <v>17385</v>
      </c>
      <c r="BB1800" s="82" t="s">
        <v>17385</v>
      </c>
      <c r="BC1800" s="82" t="s">
        <v>14891</v>
      </c>
      <c r="BD1800" s="82" t="s">
        <v>17557</v>
      </c>
      <c r="BE1800" s="77"/>
      <c r="BF1800" s="77"/>
      <c r="BG1800" s="77"/>
      <c r="BH1800" s="77"/>
      <c r="BI1800" s="77"/>
    </row>
    <row r="1801" spans="1:61" x14ac:dyDescent="0.25">
      <c r="A1801" s="62" t="s">
        <v>435</v>
      </c>
      <c r="B1801" s="62" t="s">
        <v>435</v>
      </c>
      <c r="C1801" s="63"/>
      <c r="D1801" s="64"/>
      <c r="E1801" s="65"/>
      <c r="F1801" s="66"/>
      <c r="G1801" s="63"/>
      <c r="H1801" s="67"/>
      <c r="I1801" s="68"/>
      <c r="J1801" s="68"/>
      <c r="K1801" s="32"/>
      <c r="L1801" s="75">
        <v>1801</v>
      </c>
      <c r="M1801" s="75"/>
      <c r="N1801" s="70"/>
      <c r="O1801" s="77" t="s">
        <v>179</v>
      </c>
      <c r="P1801" s="79">
        <v>45153.67391203704</v>
      </c>
      <c r="Q1801" s="77" t="s">
        <v>2587</v>
      </c>
      <c r="R1801" s="77">
        <v>0</v>
      </c>
      <c r="S1801" s="77">
        <v>2</v>
      </c>
      <c r="T1801" s="77">
        <v>0</v>
      </c>
      <c r="U1801" s="77">
        <v>0</v>
      </c>
      <c r="V1801" s="77">
        <v>167</v>
      </c>
      <c r="W1801" s="82" t="s">
        <v>5968</v>
      </c>
      <c r="X1801" s="80" t="str">
        <f>HYPERLINK("https://flj.com.br/noticia/acao-da-petrobras-dispara-apos-alta-de-combustiveis-vibra-e-ultrapar-se-beneficiam-diz-goldman")</f>
        <v>https://flj.com.br/noticia/acao-da-petrobras-dispara-apos-alta-de-combustiveis-vibra-e-ultrapar-se-beneficiam-diz-goldman</v>
      </c>
      <c r="Y1801" s="77" t="s">
        <v>7053</v>
      </c>
      <c r="Z1801" s="77"/>
      <c r="AA1801" s="77"/>
      <c r="AB1801" s="77"/>
      <c r="AC1801" s="82" t="s">
        <v>8232</v>
      </c>
      <c r="AD1801" s="77" t="s">
        <v>8278</v>
      </c>
      <c r="AE1801" s="80" t="str">
        <f>HYPERLINK("https://twitter.com/leiaflj/status/1691482491817758720")</f>
        <v>https://twitter.com/leiaflj/status/1691482491817758720</v>
      </c>
      <c r="AF1801" s="79">
        <v>45153.67391203704</v>
      </c>
      <c r="AG1801" s="85">
        <v>45153</v>
      </c>
      <c r="AH1801" s="82" t="s">
        <v>9920</v>
      </c>
      <c r="AI1801" s="77" t="b">
        <v>0</v>
      </c>
      <c r="AJ1801" s="77"/>
      <c r="AK1801" s="77"/>
      <c r="AL1801" s="77"/>
      <c r="AM1801" s="77"/>
      <c r="AN1801" s="77"/>
      <c r="AO1801" s="77"/>
      <c r="AP1801" s="77"/>
      <c r="AQ1801" s="77"/>
      <c r="AR1801" s="77"/>
      <c r="AS1801" s="77"/>
      <c r="AT1801" s="77"/>
      <c r="AU1801" s="77"/>
      <c r="AV1801" s="80" t="str">
        <f>HYPERLINK("https://pbs.twimg.com/profile_images/1620068456165933060/TShADQck_normal.jpg")</f>
        <v>https://pbs.twimg.com/profile_images/1620068456165933060/TShADQck_normal.jpg</v>
      </c>
      <c r="AW1801" s="82" t="s">
        <v>14892</v>
      </c>
      <c r="AX1801" s="82" t="s">
        <v>14892</v>
      </c>
      <c r="AY1801" s="77"/>
      <c r="AZ1801" s="82" t="s">
        <v>17385</v>
      </c>
      <c r="BA1801" s="82" t="s">
        <v>17385</v>
      </c>
      <c r="BB1801" s="82" t="s">
        <v>17385</v>
      </c>
      <c r="BC1801" s="82" t="s">
        <v>14892</v>
      </c>
      <c r="BD1801" s="82" t="s">
        <v>17557</v>
      </c>
      <c r="BE1801" s="77"/>
      <c r="BF1801" s="77"/>
      <c r="BG1801" s="77"/>
      <c r="BH1801" s="77"/>
      <c r="BI1801" s="77"/>
    </row>
    <row r="1802" spans="1:61" x14ac:dyDescent="0.25">
      <c r="A1802" s="62" t="s">
        <v>435</v>
      </c>
      <c r="B1802" s="62" t="s">
        <v>435</v>
      </c>
      <c r="C1802" s="63"/>
      <c r="D1802" s="64"/>
      <c r="E1802" s="65"/>
      <c r="F1802" s="66"/>
      <c r="G1802" s="63"/>
      <c r="H1802" s="67"/>
      <c r="I1802" s="68"/>
      <c r="J1802" s="68"/>
      <c r="K1802" s="32"/>
      <c r="L1802" s="75">
        <v>1802</v>
      </c>
      <c r="M1802" s="75"/>
      <c r="N1802" s="70"/>
      <c r="O1802" s="77" t="s">
        <v>179</v>
      </c>
      <c r="P1802" s="79">
        <v>45153.438055555554</v>
      </c>
      <c r="Q1802" s="77" t="s">
        <v>2588</v>
      </c>
      <c r="R1802" s="77">
        <v>0</v>
      </c>
      <c r="S1802" s="77">
        <v>1</v>
      </c>
      <c r="T1802" s="77">
        <v>0</v>
      </c>
      <c r="U1802" s="77">
        <v>0</v>
      </c>
      <c r="V1802" s="77">
        <v>166</v>
      </c>
      <c r="W1802" s="82" t="s">
        <v>5969</v>
      </c>
      <c r="X1802" s="80" t="str">
        <f>HYPERLINK("https://flj.com.br/noticia/irb-irbr3-reverte-prejuizo-e-tem-lucro-de-r-20-1-milhoes-no-2t23")</f>
        <v>https://flj.com.br/noticia/irb-irbr3-reverte-prejuizo-e-tem-lucro-de-r-20-1-milhoes-no-2t23</v>
      </c>
      <c r="Y1802" s="77" t="s">
        <v>7053</v>
      </c>
      <c r="Z1802" s="77"/>
      <c r="AA1802" s="77"/>
      <c r="AB1802" s="77"/>
      <c r="AC1802" s="82" t="s">
        <v>8232</v>
      </c>
      <c r="AD1802" s="77" t="s">
        <v>8278</v>
      </c>
      <c r="AE1802" s="80" t="str">
        <f>HYPERLINK("https://twitter.com/leiaflj/status/1691397017572892672")</f>
        <v>https://twitter.com/leiaflj/status/1691397017572892672</v>
      </c>
      <c r="AF1802" s="79">
        <v>45153.438055555554</v>
      </c>
      <c r="AG1802" s="85">
        <v>45153</v>
      </c>
      <c r="AH1802" s="82" t="s">
        <v>9921</v>
      </c>
      <c r="AI1802" s="77" t="b">
        <v>0</v>
      </c>
      <c r="AJ1802" s="77"/>
      <c r="AK1802" s="77"/>
      <c r="AL1802" s="77"/>
      <c r="AM1802" s="77"/>
      <c r="AN1802" s="77"/>
      <c r="AO1802" s="77"/>
      <c r="AP1802" s="77"/>
      <c r="AQ1802" s="77"/>
      <c r="AR1802" s="77"/>
      <c r="AS1802" s="77"/>
      <c r="AT1802" s="77"/>
      <c r="AU1802" s="77"/>
      <c r="AV1802" s="80" t="str">
        <f>HYPERLINK("https://pbs.twimg.com/profile_images/1620068456165933060/TShADQck_normal.jpg")</f>
        <v>https://pbs.twimg.com/profile_images/1620068456165933060/TShADQck_normal.jpg</v>
      </c>
      <c r="AW1802" s="82" t="s">
        <v>14893</v>
      </c>
      <c r="AX1802" s="82" t="s">
        <v>14893</v>
      </c>
      <c r="AY1802" s="77"/>
      <c r="AZ1802" s="82" t="s">
        <v>17385</v>
      </c>
      <c r="BA1802" s="82" t="s">
        <v>17385</v>
      </c>
      <c r="BB1802" s="82" t="s">
        <v>17385</v>
      </c>
      <c r="BC1802" s="82" t="s">
        <v>14893</v>
      </c>
      <c r="BD1802" s="82" t="s">
        <v>17557</v>
      </c>
      <c r="BE1802" s="77"/>
      <c r="BF1802" s="77"/>
      <c r="BG1802" s="77"/>
      <c r="BH1802" s="77"/>
      <c r="BI1802" s="77"/>
    </row>
    <row r="1803" spans="1:61" x14ac:dyDescent="0.25">
      <c r="A1803" s="62" t="s">
        <v>435</v>
      </c>
      <c r="B1803" s="62" t="s">
        <v>435</v>
      </c>
      <c r="C1803" s="63"/>
      <c r="D1803" s="64"/>
      <c r="E1803" s="65"/>
      <c r="F1803" s="66"/>
      <c r="G1803" s="63"/>
      <c r="H1803" s="67"/>
      <c r="I1803" s="68"/>
      <c r="J1803" s="68"/>
      <c r="K1803" s="32"/>
      <c r="L1803" s="75">
        <v>1803</v>
      </c>
      <c r="M1803" s="75"/>
      <c r="N1803" s="70"/>
      <c r="O1803" s="77" t="s">
        <v>179</v>
      </c>
      <c r="P1803" s="79">
        <v>45140.739687499998</v>
      </c>
      <c r="Q1803" s="77" t="s">
        <v>2589</v>
      </c>
      <c r="R1803" s="77">
        <v>0</v>
      </c>
      <c r="S1803" s="77">
        <v>0</v>
      </c>
      <c r="T1803" s="77">
        <v>0</v>
      </c>
      <c r="U1803" s="77">
        <v>0</v>
      </c>
      <c r="V1803" s="77">
        <v>172</v>
      </c>
      <c r="W1803" s="82" t="s">
        <v>5970</v>
      </c>
      <c r="X1803" s="80" t="str">
        <f>HYPERLINK("https://flj.com.br/noticia/cielo-ciel3-por-que-as-acoes-derretem-8-nesta-quarta-feira")</f>
        <v>https://flj.com.br/noticia/cielo-ciel3-por-que-as-acoes-derretem-8-nesta-quarta-feira</v>
      </c>
      <c r="Y1803" s="77" t="s">
        <v>7053</v>
      </c>
      <c r="Z1803" s="77"/>
      <c r="AA1803" s="77"/>
      <c r="AB1803" s="77"/>
      <c r="AC1803" s="82" t="s">
        <v>8232</v>
      </c>
      <c r="AD1803" s="77" t="s">
        <v>8278</v>
      </c>
      <c r="AE1803" s="80" t="str">
        <f>HYPERLINK("https://twitter.com/leiaflj/status/1686795282619527169")</f>
        <v>https://twitter.com/leiaflj/status/1686795282619527169</v>
      </c>
      <c r="AF1803" s="79">
        <v>45140.739687499998</v>
      </c>
      <c r="AG1803" s="85">
        <v>45140</v>
      </c>
      <c r="AH1803" s="82" t="s">
        <v>9922</v>
      </c>
      <c r="AI1803" s="77" t="b">
        <v>0</v>
      </c>
      <c r="AJ1803" s="77"/>
      <c r="AK1803" s="77"/>
      <c r="AL1803" s="77"/>
      <c r="AM1803" s="77"/>
      <c r="AN1803" s="77"/>
      <c r="AO1803" s="77"/>
      <c r="AP1803" s="77"/>
      <c r="AQ1803" s="77"/>
      <c r="AR1803" s="77"/>
      <c r="AS1803" s="77"/>
      <c r="AT1803" s="77"/>
      <c r="AU1803" s="77"/>
      <c r="AV1803" s="80" t="str">
        <f>HYPERLINK("https://pbs.twimg.com/profile_images/1620068456165933060/TShADQck_normal.jpg")</f>
        <v>https://pbs.twimg.com/profile_images/1620068456165933060/TShADQck_normal.jpg</v>
      </c>
      <c r="AW1803" s="82" t="s">
        <v>14894</v>
      </c>
      <c r="AX1803" s="82" t="s">
        <v>14894</v>
      </c>
      <c r="AY1803" s="77"/>
      <c r="AZ1803" s="82" t="s">
        <v>17385</v>
      </c>
      <c r="BA1803" s="82" t="s">
        <v>17385</v>
      </c>
      <c r="BB1803" s="82" t="s">
        <v>17385</v>
      </c>
      <c r="BC1803" s="82" t="s">
        <v>14894</v>
      </c>
      <c r="BD1803" s="82" t="s">
        <v>17557</v>
      </c>
      <c r="BE1803" s="77"/>
      <c r="BF1803" s="77"/>
      <c r="BG1803" s="77"/>
      <c r="BH1803" s="77"/>
      <c r="BI1803" s="77"/>
    </row>
    <row r="1804" spans="1:61" x14ac:dyDescent="0.25">
      <c r="A1804" s="62" t="s">
        <v>435</v>
      </c>
      <c r="B1804" s="62" t="s">
        <v>435</v>
      </c>
      <c r="C1804" s="63"/>
      <c r="D1804" s="64"/>
      <c r="E1804" s="65"/>
      <c r="F1804" s="66"/>
      <c r="G1804" s="63"/>
      <c r="H1804" s="67"/>
      <c r="I1804" s="68"/>
      <c r="J1804" s="68"/>
      <c r="K1804" s="32"/>
      <c r="L1804" s="75">
        <v>1804</v>
      </c>
      <c r="M1804" s="75"/>
      <c r="N1804" s="70"/>
      <c r="O1804" s="77" t="s">
        <v>179</v>
      </c>
      <c r="P1804" s="79">
        <v>45140.696053240739</v>
      </c>
      <c r="Q1804" s="77" t="s">
        <v>2590</v>
      </c>
      <c r="R1804" s="77">
        <v>0</v>
      </c>
      <c r="S1804" s="77">
        <v>0</v>
      </c>
      <c r="T1804" s="77">
        <v>0</v>
      </c>
      <c r="U1804" s="77">
        <v>0</v>
      </c>
      <c r="V1804" s="77">
        <v>147</v>
      </c>
      <c r="W1804" s="82" t="s">
        <v>5971</v>
      </c>
      <c r="X1804" s="80" t="str">
        <f>HYPERLINK("https://flj.com.br/noticia/veja-as-5-acoes-que-pagaram-dividendos-acima-da-selic")</f>
        <v>https://flj.com.br/noticia/veja-as-5-acoes-que-pagaram-dividendos-acima-da-selic</v>
      </c>
      <c r="Y1804" s="77" t="s">
        <v>7053</v>
      </c>
      <c r="Z1804" s="77"/>
      <c r="AA1804" s="77"/>
      <c r="AB1804" s="77"/>
      <c r="AC1804" s="82" t="s">
        <v>8232</v>
      </c>
      <c r="AD1804" s="77" t="s">
        <v>8278</v>
      </c>
      <c r="AE1804" s="80" t="str">
        <f>HYPERLINK("https://twitter.com/leiaflj/status/1686779470517092362")</f>
        <v>https://twitter.com/leiaflj/status/1686779470517092362</v>
      </c>
      <c r="AF1804" s="79">
        <v>45140.696053240739</v>
      </c>
      <c r="AG1804" s="85">
        <v>45140</v>
      </c>
      <c r="AH1804" s="82" t="s">
        <v>9923</v>
      </c>
      <c r="AI1804" s="77" t="b">
        <v>0</v>
      </c>
      <c r="AJ1804" s="77"/>
      <c r="AK1804" s="77"/>
      <c r="AL1804" s="77"/>
      <c r="AM1804" s="77"/>
      <c r="AN1804" s="77"/>
      <c r="AO1804" s="77"/>
      <c r="AP1804" s="77"/>
      <c r="AQ1804" s="77"/>
      <c r="AR1804" s="77"/>
      <c r="AS1804" s="77"/>
      <c r="AT1804" s="77"/>
      <c r="AU1804" s="77"/>
      <c r="AV1804" s="80" t="str">
        <f>HYPERLINK("https://pbs.twimg.com/profile_images/1620068456165933060/TShADQck_normal.jpg")</f>
        <v>https://pbs.twimg.com/profile_images/1620068456165933060/TShADQck_normal.jpg</v>
      </c>
      <c r="AW1804" s="82" t="s">
        <v>14895</v>
      </c>
      <c r="AX1804" s="82" t="s">
        <v>14895</v>
      </c>
      <c r="AY1804" s="77"/>
      <c r="AZ1804" s="82" t="s">
        <v>17385</v>
      </c>
      <c r="BA1804" s="82" t="s">
        <v>17385</v>
      </c>
      <c r="BB1804" s="82" t="s">
        <v>17385</v>
      </c>
      <c r="BC1804" s="82" t="s">
        <v>14895</v>
      </c>
      <c r="BD1804" s="82" t="s">
        <v>17557</v>
      </c>
      <c r="BE1804" s="77"/>
      <c r="BF1804" s="77"/>
      <c r="BG1804" s="77"/>
      <c r="BH1804" s="77"/>
      <c r="BI1804" s="77"/>
    </row>
    <row r="1805" spans="1:61" x14ac:dyDescent="0.25">
      <c r="A1805" s="62" t="s">
        <v>435</v>
      </c>
      <c r="B1805" s="62" t="s">
        <v>435</v>
      </c>
      <c r="C1805" s="63"/>
      <c r="D1805" s="64"/>
      <c r="E1805" s="65"/>
      <c r="F1805" s="66"/>
      <c r="G1805" s="63"/>
      <c r="H1805" s="67"/>
      <c r="I1805" s="68"/>
      <c r="J1805" s="68"/>
      <c r="K1805" s="32"/>
      <c r="L1805" s="75">
        <v>1805</v>
      </c>
      <c r="M1805" s="75"/>
      <c r="N1805" s="70"/>
      <c r="O1805" s="77" t="s">
        <v>179</v>
      </c>
      <c r="P1805" s="79">
        <v>45126.630879629629</v>
      </c>
      <c r="Q1805" s="77" t="s">
        <v>2591</v>
      </c>
      <c r="R1805" s="77">
        <v>0</v>
      </c>
      <c r="S1805" s="77">
        <v>1</v>
      </c>
      <c r="T1805" s="77">
        <v>0</v>
      </c>
      <c r="U1805" s="77">
        <v>0</v>
      </c>
      <c r="V1805" s="77">
        <v>112</v>
      </c>
      <c r="W1805" s="82" t="s">
        <v>5972</v>
      </c>
      <c r="X1805" s="80" t="str">
        <f>HYPERLINK("https://flj.com.br/noticia/ibovespa-tem-leve-baixa-de-olho-em-balancos-e-inflacao-mais-fraca")</f>
        <v>https://flj.com.br/noticia/ibovespa-tem-leve-baixa-de-olho-em-balancos-e-inflacao-mais-fraca</v>
      </c>
      <c r="Y1805" s="77" t="s">
        <v>7053</v>
      </c>
      <c r="Z1805" s="77"/>
      <c r="AA1805" s="77"/>
      <c r="AB1805" s="77"/>
      <c r="AC1805" s="82" t="s">
        <v>8232</v>
      </c>
      <c r="AD1805" s="77" t="s">
        <v>8278</v>
      </c>
      <c r="AE1805" s="80" t="str">
        <f>HYPERLINK("https://twitter.com/leiaflj/status/1681682423443062785")</f>
        <v>https://twitter.com/leiaflj/status/1681682423443062785</v>
      </c>
      <c r="AF1805" s="79">
        <v>45126.630879629629</v>
      </c>
      <c r="AG1805" s="85">
        <v>45126</v>
      </c>
      <c r="AH1805" s="82" t="s">
        <v>9924</v>
      </c>
      <c r="AI1805" s="77" t="b">
        <v>0</v>
      </c>
      <c r="AJ1805" s="77"/>
      <c r="AK1805" s="77"/>
      <c r="AL1805" s="77"/>
      <c r="AM1805" s="77"/>
      <c r="AN1805" s="77"/>
      <c r="AO1805" s="77"/>
      <c r="AP1805" s="77"/>
      <c r="AQ1805" s="77"/>
      <c r="AR1805" s="77"/>
      <c r="AS1805" s="77"/>
      <c r="AT1805" s="77"/>
      <c r="AU1805" s="77"/>
      <c r="AV1805" s="80" t="str">
        <f>HYPERLINK("https://pbs.twimg.com/profile_images/1620068456165933060/TShADQck_normal.jpg")</f>
        <v>https://pbs.twimg.com/profile_images/1620068456165933060/TShADQck_normal.jpg</v>
      </c>
      <c r="AW1805" s="82" t="s">
        <v>14896</v>
      </c>
      <c r="AX1805" s="82" t="s">
        <v>14896</v>
      </c>
      <c r="AY1805" s="77"/>
      <c r="AZ1805" s="82" t="s">
        <v>17385</v>
      </c>
      <c r="BA1805" s="82" t="s">
        <v>17385</v>
      </c>
      <c r="BB1805" s="82" t="s">
        <v>17385</v>
      </c>
      <c r="BC1805" s="82" t="s">
        <v>14896</v>
      </c>
      <c r="BD1805" s="82" t="s">
        <v>17557</v>
      </c>
      <c r="BE1805" s="77"/>
      <c r="BF1805" s="77"/>
      <c r="BG1805" s="77"/>
      <c r="BH1805" s="77"/>
      <c r="BI1805" s="77"/>
    </row>
    <row r="1806" spans="1:61" x14ac:dyDescent="0.25">
      <c r="A1806" s="62" t="s">
        <v>435</v>
      </c>
      <c r="B1806" s="62" t="s">
        <v>435</v>
      </c>
      <c r="C1806" s="63"/>
      <c r="D1806" s="64"/>
      <c r="E1806" s="65"/>
      <c r="F1806" s="66"/>
      <c r="G1806" s="63"/>
      <c r="H1806" s="67"/>
      <c r="I1806" s="68"/>
      <c r="J1806" s="68"/>
      <c r="K1806" s="32"/>
      <c r="L1806" s="75">
        <v>1806</v>
      </c>
      <c r="M1806" s="75"/>
      <c r="N1806" s="70"/>
      <c r="O1806" s="77" t="s">
        <v>179</v>
      </c>
      <c r="P1806" s="79">
        <v>45125.957268518519</v>
      </c>
      <c r="Q1806" s="77" t="s">
        <v>2592</v>
      </c>
      <c r="R1806" s="77">
        <v>0</v>
      </c>
      <c r="S1806" s="77">
        <v>0</v>
      </c>
      <c r="T1806" s="77">
        <v>0</v>
      </c>
      <c r="U1806" s="77">
        <v>0</v>
      </c>
      <c r="V1806" s="77">
        <v>148</v>
      </c>
      <c r="W1806" s="82" t="s">
        <v>5973</v>
      </c>
      <c r="X1806" s="80" t="str">
        <f>HYPERLINK("https://flj.com.br/noticia/weg-wege3-aprova-recompra-de-acoes-as-vesperas-de-balanco")</f>
        <v>https://flj.com.br/noticia/weg-wege3-aprova-recompra-de-acoes-as-vesperas-de-balanco</v>
      </c>
      <c r="Y1806" s="77" t="s">
        <v>7053</v>
      </c>
      <c r="Z1806" s="77"/>
      <c r="AA1806" s="77"/>
      <c r="AB1806" s="77"/>
      <c r="AC1806" s="82" t="s">
        <v>8232</v>
      </c>
      <c r="AD1806" s="77" t="s">
        <v>8278</v>
      </c>
      <c r="AE1806" s="80" t="str">
        <f>HYPERLINK("https://twitter.com/leiaflj/status/1681438313008496647")</f>
        <v>https://twitter.com/leiaflj/status/1681438313008496647</v>
      </c>
      <c r="AF1806" s="79">
        <v>45125.957268518519</v>
      </c>
      <c r="AG1806" s="85">
        <v>45125</v>
      </c>
      <c r="AH1806" s="82" t="s">
        <v>9925</v>
      </c>
      <c r="AI1806" s="77" t="b">
        <v>0</v>
      </c>
      <c r="AJ1806" s="77"/>
      <c r="AK1806" s="77"/>
      <c r="AL1806" s="77"/>
      <c r="AM1806" s="77"/>
      <c r="AN1806" s="77"/>
      <c r="AO1806" s="77"/>
      <c r="AP1806" s="77"/>
      <c r="AQ1806" s="77"/>
      <c r="AR1806" s="77"/>
      <c r="AS1806" s="77"/>
      <c r="AT1806" s="77"/>
      <c r="AU1806" s="77"/>
      <c r="AV1806" s="80" t="str">
        <f>HYPERLINK("https://pbs.twimg.com/profile_images/1620068456165933060/TShADQck_normal.jpg")</f>
        <v>https://pbs.twimg.com/profile_images/1620068456165933060/TShADQck_normal.jpg</v>
      </c>
      <c r="AW1806" s="82" t="s">
        <v>14897</v>
      </c>
      <c r="AX1806" s="82" t="s">
        <v>14897</v>
      </c>
      <c r="AY1806" s="77"/>
      <c r="AZ1806" s="82" t="s">
        <v>17385</v>
      </c>
      <c r="BA1806" s="82" t="s">
        <v>17385</v>
      </c>
      <c r="BB1806" s="82" t="s">
        <v>17385</v>
      </c>
      <c r="BC1806" s="82" t="s">
        <v>14897</v>
      </c>
      <c r="BD1806" s="82" t="s">
        <v>17557</v>
      </c>
      <c r="BE1806" s="77"/>
      <c r="BF1806" s="77"/>
      <c r="BG1806" s="77"/>
      <c r="BH1806" s="77"/>
      <c r="BI1806" s="77"/>
    </row>
    <row r="1807" spans="1:61" x14ac:dyDescent="0.25">
      <c r="A1807" s="62" t="s">
        <v>435</v>
      </c>
      <c r="B1807" s="62" t="s">
        <v>435</v>
      </c>
      <c r="C1807" s="63"/>
      <c r="D1807" s="64"/>
      <c r="E1807" s="65"/>
      <c r="F1807" s="66"/>
      <c r="G1807" s="63"/>
      <c r="H1807" s="67"/>
      <c r="I1807" s="68"/>
      <c r="J1807" s="68"/>
      <c r="K1807" s="32"/>
      <c r="L1807" s="75">
        <v>1807</v>
      </c>
      <c r="M1807" s="75"/>
      <c r="N1807" s="70"/>
      <c r="O1807" s="77" t="s">
        <v>179</v>
      </c>
      <c r="P1807" s="79">
        <v>45123.500011574077</v>
      </c>
      <c r="Q1807" s="77" t="s">
        <v>2593</v>
      </c>
      <c r="R1807" s="77">
        <v>0</v>
      </c>
      <c r="S1807" s="77">
        <v>2</v>
      </c>
      <c r="T1807" s="77">
        <v>0</v>
      </c>
      <c r="U1807" s="77">
        <v>0</v>
      </c>
      <c r="V1807" s="77">
        <v>150</v>
      </c>
      <c r="W1807" s="82" t="s">
        <v>5907</v>
      </c>
      <c r="X1807" s="80" t="str">
        <f>HYPERLINK("https://flj.com.br/")</f>
        <v>https://flj.com.br/</v>
      </c>
      <c r="Y1807" s="77" t="s">
        <v>7053</v>
      </c>
      <c r="Z1807" s="77"/>
      <c r="AA1807" s="77" t="s">
        <v>7899</v>
      </c>
      <c r="AB1807" s="77" t="s">
        <v>8229</v>
      </c>
      <c r="AC1807" s="82" t="s">
        <v>8232</v>
      </c>
      <c r="AD1807" s="77" t="s">
        <v>8278</v>
      </c>
      <c r="AE1807" s="80" t="str">
        <f>HYPERLINK("https://twitter.com/leiaflj/status/1680547835933229056")</f>
        <v>https://twitter.com/leiaflj/status/1680547835933229056</v>
      </c>
      <c r="AF1807" s="79">
        <v>45123.500011574077</v>
      </c>
      <c r="AG1807" s="85">
        <v>45123</v>
      </c>
      <c r="AH1807" s="82" t="s">
        <v>8596</v>
      </c>
      <c r="AI1807" s="77" t="b">
        <v>0</v>
      </c>
      <c r="AJ1807" s="77"/>
      <c r="AK1807" s="77"/>
      <c r="AL1807" s="77"/>
      <c r="AM1807" s="77"/>
      <c r="AN1807" s="77"/>
      <c r="AO1807" s="77"/>
      <c r="AP1807" s="77"/>
      <c r="AQ1807" s="77" t="s">
        <v>12784</v>
      </c>
      <c r="AR1807" s="77"/>
      <c r="AS1807" s="77"/>
      <c r="AT1807" s="77"/>
      <c r="AU1807" s="77"/>
      <c r="AV1807" s="80" t="str">
        <f>HYPERLINK("https://pbs.twimg.com/media/F1AcOf2WAAMKW3x.jpg")</f>
        <v>https://pbs.twimg.com/media/F1AcOf2WAAMKW3x.jpg</v>
      </c>
      <c r="AW1807" s="82" t="s">
        <v>14898</v>
      </c>
      <c r="AX1807" s="82" t="s">
        <v>14898</v>
      </c>
      <c r="AY1807" s="77"/>
      <c r="AZ1807" s="82" t="s">
        <v>17385</v>
      </c>
      <c r="BA1807" s="82" t="s">
        <v>17385</v>
      </c>
      <c r="BB1807" s="82" t="s">
        <v>17385</v>
      </c>
      <c r="BC1807" s="82" t="s">
        <v>14898</v>
      </c>
      <c r="BD1807" s="82" t="s">
        <v>17557</v>
      </c>
      <c r="BE1807" s="77"/>
      <c r="BF1807" s="77"/>
      <c r="BG1807" s="77"/>
      <c r="BH1807" s="77"/>
      <c r="BI1807" s="77"/>
    </row>
    <row r="1808" spans="1:61" x14ac:dyDescent="0.25">
      <c r="A1808" s="62" t="s">
        <v>435</v>
      </c>
      <c r="B1808" s="62" t="s">
        <v>435</v>
      </c>
      <c r="C1808" s="63"/>
      <c r="D1808" s="64"/>
      <c r="E1808" s="65"/>
      <c r="F1808" s="66"/>
      <c r="G1808" s="63"/>
      <c r="H1808" s="67"/>
      <c r="I1808" s="68"/>
      <c r="J1808" s="68"/>
      <c r="K1808" s="32"/>
      <c r="L1808" s="75">
        <v>1808</v>
      </c>
      <c r="M1808" s="75"/>
      <c r="N1808" s="70"/>
      <c r="O1808" s="77" t="s">
        <v>179</v>
      </c>
      <c r="P1808" s="79">
        <v>45100.435162037036</v>
      </c>
      <c r="Q1808" s="77" t="s">
        <v>2594</v>
      </c>
      <c r="R1808" s="77">
        <v>0</v>
      </c>
      <c r="S1808" s="77">
        <v>0</v>
      </c>
      <c r="T1808" s="77">
        <v>0</v>
      </c>
      <c r="U1808" s="77">
        <v>0</v>
      </c>
      <c r="V1808" s="77">
        <v>120</v>
      </c>
      <c r="W1808" s="82" t="s">
        <v>5974</v>
      </c>
      <c r="X1808" s="80" t="str">
        <f>HYPERLINK("https://flj.com.br/noticia/cvc-cvcb3-precifica-oferta-de-acoes-em-r-3-30-e-movimenta-r-550-milhoes")</f>
        <v>https://flj.com.br/noticia/cvc-cvcb3-precifica-oferta-de-acoes-em-r-3-30-e-movimenta-r-550-milhoes</v>
      </c>
      <c r="Y1808" s="77" t="s">
        <v>7053</v>
      </c>
      <c r="Z1808" s="77"/>
      <c r="AA1808" s="77"/>
      <c r="AB1808" s="77"/>
      <c r="AC1808" s="82" t="s">
        <v>8232</v>
      </c>
      <c r="AD1808" s="77" t="s">
        <v>8278</v>
      </c>
      <c r="AE1808" s="80" t="str">
        <f>HYPERLINK("https://twitter.com/leiaflj/status/1672189411059007488")</f>
        <v>https://twitter.com/leiaflj/status/1672189411059007488</v>
      </c>
      <c r="AF1808" s="79">
        <v>45100.435162037036</v>
      </c>
      <c r="AG1808" s="85">
        <v>45100</v>
      </c>
      <c r="AH1808" s="82" t="s">
        <v>9926</v>
      </c>
      <c r="AI1808" s="77" t="b">
        <v>0</v>
      </c>
      <c r="AJ1808" s="77"/>
      <c r="AK1808" s="77"/>
      <c r="AL1808" s="77"/>
      <c r="AM1808" s="77"/>
      <c r="AN1808" s="77"/>
      <c r="AO1808" s="77"/>
      <c r="AP1808" s="77"/>
      <c r="AQ1808" s="77"/>
      <c r="AR1808" s="77"/>
      <c r="AS1808" s="77"/>
      <c r="AT1808" s="77"/>
      <c r="AU1808" s="77"/>
      <c r="AV1808" s="80" t="str">
        <f>HYPERLINK("https://pbs.twimg.com/profile_images/1620068456165933060/TShADQck_normal.jpg")</f>
        <v>https://pbs.twimg.com/profile_images/1620068456165933060/TShADQck_normal.jpg</v>
      </c>
      <c r="AW1808" s="82" t="s">
        <v>14899</v>
      </c>
      <c r="AX1808" s="82" t="s">
        <v>14899</v>
      </c>
      <c r="AY1808" s="77"/>
      <c r="AZ1808" s="82" t="s">
        <v>17385</v>
      </c>
      <c r="BA1808" s="82" t="s">
        <v>17385</v>
      </c>
      <c r="BB1808" s="82" t="s">
        <v>17385</v>
      </c>
      <c r="BC1808" s="82" t="s">
        <v>14899</v>
      </c>
      <c r="BD1808" s="82" t="s">
        <v>17557</v>
      </c>
      <c r="BE1808" s="77"/>
      <c r="BF1808" s="77"/>
      <c r="BG1808" s="77"/>
      <c r="BH1808" s="77"/>
      <c r="BI1808" s="77"/>
    </row>
    <row r="1809" spans="1:61" x14ac:dyDescent="0.25">
      <c r="A1809" s="62" t="s">
        <v>435</v>
      </c>
      <c r="B1809" s="62" t="s">
        <v>435</v>
      </c>
      <c r="C1809" s="63"/>
      <c r="D1809" s="64"/>
      <c r="E1809" s="65"/>
      <c r="F1809" s="66"/>
      <c r="G1809" s="63"/>
      <c r="H1809" s="67"/>
      <c r="I1809" s="68"/>
      <c r="J1809" s="68"/>
      <c r="K1809" s="32"/>
      <c r="L1809" s="75">
        <v>1809</v>
      </c>
      <c r="M1809" s="75"/>
      <c r="N1809" s="70"/>
      <c r="O1809" s="77" t="s">
        <v>179</v>
      </c>
      <c r="P1809" s="79">
        <v>45099.447615740741</v>
      </c>
      <c r="Q1809" s="77" t="s">
        <v>2595</v>
      </c>
      <c r="R1809" s="77">
        <v>1</v>
      </c>
      <c r="S1809" s="77">
        <v>1</v>
      </c>
      <c r="T1809" s="77">
        <v>0</v>
      </c>
      <c r="U1809" s="77">
        <v>0</v>
      </c>
      <c r="V1809" s="77">
        <v>153</v>
      </c>
      <c r="W1809" s="82" t="s">
        <v>5975</v>
      </c>
      <c r="X1809" s="80" t="str">
        <f>HYPERLINK("https://flj.com.br/noticia/ibovespa-pode-ter-dia-turbulento-apos-copom-mais-duro-que-o-esperado")</f>
        <v>https://flj.com.br/noticia/ibovespa-pode-ter-dia-turbulento-apos-copom-mais-duro-que-o-esperado</v>
      </c>
      <c r="Y1809" s="77" t="s">
        <v>7053</v>
      </c>
      <c r="Z1809" s="77"/>
      <c r="AA1809" s="77"/>
      <c r="AB1809" s="77"/>
      <c r="AC1809" s="82" t="s">
        <v>8232</v>
      </c>
      <c r="AD1809" s="77" t="s">
        <v>8278</v>
      </c>
      <c r="AE1809" s="80" t="str">
        <f>HYPERLINK("https://twitter.com/leiaflj/status/1671831537094893569")</f>
        <v>https://twitter.com/leiaflj/status/1671831537094893569</v>
      </c>
      <c r="AF1809" s="79">
        <v>45099.447615740741</v>
      </c>
      <c r="AG1809" s="85">
        <v>45099</v>
      </c>
      <c r="AH1809" s="82" t="s">
        <v>9927</v>
      </c>
      <c r="AI1809" s="77" t="b">
        <v>0</v>
      </c>
      <c r="AJ1809" s="77"/>
      <c r="AK1809" s="77"/>
      <c r="AL1809" s="77"/>
      <c r="AM1809" s="77"/>
      <c r="AN1809" s="77"/>
      <c r="AO1809" s="77"/>
      <c r="AP1809" s="77"/>
      <c r="AQ1809" s="77"/>
      <c r="AR1809" s="77"/>
      <c r="AS1809" s="77"/>
      <c r="AT1809" s="77"/>
      <c r="AU1809" s="77"/>
      <c r="AV1809" s="80" t="str">
        <f>HYPERLINK("https://pbs.twimg.com/profile_images/1620068456165933060/TShADQck_normal.jpg")</f>
        <v>https://pbs.twimg.com/profile_images/1620068456165933060/TShADQck_normal.jpg</v>
      </c>
      <c r="AW1809" s="82" t="s">
        <v>14900</v>
      </c>
      <c r="AX1809" s="82" t="s">
        <v>14900</v>
      </c>
      <c r="AY1809" s="77"/>
      <c r="AZ1809" s="82" t="s">
        <v>17385</v>
      </c>
      <c r="BA1809" s="82" t="s">
        <v>17385</v>
      </c>
      <c r="BB1809" s="82" t="s">
        <v>17385</v>
      </c>
      <c r="BC1809" s="82" t="s">
        <v>14900</v>
      </c>
      <c r="BD1809" s="82" t="s">
        <v>17557</v>
      </c>
      <c r="BE1809" s="77"/>
      <c r="BF1809" s="77"/>
      <c r="BG1809" s="77"/>
      <c r="BH1809" s="77"/>
      <c r="BI1809" s="77"/>
    </row>
    <row r="1810" spans="1:61" x14ac:dyDescent="0.25">
      <c r="A1810" s="62" t="s">
        <v>435</v>
      </c>
      <c r="B1810" s="62" t="s">
        <v>435</v>
      </c>
      <c r="C1810" s="63"/>
      <c r="D1810" s="64"/>
      <c r="E1810" s="65"/>
      <c r="F1810" s="66"/>
      <c r="G1810" s="63"/>
      <c r="H1810" s="67"/>
      <c r="I1810" s="68"/>
      <c r="J1810" s="68"/>
      <c r="K1810" s="32"/>
      <c r="L1810" s="75">
        <v>1810</v>
      </c>
      <c r="M1810" s="75"/>
      <c r="N1810" s="70"/>
      <c r="O1810" s="77" t="s">
        <v>179</v>
      </c>
      <c r="P1810" s="79">
        <v>45097.684270833335</v>
      </c>
      <c r="Q1810" s="77" t="s">
        <v>2596</v>
      </c>
      <c r="R1810" s="77">
        <v>0</v>
      </c>
      <c r="S1810" s="77">
        <v>1</v>
      </c>
      <c r="T1810" s="77">
        <v>0</v>
      </c>
      <c r="U1810" s="77">
        <v>0</v>
      </c>
      <c r="V1810" s="77">
        <v>114</v>
      </c>
      <c r="W1810" s="82" t="s">
        <v>5976</v>
      </c>
      <c r="X1810" s="80" t="str">
        <f>HYPERLINK("https://flj.com.br/noticia/acoes-da-jbs-jbss3-saltam-apos-empresa-aprovar-dividendo-de-r-1-por-acao")</f>
        <v>https://flj.com.br/noticia/acoes-da-jbs-jbss3-saltam-apos-empresa-aprovar-dividendo-de-r-1-por-acao</v>
      </c>
      <c r="Y1810" s="77" t="s">
        <v>7053</v>
      </c>
      <c r="Z1810" s="77"/>
      <c r="AA1810" s="77"/>
      <c r="AB1810" s="77"/>
      <c r="AC1810" s="82" t="s">
        <v>8232</v>
      </c>
      <c r="AD1810" s="77" t="s">
        <v>8278</v>
      </c>
      <c r="AE1810" s="80" t="str">
        <f>HYPERLINK("https://twitter.com/leiaflj/status/1671192525254664197")</f>
        <v>https://twitter.com/leiaflj/status/1671192525254664197</v>
      </c>
      <c r="AF1810" s="79">
        <v>45097.684270833335</v>
      </c>
      <c r="AG1810" s="85">
        <v>45097</v>
      </c>
      <c r="AH1810" s="82" t="s">
        <v>9928</v>
      </c>
      <c r="AI1810" s="77" t="b">
        <v>0</v>
      </c>
      <c r="AJ1810" s="77"/>
      <c r="AK1810" s="77"/>
      <c r="AL1810" s="77"/>
      <c r="AM1810" s="77"/>
      <c r="AN1810" s="77"/>
      <c r="AO1810" s="77"/>
      <c r="AP1810" s="77"/>
      <c r="AQ1810" s="77"/>
      <c r="AR1810" s="77"/>
      <c r="AS1810" s="77"/>
      <c r="AT1810" s="77"/>
      <c r="AU1810" s="77"/>
      <c r="AV1810" s="80" t="str">
        <f>HYPERLINK("https://pbs.twimg.com/profile_images/1620068456165933060/TShADQck_normal.jpg")</f>
        <v>https://pbs.twimg.com/profile_images/1620068456165933060/TShADQck_normal.jpg</v>
      </c>
      <c r="AW1810" s="82" t="s">
        <v>14901</v>
      </c>
      <c r="AX1810" s="82" t="s">
        <v>14901</v>
      </c>
      <c r="AY1810" s="77"/>
      <c r="AZ1810" s="82" t="s">
        <v>17385</v>
      </c>
      <c r="BA1810" s="82" t="s">
        <v>17385</v>
      </c>
      <c r="BB1810" s="82" t="s">
        <v>17385</v>
      </c>
      <c r="BC1810" s="82" t="s">
        <v>14901</v>
      </c>
      <c r="BD1810" s="82" t="s">
        <v>17557</v>
      </c>
      <c r="BE1810" s="77"/>
      <c r="BF1810" s="77"/>
      <c r="BG1810" s="77"/>
      <c r="BH1810" s="77"/>
      <c r="BI1810" s="77"/>
    </row>
    <row r="1811" spans="1:61" x14ac:dyDescent="0.25">
      <c r="A1811" s="62" t="s">
        <v>435</v>
      </c>
      <c r="B1811" s="62" t="s">
        <v>435</v>
      </c>
      <c r="C1811" s="63"/>
      <c r="D1811" s="64"/>
      <c r="E1811" s="65"/>
      <c r="F1811" s="66"/>
      <c r="G1811" s="63"/>
      <c r="H1811" s="67"/>
      <c r="I1811" s="68"/>
      <c r="J1811" s="68"/>
      <c r="K1811" s="32"/>
      <c r="L1811" s="75">
        <v>1811</v>
      </c>
      <c r="M1811" s="75"/>
      <c r="N1811" s="70"/>
      <c r="O1811" s="77" t="s">
        <v>179</v>
      </c>
      <c r="P1811" s="79">
        <v>45079.598680555559</v>
      </c>
      <c r="Q1811" s="77" t="s">
        <v>2597</v>
      </c>
      <c r="R1811" s="77">
        <v>0</v>
      </c>
      <c r="S1811" s="77">
        <v>1</v>
      </c>
      <c r="T1811" s="77">
        <v>0</v>
      </c>
      <c r="U1811" s="77">
        <v>0</v>
      </c>
      <c r="V1811" s="77">
        <v>196</v>
      </c>
      <c r="W1811" s="82" t="s">
        <v>5977</v>
      </c>
      <c r="X1811" s="80" t="str">
        <f>HYPERLINK("https://flj.com.br/noticia/ibovespa-sobe-mais-de-2-com-vale-vale3-e-petrobras-petr4")</f>
        <v>https://flj.com.br/noticia/ibovespa-sobe-mais-de-2-com-vale-vale3-e-petrobras-petr4</v>
      </c>
      <c r="Y1811" s="77" t="s">
        <v>7053</v>
      </c>
      <c r="Z1811" s="77"/>
      <c r="AA1811" s="77"/>
      <c r="AB1811" s="77"/>
      <c r="AC1811" s="82" t="s">
        <v>8232</v>
      </c>
      <c r="AD1811" s="77" t="s">
        <v>8278</v>
      </c>
      <c r="AE1811" s="80" t="str">
        <f>HYPERLINK("https://twitter.com/leiaflj/status/1664638525638074370")</f>
        <v>https://twitter.com/leiaflj/status/1664638525638074370</v>
      </c>
      <c r="AF1811" s="79">
        <v>45079.598680555559</v>
      </c>
      <c r="AG1811" s="85">
        <v>45079</v>
      </c>
      <c r="AH1811" s="82" t="s">
        <v>9929</v>
      </c>
      <c r="AI1811" s="77" t="b">
        <v>0</v>
      </c>
      <c r="AJ1811" s="77"/>
      <c r="AK1811" s="77"/>
      <c r="AL1811" s="77"/>
      <c r="AM1811" s="77"/>
      <c r="AN1811" s="77"/>
      <c r="AO1811" s="77"/>
      <c r="AP1811" s="77"/>
      <c r="AQ1811" s="77"/>
      <c r="AR1811" s="77"/>
      <c r="AS1811" s="77"/>
      <c r="AT1811" s="77"/>
      <c r="AU1811" s="77"/>
      <c r="AV1811" s="80" t="str">
        <f>HYPERLINK("https://pbs.twimg.com/profile_images/1620068456165933060/TShADQck_normal.jpg")</f>
        <v>https://pbs.twimg.com/profile_images/1620068456165933060/TShADQck_normal.jpg</v>
      </c>
      <c r="AW1811" s="82" t="s">
        <v>14902</v>
      </c>
      <c r="AX1811" s="82" t="s">
        <v>14902</v>
      </c>
      <c r="AY1811" s="77"/>
      <c r="AZ1811" s="82" t="s">
        <v>17385</v>
      </c>
      <c r="BA1811" s="82" t="s">
        <v>17385</v>
      </c>
      <c r="BB1811" s="82" t="s">
        <v>17385</v>
      </c>
      <c r="BC1811" s="82" t="s">
        <v>14902</v>
      </c>
      <c r="BD1811" s="82" t="s">
        <v>17557</v>
      </c>
      <c r="BE1811" s="77"/>
      <c r="BF1811" s="77"/>
      <c r="BG1811" s="77"/>
      <c r="BH1811" s="77"/>
      <c r="BI1811" s="77"/>
    </row>
    <row r="1812" spans="1:61" x14ac:dyDescent="0.25">
      <c r="A1812" s="62" t="s">
        <v>435</v>
      </c>
      <c r="B1812" s="62" t="s">
        <v>435</v>
      </c>
      <c r="C1812" s="63"/>
      <c r="D1812" s="64"/>
      <c r="E1812" s="65"/>
      <c r="F1812" s="66"/>
      <c r="G1812" s="63"/>
      <c r="H1812" s="67"/>
      <c r="I1812" s="68"/>
      <c r="J1812" s="68"/>
      <c r="K1812" s="32"/>
      <c r="L1812" s="75">
        <v>1812</v>
      </c>
      <c r="M1812" s="75"/>
      <c r="N1812" s="70"/>
      <c r="O1812" s="77" t="s">
        <v>179</v>
      </c>
      <c r="P1812" s="79">
        <v>45079.592013888891</v>
      </c>
      <c r="Q1812" s="77" t="s">
        <v>2598</v>
      </c>
      <c r="R1812" s="77">
        <v>0</v>
      </c>
      <c r="S1812" s="77">
        <v>2</v>
      </c>
      <c r="T1812" s="77">
        <v>0</v>
      </c>
      <c r="U1812" s="77">
        <v>0</v>
      </c>
      <c r="V1812" s="77">
        <v>141</v>
      </c>
      <c r="W1812" s="82" t="s">
        <v>5978</v>
      </c>
      <c r="X1812" s="80" t="str">
        <f>HYPERLINK("https://flj.com.br/noticia/11-acoes-para-comprar-agora-e-superar-o-ibovespa-em-junho-segundo-o-santander")</f>
        <v>https://flj.com.br/noticia/11-acoes-para-comprar-agora-e-superar-o-ibovespa-em-junho-segundo-o-santander</v>
      </c>
      <c r="Y1812" s="77" t="s">
        <v>7053</v>
      </c>
      <c r="Z1812" s="77"/>
      <c r="AA1812" s="77"/>
      <c r="AB1812" s="77"/>
      <c r="AC1812" s="82" t="s">
        <v>8232</v>
      </c>
      <c r="AD1812" s="77" t="s">
        <v>8278</v>
      </c>
      <c r="AE1812" s="80" t="str">
        <f>HYPERLINK("https://twitter.com/leiaflj/status/1664636110381694979")</f>
        <v>https://twitter.com/leiaflj/status/1664636110381694979</v>
      </c>
      <c r="AF1812" s="79">
        <v>45079.592013888891</v>
      </c>
      <c r="AG1812" s="85">
        <v>45079</v>
      </c>
      <c r="AH1812" s="82" t="s">
        <v>9930</v>
      </c>
      <c r="AI1812" s="77" t="b">
        <v>0</v>
      </c>
      <c r="AJ1812" s="77"/>
      <c r="AK1812" s="77"/>
      <c r="AL1812" s="77"/>
      <c r="AM1812" s="77"/>
      <c r="AN1812" s="77"/>
      <c r="AO1812" s="77"/>
      <c r="AP1812" s="77"/>
      <c r="AQ1812" s="77"/>
      <c r="AR1812" s="77"/>
      <c r="AS1812" s="77"/>
      <c r="AT1812" s="77"/>
      <c r="AU1812" s="77"/>
      <c r="AV1812" s="80" t="str">
        <f>HYPERLINK("https://pbs.twimg.com/profile_images/1620068456165933060/TShADQck_normal.jpg")</f>
        <v>https://pbs.twimg.com/profile_images/1620068456165933060/TShADQck_normal.jpg</v>
      </c>
      <c r="AW1812" s="82" t="s">
        <v>14903</v>
      </c>
      <c r="AX1812" s="82" t="s">
        <v>14903</v>
      </c>
      <c r="AY1812" s="77"/>
      <c r="AZ1812" s="82" t="s">
        <v>17385</v>
      </c>
      <c r="BA1812" s="82" t="s">
        <v>17385</v>
      </c>
      <c r="BB1812" s="82" t="s">
        <v>17385</v>
      </c>
      <c r="BC1812" s="82" t="s">
        <v>14903</v>
      </c>
      <c r="BD1812" s="82" t="s">
        <v>17557</v>
      </c>
      <c r="BE1812" s="77"/>
      <c r="BF1812" s="77"/>
      <c r="BG1812" s="77"/>
      <c r="BH1812" s="77"/>
      <c r="BI1812" s="77"/>
    </row>
    <row r="1813" spans="1:61" x14ac:dyDescent="0.25">
      <c r="A1813" s="62" t="s">
        <v>435</v>
      </c>
      <c r="B1813" s="62" t="s">
        <v>435</v>
      </c>
      <c r="C1813" s="63"/>
      <c r="D1813" s="64"/>
      <c r="E1813" s="65"/>
      <c r="F1813" s="66"/>
      <c r="G1813" s="63"/>
      <c r="H1813" s="67"/>
      <c r="I1813" s="68"/>
      <c r="J1813" s="68"/>
      <c r="K1813" s="32"/>
      <c r="L1813" s="75">
        <v>1813</v>
      </c>
      <c r="M1813" s="75"/>
      <c r="N1813" s="70"/>
      <c r="O1813" s="77" t="s">
        <v>179</v>
      </c>
      <c r="P1813" s="79">
        <v>45061.622673611113</v>
      </c>
      <c r="Q1813" s="77" t="s">
        <v>2599</v>
      </c>
      <c r="R1813" s="77">
        <v>0</v>
      </c>
      <c r="S1813" s="77">
        <v>0</v>
      </c>
      <c r="T1813" s="77">
        <v>0</v>
      </c>
      <c r="U1813" s="77">
        <v>0</v>
      </c>
      <c r="V1813" s="77">
        <v>146</v>
      </c>
      <c r="W1813" s="82" t="s">
        <v>5979</v>
      </c>
      <c r="X1813" s="80" t="str">
        <f>HYPERLINK("https://flj.com.br/noticia/ibovespa-sobe-impulsionado-por-mineradoras-e-siderurgicas")</f>
        <v>https://flj.com.br/noticia/ibovespa-sobe-impulsionado-por-mineradoras-e-siderurgicas</v>
      </c>
      <c r="Y1813" s="77" t="s">
        <v>7053</v>
      </c>
      <c r="Z1813" s="77"/>
      <c r="AA1813" s="77"/>
      <c r="AB1813" s="77"/>
      <c r="AC1813" s="82" t="s">
        <v>8232</v>
      </c>
      <c r="AD1813" s="77" t="s">
        <v>8278</v>
      </c>
      <c r="AE1813" s="80" t="str">
        <f>HYPERLINK("https://twitter.com/leiaflj/status/1658124239692615682")</f>
        <v>https://twitter.com/leiaflj/status/1658124239692615682</v>
      </c>
      <c r="AF1813" s="79">
        <v>45061.622673611113</v>
      </c>
      <c r="AG1813" s="85">
        <v>45061</v>
      </c>
      <c r="AH1813" s="82" t="s">
        <v>9931</v>
      </c>
      <c r="AI1813" s="77" t="b">
        <v>0</v>
      </c>
      <c r="AJ1813" s="77"/>
      <c r="AK1813" s="77"/>
      <c r="AL1813" s="77"/>
      <c r="AM1813" s="77"/>
      <c r="AN1813" s="77"/>
      <c r="AO1813" s="77"/>
      <c r="AP1813" s="77"/>
      <c r="AQ1813" s="77"/>
      <c r="AR1813" s="77"/>
      <c r="AS1813" s="77"/>
      <c r="AT1813" s="77"/>
      <c r="AU1813" s="77"/>
      <c r="AV1813" s="80" t="str">
        <f>HYPERLINK("https://pbs.twimg.com/profile_images/1620068456165933060/TShADQck_normal.jpg")</f>
        <v>https://pbs.twimg.com/profile_images/1620068456165933060/TShADQck_normal.jpg</v>
      </c>
      <c r="AW1813" s="82" t="s">
        <v>14904</v>
      </c>
      <c r="AX1813" s="82" t="s">
        <v>14904</v>
      </c>
      <c r="AY1813" s="77"/>
      <c r="AZ1813" s="82" t="s">
        <v>17385</v>
      </c>
      <c r="BA1813" s="82" t="s">
        <v>17385</v>
      </c>
      <c r="BB1813" s="82" t="s">
        <v>17385</v>
      </c>
      <c r="BC1813" s="82" t="s">
        <v>14904</v>
      </c>
      <c r="BD1813" s="82" t="s">
        <v>17557</v>
      </c>
      <c r="BE1813" s="77"/>
      <c r="BF1813" s="77"/>
      <c r="BG1813" s="77"/>
      <c r="BH1813" s="77"/>
      <c r="BI1813" s="77"/>
    </row>
    <row r="1814" spans="1:61" x14ac:dyDescent="0.25">
      <c r="A1814" s="62" t="s">
        <v>435</v>
      </c>
      <c r="B1814" s="62" t="s">
        <v>435</v>
      </c>
      <c r="C1814" s="63"/>
      <c r="D1814" s="64"/>
      <c r="E1814" s="65"/>
      <c r="F1814" s="66"/>
      <c r="G1814" s="63"/>
      <c r="H1814" s="67"/>
      <c r="I1814" s="68"/>
      <c r="J1814" s="68"/>
      <c r="K1814" s="32"/>
      <c r="L1814" s="75">
        <v>1814</v>
      </c>
      <c r="M1814" s="75"/>
      <c r="N1814" s="70"/>
      <c r="O1814" s="77" t="s">
        <v>179</v>
      </c>
      <c r="P1814" s="79">
        <v>45061.511724537035</v>
      </c>
      <c r="Q1814" s="77" t="s">
        <v>2600</v>
      </c>
      <c r="R1814" s="77">
        <v>0</v>
      </c>
      <c r="S1814" s="77">
        <v>0</v>
      </c>
      <c r="T1814" s="77">
        <v>0</v>
      </c>
      <c r="U1814" s="77">
        <v>0</v>
      </c>
      <c r="V1814" s="77">
        <v>176</v>
      </c>
      <c r="W1814" s="82" t="s">
        <v>5980</v>
      </c>
      <c r="X1814" s="80" t="str">
        <f>HYPERLINK("https://flj.com.br/noticia/bb-seguridade-bbse3-lucra-r-1-8-bilhao-no-1o-tri-salto-de-51-5")</f>
        <v>https://flj.com.br/noticia/bb-seguridade-bbse3-lucra-r-1-8-bilhao-no-1o-tri-salto-de-51-5</v>
      </c>
      <c r="Y1814" s="77" t="s">
        <v>7053</v>
      </c>
      <c r="Z1814" s="77"/>
      <c r="AA1814" s="77"/>
      <c r="AB1814" s="77"/>
      <c r="AC1814" s="82" t="s">
        <v>8232</v>
      </c>
      <c r="AD1814" s="77" t="s">
        <v>8278</v>
      </c>
      <c r="AE1814" s="80" t="str">
        <f>HYPERLINK("https://twitter.com/leiaflj/status/1658084031936839680")</f>
        <v>https://twitter.com/leiaflj/status/1658084031936839680</v>
      </c>
      <c r="AF1814" s="79">
        <v>45061.511724537035</v>
      </c>
      <c r="AG1814" s="85">
        <v>45061</v>
      </c>
      <c r="AH1814" s="82" t="s">
        <v>9932</v>
      </c>
      <c r="AI1814" s="77" t="b">
        <v>0</v>
      </c>
      <c r="AJ1814" s="77"/>
      <c r="AK1814" s="77"/>
      <c r="AL1814" s="77"/>
      <c r="AM1814" s="77"/>
      <c r="AN1814" s="77"/>
      <c r="AO1814" s="77"/>
      <c r="AP1814" s="77"/>
      <c r="AQ1814" s="77"/>
      <c r="AR1814" s="77"/>
      <c r="AS1814" s="77"/>
      <c r="AT1814" s="77"/>
      <c r="AU1814" s="77"/>
      <c r="AV1814" s="80" t="str">
        <f>HYPERLINK("https://pbs.twimg.com/profile_images/1620068456165933060/TShADQck_normal.jpg")</f>
        <v>https://pbs.twimg.com/profile_images/1620068456165933060/TShADQck_normal.jpg</v>
      </c>
      <c r="AW1814" s="82" t="s">
        <v>14905</v>
      </c>
      <c r="AX1814" s="82" t="s">
        <v>14905</v>
      </c>
      <c r="AY1814" s="77"/>
      <c r="AZ1814" s="82" t="s">
        <v>17385</v>
      </c>
      <c r="BA1814" s="82" t="s">
        <v>17385</v>
      </c>
      <c r="BB1814" s="82" t="s">
        <v>17385</v>
      </c>
      <c r="BC1814" s="82" t="s">
        <v>14905</v>
      </c>
      <c r="BD1814" s="82" t="s">
        <v>17557</v>
      </c>
      <c r="BE1814" s="77"/>
      <c r="BF1814" s="77"/>
      <c r="BG1814" s="77"/>
      <c r="BH1814" s="77"/>
      <c r="BI1814" s="77"/>
    </row>
    <row r="1815" spans="1:61" x14ac:dyDescent="0.25">
      <c r="A1815" s="62" t="s">
        <v>435</v>
      </c>
      <c r="B1815" s="62" t="s">
        <v>435</v>
      </c>
      <c r="C1815" s="63"/>
      <c r="D1815" s="64"/>
      <c r="E1815" s="65"/>
      <c r="F1815" s="66"/>
      <c r="G1815" s="63"/>
      <c r="H1815" s="67"/>
      <c r="I1815" s="68"/>
      <c r="J1815" s="68"/>
      <c r="K1815" s="32"/>
      <c r="L1815" s="75">
        <v>1815</v>
      </c>
      <c r="M1815" s="75"/>
      <c r="N1815" s="70"/>
      <c r="O1815" s="77" t="s">
        <v>179</v>
      </c>
      <c r="P1815" s="79">
        <v>45058.827534722222</v>
      </c>
      <c r="Q1815" s="77" t="s">
        <v>2601</v>
      </c>
      <c r="R1815" s="77">
        <v>0</v>
      </c>
      <c r="S1815" s="77">
        <v>1</v>
      </c>
      <c r="T1815" s="77">
        <v>0</v>
      </c>
      <c r="U1815" s="77">
        <v>0</v>
      </c>
      <c r="V1815" s="77">
        <v>373</v>
      </c>
      <c r="W1815" s="82" t="s">
        <v>5981</v>
      </c>
      <c r="X1815" s="80" t="str">
        <f>HYPERLINK("https://flj.com.br/noticia/cogna-cogn3-investidor-deve-comprar-as-acoes-apos-balanco")</f>
        <v>https://flj.com.br/noticia/cogna-cogn3-investidor-deve-comprar-as-acoes-apos-balanco</v>
      </c>
      <c r="Y1815" s="77" t="s">
        <v>7053</v>
      </c>
      <c r="Z1815" s="77"/>
      <c r="AA1815" s="77"/>
      <c r="AB1815" s="77"/>
      <c r="AC1815" s="82" t="s">
        <v>8232</v>
      </c>
      <c r="AD1815" s="77" t="s">
        <v>8278</v>
      </c>
      <c r="AE1815" s="80" t="str">
        <f>HYPERLINK("https://twitter.com/leiaflj/status/1657111313523306496")</f>
        <v>https://twitter.com/leiaflj/status/1657111313523306496</v>
      </c>
      <c r="AF1815" s="79">
        <v>45058.827534722222</v>
      </c>
      <c r="AG1815" s="85">
        <v>45058</v>
      </c>
      <c r="AH1815" s="82" t="s">
        <v>9933</v>
      </c>
      <c r="AI1815" s="77" t="b">
        <v>0</v>
      </c>
      <c r="AJ1815" s="77"/>
      <c r="AK1815" s="77"/>
      <c r="AL1815" s="77"/>
      <c r="AM1815" s="77"/>
      <c r="AN1815" s="77"/>
      <c r="AO1815" s="77"/>
      <c r="AP1815" s="77"/>
      <c r="AQ1815" s="77"/>
      <c r="AR1815" s="77"/>
      <c r="AS1815" s="77"/>
      <c r="AT1815" s="77"/>
      <c r="AU1815" s="77"/>
      <c r="AV1815" s="80" t="str">
        <f>HYPERLINK("https://pbs.twimg.com/profile_images/1620068456165933060/TShADQck_normal.jpg")</f>
        <v>https://pbs.twimg.com/profile_images/1620068456165933060/TShADQck_normal.jpg</v>
      </c>
      <c r="AW1815" s="82" t="s">
        <v>14906</v>
      </c>
      <c r="AX1815" s="82" t="s">
        <v>14906</v>
      </c>
      <c r="AY1815" s="77"/>
      <c r="AZ1815" s="82" t="s">
        <v>17385</v>
      </c>
      <c r="BA1815" s="82" t="s">
        <v>17385</v>
      </c>
      <c r="BB1815" s="82" t="s">
        <v>17385</v>
      </c>
      <c r="BC1815" s="82" t="s">
        <v>14906</v>
      </c>
      <c r="BD1815" s="82" t="s">
        <v>17557</v>
      </c>
      <c r="BE1815" s="77"/>
      <c r="BF1815" s="77"/>
      <c r="BG1815" s="77"/>
      <c r="BH1815" s="77"/>
      <c r="BI1815" s="77"/>
    </row>
    <row r="1816" spans="1:61" x14ac:dyDescent="0.25">
      <c r="A1816" s="62" t="s">
        <v>435</v>
      </c>
      <c r="B1816" s="62" t="s">
        <v>435</v>
      </c>
      <c r="C1816" s="63"/>
      <c r="D1816" s="64"/>
      <c r="E1816" s="65"/>
      <c r="F1816" s="66"/>
      <c r="G1816" s="63"/>
      <c r="H1816" s="67"/>
      <c r="I1816" s="68"/>
      <c r="J1816" s="68"/>
      <c r="K1816" s="32"/>
      <c r="L1816" s="75">
        <v>1816</v>
      </c>
      <c r="M1816" s="75"/>
      <c r="N1816" s="70"/>
      <c r="O1816" s="77" t="s">
        <v>179</v>
      </c>
      <c r="P1816" s="79">
        <v>45058.640381944446</v>
      </c>
      <c r="Q1816" s="77" t="s">
        <v>2602</v>
      </c>
      <c r="R1816" s="77">
        <v>0</v>
      </c>
      <c r="S1816" s="77">
        <v>1</v>
      </c>
      <c r="T1816" s="77">
        <v>0</v>
      </c>
      <c r="U1816" s="77">
        <v>0</v>
      </c>
      <c r="V1816" s="77">
        <v>172</v>
      </c>
      <c r="W1816" s="82" t="s">
        <v>5982</v>
      </c>
      <c r="X1816" s="80" t="str">
        <f>HYPERLINK("https://flj.com.br/noticia/light-ligt3-acoes-desabam-15-apos-pedido-de-recuperacao-judicial")</f>
        <v>https://flj.com.br/noticia/light-ligt3-acoes-desabam-15-apos-pedido-de-recuperacao-judicial</v>
      </c>
      <c r="Y1816" s="77" t="s">
        <v>7053</v>
      </c>
      <c r="Z1816" s="77"/>
      <c r="AA1816" s="77"/>
      <c r="AB1816" s="77"/>
      <c r="AC1816" s="82" t="s">
        <v>8232</v>
      </c>
      <c r="AD1816" s="77" t="s">
        <v>8278</v>
      </c>
      <c r="AE1816" s="80" t="str">
        <f>HYPERLINK("https://twitter.com/leiaflj/status/1657043493359869953")</f>
        <v>https://twitter.com/leiaflj/status/1657043493359869953</v>
      </c>
      <c r="AF1816" s="79">
        <v>45058.640381944446</v>
      </c>
      <c r="AG1816" s="85">
        <v>45058</v>
      </c>
      <c r="AH1816" s="82" t="s">
        <v>9934</v>
      </c>
      <c r="AI1816" s="77" t="b">
        <v>0</v>
      </c>
      <c r="AJ1816" s="77"/>
      <c r="AK1816" s="77"/>
      <c r="AL1816" s="77"/>
      <c r="AM1816" s="77"/>
      <c r="AN1816" s="77"/>
      <c r="AO1816" s="77"/>
      <c r="AP1816" s="77"/>
      <c r="AQ1816" s="77"/>
      <c r="AR1816" s="77"/>
      <c r="AS1816" s="77"/>
      <c r="AT1816" s="77"/>
      <c r="AU1816" s="77"/>
      <c r="AV1816" s="80" t="str">
        <f>HYPERLINK("https://pbs.twimg.com/profile_images/1620068456165933060/TShADQck_normal.jpg")</f>
        <v>https://pbs.twimg.com/profile_images/1620068456165933060/TShADQck_normal.jpg</v>
      </c>
      <c r="AW1816" s="82" t="s">
        <v>14907</v>
      </c>
      <c r="AX1816" s="82" t="s">
        <v>14907</v>
      </c>
      <c r="AY1816" s="77"/>
      <c r="AZ1816" s="82" t="s">
        <v>17385</v>
      </c>
      <c r="BA1816" s="82" t="s">
        <v>17385</v>
      </c>
      <c r="BB1816" s="82" t="s">
        <v>17385</v>
      </c>
      <c r="BC1816" s="82" t="s">
        <v>14907</v>
      </c>
      <c r="BD1816" s="82" t="s">
        <v>17557</v>
      </c>
      <c r="BE1816" s="77"/>
      <c r="BF1816" s="77"/>
      <c r="BG1816" s="77"/>
      <c r="BH1816" s="77"/>
      <c r="BI1816" s="77"/>
    </row>
    <row r="1817" spans="1:61" x14ac:dyDescent="0.25">
      <c r="A1817" s="62" t="s">
        <v>435</v>
      </c>
      <c r="B1817" s="62" t="s">
        <v>435</v>
      </c>
      <c r="C1817" s="63"/>
      <c r="D1817" s="64"/>
      <c r="E1817" s="65"/>
      <c r="F1817" s="66"/>
      <c r="G1817" s="63"/>
      <c r="H1817" s="67"/>
      <c r="I1817" s="68"/>
      <c r="J1817" s="68"/>
      <c r="K1817" s="32"/>
      <c r="L1817" s="75">
        <v>1817</v>
      </c>
      <c r="M1817" s="75"/>
      <c r="N1817" s="70"/>
      <c r="O1817" s="77" t="s">
        <v>179</v>
      </c>
      <c r="P1817" s="79">
        <v>45193.500011574077</v>
      </c>
      <c r="Q1817" s="77" t="s">
        <v>2603</v>
      </c>
      <c r="R1817" s="77">
        <v>0</v>
      </c>
      <c r="S1817" s="77">
        <v>1</v>
      </c>
      <c r="T1817" s="77">
        <v>0</v>
      </c>
      <c r="U1817" s="77">
        <v>0</v>
      </c>
      <c r="V1817" s="77">
        <v>178</v>
      </c>
      <c r="W1817" s="82" t="s">
        <v>5916</v>
      </c>
      <c r="X1817" s="80" t="str">
        <f>HYPERLINK("https://flj.com.br/")</f>
        <v>https://flj.com.br/</v>
      </c>
      <c r="Y1817" s="77" t="s">
        <v>7053</v>
      </c>
      <c r="Z1817" s="77"/>
      <c r="AA1817" s="77" t="s">
        <v>7900</v>
      </c>
      <c r="AB1817" s="77" t="s">
        <v>8229</v>
      </c>
      <c r="AC1817" s="82" t="s">
        <v>8232</v>
      </c>
      <c r="AD1817" s="77" t="s">
        <v>8278</v>
      </c>
      <c r="AE1817" s="80" t="str">
        <f>HYPERLINK("https://twitter.com/leiaflj/status/1705914985208303691")</f>
        <v>https://twitter.com/leiaflj/status/1705914985208303691</v>
      </c>
      <c r="AF1817" s="79">
        <v>45193.500011574077</v>
      </c>
      <c r="AG1817" s="85">
        <v>45193</v>
      </c>
      <c r="AH1817" s="82" t="s">
        <v>8596</v>
      </c>
      <c r="AI1817" s="77" t="b">
        <v>0</v>
      </c>
      <c r="AJ1817" s="77"/>
      <c r="AK1817" s="77"/>
      <c r="AL1817" s="77"/>
      <c r="AM1817" s="77"/>
      <c r="AN1817" s="77"/>
      <c r="AO1817" s="77"/>
      <c r="AP1817" s="77"/>
      <c r="AQ1817" s="77" t="s">
        <v>12785</v>
      </c>
      <c r="AR1817" s="77"/>
      <c r="AS1817" s="77"/>
      <c r="AT1817" s="77"/>
      <c r="AU1817" s="77"/>
      <c r="AV1817" s="80" t="str">
        <f>HYPERLINK("https://pbs.twimg.com/media/F6pm9oRXMAAyHo0.jpg")</f>
        <v>https://pbs.twimg.com/media/F6pm9oRXMAAyHo0.jpg</v>
      </c>
      <c r="AW1817" s="82" t="s">
        <v>14908</v>
      </c>
      <c r="AX1817" s="82" t="s">
        <v>14908</v>
      </c>
      <c r="AY1817" s="77"/>
      <c r="AZ1817" s="82" t="s">
        <v>17385</v>
      </c>
      <c r="BA1817" s="82" t="s">
        <v>17385</v>
      </c>
      <c r="BB1817" s="82" t="s">
        <v>17385</v>
      </c>
      <c r="BC1817" s="82" t="s">
        <v>14908</v>
      </c>
      <c r="BD1817" s="82" t="s">
        <v>17557</v>
      </c>
      <c r="BE1817" s="77"/>
      <c r="BF1817" s="77"/>
      <c r="BG1817" s="77"/>
      <c r="BH1817" s="77"/>
      <c r="BI1817" s="77"/>
    </row>
    <row r="1818" spans="1:61" x14ac:dyDescent="0.25">
      <c r="A1818" s="62" t="s">
        <v>435</v>
      </c>
      <c r="B1818" s="62" t="s">
        <v>435</v>
      </c>
      <c r="C1818" s="63"/>
      <c r="D1818" s="64"/>
      <c r="E1818" s="65"/>
      <c r="F1818" s="66"/>
      <c r="G1818" s="63"/>
      <c r="H1818" s="67"/>
      <c r="I1818" s="68"/>
      <c r="J1818" s="68"/>
      <c r="K1818" s="32"/>
      <c r="L1818" s="75">
        <v>1818</v>
      </c>
      <c r="M1818" s="75"/>
      <c r="N1818" s="70"/>
      <c r="O1818" s="77" t="s">
        <v>179</v>
      </c>
      <c r="P1818" s="79">
        <v>45186.500011574077</v>
      </c>
      <c r="Q1818" s="77" t="s">
        <v>2604</v>
      </c>
      <c r="R1818" s="77">
        <v>0</v>
      </c>
      <c r="S1818" s="77">
        <v>1</v>
      </c>
      <c r="T1818" s="77">
        <v>0</v>
      </c>
      <c r="U1818" s="77">
        <v>0</v>
      </c>
      <c r="V1818" s="77">
        <v>127</v>
      </c>
      <c r="W1818" s="82" t="s">
        <v>5983</v>
      </c>
      <c r="X1818" s="80" t="str">
        <f>HYPERLINK("https://flj.com.br/")</f>
        <v>https://flj.com.br/</v>
      </c>
      <c r="Y1818" s="77" t="s">
        <v>7053</v>
      </c>
      <c r="Z1818" s="77"/>
      <c r="AA1818" s="77" t="s">
        <v>7901</v>
      </c>
      <c r="AB1818" s="77" t="s">
        <v>8229</v>
      </c>
      <c r="AC1818" s="82" t="s">
        <v>8232</v>
      </c>
      <c r="AD1818" s="77" t="s">
        <v>8278</v>
      </c>
      <c r="AE1818" s="80" t="str">
        <f>HYPERLINK("https://twitter.com/leiaflj/status/1703378269439942817")</f>
        <v>https://twitter.com/leiaflj/status/1703378269439942817</v>
      </c>
      <c r="AF1818" s="79">
        <v>45186.500011574077</v>
      </c>
      <c r="AG1818" s="85">
        <v>45186</v>
      </c>
      <c r="AH1818" s="82" t="s">
        <v>8596</v>
      </c>
      <c r="AI1818" s="77" t="b">
        <v>0</v>
      </c>
      <c r="AJ1818" s="77"/>
      <c r="AK1818" s="77"/>
      <c r="AL1818" s="77"/>
      <c r="AM1818" s="77"/>
      <c r="AN1818" s="77"/>
      <c r="AO1818" s="77"/>
      <c r="AP1818" s="77"/>
      <c r="AQ1818" s="77" t="s">
        <v>12786</v>
      </c>
      <c r="AR1818" s="77"/>
      <c r="AS1818" s="77"/>
      <c r="AT1818" s="77"/>
      <c r="AU1818" s="77"/>
      <c r="AV1818" s="80" t="str">
        <f>HYPERLINK("https://pbs.twimg.com/media/F6FmoJwX0AEO7Va.jpg")</f>
        <v>https://pbs.twimg.com/media/F6FmoJwX0AEO7Va.jpg</v>
      </c>
      <c r="AW1818" s="82" t="s">
        <v>14909</v>
      </c>
      <c r="AX1818" s="82" t="s">
        <v>14909</v>
      </c>
      <c r="AY1818" s="77"/>
      <c r="AZ1818" s="82" t="s">
        <v>17385</v>
      </c>
      <c r="BA1818" s="82" t="s">
        <v>17385</v>
      </c>
      <c r="BB1818" s="82" t="s">
        <v>17385</v>
      </c>
      <c r="BC1818" s="82" t="s">
        <v>14909</v>
      </c>
      <c r="BD1818" s="82" t="s">
        <v>17557</v>
      </c>
      <c r="BE1818" s="77"/>
      <c r="BF1818" s="77"/>
      <c r="BG1818" s="77"/>
      <c r="BH1818" s="77"/>
      <c r="BI1818" s="77"/>
    </row>
    <row r="1819" spans="1:61" x14ac:dyDescent="0.25">
      <c r="A1819" s="62" t="s">
        <v>435</v>
      </c>
      <c r="B1819" s="62" t="s">
        <v>435</v>
      </c>
      <c r="C1819" s="63"/>
      <c r="D1819" s="64"/>
      <c r="E1819" s="65"/>
      <c r="F1819" s="66"/>
      <c r="G1819" s="63"/>
      <c r="H1819" s="67"/>
      <c r="I1819" s="68"/>
      <c r="J1819" s="68"/>
      <c r="K1819" s="32"/>
      <c r="L1819" s="75">
        <v>1819</v>
      </c>
      <c r="M1819" s="75"/>
      <c r="N1819" s="70"/>
      <c r="O1819" s="77" t="s">
        <v>179</v>
      </c>
      <c r="P1819" s="79">
        <v>45170.642280092594</v>
      </c>
      <c r="Q1819" s="77" t="s">
        <v>2605</v>
      </c>
      <c r="R1819" s="77">
        <v>0</v>
      </c>
      <c r="S1819" s="77">
        <v>0</v>
      </c>
      <c r="T1819" s="77">
        <v>0</v>
      </c>
      <c r="U1819" s="77">
        <v>0</v>
      </c>
      <c r="V1819" s="77">
        <v>131</v>
      </c>
      <c r="W1819" s="82" t="s">
        <v>5984</v>
      </c>
      <c r="X1819" s="80" t="str">
        <f>HYPERLINK("http://flj.com.br/noticia/ibovespa-sobe-e-dolar-cai-com-pib-mais-forte-no-brasil-e-payroll-nos-eua-dis-seguem-sem-direcao-unica")</f>
        <v>http://flj.com.br/noticia/ibovespa-sobe-e-dolar-cai-com-pib-mais-forte-no-brasil-e-payroll-nos-eua-dis-seguem-sem-direcao-unica</v>
      </c>
      <c r="Y1819" s="77" t="s">
        <v>7053</v>
      </c>
      <c r="Z1819" s="77"/>
      <c r="AA1819" s="77"/>
      <c r="AB1819" s="77"/>
      <c r="AC1819" s="82" t="s">
        <v>8232</v>
      </c>
      <c r="AD1819" s="77" t="s">
        <v>8278</v>
      </c>
      <c r="AE1819" s="80" t="str">
        <f>HYPERLINK("https://twitter.com/leiaflj/status/1697631619182411876")</f>
        <v>https://twitter.com/leiaflj/status/1697631619182411876</v>
      </c>
      <c r="AF1819" s="79">
        <v>45170.642280092594</v>
      </c>
      <c r="AG1819" s="85">
        <v>45170</v>
      </c>
      <c r="AH1819" s="82" t="s">
        <v>9935</v>
      </c>
      <c r="AI1819" s="77" t="b">
        <v>0</v>
      </c>
      <c r="AJ1819" s="77"/>
      <c r="AK1819" s="77"/>
      <c r="AL1819" s="77"/>
      <c r="AM1819" s="77"/>
      <c r="AN1819" s="77"/>
      <c r="AO1819" s="77"/>
      <c r="AP1819" s="77"/>
      <c r="AQ1819" s="77"/>
      <c r="AR1819" s="77"/>
      <c r="AS1819" s="77"/>
      <c r="AT1819" s="77"/>
      <c r="AU1819" s="77"/>
      <c r="AV1819" s="80" t="str">
        <f>HYPERLINK("https://pbs.twimg.com/profile_images/1620068456165933060/TShADQck_normal.jpg")</f>
        <v>https://pbs.twimg.com/profile_images/1620068456165933060/TShADQck_normal.jpg</v>
      </c>
      <c r="AW1819" s="82" t="s">
        <v>14910</v>
      </c>
      <c r="AX1819" s="82" t="s">
        <v>14910</v>
      </c>
      <c r="AY1819" s="77"/>
      <c r="AZ1819" s="82" t="s">
        <v>17385</v>
      </c>
      <c r="BA1819" s="82" t="s">
        <v>17385</v>
      </c>
      <c r="BB1819" s="82" t="s">
        <v>17385</v>
      </c>
      <c r="BC1819" s="82" t="s">
        <v>14910</v>
      </c>
      <c r="BD1819" s="82" t="s">
        <v>17557</v>
      </c>
      <c r="BE1819" s="77"/>
      <c r="BF1819" s="77"/>
      <c r="BG1819" s="77"/>
      <c r="BH1819" s="77"/>
      <c r="BI1819" s="77"/>
    </row>
    <row r="1820" spans="1:61" x14ac:dyDescent="0.25">
      <c r="A1820" s="62" t="s">
        <v>435</v>
      </c>
      <c r="B1820" s="62" t="s">
        <v>435</v>
      </c>
      <c r="C1820" s="63"/>
      <c r="D1820" s="64"/>
      <c r="E1820" s="65"/>
      <c r="F1820" s="66"/>
      <c r="G1820" s="63"/>
      <c r="H1820" s="67"/>
      <c r="I1820" s="68"/>
      <c r="J1820" s="68"/>
      <c r="K1820" s="32"/>
      <c r="L1820" s="75">
        <v>1820</v>
      </c>
      <c r="M1820" s="75"/>
      <c r="N1820" s="70"/>
      <c r="O1820" s="77" t="s">
        <v>179</v>
      </c>
      <c r="P1820" s="79">
        <v>45163.451041666667</v>
      </c>
      <c r="Q1820" s="77" t="s">
        <v>2606</v>
      </c>
      <c r="R1820" s="77">
        <v>1</v>
      </c>
      <c r="S1820" s="77">
        <v>0</v>
      </c>
      <c r="T1820" s="77">
        <v>0</v>
      </c>
      <c r="U1820" s="77">
        <v>0</v>
      </c>
      <c r="V1820" s="77">
        <v>150</v>
      </c>
      <c r="W1820" s="82" t="s">
        <v>5918</v>
      </c>
      <c r="X1820" s="80" t="str">
        <f>HYPERLINK("https://flj.com.br/noticia/abertura-mover-mercados-sobem-a-espera-de-powell-em-jackson-hole")</f>
        <v>https://flj.com.br/noticia/abertura-mover-mercados-sobem-a-espera-de-powell-em-jackson-hole</v>
      </c>
      <c r="Y1820" s="77" t="s">
        <v>7053</v>
      </c>
      <c r="Z1820" s="77"/>
      <c r="AA1820" s="77"/>
      <c r="AB1820" s="77"/>
      <c r="AC1820" s="82" t="s">
        <v>8232</v>
      </c>
      <c r="AD1820" s="77" t="s">
        <v>8278</v>
      </c>
      <c r="AE1820" s="80" t="str">
        <f>HYPERLINK("https://twitter.com/leiaflj/status/1695025603873816984")</f>
        <v>https://twitter.com/leiaflj/status/1695025603873816984</v>
      </c>
      <c r="AF1820" s="79">
        <v>45163.451041666667</v>
      </c>
      <c r="AG1820" s="85">
        <v>45163</v>
      </c>
      <c r="AH1820" s="82" t="s">
        <v>9936</v>
      </c>
      <c r="AI1820" s="77" t="b">
        <v>0</v>
      </c>
      <c r="AJ1820" s="77"/>
      <c r="AK1820" s="77"/>
      <c r="AL1820" s="77"/>
      <c r="AM1820" s="77"/>
      <c r="AN1820" s="77"/>
      <c r="AO1820" s="77"/>
      <c r="AP1820" s="77"/>
      <c r="AQ1820" s="77"/>
      <c r="AR1820" s="77"/>
      <c r="AS1820" s="77"/>
      <c r="AT1820" s="77"/>
      <c r="AU1820" s="77"/>
      <c r="AV1820" s="80" t="str">
        <f>HYPERLINK("https://pbs.twimg.com/profile_images/1620068456165933060/TShADQck_normal.jpg")</f>
        <v>https://pbs.twimg.com/profile_images/1620068456165933060/TShADQck_normal.jpg</v>
      </c>
      <c r="AW1820" s="82" t="s">
        <v>14911</v>
      </c>
      <c r="AX1820" s="82" t="s">
        <v>14911</v>
      </c>
      <c r="AY1820" s="77"/>
      <c r="AZ1820" s="82" t="s">
        <v>17385</v>
      </c>
      <c r="BA1820" s="82" t="s">
        <v>17385</v>
      </c>
      <c r="BB1820" s="82" t="s">
        <v>17385</v>
      </c>
      <c r="BC1820" s="82" t="s">
        <v>14911</v>
      </c>
      <c r="BD1820" s="82" t="s">
        <v>17557</v>
      </c>
      <c r="BE1820" s="77"/>
      <c r="BF1820" s="77"/>
      <c r="BG1820" s="77"/>
      <c r="BH1820" s="77"/>
      <c r="BI1820" s="77"/>
    </row>
    <row r="1821" spans="1:61" x14ac:dyDescent="0.25">
      <c r="A1821" s="62" t="s">
        <v>435</v>
      </c>
      <c r="B1821" s="62" t="s">
        <v>435</v>
      </c>
      <c r="C1821" s="63"/>
      <c r="D1821" s="64"/>
      <c r="E1821" s="65"/>
      <c r="F1821" s="66"/>
      <c r="G1821" s="63"/>
      <c r="H1821" s="67"/>
      <c r="I1821" s="68"/>
      <c r="J1821" s="68"/>
      <c r="K1821" s="32"/>
      <c r="L1821" s="75">
        <v>1821</v>
      </c>
      <c r="M1821" s="75"/>
      <c r="N1821" s="70"/>
      <c r="O1821" s="77" t="s">
        <v>179</v>
      </c>
      <c r="P1821" s="79">
        <v>45162.454097222224</v>
      </c>
      <c r="Q1821" s="77" t="s">
        <v>2607</v>
      </c>
      <c r="R1821" s="77">
        <v>2</v>
      </c>
      <c r="S1821" s="77">
        <v>1</v>
      </c>
      <c r="T1821" s="77">
        <v>0</v>
      </c>
      <c r="U1821" s="77">
        <v>0</v>
      </c>
      <c r="V1821" s="77">
        <v>211</v>
      </c>
      <c r="W1821" s="82" t="s">
        <v>5985</v>
      </c>
      <c r="X1821" s="80" t="str">
        <f>HYPERLINK("https://flj.com.br/noticia/itau-itub4-vende-operacoes-na-argentina-por-r-250-milhoes")</f>
        <v>https://flj.com.br/noticia/itau-itub4-vende-operacoes-na-argentina-por-r-250-milhoes</v>
      </c>
      <c r="Y1821" s="77" t="s">
        <v>7053</v>
      </c>
      <c r="Z1821" s="77"/>
      <c r="AA1821" s="77"/>
      <c r="AB1821" s="77"/>
      <c r="AC1821" s="82" t="s">
        <v>8232</v>
      </c>
      <c r="AD1821" s="77" t="s">
        <v>8278</v>
      </c>
      <c r="AE1821" s="80" t="str">
        <f>HYPERLINK("https://twitter.com/leiaflj/status/1694664321253384692")</f>
        <v>https://twitter.com/leiaflj/status/1694664321253384692</v>
      </c>
      <c r="AF1821" s="79">
        <v>45162.454097222224</v>
      </c>
      <c r="AG1821" s="85">
        <v>45162</v>
      </c>
      <c r="AH1821" s="82" t="s">
        <v>9937</v>
      </c>
      <c r="AI1821" s="77" t="b">
        <v>0</v>
      </c>
      <c r="AJ1821" s="77"/>
      <c r="AK1821" s="77"/>
      <c r="AL1821" s="77"/>
      <c r="AM1821" s="77"/>
      <c r="AN1821" s="77"/>
      <c r="AO1821" s="77"/>
      <c r="AP1821" s="77"/>
      <c r="AQ1821" s="77"/>
      <c r="AR1821" s="77"/>
      <c r="AS1821" s="77"/>
      <c r="AT1821" s="77"/>
      <c r="AU1821" s="77"/>
      <c r="AV1821" s="80" t="str">
        <f>HYPERLINK("https://pbs.twimg.com/profile_images/1620068456165933060/TShADQck_normal.jpg")</f>
        <v>https://pbs.twimg.com/profile_images/1620068456165933060/TShADQck_normal.jpg</v>
      </c>
      <c r="AW1821" s="82" t="s">
        <v>14912</v>
      </c>
      <c r="AX1821" s="82" t="s">
        <v>14912</v>
      </c>
      <c r="AY1821" s="77"/>
      <c r="AZ1821" s="82" t="s">
        <v>17385</v>
      </c>
      <c r="BA1821" s="82" t="s">
        <v>17385</v>
      </c>
      <c r="BB1821" s="82" t="s">
        <v>17385</v>
      </c>
      <c r="BC1821" s="82" t="s">
        <v>14912</v>
      </c>
      <c r="BD1821" s="82" t="s">
        <v>17557</v>
      </c>
      <c r="BE1821" s="77"/>
      <c r="BF1821" s="77"/>
      <c r="BG1821" s="77"/>
      <c r="BH1821" s="77"/>
      <c r="BI1821" s="77"/>
    </row>
    <row r="1822" spans="1:61" x14ac:dyDescent="0.25">
      <c r="A1822" s="62" t="s">
        <v>435</v>
      </c>
      <c r="B1822" s="62" t="s">
        <v>435</v>
      </c>
      <c r="C1822" s="63"/>
      <c r="D1822" s="64"/>
      <c r="E1822" s="65"/>
      <c r="F1822" s="66"/>
      <c r="G1822" s="63"/>
      <c r="H1822" s="67"/>
      <c r="I1822" s="68"/>
      <c r="J1822" s="68"/>
      <c r="K1822" s="32"/>
      <c r="L1822" s="75">
        <v>1822</v>
      </c>
      <c r="M1822" s="75"/>
      <c r="N1822" s="70"/>
      <c r="O1822" s="77" t="s">
        <v>179</v>
      </c>
      <c r="P1822" s="79">
        <v>45154.790231481478</v>
      </c>
      <c r="Q1822" s="77" t="s">
        <v>2608</v>
      </c>
      <c r="R1822" s="77">
        <v>1</v>
      </c>
      <c r="S1822" s="77">
        <v>2</v>
      </c>
      <c r="T1822" s="77">
        <v>0</v>
      </c>
      <c r="U1822" s="77">
        <v>0</v>
      </c>
      <c r="V1822" s="77">
        <v>261</v>
      </c>
      <c r="W1822" s="82" t="s">
        <v>5986</v>
      </c>
      <c r="X1822" s="80" t="str">
        <f>HYPERLINK("https://flj.com.br/noticia/nubank-roxo34-teve-resultado-forte-mas-analistas-nao-recomendam-comprar-a-acao")</f>
        <v>https://flj.com.br/noticia/nubank-roxo34-teve-resultado-forte-mas-analistas-nao-recomendam-comprar-a-acao</v>
      </c>
      <c r="Y1822" s="77" t="s">
        <v>7053</v>
      </c>
      <c r="Z1822" s="77"/>
      <c r="AA1822" s="77"/>
      <c r="AB1822" s="77"/>
      <c r="AC1822" s="82" t="s">
        <v>8232</v>
      </c>
      <c r="AD1822" s="77" t="s">
        <v>8278</v>
      </c>
      <c r="AE1822" s="80" t="str">
        <f>HYPERLINK("https://twitter.com/leiaflj/status/1691887031041855717")</f>
        <v>https://twitter.com/leiaflj/status/1691887031041855717</v>
      </c>
      <c r="AF1822" s="79">
        <v>45154.790231481478</v>
      </c>
      <c r="AG1822" s="85">
        <v>45154</v>
      </c>
      <c r="AH1822" s="82" t="s">
        <v>9938</v>
      </c>
      <c r="AI1822" s="77" t="b">
        <v>0</v>
      </c>
      <c r="AJ1822" s="77"/>
      <c r="AK1822" s="77"/>
      <c r="AL1822" s="77"/>
      <c r="AM1822" s="77"/>
      <c r="AN1822" s="77"/>
      <c r="AO1822" s="77"/>
      <c r="AP1822" s="77"/>
      <c r="AQ1822" s="77"/>
      <c r="AR1822" s="77"/>
      <c r="AS1822" s="77"/>
      <c r="AT1822" s="77"/>
      <c r="AU1822" s="77"/>
      <c r="AV1822" s="80" t="str">
        <f>HYPERLINK("https://pbs.twimg.com/profile_images/1620068456165933060/TShADQck_normal.jpg")</f>
        <v>https://pbs.twimg.com/profile_images/1620068456165933060/TShADQck_normal.jpg</v>
      </c>
      <c r="AW1822" s="82" t="s">
        <v>14913</v>
      </c>
      <c r="AX1822" s="82" t="s">
        <v>14913</v>
      </c>
      <c r="AY1822" s="77"/>
      <c r="AZ1822" s="82" t="s">
        <v>17385</v>
      </c>
      <c r="BA1822" s="82" t="s">
        <v>17385</v>
      </c>
      <c r="BB1822" s="82" t="s">
        <v>17385</v>
      </c>
      <c r="BC1822" s="82" t="s">
        <v>14913</v>
      </c>
      <c r="BD1822" s="82" t="s">
        <v>17557</v>
      </c>
      <c r="BE1822" s="77"/>
      <c r="BF1822" s="77"/>
      <c r="BG1822" s="77"/>
      <c r="BH1822" s="77"/>
      <c r="BI1822" s="77"/>
    </row>
    <row r="1823" spans="1:61" x14ac:dyDescent="0.25">
      <c r="A1823" s="62" t="s">
        <v>435</v>
      </c>
      <c r="B1823" s="62" t="s">
        <v>435</v>
      </c>
      <c r="C1823" s="63"/>
      <c r="D1823" s="64"/>
      <c r="E1823" s="65"/>
      <c r="F1823" s="66"/>
      <c r="G1823" s="63"/>
      <c r="H1823" s="67"/>
      <c r="I1823" s="68"/>
      <c r="J1823" s="68"/>
      <c r="K1823" s="32"/>
      <c r="L1823" s="75">
        <v>1823</v>
      </c>
      <c r="M1823" s="75"/>
      <c r="N1823" s="70"/>
      <c r="O1823" s="77" t="s">
        <v>179</v>
      </c>
      <c r="P1823" s="79">
        <v>45145.469398148147</v>
      </c>
      <c r="Q1823" s="77" t="s">
        <v>2609</v>
      </c>
      <c r="R1823" s="77">
        <v>0</v>
      </c>
      <c r="S1823" s="77">
        <v>0</v>
      </c>
      <c r="T1823" s="77">
        <v>0</v>
      </c>
      <c r="U1823" s="77">
        <v>0</v>
      </c>
      <c r="V1823" s="77">
        <v>93</v>
      </c>
      <c r="W1823" s="82" t="s">
        <v>5918</v>
      </c>
      <c r="X1823" s="80" t="str">
        <f>HYPERLINK("https://flj.com.br/noticia/abertura-mover-mercados-operam-sem-direcao-unica-de-olho-em-indicadores-e-balancos-focus-no-radar")</f>
        <v>https://flj.com.br/noticia/abertura-mover-mercados-operam-sem-direcao-unica-de-olho-em-indicadores-e-balancos-focus-no-radar</v>
      </c>
      <c r="Y1823" s="77" t="s">
        <v>7053</v>
      </c>
      <c r="Z1823" s="77"/>
      <c r="AA1823" s="77"/>
      <c r="AB1823" s="77"/>
      <c r="AC1823" s="82" t="s">
        <v>8232</v>
      </c>
      <c r="AD1823" s="77" t="s">
        <v>8278</v>
      </c>
      <c r="AE1823" s="80" t="str">
        <f>HYPERLINK("https://twitter.com/leiaflj/status/1688509275063087104")</f>
        <v>https://twitter.com/leiaflj/status/1688509275063087104</v>
      </c>
      <c r="AF1823" s="79">
        <v>45145.469398148147</v>
      </c>
      <c r="AG1823" s="85">
        <v>45145</v>
      </c>
      <c r="AH1823" s="82" t="s">
        <v>9939</v>
      </c>
      <c r="AI1823" s="77" t="b">
        <v>0</v>
      </c>
      <c r="AJ1823" s="77"/>
      <c r="AK1823" s="77"/>
      <c r="AL1823" s="77"/>
      <c r="AM1823" s="77"/>
      <c r="AN1823" s="77"/>
      <c r="AO1823" s="77"/>
      <c r="AP1823" s="77"/>
      <c r="AQ1823" s="77"/>
      <c r="AR1823" s="77"/>
      <c r="AS1823" s="77"/>
      <c r="AT1823" s="77"/>
      <c r="AU1823" s="77"/>
      <c r="AV1823" s="80" t="str">
        <f>HYPERLINK("https://pbs.twimg.com/profile_images/1620068456165933060/TShADQck_normal.jpg")</f>
        <v>https://pbs.twimg.com/profile_images/1620068456165933060/TShADQck_normal.jpg</v>
      </c>
      <c r="AW1823" s="82" t="s">
        <v>14914</v>
      </c>
      <c r="AX1823" s="82" t="s">
        <v>14914</v>
      </c>
      <c r="AY1823" s="77"/>
      <c r="AZ1823" s="82" t="s">
        <v>17385</v>
      </c>
      <c r="BA1823" s="82" t="s">
        <v>17385</v>
      </c>
      <c r="BB1823" s="82" t="s">
        <v>17385</v>
      </c>
      <c r="BC1823" s="82" t="s">
        <v>14914</v>
      </c>
      <c r="BD1823" s="82" t="s">
        <v>17557</v>
      </c>
      <c r="BE1823" s="77"/>
      <c r="BF1823" s="77"/>
      <c r="BG1823" s="77"/>
      <c r="BH1823" s="77"/>
      <c r="BI1823" s="77"/>
    </row>
    <row r="1824" spans="1:61" x14ac:dyDescent="0.25">
      <c r="A1824" s="62" t="s">
        <v>435</v>
      </c>
      <c r="B1824" s="62" t="s">
        <v>435</v>
      </c>
      <c r="C1824" s="63"/>
      <c r="D1824" s="64"/>
      <c r="E1824" s="65"/>
      <c r="F1824" s="66"/>
      <c r="G1824" s="63"/>
      <c r="H1824" s="67"/>
      <c r="I1824" s="68"/>
      <c r="J1824" s="68"/>
      <c r="K1824" s="32"/>
      <c r="L1824" s="75">
        <v>1824</v>
      </c>
      <c r="M1824" s="75"/>
      <c r="N1824" s="70"/>
      <c r="O1824" s="77" t="s">
        <v>179</v>
      </c>
      <c r="P1824" s="79">
        <v>45144.5</v>
      </c>
      <c r="Q1824" s="77" t="s">
        <v>2610</v>
      </c>
      <c r="R1824" s="77">
        <v>0</v>
      </c>
      <c r="S1824" s="77">
        <v>0</v>
      </c>
      <c r="T1824" s="77">
        <v>0</v>
      </c>
      <c r="U1824" s="77">
        <v>0</v>
      </c>
      <c r="V1824" s="77">
        <v>127</v>
      </c>
      <c r="W1824" s="82" t="s">
        <v>5907</v>
      </c>
      <c r="X1824" s="80" t="str">
        <f>HYPERLINK("https://flj.com.br/")</f>
        <v>https://flj.com.br/</v>
      </c>
      <c r="Y1824" s="77" t="s">
        <v>7053</v>
      </c>
      <c r="Z1824" s="77"/>
      <c r="AA1824" s="77" t="s">
        <v>7902</v>
      </c>
      <c r="AB1824" s="77" t="s">
        <v>8229</v>
      </c>
      <c r="AC1824" s="82" t="s">
        <v>8232</v>
      </c>
      <c r="AD1824" s="77" t="s">
        <v>8278</v>
      </c>
      <c r="AE1824" s="80" t="str">
        <f>HYPERLINK("https://twitter.com/leiaflj/status/1688157974681075713")</f>
        <v>https://twitter.com/leiaflj/status/1688157974681075713</v>
      </c>
      <c r="AF1824" s="79">
        <v>45144.5</v>
      </c>
      <c r="AG1824" s="85">
        <v>45144</v>
      </c>
      <c r="AH1824" s="82" t="s">
        <v>8595</v>
      </c>
      <c r="AI1824" s="77" t="b">
        <v>0</v>
      </c>
      <c r="AJ1824" s="77"/>
      <c r="AK1824" s="77"/>
      <c r="AL1824" s="77"/>
      <c r="AM1824" s="77"/>
      <c r="AN1824" s="77"/>
      <c r="AO1824" s="77"/>
      <c r="AP1824" s="77"/>
      <c r="AQ1824" s="77" t="s">
        <v>12787</v>
      </c>
      <c r="AR1824" s="77"/>
      <c r="AS1824" s="77"/>
      <c r="AT1824" s="77"/>
      <c r="AU1824" s="77"/>
      <c r="AV1824" s="80" t="str">
        <f>HYPERLINK("https://pbs.twimg.com/media/F2taijAWQAAGLuS.jpg")</f>
        <v>https://pbs.twimg.com/media/F2taijAWQAAGLuS.jpg</v>
      </c>
      <c r="AW1824" s="82" t="s">
        <v>14915</v>
      </c>
      <c r="AX1824" s="82" t="s">
        <v>14915</v>
      </c>
      <c r="AY1824" s="77"/>
      <c r="AZ1824" s="82" t="s">
        <v>17385</v>
      </c>
      <c r="BA1824" s="82" t="s">
        <v>17385</v>
      </c>
      <c r="BB1824" s="82" t="s">
        <v>17385</v>
      </c>
      <c r="BC1824" s="82" t="s">
        <v>14915</v>
      </c>
      <c r="BD1824" s="82" t="s">
        <v>17557</v>
      </c>
      <c r="BE1824" s="77"/>
      <c r="BF1824" s="77"/>
      <c r="BG1824" s="77"/>
      <c r="BH1824" s="77"/>
      <c r="BI1824" s="77"/>
    </row>
    <row r="1825" spans="1:61" x14ac:dyDescent="0.25">
      <c r="A1825" s="62" t="s">
        <v>435</v>
      </c>
      <c r="B1825" s="62" t="s">
        <v>435</v>
      </c>
      <c r="C1825" s="63"/>
      <c r="D1825" s="64"/>
      <c r="E1825" s="65"/>
      <c r="F1825" s="66"/>
      <c r="G1825" s="63"/>
      <c r="H1825" s="67"/>
      <c r="I1825" s="68"/>
      <c r="J1825" s="68"/>
      <c r="K1825" s="32"/>
      <c r="L1825" s="75">
        <v>1825</v>
      </c>
      <c r="M1825" s="75"/>
      <c r="N1825" s="70"/>
      <c r="O1825" s="77" t="s">
        <v>179</v>
      </c>
      <c r="P1825" s="79">
        <v>45135.95</v>
      </c>
      <c r="Q1825" s="77" t="s">
        <v>2611</v>
      </c>
      <c r="R1825" s="77">
        <v>0</v>
      </c>
      <c r="S1825" s="77">
        <v>0</v>
      </c>
      <c r="T1825" s="77">
        <v>0</v>
      </c>
      <c r="U1825" s="77">
        <v>0</v>
      </c>
      <c r="V1825" s="77">
        <v>168</v>
      </c>
      <c r="W1825" s="82" t="s">
        <v>5987</v>
      </c>
      <c r="X1825" s="80" t="str">
        <f>HYPERLINK("http://flj.com.br/noticia/intb3-acao-da-intelbras-despenca-apos-resultado-do-2t23-itau-bba-corta-projecoes")</f>
        <v>http://flj.com.br/noticia/intb3-acao-da-intelbras-despenca-apos-resultado-do-2t23-itau-bba-corta-projecoes</v>
      </c>
      <c r="Y1825" s="77" t="s">
        <v>7053</v>
      </c>
      <c r="Z1825" s="77"/>
      <c r="AA1825" s="77"/>
      <c r="AB1825" s="77"/>
      <c r="AC1825" s="82" t="s">
        <v>8232</v>
      </c>
      <c r="AD1825" s="77" t="s">
        <v>8278</v>
      </c>
      <c r="AE1825" s="80" t="str">
        <f>HYPERLINK("https://twitter.com/leiaflj/status/1685059558132047872")</f>
        <v>https://twitter.com/leiaflj/status/1685059558132047872</v>
      </c>
      <c r="AF1825" s="79">
        <v>45135.95</v>
      </c>
      <c r="AG1825" s="85">
        <v>45135</v>
      </c>
      <c r="AH1825" s="82" t="s">
        <v>9940</v>
      </c>
      <c r="AI1825" s="77" t="b">
        <v>0</v>
      </c>
      <c r="AJ1825" s="77"/>
      <c r="AK1825" s="77"/>
      <c r="AL1825" s="77"/>
      <c r="AM1825" s="77"/>
      <c r="AN1825" s="77"/>
      <c r="AO1825" s="77"/>
      <c r="AP1825" s="77"/>
      <c r="AQ1825" s="77"/>
      <c r="AR1825" s="77"/>
      <c r="AS1825" s="77"/>
      <c r="AT1825" s="77"/>
      <c r="AU1825" s="77"/>
      <c r="AV1825" s="80" t="str">
        <f>HYPERLINK("https://pbs.twimg.com/profile_images/1620068456165933060/TShADQck_normal.jpg")</f>
        <v>https://pbs.twimg.com/profile_images/1620068456165933060/TShADQck_normal.jpg</v>
      </c>
      <c r="AW1825" s="82" t="s">
        <v>14916</v>
      </c>
      <c r="AX1825" s="82" t="s">
        <v>14916</v>
      </c>
      <c r="AY1825" s="77"/>
      <c r="AZ1825" s="82" t="s">
        <v>17385</v>
      </c>
      <c r="BA1825" s="82" t="s">
        <v>17385</v>
      </c>
      <c r="BB1825" s="82" t="s">
        <v>17385</v>
      </c>
      <c r="BC1825" s="82" t="s">
        <v>14916</v>
      </c>
      <c r="BD1825" s="82" t="s">
        <v>17557</v>
      </c>
      <c r="BE1825" s="77"/>
      <c r="BF1825" s="77"/>
      <c r="BG1825" s="77"/>
      <c r="BH1825" s="77"/>
      <c r="BI1825" s="77"/>
    </row>
    <row r="1826" spans="1:61" x14ac:dyDescent="0.25">
      <c r="A1826" s="62" t="s">
        <v>435</v>
      </c>
      <c r="B1826" s="62" t="s">
        <v>435</v>
      </c>
      <c r="C1826" s="63"/>
      <c r="D1826" s="64"/>
      <c r="E1826" s="65"/>
      <c r="F1826" s="66"/>
      <c r="G1826" s="63"/>
      <c r="H1826" s="67"/>
      <c r="I1826" s="68"/>
      <c r="J1826" s="68"/>
      <c r="K1826" s="32"/>
      <c r="L1826" s="75">
        <v>1826</v>
      </c>
      <c r="M1826" s="75"/>
      <c r="N1826" s="70"/>
      <c r="O1826" s="77" t="s">
        <v>179</v>
      </c>
      <c r="P1826" s="79">
        <v>45135.752141203702</v>
      </c>
      <c r="Q1826" s="77" t="s">
        <v>2612</v>
      </c>
      <c r="R1826" s="77">
        <v>0</v>
      </c>
      <c r="S1826" s="77">
        <v>0</v>
      </c>
      <c r="T1826" s="77">
        <v>0</v>
      </c>
      <c r="U1826" s="77">
        <v>0</v>
      </c>
      <c r="V1826" s="77">
        <v>212</v>
      </c>
      <c r="W1826" s="82" t="s">
        <v>5988</v>
      </c>
      <c r="X1826" s="80" t="str">
        <f>HYPERLINK("https://flj.com.br/noticia/vale-vale3-e-usiminas-usim5-mostram-queda-no-lucro-mas-so-uma-e-a-favorita")</f>
        <v>https://flj.com.br/noticia/vale-vale3-e-usiminas-usim5-mostram-queda-no-lucro-mas-so-uma-e-a-favorita</v>
      </c>
      <c r="Y1826" s="77" t="s">
        <v>7053</v>
      </c>
      <c r="Z1826" s="77"/>
      <c r="AA1826" s="77"/>
      <c r="AB1826" s="77"/>
      <c r="AC1826" s="82" t="s">
        <v>8232</v>
      </c>
      <c r="AD1826" s="77" t="s">
        <v>8278</v>
      </c>
      <c r="AE1826" s="80" t="str">
        <f>HYPERLINK("https://twitter.com/leiaflj/status/1684987856136089603")</f>
        <v>https://twitter.com/leiaflj/status/1684987856136089603</v>
      </c>
      <c r="AF1826" s="79">
        <v>45135.752141203702</v>
      </c>
      <c r="AG1826" s="85">
        <v>45135</v>
      </c>
      <c r="AH1826" s="82" t="s">
        <v>9941</v>
      </c>
      <c r="AI1826" s="77" t="b">
        <v>0</v>
      </c>
      <c r="AJ1826" s="77"/>
      <c r="AK1826" s="77"/>
      <c r="AL1826" s="77"/>
      <c r="AM1826" s="77"/>
      <c r="AN1826" s="77"/>
      <c r="AO1826" s="77"/>
      <c r="AP1826" s="77"/>
      <c r="AQ1826" s="77"/>
      <c r="AR1826" s="77"/>
      <c r="AS1826" s="77"/>
      <c r="AT1826" s="77"/>
      <c r="AU1826" s="77"/>
      <c r="AV1826" s="80" t="str">
        <f>HYPERLINK("https://pbs.twimg.com/profile_images/1620068456165933060/TShADQck_normal.jpg")</f>
        <v>https://pbs.twimg.com/profile_images/1620068456165933060/TShADQck_normal.jpg</v>
      </c>
      <c r="AW1826" s="82" t="s">
        <v>14917</v>
      </c>
      <c r="AX1826" s="82" t="s">
        <v>14917</v>
      </c>
      <c r="AY1826" s="77"/>
      <c r="AZ1826" s="82" t="s">
        <v>17385</v>
      </c>
      <c r="BA1826" s="82" t="s">
        <v>17385</v>
      </c>
      <c r="BB1826" s="82" t="s">
        <v>17385</v>
      </c>
      <c r="BC1826" s="82" t="s">
        <v>14917</v>
      </c>
      <c r="BD1826" s="82" t="s">
        <v>17557</v>
      </c>
      <c r="BE1826" s="77"/>
      <c r="BF1826" s="77"/>
      <c r="BG1826" s="77"/>
      <c r="BH1826" s="77"/>
      <c r="BI1826" s="77"/>
    </row>
    <row r="1827" spans="1:61" x14ac:dyDescent="0.25">
      <c r="A1827" s="62" t="s">
        <v>435</v>
      </c>
      <c r="B1827" s="62" t="s">
        <v>435</v>
      </c>
      <c r="C1827" s="63"/>
      <c r="D1827" s="64"/>
      <c r="E1827" s="65"/>
      <c r="F1827" s="66"/>
      <c r="G1827" s="63"/>
      <c r="H1827" s="67"/>
      <c r="I1827" s="68"/>
      <c r="J1827" s="68"/>
      <c r="K1827" s="32"/>
      <c r="L1827" s="75">
        <v>1827</v>
      </c>
      <c r="M1827" s="75"/>
      <c r="N1827" s="70"/>
      <c r="O1827" s="77" t="s">
        <v>179</v>
      </c>
      <c r="P1827" s="79">
        <v>45106.558518518519</v>
      </c>
      <c r="Q1827" s="77" t="s">
        <v>2613</v>
      </c>
      <c r="R1827" s="77">
        <v>0</v>
      </c>
      <c r="S1827" s="77">
        <v>1</v>
      </c>
      <c r="T1827" s="77">
        <v>0</v>
      </c>
      <c r="U1827" s="77">
        <v>0</v>
      </c>
      <c r="V1827" s="77">
        <v>136</v>
      </c>
      <c r="W1827" s="82" t="s">
        <v>5989</v>
      </c>
      <c r="X1827" s="80" t="str">
        <f>HYPERLINK("https://flj.com.br/noticia/americanas-amer3-demite-236-funcionarios-em-uma-semana")</f>
        <v>https://flj.com.br/noticia/americanas-amer3-demite-236-funcionarios-em-uma-semana</v>
      </c>
      <c r="Y1827" s="77" t="s">
        <v>7053</v>
      </c>
      <c r="Z1827" s="77"/>
      <c r="AA1827" s="77"/>
      <c r="AB1827" s="77"/>
      <c r="AC1827" s="82" t="s">
        <v>8232</v>
      </c>
      <c r="AD1827" s="77" t="s">
        <v>8278</v>
      </c>
      <c r="AE1827" s="80" t="str">
        <f>HYPERLINK("https://twitter.com/leiaflj/status/1674408443925475328")</f>
        <v>https://twitter.com/leiaflj/status/1674408443925475328</v>
      </c>
      <c r="AF1827" s="79">
        <v>45106.558518518519</v>
      </c>
      <c r="AG1827" s="85">
        <v>45106</v>
      </c>
      <c r="AH1827" s="82" t="s">
        <v>9942</v>
      </c>
      <c r="AI1827" s="77" t="b">
        <v>0</v>
      </c>
      <c r="AJ1827" s="77"/>
      <c r="AK1827" s="77"/>
      <c r="AL1827" s="77"/>
      <c r="AM1827" s="77"/>
      <c r="AN1827" s="77"/>
      <c r="AO1827" s="77"/>
      <c r="AP1827" s="77"/>
      <c r="AQ1827" s="77"/>
      <c r="AR1827" s="77"/>
      <c r="AS1827" s="77"/>
      <c r="AT1827" s="77"/>
      <c r="AU1827" s="77"/>
      <c r="AV1827" s="80" t="str">
        <f>HYPERLINK("https://pbs.twimg.com/profile_images/1620068456165933060/TShADQck_normal.jpg")</f>
        <v>https://pbs.twimg.com/profile_images/1620068456165933060/TShADQck_normal.jpg</v>
      </c>
      <c r="AW1827" s="82" t="s">
        <v>14918</v>
      </c>
      <c r="AX1827" s="82" t="s">
        <v>14918</v>
      </c>
      <c r="AY1827" s="77"/>
      <c r="AZ1827" s="82" t="s">
        <v>17385</v>
      </c>
      <c r="BA1827" s="82" t="s">
        <v>17385</v>
      </c>
      <c r="BB1827" s="82" t="s">
        <v>17385</v>
      </c>
      <c r="BC1827" s="82" t="s">
        <v>14918</v>
      </c>
      <c r="BD1827" s="82" t="s">
        <v>17557</v>
      </c>
      <c r="BE1827" s="77"/>
      <c r="BF1827" s="77"/>
      <c r="BG1827" s="77"/>
      <c r="BH1827" s="77"/>
      <c r="BI1827" s="77"/>
    </row>
    <row r="1828" spans="1:61" x14ac:dyDescent="0.25">
      <c r="A1828" s="62" t="s">
        <v>435</v>
      </c>
      <c r="B1828" s="62" t="s">
        <v>435</v>
      </c>
      <c r="C1828" s="63"/>
      <c r="D1828" s="64"/>
      <c r="E1828" s="65"/>
      <c r="F1828" s="66"/>
      <c r="G1828" s="63"/>
      <c r="H1828" s="67"/>
      <c r="I1828" s="68"/>
      <c r="J1828" s="68"/>
      <c r="K1828" s="32"/>
      <c r="L1828" s="75">
        <v>1828</v>
      </c>
      <c r="M1828" s="75"/>
      <c r="N1828" s="70"/>
      <c r="O1828" s="77" t="s">
        <v>179</v>
      </c>
      <c r="P1828" s="79">
        <v>45104.587337962963</v>
      </c>
      <c r="Q1828" s="77" t="s">
        <v>2614</v>
      </c>
      <c r="R1828" s="77">
        <v>0</v>
      </c>
      <c r="S1828" s="77">
        <v>1</v>
      </c>
      <c r="T1828" s="77">
        <v>1</v>
      </c>
      <c r="U1828" s="77">
        <v>0</v>
      </c>
      <c r="V1828" s="77">
        <v>176</v>
      </c>
      <c r="W1828" s="82" t="s">
        <v>5990</v>
      </c>
      <c r="X1828" s="80" t="str">
        <f>HYPERLINK("https://flj.com.br/noticia/bolsas-asiaticas-sobem-e-minerio-de-ferro-dispara-4")</f>
        <v>https://flj.com.br/noticia/bolsas-asiaticas-sobem-e-minerio-de-ferro-dispara-4</v>
      </c>
      <c r="Y1828" s="77" t="s">
        <v>7053</v>
      </c>
      <c r="Z1828" s="77"/>
      <c r="AA1828" s="77"/>
      <c r="AB1828" s="77"/>
      <c r="AC1828" s="82" t="s">
        <v>8232</v>
      </c>
      <c r="AD1828" s="77" t="s">
        <v>8278</v>
      </c>
      <c r="AE1828" s="80" t="str">
        <f>HYPERLINK("https://twitter.com/leiaflj/status/1673694110060773378")</f>
        <v>https://twitter.com/leiaflj/status/1673694110060773378</v>
      </c>
      <c r="AF1828" s="79">
        <v>45104.587337962963</v>
      </c>
      <c r="AG1828" s="85">
        <v>45104</v>
      </c>
      <c r="AH1828" s="82" t="s">
        <v>9866</v>
      </c>
      <c r="AI1828" s="77" t="b">
        <v>0</v>
      </c>
      <c r="AJ1828" s="77"/>
      <c r="AK1828" s="77"/>
      <c r="AL1828" s="77"/>
      <c r="AM1828" s="77"/>
      <c r="AN1828" s="77"/>
      <c r="AO1828" s="77"/>
      <c r="AP1828" s="77"/>
      <c r="AQ1828" s="77"/>
      <c r="AR1828" s="77"/>
      <c r="AS1828" s="77"/>
      <c r="AT1828" s="77"/>
      <c r="AU1828" s="77"/>
      <c r="AV1828" s="80" t="str">
        <f>HYPERLINK("https://pbs.twimg.com/profile_images/1620068456165933060/TShADQck_normal.jpg")</f>
        <v>https://pbs.twimg.com/profile_images/1620068456165933060/TShADQck_normal.jpg</v>
      </c>
      <c r="AW1828" s="82" t="s">
        <v>14919</v>
      </c>
      <c r="AX1828" s="82" t="s">
        <v>14919</v>
      </c>
      <c r="AY1828" s="77"/>
      <c r="AZ1828" s="82" t="s">
        <v>17385</v>
      </c>
      <c r="BA1828" s="82" t="s">
        <v>17385</v>
      </c>
      <c r="BB1828" s="82" t="s">
        <v>17385</v>
      </c>
      <c r="BC1828" s="82" t="s">
        <v>14919</v>
      </c>
      <c r="BD1828" s="82" t="s">
        <v>17557</v>
      </c>
      <c r="BE1828" s="77"/>
      <c r="BF1828" s="77"/>
      <c r="BG1828" s="77"/>
      <c r="BH1828" s="77"/>
      <c r="BI1828" s="77"/>
    </row>
    <row r="1829" spans="1:61" x14ac:dyDescent="0.25">
      <c r="A1829" s="62" t="s">
        <v>435</v>
      </c>
      <c r="B1829" s="62" t="s">
        <v>435</v>
      </c>
      <c r="C1829" s="63"/>
      <c r="D1829" s="64"/>
      <c r="E1829" s="65"/>
      <c r="F1829" s="66"/>
      <c r="G1829" s="63"/>
      <c r="H1829" s="67"/>
      <c r="I1829" s="68"/>
      <c r="J1829" s="68"/>
      <c r="K1829" s="32"/>
      <c r="L1829" s="75">
        <v>1829</v>
      </c>
      <c r="M1829" s="75"/>
      <c r="N1829" s="70"/>
      <c r="O1829" s="77" t="s">
        <v>179</v>
      </c>
      <c r="P1829" s="79">
        <v>45104.46733796296</v>
      </c>
      <c r="Q1829" s="77" t="s">
        <v>2615</v>
      </c>
      <c r="R1829" s="77">
        <v>0</v>
      </c>
      <c r="S1829" s="77">
        <v>0</v>
      </c>
      <c r="T1829" s="77">
        <v>0</v>
      </c>
      <c r="U1829" s="77">
        <v>0</v>
      </c>
      <c r="V1829" s="77">
        <v>96</v>
      </c>
      <c r="W1829" s="82" t="s">
        <v>5991</v>
      </c>
      <c r="X1829" s="80" t="str">
        <f>HYPERLINK("https://flj.com.br/noticia/localiza-rent3-movimenta-r-4-5-bilhoes-em-oferta-de-acoes")</f>
        <v>https://flj.com.br/noticia/localiza-rent3-movimenta-r-4-5-bilhoes-em-oferta-de-acoes</v>
      </c>
      <c r="Y1829" s="77" t="s">
        <v>7053</v>
      </c>
      <c r="Z1829" s="77"/>
      <c r="AA1829" s="77"/>
      <c r="AB1829" s="77"/>
      <c r="AC1829" s="82" t="s">
        <v>8232</v>
      </c>
      <c r="AD1829" s="77" t="s">
        <v>8278</v>
      </c>
      <c r="AE1829" s="80" t="str">
        <f>HYPERLINK("https://twitter.com/leiaflj/status/1673650623919554561")</f>
        <v>https://twitter.com/leiaflj/status/1673650623919554561</v>
      </c>
      <c r="AF1829" s="79">
        <v>45104.46733796296</v>
      </c>
      <c r="AG1829" s="85">
        <v>45104</v>
      </c>
      <c r="AH1829" s="82" t="s">
        <v>9943</v>
      </c>
      <c r="AI1829" s="77" t="b">
        <v>0</v>
      </c>
      <c r="AJ1829" s="77"/>
      <c r="AK1829" s="77"/>
      <c r="AL1829" s="77"/>
      <c r="AM1829" s="77"/>
      <c r="AN1829" s="77"/>
      <c r="AO1829" s="77"/>
      <c r="AP1829" s="77"/>
      <c r="AQ1829" s="77"/>
      <c r="AR1829" s="77"/>
      <c r="AS1829" s="77"/>
      <c r="AT1829" s="77"/>
      <c r="AU1829" s="77"/>
      <c r="AV1829" s="80" t="str">
        <f>HYPERLINK("https://pbs.twimg.com/profile_images/1620068456165933060/TShADQck_normal.jpg")</f>
        <v>https://pbs.twimg.com/profile_images/1620068456165933060/TShADQck_normal.jpg</v>
      </c>
      <c r="AW1829" s="82" t="s">
        <v>14920</v>
      </c>
      <c r="AX1829" s="82" t="s">
        <v>14920</v>
      </c>
      <c r="AY1829" s="77"/>
      <c r="AZ1829" s="82" t="s">
        <v>17385</v>
      </c>
      <c r="BA1829" s="82" t="s">
        <v>17385</v>
      </c>
      <c r="BB1829" s="82" t="s">
        <v>17385</v>
      </c>
      <c r="BC1829" s="82" t="s">
        <v>14920</v>
      </c>
      <c r="BD1829" s="82" t="s">
        <v>17557</v>
      </c>
      <c r="BE1829" s="77"/>
      <c r="BF1829" s="77"/>
      <c r="BG1829" s="77"/>
      <c r="BH1829" s="77"/>
      <c r="BI1829" s="77"/>
    </row>
    <row r="1830" spans="1:61" x14ac:dyDescent="0.25">
      <c r="A1830" s="62" t="s">
        <v>435</v>
      </c>
      <c r="B1830" s="62" t="s">
        <v>435</v>
      </c>
      <c r="C1830" s="63"/>
      <c r="D1830" s="64"/>
      <c r="E1830" s="65"/>
      <c r="F1830" s="66"/>
      <c r="G1830" s="63"/>
      <c r="H1830" s="67"/>
      <c r="I1830" s="68"/>
      <c r="J1830" s="68"/>
      <c r="K1830" s="32"/>
      <c r="L1830" s="75">
        <v>1830</v>
      </c>
      <c r="M1830" s="75"/>
      <c r="N1830" s="70"/>
      <c r="O1830" s="77" t="s">
        <v>179</v>
      </c>
      <c r="P1830" s="79">
        <v>45104.454479166663</v>
      </c>
      <c r="Q1830" s="77" t="s">
        <v>2616</v>
      </c>
      <c r="R1830" s="77">
        <v>0</v>
      </c>
      <c r="S1830" s="77">
        <v>0</v>
      </c>
      <c r="T1830" s="77">
        <v>0</v>
      </c>
      <c r="U1830" s="77">
        <v>0</v>
      </c>
      <c r="V1830" s="77">
        <v>102</v>
      </c>
      <c r="W1830" s="82" t="s">
        <v>5992</v>
      </c>
      <c r="X1830" s="80" t="str">
        <f>HYPERLINK("https://flj.com.br/noticia/bolsas-asiaticas-sobem-e-minerio-de-ferro-dispara-4")</f>
        <v>https://flj.com.br/noticia/bolsas-asiaticas-sobem-e-minerio-de-ferro-dispara-4</v>
      </c>
      <c r="Y1830" s="77" t="s">
        <v>7053</v>
      </c>
      <c r="Z1830" s="77"/>
      <c r="AA1830" s="77"/>
      <c r="AB1830" s="77"/>
      <c r="AC1830" s="82" t="s">
        <v>8232</v>
      </c>
      <c r="AD1830" s="77" t="s">
        <v>8278</v>
      </c>
      <c r="AE1830" s="80" t="str">
        <f>HYPERLINK("https://twitter.com/leiaflj/status/1673645966509867010")</f>
        <v>https://twitter.com/leiaflj/status/1673645966509867010</v>
      </c>
      <c r="AF1830" s="79">
        <v>45104.454479166663</v>
      </c>
      <c r="AG1830" s="85">
        <v>45104</v>
      </c>
      <c r="AH1830" s="82" t="s">
        <v>9944</v>
      </c>
      <c r="AI1830" s="77" t="b">
        <v>0</v>
      </c>
      <c r="AJ1830" s="77"/>
      <c r="AK1830" s="77"/>
      <c r="AL1830" s="77"/>
      <c r="AM1830" s="77"/>
      <c r="AN1830" s="77"/>
      <c r="AO1830" s="77"/>
      <c r="AP1830" s="77"/>
      <c r="AQ1830" s="77"/>
      <c r="AR1830" s="77"/>
      <c r="AS1830" s="77"/>
      <c r="AT1830" s="77"/>
      <c r="AU1830" s="77"/>
      <c r="AV1830" s="80" t="str">
        <f>HYPERLINK("https://pbs.twimg.com/profile_images/1620068456165933060/TShADQck_normal.jpg")</f>
        <v>https://pbs.twimg.com/profile_images/1620068456165933060/TShADQck_normal.jpg</v>
      </c>
      <c r="AW1830" s="82" t="s">
        <v>14921</v>
      </c>
      <c r="AX1830" s="82" t="s">
        <v>14921</v>
      </c>
      <c r="AY1830" s="77"/>
      <c r="AZ1830" s="82" t="s">
        <v>17385</v>
      </c>
      <c r="BA1830" s="82" t="s">
        <v>17385</v>
      </c>
      <c r="BB1830" s="82" t="s">
        <v>17385</v>
      </c>
      <c r="BC1830" s="82" t="s">
        <v>14921</v>
      </c>
      <c r="BD1830" s="82" t="s">
        <v>17557</v>
      </c>
      <c r="BE1830" s="77"/>
      <c r="BF1830" s="77"/>
      <c r="BG1830" s="77"/>
      <c r="BH1830" s="77"/>
      <c r="BI1830" s="77"/>
    </row>
    <row r="1831" spans="1:61" x14ac:dyDescent="0.25">
      <c r="A1831" s="62" t="s">
        <v>435</v>
      </c>
      <c r="B1831" s="62" t="s">
        <v>435</v>
      </c>
      <c r="C1831" s="63"/>
      <c r="D1831" s="64"/>
      <c r="E1831" s="65"/>
      <c r="F1831" s="66"/>
      <c r="G1831" s="63"/>
      <c r="H1831" s="67"/>
      <c r="I1831" s="68"/>
      <c r="J1831" s="68"/>
      <c r="K1831" s="32"/>
      <c r="L1831" s="75">
        <v>1831</v>
      </c>
      <c r="M1831" s="75"/>
      <c r="N1831" s="70"/>
      <c r="O1831" s="77" t="s">
        <v>179</v>
      </c>
      <c r="P1831" s="79">
        <v>45067.500023148146</v>
      </c>
      <c r="Q1831" s="77" t="s">
        <v>2617</v>
      </c>
      <c r="R1831" s="77">
        <v>1</v>
      </c>
      <c r="S1831" s="77">
        <v>1</v>
      </c>
      <c r="T1831" s="77">
        <v>0</v>
      </c>
      <c r="U1831" s="77">
        <v>0</v>
      </c>
      <c r="V1831" s="77">
        <v>186</v>
      </c>
      <c r="W1831" s="82" t="s">
        <v>5907</v>
      </c>
      <c r="X1831" s="80" t="str">
        <f>HYPERLINK("https://flj.com.br/")</f>
        <v>https://flj.com.br/</v>
      </c>
      <c r="Y1831" s="77" t="s">
        <v>7053</v>
      </c>
      <c r="Z1831" s="77"/>
      <c r="AA1831" s="77" t="s">
        <v>7903</v>
      </c>
      <c r="AB1831" s="77" t="s">
        <v>8229</v>
      </c>
      <c r="AC1831" s="82" t="s">
        <v>8232</v>
      </c>
      <c r="AD1831" s="77" t="s">
        <v>8278</v>
      </c>
      <c r="AE1831" s="80" t="str">
        <f>HYPERLINK("https://twitter.com/leiaflj/status/1660254119175790594")</f>
        <v>https://twitter.com/leiaflj/status/1660254119175790594</v>
      </c>
      <c r="AF1831" s="79">
        <v>45067.500023148146</v>
      </c>
      <c r="AG1831" s="85">
        <v>45067</v>
      </c>
      <c r="AH1831" s="82" t="s">
        <v>8594</v>
      </c>
      <c r="AI1831" s="77" t="b">
        <v>0</v>
      </c>
      <c r="AJ1831" s="77"/>
      <c r="AK1831" s="77"/>
      <c r="AL1831" s="77"/>
      <c r="AM1831" s="77"/>
      <c r="AN1831" s="77"/>
      <c r="AO1831" s="77"/>
      <c r="AP1831" s="77"/>
      <c r="AQ1831" s="77" t="s">
        <v>12788</v>
      </c>
      <c r="AR1831" s="77"/>
      <c r="AS1831" s="77"/>
      <c r="AT1831" s="77"/>
      <c r="AU1831" s="77"/>
      <c r="AV1831" s="80" t="str">
        <f>HYPERLINK("https://pbs.twimg.com/media/Fwf3pzaWIAE9j8W.jpg")</f>
        <v>https://pbs.twimg.com/media/Fwf3pzaWIAE9j8W.jpg</v>
      </c>
      <c r="AW1831" s="82" t="s">
        <v>14922</v>
      </c>
      <c r="AX1831" s="82" t="s">
        <v>14922</v>
      </c>
      <c r="AY1831" s="77"/>
      <c r="AZ1831" s="82" t="s">
        <v>17385</v>
      </c>
      <c r="BA1831" s="82" t="s">
        <v>17385</v>
      </c>
      <c r="BB1831" s="82" t="s">
        <v>17385</v>
      </c>
      <c r="BC1831" s="82" t="s">
        <v>14922</v>
      </c>
      <c r="BD1831" s="82" t="s">
        <v>17557</v>
      </c>
      <c r="BE1831" s="77"/>
      <c r="BF1831" s="77"/>
      <c r="BG1831" s="77"/>
      <c r="BH1831" s="77"/>
      <c r="BI1831" s="77"/>
    </row>
    <row r="1832" spans="1:61" x14ac:dyDescent="0.25">
      <c r="A1832" s="62" t="s">
        <v>435</v>
      </c>
      <c r="B1832" s="62" t="s">
        <v>435</v>
      </c>
      <c r="C1832" s="63"/>
      <c r="D1832" s="64"/>
      <c r="E1832" s="65"/>
      <c r="F1832" s="66"/>
      <c r="G1832" s="63"/>
      <c r="H1832" s="67"/>
      <c r="I1832" s="68"/>
      <c r="J1832" s="68"/>
      <c r="K1832" s="32"/>
      <c r="L1832" s="75">
        <v>1832</v>
      </c>
      <c r="M1832" s="75"/>
      <c r="N1832" s="70"/>
      <c r="O1832" s="77" t="s">
        <v>179</v>
      </c>
      <c r="P1832" s="79">
        <v>45065.874456018515</v>
      </c>
      <c r="Q1832" s="77" t="s">
        <v>2618</v>
      </c>
      <c r="R1832" s="77">
        <v>0</v>
      </c>
      <c r="S1832" s="77">
        <v>1</v>
      </c>
      <c r="T1832" s="77">
        <v>0</v>
      </c>
      <c r="U1832" s="77">
        <v>0</v>
      </c>
      <c r="V1832" s="77">
        <v>101</v>
      </c>
      <c r="W1832" s="82" t="s">
        <v>5909</v>
      </c>
      <c r="X1832" s="80" t="str">
        <f>HYPERLINK("https://flj.com.br/noticia/ibovespa-sobe-pela-quarta-semana-seguida-com-campos-neto-no-radar")</f>
        <v>https://flj.com.br/noticia/ibovespa-sobe-pela-quarta-semana-seguida-com-campos-neto-no-radar</v>
      </c>
      <c r="Y1832" s="77" t="s">
        <v>7053</v>
      </c>
      <c r="Z1832" s="77"/>
      <c r="AA1832" s="77"/>
      <c r="AB1832" s="77"/>
      <c r="AC1832" s="82" t="s">
        <v>8232</v>
      </c>
      <c r="AD1832" s="77" t="s">
        <v>8278</v>
      </c>
      <c r="AE1832" s="80" t="str">
        <f>HYPERLINK("https://twitter.com/leiaflj/status/1659665033410887681")</f>
        <v>https://twitter.com/leiaflj/status/1659665033410887681</v>
      </c>
      <c r="AF1832" s="79">
        <v>45065.874456018515</v>
      </c>
      <c r="AG1832" s="85">
        <v>45065</v>
      </c>
      <c r="AH1832" s="82" t="s">
        <v>9945</v>
      </c>
      <c r="AI1832" s="77" t="b">
        <v>0</v>
      </c>
      <c r="AJ1832" s="77"/>
      <c r="AK1832" s="77"/>
      <c r="AL1832" s="77"/>
      <c r="AM1832" s="77"/>
      <c r="AN1832" s="77"/>
      <c r="AO1832" s="77"/>
      <c r="AP1832" s="77"/>
      <c r="AQ1832" s="77"/>
      <c r="AR1832" s="77"/>
      <c r="AS1832" s="77"/>
      <c r="AT1832" s="77"/>
      <c r="AU1832" s="77"/>
      <c r="AV1832" s="80" t="str">
        <f>HYPERLINK("https://pbs.twimg.com/profile_images/1620068456165933060/TShADQck_normal.jpg")</f>
        <v>https://pbs.twimg.com/profile_images/1620068456165933060/TShADQck_normal.jpg</v>
      </c>
      <c r="AW1832" s="82" t="s">
        <v>14923</v>
      </c>
      <c r="AX1832" s="82" t="s">
        <v>14923</v>
      </c>
      <c r="AY1832" s="77"/>
      <c r="AZ1832" s="82" t="s">
        <v>17385</v>
      </c>
      <c r="BA1832" s="82" t="s">
        <v>17385</v>
      </c>
      <c r="BB1832" s="82" t="s">
        <v>17385</v>
      </c>
      <c r="BC1832" s="82" t="s">
        <v>14923</v>
      </c>
      <c r="BD1832" s="82" t="s">
        <v>17557</v>
      </c>
      <c r="BE1832" s="77"/>
      <c r="BF1832" s="77"/>
      <c r="BG1832" s="77"/>
      <c r="BH1832" s="77"/>
      <c r="BI1832" s="77"/>
    </row>
    <row r="1833" spans="1:61" x14ac:dyDescent="0.25">
      <c r="A1833" s="62" t="s">
        <v>435</v>
      </c>
      <c r="B1833" s="62" t="s">
        <v>435</v>
      </c>
      <c r="C1833" s="63"/>
      <c r="D1833" s="64"/>
      <c r="E1833" s="65"/>
      <c r="F1833" s="66"/>
      <c r="G1833" s="63"/>
      <c r="H1833" s="67"/>
      <c r="I1833" s="68"/>
      <c r="J1833" s="68"/>
      <c r="K1833" s="32"/>
      <c r="L1833" s="75">
        <v>1833</v>
      </c>
      <c r="M1833" s="75"/>
      <c r="N1833" s="70"/>
      <c r="O1833" s="77" t="s">
        <v>179</v>
      </c>
      <c r="P1833" s="79">
        <v>45065.690451388888</v>
      </c>
      <c r="Q1833" s="77" t="s">
        <v>2619</v>
      </c>
      <c r="R1833" s="77">
        <v>0</v>
      </c>
      <c r="S1833" s="77">
        <v>1</v>
      </c>
      <c r="T1833" s="77">
        <v>0</v>
      </c>
      <c r="U1833" s="77">
        <v>0</v>
      </c>
      <c r="V1833" s="77">
        <v>101</v>
      </c>
      <c r="W1833" s="82" t="s">
        <v>5993</v>
      </c>
      <c r="X1833" s="80" t="str">
        <f>HYPERLINK("https://flj.com.br/noticia/oncoclinicas-sobe-apos-acordo-com-unimed-rio")</f>
        <v>https://flj.com.br/noticia/oncoclinicas-sobe-apos-acordo-com-unimed-rio</v>
      </c>
      <c r="Y1833" s="77" t="s">
        <v>7053</v>
      </c>
      <c r="Z1833" s="77"/>
      <c r="AA1833" s="77"/>
      <c r="AB1833" s="77"/>
      <c r="AC1833" s="82" t="s">
        <v>8232</v>
      </c>
      <c r="AD1833" s="77" t="s">
        <v>8278</v>
      </c>
      <c r="AE1833" s="80" t="str">
        <f>HYPERLINK("https://twitter.com/leiaflj/status/1659598352911155209")</f>
        <v>https://twitter.com/leiaflj/status/1659598352911155209</v>
      </c>
      <c r="AF1833" s="79">
        <v>45065.690451388888</v>
      </c>
      <c r="AG1833" s="85">
        <v>45065</v>
      </c>
      <c r="AH1833" s="82" t="s">
        <v>9946</v>
      </c>
      <c r="AI1833" s="77" t="b">
        <v>0</v>
      </c>
      <c r="AJ1833" s="77"/>
      <c r="AK1833" s="77"/>
      <c r="AL1833" s="77"/>
      <c r="AM1833" s="77"/>
      <c r="AN1833" s="77"/>
      <c r="AO1833" s="77"/>
      <c r="AP1833" s="77"/>
      <c r="AQ1833" s="77"/>
      <c r="AR1833" s="77"/>
      <c r="AS1833" s="77"/>
      <c r="AT1833" s="77"/>
      <c r="AU1833" s="77"/>
      <c r="AV1833" s="80" t="str">
        <f>HYPERLINK("https://pbs.twimg.com/profile_images/1620068456165933060/TShADQck_normal.jpg")</f>
        <v>https://pbs.twimg.com/profile_images/1620068456165933060/TShADQck_normal.jpg</v>
      </c>
      <c r="AW1833" s="82" t="s">
        <v>14924</v>
      </c>
      <c r="AX1833" s="82" t="s">
        <v>14924</v>
      </c>
      <c r="AY1833" s="77"/>
      <c r="AZ1833" s="82" t="s">
        <v>17385</v>
      </c>
      <c r="BA1833" s="82" t="s">
        <v>17385</v>
      </c>
      <c r="BB1833" s="82" t="s">
        <v>17385</v>
      </c>
      <c r="BC1833" s="82" t="s">
        <v>14924</v>
      </c>
      <c r="BD1833" s="82" t="s">
        <v>17557</v>
      </c>
      <c r="BE1833" s="77"/>
      <c r="BF1833" s="77"/>
      <c r="BG1833" s="77"/>
      <c r="BH1833" s="77"/>
      <c r="BI1833" s="77"/>
    </row>
    <row r="1834" spans="1:61" x14ac:dyDescent="0.25">
      <c r="A1834" s="62" t="s">
        <v>435</v>
      </c>
      <c r="B1834" s="62" t="s">
        <v>435</v>
      </c>
      <c r="C1834" s="63"/>
      <c r="D1834" s="64"/>
      <c r="E1834" s="65"/>
      <c r="F1834" s="66"/>
      <c r="G1834" s="63"/>
      <c r="H1834" s="67"/>
      <c r="I1834" s="68"/>
      <c r="J1834" s="68"/>
      <c r="K1834" s="32"/>
      <c r="L1834" s="75">
        <v>1834</v>
      </c>
      <c r="M1834" s="75"/>
      <c r="N1834" s="70"/>
      <c r="O1834" s="77" t="s">
        <v>179</v>
      </c>
      <c r="P1834" s="79">
        <v>45065.636388888888</v>
      </c>
      <c r="Q1834" s="77" t="s">
        <v>2620</v>
      </c>
      <c r="R1834" s="77">
        <v>0</v>
      </c>
      <c r="S1834" s="77">
        <v>2</v>
      </c>
      <c r="T1834" s="77">
        <v>0</v>
      </c>
      <c r="U1834" s="77">
        <v>0</v>
      </c>
      <c r="V1834" s="77">
        <v>172</v>
      </c>
      <c r="W1834" s="82" t="s">
        <v>5994</v>
      </c>
      <c r="X1834" s="80" t="str">
        <f>HYPERLINK("https://flj.com.br/noticia/vale-vale3-o-que-esperar-da-venda-divisao-de-metais-basicos")</f>
        <v>https://flj.com.br/noticia/vale-vale3-o-que-esperar-da-venda-divisao-de-metais-basicos</v>
      </c>
      <c r="Y1834" s="77" t="s">
        <v>7053</v>
      </c>
      <c r="Z1834" s="77"/>
      <c r="AA1834" s="77"/>
      <c r="AB1834" s="77"/>
      <c r="AC1834" s="82" t="s">
        <v>8232</v>
      </c>
      <c r="AD1834" s="77" t="s">
        <v>8278</v>
      </c>
      <c r="AE1834" s="80" t="str">
        <f>HYPERLINK("https://twitter.com/leiaflj/status/1659578759131824128")</f>
        <v>https://twitter.com/leiaflj/status/1659578759131824128</v>
      </c>
      <c r="AF1834" s="79">
        <v>45065.636388888888</v>
      </c>
      <c r="AG1834" s="85">
        <v>45065</v>
      </c>
      <c r="AH1834" s="82" t="s">
        <v>9947</v>
      </c>
      <c r="AI1834" s="77" t="b">
        <v>0</v>
      </c>
      <c r="AJ1834" s="77"/>
      <c r="AK1834" s="77"/>
      <c r="AL1834" s="77"/>
      <c r="AM1834" s="77"/>
      <c r="AN1834" s="77"/>
      <c r="AO1834" s="77"/>
      <c r="AP1834" s="77"/>
      <c r="AQ1834" s="77"/>
      <c r="AR1834" s="77"/>
      <c r="AS1834" s="77"/>
      <c r="AT1834" s="77"/>
      <c r="AU1834" s="77"/>
      <c r="AV1834" s="80" t="str">
        <f>HYPERLINK("https://pbs.twimg.com/profile_images/1620068456165933060/TShADQck_normal.jpg")</f>
        <v>https://pbs.twimg.com/profile_images/1620068456165933060/TShADQck_normal.jpg</v>
      </c>
      <c r="AW1834" s="82" t="s">
        <v>14925</v>
      </c>
      <c r="AX1834" s="82" t="s">
        <v>14925</v>
      </c>
      <c r="AY1834" s="77"/>
      <c r="AZ1834" s="82" t="s">
        <v>17385</v>
      </c>
      <c r="BA1834" s="82" t="s">
        <v>17385</v>
      </c>
      <c r="BB1834" s="82" t="s">
        <v>17385</v>
      </c>
      <c r="BC1834" s="82" t="s">
        <v>14925</v>
      </c>
      <c r="BD1834" s="82" t="s">
        <v>17557</v>
      </c>
      <c r="BE1834" s="77"/>
      <c r="BF1834" s="77"/>
      <c r="BG1834" s="77"/>
      <c r="BH1834" s="77"/>
      <c r="BI1834" s="77"/>
    </row>
    <row r="1835" spans="1:61" x14ac:dyDescent="0.25">
      <c r="A1835" s="62" t="s">
        <v>435</v>
      </c>
      <c r="B1835" s="62" t="s">
        <v>435</v>
      </c>
      <c r="C1835" s="63"/>
      <c r="D1835" s="64"/>
      <c r="E1835" s="65"/>
      <c r="F1835" s="66"/>
      <c r="G1835" s="63"/>
      <c r="H1835" s="67"/>
      <c r="I1835" s="68"/>
      <c r="J1835" s="68"/>
      <c r="K1835" s="32"/>
      <c r="L1835" s="75">
        <v>1835</v>
      </c>
      <c r="M1835" s="75"/>
      <c r="N1835" s="70"/>
      <c r="O1835" s="77" t="s">
        <v>179</v>
      </c>
      <c r="P1835" s="79">
        <v>45065.607974537037</v>
      </c>
      <c r="Q1835" s="77" t="s">
        <v>2621</v>
      </c>
      <c r="R1835" s="77">
        <v>0</v>
      </c>
      <c r="S1835" s="77">
        <v>0</v>
      </c>
      <c r="T1835" s="77">
        <v>0</v>
      </c>
      <c r="U1835" s="77">
        <v>0</v>
      </c>
      <c r="V1835" s="77">
        <v>119</v>
      </c>
      <c r="W1835" s="82" t="s">
        <v>5995</v>
      </c>
      <c r="X1835" s="80" t="str">
        <f>HYPERLINK("https://flj.com.br/noticia/eucatex-euca4-dispara-apos-oferta-de-empresa-da-familia-de-paulo-maluf")</f>
        <v>https://flj.com.br/noticia/eucatex-euca4-dispara-apos-oferta-de-empresa-da-familia-de-paulo-maluf</v>
      </c>
      <c r="Y1835" s="77" t="s">
        <v>7053</v>
      </c>
      <c r="Z1835" s="77"/>
      <c r="AA1835" s="77"/>
      <c r="AB1835" s="77"/>
      <c r="AC1835" s="82" t="s">
        <v>8232</v>
      </c>
      <c r="AD1835" s="77" t="s">
        <v>8278</v>
      </c>
      <c r="AE1835" s="80" t="str">
        <f>HYPERLINK("https://twitter.com/leiaflj/status/1659568461117284356")</f>
        <v>https://twitter.com/leiaflj/status/1659568461117284356</v>
      </c>
      <c r="AF1835" s="79">
        <v>45065.607974537037</v>
      </c>
      <c r="AG1835" s="85">
        <v>45065</v>
      </c>
      <c r="AH1835" s="82" t="s">
        <v>9948</v>
      </c>
      <c r="AI1835" s="77" t="b">
        <v>0</v>
      </c>
      <c r="AJ1835" s="77"/>
      <c r="AK1835" s="77"/>
      <c r="AL1835" s="77"/>
      <c r="AM1835" s="77"/>
      <c r="AN1835" s="77"/>
      <c r="AO1835" s="77"/>
      <c r="AP1835" s="77"/>
      <c r="AQ1835" s="77"/>
      <c r="AR1835" s="77"/>
      <c r="AS1835" s="77"/>
      <c r="AT1835" s="77"/>
      <c r="AU1835" s="77"/>
      <c r="AV1835" s="80" t="str">
        <f>HYPERLINK("https://pbs.twimg.com/profile_images/1620068456165933060/TShADQck_normal.jpg")</f>
        <v>https://pbs.twimg.com/profile_images/1620068456165933060/TShADQck_normal.jpg</v>
      </c>
      <c r="AW1835" s="82" t="s">
        <v>14926</v>
      </c>
      <c r="AX1835" s="82" t="s">
        <v>14926</v>
      </c>
      <c r="AY1835" s="77"/>
      <c r="AZ1835" s="82" t="s">
        <v>17385</v>
      </c>
      <c r="BA1835" s="82" t="s">
        <v>17385</v>
      </c>
      <c r="BB1835" s="82" t="s">
        <v>17385</v>
      </c>
      <c r="BC1835" s="82" t="s">
        <v>14926</v>
      </c>
      <c r="BD1835" s="82" t="s">
        <v>17557</v>
      </c>
      <c r="BE1835" s="77"/>
      <c r="BF1835" s="77"/>
      <c r="BG1835" s="77"/>
      <c r="BH1835" s="77"/>
      <c r="BI1835" s="77"/>
    </row>
    <row r="1836" spans="1:61" x14ac:dyDescent="0.25">
      <c r="A1836" s="62" t="s">
        <v>435</v>
      </c>
      <c r="B1836" s="62" t="s">
        <v>435</v>
      </c>
      <c r="C1836" s="63"/>
      <c r="D1836" s="64"/>
      <c r="E1836" s="65"/>
      <c r="F1836" s="66"/>
      <c r="G1836" s="63"/>
      <c r="H1836" s="67"/>
      <c r="I1836" s="68"/>
      <c r="J1836" s="68"/>
      <c r="K1836" s="32"/>
      <c r="L1836" s="75">
        <v>1836</v>
      </c>
      <c r="M1836" s="75"/>
      <c r="N1836" s="70"/>
      <c r="O1836" s="77" t="s">
        <v>179</v>
      </c>
      <c r="P1836" s="79">
        <v>45064.858611111114</v>
      </c>
      <c r="Q1836" s="77" t="s">
        <v>2622</v>
      </c>
      <c r="R1836" s="77">
        <v>0</v>
      </c>
      <c r="S1836" s="77">
        <v>0</v>
      </c>
      <c r="T1836" s="77">
        <v>0</v>
      </c>
      <c r="U1836" s="77">
        <v>0</v>
      </c>
      <c r="V1836" s="77">
        <v>97</v>
      </c>
      <c r="W1836" s="82" t="s">
        <v>5975</v>
      </c>
      <c r="X1836" s="80" t="str">
        <f>HYPERLINK("https://flj.com.br/noticia/ibovespa-sobe-com-expectativas-sobre-arcabouco-fiscal")</f>
        <v>https://flj.com.br/noticia/ibovespa-sobe-com-expectativas-sobre-arcabouco-fiscal</v>
      </c>
      <c r="Y1836" s="77" t="s">
        <v>7053</v>
      </c>
      <c r="Z1836" s="77"/>
      <c r="AA1836" s="77"/>
      <c r="AB1836" s="77"/>
      <c r="AC1836" s="82" t="s">
        <v>8232</v>
      </c>
      <c r="AD1836" s="77" t="s">
        <v>8278</v>
      </c>
      <c r="AE1836" s="80" t="str">
        <f>HYPERLINK("https://twitter.com/leiaflj/status/1659296902544781330")</f>
        <v>https://twitter.com/leiaflj/status/1659296902544781330</v>
      </c>
      <c r="AF1836" s="79">
        <v>45064.858611111114</v>
      </c>
      <c r="AG1836" s="85">
        <v>45064</v>
      </c>
      <c r="AH1836" s="82" t="s">
        <v>9949</v>
      </c>
      <c r="AI1836" s="77" t="b">
        <v>0</v>
      </c>
      <c r="AJ1836" s="77"/>
      <c r="AK1836" s="77"/>
      <c r="AL1836" s="77"/>
      <c r="AM1836" s="77"/>
      <c r="AN1836" s="77"/>
      <c r="AO1836" s="77"/>
      <c r="AP1836" s="77"/>
      <c r="AQ1836" s="77"/>
      <c r="AR1836" s="77"/>
      <c r="AS1836" s="77"/>
      <c r="AT1836" s="77"/>
      <c r="AU1836" s="77"/>
      <c r="AV1836" s="80" t="str">
        <f>HYPERLINK("https://pbs.twimg.com/profile_images/1620068456165933060/TShADQck_normal.jpg")</f>
        <v>https://pbs.twimg.com/profile_images/1620068456165933060/TShADQck_normal.jpg</v>
      </c>
      <c r="AW1836" s="82" t="s">
        <v>14927</v>
      </c>
      <c r="AX1836" s="82" t="s">
        <v>14927</v>
      </c>
      <c r="AY1836" s="77"/>
      <c r="AZ1836" s="82" t="s">
        <v>17385</v>
      </c>
      <c r="BA1836" s="82" t="s">
        <v>17385</v>
      </c>
      <c r="BB1836" s="82" t="s">
        <v>17385</v>
      </c>
      <c r="BC1836" s="82" t="s">
        <v>14927</v>
      </c>
      <c r="BD1836" s="82" t="s">
        <v>17557</v>
      </c>
      <c r="BE1836" s="77"/>
      <c r="BF1836" s="77"/>
      <c r="BG1836" s="77"/>
      <c r="BH1836" s="77"/>
      <c r="BI1836" s="77"/>
    </row>
    <row r="1837" spans="1:61" x14ac:dyDescent="0.25">
      <c r="A1837" s="62" t="s">
        <v>435</v>
      </c>
      <c r="B1837" s="62" t="s">
        <v>435</v>
      </c>
      <c r="C1837" s="63"/>
      <c r="D1837" s="64"/>
      <c r="E1837" s="65"/>
      <c r="F1837" s="66"/>
      <c r="G1837" s="63"/>
      <c r="H1837" s="67"/>
      <c r="I1837" s="68"/>
      <c r="J1837" s="68"/>
      <c r="K1837" s="32"/>
      <c r="L1837" s="75">
        <v>1837</v>
      </c>
      <c r="M1837" s="75"/>
      <c r="N1837" s="70"/>
      <c r="O1837" s="77" t="s">
        <v>179</v>
      </c>
      <c r="P1837" s="79">
        <v>45195.662615740737</v>
      </c>
      <c r="Q1837" s="77" t="s">
        <v>2623</v>
      </c>
      <c r="R1837" s="77">
        <v>0</v>
      </c>
      <c r="S1837" s="77">
        <v>0</v>
      </c>
      <c r="T1837" s="77">
        <v>0</v>
      </c>
      <c r="U1837" s="77">
        <v>0</v>
      </c>
      <c r="V1837" s="77">
        <v>194</v>
      </c>
      <c r="W1837" s="82" t="s">
        <v>5972</v>
      </c>
      <c r="X1837" s="80" t="str">
        <f>HYPERLINK("https://flj.com.br/noticia/ibovespa-cai-pressionado-por-vale-e-petrobras")</f>
        <v>https://flj.com.br/noticia/ibovespa-cai-pressionado-por-vale-e-petrobras</v>
      </c>
      <c r="Y1837" s="77" t="s">
        <v>7053</v>
      </c>
      <c r="Z1837" s="77"/>
      <c r="AA1837" s="77"/>
      <c r="AB1837" s="77"/>
      <c r="AC1837" s="82" t="s">
        <v>8232</v>
      </c>
      <c r="AD1837" s="77" t="s">
        <v>8278</v>
      </c>
      <c r="AE1837" s="80" t="str">
        <f>HYPERLINK("https://twitter.com/leiaflj/status/1706698684824486083")</f>
        <v>https://twitter.com/leiaflj/status/1706698684824486083</v>
      </c>
      <c r="AF1837" s="79">
        <v>45195.662615740737</v>
      </c>
      <c r="AG1837" s="85">
        <v>45195</v>
      </c>
      <c r="AH1837" s="82" t="s">
        <v>9950</v>
      </c>
      <c r="AI1837" s="77" t="b">
        <v>0</v>
      </c>
      <c r="AJ1837" s="77"/>
      <c r="AK1837" s="77"/>
      <c r="AL1837" s="77"/>
      <c r="AM1837" s="77"/>
      <c r="AN1837" s="77"/>
      <c r="AO1837" s="77"/>
      <c r="AP1837" s="77"/>
      <c r="AQ1837" s="77"/>
      <c r="AR1837" s="77"/>
      <c r="AS1837" s="77"/>
      <c r="AT1837" s="77"/>
      <c r="AU1837" s="77"/>
      <c r="AV1837" s="80" t="str">
        <f>HYPERLINK("https://pbs.twimg.com/profile_images/1620068456165933060/TShADQck_normal.jpg")</f>
        <v>https://pbs.twimg.com/profile_images/1620068456165933060/TShADQck_normal.jpg</v>
      </c>
      <c r="AW1837" s="82" t="s">
        <v>14928</v>
      </c>
      <c r="AX1837" s="82" t="s">
        <v>14928</v>
      </c>
      <c r="AY1837" s="77"/>
      <c r="AZ1837" s="82" t="s">
        <v>17385</v>
      </c>
      <c r="BA1837" s="82" t="s">
        <v>17385</v>
      </c>
      <c r="BB1837" s="82" t="s">
        <v>17385</v>
      </c>
      <c r="BC1837" s="82" t="s">
        <v>14928</v>
      </c>
      <c r="BD1837" s="82" t="s">
        <v>17557</v>
      </c>
      <c r="BE1837" s="77"/>
      <c r="BF1837" s="77"/>
      <c r="BG1837" s="77"/>
      <c r="BH1837" s="77"/>
      <c r="BI1837" s="77"/>
    </row>
    <row r="1838" spans="1:61" x14ac:dyDescent="0.25">
      <c r="A1838" s="62" t="s">
        <v>435</v>
      </c>
      <c r="B1838" s="62" t="s">
        <v>435</v>
      </c>
      <c r="C1838" s="63"/>
      <c r="D1838" s="64"/>
      <c r="E1838" s="65"/>
      <c r="F1838" s="66"/>
      <c r="G1838" s="63"/>
      <c r="H1838" s="67"/>
      <c r="I1838" s="68"/>
      <c r="J1838" s="68"/>
      <c r="K1838" s="32"/>
      <c r="L1838" s="75">
        <v>1838</v>
      </c>
      <c r="M1838" s="75"/>
      <c r="N1838" s="70"/>
      <c r="O1838" s="77" t="s">
        <v>179</v>
      </c>
      <c r="P1838" s="79">
        <v>45194.689409722225</v>
      </c>
      <c r="Q1838" s="77" t="s">
        <v>2624</v>
      </c>
      <c r="R1838" s="77">
        <v>0</v>
      </c>
      <c r="S1838" s="77">
        <v>0</v>
      </c>
      <c r="T1838" s="77">
        <v>0</v>
      </c>
      <c r="U1838" s="77">
        <v>0</v>
      </c>
      <c r="V1838" s="77">
        <v>101</v>
      </c>
      <c r="W1838" s="82" t="s">
        <v>5996</v>
      </c>
      <c r="X1838" s="80" t="str">
        <f>HYPERLINK("https://flj.com.br/noticia/renda-fixa-continua-atrativa-ou-investidor-deve-migrar-para-acoes")</f>
        <v>https://flj.com.br/noticia/renda-fixa-continua-atrativa-ou-investidor-deve-migrar-para-acoes</v>
      </c>
      <c r="Y1838" s="77" t="s">
        <v>7053</v>
      </c>
      <c r="Z1838" s="77"/>
      <c r="AA1838" s="77"/>
      <c r="AB1838" s="77"/>
      <c r="AC1838" s="82" t="s">
        <v>8232</v>
      </c>
      <c r="AD1838" s="77" t="s">
        <v>8278</v>
      </c>
      <c r="AE1838" s="80" t="str">
        <f>HYPERLINK("https://twitter.com/leiaflj/status/1706346008064520619")</f>
        <v>https://twitter.com/leiaflj/status/1706346008064520619</v>
      </c>
      <c r="AF1838" s="79">
        <v>45194.689409722225</v>
      </c>
      <c r="AG1838" s="85">
        <v>45194</v>
      </c>
      <c r="AH1838" s="82" t="s">
        <v>9951</v>
      </c>
      <c r="AI1838" s="77" t="b">
        <v>0</v>
      </c>
      <c r="AJ1838" s="77"/>
      <c r="AK1838" s="77"/>
      <c r="AL1838" s="77"/>
      <c r="AM1838" s="77"/>
      <c r="AN1838" s="77"/>
      <c r="AO1838" s="77"/>
      <c r="AP1838" s="77"/>
      <c r="AQ1838" s="77"/>
      <c r="AR1838" s="77"/>
      <c r="AS1838" s="77"/>
      <c r="AT1838" s="77"/>
      <c r="AU1838" s="77"/>
      <c r="AV1838" s="80" t="str">
        <f>HYPERLINK("https://pbs.twimg.com/profile_images/1620068456165933060/TShADQck_normal.jpg")</f>
        <v>https://pbs.twimg.com/profile_images/1620068456165933060/TShADQck_normal.jpg</v>
      </c>
      <c r="AW1838" s="82" t="s">
        <v>14929</v>
      </c>
      <c r="AX1838" s="82" t="s">
        <v>14929</v>
      </c>
      <c r="AY1838" s="77"/>
      <c r="AZ1838" s="82" t="s">
        <v>17385</v>
      </c>
      <c r="BA1838" s="82" t="s">
        <v>17385</v>
      </c>
      <c r="BB1838" s="82" t="s">
        <v>17385</v>
      </c>
      <c r="BC1838" s="82" t="s">
        <v>14929</v>
      </c>
      <c r="BD1838" s="82" t="s">
        <v>17557</v>
      </c>
      <c r="BE1838" s="77"/>
      <c r="BF1838" s="77"/>
      <c r="BG1838" s="77"/>
      <c r="BH1838" s="77"/>
      <c r="BI1838" s="77"/>
    </row>
    <row r="1839" spans="1:61" x14ac:dyDescent="0.25">
      <c r="A1839" s="62" t="s">
        <v>435</v>
      </c>
      <c r="B1839" s="62" t="s">
        <v>435</v>
      </c>
      <c r="C1839" s="63"/>
      <c r="D1839" s="64"/>
      <c r="E1839" s="65"/>
      <c r="F1839" s="66"/>
      <c r="G1839" s="63"/>
      <c r="H1839" s="67"/>
      <c r="I1839" s="68"/>
      <c r="J1839" s="68"/>
      <c r="K1839" s="32"/>
      <c r="L1839" s="75">
        <v>1839</v>
      </c>
      <c r="M1839" s="75"/>
      <c r="N1839" s="70"/>
      <c r="O1839" s="77" t="s">
        <v>179</v>
      </c>
      <c r="P1839" s="79">
        <v>45194.601805555554</v>
      </c>
      <c r="Q1839" s="77" t="s">
        <v>2625</v>
      </c>
      <c r="R1839" s="77">
        <v>0</v>
      </c>
      <c r="S1839" s="77">
        <v>1</v>
      </c>
      <c r="T1839" s="77">
        <v>0</v>
      </c>
      <c r="U1839" s="77">
        <v>0</v>
      </c>
      <c r="V1839" s="77">
        <v>93</v>
      </c>
      <c r="W1839" s="82" t="s">
        <v>5997</v>
      </c>
      <c r="X1839" s="80" t="str">
        <f>HYPERLINK("https://flj.com.br/noticia/ibovespa-cai-puxado-por-vale-com-preocupacoes-sobre-a-economia-chinesa")</f>
        <v>https://flj.com.br/noticia/ibovespa-cai-puxado-por-vale-com-preocupacoes-sobre-a-economia-chinesa</v>
      </c>
      <c r="Y1839" s="77" t="s">
        <v>7053</v>
      </c>
      <c r="Z1839" s="77"/>
      <c r="AA1839" s="77"/>
      <c r="AB1839" s="77"/>
      <c r="AC1839" s="82" t="s">
        <v>8232</v>
      </c>
      <c r="AD1839" s="77" t="s">
        <v>8278</v>
      </c>
      <c r="AE1839" s="80" t="str">
        <f>HYPERLINK("https://twitter.com/leiaflj/status/1706314262660968503")</f>
        <v>https://twitter.com/leiaflj/status/1706314262660968503</v>
      </c>
      <c r="AF1839" s="79">
        <v>45194.601805555554</v>
      </c>
      <c r="AG1839" s="85">
        <v>45194</v>
      </c>
      <c r="AH1839" s="82" t="s">
        <v>9952</v>
      </c>
      <c r="AI1839" s="77" t="b">
        <v>0</v>
      </c>
      <c r="AJ1839" s="77"/>
      <c r="AK1839" s="77"/>
      <c r="AL1839" s="77"/>
      <c r="AM1839" s="77"/>
      <c r="AN1839" s="77"/>
      <c r="AO1839" s="77"/>
      <c r="AP1839" s="77"/>
      <c r="AQ1839" s="77"/>
      <c r="AR1839" s="77"/>
      <c r="AS1839" s="77"/>
      <c r="AT1839" s="77"/>
      <c r="AU1839" s="77"/>
      <c r="AV1839" s="80" t="str">
        <f>HYPERLINK("https://pbs.twimg.com/profile_images/1620068456165933060/TShADQck_normal.jpg")</f>
        <v>https://pbs.twimg.com/profile_images/1620068456165933060/TShADQck_normal.jpg</v>
      </c>
      <c r="AW1839" s="82" t="s">
        <v>14930</v>
      </c>
      <c r="AX1839" s="82" t="s">
        <v>14930</v>
      </c>
      <c r="AY1839" s="77"/>
      <c r="AZ1839" s="82" t="s">
        <v>17385</v>
      </c>
      <c r="BA1839" s="82" t="s">
        <v>17385</v>
      </c>
      <c r="BB1839" s="82" t="s">
        <v>17385</v>
      </c>
      <c r="BC1839" s="82" t="s">
        <v>14930</v>
      </c>
      <c r="BD1839" s="82" t="s">
        <v>17557</v>
      </c>
      <c r="BE1839" s="77"/>
      <c r="BF1839" s="77"/>
      <c r="BG1839" s="77"/>
      <c r="BH1839" s="77"/>
      <c r="BI1839" s="77"/>
    </row>
    <row r="1840" spans="1:61" x14ac:dyDescent="0.25">
      <c r="A1840" s="62" t="s">
        <v>435</v>
      </c>
      <c r="B1840" s="62" t="s">
        <v>435</v>
      </c>
      <c r="C1840" s="63"/>
      <c r="D1840" s="64"/>
      <c r="E1840" s="65"/>
      <c r="F1840" s="66"/>
      <c r="G1840" s="63"/>
      <c r="H1840" s="67"/>
      <c r="I1840" s="68"/>
      <c r="J1840" s="68"/>
      <c r="K1840" s="32"/>
      <c r="L1840" s="75">
        <v>1840</v>
      </c>
      <c r="M1840" s="75"/>
      <c r="N1840" s="70"/>
      <c r="O1840" s="77" t="s">
        <v>179</v>
      </c>
      <c r="P1840" s="79">
        <v>45172.500023148146</v>
      </c>
      <c r="Q1840" s="77" t="s">
        <v>2626</v>
      </c>
      <c r="R1840" s="77">
        <v>1</v>
      </c>
      <c r="S1840" s="77">
        <v>2</v>
      </c>
      <c r="T1840" s="77">
        <v>0</v>
      </c>
      <c r="U1840" s="77">
        <v>0</v>
      </c>
      <c r="V1840" s="77">
        <v>168</v>
      </c>
      <c r="W1840" s="82" t="s">
        <v>5907</v>
      </c>
      <c r="X1840" s="80" t="str">
        <f>HYPERLINK("https://flj.com.br/")</f>
        <v>https://flj.com.br/</v>
      </c>
      <c r="Y1840" s="77" t="s">
        <v>7053</v>
      </c>
      <c r="Z1840" s="77"/>
      <c r="AA1840" s="77" t="s">
        <v>7904</v>
      </c>
      <c r="AB1840" s="77" t="s">
        <v>8229</v>
      </c>
      <c r="AC1840" s="82" t="s">
        <v>8232</v>
      </c>
      <c r="AD1840" s="77" t="s">
        <v>8278</v>
      </c>
      <c r="AE1840" s="80" t="str">
        <f>HYPERLINK("https://twitter.com/leiaflj/status/1698304845327868052")</f>
        <v>https://twitter.com/leiaflj/status/1698304845327868052</v>
      </c>
      <c r="AF1840" s="79">
        <v>45172.500023148146</v>
      </c>
      <c r="AG1840" s="85">
        <v>45172</v>
      </c>
      <c r="AH1840" s="82" t="s">
        <v>8594</v>
      </c>
      <c r="AI1840" s="77" t="b">
        <v>0</v>
      </c>
      <c r="AJ1840" s="77"/>
      <c r="AK1840" s="77"/>
      <c r="AL1840" s="77"/>
      <c r="AM1840" s="77"/>
      <c r="AN1840" s="77"/>
      <c r="AO1840" s="77"/>
      <c r="AP1840" s="77"/>
      <c r="AQ1840" s="77" t="s">
        <v>12789</v>
      </c>
      <c r="AR1840" s="77"/>
      <c r="AS1840" s="77"/>
      <c r="AT1840" s="77"/>
      <c r="AU1840" s="77"/>
      <c r="AV1840" s="80" t="str">
        <f>HYPERLINK("https://pbs.twimg.com/media/F49jO2xWEAA54uO.jpg")</f>
        <v>https://pbs.twimg.com/media/F49jO2xWEAA54uO.jpg</v>
      </c>
      <c r="AW1840" s="82" t="s">
        <v>14931</v>
      </c>
      <c r="AX1840" s="82" t="s">
        <v>14931</v>
      </c>
      <c r="AY1840" s="77"/>
      <c r="AZ1840" s="82" t="s">
        <v>17385</v>
      </c>
      <c r="BA1840" s="82" t="s">
        <v>17385</v>
      </c>
      <c r="BB1840" s="82" t="s">
        <v>17385</v>
      </c>
      <c r="BC1840" s="82" t="s">
        <v>14931</v>
      </c>
      <c r="BD1840" s="82" t="s">
        <v>17557</v>
      </c>
      <c r="BE1840" s="77"/>
      <c r="BF1840" s="77"/>
      <c r="BG1840" s="77"/>
      <c r="BH1840" s="77"/>
      <c r="BI1840" s="77"/>
    </row>
    <row r="1841" spans="1:61" x14ac:dyDescent="0.25">
      <c r="A1841" s="62" t="s">
        <v>435</v>
      </c>
      <c r="B1841" s="62" t="s">
        <v>435</v>
      </c>
      <c r="C1841" s="63"/>
      <c r="D1841" s="64"/>
      <c r="E1841" s="65"/>
      <c r="F1841" s="66"/>
      <c r="G1841" s="63"/>
      <c r="H1841" s="67"/>
      <c r="I1841" s="68"/>
      <c r="J1841" s="68"/>
      <c r="K1841" s="32"/>
      <c r="L1841" s="75">
        <v>1841</v>
      </c>
      <c r="M1841" s="75"/>
      <c r="N1841" s="70"/>
      <c r="O1841" s="77" t="s">
        <v>179</v>
      </c>
      <c r="P1841" s="79">
        <v>45161.466354166667</v>
      </c>
      <c r="Q1841" s="77" t="s">
        <v>2627</v>
      </c>
      <c r="R1841" s="77">
        <v>0</v>
      </c>
      <c r="S1841" s="77">
        <v>1</v>
      </c>
      <c r="T1841" s="77">
        <v>0</v>
      </c>
      <c r="U1841" s="77">
        <v>0</v>
      </c>
      <c r="V1841" s="77">
        <v>149</v>
      </c>
      <c r="W1841" s="82" t="s">
        <v>5918</v>
      </c>
      <c r="X1841" s="80" t="str">
        <f>HYPERLINK("https://flj.com.br/noticia/abertura-mover-mercados-sobem-de-olho-em-pmis-e-a-espera-de-balanco-da-nvidia-no-brasil-foco-na-cena-politica")</f>
        <v>https://flj.com.br/noticia/abertura-mover-mercados-sobem-de-olho-em-pmis-e-a-espera-de-balanco-da-nvidia-no-brasil-foco-na-cena-politica</v>
      </c>
      <c r="Y1841" s="77" t="s">
        <v>7053</v>
      </c>
      <c r="Z1841" s="77"/>
      <c r="AA1841" s="77"/>
      <c r="AB1841" s="77"/>
      <c r="AC1841" s="82" t="s">
        <v>8232</v>
      </c>
      <c r="AD1841" s="77" t="s">
        <v>8278</v>
      </c>
      <c r="AE1841" s="80" t="str">
        <f>HYPERLINK("https://twitter.com/leiaflj/status/1694306377991098591")</f>
        <v>https://twitter.com/leiaflj/status/1694306377991098591</v>
      </c>
      <c r="AF1841" s="79">
        <v>45161.466354166667</v>
      </c>
      <c r="AG1841" s="85">
        <v>45161</v>
      </c>
      <c r="AH1841" s="82" t="s">
        <v>9953</v>
      </c>
      <c r="AI1841" s="77" t="b">
        <v>0</v>
      </c>
      <c r="AJ1841" s="77"/>
      <c r="AK1841" s="77"/>
      <c r="AL1841" s="77"/>
      <c r="AM1841" s="77"/>
      <c r="AN1841" s="77"/>
      <c r="AO1841" s="77"/>
      <c r="AP1841" s="77"/>
      <c r="AQ1841" s="77"/>
      <c r="AR1841" s="77"/>
      <c r="AS1841" s="77"/>
      <c r="AT1841" s="77"/>
      <c r="AU1841" s="77"/>
      <c r="AV1841" s="80" t="str">
        <f>HYPERLINK("https://pbs.twimg.com/profile_images/1620068456165933060/TShADQck_normal.jpg")</f>
        <v>https://pbs.twimg.com/profile_images/1620068456165933060/TShADQck_normal.jpg</v>
      </c>
      <c r="AW1841" s="82" t="s">
        <v>14932</v>
      </c>
      <c r="AX1841" s="82" t="s">
        <v>14932</v>
      </c>
      <c r="AY1841" s="77"/>
      <c r="AZ1841" s="82" t="s">
        <v>17385</v>
      </c>
      <c r="BA1841" s="82" t="s">
        <v>17385</v>
      </c>
      <c r="BB1841" s="82" t="s">
        <v>17385</v>
      </c>
      <c r="BC1841" s="82" t="s">
        <v>14932</v>
      </c>
      <c r="BD1841" s="82" t="s">
        <v>17557</v>
      </c>
      <c r="BE1841" s="77"/>
      <c r="BF1841" s="77"/>
      <c r="BG1841" s="77"/>
      <c r="BH1841" s="77"/>
      <c r="BI1841" s="77"/>
    </row>
    <row r="1842" spans="1:61" x14ac:dyDescent="0.25">
      <c r="A1842" s="62" t="s">
        <v>435</v>
      </c>
      <c r="B1842" s="62" t="s">
        <v>435</v>
      </c>
      <c r="C1842" s="63"/>
      <c r="D1842" s="64"/>
      <c r="E1842" s="65"/>
      <c r="F1842" s="66"/>
      <c r="G1842" s="63"/>
      <c r="H1842" s="67"/>
      <c r="I1842" s="68"/>
      <c r="J1842" s="68"/>
      <c r="K1842" s="32"/>
      <c r="L1842" s="75">
        <v>1842</v>
      </c>
      <c r="M1842" s="75"/>
      <c r="N1842" s="70"/>
      <c r="O1842" s="77" t="s">
        <v>179</v>
      </c>
      <c r="P1842" s="79">
        <v>45154.578518518516</v>
      </c>
      <c r="Q1842" s="77" t="s">
        <v>2628</v>
      </c>
      <c r="R1842" s="77">
        <v>0</v>
      </c>
      <c r="S1842" s="77">
        <v>1</v>
      </c>
      <c r="T1842" s="77">
        <v>1</v>
      </c>
      <c r="U1842" s="77">
        <v>0</v>
      </c>
      <c r="V1842" s="77">
        <v>96</v>
      </c>
      <c r="W1842" s="82" t="s">
        <v>5909</v>
      </c>
      <c r="X1842" s="80" t="str">
        <f>HYPERLINK("https://flj.com.br/noticia/abertura-ibovespa-tem-leve-alta-a-espera-de-ata-do-fomc-em-dia-de-vencimento-de-opcoes")</f>
        <v>https://flj.com.br/noticia/abertura-ibovespa-tem-leve-alta-a-espera-de-ata-do-fomc-em-dia-de-vencimento-de-opcoes</v>
      </c>
      <c r="Y1842" s="77" t="s">
        <v>7053</v>
      </c>
      <c r="Z1842" s="77"/>
      <c r="AA1842" s="77"/>
      <c r="AB1842" s="77"/>
      <c r="AC1842" s="82" t="s">
        <v>8232</v>
      </c>
      <c r="AD1842" s="77" t="s">
        <v>8278</v>
      </c>
      <c r="AE1842" s="80" t="str">
        <f>HYPERLINK("https://twitter.com/leiaflj/status/1691810310020039131")</f>
        <v>https://twitter.com/leiaflj/status/1691810310020039131</v>
      </c>
      <c r="AF1842" s="79">
        <v>45154.578518518516</v>
      </c>
      <c r="AG1842" s="85">
        <v>45154</v>
      </c>
      <c r="AH1842" s="82" t="s">
        <v>9954</v>
      </c>
      <c r="AI1842" s="77" t="b">
        <v>0</v>
      </c>
      <c r="AJ1842" s="77"/>
      <c r="AK1842" s="77"/>
      <c r="AL1842" s="77"/>
      <c r="AM1842" s="77"/>
      <c r="AN1842" s="77"/>
      <c r="AO1842" s="77"/>
      <c r="AP1842" s="77"/>
      <c r="AQ1842" s="77"/>
      <c r="AR1842" s="77"/>
      <c r="AS1842" s="77"/>
      <c r="AT1842" s="77"/>
      <c r="AU1842" s="77"/>
      <c r="AV1842" s="80" t="str">
        <f>HYPERLINK("https://pbs.twimg.com/profile_images/1620068456165933060/TShADQck_normal.jpg")</f>
        <v>https://pbs.twimg.com/profile_images/1620068456165933060/TShADQck_normal.jpg</v>
      </c>
      <c r="AW1842" s="82" t="s">
        <v>14933</v>
      </c>
      <c r="AX1842" s="82" t="s">
        <v>14933</v>
      </c>
      <c r="AY1842" s="77"/>
      <c r="AZ1842" s="82" t="s">
        <v>17385</v>
      </c>
      <c r="BA1842" s="82" t="s">
        <v>17385</v>
      </c>
      <c r="BB1842" s="82" t="s">
        <v>17385</v>
      </c>
      <c r="BC1842" s="82" t="s">
        <v>14933</v>
      </c>
      <c r="BD1842" s="82" t="s">
        <v>17557</v>
      </c>
      <c r="BE1842" s="77"/>
      <c r="BF1842" s="77"/>
      <c r="BG1842" s="77"/>
      <c r="BH1842" s="77"/>
      <c r="BI1842" s="77"/>
    </row>
    <row r="1843" spans="1:61" x14ac:dyDescent="0.25">
      <c r="A1843" s="62" t="s">
        <v>435</v>
      </c>
      <c r="B1843" s="62" t="s">
        <v>435</v>
      </c>
      <c r="C1843" s="63"/>
      <c r="D1843" s="64"/>
      <c r="E1843" s="65"/>
      <c r="F1843" s="66"/>
      <c r="G1843" s="63"/>
      <c r="H1843" s="67"/>
      <c r="I1843" s="68"/>
      <c r="J1843" s="68"/>
      <c r="K1843" s="32"/>
      <c r="L1843" s="75">
        <v>1843</v>
      </c>
      <c r="M1843" s="75"/>
      <c r="N1843" s="70"/>
      <c r="O1843" s="77" t="s">
        <v>179</v>
      </c>
      <c r="P1843" s="79">
        <v>45154.476539351854</v>
      </c>
      <c r="Q1843" s="77" t="s">
        <v>2629</v>
      </c>
      <c r="R1843" s="77">
        <v>0</v>
      </c>
      <c r="S1843" s="77">
        <v>1</v>
      </c>
      <c r="T1843" s="77">
        <v>0</v>
      </c>
      <c r="U1843" s="77">
        <v>0</v>
      </c>
      <c r="V1843" s="77">
        <v>100</v>
      </c>
      <c r="W1843" s="82" t="s">
        <v>5998</v>
      </c>
      <c r="X1843" s="80" t="str">
        <f>HYPERLINK("https://flj.com.br/noticia/abertura-mover-mercados-operam-sem-direcao-unica-a-espera-de-ata-do-fed-campos-neto-no-radar")</f>
        <v>https://flj.com.br/noticia/abertura-mover-mercados-operam-sem-direcao-unica-a-espera-de-ata-do-fed-campos-neto-no-radar</v>
      </c>
      <c r="Y1843" s="77" t="s">
        <v>7053</v>
      </c>
      <c r="Z1843" s="77"/>
      <c r="AA1843" s="77"/>
      <c r="AB1843" s="77"/>
      <c r="AC1843" s="82" t="s">
        <v>8232</v>
      </c>
      <c r="AD1843" s="77" t="s">
        <v>8278</v>
      </c>
      <c r="AE1843" s="80" t="str">
        <f>HYPERLINK("https://twitter.com/leiaflj/status/1691773353411965081")</f>
        <v>https://twitter.com/leiaflj/status/1691773353411965081</v>
      </c>
      <c r="AF1843" s="79">
        <v>45154.476539351854</v>
      </c>
      <c r="AG1843" s="85">
        <v>45154</v>
      </c>
      <c r="AH1843" s="82" t="s">
        <v>9955</v>
      </c>
      <c r="AI1843" s="77" t="b">
        <v>0</v>
      </c>
      <c r="AJ1843" s="77"/>
      <c r="AK1843" s="77"/>
      <c r="AL1843" s="77"/>
      <c r="AM1843" s="77"/>
      <c r="AN1843" s="77"/>
      <c r="AO1843" s="77"/>
      <c r="AP1843" s="77"/>
      <c r="AQ1843" s="77"/>
      <c r="AR1843" s="77"/>
      <c r="AS1843" s="77"/>
      <c r="AT1843" s="77"/>
      <c r="AU1843" s="77"/>
      <c r="AV1843" s="80" t="str">
        <f>HYPERLINK("https://pbs.twimg.com/profile_images/1620068456165933060/TShADQck_normal.jpg")</f>
        <v>https://pbs.twimg.com/profile_images/1620068456165933060/TShADQck_normal.jpg</v>
      </c>
      <c r="AW1843" s="82" t="s">
        <v>14934</v>
      </c>
      <c r="AX1843" s="82" t="s">
        <v>14934</v>
      </c>
      <c r="AY1843" s="77"/>
      <c r="AZ1843" s="82" t="s">
        <v>17385</v>
      </c>
      <c r="BA1843" s="82" t="s">
        <v>17385</v>
      </c>
      <c r="BB1843" s="82" t="s">
        <v>17385</v>
      </c>
      <c r="BC1843" s="82" t="s">
        <v>14934</v>
      </c>
      <c r="BD1843" s="82" t="s">
        <v>17557</v>
      </c>
      <c r="BE1843" s="77"/>
      <c r="BF1843" s="77"/>
      <c r="BG1843" s="77"/>
      <c r="BH1843" s="77"/>
      <c r="BI1843" s="77"/>
    </row>
    <row r="1844" spans="1:61" x14ac:dyDescent="0.25">
      <c r="A1844" s="62" t="s">
        <v>435</v>
      </c>
      <c r="B1844" s="62" t="s">
        <v>435</v>
      </c>
      <c r="C1844" s="63"/>
      <c r="D1844" s="64"/>
      <c r="E1844" s="65"/>
      <c r="F1844" s="66"/>
      <c r="G1844" s="63"/>
      <c r="H1844" s="67"/>
      <c r="I1844" s="68"/>
      <c r="J1844" s="68"/>
      <c r="K1844" s="32"/>
      <c r="L1844" s="75">
        <v>1844</v>
      </c>
      <c r="M1844" s="75"/>
      <c r="N1844" s="70"/>
      <c r="O1844" s="77" t="s">
        <v>179</v>
      </c>
      <c r="P1844" s="79">
        <v>45141.77175925926</v>
      </c>
      <c r="Q1844" s="77" t="s">
        <v>2630</v>
      </c>
      <c r="R1844" s="77">
        <v>0</v>
      </c>
      <c r="S1844" s="77">
        <v>1</v>
      </c>
      <c r="T1844" s="77">
        <v>0</v>
      </c>
      <c r="U1844" s="77">
        <v>0</v>
      </c>
      <c r="V1844" s="77">
        <v>115</v>
      </c>
      <c r="W1844" s="82" t="s">
        <v>5999</v>
      </c>
      <c r="X1844" s="80" t="str">
        <f>HYPERLINK("https://flj.com.br/noticia/tenda-tend3-dispara-9-apos-resultado-empresa-conseguiu-virar-a-pagina")</f>
        <v>https://flj.com.br/noticia/tenda-tend3-dispara-9-apos-resultado-empresa-conseguiu-virar-a-pagina</v>
      </c>
      <c r="Y1844" s="77" t="s">
        <v>7053</v>
      </c>
      <c r="Z1844" s="77"/>
      <c r="AA1844" s="77"/>
      <c r="AB1844" s="77"/>
      <c r="AC1844" s="82" t="s">
        <v>8232</v>
      </c>
      <c r="AD1844" s="77" t="s">
        <v>8278</v>
      </c>
      <c r="AE1844" s="80" t="str">
        <f>HYPERLINK("https://twitter.com/leiaflj/status/1687169295564840960")</f>
        <v>https://twitter.com/leiaflj/status/1687169295564840960</v>
      </c>
      <c r="AF1844" s="79">
        <v>45141.77175925926</v>
      </c>
      <c r="AG1844" s="85">
        <v>45141</v>
      </c>
      <c r="AH1844" s="82" t="s">
        <v>9956</v>
      </c>
      <c r="AI1844" s="77" t="b">
        <v>0</v>
      </c>
      <c r="AJ1844" s="77"/>
      <c r="AK1844" s="77"/>
      <c r="AL1844" s="77"/>
      <c r="AM1844" s="77"/>
      <c r="AN1844" s="77"/>
      <c r="AO1844" s="77"/>
      <c r="AP1844" s="77"/>
      <c r="AQ1844" s="77"/>
      <c r="AR1844" s="77"/>
      <c r="AS1844" s="77"/>
      <c r="AT1844" s="77"/>
      <c r="AU1844" s="77"/>
      <c r="AV1844" s="80" t="str">
        <f>HYPERLINK("https://pbs.twimg.com/profile_images/1620068456165933060/TShADQck_normal.jpg")</f>
        <v>https://pbs.twimg.com/profile_images/1620068456165933060/TShADQck_normal.jpg</v>
      </c>
      <c r="AW1844" s="82" t="s">
        <v>14935</v>
      </c>
      <c r="AX1844" s="82" t="s">
        <v>14935</v>
      </c>
      <c r="AY1844" s="77"/>
      <c r="AZ1844" s="82" t="s">
        <v>17385</v>
      </c>
      <c r="BA1844" s="82" t="s">
        <v>17385</v>
      </c>
      <c r="BB1844" s="82" t="s">
        <v>17385</v>
      </c>
      <c r="BC1844" s="82" t="s">
        <v>14935</v>
      </c>
      <c r="BD1844" s="82" t="s">
        <v>17557</v>
      </c>
      <c r="BE1844" s="77"/>
      <c r="BF1844" s="77"/>
      <c r="BG1844" s="77"/>
      <c r="BH1844" s="77"/>
      <c r="BI1844" s="77"/>
    </row>
    <row r="1845" spans="1:61" x14ac:dyDescent="0.25">
      <c r="A1845" s="62" t="s">
        <v>435</v>
      </c>
      <c r="B1845" s="62" t="s">
        <v>435</v>
      </c>
      <c r="C1845" s="63"/>
      <c r="D1845" s="64"/>
      <c r="E1845" s="65"/>
      <c r="F1845" s="66"/>
      <c r="G1845" s="63"/>
      <c r="H1845" s="67"/>
      <c r="I1845" s="68"/>
      <c r="J1845" s="68"/>
      <c r="K1845" s="32"/>
      <c r="L1845" s="75">
        <v>1845</v>
      </c>
      <c r="M1845" s="75"/>
      <c r="N1845" s="70"/>
      <c r="O1845" s="77" t="s">
        <v>179</v>
      </c>
      <c r="P1845" s="79">
        <v>45141.464537037034</v>
      </c>
      <c r="Q1845" s="77" t="s">
        <v>2631</v>
      </c>
      <c r="R1845" s="77">
        <v>1</v>
      </c>
      <c r="S1845" s="77">
        <v>1</v>
      </c>
      <c r="T1845" s="77">
        <v>0</v>
      </c>
      <c r="U1845" s="77">
        <v>0</v>
      </c>
      <c r="V1845" s="77">
        <v>210</v>
      </c>
      <c r="W1845" s="82" t="s">
        <v>6000</v>
      </c>
      <c r="X1845" s="80" t="str">
        <f>HYPERLINK("https://flj.com.br/noticia/prio-proi3-acao-pode-subir-21-5-apos-resultados-de-qualidade-diz-analista")</f>
        <v>https://flj.com.br/noticia/prio-proi3-acao-pode-subir-21-5-apos-resultados-de-qualidade-diz-analista</v>
      </c>
      <c r="Y1845" s="77" t="s">
        <v>7053</v>
      </c>
      <c r="Z1845" s="77"/>
      <c r="AA1845" s="77"/>
      <c r="AB1845" s="77"/>
      <c r="AC1845" s="82" t="s">
        <v>8232</v>
      </c>
      <c r="AD1845" s="77" t="s">
        <v>8278</v>
      </c>
      <c r="AE1845" s="80" t="str">
        <f>HYPERLINK("https://twitter.com/leiaflj/status/1687057960638242822")</f>
        <v>https://twitter.com/leiaflj/status/1687057960638242822</v>
      </c>
      <c r="AF1845" s="79">
        <v>45141.464537037034</v>
      </c>
      <c r="AG1845" s="85">
        <v>45141</v>
      </c>
      <c r="AH1845" s="82" t="s">
        <v>9957</v>
      </c>
      <c r="AI1845" s="77" t="b">
        <v>0</v>
      </c>
      <c r="AJ1845" s="77"/>
      <c r="AK1845" s="77"/>
      <c r="AL1845" s="77"/>
      <c r="AM1845" s="77"/>
      <c r="AN1845" s="77"/>
      <c r="AO1845" s="77"/>
      <c r="AP1845" s="77"/>
      <c r="AQ1845" s="77"/>
      <c r="AR1845" s="77"/>
      <c r="AS1845" s="77"/>
      <c r="AT1845" s="77"/>
      <c r="AU1845" s="77"/>
      <c r="AV1845" s="80" t="str">
        <f>HYPERLINK("https://pbs.twimg.com/profile_images/1620068456165933060/TShADQck_normal.jpg")</f>
        <v>https://pbs.twimg.com/profile_images/1620068456165933060/TShADQck_normal.jpg</v>
      </c>
      <c r="AW1845" s="82" t="s">
        <v>14936</v>
      </c>
      <c r="AX1845" s="82" t="s">
        <v>14936</v>
      </c>
      <c r="AY1845" s="77"/>
      <c r="AZ1845" s="82" t="s">
        <v>17385</v>
      </c>
      <c r="BA1845" s="82" t="s">
        <v>17385</v>
      </c>
      <c r="BB1845" s="82" t="s">
        <v>17385</v>
      </c>
      <c r="BC1845" s="82" t="s">
        <v>14936</v>
      </c>
      <c r="BD1845" s="82" t="s">
        <v>17557</v>
      </c>
      <c r="BE1845" s="77"/>
      <c r="BF1845" s="77"/>
      <c r="BG1845" s="77"/>
      <c r="BH1845" s="77"/>
      <c r="BI1845" s="77"/>
    </row>
    <row r="1846" spans="1:61" x14ac:dyDescent="0.25">
      <c r="A1846" s="62" t="s">
        <v>435</v>
      </c>
      <c r="B1846" s="62" t="s">
        <v>435</v>
      </c>
      <c r="C1846" s="63"/>
      <c r="D1846" s="64"/>
      <c r="E1846" s="65"/>
      <c r="F1846" s="66"/>
      <c r="G1846" s="63"/>
      <c r="H1846" s="67"/>
      <c r="I1846" s="68"/>
      <c r="J1846" s="68"/>
      <c r="K1846" s="32"/>
      <c r="L1846" s="75">
        <v>1846</v>
      </c>
      <c r="M1846" s="75"/>
      <c r="N1846" s="70"/>
      <c r="O1846" s="77" t="s">
        <v>179</v>
      </c>
      <c r="P1846" s="79">
        <v>45131.6719212963</v>
      </c>
      <c r="Q1846" s="77" t="s">
        <v>2632</v>
      </c>
      <c r="R1846" s="77">
        <v>0</v>
      </c>
      <c r="S1846" s="77">
        <v>0</v>
      </c>
      <c r="T1846" s="77">
        <v>0</v>
      </c>
      <c r="U1846" s="77">
        <v>0</v>
      </c>
      <c r="V1846" s="77">
        <v>141</v>
      </c>
      <c r="W1846" s="82" t="s">
        <v>6001</v>
      </c>
      <c r="X1846" s="80" t="str">
        <f>HYPERLINK("https://flj.com.br/noticia/bolsas-sobem-com-expectativa-para-decisao-de-juros-nos-eua-e-europa")</f>
        <v>https://flj.com.br/noticia/bolsas-sobem-com-expectativa-para-decisao-de-juros-nos-eua-e-europa</v>
      </c>
      <c r="Y1846" s="77" t="s">
        <v>7053</v>
      </c>
      <c r="Z1846" s="77"/>
      <c r="AA1846" s="77"/>
      <c r="AB1846" s="77"/>
      <c r="AC1846" s="82" t="s">
        <v>8232</v>
      </c>
      <c r="AD1846" s="77" t="s">
        <v>8278</v>
      </c>
      <c r="AE1846" s="80" t="str">
        <f>HYPERLINK("https://twitter.com/leiaflj/status/1683509233772265474")</f>
        <v>https://twitter.com/leiaflj/status/1683509233772265474</v>
      </c>
      <c r="AF1846" s="79">
        <v>45131.6719212963</v>
      </c>
      <c r="AG1846" s="85">
        <v>45131</v>
      </c>
      <c r="AH1846" s="82" t="s">
        <v>9958</v>
      </c>
      <c r="AI1846" s="77" t="b">
        <v>0</v>
      </c>
      <c r="AJ1846" s="77"/>
      <c r="AK1846" s="77"/>
      <c r="AL1846" s="77"/>
      <c r="AM1846" s="77"/>
      <c r="AN1846" s="77"/>
      <c r="AO1846" s="77"/>
      <c r="AP1846" s="77"/>
      <c r="AQ1846" s="77"/>
      <c r="AR1846" s="77"/>
      <c r="AS1846" s="77"/>
      <c r="AT1846" s="77"/>
      <c r="AU1846" s="77"/>
      <c r="AV1846" s="80" t="str">
        <f>HYPERLINK("https://pbs.twimg.com/profile_images/1620068456165933060/TShADQck_normal.jpg")</f>
        <v>https://pbs.twimg.com/profile_images/1620068456165933060/TShADQck_normal.jpg</v>
      </c>
      <c r="AW1846" s="82" t="s">
        <v>14937</v>
      </c>
      <c r="AX1846" s="82" t="s">
        <v>14937</v>
      </c>
      <c r="AY1846" s="77"/>
      <c r="AZ1846" s="82" t="s">
        <v>17385</v>
      </c>
      <c r="BA1846" s="82" t="s">
        <v>17385</v>
      </c>
      <c r="BB1846" s="82" t="s">
        <v>17385</v>
      </c>
      <c r="BC1846" s="82" t="s">
        <v>14937</v>
      </c>
      <c r="BD1846" s="82" t="s">
        <v>17557</v>
      </c>
      <c r="BE1846" s="77"/>
      <c r="BF1846" s="77"/>
      <c r="BG1846" s="77"/>
      <c r="BH1846" s="77"/>
      <c r="BI1846" s="77"/>
    </row>
    <row r="1847" spans="1:61" x14ac:dyDescent="0.25">
      <c r="A1847" s="62" t="s">
        <v>435</v>
      </c>
      <c r="B1847" s="62" t="s">
        <v>435</v>
      </c>
      <c r="C1847" s="63"/>
      <c r="D1847" s="64"/>
      <c r="E1847" s="65"/>
      <c r="F1847" s="66"/>
      <c r="G1847" s="63"/>
      <c r="H1847" s="67"/>
      <c r="I1847" s="68"/>
      <c r="J1847" s="68"/>
      <c r="K1847" s="32"/>
      <c r="L1847" s="75">
        <v>1847</v>
      </c>
      <c r="M1847" s="75"/>
      <c r="N1847" s="70"/>
      <c r="O1847" s="77" t="s">
        <v>179</v>
      </c>
      <c r="P1847" s="79">
        <v>45130.833344907405</v>
      </c>
      <c r="Q1847" s="77" t="s">
        <v>2633</v>
      </c>
      <c r="R1847" s="77">
        <v>0</v>
      </c>
      <c r="S1847" s="77">
        <v>0</v>
      </c>
      <c r="T1847" s="77">
        <v>0</v>
      </c>
      <c r="U1847" s="77">
        <v>0</v>
      </c>
      <c r="V1847" s="77">
        <v>144</v>
      </c>
      <c r="W1847" s="82" t="s">
        <v>6002</v>
      </c>
      <c r="X1847" s="80" t="str">
        <f>HYPERLINK("https://flj.com.br/aprenda/comprar-acoes-saiba-porque-e-importante-investir-no-mercado")</f>
        <v>https://flj.com.br/aprenda/comprar-acoes-saiba-porque-e-importante-investir-no-mercado</v>
      </c>
      <c r="Y1847" s="77" t="s">
        <v>7053</v>
      </c>
      <c r="Z1847" s="77"/>
      <c r="AA1847" s="77"/>
      <c r="AB1847" s="77"/>
      <c r="AC1847" s="82" t="s">
        <v>8232</v>
      </c>
      <c r="AD1847" s="77" t="s">
        <v>8278</v>
      </c>
      <c r="AE1847" s="80" t="str">
        <f>HYPERLINK("https://twitter.com/leiaflj/status/1683205344053305344")</f>
        <v>https://twitter.com/leiaflj/status/1683205344053305344</v>
      </c>
      <c r="AF1847" s="79">
        <v>45130.833344907405</v>
      </c>
      <c r="AG1847" s="85">
        <v>45130</v>
      </c>
      <c r="AH1847" s="82" t="s">
        <v>8804</v>
      </c>
      <c r="AI1847" s="77" t="b">
        <v>0</v>
      </c>
      <c r="AJ1847" s="77"/>
      <c r="AK1847" s="77"/>
      <c r="AL1847" s="77"/>
      <c r="AM1847" s="77"/>
      <c r="AN1847" s="77"/>
      <c r="AO1847" s="77"/>
      <c r="AP1847" s="77"/>
      <c r="AQ1847" s="77"/>
      <c r="AR1847" s="77"/>
      <c r="AS1847" s="77"/>
      <c r="AT1847" s="77"/>
      <c r="AU1847" s="77"/>
      <c r="AV1847" s="80" t="str">
        <f>HYPERLINK("https://pbs.twimg.com/profile_images/1620068456165933060/TShADQck_normal.jpg")</f>
        <v>https://pbs.twimg.com/profile_images/1620068456165933060/TShADQck_normal.jpg</v>
      </c>
      <c r="AW1847" s="82" t="s">
        <v>14938</v>
      </c>
      <c r="AX1847" s="82" t="s">
        <v>14938</v>
      </c>
      <c r="AY1847" s="77"/>
      <c r="AZ1847" s="82" t="s">
        <v>17385</v>
      </c>
      <c r="BA1847" s="82" t="s">
        <v>17385</v>
      </c>
      <c r="BB1847" s="82" t="s">
        <v>17385</v>
      </c>
      <c r="BC1847" s="82" t="s">
        <v>14938</v>
      </c>
      <c r="BD1847" s="82" t="s">
        <v>17557</v>
      </c>
      <c r="BE1847" s="77"/>
      <c r="BF1847" s="77"/>
      <c r="BG1847" s="77"/>
      <c r="BH1847" s="77"/>
      <c r="BI1847" s="77"/>
    </row>
    <row r="1848" spans="1:61" x14ac:dyDescent="0.25">
      <c r="A1848" s="62" t="s">
        <v>435</v>
      </c>
      <c r="B1848" s="62" t="s">
        <v>435</v>
      </c>
      <c r="C1848" s="63"/>
      <c r="D1848" s="64"/>
      <c r="E1848" s="65"/>
      <c r="F1848" s="66"/>
      <c r="G1848" s="63"/>
      <c r="H1848" s="67"/>
      <c r="I1848" s="68"/>
      <c r="J1848" s="68"/>
      <c r="K1848" s="32"/>
      <c r="L1848" s="75">
        <v>1848</v>
      </c>
      <c r="M1848" s="75"/>
      <c r="N1848" s="70"/>
      <c r="O1848" s="77" t="s">
        <v>179</v>
      </c>
      <c r="P1848" s="79">
        <v>45130.5</v>
      </c>
      <c r="Q1848" s="77" t="s">
        <v>2634</v>
      </c>
      <c r="R1848" s="77">
        <v>0</v>
      </c>
      <c r="S1848" s="77">
        <v>0</v>
      </c>
      <c r="T1848" s="77">
        <v>0</v>
      </c>
      <c r="U1848" s="77">
        <v>0</v>
      </c>
      <c r="V1848" s="77">
        <v>139</v>
      </c>
      <c r="W1848" s="82" t="s">
        <v>5907</v>
      </c>
      <c r="X1848" s="80" t="str">
        <f>HYPERLINK("https://flj.com.br/")</f>
        <v>https://flj.com.br/</v>
      </c>
      <c r="Y1848" s="77" t="s">
        <v>7053</v>
      </c>
      <c r="Z1848" s="77"/>
      <c r="AA1848" s="77" t="s">
        <v>7905</v>
      </c>
      <c r="AB1848" s="77" t="s">
        <v>8229</v>
      </c>
      <c r="AC1848" s="82" t="s">
        <v>8232</v>
      </c>
      <c r="AD1848" s="77" t="s">
        <v>8278</v>
      </c>
      <c r="AE1848" s="80" t="str">
        <f>HYPERLINK("https://twitter.com/leiaflj/status/1683084546504290304")</f>
        <v>https://twitter.com/leiaflj/status/1683084546504290304</v>
      </c>
      <c r="AF1848" s="79">
        <v>45130.5</v>
      </c>
      <c r="AG1848" s="85">
        <v>45130</v>
      </c>
      <c r="AH1848" s="82" t="s">
        <v>8595</v>
      </c>
      <c r="AI1848" s="77" t="b">
        <v>0</v>
      </c>
      <c r="AJ1848" s="77"/>
      <c r="AK1848" s="77"/>
      <c r="AL1848" s="77"/>
      <c r="AM1848" s="77"/>
      <c r="AN1848" s="77"/>
      <c r="AO1848" s="77"/>
      <c r="AP1848" s="77"/>
      <c r="AQ1848" s="77" t="s">
        <v>12790</v>
      </c>
      <c r="AR1848" s="77"/>
      <c r="AS1848" s="77"/>
      <c r="AT1848" s="77"/>
      <c r="AU1848" s="77"/>
      <c r="AV1848" s="80" t="str">
        <f>HYPERLINK("https://pbs.twimg.com/media/F1lipeiXsAY_Uv4.jpg")</f>
        <v>https://pbs.twimg.com/media/F1lipeiXsAY_Uv4.jpg</v>
      </c>
      <c r="AW1848" s="82" t="s">
        <v>14939</v>
      </c>
      <c r="AX1848" s="82" t="s">
        <v>14939</v>
      </c>
      <c r="AY1848" s="77"/>
      <c r="AZ1848" s="82" t="s">
        <v>17385</v>
      </c>
      <c r="BA1848" s="82" t="s">
        <v>17385</v>
      </c>
      <c r="BB1848" s="82" t="s">
        <v>17385</v>
      </c>
      <c r="BC1848" s="82" t="s">
        <v>14939</v>
      </c>
      <c r="BD1848" s="82" t="s">
        <v>17557</v>
      </c>
      <c r="BE1848" s="77"/>
      <c r="BF1848" s="77"/>
      <c r="BG1848" s="77"/>
      <c r="BH1848" s="77"/>
      <c r="BI1848" s="77"/>
    </row>
    <row r="1849" spans="1:61" x14ac:dyDescent="0.25">
      <c r="A1849" s="62" t="s">
        <v>435</v>
      </c>
      <c r="B1849" s="62" t="s">
        <v>435</v>
      </c>
      <c r="C1849" s="63"/>
      <c r="D1849" s="64"/>
      <c r="E1849" s="65"/>
      <c r="F1849" s="66"/>
      <c r="G1849" s="63"/>
      <c r="H1849" s="67"/>
      <c r="I1849" s="68"/>
      <c r="J1849" s="68"/>
      <c r="K1849" s="32"/>
      <c r="L1849" s="75">
        <v>1849</v>
      </c>
      <c r="M1849" s="75"/>
      <c r="N1849" s="70"/>
      <c r="O1849" s="77" t="s">
        <v>179</v>
      </c>
      <c r="P1849" s="79">
        <v>45128.609212962961</v>
      </c>
      <c r="Q1849" s="77" t="s">
        <v>2635</v>
      </c>
      <c r="R1849" s="77">
        <v>0</v>
      </c>
      <c r="S1849" s="77">
        <v>0</v>
      </c>
      <c r="T1849" s="77">
        <v>0</v>
      </c>
      <c r="U1849" s="77">
        <v>0</v>
      </c>
      <c r="V1849" s="77">
        <v>104</v>
      </c>
      <c r="W1849" s="82" t="s">
        <v>6003</v>
      </c>
      <c r="X1849" s="80" t="str">
        <f>HYPERLINK("https://flj.com.br/noticia/ibovespa-abre-em-alta-em-dia-de-vencimento-de-opcoes")</f>
        <v>https://flj.com.br/noticia/ibovespa-abre-em-alta-em-dia-de-vencimento-de-opcoes</v>
      </c>
      <c r="Y1849" s="77" t="s">
        <v>7053</v>
      </c>
      <c r="Z1849" s="77"/>
      <c r="AA1849" s="77"/>
      <c r="AB1849" s="77"/>
      <c r="AC1849" s="82" t="s">
        <v>8232</v>
      </c>
      <c r="AD1849" s="77" t="s">
        <v>8278</v>
      </c>
      <c r="AE1849" s="80" t="str">
        <f>HYPERLINK("https://twitter.com/leiaflj/status/1682399345973293057")</f>
        <v>https://twitter.com/leiaflj/status/1682399345973293057</v>
      </c>
      <c r="AF1849" s="79">
        <v>45128.609212962961</v>
      </c>
      <c r="AG1849" s="85">
        <v>45128</v>
      </c>
      <c r="AH1849" s="82" t="s">
        <v>9959</v>
      </c>
      <c r="AI1849" s="77" t="b">
        <v>0</v>
      </c>
      <c r="AJ1849" s="77"/>
      <c r="AK1849" s="77"/>
      <c r="AL1849" s="77"/>
      <c r="AM1849" s="77"/>
      <c r="AN1849" s="77"/>
      <c r="AO1849" s="77"/>
      <c r="AP1849" s="77"/>
      <c r="AQ1849" s="77"/>
      <c r="AR1849" s="77"/>
      <c r="AS1849" s="77"/>
      <c r="AT1849" s="77"/>
      <c r="AU1849" s="77"/>
      <c r="AV1849" s="80" t="str">
        <f>HYPERLINK("https://pbs.twimg.com/profile_images/1620068456165933060/TShADQck_normal.jpg")</f>
        <v>https://pbs.twimg.com/profile_images/1620068456165933060/TShADQck_normal.jpg</v>
      </c>
      <c r="AW1849" s="82" t="s">
        <v>14940</v>
      </c>
      <c r="AX1849" s="82" t="s">
        <v>14940</v>
      </c>
      <c r="AY1849" s="77"/>
      <c r="AZ1849" s="82" t="s">
        <v>17385</v>
      </c>
      <c r="BA1849" s="82" t="s">
        <v>17385</v>
      </c>
      <c r="BB1849" s="82" t="s">
        <v>17385</v>
      </c>
      <c r="BC1849" s="82" t="s">
        <v>14940</v>
      </c>
      <c r="BD1849" s="82" t="s">
        <v>17557</v>
      </c>
      <c r="BE1849" s="77"/>
      <c r="BF1849" s="77"/>
      <c r="BG1849" s="77"/>
      <c r="BH1849" s="77"/>
      <c r="BI1849" s="77"/>
    </row>
    <row r="1850" spans="1:61" x14ac:dyDescent="0.25">
      <c r="A1850" s="62" t="s">
        <v>435</v>
      </c>
      <c r="B1850" s="62" t="s">
        <v>435</v>
      </c>
      <c r="C1850" s="63"/>
      <c r="D1850" s="64"/>
      <c r="E1850" s="65"/>
      <c r="F1850" s="66"/>
      <c r="G1850" s="63"/>
      <c r="H1850" s="67"/>
      <c r="I1850" s="68"/>
      <c r="J1850" s="68"/>
      <c r="K1850" s="32"/>
      <c r="L1850" s="75">
        <v>1850</v>
      </c>
      <c r="M1850" s="75"/>
      <c r="N1850" s="70"/>
      <c r="O1850" s="77" t="s">
        <v>179</v>
      </c>
      <c r="P1850" s="79">
        <v>45100.600358796299</v>
      </c>
      <c r="Q1850" s="77" t="s">
        <v>2636</v>
      </c>
      <c r="R1850" s="77">
        <v>0</v>
      </c>
      <c r="S1850" s="77">
        <v>0</v>
      </c>
      <c r="T1850" s="77">
        <v>0</v>
      </c>
      <c r="U1850" s="77">
        <v>0</v>
      </c>
      <c r="V1850" s="77">
        <v>113</v>
      </c>
      <c r="W1850" s="82" t="s">
        <v>6004</v>
      </c>
      <c r="X1850" s="80" t="str">
        <f>HYPERLINK("https://flj.com.br/noticia/yduqs-yduq3-cai-8-apos-jp-morgan-cortar-recomendacao-de-compra-para-neutra")</f>
        <v>https://flj.com.br/noticia/yduqs-yduq3-cai-8-apos-jp-morgan-cortar-recomendacao-de-compra-para-neutra</v>
      </c>
      <c r="Y1850" s="77" t="s">
        <v>7053</v>
      </c>
      <c r="Z1850" s="77"/>
      <c r="AA1850" s="77"/>
      <c r="AB1850" s="77"/>
      <c r="AC1850" s="82" t="s">
        <v>8232</v>
      </c>
      <c r="AD1850" s="77" t="s">
        <v>8278</v>
      </c>
      <c r="AE1850" s="80" t="str">
        <f>HYPERLINK("https://twitter.com/leiaflj/status/1672249280172630018")</f>
        <v>https://twitter.com/leiaflj/status/1672249280172630018</v>
      </c>
      <c r="AF1850" s="79">
        <v>45100.600358796299</v>
      </c>
      <c r="AG1850" s="85">
        <v>45100</v>
      </c>
      <c r="AH1850" s="82" t="s">
        <v>9960</v>
      </c>
      <c r="AI1850" s="77" t="b">
        <v>0</v>
      </c>
      <c r="AJ1850" s="77"/>
      <c r="AK1850" s="77"/>
      <c r="AL1850" s="77"/>
      <c r="AM1850" s="77"/>
      <c r="AN1850" s="77"/>
      <c r="AO1850" s="77"/>
      <c r="AP1850" s="77"/>
      <c r="AQ1850" s="77"/>
      <c r="AR1850" s="77"/>
      <c r="AS1850" s="77"/>
      <c r="AT1850" s="77"/>
      <c r="AU1850" s="77"/>
      <c r="AV1850" s="80" t="str">
        <f>HYPERLINK("https://pbs.twimg.com/profile_images/1620068456165933060/TShADQck_normal.jpg")</f>
        <v>https://pbs.twimg.com/profile_images/1620068456165933060/TShADQck_normal.jpg</v>
      </c>
      <c r="AW1850" s="82" t="s">
        <v>14941</v>
      </c>
      <c r="AX1850" s="82" t="s">
        <v>14941</v>
      </c>
      <c r="AY1850" s="77"/>
      <c r="AZ1850" s="82" t="s">
        <v>17385</v>
      </c>
      <c r="BA1850" s="82" t="s">
        <v>17385</v>
      </c>
      <c r="BB1850" s="82" t="s">
        <v>17385</v>
      </c>
      <c r="BC1850" s="82" t="s">
        <v>14941</v>
      </c>
      <c r="BD1850" s="82" t="s">
        <v>17557</v>
      </c>
      <c r="BE1850" s="77"/>
      <c r="BF1850" s="77"/>
      <c r="BG1850" s="77"/>
      <c r="BH1850" s="77"/>
      <c r="BI1850" s="77"/>
    </row>
    <row r="1851" spans="1:61" x14ac:dyDescent="0.25">
      <c r="A1851" s="62" t="s">
        <v>435</v>
      </c>
      <c r="B1851" s="62" t="s">
        <v>435</v>
      </c>
      <c r="C1851" s="63"/>
      <c r="D1851" s="64"/>
      <c r="E1851" s="65"/>
      <c r="F1851" s="66"/>
      <c r="G1851" s="63"/>
      <c r="H1851" s="67"/>
      <c r="I1851" s="68"/>
      <c r="J1851" s="68"/>
      <c r="K1851" s="32"/>
      <c r="L1851" s="75">
        <v>1851</v>
      </c>
      <c r="M1851" s="75"/>
      <c r="N1851" s="70"/>
      <c r="O1851" s="77" t="s">
        <v>179</v>
      </c>
      <c r="P1851" s="79">
        <v>45081.5</v>
      </c>
      <c r="Q1851" s="77" t="s">
        <v>2637</v>
      </c>
      <c r="R1851" s="77">
        <v>0</v>
      </c>
      <c r="S1851" s="77">
        <v>0</v>
      </c>
      <c r="T1851" s="77">
        <v>0</v>
      </c>
      <c r="U1851" s="77">
        <v>0</v>
      </c>
      <c r="V1851" s="77">
        <v>126</v>
      </c>
      <c r="W1851" s="82" t="s">
        <v>5907</v>
      </c>
      <c r="X1851" s="80" t="str">
        <f>HYPERLINK("https://flj.com.br/")</f>
        <v>https://flj.com.br/</v>
      </c>
      <c r="Y1851" s="77" t="s">
        <v>7053</v>
      </c>
      <c r="Z1851" s="77"/>
      <c r="AA1851" s="77" t="s">
        <v>7906</v>
      </c>
      <c r="AB1851" s="77" t="s">
        <v>8229</v>
      </c>
      <c r="AC1851" s="82" t="s">
        <v>8232</v>
      </c>
      <c r="AD1851" s="77" t="s">
        <v>8278</v>
      </c>
      <c r="AE1851" s="80" t="str">
        <f>HYPERLINK("https://twitter.com/leiaflj/status/1665327539194036225")</f>
        <v>https://twitter.com/leiaflj/status/1665327539194036225</v>
      </c>
      <c r="AF1851" s="79">
        <v>45081.5</v>
      </c>
      <c r="AG1851" s="85">
        <v>45081</v>
      </c>
      <c r="AH1851" s="82" t="s">
        <v>8595</v>
      </c>
      <c r="AI1851" s="77" t="b">
        <v>0</v>
      </c>
      <c r="AJ1851" s="77"/>
      <c r="AK1851" s="77"/>
      <c r="AL1851" s="77"/>
      <c r="AM1851" s="77"/>
      <c r="AN1851" s="77"/>
      <c r="AO1851" s="77"/>
      <c r="AP1851" s="77"/>
      <c r="AQ1851" s="77" t="s">
        <v>12791</v>
      </c>
      <c r="AR1851" s="77"/>
      <c r="AS1851" s="77"/>
      <c r="AT1851" s="77"/>
      <c r="AU1851" s="77"/>
      <c r="AV1851" s="80" t="str">
        <f>HYPERLINK("https://pbs.twimg.com/media/Fxo2TXrX0AcMpU8.jpg")</f>
        <v>https://pbs.twimg.com/media/Fxo2TXrX0AcMpU8.jpg</v>
      </c>
      <c r="AW1851" s="82" t="s">
        <v>14942</v>
      </c>
      <c r="AX1851" s="82" t="s">
        <v>14942</v>
      </c>
      <c r="AY1851" s="77"/>
      <c r="AZ1851" s="82" t="s">
        <v>17385</v>
      </c>
      <c r="BA1851" s="82" t="s">
        <v>17385</v>
      </c>
      <c r="BB1851" s="82" t="s">
        <v>17385</v>
      </c>
      <c r="BC1851" s="82" t="s">
        <v>14942</v>
      </c>
      <c r="BD1851" s="82" t="s">
        <v>17557</v>
      </c>
      <c r="BE1851" s="77"/>
      <c r="BF1851" s="77"/>
      <c r="BG1851" s="77"/>
      <c r="BH1851" s="77"/>
      <c r="BI1851" s="77"/>
    </row>
    <row r="1852" spans="1:61" x14ac:dyDescent="0.25">
      <c r="A1852" s="62" t="s">
        <v>435</v>
      </c>
      <c r="B1852" s="62" t="s">
        <v>435</v>
      </c>
      <c r="C1852" s="63"/>
      <c r="D1852" s="64"/>
      <c r="E1852" s="65"/>
      <c r="F1852" s="66"/>
      <c r="G1852" s="63"/>
      <c r="H1852" s="67"/>
      <c r="I1852" s="68"/>
      <c r="J1852" s="68"/>
      <c r="K1852" s="32"/>
      <c r="L1852" s="75">
        <v>1852</v>
      </c>
      <c r="M1852" s="75"/>
      <c r="N1852" s="70"/>
      <c r="O1852" s="77" t="s">
        <v>179</v>
      </c>
      <c r="P1852" s="79">
        <v>45063.850590277776</v>
      </c>
      <c r="Q1852" s="77" t="s">
        <v>2638</v>
      </c>
      <c r="R1852" s="77">
        <v>0</v>
      </c>
      <c r="S1852" s="77">
        <v>2</v>
      </c>
      <c r="T1852" s="77">
        <v>0</v>
      </c>
      <c r="U1852" s="77">
        <v>0</v>
      </c>
      <c r="V1852" s="77">
        <v>660</v>
      </c>
      <c r="W1852" s="82" t="s">
        <v>6005</v>
      </c>
      <c r="X1852" s="80" t="str">
        <f>HYPERLINK("https://flj.com.br/noticia/prio-prio3-3r-rrrp3-ou-petroreconcavo-recv3-quem-pode-sofrer-com-a-nova-politica-da-petrobras")</f>
        <v>https://flj.com.br/noticia/prio-prio3-3r-rrrp3-ou-petroreconcavo-recv3-quem-pode-sofrer-com-a-nova-politica-da-petrobras</v>
      </c>
      <c r="Y1852" s="77" t="s">
        <v>7053</v>
      </c>
      <c r="Z1852" s="77"/>
      <c r="AA1852" s="77"/>
      <c r="AB1852" s="77"/>
      <c r="AC1852" s="82" t="s">
        <v>8232</v>
      </c>
      <c r="AD1852" s="77" t="s">
        <v>8278</v>
      </c>
      <c r="AE1852" s="80" t="str">
        <f>HYPERLINK("https://twitter.com/leiaflj/status/1658931608693403652")</f>
        <v>https://twitter.com/leiaflj/status/1658931608693403652</v>
      </c>
      <c r="AF1852" s="79">
        <v>45063.850590277776</v>
      </c>
      <c r="AG1852" s="85">
        <v>45063</v>
      </c>
      <c r="AH1852" s="82" t="s">
        <v>9961</v>
      </c>
      <c r="AI1852" s="77" t="b">
        <v>0</v>
      </c>
      <c r="AJ1852" s="77"/>
      <c r="AK1852" s="77"/>
      <c r="AL1852" s="77"/>
      <c r="AM1852" s="77"/>
      <c r="AN1852" s="77"/>
      <c r="AO1852" s="77"/>
      <c r="AP1852" s="77"/>
      <c r="AQ1852" s="77"/>
      <c r="AR1852" s="77"/>
      <c r="AS1852" s="77"/>
      <c r="AT1852" s="77"/>
      <c r="AU1852" s="77"/>
      <c r="AV1852" s="80" t="str">
        <f>HYPERLINK("https://pbs.twimg.com/profile_images/1620068456165933060/TShADQck_normal.jpg")</f>
        <v>https://pbs.twimg.com/profile_images/1620068456165933060/TShADQck_normal.jpg</v>
      </c>
      <c r="AW1852" s="82" t="s">
        <v>14943</v>
      </c>
      <c r="AX1852" s="82" t="s">
        <v>14943</v>
      </c>
      <c r="AY1852" s="77"/>
      <c r="AZ1852" s="82" t="s">
        <v>17385</v>
      </c>
      <c r="BA1852" s="82" t="s">
        <v>17385</v>
      </c>
      <c r="BB1852" s="82" t="s">
        <v>17385</v>
      </c>
      <c r="BC1852" s="82" t="s">
        <v>14943</v>
      </c>
      <c r="BD1852" s="82" t="s">
        <v>17557</v>
      </c>
      <c r="BE1852" s="77"/>
      <c r="BF1852" s="77"/>
      <c r="BG1852" s="77"/>
      <c r="BH1852" s="77"/>
      <c r="BI1852" s="77"/>
    </row>
    <row r="1853" spans="1:61" x14ac:dyDescent="0.25">
      <c r="A1853" s="62" t="s">
        <v>435</v>
      </c>
      <c r="B1853" s="62" t="s">
        <v>435</v>
      </c>
      <c r="C1853" s="63"/>
      <c r="D1853" s="64"/>
      <c r="E1853" s="65"/>
      <c r="F1853" s="66"/>
      <c r="G1853" s="63"/>
      <c r="H1853" s="67"/>
      <c r="I1853" s="68"/>
      <c r="J1853" s="68"/>
      <c r="K1853" s="32"/>
      <c r="L1853" s="75">
        <v>1853</v>
      </c>
      <c r="M1853" s="75"/>
      <c r="N1853" s="70"/>
      <c r="O1853" s="77" t="s">
        <v>179</v>
      </c>
      <c r="P1853" s="79">
        <v>45063.737557870372</v>
      </c>
      <c r="Q1853" s="77" t="s">
        <v>2639</v>
      </c>
      <c r="R1853" s="77">
        <v>0</v>
      </c>
      <c r="S1853" s="77">
        <v>0</v>
      </c>
      <c r="T1853" s="77">
        <v>0</v>
      </c>
      <c r="U1853" s="77">
        <v>0</v>
      </c>
      <c r="V1853" s="77">
        <v>122</v>
      </c>
      <c r="W1853" s="82" t="s">
        <v>6006</v>
      </c>
      <c r="X1853" s="80" t="str">
        <f>HYPERLINK("https://flj.com.br/noticia/carrefour-crfb3-acao-caiu-muito-e-investidor-pode-comprar-diz-citi")</f>
        <v>https://flj.com.br/noticia/carrefour-crfb3-acao-caiu-muito-e-investidor-pode-comprar-diz-citi</v>
      </c>
      <c r="Y1853" s="77" t="s">
        <v>7053</v>
      </c>
      <c r="Z1853" s="77"/>
      <c r="AA1853" s="77"/>
      <c r="AB1853" s="77"/>
      <c r="AC1853" s="82" t="s">
        <v>8232</v>
      </c>
      <c r="AD1853" s="77" t="s">
        <v>8278</v>
      </c>
      <c r="AE1853" s="80" t="str">
        <f>HYPERLINK("https://twitter.com/leiaflj/status/1658890646206259204")</f>
        <v>https://twitter.com/leiaflj/status/1658890646206259204</v>
      </c>
      <c r="AF1853" s="79">
        <v>45063.737557870372</v>
      </c>
      <c r="AG1853" s="85">
        <v>45063</v>
      </c>
      <c r="AH1853" s="82" t="s">
        <v>9962</v>
      </c>
      <c r="AI1853" s="77" t="b">
        <v>0</v>
      </c>
      <c r="AJ1853" s="77"/>
      <c r="AK1853" s="77"/>
      <c r="AL1853" s="77"/>
      <c r="AM1853" s="77"/>
      <c r="AN1853" s="77"/>
      <c r="AO1853" s="77"/>
      <c r="AP1853" s="77"/>
      <c r="AQ1853" s="77"/>
      <c r="AR1853" s="77"/>
      <c r="AS1853" s="77"/>
      <c r="AT1853" s="77"/>
      <c r="AU1853" s="77"/>
      <c r="AV1853" s="80" t="str">
        <f>HYPERLINK("https://pbs.twimg.com/profile_images/1620068456165933060/TShADQck_normal.jpg")</f>
        <v>https://pbs.twimg.com/profile_images/1620068456165933060/TShADQck_normal.jpg</v>
      </c>
      <c r="AW1853" s="82" t="s">
        <v>14944</v>
      </c>
      <c r="AX1853" s="82" t="s">
        <v>14944</v>
      </c>
      <c r="AY1853" s="77"/>
      <c r="AZ1853" s="82" t="s">
        <v>17385</v>
      </c>
      <c r="BA1853" s="82" t="s">
        <v>17385</v>
      </c>
      <c r="BB1853" s="82" t="s">
        <v>17385</v>
      </c>
      <c r="BC1853" s="82" t="s">
        <v>14944</v>
      </c>
      <c r="BD1853" s="82" t="s">
        <v>17557</v>
      </c>
      <c r="BE1853" s="77"/>
      <c r="BF1853" s="77"/>
      <c r="BG1853" s="77"/>
      <c r="BH1853" s="77"/>
      <c r="BI1853" s="77"/>
    </row>
    <row r="1854" spans="1:61" x14ac:dyDescent="0.25">
      <c r="A1854" s="62" t="s">
        <v>435</v>
      </c>
      <c r="B1854" s="62" t="s">
        <v>435</v>
      </c>
      <c r="C1854" s="63"/>
      <c r="D1854" s="64"/>
      <c r="E1854" s="65"/>
      <c r="F1854" s="66"/>
      <c r="G1854" s="63"/>
      <c r="H1854" s="67"/>
      <c r="I1854" s="68"/>
      <c r="J1854" s="68"/>
      <c r="K1854" s="32"/>
      <c r="L1854" s="75">
        <v>1854</v>
      </c>
      <c r="M1854" s="75"/>
      <c r="N1854" s="70"/>
      <c r="O1854" s="77" t="s">
        <v>179</v>
      </c>
      <c r="P1854" s="79">
        <v>45063.595925925925</v>
      </c>
      <c r="Q1854" s="77" t="s">
        <v>2640</v>
      </c>
      <c r="R1854" s="77">
        <v>0</v>
      </c>
      <c r="S1854" s="77">
        <v>2</v>
      </c>
      <c r="T1854" s="77">
        <v>0</v>
      </c>
      <c r="U1854" s="77">
        <v>0</v>
      </c>
      <c r="V1854" s="77">
        <v>149</v>
      </c>
      <c r="W1854" s="82" t="s">
        <v>5940</v>
      </c>
      <c r="X1854" s="80" t="str">
        <f>HYPERLINK("https://flj.com.br/noticia/ibovespa-sobe-com-vale-vale-enquanto-mercado-acompanha-arcabouco")</f>
        <v>https://flj.com.br/noticia/ibovespa-sobe-com-vale-vale-enquanto-mercado-acompanha-arcabouco</v>
      </c>
      <c r="Y1854" s="77" t="s">
        <v>7053</v>
      </c>
      <c r="Z1854" s="77"/>
      <c r="AA1854" s="77"/>
      <c r="AB1854" s="77"/>
      <c r="AC1854" s="82" t="s">
        <v>8232</v>
      </c>
      <c r="AD1854" s="77" t="s">
        <v>8278</v>
      </c>
      <c r="AE1854" s="80" t="str">
        <f>HYPERLINK("https://twitter.com/leiaflj/status/1658839321519030275")</f>
        <v>https://twitter.com/leiaflj/status/1658839321519030275</v>
      </c>
      <c r="AF1854" s="79">
        <v>45063.595925925925</v>
      </c>
      <c r="AG1854" s="85">
        <v>45063</v>
      </c>
      <c r="AH1854" s="82" t="s">
        <v>9963</v>
      </c>
      <c r="AI1854" s="77" t="b">
        <v>0</v>
      </c>
      <c r="AJ1854" s="77"/>
      <c r="AK1854" s="77"/>
      <c r="AL1854" s="77"/>
      <c r="AM1854" s="77"/>
      <c r="AN1854" s="77"/>
      <c r="AO1854" s="77"/>
      <c r="AP1854" s="77"/>
      <c r="AQ1854" s="77"/>
      <c r="AR1854" s="77"/>
      <c r="AS1854" s="77"/>
      <c r="AT1854" s="77"/>
      <c r="AU1854" s="77"/>
      <c r="AV1854" s="80" t="str">
        <f>HYPERLINK("https://pbs.twimg.com/profile_images/1620068456165933060/TShADQck_normal.jpg")</f>
        <v>https://pbs.twimg.com/profile_images/1620068456165933060/TShADQck_normal.jpg</v>
      </c>
      <c r="AW1854" s="82" t="s">
        <v>14945</v>
      </c>
      <c r="AX1854" s="82" t="s">
        <v>14945</v>
      </c>
      <c r="AY1854" s="77"/>
      <c r="AZ1854" s="82" t="s">
        <v>17385</v>
      </c>
      <c r="BA1854" s="82" t="s">
        <v>17385</v>
      </c>
      <c r="BB1854" s="82" t="s">
        <v>17385</v>
      </c>
      <c r="BC1854" s="82" t="s">
        <v>14945</v>
      </c>
      <c r="BD1854" s="82" t="s">
        <v>17557</v>
      </c>
      <c r="BE1854" s="77"/>
      <c r="BF1854" s="77"/>
      <c r="BG1854" s="77"/>
      <c r="BH1854" s="77"/>
      <c r="BI1854" s="77"/>
    </row>
    <row r="1855" spans="1:61" x14ac:dyDescent="0.25">
      <c r="A1855" s="62" t="s">
        <v>435</v>
      </c>
      <c r="B1855" s="62" t="s">
        <v>435</v>
      </c>
      <c r="C1855" s="63"/>
      <c r="D1855" s="64"/>
      <c r="E1855" s="65"/>
      <c r="F1855" s="66"/>
      <c r="G1855" s="63"/>
      <c r="H1855" s="67"/>
      <c r="I1855" s="68"/>
      <c r="J1855" s="68"/>
      <c r="K1855" s="32"/>
      <c r="L1855" s="75">
        <v>1855</v>
      </c>
      <c r="M1855" s="75"/>
      <c r="N1855" s="70"/>
      <c r="O1855" s="77" t="s">
        <v>179</v>
      </c>
      <c r="P1855" s="79">
        <v>45062.805960648147</v>
      </c>
      <c r="Q1855" s="77" t="s">
        <v>2641</v>
      </c>
      <c r="R1855" s="77">
        <v>0</v>
      </c>
      <c r="S1855" s="77">
        <v>0</v>
      </c>
      <c r="T1855" s="77">
        <v>0</v>
      </c>
      <c r="U1855" s="77">
        <v>0</v>
      </c>
      <c r="V1855" s="77">
        <v>289</v>
      </c>
      <c r="W1855" s="82" t="s">
        <v>6007</v>
      </c>
      <c r="X1855" s="80" t="str">
        <f>HYPERLINK("https://flj.com.br/noticia/petrobras-petr4-quem-sai-ganhando-com-a-nova-politica-de-precos")</f>
        <v>https://flj.com.br/noticia/petrobras-petr4-quem-sai-ganhando-com-a-nova-politica-de-precos</v>
      </c>
      <c r="Y1855" s="77" t="s">
        <v>7053</v>
      </c>
      <c r="Z1855" s="77"/>
      <c r="AA1855" s="77"/>
      <c r="AB1855" s="77"/>
      <c r="AC1855" s="82" t="s">
        <v>8232</v>
      </c>
      <c r="AD1855" s="77" t="s">
        <v>8278</v>
      </c>
      <c r="AE1855" s="80" t="str">
        <f>HYPERLINK("https://twitter.com/leiaflj/status/1658553046144626693")</f>
        <v>https://twitter.com/leiaflj/status/1658553046144626693</v>
      </c>
      <c r="AF1855" s="79">
        <v>45062.805960648147</v>
      </c>
      <c r="AG1855" s="85">
        <v>45062</v>
      </c>
      <c r="AH1855" s="82" t="s">
        <v>9964</v>
      </c>
      <c r="AI1855" s="77" t="b">
        <v>0</v>
      </c>
      <c r="AJ1855" s="77"/>
      <c r="AK1855" s="77"/>
      <c r="AL1855" s="77"/>
      <c r="AM1855" s="77"/>
      <c r="AN1855" s="77"/>
      <c r="AO1855" s="77"/>
      <c r="AP1855" s="77"/>
      <c r="AQ1855" s="77"/>
      <c r="AR1855" s="77"/>
      <c r="AS1855" s="77"/>
      <c r="AT1855" s="77"/>
      <c r="AU1855" s="77"/>
      <c r="AV1855" s="80" t="str">
        <f>HYPERLINK("https://pbs.twimg.com/profile_images/1620068456165933060/TShADQck_normal.jpg")</f>
        <v>https://pbs.twimg.com/profile_images/1620068456165933060/TShADQck_normal.jpg</v>
      </c>
      <c r="AW1855" s="82" t="s">
        <v>14946</v>
      </c>
      <c r="AX1855" s="82" t="s">
        <v>14946</v>
      </c>
      <c r="AY1855" s="77"/>
      <c r="AZ1855" s="82" t="s">
        <v>17385</v>
      </c>
      <c r="BA1855" s="82" t="s">
        <v>17385</v>
      </c>
      <c r="BB1855" s="82" t="s">
        <v>17385</v>
      </c>
      <c r="BC1855" s="82" t="s">
        <v>14946</v>
      </c>
      <c r="BD1855" s="82" t="s">
        <v>17557</v>
      </c>
      <c r="BE1855" s="77"/>
      <c r="BF1855" s="77"/>
      <c r="BG1855" s="77"/>
      <c r="BH1855" s="77"/>
      <c r="BI1855" s="77"/>
    </row>
    <row r="1856" spans="1:61" x14ac:dyDescent="0.25">
      <c r="A1856" s="62" t="s">
        <v>435</v>
      </c>
      <c r="B1856" s="62" t="s">
        <v>435</v>
      </c>
      <c r="C1856" s="63"/>
      <c r="D1856" s="64"/>
      <c r="E1856" s="65"/>
      <c r="F1856" s="66"/>
      <c r="G1856" s="63"/>
      <c r="H1856" s="67"/>
      <c r="I1856" s="68"/>
      <c r="J1856" s="68"/>
      <c r="K1856" s="32"/>
      <c r="L1856" s="75">
        <v>1856</v>
      </c>
      <c r="M1856" s="75"/>
      <c r="N1856" s="70"/>
      <c r="O1856" s="77" t="s">
        <v>179</v>
      </c>
      <c r="P1856" s="79">
        <v>45195.757708333331</v>
      </c>
      <c r="Q1856" s="77" t="s">
        <v>2642</v>
      </c>
      <c r="R1856" s="77">
        <v>0</v>
      </c>
      <c r="S1856" s="77">
        <v>1</v>
      </c>
      <c r="T1856" s="77">
        <v>0</v>
      </c>
      <c r="U1856" s="77">
        <v>0</v>
      </c>
      <c r="V1856" s="77">
        <v>110</v>
      </c>
      <c r="W1856" s="82" t="s">
        <v>6008</v>
      </c>
      <c r="X1856" s="80" t="str">
        <f>HYPERLINK("https://flj.com.br/noticia/bb-bi-eleva-preco-alvo-e-recomendacao-para-natura-ntco3-de-olho-em-venda-da-the-body-shop")</f>
        <v>https://flj.com.br/noticia/bb-bi-eleva-preco-alvo-e-recomendacao-para-natura-ntco3-de-olho-em-venda-da-the-body-shop</v>
      </c>
      <c r="Y1856" s="77" t="s">
        <v>7053</v>
      </c>
      <c r="Z1856" s="77"/>
      <c r="AA1856" s="77"/>
      <c r="AB1856" s="77"/>
      <c r="AC1856" s="82" t="s">
        <v>8232</v>
      </c>
      <c r="AD1856" s="77" t="s">
        <v>8278</v>
      </c>
      <c r="AE1856" s="80" t="str">
        <f>HYPERLINK("https://twitter.com/leiaflj/status/1706733147449131016")</f>
        <v>https://twitter.com/leiaflj/status/1706733147449131016</v>
      </c>
      <c r="AF1856" s="79">
        <v>45195.757708333331</v>
      </c>
      <c r="AG1856" s="85">
        <v>45195</v>
      </c>
      <c r="AH1856" s="82" t="s">
        <v>9965</v>
      </c>
      <c r="AI1856" s="77" t="b">
        <v>0</v>
      </c>
      <c r="AJ1856" s="77"/>
      <c r="AK1856" s="77"/>
      <c r="AL1856" s="77"/>
      <c r="AM1856" s="77"/>
      <c r="AN1856" s="77"/>
      <c r="AO1856" s="77"/>
      <c r="AP1856" s="77"/>
      <c r="AQ1856" s="77"/>
      <c r="AR1856" s="77"/>
      <c r="AS1856" s="77"/>
      <c r="AT1856" s="77"/>
      <c r="AU1856" s="77"/>
      <c r="AV1856" s="80" t="str">
        <f>HYPERLINK("https://pbs.twimg.com/profile_images/1620068456165933060/TShADQck_normal.jpg")</f>
        <v>https://pbs.twimg.com/profile_images/1620068456165933060/TShADQck_normal.jpg</v>
      </c>
      <c r="AW1856" s="82" t="s">
        <v>14947</v>
      </c>
      <c r="AX1856" s="82" t="s">
        <v>14947</v>
      </c>
      <c r="AY1856" s="77"/>
      <c r="AZ1856" s="82" t="s">
        <v>17385</v>
      </c>
      <c r="BA1856" s="82" t="s">
        <v>17385</v>
      </c>
      <c r="BB1856" s="82" t="s">
        <v>17385</v>
      </c>
      <c r="BC1856" s="82" t="s">
        <v>14947</v>
      </c>
      <c r="BD1856" s="82" t="s">
        <v>17557</v>
      </c>
      <c r="BE1856" s="77"/>
      <c r="BF1856" s="77"/>
      <c r="BG1856" s="77"/>
      <c r="BH1856" s="77"/>
      <c r="BI1856" s="77"/>
    </row>
    <row r="1857" spans="1:61" x14ac:dyDescent="0.25">
      <c r="A1857" s="62" t="s">
        <v>435</v>
      </c>
      <c r="B1857" s="62" t="s">
        <v>435</v>
      </c>
      <c r="C1857" s="63"/>
      <c r="D1857" s="64"/>
      <c r="E1857" s="65"/>
      <c r="F1857" s="66"/>
      <c r="G1857" s="63"/>
      <c r="H1857" s="67"/>
      <c r="I1857" s="68"/>
      <c r="J1857" s="68"/>
      <c r="K1857" s="32"/>
      <c r="L1857" s="75">
        <v>1857</v>
      </c>
      <c r="M1857" s="75"/>
      <c r="N1857" s="70"/>
      <c r="O1857" s="77" t="s">
        <v>179</v>
      </c>
      <c r="P1857" s="79">
        <v>45195.445474537039</v>
      </c>
      <c r="Q1857" s="77" t="s">
        <v>2643</v>
      </c>
      <c r="R1857" s="77">
        <v>1</v>
      </c>
      <c r="S1857" s="77">
        <v>4</v>
      </c>
      <c r="T1857" s="77">
        <v>0</v>
      </c>
      <c r="U1857" s="77">
        <v>0</v>
      </c>
      <c r="V1857" s="77">
        <v>248</v>
      </c>
      <c r="W1857" s="82" t="s">
        <v>6009</v>
      </c>
      <c r="X1857" s="80" t="str">
        <f>HYPERLINK("https://flj.com.br/noticia/oi-oibr3-levanta-us-300-milhoes-com-btg-bpac11")</f>
        <v>https://flj.com.br/noticia/oi-oibr3-levanta-us-300-milhoes-com-btg-bpac11</v>
      </c>
      <c r="Y1857" s="77" t="s">
        <v>7053</v>
      </c>
      <c r="Z1857" s="77"/>
      <c r="AA1857" s="77"/>
      <c r="AB1857" s="77"/>
      <c r="AC1857" s="82" t="s">
        <v>8232</v>
      </c>
      <c r="AD1857" s="77" t="s">
        <v>8278</v>
      </c>
      <c r="AE1857" s="80" t="str">
        <f>HYPERLINK("https://twitter.com/leiaflj/status/1706619998108623104")</f>
        <v>https://twitter.com/leiaflj/status/1706619998108623104</v>
      </c>
      <c r="AF1857" s="79">
        <v>45195.445474537039</v>
      </c>
      <c r="AG1857" s="85">
        <v>45195</v>
      </c>
      <c r="AH1857" s="82" t="s">
        <v>9966</v>
      </c>
      <c r="AI1857" s="77" t="b">
        <v>0</v>
      </c>
      <c r="AJ1857" s="77"/>
      <c r="AK1857" s="77"/>
      <c r="AL1857" s="77"/>
      <c r="AM1857" s="77"/>
      <c r="AN1857" s="77"/>
      <c r="AO1857" s="77"/>
      <c r="AP1857" s="77"/>
      <c r="AQ1857" s="77"/>
      <c r="AR1857" s="77"/>
      <c r="AS1857" s="77"/>
      <c r="AT1857" s="77"/>
      <c r="AU1857" s="77"/>
      <c r="AV1857" s="80" t="str">
        <f>HYPERLINK("https://pbs.twimg.com/profile_images/1620068456165933060/TShADQck_normal.jpg")</f>
        <v>https://pbs.twimg.com/profile_images/1620068456165933060/TShADQck_normal.jpg</v>
      </c>
      <c r="AW1857" s="82" t="s">
        <v>14948</v>
      </c>
      <c r="AX1857" s="82" t="s">
        <v>14948</v>
      </c>
      <c r="AY1857" s="77"/>
      <c r="AZ1857" s="82" t="s">
        <v>17385</v>
      </c>
      <c r="BA1857" s="82" t="s">
        <v>17385</v>
      </c>
      <c r="BB1857" s="82" t="s">
        <v>17385</v>
      </c>
      <c r="BC1857" s="82" t="s">
        <v>14948</v>
      </c>
      <c r="BD1857" s="82" t="s">
        <v>17557</v>
      </c>
      <c r="BE1857" s="77"/>
      <c r="BF1857" s="77"/>
      <c r="BG1857" s="77"/>
      <c r="BH1857" s="77"/>
      <c r="BI1857" s="77"/>
    </row>
    <row r="1858" spans="1:61" x14ac:dyDescent="0.25">
      <c r="A1858" s="62" t="s">
        <v>435</v>
      </c>
      <c r="B1858" s="62" t="s">
        <v>435</v>
      </c>
      <c r="C1858" s="63"/>
      <c r="D1858" s="64"/>
      <c r="E1858" s="65"/>
      <c r="F1858" s="66"/>
      <c r="G1858" s="63"/>
      <c r="H1858" s="67"/>
      <c r="I1858" s="68"/>
      <c r="J1858" s="68"/>
      <c r="K1858" s="32"/>
      <c r="L1858" s="75">
        <v>1858</v>
      </c>
      <c r="M1858" s="75"/>
      <c r="N1858" s="70"/>
      <c r="O1858" s="77" t="s">
        <v>179</v>
      </c>
      <c r="P1858" s="79">
        <v>45184.588090277779</v>
      </c>
      <c r="Q1858" s="77" t="s">
        <v>2644</v>
      </c>
      <c r="R1858" s="77">
        <v>0</v>
      </c>
      <c r="S1858" s="77">
        <v>2</v>
      </c>
      <c r="T1858" s="77">
        <v>0</v>
      </c>
      <c r="U1858" s="77">
        <v>0</v>
      </c>
      <c r="V1858" s="77">
        <v>83</v>
      </c>
      <c r="W1858" s="82" t="s">
        <v>5965</v>
      </c>
      <c r="X1858" s="80" t="str">
        <f>HYPERLINK("https://flj.com.br/noticia/dolar-ronda-estabilidade-e-abre-cotado-a-r-4-87-com-china-no-radar")</f>
        <v>https://flj.com.br/noticia/dolar-ronda-estabilidade-e-abre-cotado-a-r-4-87-com-china-no-radar</v>
      </c>
      <c r="Y1858" s="77" t="s">
        <v>7053</v>
      </c>
      <c r="Z1858" s="77"/>
      <c r="AA1858" s="77"/>
      <c r="AB1858" s="77"/>
      <c r="AC1858" s="82" t="s">
        <v>8232</v>
      </c>
      <c r="AD1858" s="77" t="s">
        <v>8278</v>
      </c>
      <c r="AE1858" s="80" t="str">
        <f>HYPERLINK("https://twitter.com/leiaflj/status/1702685413297602862")</f>
        <v>https://twitter.com/leiaflj/status/1702685413297602862</v>
      </c>
      <c r="AF1858" s="79">
        <v>45184.588090277779</v>
      </c>
      <c r="AG1858" s="85">
        <v>45184</v>
      </c>
      <c r="AH1858" s="82" t="s">
        <v>9967</v>
      </c>
      <c r="AI1858" s="77" t="b">
        <v>0</v>
      </c>
      <c r="AJ1858" s="77"/>
      <c r="AK1858" s="77"/>
      <c r="AL1858" s="77"/>
      <c r="AM1858" s="77"/>
      <c r="AN1858" s="77"/>
      <c r="AO1858" s="77"/>
      <c r="AP1858" s="77"/>
      <c r="AQ1858" s="77"/>
      <c r="AR1858" s="77"/>
      <c r="AS1858" s="77"/>
      <c r="AT1858" s="77"/>
      <c r="AU1858" s="77"/>
      <c r="AV1858" s="80" t="str">
        <f>HYPERLINK("https://pbs.twimg.com/profile_images/1620068456165933060/TShADQck_normal.jpg")</f>
        <v>https://pbs.twimg.com/profile_images/1620068456165933060/TShADQck_normal.jpg</v>
      </c>
      <c r="AW1858" s="82" t="s">
        <v>14949</v>
      </c>
      <c r="AX1858" s="82" t="s">
        <v>14949</v>
      </c>
      <c r="AY1858" s="77"/>
      <c r="AZ1858" s="82" t="s">
        <v>17385</v>
      </c>
      <c r="BA1858" s="82" t="s">
        <v>17385</v>
      </c>
      <c r="BB1858" s="82" t="s">
        <v>17385</v>
      </c>
      <c r="BC1858" s="82" t="s">
        <v>14949</v>
      </c>
      <c r="BD1858" s="82" t="s">
        <v>17557</v>
      </c>
      <c r="BE1858" s="77"/>
      <c r="BF1858" s="77"/>
      <c r="BG1858" s="77"/>
      <c r="BH1858" s="77"/>
      <c r="BI1858" s="77"/>
    </row>
    <row r="1859" spans="1:61" x14ac:dyDescent="0.25">
      <c r="A1859" s="62" t="s">
        <v>435</v>
      </c>
      <c r="B1859" s="62" t="s">
        <v>435</v>
      </c>
      <c r="C1859" s="63"/>
      <c r="D1859" s="64"/>
      <c r="E1859" s="65"/>
      <c r="F1859" s="66"/>
      <c r="G1859" s="63"/>
      <c r="H1859" s="67"/>
      <c r="I1859" s="68"/>
      <c r="J1859" s="68"/>
      <c r="K1859" s="32"/>
      <c r="L1859" s="75">
        <v>1859</v>
      </c>
      <c r="M1859" s="75"/>
      <c r="N1859" s="70"/>
      <c r="O1859" s="77" t="s">
        <v>179</v>
      </c>
      <c r="P1859" s="79">
        <v>45181.444733796299</v>
      </c>
      <c r="Q1859" s="77" t="s">
        <v>2645</v>
      </c>
      <c r="R1859" s="77">
        <v>1</v>
      </c>
      <c r="S1859" s="77">
        <v>2</v>
      </c>
      <c r="T1859" s="77">
        <v>0</v>
      </c>
      <c r="U1859" s="77">
        <v>0</v>
      </c>
      <c r="V1859" s="77">
        <v>156</v>
      </c>
      <c r="W1859" s="82" t="s">
        <v>6010</v>
      </c>
      <c r="X1859" s="80" t="str">
        <f>HYPERLINK("https://flj.com.br/noticia/oncoclinicas-onco3-fecha-acordo-para-coordenar-clinicas-da-unimed-recife")</f>
        <v>https://flj.com.br/noticia/oncoclinicas-onco3-fecha-acordo-para-coordenar-clinicas-da-unimed-recife</v>
      </c>
      <c r="Y1859" s="77" t="s">
        <v>7053</v>
      </c>
      <c r="Z1859" s="77"/>
      <c r="AA1859" s="77"/>
      <c r="AB1859" s="77"/>
      <c r="AC1859" s="82" t="s">
        <v>8232</v>
      </c>
      <c r="AD1859" s="77" t="s">
        <v>8278</v>
      </c>
      <c r="AE1859" s="80" t="str">
        <f>HYPERLINK("https://twitter.com/leiaflj/status/1701546299516936547")</f>
        <v>https://twitter.com/leiaflj/status/1701546299516936547</v>
      </c>
      <c r="AF1859" s="79">
        <v>45181.444733796299</v>
      </c>
      <c r="AG1859" s="85">
        <v>45181</v>
      </c>
      <c r="AH1859" s="82" t="s">
        <v>9968</v>
      </c>
      <c r="AI1859" s="77" t="b">
        <v>0</v>
      </c>
      <c r="AJ1859" s="77"/>
      <c r="AK1859" s="77"/>
      <c r="AL1859" s="77"/>
      <c r="AM1859" s="77"/>
      <c r="AN1859" s="77"/>
      <c r="AO1859" s="77"/>
      <c r="AP1859" s="77"/>
      <c r="AQ1859" s="77"/>
      <c r="AR1859" s="77"/>
      <c r="AS1859" s="77"/>
      <c r="AT1859" s="77"/>
      <c r="AU1859" s="77"/>
      <c r="AV1859" s="80" t="str">
        <f>HYPERLINK("https://pbs.twimg.com/profile_images/1620068456165933060/TShADQck_normal.jpg")</f>
        <v>https://pbs.twimg.com/profile_images/1620068456165933060/TShADQck_normal.jpg</v>
      </c>
      <c r="AW1859" s="82" t="s">
        <v>14950</v>
      </c>
      <c r="AX1859" s="82" t="s">
        <v>14950</v>
      </c>
      <c r="AY1859" s="77"/>
      <c r="AZ1859" s="82" t="s">
        <v>17385</v>
      </c>
      <c r="BA1859" s="82" t="s">
        <v>17385</v>
      </c>
      <c r="BB1859" s="82" t="s">
        <v>17385</v>
      </c>
      <c r="BC1859" s="82" t="s">
        <v>14950</v>
      </c>
      <c r="BD1859" s="82" t="s">
        <v>17557</v>
      </c>
      <c r="BE1859" s="77"/>
      <c r="BF1859" s="77"/>
      <c r="BG1859" s="77"/>
      <c r="BH1859" s="77"/>
      <c r="BI1859" s="77"/>
    </row>
    <row r="1860" spans="1:61" x14ac:dyDescent="0.25">
      <c r="A1860" s="62" t="s">
        <v>435</v>
      </c>
      <c r="B1860" s="62" t="s">
        <v>435</v>
      </c>
      <c r="C1860" s="63"/>
      <c r="D1860" s="64"/>
      <c r="E1860" s="65"/>
      <c r="F1860" s="66"/>
      <c r="G1860" s="63"/>
      <c r="H1860" s="67"/>
      <c r="I1860" s="68"/>
      <c r="J1860" s="68"/>
      <c r="K1860" s="32"/>
      <c r="L1860" s="75">
        <v>1860</v>
      </c>
      <c r="M1860" s="75"/>
      <c r="N1860" s="70"/>
      <c r="O1860" s="77" t="s">
        <v>179</v>
      </c>
      <c r="P1860" s="79">
        <v>45177.714537037034</v>
      </c>
      <c r="Q1860" s="77" t="s">
        <v>2646</v>
      </c>
      <c r="R1860" s="77">
        <v>0</v>
      </c>
      <c r="S1860" s="77">
        <v>1</v>
      </c>
      <c r="T1860" s="77">
        <v>0</v>
      </c>
      <c r="U1860" s="77">
        <v>0</v>
      </c>
      <c r="V1860" s="77">
        <v>115</v>
      </c>
      <c r="W1860" s="82" t="s">
        <v>5963</v>
      </c>
      <c r="X1860" s="80" t="str">
        <f>HYPERLINK("https://flj.com.br/noticia/ibovespa-cai-pos-feriado-pressionado-por-vale-dolar-oscila-e-dis-caem-de-olho-em-politica-monetaria")</f>
        <v>https://flj.com.br/noticia/ibovespa-cai-pos-feriado-pressionado-por-vale-dolar-oscila-e-dis-caem-de-olho-em-politica-monetaria</v>
      </c>
      <c r="Y1860" s="77" t="s">
        <v>7053</v>
      </c>
      <c r="Z1860" s="77"/>
      <c r="AA1860" s="77"/>
      <c r="AB1860" s="77"/>
      <c r="AC1860" s="82" t="s">
        <v>8232</v>
      </c>
      <c r="AD1860" s="77" t="s">
        <v>8278</v>
      </c>
      <c r="AE1860" s="80" t="str">
        <f>HYPERLINK("https://twitter.com/leiaflj/status/1700194522494296219")</f>
        <v>https://twitter.com/leiaflj/status/1700194522494296219</v>
      </c>
      <c r="AF1860" s="79">
        <v>45177.714537037034</v>
      </c>
      <c r="AG1860" s="85">
        <v>45177</v>
      </c>
      <c r="AH1860" s="82" t="s">
        <v>9969</v>
      </c>
      <c r="AI1860" s="77" t="b">
        <v>0</v>
      </c>
      <c r="AJ1860" s="77"/>
      <c r="AK1860" s="77"/>
      <c r="AL1860" s="77"/>
      <c r="AM1860" s="77"/>
      <c r="AN1860" s="77"/>
      <c r="AO1860" s="77"/>
      <c r="AP1860" s="77"/>
      <c r="AQ1860" s="77"/>
      <c r="AR1860" s="77"/>
      <c r="AS1860" s="77"/>
      <c r="AT1860" s="77"/>
      <c r="AU1860" s="77"/>
      <c r="AV1860" s="80" t="str">
        <f>HYPERLINK("https://pbs.twimg.com/profile_images/1620068456165933060/TShADQck_normal.jpg")</f>
        <v>https://pbs.twimg.com/profile_images/1620068456165933060/TShADQck_normal.jpg</v>
      </c>
      <c r="AW1860" s="82" t="s">
        <v>14951</v>
      </c>
      <c r="AX1860" s="82" t="s">
        <v>14951</v>
      </c>
      <c r="AY1860" s="77"/>
      <c r="AZ1860" s="82" t="s">
        <v>17385</v>
      </c>
      <c r="BA1860" s="82" t="s">
        <v>17385</v>
      </c>
      <c r="BB1860" s="82" t="s">
        <v>17385</v>
      </c>
      <c r="BC1860" s="82" t="s">
        <v>14951</v>
      </c>
      <c r="BD1860" s="82" t="s">
        <v>17557</v>
      </c>
      <c r="BE1860" s="77"/>
      <c r="BF1860" s="77"/>
      <c r="BG1860" s="77"/>
      <c r="BH1860" s="77"/>
      <c r="BI1860" s="77"/>
    </row>
    <row r="1861" spans="1:61" x14ac:dyDescent="0.25">
      <c r="A1861" s="62" t="s">
        <v>435</v>
      </c>
      <c r="B1861" s="62" t="s">
        <v>435</v>
      </c>
      <c r="C1861" s="63"/>
      <c r="D1861" s="64"/>
      <c r="E1861" s="65"/>
      <c r="F1861" s="66"/>
      <c r="G1861" s="63"/>
      <c r="H1861" s="67"/>
      <c r="I1861" s="68"/>
      <c r="J1861" s="68"/>
      <c r="K1861" s="32"/>
      <c r="L1861" s="75">
        <v>1861</v>
      </c>
      <c r="M1861" s="75"/>
      <c r="N1861" s="70"/>
      <c r="O1861" s="77" t="s">
        <v>179</v>
      </c>
      <c r="P1861" s="79">
        <v>45175.474745370368</v>
      </c>
      <c r="Q1861" s="77" t="s">
        <v>2647</v>
      </c>
      <c r="R1861" s="77">
        <v>0</v>
      </c>
      <c r="S1861" s="77">
        <v>2</v>
      </c>
      <c r="T1861" s="77">
        <v>0</v>
      </c>
      <c r="U1861" s="77">
        <v>0</v>
      </c>
      <c r="V1861" s="77">
        <v>107</v>
      </c>
      <c r="W1861" s="82" t="s">
        <v>6011</v>
      </c>
      <c r="X1861" s="80" t="str">
        <f>HYPERLINK("https://flj.com.br/noticia/mercados-caem-com-risco-generalizado-de-deflacao")</f>
        <v>https://flj.com.br/noticia/mercados-caem-com-risco-generalizado-de-deflacao</v>
      </c>
      <c r="Y1861" s="77" t="s">
        <v>7053</v>
      </c>
      <c r="Z1861" s="77"/>
      <c r="AA1861" s="77"/>
      <c r="AB1861" s="77"/>
      <c r="AC1861" s="82" t="s">
        <v>8232</v>
      </c>
      <c r="AD1861" s="77" t="s">
        <v>8278</v>
      </c>
      <c r="AE1861" s="80" t="str">
        <f>HYPERLINK("https://twitter.com/leiaflj/status/1699382845511180752")</f>
        <v>https://twitter.com/leiaflj/status/1699382845511180752</v>
      </c>
      <c r="AF1861" s="79">
        <v>45175.474745370368</v>
      </c>
      <c r="AG1861" s="85">
        <v>45175</v>
      </c>
      <c r="AH1861" s="82" t="s">
        <v>9970</v>
      </c>
      <c r="AI1861" s="77" t="b">
        <v>0</v>
      </c>
      <c r="AJ1861" s="77"/>
      <c r="AK1861" s="77"/>
      <c r="AL1861" s="77"/>
      <c r="AM1861" s="77"/>
      <c r="AN1861" s="77"/>
      <c r="AO1861" s="77"/>
      <c r="AP1861" s="77"/>
      <c r="AQ1861" s="77"/>
      <c r="AR1861" s="77"/>
      <c r="AS1861" s="77"/>
      <c r="AT1861" s="77"/>
      <c r="AU1861" s="77"/>
      <c r="AV1861" s="80" t="str">
        <f>HYPERLINK("https://pbs.twimg.com/profile_images/1620068456165933060/TShADQck_normal.jpg")</f>
        <v>https://pbs.twimg.com/profile_images/1620068456165933060/TShADQck_normal.jpg</v>
      </c>
      <c r="AW1861" s="82" t="s">
        <v>14952</v>
      </c>
      <c r="AX1861" s="82" t="s">
        <v>14952</v>
      </c>
      <c r="AY1861" s="77"/>
      <c r="AZ1861" s="82" t="s">
        <v>17385</v>
      </c>
      <c r="BA1861" s="82" t="s">
        <v>17385</v>
      </c>
      <c r="BB1861" s="82" t="s">
        <v>17385</v>
      </c>
      <c r="BC1861" s="82" t="s">
        <v>14952</v>
      </c>
      <c r="BD1861" s="82" t="s">
        <v>17557</v>
      </c>
      <c r="BE1861" s="77"/>
      <c r="BF1861" s="77"/>
      <c r="BG1861" s="77"/>
      <c r="BH1861" s="77"/>
      <c r="BI1861" s="77"/>
    </row>
    <row r="1862" spans="1:61" x14ac:dyDescent="0.25">
      <c r="A1862" s="62" t="s">
        <v>435</v>
      </c>
      <c r="B1862" s="62" t="s">
        <v>435</v>
      </c>
      <c r="C1862" s="63"/>
      <c r="D1862" s="64"/>
      <c r="E1862" s="65"/>
      <c r="F1862" s="66"/>
      <c r="G1862" s="63"/>
      <c r="H1862" s="67"/>
      <c r="I1862" s="68"/>
      <c r="J1862" s="68"/>
      <c r="K1862" s="32"/>
      <c r="L1862" s="75">
        <v>1862</v>
      </c>
      <c r="M1862" s="75"/>
      <c r="N1862" s="70"/>
      <c r="O1862" s="77" t="s">
        <v>179</v>
      </c>
      <c r="P1862" s="79">
        <v>45174.464537037034</v>
      </c>
      <c r="Q1862" s="77" t="s">
        <v>2648</v>
      </c>
      <c r="R1862" s="77">
        <v>0</v>
      </c>
      <c r="S1862" s="77">
        <v>0</v>
      </c>
      <c r="T1862" s="77">
        <v>0</v>
      </c>
      <c r="U1862" s="77">
        <v>0</v>
      </c>
      <c r="V1862" s="77">
        <v>89</v>
      </c>
      <c r="W1862" s="82" t="s">
        <v>6012</v>
      </c>
      <c r="X1862" s="80" t="str">
        <f>HYPERLINK("https://flj.com.br/noticia/tenda-tend3-movimenta-r-234-3-milhoes-em-oferta-de-acoes")</f>
        <v>https://flj.com.br/noticia/tenda-tend3-movimenta-r-234-3-milhoes-em-oferta-de-acoes</v>
      </c>
      <c r="Y1862" s="77" t="s">
        <v>7053</v>
      </c>
      <c r="Z1862" s="77"/>
      <c r="AA1862" s="77"/>
      <c r="AB1862" s="77"/>
      <c r="AC1862" s="82" t="s">
        <v>8232</v>
      </c>
      <c r="AD1862" s="77" t="s">
        <v>8278</v>
      </c>
      <c r="AE1862" s="80" t="str">
        <f>HYPERLINK("https://twitter.com/leiaflj/status/1699016758995116115")</f>
        <v>https://twitter.com/leiaflj/status/1699016758995116115</v>
      </c>
      <c r="AF1862" s="79">
        <v>45174.464537037034</v>
      </c>
      <c r="AG1862" s="85">
        <v>45174</v>
      </c>
      <c r="AH1862" s="82" t="s">
        <v>9957</v>
      </c>
      <c r="AI1862" s="77" t="b">
        <v>0</v>
      </c>
      <c r="AJ1862" s="77"/>
      <c r="AK1862" s="77"/>
      <c r="AL1862" s="77"/>
      <c r="AM1862" s="77"/>
      <c r="AN1862" s="77"/>
      <c r="AO1862" s="77"/>
      <c r="AP1862" s="77"/>
      <c r="AQ1862" s="77"/>
      <c r="AR1862" s="77"/>
      <c r="AS1862" s="77"/>
      <c r="AT1862" s="77"/>
      <c r="AU1862" s="77"/>
      <c r="AV1862" s="80" t="str">
        <f>HYPERLINK("https://pbs.twimg.com/profile_images/1620068456165933060/TShADQck_normal.jpg")</f>
        <v>https://pbs.twimg.com/profile_images/1620068456165933060/TShADQck_normal.jpg</v>
      </c>
      <c r="AW1862" s="82" t="s">
        <v>14953</v>
      </c>
      <c r="AX1862" s="82" t="s">
        <v>14953</v>
      </c>
      <c r="AY1862" s="77"/>
      <c r="AZ1862" s="82" t="s">
        <v>17385</v>
      </c>
      <c r="BA1862" s="82" t="s">
        <v>17385</v>
      </c>
      <c r="BB1862" s="82" t="s">
        <v>17385</v>
      </c>
      <c r="BC1862" s="82" t="s">
        <v>14953</v>
      </c>
      <c r="BD1862" s="82" t="s">
        <v>17557</v>
      </c>
      <c r="BE1862" s="77"/>
      <c r="BF1862" s="77"/>
      <c r="BG1862" s="77"/>
      <c r="BH1862" s="77"/>
      <c r="BI1862" s="77"/>
    </row>
    <row r="1863" spans="1:61" x14ac:dyDescent="0.25">
      <c r="A1863" s="62" t="s">
        <v>435</v>
      </c>
      <c r="B1863" s="62" t="s">
        <v>435</v>
      </c>
      <c r="C1863" s="63"/>
      <c r="D1863" s="64"/>
      <c r="E1863" s="65"/>
      <c r="F1863" s="66"/>
      <c r="G1863" s="63"/>
      <c r="H1863" s="67"/>
      <c r="I1863" s="68"/>
      <c r="J1863" s="68"/>
      <c r="K1863" s="32"/>
      <c r="L1863" s="75">
        <v>1863</v>
      </c>
      <c r="M1863" s="75"/>
      <c r="N1863" s="70"/>
      <c r="O1863" s="77" t="s">
        <v>179</v>
      </c>
      <c r="P1863" s="79">
        <v>45167.462523148148</v>
      </c>
      <c r="Q1863" s="77" t="s">
        <v>2649</v>
      </c>
      <c r="R1863" s="77">
        <v>0</v>
      </c>
      <c r="S1863" s="77">
        <v>0</v>
      </c>
      <c r="T1863" s="77">
        <v>0</v>
      </c>
      <c r="U1863" s="77">
        <v>0</v>
      </c>
      <c r="V1863" s="77">
        <v>96</v>
      </c>
      <c r="W1863" s="82" t="s">
        <v>6013</v>
      </c>
      <c r="X1863" s="80" t="str">
        <f>HYPERLINK("https://flj.com.br/noticia/mercados-sobem-a-espera-de-dados-economicos-nos-eua")</f>
        <v>https://flj.com.br/noticia/mercados-sobem-a-espera-de-dados-economicos-nos-eua</v>
      </c>
      <c r="Y1863" s="77" t="s">
        <v>7053</v>
      </c>
      <c r="Z1863" s="77"/>
      <c r="AA1863" s="77"/>
      <c r="AB1863" s="77"/>
      <c r="AC1863" s="82" t="s">
        <v>8232</v>
      </c>
      <c r="AD1863" s="77" t="s">
        <v>8278</v>
      </c>
      <c r="AE1863" s="80" t="str">
        <f>HYPERLINK("https://twitter.com/leiaflj/status/1696479316450705550")</f>
        <v>https://twitter.com/leiaflj/status/1696479316450705550</v>
      </c>
      <c r="AF1863" s="79">
        <v>45167.462523148148</v>
      </c>
      <c r="AG1863" s="85">
        <v>45167</v>
      </c>
      <c r="AH1863" s="82" t="s">
        <v>9971</v>
      </c>
      <c r="AI1863" s="77" t="b">
        <v>0</v>
      </c>
      <c r="AJ1863" s="77"/>
      <c r="AK1863" s="77"/>
      <c r="AL1863" s="77"/>
      <c r="AM1863" s="77"/>
      <c r="AN1863" s="77"/>
      <c r="AO1863" s="77"/>
      <c r="AP1863" s="77"/>
      <c r="AQ1863" s="77"/>
      <c r="AR1863" s="77"/>
      <c r="AS1863" s="77"/>
      <c r="AT1863" s="77"/>
      <c r="AU1863" s="77"/>
      <c r="AV1863" s="80" t="str">
        <f>HYPERLINK("https://pbs.twimg.com/profile_images/1620068456165933060/TShADQck_normal.jpg")</f>
        <v>https://pbs.twimg.com/profile_images/1620068456165933060/TShADQck_normal.jpg</v>
      </c>
      <c r="AW1863" s="82" t="s">
        <v>14954</v>
      </c>
      <c r="AX1863" s="82" t="s">
        <v>14954</v>
      </c>
      <c r="AY1863" s="77"/>
      <c r="AZ1863" s="82" t="s">
        <v>17385</v>
      </c>
      <c r="BA1863" s="82" t="s">
        <v>17385</v>
      </c>
      <c r="BB1863" s="82" t="s">
        <v>17385</v>
      </c>
      <c r="BC1863" s="82" t="s">
        <v>14954</v>
      </c>
      <c r="BD1863" s="82" t="s">
        <v>17557</v>
      </c>
      <c r="BE1863" s="77"/>
      <c r="BF1863" s="77"/>
      <c r="BG1863" s="77"/>
      <c r="BH1863" s="77"/>
      <c r="BI1863" s="77"/>
    </row>
    <row r="1864" spans="1:61" x14ac:dyDescent="0.25">
      <c r="A1864" s="62" t="s">
        <v>435</v>
      </c>
      <c r="B1864" s="62" t="s">
        <v>435</v>
      </c>
      <c r="C1864" s="63"/>
      <c r="D1864" s="64"/>
      <c r="E1864" s="65"/>
      <c r="F1864" s="66"/>
      <c r="G1864" s="63"/>
      <c r="H1864" s="67"/>
      <c r="I1864" s="68"/>
      <c r="J1864" s="68"/>
      <c r="K1864" s="32"/>
      <c r="L1864" s="75">
        <v>1864</v>
      </c>
      <c r="M1864" s="75"/>
      <c r="N1864" s="70"/>
      <c r="O1864" s="77" t="s">
        <v>179</v>
      </c>
      <c r="P1864" s="79">
        <v>45166.589861111112</v>
      </c>
      <c r="Q1864" s="77" t="s">
        <v>2650</v>
      </c>
      <c r="R1864" s="77">
        <v>0</v>
      </c>
      <c r="S1864" s="77">
        <v>1</v>
      </c>
      <c r="T1864" s="77">
        <v>0</v>
      </c>
      <c r="U1864" s="77">
        <v>0</v>
      </c>
      <c r="V1864" s="77">
        <v>155</v>
      </c>
      <c r="W1864" s="82" t="s">
        <v>5975</v>
      </c>
      <c r="X1864" s="80" t="str">
        <f>HYPERLINK("https://flj.com.br/noticia/mercados-ibovespa-ameaca-nova-alta-com-exterior-e-campos-neto-no-radar")</f>
        <v>https://flj.com.br/noticia/mercados-ibovespa-ameaca-nova-alta-com-exterior-e-campos-neto-no-radar</v>
      </c>
      <c r="Y1864" s="77" t="s">
        <v>7053</v>
      </c>
      <c r="Z1864" s="77"/>
      <c r="AA1864" s="77"/>
      <c r="AB1864" s="77"/>
      <c r="AC1864" s="82" t="s">
        <v>8232</v>
      </c>
      <c r="AD1864" s="77" t="s">
        <v>8278</v>
      </c>
      <c r="AE1864" s="80" t="str">
        <f>HYPERLINK("https://twitter.com/leiaflj/status/1696163071503348071")</f>
        <v>https://twitter.com/leiaflj/status/1696163071503348071</v>
      </c>
      <c r="AF1864" s="79">
        <v>45166.589861111112</v>
      </c>
      <c r="AG1864" s="85">
        <v>45166</v>
      </c>
      <c r="AH1864" s="82" t="s">
        <v>9972</v>
      </c>
      <c r="AI1864" s="77" t="b">
        <v>0</v>
      </c>
      <c r="AJ1864" s="77"/>
      <c r="AK1864" s="77"/>
      <c r="AL1864" s="77"/>
      <c r="AM1864" s="77"/>
      <c r="AN1864" s="77"/>
      <c r="AO1864" s="77"/>
      <c r="AP1864" s="77"/>
      <c r="AQ1864" s="77"/>
      <c r="AR1864" s="77"/>
      <c r="AS1864" s="77"/>
      <c r="AT1864" s="77"/>
      <c r="AU1864" s="77"/>
      <c r="AV1864" s="80" t="str">
        <f>HYPERLINK("https://pbs.twimg.com/profile_images/1620068456165933060/TShADQck_normal.jpg")</f>
        <v>https://pbs.twimg.com/profile_images/1620068456165933060/TShADQck_normal.jpg</v>
      </c>
      <c r="AW1864" s="82" t="s">
        <v>14955</v>
      </c>
      <c r="AX1864" s="82" t="s">
        <v>14955</v>
      </c>
      <c r="AY1864" s="77"/>
      <c r="AZ1864" s="82" t="s">
        <v>17385</v>
      </c>
      <c r="BA1864" s="82" t="s">
        <v>17385</v>
      </c>
      <c r="BB1864" s="82" t="s">
        <v>17385</v>
      </c>
      <c r="BC1864" s="82" t="s">
        <v>14955</v>
      </c>
      <c r="BD1864" s="82" t="s">
        <v>17557</v>
      </c>
      <c r="BE1864" s="77"/>
      <c r="BF1864" s="77"/>
      <c r="BG1864" s="77"/>
      <c r="BH1864" s="77"/>
      <c r="BI1864" s="77"/>
    </row>
    <row r="1865" spans="1:61" x14ac:dyDescent="0.25">
      <c r="A1865" s="62" t="s">
        <v>435</v>
      </c>
      <c r="B1865" s="62" t="s">
        <v>435</v>
      </c>
      <c r="C1865" s="63"/>
      <c r="D1865" s="64"/>
      <c r="E1865" s="65"/>
      <c r="F1865" s="66"/>
      <c r="G1865" s="63"/>
      <c r="H1865" s="67"/>
      <c r="I1865" s="68"/>
      <c r="J1865" s="68"/>
      <c r="K1865" s="32"/>
      <c r="L1865" s="75">
        <v>1865</v>
      </c>
      <c r="M1865" s="75"/>
      <c r="N1865" s="70"/>
      <c r="O1865" s="77" t="s">
        <v>179</v>
      </c>
      <c r="P1865" s="79">
        <v>45151.5</v>
      </c>
      <c r="Q1865" s="77" t="s">
        <v>2651</v>
      </c>
      <c r="R1865" s="77">
        <v>0</v>
      </c>
      <c r="S1865" s="77">
        <v>2</v>
      </c>
      <c r="T1865" s="77">
        <v>0</v>
      </c>
      <c r="U1865" s="77">
        <v>0</v>
      </c>
      <c r="V1865" s="77">
        <v>162</v>
      </c>
      <c r="W1865" s="82" t="s">
        <v>5907</v>
      </c>
      <c r="X1865" s="80" t="str">
        <f>HYPERLINK("https://flj.com.br/")</f>
        <v>https://flj.com.br/</v>
      </c>
      <c r="Y1865" s="77" t="s">
        <v>7053</v>
      </c>
      <c r="Z1865" s="77"/>
      <c r="AA1865" s="77" t="s">
        <v>7907</v>
      </c>
      <c r="AB1865" s="77" t="s">
        <v>8229</v>
      </c>
      <c r="AC1865" s="82" t="s">
        <v>8232</v>
      </c>
      <c r="AD1865" s="77" t="s">
        <v>8278</v>
      </c>
      <c r="AE1865" s="80" t="str">
        <f>HYPERLINK("https://twitter.com/leiaflj/status/1690694690369064960")</f>
        <v>https://twitter.com/leiaflj/status/1690694690369064960</v>
      </c>
      <c r="AF1865" s="79">
        <v>45151.5</v>
      </c>
      <c r="AG1865" s="85">
        <v>45151</v>
      </c>
      <c r="AH1865" s="82" t="s">
        <v>8595</v>
      </c>
      <c r="AI1865" s="77" t="b">
        <v>0</v>
      </c>
      <c r="AJ1865" s="77"/>
      <c r="AK1865" s="77"/>
      <c r="AL1865" s="77"/>
      <c r="AM1865" s="77"/>
      <c r="AN1865" s="77"/>
      <c r="AO1865" s="77"/>
      <c r="AP1865" s="77"/>
      <c r="AQ1865" s="77" t="s">
        <v>12792</v>
      </c>
      <c r="AR1865" s="77"/>
      <c r="AS1865" s="77"/>
      <c r="AT1865" s="77"/>
      <c r="AU1865" s="77"/>
      <c r="AV1865" s="80" t="str">
        <f>HYPERLINK("https://pbs.twimg.com/media/F3Rw8wpW0AAXl_6.jpg")</f>
        <v>https://pbs.twimg.com/media/F3Rw8wpW0AAXl_6.jpg</v>
      </c>
      <c r="AW1865" s="82" t="s">
        <v>14956</v>
      </c>
      <c r="AX1865" s="82" t="s">
        <v>14956</v>
      </c>
      <c r="AY1865" s="77"/>
      <c r="AZ1865" s="82" t="s">
        <v>17385</v>
      </c>
      <c r="BA1865" s="82" t="s">
        <v>17385</v>
      </c>
      <c r="BB1865" s="82" t="s">
        <v>17385</v>
      </c>
      <c r="BC1865" s="82" t="s">
        <v>14956</v>
      </c>
      <c r="BD1865" s="82" t="s">
        <v>17557</v>
      </c>
      <c r="BE1865" s="77"/>
      <c r="BF1865" s="77"/>
      <c r="BG1865" s="77"/>
      <c r="BH1865" s="77"/>
      <c r="BI1865" s="77"/>
    </row>
    <row r="1866" spans="1:61" x14ac:dyDescent="0.25">
      <c r="A1866" s="62" t="s">
        <v>435</v>
      </c>
      <c r="B1866" s="62" t="s">
        <v>435</v>
      </c>
      <c r="C1866" s="63"/>
      <c r="D1866" s="64"/>
      <c r="E1866" s="65"/>
      <c r="F1866" s="66"/>
      <c r="G1866" s="63"/>
      <c r="H1866" s="67"/>
      <c r="I1866" s="68"/>
      <c r="J1866" s="68"/>
      <c r="K1866" s="32"/>
      <c r="L1866" s="75">
        <v>1866</v>
      </c>
      <c r="M1866" s="75"/>
      <c r="N1866" s="70"/>
      <c r="O1866" s="77" t="s">
        <v>179</v>
      </c>
      <c r="P1866" s="79">
        <v>45149.469409722224</v>
      </c>
      <c r="Q1866" s="77" t="s">
        <v>2652</v>
      </c>
      <c r="R1866" s="77">
        <v>0</v>
      </c>
      <c r="S1866" s="77">
        <v>1</v>
      </c>
      <c r="T1866" s="77">
        <v>0</v>
      </c>
      <c r="U1866" s="77">
        <v>0</v>
      </c>
      <c r="V1866" s="77">
        <v>183</v>
      </c>
      <c r="W1866" s="82" t="s">
        <v>6014</v>
      </c>
      <c r="X1866" s="80" t="str">
        <f>HYPERLINK("https://flj.com.br/noticia/light-ligt3-reverte-prejuizo-e-tem-lucro-liquido-de-r-109-4-milhoes-no-2t23")</f>
        <v>https://flj.com.br/noticia/light-ligt3-reverte-prejuizo-e-tem-lucro-liquido-de-r-109-4-milhoes-no-2t23</v>
      </c>
      <c r="Y1866" s="77" t="s">
        <v>7053</v>
      </c>
      <c r="Z1866" s="77"/>
      <c r="AA1866" s="77"/>
      <c r="AB1866" s="77"/>
      <c r="AC1866" s="82" t="s">
        <v>8232</v>
      </c>
      <c r="AD1866" s="77" t="s">
        <v>8278</v>
      </c>
      <c r="AE1866" s="80" t="str">
        <f>HYPERLINK("https://twitter.com/leiaflj/status/1689958829805502466")</f>
        <v>https://twitter.com/leiaflj/status/1689958829805502466</v>
      </c>
      <c r="AF1866" s="79">
        <v>45149.469409722224</v>
      </c>
      <c r="AG1866" s="85">
        <v>45149</v>
      </c>
      <c r="AH1866" s="82" t="s">
        <v>9973</v>
      </c>
      <c r="AI1866" s="77" t="b">
        <v>0</v>
      </c>
      <c r="AJ1866" s="77"/>
      <c r="AK1866" s="77"/>
      <c r="AL1866" s="77"/>
      <c r="AM1866" s="77"/>
      <c r="AN1866" s="77"/>
      <c r="AO1866" s="77"/>
      <c r="AP1866" s="77"/>
      <c r="AQ1866" s="77"/>
      <c r="AR1866" s="77"/>
      <c r="AS1866" s="77"/>
      <c r="AT1866" s="77"/>
      <c r="AU1866" s="77"/>
      <c r="AV1866" s="80" t="str">
        <f>HYPERLINK("https://pbs.twimg.com/profile_images/1620068456165933060/TShADQck_normal.jpg")</f>
        <v>https://pbs.twimg.com/profile_images/1620068456165933060/TShADQck_normal.jpg</v>
      </c>
      <c r="AW1866" s="82" t="s">
        <v>14957</v>
      </c>
      <c r="AX1866" s="82" t="s">
        <v>14957</v>
      </c>
      <c r="AY1866" s="77"/>
      <c r="AZ1866" s="82" t="s">
        <v>17385</v>
      </c>
      <c r="BA1866" s="82" t="s">
        <v>17385</v>
      </c>
      <c r="BB1866" s="82" t="s">
        <v>17385</v>
      </c>
      <c r="BC1866" s="82" t="s">
        <v>14957</v>
      </c>
      <c r="BD1866" s="82" t="s">
        <v>17557</v>
      </c>
      <c r="BE1866" s="77"/>
      <c r="BF1866" s="77"/>
      <c r="BG1866" s="77"/>
      <c r="BH1866" s="77"/>
      <c r="BI1866" s="77"/>
    </row>
    <row r="1867" spans="1:61" x14ac:dyDescent="0.25">
      <c r="A1867" s="62" t="s">
        <v>435</v>
      </c>
      <c r="B1867" s="62" t="s">
        <v>435</v>
      </c>
      <c r="C1867" s="63"/>
      <c r="D1867" s="64"/>
      <c r="E1867" s="65"/>
      <c r="F1867" s="66"/>
      <c r="G1867" s="63"/>
      <c r="H1867" s="67"/>
      <c r="I1867" s="68"/>
      <c r="J1867" s="68"/>
      <c r="K1867" s="32"/>
      <c r="L1867" s="75">
        <v>1867</v>
      </c>
      <c r="M1867" s="75"/>
      <c r="N1867" s="70"/>
      <c r="O1867" s="77" t="s">
        <v>179</v>
      </c>
      <c r="P1867" s="79">
        <v>45118.479895833334</v>
      </c>
      <c r="Q1867" s="77" t="s">
        <v>2653</v>
      </c>
      <c r="R1867" s="77">
        <v>0</v>
      </c>
      <c r="S1867" s="77">
        <v>0</v>
      </c>
      <c r="T1867" s="77">
        <v>0</v>
      </c>
      <c r="U1867" s="77">
        <v>0</v>
      </c>
      <c r="V1867" s="77">
        <v>162</v>
      </c>
      <c r="W1867" s="82" t="s">
        <v>6015</v>
      </c>
      <c r="X1867" s="80" t="str">
        <f>HYPERLINK("https://flj.com.br/noticia/petrobras-petr4-atropelou-a-unipar-e-vai-comprar-a-braskem-brkm5")</f>
        <v>https://flj.com.br/noticia/petrobras-petr4-atropelou-a-unipar-e-vai-comprar-a-braskem-brkm5</v>
      </c>
      <c r="Y1867" s="77" t="s">
        <v>7053</v>
      </c>
      <c r="Z1867" s="77"/>
      <c r="AA1867" s="77"/>
      <c r="AB1867" s="77"/>
      <c r="AC1867" s="82" t="s">
        <v>8232</v>
      </c>
      <c r="AD1867" s="77" t="s">
        <v>8278</v>
      </c>
      <c r="AE1867" s="80" t="str">
        <f>HYPERLINK("https://twitter.com/leiaflj/status/1678728603767324672")</f>
        <v>https://twitter.com/leiaflj/status/1678728603767324672</v>
      </c>
      <c r="AF1867" s="79">
        <v>45118.479895833334</v>
      </c>
      <c r="AG1867" s="85">
        <v>45118</v>
      </c>
      <c r="AH1867" s="82" t="s">
        <v>9974</v>
      </c>
      <c r="AI1867" s="77" t="b">
        <v>0</v>
      </c>
      <c r="AJ1867" s="77"/>
      <c r="AK1867" s="77"/>
      <c r="AL1867" s="77"/>
      <c r="AM1867" s="77"/>
      <c r="AN1867" s="77"/>
      <c r="AO1867" s="77"/>
      <c r="AP1867" s="77"/>
      <c r="AQ1867" s="77"/>
      <c r="AR1867" s="77"/>
      <c r="AS1867" s="77"/>
      <c r="AT1867" s="77"/>
      <c r="AU1867" s="77"/>
      <c r="AV1867" s="80" t="str">
        <f>HYPERLINK("https://pbs.twimg.com/profile_images/1620068456165933060/TShADQck_normal.jpg")</f>
        <v>https://pbs.twimg.com/profile_images/1620068456165933060/TShADQck_normal.jpg</v>
      </c>
      <c r="AW1867" s="82" t="s">
        <v>14958</v>
      </c>
      <c r="AX1867" s="82" t="s">
        <v>14958</v>
      </c>
      <c r="AY1867" s="77"/>
      <c r="AZ1867" s="82" t="s">
        <v>17385</v>
      </c>
      <c r="BA1867" s="82" t="s">
        <v>17385</v>
      </c>
      <c r="BB1867" s="82" t="s">
        <v>17385</v>
      </c>
      <c r="BC1867" s="82" t="s">
        <v>14958</v>
      </c>
      <c r="BD1867" s="82" t="s">
        <v>17557</v>
      </c>
      <c r="BE1867" s="77"/>
      <c r="BF1867" s="77"/>
      <c r="BG1867" s="77"/>
      <c r="BH1867" s="77"/>
      <c r="BI1867" s="77"/>
    </row>
    <row r="1868" spans="1:61" x14ac:dyDescent="0.25">
      <c r="A1868" s="62" t="s">
        <v>435</v>
      </c>
      <c r="B1868" s="62" t="s">
        <v>435</v>
      </c>
      <c r="C1868" s="63"/>
      <c r="D1868" s="64"/>
      <c r="E1868" s="65"/>
      <c r="F1868" s="66"/>
      <c r="G1868" s="63"/>
      <c r="H1868" s="67"/>
      <c r="I1868" s="68"/>
      <c r="J1868" s="68"/>
      <c r="K1868" s="32"/>
      <c r="L1868" s="75">
        <v>1868</v>
      </c>
      <c r="M1868" s="75"/>
      <c r="N1868" s="70"/>
      <c r="O1868" s="77" t="s">
        <v>179</v>
      </c>
      <c r="P1868" s="79">
        <v>45117.461064814815</v>
      </c>
      <c r="Q1868" s="77" t="s">
        <v>2654</v>
      </c>
      <c r="R1868" s="77">
        <v>0</v>
      </c>
      <c r="S1868" s="77">
        <v>0</v>
      </c>
      <c r="T1868" s="77">
        <v>0</v>
      </c>
      <c r="U1868" s="77">
        <v>0</v>
      </c>
      <c r="V1868" s="77">
        <v>113</v>
      </c>
      <c r="W1868" s="82" t="s">
        <v>6016</v>
      </c>
      <c r="X1868" s="80" t="str">
        <f>HYPERLINK("https://flj.com.br/noticia/mercados-globais-ficam-em-alerta-com-dados-da-china")</f>
        <v>https://flj.com.br/noticia/mercados-globais-ficam-em-alerta-com-dados-da-china</v>
      </c>
      <c r="Y1868" s="77" t="s">
        <v>7053</v>
      </c>
      <c r="Z1868" s="77"/>
      <c r="AA1868" s="77"/>
      <c r="AB1868" s="77"/>
      <c r="AC1868" s="82" t="s">
        <v>8232</v>
      </c>
      <c r="AD1868" s="77" t="s">
        <v>8278</v>
      </c>
      <c r="AE1868" s="80" t="str">
        <f>HYPERLINK("https://twitter.com/leiaflj/status/1678359393954349058")</f>
        <v>https://twitter.com/leiaflj/status/1678359393954349058</v>
      </c>
      <c r="AF1868" s="79">
        <v>45117.461064814815</v>
      </c>
      <c r="AG1868" s="85">
        <v>45117</v>
      </c>
      <c r="AH1868" s="82" t="s">
        <v>9975</v>
      </c>
      <c r="AI1868" s="77" t="b">
        <v>0</v>
      </c>
      <c r="AJ1868" s="77"/>
      <c r="AK1868" s="77"/>
      <c r="AL1868" s="77"/>
      <c r="AM1868" s="77"/>
      <c r="AN1868" s="77"/>
      <c r="AO1868" s="77"/>
      <c r="AP1868" s="77"/>
      <c r="AQ1868" s="77"/>
      <c r="AR1868" s="77"/>
      <c r="AS1868" s="77"/>
      <c r="AT1868" s="77"/>
      <c r="AU1868" s="77"/>
      <c r="AV1868" s="80" t="str">
        <f>HYPERLINK("https://pbs.twimg.com/profile_images/1620068456165933060/TShADQck_normal.jpg")</f>
        <v>https://pbs.twimg.com/profile_images/1620068456165933060/TShADQck_normal.jpg</v>
      </c>
      <c r="AW1868" s="82" t="s">
        <v>14959</v>
      </c>
      <c r="AX1868" s="82" t="s">
        <v>14959</v>
      </c>
      <c r="AY1868" s="77"/>
      <c r="AZ1868" s="82" t="s">
        <v>17385</v>
      </c>
      <c r="BA1868" s="82" t="s">
        <v>17385</v>
      </c>
      <c r="BB1868" s="82" t="s">
        <v>17385</v>
      </c>
      <c r="BC1868" s="82" t="s">
        <v>14959</v>
      </c>
      <c r="BD1868" s="82" t="s">
        <v>17557</v>
      </c>
      <c r="BE1868" s="77"/>
      <c r="BF1868" s="77"/>
      <c r="BG1868" s="77"/>
      <c r="BH1868" s="77"/>
      <c r="BI1868" s="77"/>
    </row>
    <row r="1869" spans="1:61" x14ac:dyDescent="0.25">
      <c r="A1869" s="62" t="s">
        <v>435</v>
      </c>
      <c r="B1869" s="62" t="s">
        <v>435</v>
      </c>
      <c r="C1869" s="63"/>
      <c r="D1869" s="64"/>
      <c r="E1869" s="65"/>
      <c r="F1869" s="66"/>
      <c r="G1869" s="63"/>
      <c r="H1869" s="67"/>
      <c r="I1869" s="68"/>
      <c r="J1869" s="68"/>
      <c r="K1869" s="32"/>
      <c r="L1869" s="75">
        <v>1869</v>
      </c>
      <c r="M1869" s="75"/>
      <c r="N1869" s="70"/>
      <c r="O1869" s="77" t="s">
        <v>179</v>
      </c>
      <c r="P1869" s="79">
        <v>45095.500023148146</v>
      </c>
      <c r="Q1869" s="77" t="s">
        <v>2655</v>
      </c>
      <c r="R1869" s="77">
        <v>0</v>
      </c>
      <c r="S1869" s="77">
        <v>0</v>
      </c>
      <c r="T1869" s="77">
        <v>0</v>
      </c>
      <c r="U1869" s="77">
        <v>0</v>
      </c>
      <c r="V1869" s="77">
        <v>159</v>
      </c>
      <c r="W1869" s="82" t="s">
        <v>5907</v>
      </c>
      <c r="X1869" s="80" t="str">
        <f>HYPERLINK("https://flj.com.br/")</f>
        <v>https://flj.com.br/</v>
      </c>
      <c r="Y1869" s="77" t="s">
        <v>7053</v>
      </c>
      <c r="Z1869" s="77"/>
      <c r="AA1869" s="77" t="s">
        <v>7908</v>
      </c>
      <c r="AB1869" s="77" t="s">
        <v>8229</v>
      </c>
      <c r="AC1869" s="82" t="s">
        <v>8232</v>
      </c>
      <c r="AD1869" s="77" t="s">
        <v>8278</v>
      </c>
      <c r="AE1869" s="80" t="str">
        <f>HYPERLINK("https://twitter.com/leiaflj/status/1670400979831861250")</f>
        <v>https://twitter.com/leiaflj/status/1670400979831861250</v>
      </c>
      <c r="AF1869" s="79">
        <v>45095.500023148146</v>
      </c>
      <c r="AG1869" s="85">
        <v>45095</v>
      </c>
      <c r="AH1869" s="82" t="s">
        <v>8594</v>
      </c>
      <c r="AI1869" s="77" t="b">
        <v>0</v>
      </c>
      <c r="AJ1869" s="77"/>
      <c r="AK1869" s="77"/>
      <c r="AL1869" s="77"/>
      <c r="AM1869" s="77"/>
      <c r="AN1869" s="77"/>
      <c r="AO1869" s="77"/>
      <c r="AP1869" s="77"/>
      <c r="AQ1869" s="77" t="s">
        <v>12793</v>
      </c>
      <c r="AR1869" s="77"/>
      <c r="AS1869" s="77"/>
      <c r="AT1869" s="77"/>
      <c r="AU1869" s="77"/>
      <c r="AV1869" s="80" t="str">
        <f>HYPERLINK("https://pbs.twimg.com/media/FyxG82GWIAg9tIu.jpg")</f>
        <v>https://pbs.twimg.com/media/FyxG82GWIAg9tIu.jpg</v>
      </c>
      <c r="AW1869" s="82" t="s">
        <v>14960</v>
      </c>
      <c r="AX1869" s="82" t="s">
        <v>14960</v>
      </c>
      <c r="AY1869" s="77"/>
      <c r="AZ1869" s="82" t="s">
        <v>17385</v>
      </c>
      <c r="BA1869" s="82" t="s">
        <v>17385</v>
      </c>
      <c r="BB1869" s="82" t="s">
        <v>17385</v>
      </c>
      <c r="BC1869" s="82" t="s">
        <v>14960</v>
      </c>
      <c r="BD1869" s="82" t="s">
        <v>17557</v>
      </c>
      <c r="BE1869" s="77"/>
      <c r="BF1869" s="77"/>
      <c r="BG1869" s="77"/>
      <c r="BH1869" s="77"/>
      <c r="BI1869" s="77"/>
    </row>
    <row r="1870" spans="1:61" x14ac:dyDescent="0.25">
      <c r="A1870" s="62" t="s">
        <v>435</v>
      </c>
      <c r="B1870" s="62" t="s">
        <v>435</v>
      </c>
      <c r="C1870" s="63"/>
      <c r="D1870" s="64"/>
      <c r="E1870" s="65"/>
      <c r="F1870" s="66"/>
      <c r="G1870" s="63"/>
      <c r="H1870" s="67"/>
      <c r="I1870" s="68"/>
      <c r="J1870" s="68"/>
      <c r="K1870" s="32"/>
      <c r="L1870" s="75">
        <v>1870</v>
      </c>
      <c r="M1870" s="75"/>
      <c r="N1870" s="70"/>
      <c r="O1870" s="77" t="s">
        <v>179</v>
      </c>
      <c r="P1870" s="79">
        <v>45092.642627314817</v>
      </c>
      <c r="Q1870" s="77" t="s">
        <v>2656</v>
      </c>
      <c r="R1870" s="77">
        <v>0</v>
      </c>
      <c r="S1870" s="77">
        <v>1</v>
      </c>
      <c r="T1870" s="77">
        <v>0</v>
      </c>
      <c r="U1870" s="77">
        <v>0</v>
      </c>
      <c r="V1870" s="77">
        <v>75</v>
      </c>
      <c r="W1870" s="82" t="s">
        <v>5909</v>
      </c>
      <c r="X1870" s="80" t="str">
        <f>HYPERLINK("https://flj.com.br/noticia/ibovespa-renova-maximas-desde-2022-com-apoio-externo-apos-s-p")</f>
        <v>https://flj.com.br/noticia/ibovespa-renova-maximas-desde-2022-com-apoio-externo-apos-s-p</v>
      </c>
      <c r="Y1870" s="77" t="s">
        <v>7053</v>
      </c>
      <c r="Z1870" s="77"/>
      <c r="AA1870" s="77"/>
      <c r="AB1870" s="77"/>
      <c r="AC1870" s="82" t="s">
        <v>8232</v>
      </c>
      <c r="AD1870" s="77" t="s">
        <v>8278</v>
      </c>
      <c r="AE1870" s="80" t="str">
        <f>HYPERLINK("https://twitter.com/leiaflj/status/1669365492912357376")</f>
        <v>https://twitter.com/leiaflj/status/1669365492912357376</v>
      </c>
      <c r="AF1870" s="79">
        <v>45092.642627314817</v>
      </c>
      <c r="AG1870" s="85">
        <v>45092</v>
      </c>
      <c r="AH1870" s="82" t="s">
        <v>9976</v>
      </c>
      <c r="AI1870" s="77" t="b">
        <v>0</v>
      </c>
      <c r="AJ1870" s="77"/>
      <c r="AK1870" s="77"/>
      <c r="AL1870" s="77"/>
      <c r="AM1870" s="77"/>
      <c r="AN1870" s="77"/>
      <c r="AO1870" s="77"/>
      <c r="AP1870" s="77"/>
      <c r="AQ1870" s="77"/>
      <c r="AR1870" s="77"/>
      <c r="AS1870" s="77"/>
      <c r="AT1870" s="77"/>
      <c r="AU1870" s="77"/>
      <c r="AV1870" s="80" t="str">
        <f>HYPERLINK("https://pbs.twimg.com/profile_images/1620068456165933060/TShADQck_normal.jpg")</f>
        <v>https://pbs.twimg.com/profile_images/1620068456165933060/TShADQck_normal.jpg</v>
      </c>
      <c r="AW1870" s="82" t="s">
        <v>14961</v>
      </c>
      <c r="AX1870" s="82" t="s">
        <v>14961</v>
      </c>
      <c r="AY1870" s="77"/>
      <c r="AZ1870" s="82" t="s">
        <v>17385</v>
      </c>
      <c r="BA1870" s="82" t="s">
        <v>17385</v>
      </c>
      <c r="BB1870" s="82" t="s">
        <v>17385</v>
      </c>
      <c r="BC1870" s="82" t="s">
        <v>14961</v>
      </c>
      <c r="BD1870" s="82" t="s">
        <v>17557</v>
      </c>
      <c r="BE1870" s="77"/>
      <c r="BF1870" s="77"/>
      <c r="BG1870" s="77"/>
      <c r="BH1870" s="77"/>
      <c r="BI1870" s="77"/>
    </row>
    <row r="1871" spans="1:61" x14ac:dyDescent="0.25">
      <c r="A1871" s="62" t="s">
        <v>435</v>
      </c>
      <c r="B1871" s="62" t="s">
        <v>435</v>
      </c>
      <c r="C1871" s="63"/>
      <c r="D1871" s="64"/>
      <c r="E1871" s="65"/>
      <c r="F1871" s="66"/>
      <c r="G1871" s="63"/>
      <c r="H1871" s="67"/>
      <c r="I1871" s="68"/>
      <c r="J1871" s="68"/>
      <c r="K1871" s="32"/>
      <c r="L1871" s="75">
        <v>1871</v>
      </c>
      <c r="M1871" s="75"/>
      <c r="N1871" s="70"/>
      <c r="O1871" s="77" t="s">
        <v>179</v>
      </c>
      <c r="P1871" s="79">
        <v>45092.442280092589</v>
      </c>
      <c r="Q1871" s="77" t="s">
        <v>2657</v>
      </c>
      <c r="R1871" s="77">
        <v>0</v>
      </c>
      <c r="S1871" s="77">
        <v>0</v>
      </c>
      <c r="T1871" s="77">
        <v>0</v>
      </c>
      <c r="U1871" s="77">
        <v>0</v>
      </c>
      <c r="V1871" s="77">
        <v>209</v>
      </c>
      <c r="W1871" s="82" t="s">
        <v>6017</v>
      </c>
      <c r="X1871" s="80" t="str">
        <f>HYPERLINK("https://flj.com.br/noticia/oi-oibr3-tem-prejuizo-de-r-1-26-bilhao-no-1o-trimestre")</f>
        <v>https://flj.com.br/noticia/oi-oibr3-tem-prejuizo-de-r-1-26-bilhao-no-1o-trimestre</v>
      </c>
      <c r="Y1871" s="77" t="s">
        <v>7053</v>
      </c>
      <c r="Z1871" s="77"/>
      <c r="AA1871" s="77"/>
      <c r="AB1871" s="77"/>
      <c r="AC1871" s="82" t="s">
        <v>8232</v>
      </c>
      <c r="AD1871" s="77" t="s">
        <v>8278</v>
      </c>
      <c r="AE1871" s="80" t="str">
        <f>HYPERLINK("https://twitter.com/leiaflj/status/1669292889241710592")</f>
        <v>https://twitter.com/leiaflj/status/1669292889241710592</v>
      </c>
      <c r="AF1871" s="79">
        <v>45092.442280092589</v>
      </c>
      <c r="AG1871" s="85">
        <v>45092</v>
      </c>
      <c r="AH1871" s="82" t="s">
        <v>9977</v>
      </c>
      <c r="AI1871" s="77" t="b">
        <v>0</v>
      </c>
      <c r="AJ1871" s="77"/>
      <c r="AK1871" s="77"/>
      <c r="AL1871" s="77"/>
      <c r="AM1871" s="77"/>
      <c r="AN1871" s="77"/>
      <c r="AO1871" s="77"/>
      <c r="AP1871" s="77"/>
      <c r="AQ1871" s="77"/>
      <c r="AR1871" s="77"/>
      <c r="AS1871" s="77"/>
      <c r="AT1871" s="77"/>
      <c r="AU1871" s="77"/>
      <c r="AV1871" s="80" t="str">
        <f>HYPERLINK("https://pbs.twimg.com/profile_images/1620068456165933060/TShADQck_normal.jpg")</f>
        <v>https://pbs.twimg.com/profile_images/1620068456165933060/TShADQck_normal.jpg</v>
      </c>
      <c r="AW1871" s="82" t="s">
        <v>14962</v>
      </c>
      <c r="AX1871" s="82" t="s">
        <v>14962</v>
      </c>
      <c r="AY1871" s="77"/>
      <c r="AZ1871" s="82" t="s">
        <v>17385</v>
      </c>
      <c r="BA1871" s="82" t="s">
        <v>17385</v>
      </c>
      <c r="BB1871" s="82" t="s">
        <v>17385</v>
      </c>
      <c r="BC1871" s="82" t="s">
        <v>14962</v>
      </c>
      <c r="BD1871" s="82" t="s">
        <v>17557</v>
      </c>
      <c r="BE1871" s="77"/>
      <c r="BF1871" s="77"/>
      <c r="BG1871" s="77"/>
      <c r="BH1871" s="77"/>
      <c r="BI1871" s="77"/>
    </row>
    <row r="1872" spans="1:61" x14ac:dyDescent="0.25">
      <c r="A1872" s="62" t="s">
        <v>435</v>
      </c>
      <c r="B1872" s="62" t="s">
        <v>435</v>
      </c>
      <c r="C1872" s="63"/>
      <c r="D1872" s="64"/>
      <c r="E1872" s="65"/>
      <c r="F1872" s="66"/>
      <c r="G1872" s="63"/>
      <c r="H1872" s="67"/>
      <c r="I1872" s="68"/>
      <c r="J1872" s="68"/>
      <c r="K1872" s="32"/>
      <c r="L1872" s="75">
        <v>1872</v>
      </c>
      <c r="M1872" s="75"/>
      <c r="N1872" s="70"/>
      <c r="O1872" s="77" t="s">
        <v>179</v>
      </c>
      <c r="P1872" s="79">
        <v>45091.628055555557</v>
      </c>
      <c r="Q1872" s="77" t="s">
        <v>2658</v>
      </c>
      <c r="R1872" s="77">
        <v>0</v>
      </c>
      <c r="S1872" s="77">
        <v>2</v>
      </c>
      <c r="T1872" s="77">
        <v>0</v>
      </c>
      <c r="U1872" s="77">
        <v>0</v>
      </c>
      <c r="V1872" s="77">
        <v>148</v>
      </c>
      <c r="W1872" s="82" t="s">
        <v>6018</v>
      </c>
      <c r="X1872" s="80" t="str">
        <f>HYPERLINK("https://flj.com.br/noticia/decisao-do-stf-deve-engolir-21-do-lucro-do-santander-sanb11")</f>
        <v>https://flj.com.br/noticia/decisao-do-stf-deve-engolir-21-do-lucro-do-santander-sanb11</v>
      </c>
      <c r="Y1872" s="77" t="s">
        <v>7053</v>
      </c>
      <c r="Z1872" s="77"/>
      <c r="AA1872" s="77"/>
      <c r="AB1872" s="77"/>
      <c r="AC1872" s="82" t="s">
        <v>8232</v>
      </c>
      <c r="AD1872" s="77" t="s">
        <v>8278</v>
      </c>
      <c r="AE1872" s="80" t="str">
        <f>HYPERLINK("https://twitter.com/leiaflj/status/1668997825013723139")</f>
        <v>https://twitter.com/leiaflj/status/1668997825013723139</v>
      </c>
      <c r="AF1872" s="79">
        <v>45091.628055555557</v>
      </c>
      <c r="AG1872" s="85">
        <v>45091</v>
      </c>
      <c r="AH1872" s="82" t="s">
        <v>9978</v>
      </c>
      <c r="AI1872" s="77" t="b">
        <v>0</v>
      </c>
      <c r="AJ1872" s="77"/>
      <c r="AK1872" s="77"/>
      <c r="AL1872" s="77"/>
      <c r="AM1872" s="77"/>
      <c r="AN1872" s="77"/>
      <c r="AO1872" s="77"/>
      <c r="AP1872" s="77"/>
      <c r="AQ1872" s="77"/>
      <c r="AR1872" s="77"/>
      <c r="AS1872" s="77"/>
      <c r="AT1872" s="77"/>
      <c r="AU1872" s="77"/>
      <c r="AV1872" s="80" t="str">
        <f>HYPERLINK("https://pbs.twimg.com/profile_images/1620068456165933060/TShADQck_normal.jpg")</f>
        <v>https://pbs.twimg.com/profile_images/1620068456165933060/TShADQck_normal.jpg</v>
      </c>
      <c r="AW1872" s="82" t="s">
        <v>14963</v>
      </c>
      <c r="AX1872" s="82" t="s">
        <v>14963</v>
      </c>
      <c r="AY1872" s="77"/>
      <c r="AZ1872" s="82" t="s">
        <v>17385</v>
      </c>
      <c r="BA1872" s="82" t="s">
        <v>17385</v>
      </c>
      <c r="BB1872" s="82" t="s">
        <v>17385</v>
      </c>
      <c r="BC1872" s="82" t="s">
        <v>14963</v>
      </c>
      <c r="BD1872" s="82" t="s">
        <v>17557</v>
      </c>
      <c r="BE1872" s="77"/>
      <c r="BF1872" s="77"/>
      <c r="BG1872" s="77"/>
      <c r="BH1872" s="77"/>
      <c r="BI1872" s="77"/>
    </row>
    <row r="1873" spans="1:61" x14ac:dyDescent="0.25">
      <c r="A1873" s="62" t="s">
        <v>435</v>
      </c>
      <c r="B1873" s="62" t="s">
        <v>435</v>
      </c>
      <c r="C1873" s="63"/>
      <c r="D1873" s="64"/>
      <c r="E1873" s="65"/>
      <c r="F1873" s="66"/>
      <c r="G1873" s="63"/>
      <c r="H1873" s="67"/>
      <c r="I1873" s="68"/>
      <c r="J1873" s="68"/>
      <c r="K1873" s="32"/>
      <c r="L1873" s="75">
        <v>1873</v>
      </c>
      <c r="M1873" s="75"/>
      <c r="N1873" s="70"/>
      <c r="O1873" s="77" t="s">
        <v>179</v>
      </c>
      <c r="P1873" s="79">
        <v>45057.587546296294</v>
      </c>
      <c r="Q1873" s="77" t="s">
        <v>2659</v>
      </c>
      <c r="R1873" s="77">
        <v>0</v>
      </c>
      <c r="S1873" s="77">
        <v>0</v>
      </c>
      <c r="T1873" s="77">
        <v>0</v>
      </c>
      <c r="U1873" s="77">
        <v>0</v>
      </c>
      <c r="V1873" s="77">
        <v>118</v>
      </c>
      <c r="W1873" s="82" t="s">
        <v>5975</v>
      </c>
      <c r="X1873" s="80" t="str">
        <f>HYPERLINK("https://flj.com.br/noticia/ibovespa-cai-pressionado-por-vale-com-ipca-e-arcabouco-no-radar")</f>
        <v>https://flj.com.br/noticia/ibovespa-cai-pressionado-por-vale-com-ipca-e-arcabouco-no-radar</v>
      </c>
      <c r="Y1873" s="77" t="s">
        <v>7053</v>
      </c>
      <c r="Z1873" s="77"/>
      <c r="AA1873" s="77"/>
      <c r="AB1873" s="77"/>
      <c r="AC1873" s="82" t="s">
        <v>8232</v>
      </c>
      <c r="AD1873" s="77" t="s">
        <v>8278</v>
      </c>
      <c r="AE1873" s="80" t="str">
        <f>HYPERLINK("https://twitter.com/leiaflj/status/1656661958433869829")</f>
        <v>https://twitter.com/leiaflj/status/1656661958433869829</v>
      </c>
      <c r="AF1873" s="79">
        <v>45057.587546296294</v>
      </c>
      <c r="AG1873" s="85">
        <v>45057</v>
      </c>
      <c r="AH1873" s="82" t="s">
        <v>9979</v>
      </c>
      <c r="AI1873" s="77" t="b">
        <v>0</v>
      </c>
      <c r="AJ1873" s="77"/>
      <c r="AK1873" s="77"/>
      <c r="AL1873" s="77"/>
      <c r="AM1873" s="77"/>
      <c r="AN1873" s="77"/>
      <c r="AO1873" s="77"/>
      <c r="AP1873" s="77"/>
      <c r="AQ1873" s="77"/>
      <c r="AR1873" s="77"/>
      <c r="AS1873" s="77"/>
      <c r="AT1873" s="77"/>
      <c r="AU1873" s="77"/>
      <c r="AV1873" s="80" t="str">
        <f>HYPERLINK("https://pbs.twimg.com/profile_images/1620068456165933060/TShADQck_normal.jpg")</f>
        <v>https://pbs.twimg.com/profile_images/1620068456165933060/TShADQck_normal.jpg</v>
      </c>
      <c r="AW1873" s="82" t="s">
        <v>14964</v>
      </c>
      <c r="AX1873" s="82" t="s">
        <v>14964</v>
      </c>
      <c r="AY1873" s="77"/>
      <c r="AZ1873" s="82" t="s">
        <v>17385</v>
      </c>
      <c r="BA1873" s="82" t="s">
        <v>17385</v>
      </c>
      <c r="BB1873" s="82" t="s">
        <v>17385</v>
      </c>
      <c r="BC1873" s="82" t="s">
        <v>14964</v>
      </c>
      <c r="BD1873" s="82" t="s">
        <v>17557</v>
      </c>
      <c r="BE1873" s="77"/>
      <c r="BF1873" s="77"/>
      <c r="BG1873" s="77"/>
      <c r="BH1873" s="77"/>
      <c r="BI1873" s="77"/>
    </row>
    <row r="1874" spans="1:61" x14ac:dyDescent="0.25">
      <c r="A1874" s="62" t="s">
        <v>435</v>
      </c>
      <c r="B1874" s="62" t="s">
        <v>435</v>
      </c>
      <c r="C1874" s="63"/>
      <c r="D1874" s="64"/>
      <c r="E1874" s="65"/>
      <c r="F1874" s="66"/>
      <c r="G1874" s="63"/>
      <c r="H1874" s="67"/>
      <c r="I1874" s="68"/>
      <c r="J1874" s="68"/>
      <c r="K1874" s="32"/>
      <c r="L1874" s="75">
        <v>1874</v>
      </c>
      <c r="M1874" s="75"/>
      <c r="N1874" s="70"/>
      <c r="O1874" s="77" t="s">
        <v>179</v>
      </c>
      <c r="P1874" s="79">
        <v>45057.574895833335</v>
      </c>
      <c r="Q1874" s="77" t="s">
        <v>2660</v>
      </c>
      <c r="R1874" s="77">
        <v>0</v>
      </c>
      <c r="S1874" s="77">
        <v>0</v>
      </c>
      <c r="T1874" s="77">
        <v>0</v>
      </c>
      <c r="U1874" s="77">
        <v>0</v>
      </c>
      <c r="V1874" s="77">
        <v>135</v>
      </c>
      <c r="W1874" s="82" t="s">
        <v>6019</v>
      </c>
      <c r="X1874" s="80" t="str">
        <f>HYPERLINK("https://flj.com.br/noticia/magazine-luiza-mglu3-recebera-r-1-bilhao-em-acordo-com-empresas-do-bnp-paribas")</f>
        <v>https://flj.com.br/noticia/magazine-luiza-mglu3-recebera-r-1-bilhao-em-acordo-com-empresas-do-bnp-paribas</v>
      </c>
      <c r="Y1874" s="77" t="s">
        <v>7053</v>
      </c>
      <c r="Z1874" s="77"/>
      <c r="AA1874" s="77"/>
      <c r="AB1874" s="77"/>
      <c r="AC1874" s="82" t="s">
        <v>8232</v>
      </c>
      <c r="AD1874" s="77" t="s">
        <v>8278</v>
      </c>
      <c r="AE1874" s="80" t="str">
        <f>HYPERLINK("https://twitter.com/leiaflj/status/1656657372012597248")</f>
        <v>https://twitter.com/leiaflj/status/1656657372012597248</v>
      </c>
      <c r="AF1874" s="79">
        <v>45057.574895833335</v>
      </c>
      <c r="AG1874" s="85">
        <v>45057</v>
      </c>
      <c r="AH1874" s="82" t="s">
        <v>9980</v>
      </c>
      <c r="AI1874" s="77" t="b">
        <v>0</v>
      </c>
      <c r="AJ1874" s="77"/>
      <c r="AK1874" s="77"/>
      <c r="AL1874" s="77"/>
      <c r="AM1874" s="77"/>
      <c r="AN1874" s="77"/>
      <c r="AO1874" s="77"/>
      <c r="AP1874" s="77"/>
      <c r="AQ1874" s="77"/>
      <c r="AR1874" s="77"/>
      <c r="AS1874" s="77"/>
      <c r="AT1874" s="77"/>
      <c r="AU1874" s="77"/>
      <c r="AV1874" s="80" t="str">
        <f>HYPERLINK("https://pbs.twimg.com/profile_images/1620068456165933060/TShADQck_normal.jpg")</f>
        <v>https://pbs.twimg.com/profile_images/1620068456165933060/TShADQck_normal.jpg</v>
      </c>
      <c r="AW1874" s="82" t="s">
        <v>14965</v>
      </c>
      <c r="AX1874" s="82" t="s">
        <v>14965</v>
      </c>
      <c r="AY1874" s="77"/>
      <c r="AZ1874" s="82" t="s">
        <v>17385</v>
      </c>
      <c r="BA1874" s="82" t="s">
        <v>17385</v>
      </c>
      <c r="BB1874" s="82" t="s">
        <v>17385</v>
      </c>
      <c r="BC1874" s="82" t="s">
        <v>14965</v>
      </c>
      <c r="BD1874" s="82" t="s">
        <v>17557</v>
      </c>
      <c r="BE1874" s="77"/>
      <c r="BF1874" s="77"/>
      <c r="BG1874" s="77"/>
      <c r="BH1874" s="77"/>
      <c r="BI1874" s="77"/>
    </row>
    <row r="1875" spans="1:61" x14ac:dyDescent="0.25">
      <c r="A1875" s="62" t="s">
        <v>435</v>
      </c>
      <c r="B1875" s="62" t="s">
        <v>435</v>
      </c>
      <c r="C1875" s="63"/>
      <c r="D1875" s="64"/>
      <c r="E1875" s="65"/>
      <c r="F1875" s="66"/>
      <c r="G1875" s="63"/>
      <c r="H1875" s="67"/>
      <c r="I1875" s="68"/>
      <c r="J1875" s="68"/>
      <c r="K1875" s="32"/>
      <c r="L1875" s="75">
        <v>1875</v>
      </c>
      <c r="M1875" s="75"/>
      <c r="N1875" s="70"/>
      <c r="O1875" s="77" t="s">
        <v>179</v>
      </c>
      <c r="P1875" s="79">
        <v>45057.518067129633</v>
      </c>
      <c r="Q1875" s="77" t="s">
        <v>2661</v>
      </c>
      <c r="R1875" s="77">
        <v>0</v>
      </c>
      <c r="S1875" s="77">
        <v>0</v>
      </c>
      <c r="T1875" s="77">
        <v>0</v>
      </c>
      <c r="U1875" s="77">
        <v>0</v>
      </c>
      <c r="V1875" s="77">
        <v>148</v>
      </c>
      <c r="W1875" s="82" t="s">
        <v>6020</v>
      </c>
      <c r="X1875" s="80" t="str">
        <f>HYPERLINK("https://flj.com.br/noticia/irb-irbr3-a-nova-decisao-da-sec-apos-a-empresa-mentir-sobre-warren-buffett")</f>
        <v>https://flj.com.br/noticia/irb-irbr3-a-nova-decisao-da-sec-apos-a-empresa-mentir-sobre-warren-buffett</v>
      </c>
      <c r="Y1875" s="77" t="s">
        <v>7053</v>
      </c>
      <c r="Z1875" s="77"/>
      <c r="AA1875" s="77"/>
      <c r="AB1875" s="77"/>
      <c r="AC1875" s="82" t="s">
        <v>8232</v>
      </c>
      <c r="AD1875" s="77" t="s">
        <v>8278</v>
      </c>
      <c r="AE1875" s="80" t="str">
        <f>HYPERLINK("https://twitter.com/leiaflj/status/1656636778533601280")</f>
        <v>https://twitter.com/leiaflj/status/1656636778533601280</v>
      </c>
      <c r="AF1875" s="79">
        <v>45057.518067129633</v>
      </c>
      <c r="AG1875" s="85">
        <v>45057</v>
      </c>
      <c r="AH1875" s="82" t="s">
        <v>9981</v>
      </c>
      <c r="AI1875" s="77" t="b">
        <v>0</v>
      </c>
      <c r="AJ1875" s="77"/>
      <c r="AK1875" s="77"/>
      <c r="AL1875" s="77"/>
      <c r="AM1875" s="77"/>
      <c r="AN1875" s="77"/>
      <c r="AO1875" s="77"/>
      <c r="AP1875" s="77"/>
      <c r="AQ1875" s="77"/>
      <c r="AR1875" s="77"/>
      <c r="AS1875" s="77"/>
      <c r="AT1875" s="77"/>
      <c r="AU1875" s="77"/>
      <c r="AV1875" s="80" t="str">
        <f>HYPERLINK("https://pbs.twimg.com/profile_images/1620068456165933060/TShADQck_normal.jpg")</f>
        <v>https://pbs.twimg.com/profile_images/1620068456165933060/TShADQck_normal.jpg</v>
      </c>
      <c r="AW1875" s="82" t="s">
        <v>14966</v>
      </c>
      <c r="AX1875" s="82" t="s">
        <v>14966</v>
      </c>
      <c r="AY1875" s="77"/>
      <c r="AZ1875" s="82" t="s">
        <v>17385</v>
      </c>
      <c r="BA1875" s="82" t="s">
        <v>17385</v>
      </c>
      <c r="BB1875" s="82" t="s">
        <v>17385</v>
      </c>
      <c r="BC1875" s="82" t="s">
        <v>14966</v>
      </c>
      <c r="BD1875" s="82" t="s">
        <v>17557</v>
      </c>
      <c r="BE1875" s="77"/>
      <c r="BF1875" s="77"/>
      <c r="BG1875" s="77"/>
      <c r="BH1875" s="77"/>
      <c r="BI1875" s="77"/>
    </row>
    <row r="1876" spans="1:61" x14ac:dyDescent="0.25">
      <c r="A1876" s="62" t="s">
        <v>435</v>
      </c>
      <c r="B1876" s="62" t="s">
        <v>435</v>
      </c>
      <c r="C1876" s="63"/>
      <c r="D1876" s="64"/>
      <c r="E1876" s="65"/>
      <c r="F1876" s="66"/>
      <c r="G1876" s="63"/>
      <c r="H1876" s="67"/>
      <c r="I1876" s="68"/>
      <c r="J1876" s="68"/>
      <c r="K1876" s="32"/>
      <c r="L1876" s="75">
        <v>1876</v>
      </c>
      <c r="M1876" s="75"/>
      <c r="N1876" s="70"/>
      <c r="O1876" s="77" t="s">
        <v>179</v>
      </c>
      <c r="P1876" s="79">
        <v>45056.629965277774</v>
      </c>
      <c r="Q1876" s="77" t="s">
        <v>2662</v>
      </c>
      <c r="R1876" s="77">
        <v>0</v>
      </c>
      <c r="S1876" s="77">
        <v>0</v>
      </c>
      <c r="T1876" s="77">
        <v>0</v>
      </c>
      <c r="U1876" s="77">
        <v>0</v>
      </c>
      <c r="V1876" s="77">
        <v>112</v>
      </c>
      <c r="W1876" s="82" t="s">
        <v>6021</v>
      </c>
      <c r="X1876" s="80" t="str">
        <f>HYPERLINK("https://flj.com.br/noticia/yduqs-yduq3-acoes-disparam-19-apos-resultado-o-que-fazer-agora")</f>
        <v>https://flj.com.br/noticia/yduqs-yduq3-acoes-disparam-19-apos-resultado-o-que-fazer-agora</v>
      </c>
      <c r="Y1876" s="77" t="s">
        <v>7053</v>
      </c>
      <c r="Z1876" s="77"/>
      <c r="AA1876" s="77"/>
      <c r="AB1876" s="77"/>
      <c r="AC1876" s="82" t="s">
        <v>8232</v>
      </c>
      <c r="AD1876" s="77" t="s">
        <v>8278</v>
      </c>
      <c r="AE1876" s="80" t="str">
        <f>HYPERLINK("https://twitter.com/leiaflj/status/1656314942688055296")</f>
        <v>https://twitter.com/leiaflj/status/1656314942688055296</v>
      </c>
      <c r="AF1876" s="79">
        <v>45056.629965277774</v>
      </c>
      <c r="AG1876" s="85">
        <v>45056</v>
      </c>
      <c r="AH1876" s="82" t="s">
        <v>9982</v>
      </c>
      <c r="AI1876" s="77" t="b">
        <v>0</v>
      </c>
      <c r="AJ1876" s="77"/>
      <c r="AK1876" s="77"/>
      <c r="AL1876" s="77"/>
      <c r="AM1876" s="77"/>
      <c r="AN1876" s="77"/>
      <c r="AO1876" s="77"/>
      <c r="AP1876" s="77"/>
      <c r="AQ1876" s="77"/>
      <c r="AR1876" s="77"/>
      <c r="AS1876" s="77"/>
      <c r="AT1876" s="77"/>
      <c r="AU1876" s="77"/>
      <c r="AV1876" s="80" t="str">
        <f>HYPERLINK("https://pbs.twimg.com/profile_images/1620068456165933060/TShADQck_normal.jpg")</f>
        <v>https://pbs.twimg.com/profile_images/1620068456165933060/TShADQck_normal.jpg</v>
      </c>
      <c r="AW1876" s="82" t="s">
        <v>14967</v>
      </c>
      <c r="AX1876" s="82" t="s">
        <v>14967</v>
      </c>
      <c r="AY1876" s="77"/>
      <c r="AZ1876" s="82" t="s">
        <v>17385</v>
      </c>
      <c r="BA1876" s="82" t="s">
        <v>17385</v>
      </c>
      <c r="BB1876" s="82" t="s">
        <v>17385</v>
      </c>
      <c r="BC1876" s="82" t="s">
        <v>14967</v>
      </c>
      <c r="BD1876" s="82" t="s">
        <v>17557</v>
      </c>
      <c r="BE1876" s="77"/>
      <c r="BF1876" s="77"/>
      <c r="BG1876" s="77"/>
      <c r="BH1876" s="77"/>
      <c r="BI1876" s="77"/>
    </row>
    <row r="1877" spans="1:61" x14ac:dyDescent="0.25">
      <c r="A1877" s="62" t="s">
        <v>532</v>
      </c>
      <c r="B1877" s="62" t="s">
        <v>435</v>
      </c>
      <c r="C1877" s="63"/>
      <c r="D1877" s="64"/>
      <c r="E1877" s="65"/>
      <c r="F1877" s="66"/>
      <c r="G1877" s="63"/>
      <c r="H1877" s="67"/>
      <c r="I1877" s="68"/>
      <c r="J1877" s="68"/>
      <c r="K1877" s="32"/>
      <c r="L1877" s="75">
        <v>1877</v>
      </c>
      <c r="M1877" s="75"/>
      <c r="N1877" s="70"/>
      <c r="O1877" s="77" t="s">
        <v>803</v>
      </c>
      <c r="P1877" s="79">
        <v>45195.490474537037</v>
      </c>
      <c r="Q1877" s="77" t="s">
        <v>2663</v>
      </c>
      <c r="R1877" s="77">
        <v>1</v>
      </c>
      <c r="S1877" s="77">
        <v>0</v>
      </c>
      <c r="T1877" s="77">
        <v>0</v>
      </c>
      <c r="U1877" s="77">
        <v>0</v>
      </c>
      <c r="V1877" s="77"/>
      <c r="W1877" s="82" t="s">
        <v>6009</v>
      </c>
      <c r="X1877" s="80" t="str">
        <f>HYPERLINK("https://flj.com.br/noticia/oi-oibr3-levanta-us-300-milhoes-com-btg-bpac11")</f>
        <v>https://flj.com.br/noticia/oi-oibr3-levanta-us-300-milhoes-com-btg-bpac11</v>
      </c>
      <c r="Y1877" s="77" t="s">
        <v>7053</v>
      </c>
      <c r="Z1877" s="77" t="s">
        <v>435</v>
      </c>
      <c r="AA1877" s="77"/>
      <c r="AB1877" s="77"/>
      <c r="AC1877" s="82" t="s">
        <v>8234</v>
      </c>
      <c r="AD1877" s="77" t="s">
        <v>8278</v>
      </c>
      <c r="AE1877" s="80" t="str">
        <f>HYPERLINK("https://twitter.com/1nverpersona1/status/1706636304727810305")</f>
        <v>https://twitter.com/1nverpersona1/status/1706636304727810305</v>
      </c>
      <c r="AF1877" s="79">
        <v>45195.490474537037</v>
      </c>
      <c r="AG1877" s="85">
        <v>45195</v>
      </c>
      <c r="AH1877" s="82" t="s">
        <v>9983</v>
      </c>
      <c r="AI1877" s="77" t="b">
        <v>0</v>
      </c>
      <c r="AJ1877" s="77"/>
      <c r="AK1877" s="77"/>
      <c r="AL1877" s="77"/>
      <c r="AM1877" s="77"/>
      <c r="AN1877" s="77"/>
      <c r="AO1877" s="77"/>
      <c r="AP1877" s="77"/>
      <c r="AQ1877" s="77"/>
      <c r="AR1877" s="77"/>
      <c r="AS1877" s="77"/>
      <c r="AT1877" s="77"/>
      <c r="AU1877" s="77"/>
      <c r="AV1877" s="80" t="str">
        <f>HYPERLINK("https://pbs.twimg.com/profile_images/1518050919375458304/rcx-bjDW_normal.jpg")</f>
        <v>https://pbs.twimg.com/profile_images/1518050919375458304/rcx-bjDW_normal.jpg</v>
      </c>
      <c r="AW1877" s="82" t="s">
        <v>14968</v>
      </c>
      <c r="AX1877" s="82" t="s">
        <v>14968</v>
      </c>
      <c r="AY1877" s="77"/>
      <c r="AZ1877" s="82" t="s">
        <v>17385</v>
      </c>
      <c r="BA1877" s="82" t="s">
        <v>17385</v>
      </c>
      <c r="BB1877" s="82" t="s">
        <v>14948</v>
      </c>
      <c r="BC1877" s="82" t="s">
        <v>14948</v>
      </c>
      <c r="BD1877" s="82" t="s">
        <v>17602</v>
      </c>
      <c r="BE1877" s="77"/>
      <c r="BF1877" s="77"/>
      <c r="BG1877" s="77"/>
      <c r="BH1877" s="77"/>
      <c r="BI1877" s="77"/>
    </row>
    <row r="1878" spans="1:61" x14ac:dyDescent="0.25">
      <c r="A1878" s="62" t="s">
        <v>533</v>
      </c>
      <c r="B1878" s="62" t="s">
        <v>533</v>
      </c>
      <c r="C1878" s="63"/>
      <c r="D1878" s="64"/>
      <c r="E1878" s="65"/>
      <c r="F1878" s="66"/>
      <c r="G1878" s="63"/>
      <c r="H1878" s="67"/>
      <c r="I1878" s="68"/>
      <c r="J1878" s="68"/>
      <c r="K1878" s="32"/>
      <c r="L1878" s="75">
        <v>1878</v>
      </c>
      <c r="M1878" s="75"/>
      <c r="N1878" s="70"/>
      <c r="O1878" s="77" t="s">
        <v>179</v>
      </c>
      <c r="P1878" s="79">
        <v>45169.429976851854</v>
      </c>
      <c r="Q1878" s="77" t="s">
        <v>2664</v>
      </c>
      <c r="R1878" s="77">
        <v>0</v>
      </c>
      <c r="S1878" s="77">
        <v>0</v>
      </c>
      <c r="T1878" s="77">
        <v>0</v>
      </c>
      <c r="U1878" s="77">
        <v>0</v>
      </c>
      <c r="V1878" s="77">
        <v>29</v>
      </c>
      <c r="W1878" s="82" t="s">
        <v>6022</v>
      </c>
      <c r="X1878" s="80" t="str">
        <f>HYPERLINK("https://vm.tiktok.com/ZMjLVpjQy/")</f>
        <v>https://vm.tiktok.com/ZMjLVpjQy/</v>
      </c>
      <c r="Y1878" s="77" t="s">
        <v>7126</v>
      </c>
      <c r="Z1878" s="77"/>
      <c r="AA1878" s="77" t="s">
        <v>7909</v>
      </c>
      <c r="AB1878" s="77" t="s">
        <v>8225</v>
      </c>
      <c r="AC1878" s="82" t="s">
        <v>8234</v>
      </c>
      <c r="AD1878" s="77" t="s">
        <v>8278</v>
      </c>
      <c r="AE1878" s="80" t="str">
        <f>HYPERLINK("https://twitter.com/vagner_caldas/status/1697192298067452355")</f>
        <v>https://twitter.com/vagner_caldas/status/1697192298067452355</v>
      </c>
      <c r="AF1878" s="79">
        <v>45169.429976851854</v>
      </c>
      <c r="AG1878" s="85">
        <v>45169</v>
      </c>
      <c r="AH1878" s="82" t="s">
        <v>9984</v>
      </c>
      <c r="AI1878" s="77" t="b">
        <v>0</v>
      </c>
      <c r="AJ1878" s="77"/>
      <c r="AK1878" s="77"/>
      <c r="AL1878" s="77"/>
      <c r="AM1878" s="77"/>
      <c r="AN1878" s="77"/>
      <c r="AO1878" s="77"/>
      <c r="AP1878" s="77"/>
      <c r="AQ1878" s="77" t="s">
        <v>12794</v>
      </c>
      <c r="AR1878" s="77"/>
      <c r="AS1878" s="77"/>
      <c r="AT1878" s="77"/>
      <c r="AU1878" s="77"/>
      <c r="AV1878" s="80" t="str">
        <f>HYPERLINK("https://pbs.twimg.com/media/F42jZpGWsAA9MCt.jpg")</f>
        <v>https://pbs.twimg.com/media/F42jZpGWsAA9MCt.jpg</v>
      </c>
      <c r="AW1878" s="82" t="s">
        <v>14969</v>
      </c>
      <c r="AX1878" s="82" t="s">
        <v>14969</v>
      </c>
      <c r="AY1878" s="77"/>
      <c r="AZ1878" s="82" t="s">
        <v>17385</v>
      </c>
      <c r="BA1878" s="82" t="s">
        <v>17385</v>
      </c>
      <c r="BB1878" s="82" t="s">
        <v>17385</v>
      </c>
      <c r="BC1878" s="82" t="s">
        <v>14969</v>
      </c>
      <c r="BD1878" s="77">
        <v>255237609</v>
      </c>
      <c r="BE1878" s="77"/>
      <c r="BF1878" s="77"/>
      <c r="BG1878" s="77"/>
      <c r="BH1878" s="77"/>
      <c r="BI1878" s="77"/>
    </row>
    <row r="1879" spans="1:61" x14ac:dyDescent="0.25">
      <c r="A1879" s="62" t="s">
        <v>533</v>
      </c>
      <c r="B1879" s="62" t="s">
        <v>533</v>
      </c>
      <c r="C1879" s="63"/>
      <c r="D1879" s="64"/>
      <c r="E1879" s="65"/>
      <c r="F1879" s="66"/>
      <c r="G1879" s="63"/>
      <c r="H1879" s="67"/>
      <c r="I1879" s="68"/>
      <c r="J1879" s="68"/>
      <c r="K1879" s="32"/>
      <c r="L1879" s="75">
        <v>1879</v>
      </c>
      <c r="M1879" s="75"/>
      <c r="N1879" s="70"/>
      <c r="O1879" s="77" t="s">
        <v>179</v>
      </c>
      <c r="P1879" s="79">
        <v>45169.417071759257</v>
      </c>
      <c r="Q1879" s="77" t="s">
        <v>2665</v>
      </c>
      <c r="R1879" s="77">
        <v>0</v>
      </c>
      <c r="S1879" s="77">
        <v>1</v>
      </c>
      <c r="T1879" s="77">
        <v>0</v>
      </c>
      <c r="U1879" s="77">
        <v>0</v>
      </c>
      <c r="V1879" s="77">
        <v>354</v>
      </c>
      <c r="W1879" s="82" t="s">
        <v>6023</v>
      </c>
      <c r="X1879" s="80" t="str">
        <f>HYPERLINK("https://vm.tiktok.com/ZMjLVQVPj/")</f>
        <v>https://vm.tiktok.com/ZMjLVQVPj/</v>
      </c>
      <c r="Y1879" s="77" t="s">
        <v>7126</v>
      </c>
      <c r="Z1879" s="77"/>
      <c r="AA1879" s="77" t="s">
        <v>7910</v>
      </c>
      <c r="AB1879" s="77" t="s">
        <v>8225</v>
      </c>
      <c r="AC1879" s="82" t="s">
        <v>8234</v>
      </c>
      <c r="AD1879" s="77" t="s">
        <v>8278</v>
      </c>
      <c r="AE1879" s="80" t="str">
        <f>HYPERLINK("https://twitter.com/vagner_caldas/status/1697187620533469373")</f>
        <v>https://twitter.com/vagner_caldas/status/1697187620533469373</v>
      </c>
      <c r="AF1879" s="79">
        <v>45169.417071759257</v>
      </c>
      <c r="AG1879" s="85">
        <v>45169</v>
      </c>
      <c r="AH1879" s="82" t="s">
        <v>9985</v>
      </c>
      <c r="AI1879" s="77" t="b">
        <v>0</v>
      </c>
      <c r="AJ1879" s="77"/>
      <c r="AK1879" s="77"/>
      <c r="AL1879" s="77"/>
      <c r="AM1879" s="77"/>
      <c r="AN1879" s="77"/>
      <c r="AO1879" s="77"/>
      <c r="AP1879" s="77"/>
      <c r="AQ1879" s="77" t="s">
        <v>12795</v>
      </c>
      <c r="AR1879" s="77"/>
      <c r="AS1879" s="77"/>
      <c r="AT1879" s="77"/>
      <c r="AU1879" s="77"/>
      <c r="AV1879" s="80" t="str">
        <f>HYPERLINK("https://pbs.twimg.com/media/F42fJVeWAAAu3hZ.jpg")</f>
        <v>https://pbs.twimg.com/media/F42fJVeWAAAu3hZ.jpg</v>
      </c>
      <c r="AW1879" s="82" t="s">
        <v>14970</v>
      </c>
      <c r="AX1879" s="82" t="s">
        <v>14970</v>
      </c>
      <c r="AY1879" s="77"/>
      <c r="AZ1879" s="82" t="s">
        <v>17385</v>
      </c>
      <c r="BA1879" s="82" t="s">
        <v>17385</v>
      </c>
      <c r="BB1879" s="82" t="s">
        <v>17385</v>
      </c>
      <c r="BC1879" s="82" t="s">
        <v>14970</v>
      </c>
      <c r="BD1879" s="77">
        <v>255237609</v>
      </c>
      <c r="BE1879" s="77"/>
      <c r="BF1879" s="77"/>
      <c r="BG1879" s="77"/>
      <c r="BH1879" s="77"/>
      <c r="BI1879" s="77"/>
    </row>
    <row r="1880" spans="1:61" x14ac:dyDescent="0.25">
      <c r="A1880" s="62" t="s">
        <v>533</v>
      </c>
      <c r="B1880" s="62" t="s">
        <v>533</v>
      </c>
      <c r="C1880" s="63"/>
      <c r="D1880" s="64"/>
      <c r="E1880" s="65"/>
      <c r="F1880" s="66"/>
      <c r="G1880" s="63"/>
      <c r="H1880" s="67"/>
      <c r="I1880" s="68"/>
      <c r="J1880" s="68"/>
      <c r="K1880" s="32"/>
      <c r="L1880" s="75">
        <v>1880</v>
      </c>
      <c r="M1880" s="75"/>
      <c r="N1880" s="70"/>
      <c r="O1880" s="77" t="s">
        <v>179</v>
      </c>
      <c r="P1880" s="79">
        <v>45173.613912037035</v>
      </c>
      <c r="Q1880" s="77" t="s">
        <v>2666</v>
      </c>
      <c r="R1880" s="77">
        <v>0</v>
      </c>
      <c r="S1880" s="77">
        <v>0</v>
      </c>
      <c r="T1880" s="77">
        <v>0</v>
      </c>
      <c r="U1880" s="77">
        <v>0</v>
      </c>
      <c r="V1880" s="77">
        <v>78</v>
      </c>
      <c r="W1880" s="82" t="s">
        <v>6024</v>
      </c>
      <c r="X1880" s="80" t="str">
        <f>HYPERLINK("https://vm.tiktok.com/ZMjYhM8VS/")</f>
        <v>https://vm.tiktok.com/ZMjYhM8VS/</v>
      </c>
      <c r="Y1880" s="77" t="s">
        <v>7126</v>
      </c>
      <c r="Z1880" s="77"/>
      <c r="AA1880" s="77" t="s">
        <v>7911</v>
      </c>
      <c r="AB1880" s="77" t="s">
        <v>8227</v>
      </c>
      <c r="AC1880" s="82" t="s">
        <v>8234</v>
      </c>
      <c r="AD1880" s="77" t="s">
        <v>8278</v>
      </c>
      <c r="AE1880" s="80" t="str">
        <f>HYPERLINK("https://twitter.com/vagner_caldas/status/1698708505203503469")</f>
        <v>https://twitter.com/vagner_caldas/status/1698708505203503469</v>
      </c>
      <c r="AF1880" s="79">
        <v>45173.613912037035</v>
      </c>
      <c r="AG1880" s="85">
        <v>45173</v>
      </c>
      <c r="AH1880" s="82" t="s">
        <v>9986</v>
      </c>
      <c r="AI1880" s="77" t="b">
        <v>0</v>
      </c>
      <c r="AJ1880" s="77"/>
      <c r="AK1880" s="77"/>
      <c r="AL1880" s="77"/>
      <c r="AM1880" s="77"/>
      <c r="AN1880" s="77"/>
      <c r="AO1880" s="77"/>
      <c r="AP1880" s="77"/>
      <c r="AQ1880" s="77" t="s">
        <v>12796</v>
      </c>
      <c r="AR1880" s="77">
        <v>45035</v>
      </c>
      <c r="AS1880" s="77"/>
      <c r="AT1880" s="77"/>
      <c r="AU1880" s="77"/>
      <c r="AV1880" s="80" t="str">
        <f>HYPERLINK("https://pbs.twimg.com/ext_tw_video_thumb/1698708433992581120/pu/img/H9rB1HWXM-c9jHq-.jpg")</f>
        <v>https://pbs.twimg.com/ext_tw_video_thumb/1698708433992581120/pu/img/H9rB1HWXM-c9jHq-.jpg</v>
      </c>
      <c r="AW1880" s="82" t="s">
        <v>14971</v>
      </c>
      <c r="AX1880" s="82" t="s">
        <v>14971</v>
      </c>
      <c r="AY1880" s="77"/>
      <c r="AZ1880" s="82" t="s">
        <v>17385</v>
      </c>
      <c r="BA1880" s="82" t="s">
        <v>17385</v>
      </c>
      <c r="BB1880" s="82" t="s">
        <v>17385</v>
      </c>
      <c r="BC1880" s="82" t="s">
        <v>14971</v>
      </c>
      <c r="BD1880" s="77">
        <v>255237609</v>
      </c>
      <c r="BE1880" s="77"/>
      <c r="BF1880" s="77"/>
      <c r="BG1880" s="77"/>
      <c r="BH1880" s="77"/>
      <c r="BI1880" s="77"/>
    </row>
    <row r="1881" spans="1:61" x14ac:dyDescent="0.25">
      <c r="A1881" s="62" t="s">
        <v>533</v>
      </c>
      <c r="B1881" s="62" t="s">
        <v>533</v>
      </c>
      <c r="C1881" s="63"/>
      <c r="D1881" s="64"/>
      <c r="E1881" s="65"/>
      <c r="F1881" s="66"/>
      <c r="G1881" s="63"/>
      <c r="H1881" s="67"/>
      <c r="I1881" s="68"/>
      <c r="J1881" s="68"/>
      <c r="K1881" s="32"/>
      <c r="L1881" s="75">
        <v>1881</v>
      </c>
      <c r="M1881" s="75"/>
      <c r="N1881" s="70"/>
      <c r="O1881" s="77" t="s">
        <v>179</v>
      </c>
      <c r="P1881" s="79">
        <v>45173.586655092593</v>
      </c>
      <c r="Q1881" s="77" t="s">
        <v>2667</v>
      </c>
      <c r="R1881" s="77">
        <v>0</v>
      </c>
      <c r="S1881" s="77">
        <v>0</v>
      </c>
      <c r="T1881" s="77">
        <v>0</v>
      </c>
      <c r="U1881" s="77">
        <v>0</v>
      </c>
      <c r="V1881" s="77">
        <v>27</v>
      </c>
      <c r="W1881" s="82" t="s">
        <v>6025</v>
      </c>
      <c r="X1881" s="80" t="str">
        <f>HYPERLINK("https://vm.tiktok.com/ZMjYM9PvP/")</f>
        <v>https://vm.tiktok.com/ZMjYM9PvP/</v>
      </c>
      <c r="Y1881" s="77" t="s">
        <v>7126</v>
      </c>
      <c r="Z1881" s="77"/>
      <c r="AA1881" s="77" t="s">
        <v>7912</v>
      </c>
      <c r="AB1881" s="77" t="s">
        <v>8227</v>
      </c>
      <c r="AC1881" s="82" t="s">
        <v>8234</v>
      </c>
      <c r="AD1881" s="77" t="s">
        <v>8278</v>
      </c>
      <c r="AE1881" s="80" t="str">
        <f>HYPERLINK("https://twitter.com/vagner_caldas/status/1698698624564146481")</f>
        <v>https://twitter.com/vagner_caldas/status/1698698624564146481</v>
      </c>
      <c r="AF1881" s="79">
        <v>45173.586655092593</v>
      </c>
      <c r="AG1881" s="85">
        <v>45173</v>
      </c>
      <c r="AH1881" s="82" t="s">
        <v>9987</v>
      </c>
      <c r="AI1881" s="77" t="b">
        <v>0</v>
      </c>
      <c r="AJ1881" s="77"/>
      <c r="AK1881" s="77"/>
      <c r="AL1881" s="77"/>
      <c r="AM1881" s="77"/>
      <c r="AN1881" s="77"/>
      <c r="AO1881" s="77"/>
      <c r="AP1881" s="77"/>
      <c r="AQ1881" s="77" t="s">
        <v>12797</v>
      </c>
      <c r="AR1881" s="77">
        <v>45000</v>
      </c>
      <c r="AS1881" s="77"/>
      <c r="AT1881" s="77"/>
      <c r="AU1881" s="77"/>
      <c r="AV1881" s="80" t="str">
        <f>HYPERLINK("https://pbs.twimg.com/ext_tw_video_thumb/1698698546134831104/pu/img/qZXWM2JiDxAetEFo.jpg")</f>
        <v>https://pbs.twimg.com/ext_tw_video_thumb/1698698546134831104/pu/img/qZXWM2JiDxAetEFo.jpg</v>
      </c>
      <c r="AW1881" s="82" t="s">
        <v>14972</v>
      </c>
      <c r="AX1881" s="82" t="s">
        <v>14972</v>
      </c>
      <c r="AY1881" s="77"/>
      <c r="AZ1881" s="82" t="s">
        <v>17385</v>
      </c>
      <c r="BA1881" s="82" t="s">
        <v>17385</v>
      </c>
      <c r="BB1881" s="82" t="s">
        <v>17385</v>
      </c>
      <c r="BC1881" s="82" t="s">
        <v>14972</v>
      </c>
      <c r="BD1881" s="77">
        <v>255237609</v>
      </c>
      <c r="BE1881" s="77"/>
      <c r="BF1881" s="77"/>
      <c r="BG1881" s="77"/>
      <c r="BH1881" s="77"/>
      <c r="BI1881" s="77"/>
    </row>
    <row r="1882" spans="1:61" x14ac:dyDescent="0.25">
      <c r="A1882" s="62" t="s">
        <v>533</v>
      </c>
      <c r="B1882" s="62" t="s">
        <v>533</v>
      </c>
      <c r="C1882" s="63"/>
      <c r="D1882" s="64"/>
      <c r="E1882" s="65"/>
      <c r="F1882" s="66"/>
      <c r="G1882" s="63"/>
      <c r="H1882" s="67"/>
      <c r="I1882" s="68"/>
      <c r="J1882" s="68"/>
      <c r="K1882" s="32"/>
      <c r="L1882" s="75">
        <v>1882</v>
      </c>
      <c r="M1882" s="75"/>
      <c r="N1882" s="70"/>
      <c r="O1882" s="77" t="s">
        <v>179</v>
      </c>
      <c r="P1882" s="79">
        <v>45176.709583333337</v>
      </c>
      <c r="Q1882" s="77" t="s">
        <v>2668</v>
      </c>
      <c r="R1882" s="77">
        <v>0</v>
      </c>
      <c r="S1882" s="77">
        <v>1</v>
      </c>
      <c r="T1882" s="77">
        <v>0</v>
      </c>
      <c r="U1882" s="77">
        <v>0</v>
      </c>
      <c r="V1882" s="77">
        <v>16</v>
      </c>
      <c r="W1882" s="82" t="s">
        <v>6026</v>
      </c>
      <c r="X1882" s="80" t="str">
        <f>HYPERLINK("https://vm.tiktok.com/ZMjjy57F4/")</f>
        <v>https://vm.tiktok.com/ZMjjy57F4/</v>
      </c>
      <c r="Y1882" s="77" t="s">
        <v>7126</v>
      </c>
      <c r="Z1882" s="77"/>
      <c r="AA1882" s="77"/>
      <c r="AB1882" s="77"/>
      <c r="AC1882" s="82" t="s">
        <v>8234</v>
      </c>
      <c r="AD1882" s="77" t="s">
        <v>8278</v>
      </c>
      <c r="AE1882" s="80" t="str">
        <f>HYPERLINK("https://twitter.com/vagner_caldas/status/1699830339084976568")</f>
        <v>https://twitter.com/vagner_caldas/status/1699830339084976568</v>
      </c>
      <c r="AF1882" s="79">
        <v>45176.709583333337</v>
      </c>
      <c r="AG1882" s="85">
        <v>45176</v>
      </c>
      <c r="AH1882" s="82" t="s">
        <v>9988</v>
      </c>
      <c r="AI1882" s="77" t="b">
        <v>0</v>
      </c>
      <c r="AJ1882" s="77"/>
      <c r="AK1882" s="77"/>
      <c r="AL1882" s="77"/>
      <c r="AM1882" s="77"/>
      <c r="AN1882" s="77"/>
      <c r="AO1882" s="77"/>
      <c r="AP1882" s="77"/>
      <c r="AQ1882" s="77"/>
      <c r="AR1882" s="77"/>
      <c r="AS1882" s="77"/>
      <c r="AT1882" s="77"/>
      <c r="AU1882" s="77"/>
      <c r="AV1882" s="80" t="str">
        <f>HYPERLINK("https://pbs.twimg.com/profile_images/1226620108451217409/7hxuic5__normal.jpg")</f>
        <v>https://pbs.twimg.com/profile_images/1226620108451217409/7hxuic5__normal.jpg</v>
      </c>
      <c r="AW1882" s="82" t="s">
        <v>14973</v>
      </c>
      <c r="AX1882" s="82" t="s">
        <v>14973</v>
      </c>
      <c r="AY1882" s="77"/>
      <c r="AZ1882" s="82" t="s">
        <v>17385</v>
      </c>
      <c r="BA1882" s="82" t="s">
        <v>17385</v>
      </c>
      <c r="BB1882" s="82" t="s">
        <v>17385</v>
      </c>
      <c r="BC1882" s="82" t="s">
        <v>14973</v>
      </c>
      <c r="BD1882" s="77">
        <v>255237609</v>
      </c>
      <c r="BE1882" s="77"/>
      <c r="BF1882" s="77"/>
      <c r="BG1882" s="77"/>
      <c r="BH1882" s="77"/>
      <c r="BI1882" s="77"/>
    </row>
    <row r="1883" spans="1:61" x14ac:dyDescent="0.25">
      <c r="A1883" s="62" t="s">
        <v>533</v>
      </c>
      <c r="B1883" s="62" t="s">
        <v>533</v>
      </c>
      <c r="C1883" s="63"/>
      <c r="D1883" s="64"/>
      <c r="E1883" s="65"/>
      <c r="F1883" s="66"/>
      <c r="G1883" s="63"/>
      <c r="H1883" s="67"/>
      <c r="I1883" s="68"/>
      <c r="J1883" s="68"/>
      <c r="K1883" s="32"/>
      <c r="L1883" s="75">
        <v>1883</v>
      </c>
      <c r="M1883" s="75"/>
      <c r="N1883" s="70"/>
      <c r="O1883" s="77" t="s">
        <v>179</v>
      </c>
      <c r="P1883" s="79">
        <v>45174.562291666669</v>
      </c>
      <c r="Q1883" s="77" t="s">
        <v>2669</v>
      </c>
      <c r="R1883" s="77">
        <v>0</v>
      </c>
      <c r="S1883" s="77">
        <v>1</v>
      </c>
      <c r="T1883" s="77">
        <v>0</v>
      </c>
      <c r="U1883" s="77">
        <v>0</v>
      </c>
      <c r="V1883" s="77">
        <v>64</v>
      </c>
      <c r="W1883" s="82" t="s">
        <v>6027</v>
      </c>
      <c r="X1883" s="80" t="str">
        <f>HYPERLINK("https://vm.tiktok.com/ZMjYcGGrG/")</f>
        <v>https://vm.tiktok.com/ZMjYcGGrG/</v>
      </c>
      <c r="Y1883" s="77" t="s">
        <v>7126</v>
      </c>
      <c r="Z1883" s="77"/>
      <c r="AA1883" s="77" t="s">
        <v>7913</v>
      </c>
      <c r="AB1883" s="77" t="s">
        <v>8227</v>
      </c>
      <c r="AC1883" s="82" t="s">
        <v>8234</v>
      </c>
      <c r="AD1883" s="77" t="s">
        <v>8278</v>
      </c>
      <c r="AE1883" s="80" t="str">
        <f>HYPERLINK("https://twitter.com/vagner_caldas/status/1699052186750320864")</f>
        <v>https://twitter.com/vagner_caldas/status/1699052186750320864</v>
      </c>
      <c r="AF1883" s="79">
        <v>45174.562291666669</v>
      </c>
      <c r="AG1883" s="85">
        <v>45174</v>
      </c>
      <c r="AH1883" s="82" t="s">
        <v>9989</v>
      </c>
      <c r="AI1883" s="77" t="b">
        <v>0</v>
      </c>
      <c r="AJ1883" s="77"/>
      <c r="AK1883" s="77"/>
      <c r="AL1883" s="77"/>
      <c r="AM1883" s="77"/>
      <c r="AN1883" s="77"/>
      <c r="AO1883" s="77"/>
      <c r="AP1883" s="77"/>
      <c r="AQ1883" s="77" t="s">
        <v>12798</v>
      </c>
      <c r="AR1883" s="77">
        <v>45000</v>
      </c>
      <c r="AS1883" s="77"/>
      <c r="AT1883" s="77"/>
      <c r="AU1883" s="77"/>
      <c r="AV1883" s="80" t="str">
        <f>HYPERLINK("https://pbs.twimg.com/ext_tw_video_thumb/1699052129971826688/pu/img/INSYh98j1Iy6qoHR.jpg")</f>
        <v>https://pbs.twimg.com/ext_tw_video_thumb/1699052129971826688/pu/img/INSYh98j1Iy6qoHR.jpg</v>
      </c>
      <c r="AW1883" s="82" t="s">
        <v>14974</v>
      </c>
      <c r="AX1883" s="82" t="s">
        <v>14974</v>
      </c>
      <c r="AY1883" s="77"/>
      <c r="AZ1883" s="82" t="s">
        <v>17385</v>
      </c>
      <c r="BA1883" s="82" t="s">
        <v>17385</v>
      </c>
      <c r="BB1883" s="82" t="s">
        <v>17385</v>
      </c>
      <c r="BC1883" s="82" t="s">
        <v>14974</v>
      </c>
      <c r="BD1883" s="77">
        <v>255237609</v>
      </c>
      <c r="BE1883" s="77"/>
      <c r="BF1883" s="77"/>
      <c r="BG1883" s="77"/>
      <c r="BH1883" s="77"/>
      <c r="BI1883" s="77"/>
    </row>
    <row r="1884" spans="1:61" x14ac:dyDescent="0.25">
      <c r="A1884" s="62" t="s">
        <v>533</v>
      </c>
      <c r="B1884" s="62" t="s">
        <v>533</v>
      </c>
      <c r="C1884" s="63"/>
      <c r="D1884" s="64"/>
      <c r="E1884" s="65"/>
      <c r="F1884" s="66"/>
      <c r="G1884" s="63"/>
      <c r="H1884" s="67"/>
      <c r="I1884" s="68"/>
      <c r="J1884" s="68"/>
      <c r="K1884" s="32"/>
      <c r="L1884" s="75">
        <v>1884</v>
      </c>
      <c r="M1884" s="75"/>
      <c r="N1884" s="70"/>
      <c r="O1884" s="77" t="s">
        <v>179</v>
      </c>
      <c r="P1884" s="79">
        <v>45167.397557870368</v>
      </c>
      <c r="Q1884" s="77" t="s">
        <v>2670</v>
      </c>
      <c r="R1884" s="77">
        <v>0</v>
      </c>
      <c r="S1884" s="77">
        <v>0</v>
      </c>
      <c r="T1884" s="77">
        <v>0</v>
      </c>
      <c r="U1884" s="77">
        <v>0</v>
      </c>
      <c r="V1884" s="77">
        <v>16</v>
      </c>
      <c r="W1884" s="82" t="s">
        <v>6028</v>
      </c>
      <c r="X1884" s="80" t="str">
        <f>HYPERLINK("https://vm.tiktok.com/ZMj8Psp5G/")</f>
        <v>https://vm.tiktok.com/ZMj8Psp5G/</v>
      </c>
      <c r="Y1884" s="77" t="s">
        <v>7126</v>
      </c>
      <c r="Z1884" s="77"/>
      <c r="AA1884" s="77"/>
      <c r="AB1884" s="77"/>
      <c r="AC1884" s="82" t="s">
        <v>8234</v>
      </c>
      <c r="AD1884" s="77" t="s">
        <v>8278</v>
      </c>
      <c r="AE1884" s="80" t="str">
        <f>HYPERLINK("https://twitter.com/vagner_caldas/status/1696455774795350137")</f>
        <v>https://twitter.com/vagner_caldas/status/1696455774795350137</v>
      </c>
      <c r="AF1884" s="79">
        <v>45167.397557870368</v>
      </c>
      <c r="AG1884" s="85">
        <v>45167</v>
      </c>
      <c r="AH1884" s="82" t="s">
        <v>9990</v>
      </c>
      <c r="AI1884" s="77" t="b">
        <v>0</v>
      </c>
      <c r="AJ1884" s="77"/>
      <c r="AK1884" s="77"/>
      <c r="AL1884" s="77"/>
      <c r="AM1884" s="77"/>
      <c r="AN1884" s="77"/>
      <c r="AO1884" s="77"/>
      <c r="AP1884" s="77"/>
      <c r="AQ1884" s="77"/>
      <c r="AR1884" s="77"/>
      <c r="AS1884" s="77"/>
      <c r="AT1884" s="77"/>
      <c r="AU1884" s="77"/>
      <c r="AV1884" s="80" t="str">
        <f>HYPERLINK("https://pbs.twimg.com/profile_images/1226620108451217409/7hxuic5__normal.jpg")</f>
        <v>https://pbs.twimg.com/profile_images/1226620108451217409/7hxuic5__normal.jpg</v>
      </c>
      <c r="AW1884" s="82" t="s">
        <v>14975</v>
      </c>
      <c r="AX1884" s="82" t="s">
        <v>14975</v>
      </c>
      <c r="AY1884" s="77"/>
      <c r="AZ1884" s="82" t="s">
        <v>17385</v>
      </c>
      <c r="BA1884" s="82" t="s">
        <v>17385</v>
      </c>
      <c r="BB1884" s="82" t="s">
        <v>17385</v>
      </c>
      <c r="BC1884" s="82" t="s">
        <v>14975</v>
      </c>
      <c r="BD1884" s="77">
        <v>255237609</v>
      </c>
      <c r="BE1884" s="77"/>
      <c r="BF1884" s="77"/>
      <c r="BG1884" s="77"/>
      <c r="BH1884" s="77"/>
      <c r="BI1884" s="77"/>
    </row>
    <row r="1885" spans="1:61" x14ac:dyDescent="0.25">
      <c r="A1885" s="62" t="s">
        <v>533</v>
      </c>
      <c r="B1885" s="62" t="s">
        <v>533</v>
      </c>
      <c r="C1885" s="63"/>
      <c r="D1885" s="64"/>
      <c r="E1885" s="65"/>
      <c r="F1885" s="66"/>
      <c r="G1885" s="63"/>
      <c r="H1885" s="67"/>
      <c r="I1885" s="68"/>
      <c r="J1885" s="68"/>
      <c r="K1885" s="32"/>
      <c r="L1885" s="75">
        <v>1885</v>
      </c>
      <c r="M1885" s="75"/>
      <c r="N1885" s="70"/>
      <c r="O1885" s="77" t="s">
        <v>179</v>
      </c>
      <c r="P1885" s="79">
        <v>45166.500092592592</v>
      </c>
      <c r="Q1885" s="77" t="s">
        <v>2671</v>
      </c>
      <c r="R1885" s="77">
        <v>0</v>
      </c>
      <c r="S1885" s="77">
        <v>0</v>
      </c>
      <c r="T1885" s="77">
        <v>0</v>
      </c>
      <c r="U1885" s="77">
        <v>0</v>
      </c>
      <c r="V1885" s="77">
        <v>11</v>
      </c>
      <c r="W1885" s="82" t="s">
        <v>6029</v>
      </c>
      <c r="X1885" s="80" t="str">
        <f>HYPERLINK("https://vm.tiktok.com/ZMjRTeDEt/")</f>
        <v>https://vm.tiktok.com/ZMjRTeDEt/</v>
      </c>
      <c r="Y1885" s="77" t="s">
        <v>7126</v>
      </c>
      <c r="Z1885" s="77"/>
      <c r="AA1885" s="77"/>
      <c r="AB1885" s="77"/>
      <c r="AC1885" s="82" t="s">
        <v>8234</v>
      </c>
      <c r="AD1885" s="77" t="s">
        <v>8278</v>
      </c>
      <c r="AE1885" s="80" t="str">
        <f>HYPERLINK("https://twitter.com/vagner_caldas/status/1696130540158480663")</f>
        <v>https://twitter.com/vagner_caldas/status/1696130540158480663</v>
      </c>
      <c r="AF1885" s="79">
        <v>45166.500092592592</v>
      </c>
      <c r="AG1885" s="85">
        <v>45166</v>
      </c>
      <c r="AH1885" s="82" t="s">
        <v>9991</v>
      </c>
      <c r="AI1885" s="77" t="b">
        <v>0</v>
      </c>
      <c r="AJ1885" s="77"/>
      <c r="AK1885" s="77"/>
      <c r="AL1885" s="77"/>
      <c r="AM1885" s="77"/>
      <c r="AN1885" s="77"/>
      <c r="AO1885" s="77"/>
      <c r="AP1885" s="77"/>
      <c r="AQ1885" s="77"/>
      <c r="AR1885" s="77"/>
      <c r="AS1885" s="77"/>
      <c r="AT1885" s="77"/>
      <c r="AU1885" s="77"/>
      <c r="AV1885" s="80" t="str">
        <f>HYPERLINK("https://pbs.twimg.com/profile_images/1226620108451217409/7hxuic5__normal.jpg")</f>
        <v>https://pbs.twimg.com/profile_images/1226620108451217409/7hxuic5__normal.jpg</v>
      </c>
      <c r="AW1885" s="82" t="s">
        <v>14976</v>
      </c>
      <c r="AX1885" s="82" t="s">
        <v>14976</v>
      </c>
      <c r="AY1885" s="77"/>
      <c r="AZ1885" s="82" t="s">
        <v>17385</v>
      </c>
      <c r="BA1885" s="82" t="s">
        <v>17385</v>
      </c>
      <c r="BB1885" s="82" t="s">
        <v>17385</v>
      </c>
      <c r="BC1885" s="82" t="s">
        <v>14976</v>
      </c>
      <c r="BD1885" s="77">
        <v>255237609</v>
      </c>
      <c r="BE1885" s="77"/>
      <c r="BF1885" s="77"/>
      <c r="BG1885" s="77"/>
      <c r="BH1885" s="77"/>
      <c r="BI1885" s="77"/>
    </row>
    <row r="1886" spans="1:61" x14ac:dyDescent="0.25">
      <c r="A1886" s="62" t="s">
        <v>533</v>
      </c>
      <c r="B1886" s="62" t="s">
        <v>533</v>
      </c>
      <c r="C1886" s="63"/>
      <c r="D1886" s="64"/>
      <c r="E1886" s="65"/>
      <c r="F1886" s="66"/>
      <c r="G1886" s="63"/>
      <c r="H1886" s="67"/>
      <c r="I1886" s="68"/>
      <c r="J1886" s="68"/>
      <c r="K1886" s="32"/>
      <c r="L1886" s="75">
        <v>1886</v>
      </c>
      <c r="M1886" s="75"/>
      <c r="N1886" s="70"/>
      <c r="O1886" s="77" t="s">
        <v>179</v>
      </c>
      <c r="P1886" s="79">
        <v>45197.559120370373</v>
      </c>
      <c r="Q1886" s="77" t="s">
        <v>2672</v>
      </c>
      <c r="R1886" s="77">
        <v>0</v>
      </c>
      <c r="S1886" s="77">
        <v>0</v>
      </c>
      <c r="T1886" s="77">
        <v>0</v>
      </c>
      <c r="U1886" s="77">
        <v>0</v>
      </c>
      <c r="V1886" s="77">
        <v>4</v>
      </c>
      <c r="W1886" s="82" t="s">
        <v>6030</v>
      </c>
      <c r="X1886" s="80" t="str">
        <f>HYPERLINK("https://vm.tiktok.com/ZMjPF941E/")</f>
        <v>https://vm.tiktok.com/ZMjPF941E/</v>
      </c>
      <c r="Y1886" s="77" t="s">
        <v>7126</v>
      </c>
      <c r="Z1886" s="77"/>
      <c r="AA1886" s="77"/>
      <c r="AB1886" s="77"/>
      <c r="AC1886" s="82" t="s">
        <v>8234</v>
      </c>
      <c r="AD1886" s="77" t="s">
        <v>8278</v>
      </c>
      <c r="AE1886" s="80" t="str">
        <f>HYPERLINK("https://twitter.com/vagner_caldas/status/1707385958209880340")</f>
        <v>https://twitter.com/vagner_caldas/status/1707385958209880340</v>
      </c>
      <c r="AF1886" s="79">
        <v>45197.559120370373</v>
      </c>
      <c r="AG1886" s="85">
        <v>45197</v>
      </c>
      <c r="AH1886" s="82" t="s">
        <v>9992</v>
      </c>
      <c r="AI1886" s="77" t="b">
        <v>0</v>
      </c>
      <c r="AJ1886" s="77"/>
      <c r="AK1886" s="77"/>
      <c r="AL1886" s="77"/>
      <c r="AM1886" s="77"/>
      <c r="AN1886" s="77"/>
      <c r="AO1886" s="77"/>
      <c r="AP1886" s="77"/>
      <c r="AQ1886" s="77"/>
      <c r="AR1886" s="77"/>
      <c r="AS1886" s="77"/>
      <c r="AT1886" s="77"/>
      <c r="AU1886" s="77"/>
      <c r="AV1886" s="80" t="str">
        <f>HYPERLINK("https://pbs.twimg.com/profile_images/1226620108451217409/7hxuic5__normal.jpg")</f>
        <v>https://pbs.twimg.com/profile_images/1226620108451217409/7hxuic5__normal.jpg</v>
      </c>
      <c r="AW1886" s="82" t="s">
        <v>14977</v>
      </c>
      <c r="AX1886" s="82" t="s">
        <v>14977</v>
      </c>
      <c r="AY1886" s="77"/>
      <c r="AZ1886" s="82" t="s">
        <v>17385</v>
      </c>
      <c r="BA1886" s="82" t="s">
        <v>17385</v>
      </c>
      <c r="BB1886" s="82" t="s">
        <v>17385</v>
      </c>
      <c r="BC1886" s="82" t="s">
        <v>14977</v>
      </c>
      <c r="BD1886" s="77">
        <v>255237609</v>
      </c>
      <c r="BE1886" s="77"/>
      <c r="BF1886" s="77"/>
      <c r="BG1886" s="77"/>
      <c r="BH1886" s="77"/>
      <c r="BI1886" s="77"/>
    </row>
    <row r="1887" spans="1:61" x14ac:dyDescent="0.25">
      <c r="A1887" s="62" t="s">
        <v>533</v>
      </c>
      <c r="B1887" s="62" t="s">
        <v>533</v>
      </c>
      <c r="C1887" s="63"/>
      <c r="D1887" s="64"/>
      <c r="E1887" s="65"/>
      <c r="F1887" s="66"/>
      <c r="G1887" s="63"/>
      <c r="H1887" s="67"/>
      <c r="I1887" s="68"/>
      <c r="J1887" s="68"/>
      <c r="K1887" s="32"/>
      <c r="L1887" s="75">
        <v>1887</v>
      </c>
      <c r="M1887" s="75"/>
      <c r="N1887" s="70"/>
      <c r="O1887" s="77" t="s">
        <v>179</v>
      </c>
      <c r="P1887" s="79">
        <v>45162.987893518519</v>
      </c>
      <c r="Q1887" s="77" t="s">
        <v>2673</v>
      </c>
      <c r="R1887" s="77">
        <v>0</v>
      </c>
      <c r="S1887" s="77">
        <v>0</v>
      </c>
      <c r="T1887" s="77">
        <v>0</v>
      </c>
      <c r="U1887" s="77">
        <v>0</v>
      </c>
      <c r="V1887" s="77">
        <v>60</v>
      </c>
      <c r="W1887" s="82" t="s">
        <v>6031</v>
      </c>
      <c r="X1887" s="80" t="str">
        <f>HYPERLINK("https://vm.tiktok.com/ZMjesPbu8/")</f>
        <v>https://vm.tiktok.com/ZMjesPbu8/</v>
      </c>
      <c r="Y1887" s="77" t="s">
        <v>7126</v>
      </c>
      <c r="Z1887" s="77"/>
      <c r="AA1887" s="77"/>
      <c r="AB1887" s="77"/>
      <c r="AC1887" s="82" t="s">
        <v>8234</v>
      </c>
      <c r="AD1887" s="77" t="s">
        <v>8278</v>
      </c>
      <c r="AE1887" s="80" t="str">
        <f>HYPERLINK("https://twitter.com/vagner_caldas/status/1694857762260373897")</f>
        <v>https://twitter.com/vagner_caldas/status/1694857762260373897</v>
      </c>
      <c r="AF1887" s="79">
        <v>45162.987893518519</v>
      </c>
      <c r="AG1887" s="85">
        <v>45162</v>
      </c>
      <c r="AH1887" s="82" t="s">
        <v>9993</v>
      </c>
      <c r="AI1887" s="77" t="b">
        <v>0</v>
      </c>
      <c r="AJ1887" s="77"/>
      <c r="AK1887" s="77"/>
      <c r="AL1887" s="77"/>
      <c r="AM1887" s="77"/>
      <c r="AN1887" s="77"/>
      <c r="AO1887" s="77"/>
      <c r="AP1887" s="77"/>
      <c r="AQ1887" s="77"/>
      <c r="AR1887" s="77"/>
      <c r="AS1887" s="77"/>
      <c r="AT1887" s="77"/>
      <c r="AU1887" s="77"/>
      <c r="AV1887" s="80" t="str">
        <f>HYPERLINK("https://pbs.twimg.com/profile_images/1226620108451217409/7hxuic5__normal.jpg")</f>
        <v>https://pbs.twimg.com/profile_images/1226620108451217409/7hxuic5__normal.jpg</v>
      </c>
      <c r="AW1887" s="82" t="s">
        <v>14978</v>
      </c>
      <c r="AX1887" s="82" t="s">
        <v>14978</v>
      </c>
      <c r="AY1887" s="77"/>
      <c r="AZ1887" s="82" t="s">
        <v>17385</v>
      </c>
      <c r="BA1887" s="82" t="s">
        <v>17385</v>
      </c>
      <c r="BB1887" s="82" t="s">
        <v>17385</v>
      </c>
      <c r="BC1887" s="82" t="s">
        <v>14978</v>
      </c>
      <c r="BD1887" s="77">
        <v>255237609</v>
      </c>
      <c r="BE1887" s="77"/>
      <c r="BF1887" s="77"/>
      <c r="BG1887" s="77"/>
      <c r="BH1887" s="77"/>
      <c r="BI1887" s="77"/>
    </row>
    <row r="1888" spans="1:61" x14ac:dyDescent="0.25">
      <c r="A1888" s="62" t="s">
        <v>533</v>
      </c>
      <c r="B1888" s="62" t="s">
        <v>533</v>
      </c>
      <c r="C1888" s="63"/>
      <c r="D1888" s="64"/>
      <c r="E1888" s="65"/>
      <c r="F1888" s="66"/>
      <c r="G1888" s="63"/>
      <c r="H1888" s="67"/>
      <c r="I1888" s="68"/>
      <c r="J1888" s="68"/>
      <c r="K1888" s="32"/>
      <c r="L1888" s="75">
        <v>1888</v>
      </c>
      <c r="M1888" s="75"/>
      <c r="N1888" s="70"/>
      <c r="O1888" s="77" t="s">
        <v>179</v>
      </c>
      <c r="P1888" s="79">
        <v>45162.873854166668</v>
      </c>
      <c r="Q1888" s="77" t="s">
        <v>2674</v>
      </c>
      <c r="R1888" s="77">
        <v>0</v>
      </c>
      <c r="S1888" s="77">
        <v>0</v>
      </c>
      <c r="T1888" s="77">
        <v>0</v>
      </c>
      <c r="U1888" s="77">
        <v>0</v>
      </c>
      <c r="V1888" s="77">
        <v>23</v>
      </c>
      <c r="W1888" s="82" t="s">
        <v>6032</v>
      </c>
      <c r="X1888" s="80" t="str">
        <f>HYPERLINK("https://vm.tiktok.com/ZMjebYcnw/")</f>
        <v>https://vm.tiktok.com/ZMjebYcnw/</v>
      </c>
      <c r="Y1888" s="77" t="s">
        <v>7126</v>
      </c>
      <c r="Z1888" s="77"/>
      <c r="AA1888" s="77"/>
      <c r="AB1888" s="77"/>
      <c r="AC1888" s="82" t="s">
        <v>8234</v>
      </c>
      <c r="AD1888" s="77" t="s">
        <v>8278</v>
      </c>
      <c r="AE1888" s="80" t="str">
        <f>HYPERLINK("https://twitter.com/vagner_caldas/status/1694816437729165716")</f>
        <v>https://twitter.com/vagner_caldas/status/1694816437729165716</v>
      </c>
      <c r="AF1888" s="79">
        <v>45162.873854166668</v>
      </c>
      <c r="AG1888" s="85">
        <v>45162</v>
      </c>
      <c r="AH1888" s="82" t="s">
        <v>9994</v>
      </c>
      <c r="AI1888" s="77" t="b">
        <v>0</v>
      </c>
      <c r="AJ1888" s="77"/>
      <c r="AK1888" s="77"/>
      <c r="AL1888" s="77"/>
      <c r="AM1888" s="77"/>
      <c r="AN1888" s="77"/>
      <c r="AO1888" s="77"/>
      <c r="AP1888" s="77"/>
      <c r="AQ1888" s="77"/>
      <c r="AR1888" s="77"/>
      <c r="AS1888" s="77"/>
      <c r="AT1888" s="77"/>
      <c r="AU1888" s="77"/>
      <c r="AV1888" s="80" t="str">
        <f>HYPERLINK("https://pbs.twimg.com/profile_images/1226620108451217409/7hxuic5__normal.jpg")</f>
        <v>https://pbs.twimg.com/profile_images/1226620108451217409/7hxuic5__normal.jpg</v>
      </c>
      <c r="AW1888" s="82" t="s">
        <v>14979</v>
      </c>
      <c r="AX1888" s="82" t="s">
        <v>14979</v>
      </c>
      <c r="AY1888" s="77"/>
      <c r="AZ1888" s="82" t="s">
        <v>17385</v>
      </c>
      <c r="BA1888" s="82" t="s">
        <v>17385</v>
      </c>
      <c r="BB1888" s="82" t="s">
        <v>17385</v>
      </c>
      <c r="BC1888" s="82" t="s">
        <v>14979</v>
      </c>
      <c r="BD1888" s="77">
        <v>255237609</v>
      </c>
      <c r="BE1888" s="77"/>
      <c r="BF1888" s="77"/>
      <c r="BG1888" s="77"/>
      <c r="BH1888" s="77"/>
      <c r="BI1888" s="77"/>
    </row>
    <row r="1889" spans="1:61" x14ac:dyDescent="0.25">
      <c r="A1889" s="62" t="s">
        <v>533</v>
      </c>
      <c r="B1889" s="62" t="s">
        <v>533</v>
      </c>
      <c r="C1889" s="63"/>
      <c r="D1889" s="64"/>
      <c r="E1889" s="65"/>
      <c r="F1889" s="66"/>
      <c r="G1889" s="63"/>
      <c r="H1889" s="67"/>
      <c r="I1889" s="68"/>
      <c r="J1889" s="68"/>
      <c r="K1889" s="32"/>
      <c r="L1889" s="75">
        <v>1889</v>
      </c>
      <c r="M1889" s="75"/>
      <c r="N1889" s="70"/>
      <c r="O1889" s="77" t="s">
        <v>179</v>
      </c>
      <c r="P1889" s="79">
        <v>45154.900995370372</v>
      </c>
      <c r="Q1889" s="77" t="s">
        <v>2675</v>
      </c>
      <c r="R1889" s="77">
        <v>0</v>
      </c>
      <c r="S1889" s="77">
        <v>0</v>
      </c>
      <c r="T1889" s="77">
        <v>0</v>
      </c>
      <c r="U1889" s="77">
        <v>0</v>
      </c>
      <c r="V1889" s="77">
        <v>95</v>
      </c>
      <c r="W1889" s="82" t="s">
        <v>6033</v>
      </c>
      <c r="X1889" s="80" t="str">
        <f>HYPERLINK("https://vm.tiktok.com/ZM2ERMFJ5/")</f>
        <v>https://vm.tiktok.com/ZM2ERMFJ5/</v>
      </c>
      <c r="Y1889" s="77" t="s">
        <v>7126</v>
      </c>
      <c r="Z1889" s="77"/>
      <c r="AA1889" s="77"/>
      <c r="AB1889" s="77"/>
      <c r="AC1889" s="82" t="s">
        <v>8234</v>
      </c>
      <c r="AD1889" s="77" t="s">
        <v>8278</v>
      </c>
      <c r="AE1889" s="80" t="str">
        <f>HYPERLINK("https://twitter.com/vagner_caldas/status/1691927171260960922")</f>
        <v>https://twitter.com/vagner_caldas/status/1691927171260960922</v>
      </c>
      <c r="AF1889" s="79">
        <v>45154.900995370372</v>
      </c>
      <c r="AG1889" s="85">
        <v>45154</v>
      </c>
      <c r="AH1889" s="82" t="s">
        <v>9995</v>
      </c>
      <c r="AI1889" s="77" t="b">
        <v>0</v>
      </c>
      <c r="AJ1889" s="77"/>
      <c r="AK1889" s="77"/>
      <c r="AL1889" s="77"/>
      <c r="AM1889" s="77"/>
      <c r="AN1889" s="77"/>
      <c r="AO1889" s="77"/>
      <c r="AP1889" s="77"/>
      <c r="AQ1889" s="77"/>
      <c r="AR1889" s="77"/>
      <c r="AS1889" s="77"/>
      <c r="AT1889" s="77"/>
      <c r="AU1889" s="77"/>
      <c r="AV1889" s="80" t="str">
        <f>HYPERLINK("https://pbs.twimg.com/profile_images/1226620108451217409/7hxuic5__normal.jpg")</f>
        <v>https://pbs.twimg.com/profile_images/1226620108451217409/7hxuic5__normal.jpg</v>
      </c>
      <c r="AW1889" s="82" t="s">
        <v>14980</v>
      </c>
      <c r="AX1889" s="82" t="s">
        <v>14980</v>
      </c>
      <c r="AY1889" s="77"/>
      <c r="AZ1889" s="82" t="s">
        <v>17385</v>
      </c>
      <c r="BA1889" s="82" t="s">
        <v>17385</v>
      </c>
      <c r="BB1889" s="82" t="s">
        <v>17385</v>
      </c>
      <c r="BC1889" s="82" t="s">
        <v>14980</v>
      </c>
      <c r="BD1889" s="77">
        <v>255237609</v>
      </c>
      <c r="BE1889" s="77"/>
      <c r="BF1889" s="77"/>
      <c r="BG1889" s="77"/>
      <c r="BH1889" s="77"/>
      <c r="BI1889" s="77"/>
    </row>
    <row r="1890" spans="1:61" x14ac:dyDescent="0.25">
      <c r="A1890" s="62" t="s">
        <v>534</v>
      </c>
      <c r="B1890" s="62" t="s">
        <v>534</v>
      </c>
      <c r="C1890" s="63"/>
      <c r="D1890" s="64"/>
      <c r="E1890" s="65"/>
      <c r="F1890" s="66"/>
      <c r="G1890" s="63"/>
      <c r="H1890" s="67"/>
      <c r="I1890" s="68"/>
      <c r="J1890" s="68"/>
      <c r="K1890" s="32"/>
      <c r="L1890" s="75">
        <v>1890</v>
      </c>
      <c r="M1890" s="75"/>
      <c r="N1890" s="70"/>
      <c r="O1890" s="77" t="s">
        <v>802</v>
      </c>
      <c r="P1890" s="79">
        <v>45118.555520833332</v>
      </c>
      <c r="Q1890" s="77" t="s">
        <v>2676</v>
      </c>
      <c r="R1890" s="77">
        <v>0</v>
      </c>
      <c r="S1890" s="77">
        <v>0</v>
      </c>
      <c r="T1890" s="77">
        <v>0</v>
      </c>
      <c r="U1890" s="77">
        <v>0</v>
      </c>
      <c r="V1890" s="77">
        <v>14</v>
      </c>
      <c r="W1890" s="82" t="s">
        <v>6034</v>
      </c>
      <c r="X1890" s="80" t="str">
        <f>HYPERLINK("https://ntnc.com.br/noticias/8d0173c8-de6e-4792-a324-860286311aae/5067ca0e-cf64-4a58-8828-5d6e896f571b")</f>
        <v>https://ntnc.com.br/noticias/8d0173c8-de6e-4792-a324-860286311aae/5067ca0e-cf64-4a58-8828-5d6e896f571b</v>
      </c>
      <c r="Y1890" s="77" t="s">
        <v>7053</v>
      </c>
      <c r="Z1890" s="77" t="s">
        <v>534</v>
      </c>
      <c r="AA1890" s="77"/>
      <c r="AB1890" s="77"/>
      <c r="AC1890" s="82" t="s">
        <v>8267</v>
      </c>
      <c r="AD1890" s="77" t="s">
        <v>8278</v>
      </c>
      <c r="AE1890" s="80" t="str">
        <f>HYPERLINK("https://twitter.com/incriptomoedas/status/1678756012503736322")</f>
        <v>https://twitter.com/incriptomoedas/status/1678756012503736322</v>
      </c>
      <c r="AF1890" s="79">
        <v>45118.555520833332</v>
      </c>
      <c r="AG1890" s="85">
        <v>45118</v>
      </c>
      <c r="AH1890" s="82" t="s">
        <v>9996</v>
      </c>
      <c r="AI1890" s="77" t="b">
        <v>0</v>
      </c>
      <c r="AJ1890" s="77"/>
      <c r="AK1890" s="77"/>
      <c r="AL1890" s="77"/>
      <c r="AM1890" s="77"/>
      <c r="AN1890" s="77"/>
      <c r="AO1890" s="77"/>
      <c r="AP1890" s="77"/>
      <c r="AQ1890" s="77"/>
      <c r="AR1890" s="77"/>
      <c r="AS1890" s="77"/>
      <c r="AT1890" s="77"/>
      <c r="AU1890" s="77"/>
      <c r="AV1890" s="80" t="str">
        <f>HYPERLINK("https://pbs.twimg.com/profile_images/1555740417928331264/4dd5SKLz_normal.jpg")</f>
        <v>https://pbs.twimg.com/profile_images/1555740417928331264/4dd5SKLz_normal.jpg</v>
      </c>
      <c r="AW1890" s="82" t="s">
        <v>14981</v>
      </c>
      <c r="AX1890" s="82" t="s">
        <v>14981</v>
      </c>
      <c r="AY1890" s="77"/>
      <c r="AZ1890" s="82" t="s">
        <v>17385</v>
      </c>
      <c r="BA1890" s="82" t="s">
        <v>17385</v>
      </c>
      <c r="BB1890" s="82" t="s">
        <v>17385</v>
      </c>
      <c r="BC1890" s="82" t="s">
        <v>14981</v>
      </c>
      <c r="BD1890" s="82" t="s">
        <v>17603</v>
      </c>
      <c r="BE1890" s="77"/>
      <c r="BF1890" s="77"/>
      <c r="BG1890" s="77"/>
      <c r="BH1890" s="77"/>
      <c r="BI1890" s="77"/>
    </row>
    <row r="1891" spans="1:61" x14ac:dyDescent="0.25">
      <c r="A1891" s="62" t="s">
        <v>535</v>
      </c>
      <c r="B1891" s="62" t="s">
        <v>535</v>
      </c>
      <c r="C1891" s="63"/>
      <c r="D1891" s="64"/>
      <c r="E1891" s="65"/>
      <c r="F1891" s="66"/>
      <c r="G1891" s="63"/>
      <c r="H1891" s="67"/>
      <c r="I1891" s="68"/>
      <c r="J1891" s="68"/>
      <c r="K1891" s="32"/>
      <c r="L1891" s="75">
        <v>1891</v>
      </c>
      <c r="M1891" s="75"/>
      <c r="N1891" s="70"/>
      <c r="O1891" s="77" t="s">
        <v>179</v>
      </c>
      <c r="P1891" s="79">
        <v>45054.804490740738</v>
      </c>
      <c r="Q1891" s="77" t="s">
        <v>2677</v>
      </c>
      <c r="R1891" s="77">
        <v>0</v>
      </c>
      <c r="S1891" s="77">
        <v>10</v>
      </c>
      <c r="T1891" s="77">
        <v>0</v>
      </c>
      <c r="U1891" s="77">
        <v>0</v>
      </c>
      <c r="V1891" s="77">
        <v>643</v>
      </c>
      <c r="W1891" s="82" t="s">
        <v>6035</v>
      </c>
      <c r="X1891" s="77"/>
      <c r="Y1891" s="77"/>
      <c r="Z1891" s="77"/>
      <c r="AA1891" s="77" t="s">
        <v>7914</v>
      </c>
      <c r="AB1891" s="77" t="s">
        <v>8225</v>
      </c>
      <c r="AC1891" s="82" t="s">
        <v>8247</v>
      </c>
      <c r="AD1891" s="77" t="s">
        <v>8278</v>
      </c>
      <c r="AE1891" s="80" t="str">
        <f>HYPERLINK("https://twitter.com/bloomberglineab/status/1655653411172278293")</f>
        <v>https://twitter.com/bloomberglineab/status/1655653411172278293</v>
      </c>
      <c r="AF1891" s="79">
        <v>45054.804490740738</v>
      </c>
      <c r="AG1891" s="85">
        <v>45054</v>
      </c>
      <c r="AH1891" s="82" t="s">
        <v>9997</v>
      </c>
      <c r="AI1891" s="77" t="b">
        <v>0</v>
      </c>
      <c r="AJ1891" s="77"/>
      <c r="AK1891" s="77"/>
      <c r="AL1891" s="77"/>
      <c r="AM1891" s="77"/>
      <c r="AN1891" s="77"/>
      <c r="AO1891" s="77"/>
      <c r="AP1891" s="77"/>
      <c r="AQ1891" s="77" t="s">
        <v>12799</v>
      </c>
      <c r="AR1891" s="77"/>
      <c r="AS1891" s="77"/>
      <c r="AT1891" s="77"/>
      <c r="AU1891" s="77"/>
      <c r="AV1891" s="80" t="str">
        <f>HYPERLINK("https://pbs.twimg.com/media/FvoP_YZWYAMPDZ-.jpg")</f>
        <v>https://pbs.twimg.com/media/FvoP_YZWYAMPDZ-.jpg</v>
      </c>
      <c r="AW1891" s="82" t="s">
        <v>14982</v>
      </c>
      <c r="AX1891" s="82" t="s">
        <v>14982</v>
      </c>
      <c r="AY1891" s="77"/>
      <c r="AZ1891" s="82" t="s">
        <v>17385</v>
      </c>
      <c r="BA1891" s="82" t="s">
        <v>17385</v>
      </c>
      <c r="BB1891" s="82" t="s">
        <v>17385</v>
      </c>
      <c r="BC1891" s="82" t="s">
        <v>14982</v>
      </c>
      <c r="BD1891" s="82" t="s">
        <v>17604</v>
      </c>
      <c r="BE1891" s="77"/>
      <c r="BF1891" s="77"/>
      <c r="BG1891" s="77"/>
      <c r="BH1891" s="77"/>
      <c r="BI1891" s="77"/>
    </row>
    <row r="1892" spans="1:61" x14ac:dyDescent="0.25">
      <c r="A1892" s="62" t="s">
        <v>535</v>
      </c>
      <c r="B1892" s="62" t="s">
        <v>535</v>
      </c>
      <c r="C1892" s="63"/>
      <c r="D1892" s="64"/>
      <c r="E1892" s="65"/>
      <c r="F1892" s="66"/>
      <c r="G1892" s="63"/>
      <c r="H1892" s="67"/>
      <c r="I1892" s="68"/>
      <c r="J1892" s="68"/>
      <c r="K1892" s="32"/>
      <c r="L1892" s="75">
        <v>1892</v>
      </c>
      <c r="M1892" s="75"/>
      <c r="N1892" s="70"/>
      <c r="O1892" s="77" t="s">
        <v>179</v>
      </c>
      <c r="P1892" s="79">
        <v>45089.978449074071</v>
      </c>
      <c r="Q1892" s="77" t="s">
        <v>2678</v>
      </c>
      <c r="R1892" s="77">
        <v>0</v>
      </c>
      <c r="S1892" s="77">
        <v>2</v>
      </c>
      <c r="T1892" s="77">
        <v>0</v>
      </c>
      <c r="U1892" s="77">
        <v>0</v>
      </c>
      <c r="V1892" s="77">
        <v>659</v>
      </c>
      <c r="W1892" s="82" t="s">
        <v>6036</v>
      </c>
      <c r="X1892" s="80" t="str">
        <f>HYPERLINK("https://bit.ly/3oZojmZ")</f>
        <v>https://bit.ly/3oZojmZ</v>
      </c>
      <c r="Y1892" s="77" t="s">
        <v>7063</v>
      </c>
      <c r="Z1892" s="77"/>
      <c r="AA1892" s="77" t="s">
        <v>7915</v>
      </c>
      <c r="AB1892" s="77" t="s">
        <v>8227</v>
      </c>
      <c r="AC1892" s="82" t="s">
        <v>8268</v>
      </c>
      <c r="AD1892" s="77" t="s">
        <v>8278</v>
      </c>
      <c r="AE1892" s="80" t="str">
        <f>HYPERLINK("https://twitter.com/bloomberglineab/status/1668400025741795333")</f>
        <v>https://twitter.com/bloomberglineab/status/1668400025741795333</v>
      </c>
      <c r="AF1892" s="79">
        <v>45089.978449074071</v>
      </c>
      <c r="AG1892" s="85">
        <v>45089</v>
      </c>
      <c r="AH1892" s="82" t="s">
        <v>9998</v>
      </c>
      <c r="AI1892" s="77" t="b">
        <v>0</v>
      </c>
      <c r="AJ1892" s="77"/>
      <c r="AK1892" s="77"/>
      <c r="AL1892" s="77"/>
      <c r="AM1892" s="77"/>
      <c r="AN1892" s="77"/>
      <c r="AO1892" s="77"/>
      <c r="AP1892" s="77"/>
      <c r="AQ1892" s="77" t="s">
        <v>12800</v>
      </c>
      <c r="AR1892" s="77">
        <v>75000</v>
      </c>
      <c r="AS1892" s="77"/>
      <c r="AT1892" s="77"/>
      <c r="AU1892" s="77"/>
      <c r="AV1892" s="80" t="str">
        <f>HYPERLINK("https://pbs.twimg.com/media/FydYe5XXsAE2O59.jpg")</f>
        <v>https://pbs.twimg.com/media/FydYe5XXsAE2O59.jpg</v>
      </c>
      <c r="AW1892" s="82" t="s">
        <v>14983</v>
      </c>
      <c r="AX1892" s="82" t="s">
        <v>14983</v>
      </c>
      <c r="AY1892" s="77"/>
      <c r="AZ1892" s="82" t="s">
        <v>17385</v>
      </c>
      <c r="BA1892" s="82" t="s">
        <v>17385</v>
      </c>
      <c r="BB1892" s="82" t="s">
        <v>17385</v>
      </c>
      <c r="BC1892" s="82" t="s">
        <v>14983</v>
      </c>
      <c r="BD1892" s="82" t="s">
        <v>17604</v>
      </c>
      <c r="BE1892" s="77"/>
      <c r="BF1892" s="77"/>
      <c r="BG1892" s="77"/>
      <c r="BH1892" s="77"/>
      <c r="BI1892" s="77"/>
    </row>
    <row r="1893" spans="1:61" x14ac:dyDescent="0.25">
      <c r="A1893" s="62" t="s">
        <v>535</v>
      </c>
      <c r="B1893" s="62" t="s">
        <v>535</v>
      </c>
      <c r="C1893" s="63"/>
      <c r="D1893" s="64"/>
      <c r="E1893" s="65"/>
      <c r="F1893" s="66"/>
      <c r="G1893" s="63"/>
      <c r="H1893" s="67"/>
      <c r="I1893" s="68"/>
      <c r="J1893" s="68"/>
      <c r="K1893" s="32"/>
      <c r="L1893" s="75">
        <v>1893</v>
      </c>
      <c r="M1893" s="75"/>
      <c r="N1893" s="70"/>
      <c r="O1893" s="77" t="s">
        <v>179</v>
      </c>
      <c r="P1893" s="79">
        <v>45077.927083333336</v>
      </c>
      <c r="Q1893" s="77" t="s">
        <v>2679</v>
      </c>
      <c r="R1893" s="77">
        <v>0</v>
      </c>
      <c r="S1893" s="77">
        <v>3</v>
      </c>
      <c r="T1893" s="77">
        <v>0</v>
      </c>
      <c r="U1893" s="77">
        <v>0</v>
      </c>
      <c r="V1893" s="77">
        <v>545</v>
      </c>
      <c r="W1893" s="82" t="s">
        <v>6037</v>
      </c>
      <c r="X1893" s="77"/>
      <c r="Y1893" s="77"/>
      <c r="Z1893" s="77"/>
      <c r="AA1893" s="77" t="s">
        <v>7916</v>
      </c>
      <c r="AB1893" s="77" t="s">
        <v>8227</v>
      </c>
      <c r="AC1893" s="82" t="s">
        <v>8268</v>
      </c>
      <c r="AD1893" s="77" t="s">
        <v>8278</v>
      </c>
      <c r="AE1893" s="80" t="str">
        <f>HYPERLINK("https://twitter.com/bloomberglineab/status/1664032757486600193")</f>
        <v>https://twitter.com/bloomberglineab/status/1664032757486600193</v>
      </c>
      <c r="AF1893" s="79">
        <v>45077.927083333336</v>
      </c>
      <c r="AG1893" s="85">
        <v>45077</v>
      </c>
      <c r="AH1893" s="82" t="s">
        <v>9999</v>
      </c>
      <c r="AI1893" s="77" t="b">
        <v>0</v>
      </c>
      <c r="AJ1893" s="77"/>
      <c r="AK1893" s="77"/>
      <c r="AL1893" s="77"/>
      <c r="AM1893" s="77"/>
      <c r="AN1893" s="77"/>
      <c r="AO1893" s="77"/>
      <c r="AP1893" s="77"/>
      <c r="AQ1893" s="77" t="s">
        <v>12801</v>
      </c>
      <c r="AR1893" s="77">
        <v>68835</v>
      </c>
      <c r="AS1893" s="77"/>
      <c r="AT1893" s="77"/>
      <c r="AU1893" s="77"/>
      <c r="AV1893" s="80" t="str">
        <f>HYPERLINK("https://pbs.twimg.com/media/FxfKBUlakAIVbfz.jpg")</f>
        <v>https://pbs.twimg.com/media/FxfKBUlakAIVbfz.jpg</v>
      </c>
      <c r="AW1893" s="82" t="s">
        <v>14984</v>
      </c>
      <c r="AX1893" s="82" t="s">
        <v>14984</v>
      </c>
      <c r="AY1893" s="77"/>
      <c r="AZ1893" s="82" t="s">
        <v>17385</v>
      </c>
      <c r="BA1893" s="82" t="s">
        <v>17385</v>
      </c>
      <c r="BB1893" s="82" t="s">
        <v>17385</v>
      </c>
      <c r="BC1893" s="82" t="s">
        <v>14984</v>
      </c>
      <c r="BD1893" s="82" t="s">
        <v>17604</v>
      </c>
      <c r="BE1893" s="77"/>
      <c r="BF1893" s="77"/>
      <c r="BG1893" s="77"/>
      <c r="BH1893" s="77"/>
      <c r="BI1893" s="77"/>
    </row>
    <row r="1894" spans="1:61" x14ac:dyDescent="0.25">
      <c r="A1894" s="62" t="s">
        <v>535</v>
      </c>
      <c r="B1894" s="62" t="s">
        <v>535</v>
      </c>
      <c r="C1894" s="63"/>
      <c r="D1894" s="64"/>
      <c r="E1894" s="65"/>
      <c r="F1894" s="66"/>
      <c r="G1894" s="63"/>
      <c r="H1894" s="67"/>
      <c r="I1894" s="68"/>
      <c r="J1894" s="68"/>
      <c r="K1894" s="32"/>
      <c r="L1894" s="75">
        <v>1894</v>
      </c>
      <c r="M1894" s="75"/>
      <c r="N1894" s="70"/>
      <c r="O1894" s="77" t="s">
        <v>179</v>
      </c>
      <c r="P1894" s="79">
        <v>45076.994386574072</v>
      </c>
      <c r="Q1894" s="77" t="s">
        <v>2680</v>
      </c>
      <c r="R1894" s="77">
        <v>0</v>
      </c>
      <c r="S1894" s="77">
        <v>4</v>
      </c>
      <c r="T1894" s="77">
        <v>0</v>
      </c>
      <c r="U1894" s="77">
        <v>0</v>
      </c>
      <c r="V1894" s="77">
        <v>604</v>
      </c>
      <c r="W1894" s="82" t="s">
        <v>6038</v>
      </c>
      <c r="X1894" s="80" t="str">
        <f>HYPERLINK("https://bit.ly/3oZojmZ")</f>
        <v>https://bit.ly/3oZojmZ</v>
      </c>
      <c r="Y1894" s="77" t="s">
        <v>7063</v>
      </c>
      <c r="Z1894" s="77"/>
      <c r="AA1894" s="77" t="s">
        <v>7917</v>
      </c>
      <c r="AB1894" s="77" t="s">
        <v>8227</v>
      </c>
      <c r="AC1894" s="82" t="s">
        <v>8268</v>
      </c>
      <c r="AD1894" s="77" t="s">
        <v>8278</v>
      </c>
      <c r="AE1894" s="80" t="str">
        <f>HYPERLINK("https://twitter.com/bloomberglineab/status/1663694762451300352")</f>
        <v>https://twitter.com/bloomberglineab/status/1663694762451300352</v>
      </c>
      <c r="AF1894" s="79">
        <v>45076.994386574072</v>
      </c>
      <c r="AG1894" s="85">
        <v>45076</v>
      </c>
      <c r="AH1894" s="82" t="s">
        <v>10000</v>
      </c>
      <c r="AI1894" s="77" t="b">
        <v>0</v>
      </c>
      <c r="AJ1894" s="77"/>
      <c r="AK1894" s="77"/>
      <c r="AL1894" s="77"/>
      <c r="AM1894" s="77"/>
      <c r="AN1894" s="77"/>
      <c r="AO1894" s="77"/>
      <c r="AP1894" s="77"/>
      <c r="AQ1894" s="77" t="s">
        <v>12802</v>
      </c>
      <c r="AR1894" s="77">
        <v>63666</v>
      </c>
      <c r="AS1894" s="77"/>
      <c r="AT1894" s="77"/>
      <c r="AU1894" s="77"/>
      <c r="AV1894" s="80" t="str">
        <f>HYPERLINK("https://pbs.twimg.com/media/Fxag6ZVXwAIXVYE.jpg")</f>
        <v>https://pbs.twimg.com/media/Fxag6ZVXwAIXVYE.jpg</v>
      </c>
      <c r="AW1894" s="82" t="s">
        <v>14985</v>
      </c>
      <c r="AX1894" s="82" t="s">
        <v>14985</v>
      </c>
      <c r="AY1894" s="77"/>
      <c r="AZ1894" s="82" t="s">
        <v>17385</v>
      </c>
      <c r="BA1894" s="82" t="s">
        <v>17385</v>
      </c>
      <c r="BB1894" s="82" t="s">
        <v>17385</v>
      </c>
      <c r="BC1894" s="82" t="s">
        <v>14985</v>
      </c>
      <c r="BD1894" s="82" t="s">
        <v>17604</v>
      </c>
      <c r="BE1894" s="77"/>
      <c r="BF1894" s="77"/>
      <c r="BG1894" s="77"/>
      <c r="BH1894" s="77"/>
      <c r="BI1894" s="77"/>
    </row>
    <row r="1895" spans="1:61" x14ac:dyDescent="0.25">
      <c r="A1895" s="62" t="s">
        <v>535</v>
      </c>
      <c r="B1895" s="62" t="s">
        <v>535</v>
      </c>
      <c r="C1895" s="63"/>
      <c r="D1895" s="64"/>
      <c r="E1895" s="65"/>
      <c r="F1895" s="66"/>
      <c r="G1895" s="63"/>
      <c r="H1895" s="67"/>
      <c r="I1895" s="68"/>
      <c r="J1895" s="68"/>
      <c r="K1895" s="32"/>
      <c r="L1895" s="75">
        <v>1895</v>
      </c>
      <c r="M1895" s="75"/>
      <c r="N1895" s="70"/>
      <c r="O1895" s="77" t="s">
        <v>179</v>
      </c>
      <c r="P1895" s="79">
        <v>45088.795682870368</v>
      </c>
      <c r="Q1895" s="77" t="s">
        <v>2681</v>
      </c>
      <c r="R1895" s="77">
        <v>0</v>
      </c>
      <c r="S1895" s="77">
        <v>0</v>
      </c>
      <c r="T1895" s="77">
        <v>0</v>
      </c>
      <c r="U1895" s="77">
        <v>0</v>
      </c>
      <c r="V1895" s="77">
        <v>546</v>
      </c>
      <c r="W1895" s="82" t="s">
        <v>6039</v>
      </c>
      <c r="X1895" s="77"/>
      <c r="Y1895" s="77"/>
      <c r="Z1895" s="77"/>
      <c r="AA1895" s="77" t="s">
        <v>7918</v>
      </c>
      <c r="AB1895" s="77" t="s">
        <v>8225</v>
      </c>
      <c r="AC1895" s="82" t="s">
        <v>8247</v>
      </c>
      <c r="AD1895" s="77" t="s">
        <v>8278</v>
      </c>
      <c r="AE1895" s="80" t="str">
        <f>HYPERLINK("https://twitter.com/bloomberglineab/status/1667971408184459271")</f>
        <v>https://twitter.com/bloomberglineab/status/1667971408184459271</v>
      </c>
      <c r="AF1895" s="79">
        <v>45088.795682870368</v>
      </c>
      <c r="AG1895" s="85">
        <v>45088</v>
      </c>
      <c r="AH1895" s="82" t="s">
        <v>10001</v>
      </c>
      <c r="AI1895" s="77" t="b">
        <v>0</v>
      </c>
      <c r="AJ1895" s="77"/>
      <c r="AK1895" s="77"/>
      <c r="AL1895" s="77"/>
      <c r="AM1895" s="77"/>
      <c r="AN1895" s="77"/>
      <c r="AO1895" s="77"/>
      <c r="AP1895" s="77"/>
      <c r="AQ1895" s="77" t="s">
        <v>12803</v>
      </c>
      <c r="AR1895" s="77"/>
      <c r="AS1895" s="77"/>
      <c r="AT1895" s="77"/>
      <c r="AU1895" s="77"/>
      <c r="AV1895" s="80" t="str">
        <f>HYPERLINK("https://pbs.twimg.com/media/FyXTGWVXgAACrp1.jpg")</f>
        <v>https://pbs.twimg.com/media/FyXTGWVXgAACrp1.jpg</v>
      </c>
      <c r="AW1895" s="82" t="s">
        <v>14986</v>
      </c>
      <c r="AX1895" s="82" t="s">
        <v>14986</v>
      </c>
      <c r="AY1895" s="77"/>
      <c r="AZ1895" s="82" t="s">
        <v>17385</v>
      </c>
      <c r="BA1895" s="82" t="s">
        <v>17385</v>
      </c>
      <c r="BB1895" s="82" t="s">
        <v>17385</v>
      </c>
      <c r="BC1895" s="82" t="s">
        <v>14986</v>
      </c>
      <c r="BD1895" s="82" t="s">
        <v>17604</v>
      </c>
      <c r="BE1895" s="77"/>
      <c r="BF1895" s="77"/>
      <c r="BG1895" s="77"/>
      <c r="BH1895" s="77"/>
      <c r="BI1895" s="77"/>
    </row>
    <row r="1896" spans="1:61" x14ac:dyDescent="0.25">
      <c r="A1896" s="62" t="s">
        <v>535</v>
      </c>
      <c r="B1896" s="62" t="s">
        <v>535</v>
      </c>
      <c r="C1896" s="63"/>
      <c r="D1896" s="64"/>
      <c r="E1896" s="65"/>
      <c r="F1896" s="66"/>
      <c r="G1896" s="63"/>
      <c r="H1896" s="67"/>
      <c r="I1896" s="68"/>
      <c r="J1896" s="68"/>
      <c r="K1896" s="32"/>
      <c r="L1896" s="75">
        <v>1896</v>
      </c>
      <c r="M1896" s="75"/>
      <c r="N1896" s="70"/>
      <c r="O1896" s="77" t="s">
        <v>179</v>
      </c>
      <c r="P1896" s="79">
        <v>45132.999108796299</v>
      </c>
      <c r="Q1896" s="77" t="s">
        <v>2682</v>
      </c>
      <c r="R1896" s="77">
        <v>1</v>
      </c>
      <c r="S1896" s="77">
        <v>4</v>
      </c>
      <c r="T1896" s="77">
        <v>1</v>
      </c>
      <c r="U1896" s="77">
        <v>0</v>
      </c>
      <c r="V1896" s="77">
        <v>525</v>
      </c>
      <c r="W1896" s="82" t="s">
        <v>6040</v>
      </c>
      <c r="X1896" s="80" t="str">
        <f>HYPERLINK("https://bit.ly/3oZojmZ")</f>
        <v>https://bit.ly/3oZojmZ</v>
      </c>
      <c r="Y1896" s="77" t="s">
        <v>7063</v>
      </c>
      <c r="Z1896" s="77"/>
      <c r="AA1896" s="77" t="s">
        <v>7919</v>
      </c>
      <c r="AB1896" s="77" t="s">
        <v>8227</v>
      </c>
      <c r="AC1896" s="82" t="s">
        <v>8268</v>
      </c>
      <c r="AD1896" s="77" t="s">
        <v>8278</v>
      </c>
      <c r="AE1896" s="80" t="str">
        <f>HYPERLINK("https://twitter.com/bloomberglineab/status/1683990190849662976")</f>
        <v>https://twitter.com/bloomberglineab/status/1683990190849662976</v>
      </c>
      <c r="AF1896" s="79">
        <v>45132.999108796299</v>
      </c>
      <c r="AG1896" s="85">
        <v>45132</v>
      </c>
      <c r="AH1896" s="82" t="s">
        <v>10002</v>
      </c>
      <c r="AI1896" s="77" t="b">
        <v>0</v>
      </c>
      <c r="AJ1896" s="77"/>
      <c r="AK1896" s="77"/>
      <c r="AL1896" s="77"/>
      <c r="AM1896" s="77"/>
      <c r="AN1896" s="77"/>
      <c r="AO1896" s="77"/>
      <c r="AP1896" s="77"/>
      <c r="AQ1896" s="77" t="s">
        <v>12804</v>
      </c>
      <c r="AR1896" s="77">
        <v>49433</v>
      </c>
      <c r="AS1896" s="77"/>
      <c r="AT1896" s="77"/>
      <c r="AU1896" s="77"/>
      <c r="AV1896" s="80" t="str">
        <f>HYPERLINK("https://pbs.twimg.com/media/F167zFqWcAEEiIK.jpg")</f>
        <v>https://pbs.twimg.com/media/F167zFqWcAEEiIK.jpg</v>
      </c>
      <c r="AW1896" s="82" t="s">
        <v>14987</v>
      </c>
      <c r="AX1896" s="82" t="s">
        <v>14987</v>
      </c>
      <c r="AY1896" s="77"/>
      <c r="AZ1896" s="82" t="s">
        <v>17385</v>
      </c>
      <c r="BA1896" s="82" t="s">
        <v>17385</v>
      </c>
      <c r="BB1896" s="82" t="s">
        <v>17385</v>
      </c>
      <c r="BC1896" s="82" t="s">
        <v>14987</v>
      </c>
      <c r="BD1896" s="82" t="s">
        <v>17604</v>
      </c>
      <c r="BE1896" s="77"/>
      <c r="BF1896" s="77"/>
      <c r="BG1896" s="77"/>
      <c r="BH1896" s="77"/>
      <c r="BI1896" s="77"/>
    </row>
    <row r="1897" spans="1:61" x14ac:dyDescent="0.25">
      <c r="A1897" s="62" t="s">
        <v>535</v>
      </c>
      <c r="B1897" s="62" t="s">
        <v>535</v>
      </c>
      <c r="C1897" s="63"/>
      <c r="D1897" s="64"/>
      <c r="E1897" s="65"/>
      <c r="F1897" s="66"/>
      <c r="G1897" s="63"/>
      <c r="H1897" s="67"/>
      <c r="I1897" s="68"/>
      <c r="J1897" s="68"/>
      <c r="K1897" s="32"/>
      <c r="L1897" s="75">
        <v>1897</v>
      </c>
      <c r="M1897" s="75"/>
      <c r="N1897" s="70"/>
      <c r="O1897" s="77" t="s">
        <v>179</v>
      </c>
      <c r="P1897" s="79">
        <v>45131.979641203703</v>
      </c>
      <c r="Q1897" s="77" t="s">
        <v>2683</v>
      </c>
      <c r="R1897" s="77">
        <v>0</v>
      </c>
      <c r="S1897" s="77">
        <v>7</v>
      </c>
      <c r="T1897" s="77">
        <v>1</v>
      </c>
      <c r="U1897" s="77">
        <v>0</v>
      </c>
      <c r="V1897" s="77">
        <v>614</v>
      </c>
      <c r="W1897" s="82" t="s">
        <v>6041</v>
      </c>
      <c r="X1897" s="80" t="str">
        <f>HYPERLINK("https://bit.ly/3oZojmZ")</f>
        <v>https://bit.ly/3oZojmZ</v>
      </c>
      <c r="Y1897" s="77" t="s">
        <v>7063</v>
      </c>
      <c r="Z1897" s="77"/>
      <c r="AA1897" s="77" t="s">
        <v>7920</v>
      </c>
      <c r="AB1897" s="77" t="s">
        <v>8227</v>
      </c>
      <c r="AC1897" s="82" t="s">
        <v>8268</v>
      </c>
      <c r="AD1897" s="77" t="s">
        <v>8278</v>
      </c>
      <c r="AE1897" s="80" t="str">
        <f>HYPERLINK("https://twitter.com/bloomberglineab/status/1683620748030533634")</f>
        <v>https://twitter.com/bloomberglineab/status/1683620748030533634</v>
      </c>
      <c r="AF1897" s="79">
        <v>45131.979641203703</v>
      </c>
      <c r="AG1897" s="85">
        <v>45131</v>
      </c>
      <c r="AH1897" s="82" t="s">
        <v>10003</v>
      </c>
      <c r="AI1897" s="77" t="b">
        <v>0</v>
      </c>
      <c r="AJ1897" s="77"/>
      <c r="AK1897" s="77"/>
      <c r="AL1897" s="77"/>
      <c r="AM1897" s="77"/>
      <c r="AN1897" s="77"/>
      <c r="AO1897" s="77"/>
      <c r="AP1897" s="77"/>
      <c r="AQ1897" s="77" t="s">
        <v>12805</v>
      </c>
      <c r="AR1897" s="77">
        <v>41200</v>
      </c>
      <c r="AS1897" s="77"/>
      <c r="AT1897" s="77"/>
      <c r="AU1897" s="77"/>
      <c r="AV1897" s="80" t="str">
        <f>HYPERLINK("https://pbs.twimg.com/media/F11rbQPWwAA4TRT.jpg")</f>
        <v>https://pbs.twimg.com/media/F11rbQPWwAA4TRT.jpg</v>
      </c>
      <c r="AW1897" s="82" t="s">
        <v>14988</v>
      </c>
      <c r="AX1897" s="82" t="s">
        <v>14988</v>
      </c>
      <c r="AY1897" s="77"/>
      <c r="AZ1897" s="82" t="s">
        <v>17385</v>
      </c>
      <c r="BA1897" s="82" t="s">
        <v>17385</v>
      </c>
      <c r="BB1897" s="82" t="s">
        <v>17385</v>
      </c>
      <c r="BC1897" s="82" t="s">
        <v>14988</v>
      </c>
      <c r="BD1897" s="82" t="s">
        <v>17604</v>
      </c>
      <c r="BE1897" s="77"/>
      <c r="BF1897" s="77"/>
      <c r="BG1897" s="77"/>
      <c r="BH1897" s="77"/>
      <c r="BI1897" s="77"/>
    </row>
    <row r="1898" spans="1:61" x14ac:dyDescent="0.25">
      <c r="A1898" s="62" t="s">
        <v>535</v>
      </c>
      <c r="B1898" s="62" t="s">
        <v>535</v>
      </c>
      <c r="C1898" s="63"/>
      <c r="D1898" s="64"/>
      <c r="E1898" s="65"/>
      <c r="F1898" s="66"/>
      <c r="G1898" s="63"/>
      <c r="H1898" s="67"/>
      <c r="I1898" s="68"/>
      <c r="J1898" s="68"/>
      <c r="K1898" s="32"/>
      <c r="L1898" s="75">
        <v>1898</v>
      </c>
      <c r="M1898" s="75"/>
      <c r="N1898" s="70"/>
      <c r="O1898" s="77" t="s">
        <v>179</v>
      </c>
      <c r="P1898" s="79">
        <v>45166.997789351852</v>
      </c>
      <c r="Q1898" s="77" t="s">
        <v>2684</v>
      </c>
      <c r="R1898" s="77">
        <v>1</v>
      </c>
      <c r="S1898" s="77">
        <v>3</v>
      </c>
      <c r="T1898" s="77">
        <v>1</v>
      </c>
      <c r="U1898" s="77">
        <v>1</v>
      </c>
      <c r="V1898" s="77">
        <v>496</v>
      </c>
      <c r="W1898" s="82" t="s">
        <v>6042</v>
      </c>
      <c r="X1898" s="80" t="str">
        <f>HYPERLINK("https://bit.ly/3oZojmZ")</f>
        <v>https://bit.ly/3oZojmZ</v>
      </c>
      <c r="Y1898" s="77" t="s">
        <v>7063</v>
      </c>
      <c r="Z1898" s="77"/>
      <c r="AA1898" s="77" t="s">
        <v>7921</v>
      </c>
      <c r="AB1898" s="77" t="s">
        <v>8227</v>
      </c>
      <c r="AC1898" s="82" t="s">
        <v>8268</v>
      </c>
      <c r="AD1898" s="77" t="s">
        <v>8278</v>
      </c>
      <c r="AE1898" s="80" t="str">
        <f>HYPERLINK("https://twitter.com/bloomberglineab/status/1696310901450637322")</f>
        <v>https://twitter.com/bloomberglineab/status/1696310901450637322</v>
      </c>
      <c r="AF1898" s="79">
        <v>45166.997789351852</v>
      </c>
      <c r="AG1898" s="85">
        <v>45166</v>
      </c>
      <c r="AH1898" s="82" t="s">
        <v>10004</v>
      </c>
      <c r="AI1898" s="77" t="b">
        <v>0</v>
      </c>
      <c r="AJ1898" s="77"/>
      <c r="AK1898" s="77"/>
      <c r="AL1898" s="77"/>
      <c r="AM1898" s="77"/>
      <c r="AN1898" s="77"/>
      <c r="AO1898" s="77"/>
      <c r="AP1898" s="77"/>
      <c r="AQ1898" s="77" t="s">
        <v>12806</v>
      </c>
      <c r="AR1898" s="77">
        <v>58233</v>
      </c>
      <c r="AS1898" s="77"/>
      <c r="AT1898" s="77"/>
      <c r="AU1898" s="77"/>
      <c r="AV1898" s="80" t="str">
        <f>HYPERLINK("https://pbs.twimg.com/media/F4qBeVyXAAAvgJk.jpg")</f>
        <v>https://pbs.twimg.com/media/F4qBeVyXAAAvgJk.jpg</v>
      </c>
      <c r="AW1898" s="82" t="s">
        <v>14989</v>
      </c>
      <c r="AX1898" s="82" t="s">
        <v>14989</v>
      </c>
      <c r="AY1898" s="77"/>
      <c r="AZ1898" s="82" t="s">
        <v>17385</v>
      </c>
      <c r="BA1898" s="82" t="s">
        <v>17385</v>
      </c>
      <c r="BB1898" s="82" t="s">
        <v>17385</v>
      </c>
      <c r="BC1898" s="82" t="s">
        <v>14989</v>
      </c>
      <c r="BD1898" s="82" t="s">
        <v>17604</v>
      </c>
      <c r="BE1898" s="77"/>
      <c r="BF1898" s="77"/>
      <c r="BG1898" s="77"/>
      <c r="BH1898" s="77"/>
      <c r="BI1898" s="77"/>
    </row>
    <row r="1899" spans="1:61" x14ac:dyDescent="0.25">
      <c r="A1899" s="62" t="s">
        <v>535</v>
      </c>
      <c r="B1899" s="62" t="s">
        <v>535</v>
      </c>
      <c r="C1899" s="63"/>
      <c r="D1899" s="64"/>
      <c r="E1899" s="65"/>
      <c r="F1899" s="66"/>
      <c r="G1899" s="63"/>
      <c r="H1899" s="67"/>
      <c r="I1899" s="68"/>
      <c r="J1899" s="68"/>
      <c r="K1899" s="32"/>
      <c r="L1899" s="75">
        <v>1899</v>
      </c>
      <c r="M1899" s="75"/>
      <c r="N1899" s="70"/>
      <c r="O1899" s="77" t="s">
        <v>179</v>
      </c>
      <c r="P1899" s="79">
        <v>45117.979166666664</v>
      </c>
      <c r="Q1899" s="77" t="s">
        <v>2685</v>
      </c>
      <c r="R1899" s="77">
        <v>0</v>
      </c>
      <c r="S1899" s="77">
        <v>3</v>
      </c>
      <c r="T1899" s="77">
        <v>0</v>
      </c>
      <c r="U1899" s="77">
        <v>0</v>
      </c>
      <c r="V1899" s="77">
        <v>472</v>
      </c>
      <c r="W1899" s="82" t="s">
        <v>6043</v>
      </c>
      <c r="X1899" s="80" t="str">
        <f>HYPERLINK("https://bit.ly/3oZojmZ")</f>
        <v>https://bit.ly/3oZojmZ</v>
      </c>
      <c r="Y1899" s="77" t="s">
        <v>7063</v>
      </c>
      <c r="Z1899" s="77"/>
      <c r="AA1899" s="77" t="s">
        <v>7922</v>
      </c>
      <c r="AB1899" s="77" t="s">
        <v>8227</v>
      </c>
      <c r="AC1899" s="82" t="s">
        <v>8239</v>
      </c>
      <c r="AD1899" s="77" t="s">
        <v>8278</v>
      </c>
      <c r="AE1899" s="80" t="str">
        <f>HYPERLINK("https://twitter.com/bloomberglineab/status/1678547148797882371")</f>
        <v>https://twitter.com/bloomberglineab/status/1678547148797882371</v>
      </c>
      <c r="AF1899" s="79">
        <v>45117.979166666664</v>
      </c>
      <c r="AG1899" s="85">
        <v>45117</v>
      </c>
      <c r="AH1899" s="82" t="s">
        <v>10005</v>
      </c>
      <c r="AI1899" s="77" t="b">
        <v>0</v>
      </c>
      <c r="AJ1899" s="77"/>
      <c r="AK1899" s="77"/>
      <c r="AL1899" s="77"/>
      <c r="AM1899" s="77"/>
      <c r="AN1899" s="77"/>
      <c r="AO1899" s="77"/>
      <c r="AP1899" s="77"/>
      <c r="AQ1899" s="77" t="s">
        <v>12807</v>
      </c>
      <c r="AR1899" s="77">
        <v>59178</v>
      </c>
      <c r="AS1899" s="77"/>
      <c r="AT1899" s="77"/>
      <c r="AU1899" s="77"/>
      <c r="AV1899" s="80" t="str">
        <f>HYPERLINK("https://pbs.twimg.com/amplify_video_thumb/1678544380452380672/img/Z7QRjfdQB6xy5Zt7.jpg")</f>
        <v>https://pbs.twimg.com/amplify_video_thumb/1678544380452380672/img/Z7QRjfdQB6xy5Zt7.jpg</v>
      </c>
      <c r="AW1899" s="82" t="s">
        <v>14990</v>
      </c>
      <c r="AX1899" s="82" t="s">
        <v>14990</v>
      </c>
      <c r="AY1899" s="77"/>
      <c r="AZ1899" s="82" t="s">
        <v>17385</v>
      </c>
      <c r="BA1899" s="82" t="s">
        <v>17385</v>
      </c>
      <c r="BB1899" s="82" t="s">
        <v>17385</v>
      </c>
      <c r="BC1899" s="82" t="s">
        <v>14990</v>
      </c>
      <c r="BD1899" s="82" t="s">
        <v>17604</v>
      </c>
      <c r="BE1899" s="77"/>
      <c r="BF1899" s="77"/>
      <c r="BG1899" s="77"/>
      <c r="BH1899" s="77"/>
      <c r="BI1899" s="77"/>
    </row>
    <row r="1900" spans="1:61" x14ac:dyDescent="0.25">
      <c r="A1900" s="62" t="s">
        <v>535</v>
      </c>
      <c r="B1900" s="62" t="s">
        <v>535</v>
      </c>
      <c r="C1900" s="63"/>
      <c r="D1900" s="64"/>
      <c r="E1900" s="65"/>
      <c r="F1900" s="66"/>
      <c r="G1900" s="63"/>
      <c r="H1900" s="67"/>
      <c r="I1900" s="68"/>
      <c r="J1900" s="68"/>
      <c r="K1900" s="32"/>
      <c r="L1900" s="75">
        <v>1900</v>
      </c>
      <c r="M1900" s="75"/>
      <c r="N1900" s="70"/>
      <c r="O1900" s="77" t="s">
        <v>179</v>
      </c>
      <c r="P1900" s="79">
        <v>45093.020833333336</v>
      </c>
      <c r="Q1900" s="77" t="s">
        <v>2686</v>
      </c>
      <c r="R1900" s="77">
        <v>0</v>
      </c>
      <c r="S1900" s="77">
        <v>3</v>
      </c>
      <c r="T1900" s="77">
        <v>0</v>
      </c>
      <c r="U1900" s="77">
        <v>0</v>
      </c>
      <c r="V1900" s="77">
        <v>691</v>
      </c>
      <c r="W1900" s="82" t="s">
        <v>6044</v>
      </c>
      <c r="X1900" s="77"/>
      <c r="Y1900" s="77"/>
      <c r="Z1900" s="77"/>
      <c r="AA1900" s="77" t="s">
        <v>7923</v>
      </c>
      <c r="AB1900" s="77" t="s">
        <v>8227</v>
      </c>
      <c r="AC1900" s="82" t="s">
        <v>8268</v>
      </c>
      <c r="AD1900" s="77" t="s">
        <v>8278</v>
      </c>
      <c r="AE1900" s="80" t="str">
        <f>HYPERLINK("https://twitter.com/bloomberglineab/status/1669502550364631042")</f>
        <v>https://twitter.com/bloomberglineab/status/1669502550364631042</v>
      </c>
      <c r="AF1900" s="79">
        <v>45093.020833333336</v>
      </c>
      <c r="AG1900" s="85">
        <v>45093</v>
      </c>
      <c r="AH1900" s="82" t="s">
        <v>10006</v>
      </c>
      <c r="AI1900" s="77" t="b">
        <v>0</v>
      </c>
      <c r="AJ1900" s="77"/>
      <c r="AK1900" s="77"/>
      <c r="AL1900" s="77"/>
      <c r="AM1900" s="77"/>
      <c r="AN1900" s="77"/>
      <c r="AO1900" s="77"/>
      <c r="AP1900" s="77"/>
      <c r="AQ1900" s="77" t="s">
        <v>12808</v>
      </c>
      <c r="AR1900" s="77">
        <v>72639</v>
      </c>
      <c r="AS1900" s="77"/>
      <c r="AT1900" s="77"/>
      <c r="AU1900" s="77"/>
      <c r="AV1900" s="80" t="str">
        <f>HYPERLINK("https://pbs.twimg.com/media/FyrtyBjWcAE9Iaw.jpg")</f>
        <v>https://pbs.twimg.com/media/FyrtyBjWcAE9Iaw.jpg</v>
      </c>
      <c r="AW1900" s="82" t="s">
        <v>14991</v>
      </c>
      <c r="AX1900" s="82" t="s">
        <v>14991</v>
      </c>
      <c r="AY1900" s="77"/>
      <c r="AZ1900" s="82" t="s">
        <v>17385</v>
      </c>
      <c r="BA1900" s="82" t="s">
        <v>17385</v>
      </c>
      <c r="BB1900" s="82" t="s">
        <v>17385</v>
      </c>
      <c r="BC1900" s="82" t="s">
        <v>14991</v>
      </c>
      <c r="BD1900" s="82" t="s">
        <v>17604</v>
      </c>
      <c r="BE1900" s="77"/>
      <c r="BF1900" s="77"/>
      <c r="BG1900" s="77"/>
      <c r="BH1900" s="77"/>
      <c r="BI1900" s="77"/>
    </row>
    <row r="1901" spans="1:61" x14ac:dyDescent="0.25">
      <c r="A1901" s="62" t="s">
        <v>535</v>
      </c>
      <c r="B1901" s="62" t="s">
        <v>535</v>
      </c>
      <c r="C1901" s="63"/>
      <c r="D1901" s="64"/>
      <c r="E1901" s="65"/>
      <c r="F1901" s="66"/>
      <c r="G1901" s="63"/>
      <c r="H1901" s="67"/>
      <c r="I1901" s="68"/>
      <c r="J1901" s="68"/>
      <c r="K1901" s="32"/>
      <c r="L1901" s="75">
        <v>1901</v>
      </c>
      <c r="M1901" s="75"/>
      <c r="N1901" s="70"/>
      <c r="O1901" s="77" t="s">
        <v>179</v>
      </c>
      <c r="P1901" s="79">
        <v>45092.503819444442</v>
      </c>
      <c r="Q1901" s="77" t="s">
        <v>2687</v>
      </c>
      <c r="R1901" s="77">
        <v>0</v>
      </c>
      <c r="S1901" s="77">
        <v>2</v>
      </c>
      <c r="T1901" s="77">
        <v>0</v>
      </c>
      <c r="U1901" s="77">
        <v>0</v>
      </c>
      <c r="V1901" s="77">
        <v>484</v>
      </c>
      <c r="W1901" s="82" t="s">
        <v>6045</v>
      </c>
      <c r="X1901" s="80" t="str">
        <f>HYPERLINK("https://bit.ly/3oZojmZ")</f>
        <v>https://bit.ly/3oZojmZ</v>
      </c>
      <c r="Y1901" s="77" t="s">
        <v>7063</v>
      </c>
      <c r="Z1901" s="77"/>
      <c r="AA1901" s="77" t="s">
        <v>7924</v>
      </c>
      <c r="AB1901" s="77" t="s">
        <v>8227</v>
      </c>
      <c r="AC1901" s="82" t="s">
        <v>8268</v>
      </c>
      <c r="AD1901" s="77" t="s">
        <v>8278</v>
      </c>
      <c r="AE1901" s="80" t="str">
        <f>HYPERLINK("https://twitter.com/bloomberglineab/status/1669315190297448449")</f>
        <v>https://twitter.com/bloomberglineab/status/1669315190297448449</v>
      </c>
      <c r="AF1901" s="79">
        <v>45092.503819444442</v>
      </c>
      <c r="AG1901" s="85">
        <v>45092</v>
      </c>
      <c r="AH1901" s="82" t="s">
        <v>10007</v>
      </c>
      <c r="AI1901" s="77" t="b">
        <v>0</v>
      </c>
      <c r="AJ1901" s="77"/>
      <c r="AK1901" s="77"/>
      <c r="AL1901" s="77"/>
      <c r="AM1901" s="77"/>
      <c r="AN1901" s="77"/>
      <c r="AO1901" s="77"/>
      <c r="AP1901" s="77"/>
      <c r="AQ1901" s="77" t="s">
        <v>12809</v>
      </c>
      <c r="AR1901" s="77">
        <v>56733</v>
      </c>
      <c r="AS1901" s="77"/>
      <c r="AT1901" s="77"/>
      <c r="AU1901" s="77"/>
      <c r="AV1901" s="80" t="str">
        <f>HYPERLINK("https://pbs.twimg.com/media/FyqY055WAAIcmbQ.jpg")</f>
        <v>https://pbs.twimg.com/media/FyqY055WAAIcmbQ.jpg</v>
      </c>
      <c r="AW1901" s="82" t="s">
        <v>14992</v>
      </c>
      <c r="AX1901" s="82" t="s">
        <v>14992</v>
      </c>
      <c r="AY1901" s="77"/>
      <c r="AZ1901" s="82" t="s">
        <v>17385</v>
      </c>
      <c r="BA1901" s="82" t="s">
        <v>17385</v>
      </c>
      <c r="BB1901" s="82" t="s">
        <v>17385</v>
      </c>
      <c r="BC1901" s="82" t="s">
        <v>14992</v>
      </c>
      <c r="BD1901" s="82" t="s">
        <v>17604</v>
      </c>
      <c r="BE1901" s="77"/>
      <c r="BF1901" s="77"/>
      <c r="BG1901" s="77"/>
      <c r="BH1901" s="77"/>
      <c r="BI1901" s="77"/>
    </row>
    <row r="1902" spans="1:61" x14ac:dyDescent="0.25">
      <c r="A1902" s="62" t="s">
        <v>535</v>
      </c>
      <c r="B1902" s="62" t="s">
        <v>535</v>
      </c>
      <c r="C1902" s="63"/>
      <c r="D1902" s="64"/>
      <c r="E1902" s="65"/>
      <c r="F1902" s="66"/>
      <c r="G1902" s="63"/>
      <c r="H1902" s="67"/>
      <c r="I1902" s="68"/>
      <c r="J1902" s="68"/>
      <c r="K1902" s="32"/>
      <c r="L1902" s="75">
        <v>1902</v>
      </c>
      <c r="M1902" s="75"/>
      <c r="N1902" s="70"/>
      <c r="O1902" s="77" t="s">
        <v>179</v>
      </c>
      <c r="P1902" s="79">
        <v>45170.979166666664</v>
      </c>
      <c r="Q1902" s="77" t="s">
        <v>2688</v>
      </c>
      <c r="R1902" s="77">
        <v>0</v>
      </c>
      <c r="S1902" s="77">
        <v>1</v>
      </c>
      <c r="T1902" s="77">
        <v>0</v>
      </c>
      <c r="U1902" s="77">
        <v>0</v>
      </c>
      <c r="V1902" s="77">
        <v>564</v>
      </c>
      <c r="W1902" s="82" t="s">
        <v>6046</v>
      </c>
      <c r="X1902" s="80" t="str">
        <f>HYPERLINK("https://bit.ly/3oZojmZ")</f>
        <v>https://bit.ly/3oZojmZ</v>
      </c>
      <c r="Y1902" s="77" t="s">
        <v>7063</v>
      </c>
      <c r="Z1902" s="77"/>
      <c r="AA1902" s="77" t="s">
        <v>7925</v>
      </c>
      <c r="AB1902" s="77" t="s">
        <v>8227</v>
      </c>
      <c r="AC1902" s="82" t="s">
        <v>8268</v>
      </c>
      <c r="AD1902" s="77" t="s">
        <v>8278</v>
      </c>
      <c r="AE1902" s="80" t="str">
        <f>HYPERLINK("https://twitter.com/bloomberglineab/status/1697753704089477381")</f>
        <v>https://twitter.com/bloomberglineab/status/1697753704089477381</v>
      </c>
      <c r="AF1902" s="79">
        <v>45170.979166666664</v>
      </c>
      <c r="AG1902" s="85">
        <v>45170</v>
      </c>
      <c r="AH1902" s="82" t="s">
        <v>10005</v>
      </c>
      <c r="AI1902" s="77" t="b">
        <v>0</v>
      </c>
      <c r="AJ1902" s="77"/>
      <c r="AK1902" s="77"/>
      <c r="AL1902" s="77"/>
      <c r="AM1902" s="77"/>
      <c r="AN1902" s="77"/>
      <c r="AO1902" s="77"/>
      <c r="AP1902" s="77"/>
      <c r="AQ1902" s="77" t="s">
        <v>12810</v>
      </c>
      <c r="AR1902" s="77">
        <v>79966</v>
      </c>
      <c r="AS1902" s="77"/>
      <c r="AT1902" s="77"/>
      <c r="AU1902" s="77"/>
      <c r="AV1902" s="80" t="str">
        <f>HYPERLINK("https://pbs.twimg.com/media/F4-b1Z4asAA7GXA.jpg")</f>
        <v>https://pbs.twimg.com/media/F4-b1Z4asAA7GXA.jpg</v>
      </c>
      <c r="AW1902" s="82" t="s">
        <v>14993</v>
      </c>
      <c r="AX1902" s="82" t="s">
        <v>14993</v>
      </c>
      <c r="AY1902" s="77"/>
      <c r="AZ1902" s="82" t="s">
        <v>17385</v>
      </c>
      <c r="BA1902" s="82" t="s">
        <v>17385</v>
      </c>
      <c r="BB1902" s="82" t="s">
        <v>17385</v>
      </c>
      <c r="BC1902" s="82" t="s">
        <v>14993</v>
      </c>
      <c r="BD1902" s="82" t="s">
        <v>17604</v>
      </c>
      <c r="BE1902" s="77"/>
      <c r="BF1902" s="77"/>
      <c r="BG1902" s="77"/>
      <c r="BH1902" s="77"/>
      <c r="BI1902" s="77"/>
    </row>
    <row r="1903" spans="1:61" x14ac:dyDescent="0.25">
      <c r="A1903" s="62" t="s">
        <v>535</v>
      </c>
      <c r="B1903" s="62" t="s">
        <v>535</v>
      </c>
      <c r="C1903" s="63"/>
      <c r="D1903" s="64"/>
      <c r="E1903" s="65"/>
      <c r="F1903" s="66"/>
      <c r="G1903" s="63"/>
      <c r="H1903" s="67"/>
      <c r="I1903" s="68"/>
      <c r="J1903" s="68"/>
      <c r="K1903" s="32"/>
      <c r="L1903" s="75">
        <v>1903</v>
      </c>
      <c r="M1903" s="75"/>
      <c r="N1903" s="70"/>
      <c r="O1903" s="77" t="s">
        <v>179</v>
      </c>
      <c r="P1903" s="79">
        <v>45083.994687500002</v>
      </c>
      <c r="Q1903" s="77" t="s">
        <v>2689</v>
      </c>
      <c r="R1903" s="77">
        <v>1</v>
      </c>
      <c r="S1903" s="77">
        <v>4</v>
      </c>
      <c r="T1903" s="77">
        <v>0</v>
      </c>
      <c r="U1903" s="77">
        <v>0</v>
      </c>
      <c r="V1903" s="77">
        <v>561</v>
      </c>
      <c r="W1903" s="82" t="s">
        <v>6047</v>
      </c>
      <c r="X1903" s="80" t="str">
        <f>HYPERLINK("https://bit.ly/3oZojmZ")</f>
        <v>https://bit.ly/3oZojmZ</v>
      </c>
      <c r="Y1903" s="77" t="s">
        <v>7063</v>
      </c>
      <c r="Z1903" s="77"/>
      <c r="AA1903" s="77" t="s">
        <v>7926</v>
      </c>
      <c r="AB1903" s="77" t="s">
        <v>8227</v>
      </c>
      <c r="AC1903" s="82" t="s">
        <v>8268</v>
      </c>
      <c r="AD1903" s="77" t="s">
        <v>8278</v>
      </c>
      <c r="AE1903" s="80" t="str">
        <f>HYPERLINK("https://twitter.com/bloomberglineab/status/1666231586587549696")</f>
        <v>https://twitter.com/bloomberglineab/status/1666231586587549696</v>
      </c>
      <c r="AF1903" s="79">
        <v>45083.994687500002</v>
      </c>
      <c r="AG1903" s="85">
        <v>45083</v>
      </c>
      <c r="AH1903" s="82" t="s">
        <v>10008</v>
      </c>
      <c r="AI1903" s="77" t="b">
        <v>0</v>
      </c>
      <c r="AJ1903" s="77"/>
      <c r="AK1903" s="77"/>
      <c r="AL1903" s="77"/>
      <c r="AM1903" s="77"/>
      <c r="AN1903" s="77"/>
      <c r="AO1903" s="77"/>
      <c r="AP1903" s="77"/>
      <c r="AQ1903" s="77" t="s">
        <v>12811</v>
      </c>
      <c r="AR1903" s="77">
        <v>45633</v>
      </c>
      <c r="AS1903" s="77"/>
      <c r="AT1903" s="77"/>
      <c r="AU1903" s="77"/>
      <c r="AV1903" s="80" t="str">
        <f>HYPERLINK("https://pbs.twimg.com/media/Fx-kHIlWIAA_tW3.jpg")</f>
        <v>https://pbs.twimg.com/media/Fx-kHIlWIAA_tW3.jpg</v>
      </c>
      <c r="AW1903" s="82" t="s">
        <v>14994</v>
      </c>
      <c r="AX1903" s="82" t="s">
        <v>14994</v>
      </c>
      <c r="AY1903" s="77"/>
      <c r="AZ1903" s="82" t="s">
        <v>17385</v>
      </c>
      <c r="BA1903" s="82" t="s">
        <v>17385</v>
      </c>
      <c r="BB1903" s="82" t="s">
        <v>17385</v>
      </c>
      <c r="BC1903" s="82" t="s">
        <v>14994</v>
      </c>
      <c r="BD1903" s="82" t="s">
        <v>17604</v>
      </c>
      <c r="BE1903" s="77"/>
      <c r="BF1903" s="77"/>
      <c r="BG1903" s="77"/>
      <c r="BH1903" s="77"/>
      <c r="BI1903" s="77"/>
    </row>
    <row r="1904" spans="1:61" x14ac:dyDescent="0.25">
      <c r="A1904" s="62" t="s">
        <v>535</v>
      </c>
      <c r="B1904" s="62" t="s">
        <v>535</v>
      </c>
      <c r="C1904" s="63"/>
      <c r="D1904" s="64"/>
      <c r="E1904" s="65"/>
      <c r="F1904" s="66"/>
      <c r="G1904" s="63"/>
      <c r="H1904" s="67"/>
      <c r="I1904" s="68"/>
      <c r="J1904" s="68"/>
      <c r="K1904" s="32"/>
      <c r="L1904" s="75">
        <v>1904</v>
      </c>
      <c r="M1904" s="75"/>
      <c r="N1904" s="70"/>
      <c r="O1904" s="77" t="s">
        <v>179</v>
      </c>
      <c r="P1904" s="79">
        <v>45070.768738425926</v>
      </c>
      <c r="Q1904" s="77" t="s">
        <v>2690</v>
      </c>
      <c r="R1904" s="77">
        <v>1</v>
      </c>
      <c r="S1904" s="77">
        <v>1</v>
      </c>
      <c r="T1904" s="77">
        <v>0</v>
      </c>
      <c r="U1904" s="77">
        <v>0</v>
      </c>
      <c r="V1904" s="77">
        <v>350</v>
      </c>
      <c r="W1904" s="82" t="s">
        <v>6048</v>
      </c>
      <c r="X1904" s="77"/>
      <c r="Y1904" s="77"/>
      <c r="Z1904" s="77"/>
      <c r="AA1904" s="77" t="s">
        <v>7927</v>
      </c>
      <c r="AB1904" s="77" t="s">
        <v>8227</v>
      </c>
      <c r="AC1904" s="82" t="s">
        <v>8247</v>
      </c>
      <c r="AD1904" s="77" t="s">
        <v>8278</v>
      </c>
      <c r="AE1904" s="80" t="str">
        <f>HYPERLINK("https://twitter.com/bloomberglineab/status/1661438659466330140")</f>
        <v>https://twitter.com/bloomberglineab/status/1661438659466330140</v>
      </c>
      <c r="AF1904" s="79">
        <v>45070.768738425926</v>
      </c>
      <c r="AG1904" s="85">
        <v>45070</v>
      </c>
      <c r="AH1904" s="82" t="s">
        <v>10009</v>
      </c>
      <c r="AI1904" s="77" t="b">
        <v>0</v>
      </c>
      <c r="AJ1904" s="77"/>
      <c r="AK1904" s="77"/>
      <c r="AL1904" s="77"/>
      <c r="AM1904" s="77"/>
      <c r="AN1904" s="77"/>
      <c r="AO1904" s="77"/>
      <c r="AP1904" s="77"/>
      <c r="AQ1904" s="77" t="s">
        <v>12812</v>
      </c>
      <c r="AR1904" s="77">
        <v>54533</v>
      </c>
      <c r="AS1904" s="77"/>
      <c r="AT1904" s="77"/>
      <c r="AU1904" s="77"/>
      <c r="AV1904" s="80" t="str">
        <f>HYPERLINK("https://pbs.twimg.com/ext_tw_video_thumb/1661438371191816216/pu/img/T-htH4DOCQEzc5jc.jpg")</f>
        <v>https://pbs.twimg.com/ext_tw_video_thumb/1661438371191816216/pu/img/T-htH4DOCQEzc5jc.jpg</v>
      </c>
      <c r="AW1904" s="82" t="s">
        <v>14995</v>
      </c>
      <c r="AX1904" s="82" t="s">
        <v>14995</v>
      </c>
      <c r="AY1904" s="77"/>
      <c r="AZ1904" s="82" t="s">
        <v>17385</v>
      </c>
      <c r="BA1904" s="82" t="s">
        <v>17385</v>
      </c>
      <c r="BB1904" s="82" t="s">
        <v>17385</v>
      </c>
      <c r="BC1904" s="82" t="s">
        <v>14995</v>
      </c>
      <c r="BD1904" s="82" t="s">
        <v>17604</v>
      </c>
      <c r="BE1904" s="77"/>
      <c r="BF1904" s="77"/>
      <c r="BG1904" s="77"/>
      <c r="BH1904" s="77"/>
      <c r="BI1904" s="77"/>
    </row>
    <row r="1905" spans="1:61" x14ac:dyDescent="0.25">
      <c r="A1905" s="62" t="s">
        <v>535</v>
      </c>
      <c r="B1905" s="62" t="s">
        <v>535</v>
      </c>
      <c r="C1905" s="63"/>
      <c r="D1905" s="64"/>
      <c r="E1905" s="65"/>
      <c r="F1905" s="66"/>
      <c r="G1905" s="63"/>
      <c r="H1905" s="67"/>
      <c r="I1905" s="68"/>
      <c r="J1905" s="68"/>
      <c r="K1905" s="32"/>
      <c r="L1905" s="75">
        <v>1905</v>
      </c>
      <c r="M1905" s="75"/>
      <c r="N1905" s="70"/>
      <c r="O1905" s="77" t="s">
        <v>179</v>
      </c>
      <c r="P1905" s="79">
        <v>45068.937615740739</v>
      </c>
      <c r="Q1905" s="77" t="s">
        <v>2691</v>
      </c>
      <c r="R1905" s="77">
        <v>0</v>
      </c>
      <c r="S1905" s="77">
        <v>8</v>
      </c>
      <c r="T1905" s="77">
        <v>0</v>
      </c>
      <c r="U1905" s="77">
        <v>0</v>
      </c>
      <c r="V1905" s="77">
        <v>650</v>
      </c>
      <c r="W1905" s="82" t="s">
        <v>6049</v>
      </c>
      <c r="X1905" s="77"/>
      <c r="Y1905" s="77"/>
      <c r="Z1905" s="77"/>
      <c r="AA1905" s="77" t="s">
        <v>7928</v>
      </c>
      <c r="AB1905" s="77" t="s">
        <v>8227</v>
      </c>
      <c r="AC1905" s="82" t="s">
        <v>8268</v>
      </c>
      <c r="AD1905" s="77" t="s">
        <v>8278</v>
      </c>
      <c r="AE1905" s="80" t="str">
        <f>HYPERLINK("https://twitter.com/bloomberglineab/status/1660775086532468740")</f>
        <v>https://twitter.com/bloomberglineab/status/1660775086532468740</v>
      </c>
      <c r="AF1905" s="79">
        <v>45068.937615740739</v>
      </c>
      <c r="AG1905" s="85">
        <v>45068</v>
      </c>
      <c r="AH1905" s="82" t="s">
        <v>10010</v>
      </c>
      <c r="AI1905" s="77" t="b">
        <v>0</v>
      </c>
      <c r="AJ1905" s="77"/>
      <c r="AK1905" s="77"/>
      <c r="AL1905" s="77"/>
      <c r="AM1905" s="77"/>
      <c r="AN1905" s="77"/>
      <c r="AO1905" s="77"/>
      <c r="AP1905" s="77"/>
      <c r="AQ1905" s="77" t="s">
        <v>12813</v>
      </c>
      <c r="AR1905" s="77">
        <v>68535</v>
      </c>
      <c r="AS1905" s="77"/>
      <c r="AT1905" s="77"/>
      <c r="AU1905" s="77"/>
      <c r="AV1905" s="80" t="str">
        <f>HYPERLINK("https://pbs.twimg.com/media/FwxBlqIWcAAwaKN.jpg")</f>
        <v>https://pbs.twimg.com/media/FwxBlqIWcAAwaKN.jpg</v>
      </c>
      <c r="AW1905" s="82" t="s">
        <v>14996</v>
      </c>
      <c r="AX1905" s="82" t="s">
        <v>14996</v>
      </c>
      <c r="AY1905" s="77"/>
      <c r="AZ1905" s="82" t="s">
        <v>17385</v>
      </c>
      <c r="BA1905" s="82" t="s">
        <v>17385</v>
      </c>
      <c r="BB1905" s="82" t="s">
        <v>17385</v>
      </c>
      <c r="BC1905" s="82" t="s">
        <v>14996</v>
      </c>
      <c r="BD1905" s="82" t="s">
        <v>17604</v>
      </c>
      <c r="BE1905" s="77"/>
      <c r="BF1905" s="77"/>
      <c r="BG1905" s="77"/>
      <c r="BH1905" s="77"/>
      <c r="BI1905" s="77"/>
    </row>
    <row r="1906" spans="1:61" x14ac:dyDescent="0.25">
      <c r="A1906" s="62" t="s">
        <v>535</v>
      </c>
      <c r="B1906" s="62" t="s">
        <v>535</v>
      </c>
      <c r="C1906" s="63"/>
      <c r="D1906" s="64"/>
      <c r="E1906" s="65"/>
      <c r="F1906" s="66"/>
      <c r="G1906" s="63"/>
      <c r="H1906" s="67"/>
      <c r="I1906" s="68"/>
      <c r="J1906" s="68"/>
      <c r="K1906" s="32"/>
      <c r="L1906" s="75">
        <v>1906</v>
      </c>
      <c r="M1906" s="75"/>
      <c r="N1906" s="70"/>
      <c r="O1906" s="77" t="s">
        <v>179</v>
      </c>
      <c r="P1906" s="79">
        <v>45050.787106481483</v>
      </c>
      <c r="Q1906" s="77" t="s">
        <v>2692</v>
      </c>
      <c r="R1906" s="77">
        <v>0</v>
      </c>
      <c r="S1906" s="77">
        <v>3</v>
      </c>
      <c r="T1906" s="77">
        <v>0</v>
      </c>
      <c r="U1906" s="77">
        <v>0</v>
      </c>
      <c r="V1906" s="77">
        <v>474</v>
      </c>
      <c r="W1906" s="82" t="s">
        <v>6050</v>
      </c>
      <c r="X1906" s="77"/>
      <c r="Y1906" s="77"/>
      <c r="Z1906" s="77"/>
      <c r="AA1906" s="77" t="s">
        <v>7929</v>
      </c>
      <c r="AB1906" s="77" t="s">
        <v>8225</v>
      </c>
      <c r="AC1906" s="82" t="s">
        <v>8247</v>
      </c>
      <c r="AD1906" s="77" t="s">
        <v>8278</v>
      </c>
      <c r="AE1906" s="80" t="str">
        <f>HYPERLINK("https://twitter.com/bloomberglineab/status/1654197558674182156")</f>
        <v>https://twitter.com/bloomberglineab/status/1654197558674182156</v>
      </c>
      <c r="AF1906" s="79">
        <v>45050.787106481483</v>
      </c>
      <c r="AG1906" s="85">
        <v>45050</v>
      </c>
      <c r="AH1906" s="82" t="s">
        <v>10011</v>
      </c>
      <c r="AI1906" s="77" t="b">
        <v>0</v>
      </c>
      <c r="AJ1906" s="77"/>
      <c r="AK1906" s="77"/>
      <c r="AL1906" s="77"/>
      <c r="AM1906" s="77"/>
      <c r="AN1906" s="77"/>
      <c r="AO1906" s="77"/>
      <c r="AP1906" s="77"/>
      <c r="AQ1906" s="77" t="s">
        <v>12814</v>
      </c>
      <c r="AR1906" s="77"/>
      <c r="AS1906" s="77"/>
      <c r="AT1906" s="77"/>
      <c r="AU1906" s="77"/>
      <c r="AV1906" s="80" t="str">
        <f>HYPERLINK("https://pbs.twimg.com/media/FvTj542X0A84zuJ.jpg")</f>
        <v>https://pbs.twimg.com/media/FvTj542X0A84zuJ.jpg</v>
      </c>
      <c r="AW1906" s="82" t="s">
        <v>14997</v>
      </c>
      <c r="AX1906" s="82" t="s">
        <v>14997</v>
      </c>
      <c r="AY1906" s="77"/>
      <c r="AZ1906" s="82" t="s">
        <v>17385</v>
      </c>
      <c r="BA1906" s="82" t="s">
        <v>17385</v>
      </c>
      <c r="BB1906" s="82" t="s">
        <v>17385</v>
      </c>
      <c r="BC1906" s="82" t="s">
        <v>14997</v>
      </c>
      <c r="BD1906" s="82" t="s">
        <v>17604</v>
      </c>
      <c r="BE1906" s="77"/>
      <c r="BF1906" s="77"/>
      <c r="BG1906" s="77"/>
      <c r="BH1906" s="77"/>
      <c r="BI1906" s="77"/>
    </row>
    <row r="1907" spans="1:61" x14ac:dyDescent="0.25">
      <c r="A1907" s="62" t="s">
        <v>535</v>
      </c>
      <c r="B1907" s="62" t="s">
        <v>535</v>
      </c>
      <c r="C1907" s="63"/>
      <c r="D1907" s="64"/>
      <c r="E1907" s="65"/>
      <c r="F1907" s="66"/>
      <c r="G1907" s="63"/>
      <c r="H1907" s="67"/>
      <c r="I1907" s="68"/>
      <c r="J1907" s="68"/>
      <c r="K1907" s="32"/>
      <c r="L1907" s="75">
        <v>1907</v>
      </c>
      <c r="M1907" s="75"/>
      <c r="N1907" s="70"/>
      <c r="O1907" s="77" t="s">
        <v>179</v>
      </c>
      <c r="P1907" s="79">
        <v>45050.478472222225</v>
      </c>
      <c r="Q1907" s="77" t="s">
        <v>2693</v>
      </c>
      <c r="R1907" s="77">
        <v>0</v>
      </c>
      <c r="S1907" s="77">
        <v>4</v>
      </c>
      <c r="T1907" s="77">
        <v>0</v>
      </c>
      <c r="U1907" s="77">
        <v>0</v>
      </c>
      <c r="V1907" s="77">
        <v>470</v>
      </c>
      <c r="W1907" s="82" t="s">
        <v>6051</v>
      </c>
      <c r="X1907" s="80" t="str">
        <f>HYPERLINK("https://bit.ly/3NEU2US")</f>
        <v>https://bit.ly/3NEU2US</v>
      </c>
      <c r="Y1907" s="77" t="s">
        <v>7063</v>
      </c>
      <c r="Z1907" s="77"/>
      <c r="AA1907" s="77" t="s">
        <v>7930</v>
      </c>
      <c r="AB1907" s="77" t="s">
        <v>8227</v>
      </c>
      <c r="AC1907" s="82" t="s">
        <v>8268</v>
      </c>
      <c r="AD1907" s="77" t="s">
        <v>8278</v>
      </c>
      <c r="AE1907" s="80" t="str">
        <f>HYPERLINK("https://twitter.com/bloomberglineab/status/1654085713670062081")</f>
        <v>https://twitter.com/bloomberglineab/status/1654085713670062081</v>
      </c>
      <c r="AF1907" s="79">
        <v>45050.478472222225</v>
      </c>
      <c r="AG1907" s="85">
        <v>45050</v>
      </c>
      <c r="AH1907" s="82" t="s">
        <v>10012</v>
      </c>
      <c r="AI1907" s="77" t="b">
        <v>0</v>
      </c>
      <c r="AJ1907" s="77"/>
      <c r="AK1907" s="77"/>
      <c r="AL1907" s="77"/>
      <c r="AM1907" s="77"/>
      <c r="AN1907" s="77"/>
      <c r="AO1907" s="77"/>
      <c r="AP1907" s="77"/>
      <c r="AQ1907" s="77" t="s">
        <v>12815</v>
      </c>
      <c r="AR1907" s="77">
        <v>63933</v>
      </c>
      <c r="AS1907" s="77"/>
      <c r="AT1907" s="77"/>
      <c r="AU1907" s="77"/>
      <c r="AV1907" s="80" t="str">
        <f>HYPERLINK("https://pbs.twimg.com/media/FvR9mijXsAEgull.jpg")</f>
        <v>https://pbs.twimg.com/media/FvR9mijXsAEgull.jpg</v>
      </c>
      <c r="AW1907" s="82" t="s">
        <v>14998</v>
      </c>
      <c r="AX1907" s="82" t="s">
        <v>14998</v>
      </c>
      <c r="AY1907" s="77"/>
      <c r="AZ1907" s="82" t="s">
        <v>17385</v>
      </c>
      <c r="BA1907" s="82" t="s">
        <v>17385</v>
      </c>
      <c r="BB1907" s="82" t="s">
        <v>17385</v>
      </c>
      <c r="BC1907" s="82" t="s">
        <v>14998</v>
      </c>
      <c r="BD1907" s="82" t="s">
        <v>17604</v>
      </c>
      <c r="BE1907" s="77"/>
      <c r="BF1907" s="77"/>
      <c r="BG1907" s="77"/>
      <c r="BH1907" s="77"/>
      <c r="BI1907" s="77"/>
    </row>
    <row r="1908" spans="1:61" x14ac:dyDescent="0.25">
      <c r="A1908" s="62" t="s">
        <v>536</v>
      </c>
      <c r="B1908" s="62" t="s">
        <v>536</v>
      </c>
      <c r="C1908" s="63"/>
      <c r="D1908" s="64"/>
      <c r="E1908" s="65"/>
      <c r="F1908" s="66"/>
      <c r="G1908" s="63"/>
      <c r="H1908" s="67"/>
      <c r="I1908" s="68"/>
      <c r="J1908" s="68"/>
      <c r="K1908" s="32"/>
      <c r="L1908" s="75">
        <v>1908</v>
      </c>
      <c r="M1908" s="75"/>
      <c r="N1908" s="70"/>
      <c r="O1908" s="77" t="s">
        <v>179</v>
      </c>
      <c r="P1908" s="79">
        <v>45062.587037037039</v>
      </c>
      <c r="Q1908" s="77" t="s">
        <v>2694</v>
      </c>
      <c r="R1908" s="77">
        <v>0</v>
      </c>
      <c r="S1908" s="77">
        <v>0</v>
      </c>
      <c r="T1908" s="77">
        <v>0</v>
      </c>
      <c r="U1908" s="77">
        <v>0</v>
      </c>
      <c r="V1908" s="77">
        <v>38</v>
      </c>
      <c r="W1908" s="82" t="s">
        <v>6052</v>
      </c>
      <c r="X1908" s="77"/>
      <c r="Y1908" s="77"/>
      <c r="Z1908" s="77"/>
      <c r="AA1908" s="77" t="s">
        <v>7931</v>
      </c>
      <c r="AB1908" s="77" t="s">
        <v>8225</v>
      </c>
      <c r="AC1908" s="82" t="s">
        <v>8232</v>
      </c>
      <c r="AD1908" s="77" t="s">
        <v>8278</v>
      </c>
      <c r="AE1908" s="80" t="str">
        <f>HYPERLINK("https://twitter.com/rcordeiro21/status/1658473711811567619")</f>
        <v>https://twitter.com/rcordeiro21/status/1658473711811567619</v>
      </c>
      <c r="AF1908" s="79">
        <v>45062.587037037039</v>
      </c>
      <c r="AG1908" s="85">
        <v>45062</v>
      </c>
      <c r="AH1908" s="82" t="s">
        <v>10013</v>
      </c>
      <c r="AI1908" s="77" t="b">
        <v>0</v>
      </c>
      <c r="AJ1908" s="77"/>
      <c r="AK1908" s="77"/>
      <c r="AL1908" s="77"/>
      <c r="AM1908" s="77"/>
      <c r="AN1908" s="77"/>
      <c r="AO1908" s="77"/>
      <c r="AP1908" s="77"/>
      <c r="AQ1908" s="77" t="s">
        <v>12816</v>
      </c>
      <c r="AR1908" s="77"/>
      <c r="AS1908" s="77"/>
      <c r="AT1908" s="77"/>
      <c r="AU1908" s="77"/>
      <c r="AV1908" s="80" t="str">
        <f>HYPERLINK("https://pbs.twimg.com/media/FwQUqT0aIAMggJe.png")</f>
        <v>https://pbs.twimg.com/media/FwQUqT0aIAMggJe.png</v>
      </c>
      <c r="AW1908" s="82" t="s">
        <v>14999</v>
      </c>
      <c r="AX1908" s="82" t="s">
        <v>14999</v>
      </c>
      <c r="AY1908" s="77"/>
      <c r="AZ1908" s="82" t="s">
        <v>17385</v>
      </c>
      <c r="BA1908" s="82" t="s">
        <v>17385</v>
      </c>
      <c r="BB1908" s="82" t="s">
        <v>17385</v>
      </c>
      <c r="BC1908" s="82" t="s">
        <v>14999</v>
      </c>
      <c r="BD1908" s="77">
        <v>384623981</v>
      </c>
      <c r="BE1908" s="77"/>
      <c r="BF1908" s="77"/>
      <c r="BG1908" s="77"/>
      <c r="BH1908" s="77"/>
      <c r="BI1908" s="77"/>
    </row>
    <row r="1909" spans="1:61" x14ac:dyDescent="0.25">
      <c r="A1909" s="62" t="s">
        <v>536</v>
      </c>
      <c r="B1909" s="62" t="s">
        <v>536</v>
      </c>
      <c r="C1909" s="63"/>
      <c r="D1909" s="64"/>
      <c r="E1909" s="65"/>
      <c r="F1909" s="66"/>
      <c r="G1909" s="63"/>
      <c r="H1909" s="67"/>
      <c r="I1909" s="68"/>
      <c r="J1909" s="68"/>
      <c r="K1909" s="32"/>
      <c r="L1909" s="75">
        <v>1909</v>
      </c>
      <c r="M1909" s="75"/>
      <c r="N1909" s="70"/>
      <c r="O1909" s="77" t="s">
        <v>179</v>
      </c>
      <c r="P1909" s="79">
        <v>45062.100960648146</v>
      </c>
      <c r="Q1909" s="77" t="s">
        <v>2695</v>
      </c>
      <c r="R1909" s="77">
        <v>0</v>
      </c>
      <c r="S1909" s="77">
        <v>0</v>
      </c>
      <c r="T1909" s="77">
        <v>0</v>
      </c>
      <c r="U1909" s="77">
        <v>0</v>
      </c>
      <c r="V1909" s="77">
        <v>42</v>
      </c>
      <c r="W1909" s="82" t="s">
        <v>5093</v>
      </c>
      <c r="X1909" s="77"/>
      <c r="Y1909" s="77"/>
      <c r="Z1909" s="77"/>
      <c r="AA1909" s="77" t="s">
        <v>7932</v>
      </c>
      <c r="AB1909" s="77" t="s">
        <v>8225</v>
      </c>
      <c r="AC1909" s="82" t="s">
        <v>8232</v>
      </c>
      <c r="AD1909" s="77" t="s">
        <v>8278</v>
      </c>
      <c r="AE1909" s="80" t="str">
        <f>HYPERLINK("https://twitter.com/rcordeiro21/status/1658297562577641472")</f>
        <v>https://twitter.com/rcordeiro21/status/1658297562577641472</v>
      </c>
      <c r="AF1909" s="79">
        <v>45062.100960648146</v>
      </c>
      <c r="AG1909" s="85">
        <v>45062</v>
      </c>
      <c r="AH1909" s="82" t="s">
        <v>10014</v>
      </c>
      <c r="AI1909" s="77" t="b">
        <v>0</v>
      </c>
      <c r="AJ1909" s="77"/>
      <c r="AK1909" s="77"/>
      <c r="AL1909" s="77"/>
      <c r="AM1909" s="77"/>
      <c r="AN1909" s="77"/>
      <c r="AO1909" s="77"/>
      <c r="AP1909" s="77"/>
      <c r="AQ1909" s="77" t="s">
        <v>12817</v>
      </c>
      <c r="AR1909" s="77"/>
      <c r="AS1909" s="77"/>
      <c r="AT1909" s="77"/>
      <c r="AU1909" s="77"/>
      <c r="AV1909" s="80" t="str">
        <f>HYPERLINK("https://pbs.twimg.com/media/FwN0fqTWAAorK7K.jpg")</f>
        <v>https://pbs.twimg.com/media/FwN0fqTWAAorK7K.jpg</v>
      </c>
      <c r="AW1909" s="82" t="s">
        <v>15000</v>
      </c>
      <c r="AX1909" s="82" t="s">
        <v>15000</v>
      </c>
      <c r="AY1909" s="77"/>
      <c r="AZ1909" s="82" t="s">
        <v>17385</v>
      </c>
      <c r="BA1909" s="82" t="s">
        <v>17385</v>
      </c>
      <c r="BB1909" s="82" t="s">
        <v>17385</v>
      </c>
      <c r="BC1909" s="82" t="s">
        <v>15000</v>
      </c>
      <c r="BD1909" s="77">
        <v>384623981</v>
      </c>
      <c r="BE1909" s="77"/>
      <c r="BF1909" s="77"/>
      <c r="BG1909" s="77"/>
      <c r="BH1909" s="77"/>
      <c r="BI1909" s="77"/>
    </row>
    <row r="1910" spans="1:61" x14ac:dyDescent="0.25">
      <c r="A1910" s="62" t="s">
        <v>536</v>
      </c>
      <c r="B1910" s="62" t="s">
        <v>536</v>
      </c>
      <c r="C1910" s="63"/>
      <c r="D1910" s="64"/>
      <c r="E1910" s="65"/>
      <c r="F1910" s="66"/>
      <c r="G1910" s="63"/>
      <c r="H1910" s="67"/>
      <c r="I1910" s="68"/>
      <c r="J1910" s="68"/>
      <c r="K1910" s="32"/>
      <c r="L1910" s="75">
        <v>1910</v>
      </c>
      <c r="M1910" s="75"/>
      <c r="N1910" s="70"/>
      <c r="O1910" s="77" t="s">
        <v>179</v>
      </c>
      <c r="P1910" s="79">
        <v>45103.683877314812</v>
      </c>
      <c r="Q1910" s="77" t="s">
        <v>2696</v>
      </c>
      <c r="R1910" s="77">
        <v>0</v>
      </c>
      <c r="S1910" s="77">
        <v>0</v>
      </c>
      <c r="T1910" s="77">
        <v>0</v>
      </c>
      <c r="U1910" s="77">
        <v>0</v>
      </c>
      <c r="V1910" s="77">
        <v>37</v>
      </c>
      <c r="W1910" s="82" t="s">
        <v>6053</v>
      </c>
      <c r="X1910" s="77"/>
      <c r="Y1910" s="77"/>
      <c r="Z1910" s="77"/>
      <c r="AA1910" s="77" t="s">
        <v>7933</v>
      </c>
      <c r="AB1910" s="77" t="s">
        <v>8225</v>
      </c>
      <c r="AC1910" s="82" t="s">
        <v>8232</v>
      </c>
      <c r="AD1910" s="77" t="s">
        <v>8278</v>
      </c>
      <c r="AE1910" s="80" t="str">
        <f>HYPERLINK("https://twitter.com/rcordeiro21/status/1673366708592033800")</f>
        <v>https://twitter.com/rcordeiro21/status/1673366708592033800</v>
      </c>
      <c r="AF1910" s="79">
        <v>45103.683877314812</v>
      </c>
      <c r="AG1910" s="85">
        <v>45103</v>
      </c>
      <c r="AH1910" s="82" t="s">
        <v>10015</v>
      </c>
      <c r="AI1910" s="77" t="b">
        <v>0</v>
      </c>
      <c r="AJ1910" s="77"/>
      <c r="AK1910" s="77"/>
      <c r="AL1910" s="77"/>
      <c r="AM1910" s="77"/>
      <c r="AN1910" s="77"/>
      <c r="AO1910" s="77"/>
      <c r="AP1910" s="77"/>
      <c r="AQ1910" s="77" t="s">
        <v>12818</v>
      </c>
      <c r="AR1910" s="77"/>
      <c r="AS1910" s="77"/>
      <c r="AT1910" s="77"/>
      <c r="AU1910" s="77"/>
      <c r="AV1910" s="80" t="str">
        <f>HYPERLINK("https://pbs.twimg.com/media/Fzj7aDKXwAIiBx2.png")</f>
        <v>https://pbs.twimg.com/media/Fzj7aDKXwAIiBx2.png</v>
      </c>
      <c r="AW1910" s="82" t="s">
        <v>15001</v>
      </c>
      <c r="AX1910" s="82" t="s">
        <v>15001</v>
      </c>
      <c r="AY1910" s="77"/>
      <c r="AZ1910" s="82" t="s">
        <v>17385</v>
      </c>
      <c r="BA1910" s="82" t="s">
        <v>17385</v>
      </c>
      <c r="BB1910" s="82" t="s">
        <v>17385</v>
      </c>
      <c r="BC1910" s="82" t="s">
        <v>15001</v>
      </c>
      <c r="BD1910" s="77">
        <v>384623981</v>
      </c>
      <c r="BE1910" s="77"/>
      <c r="BF1910" s="77"/>
      <c r="BG1910" s="77"/>
      <c r="BH1910" s="77"/>
      <c r="BI1910" s="77"/>
    </row>
    <row r="1911" spans="1:61" x14ac:dyDescent="0.25">
      <c r="A1911" s="62" t="s">
        <v>536</v>
      </c>
      <c r="B1911" s="62" t="s">
        <v>536</v>
      </c>
      <c r="C1911" s="63"/>
      <c r="D1911" s="64"/>
      <c r="E1911" s="65"/>
      <c r="F1911" s="66"/>
      <c r="G1911" s="63"/>
      <c r="H1911" s="67"/>
      <c r="I1911" s="68"/>
      <c r="J1911" s="68"/>
      <c r="K1911" s="32"/>
      <c r="L1911" s="75">
        <v>1911</v>
      </c>
      <c r="M1911" s="75"/>
      <c r="N1911" s="70"/>
      <c r="O1911" s="77" t="s">
        <v>179</v>
      </c>
      <c r="P1911" s="79">
        <v>45134.532766203702</v>
      </c>
      <c r="Q1911" s="77" t="s">
        <v>2697</v>
      </c>
      <c r="R1911" s="77">
        <v>0</v>
      </c>
      <c r="S1911" s="77">
        <v>0</v>
      </c>
      <c r="T1911" s="77">
        <v>0</v>
      </c>
      <c r="U1911" s="77">
        <v>0</v>
      </c>
      <c r="V1911" s="77">
        <v>66</v>
      </c>
      <c r="W1911" s="82" t="s">
        <v>6054</v>
      </c>
      <c r="X1911" s="77"/>
      <c r="Y1911" s="77"/>
      <c r="Z1911" s="77"/>
      <c r="AA1911" s="77" t="s">
        <v>7934</v>
      </c>
      <c r="AB1911" s="77" t="s">
        <v>8225</v>
      </c>
      <c r="AC1911" s="82" t="s">
        <v>8232</v>
      </c>
      <c r="AD1911" s="77" t="s">
        <v>8278</v>
      </c>
      <c r="AE1911" s="80" t="str">
        <f>HYPERLINK("https://twitter.com/rcordeiro21/status/1684545973085691905")</f>
        <v>https://twitter.com/rcordeiro21/status/1684545973085691905</v>
      </c>
      <c r="AF1911" s="79">
        <v>45134.532766203702</v>
      </c>
      <c r="AG1911" s="85">
        <v>45134</v>
      </c>
      <c r="AH1911" s="82" t="s">
        <v>10016</v>
      </c>
      <c r="AI1911" s="77" t="b">
        <v>0</v>
      </c>
      <c r="AJ1911" s="77"/>
      <c r="AK1911" s="77"/>
      <c r="AL1911" s="77"/>
      <c r="AM1911" s="77"/>
      <c r="AN1911" s="77"/>
      <c r="AO1911" s="77"/>
      <c r="AP1911" s="77"/>
      <c r="AQ1911" s="77" t="s">
        <v>12819</v>
      </c>
      <c r="AR1911" s="77"/>
      <c r="AS1911" s="77"/>
      <c r="AT1911" s="77"/>
      <c r="AU1911" s="77"/>
      <c r="AV1911" s="80" t="str">
        <f>HYPERLINK("https://pbs.twimg.com/media/F2C1g4zX0AAENQQ.png")</f>
        <v>https://pbs.twimg.com/media/F2C1g4zX0AAENQQ.png</v>
      </c>
      <c r="AW1911" s="82" t="s">
        <v>15002</v>
      </c>
      <c r="AX1911" s="82" t="s">
        <v>15002</v>
      </c>
      <c r="AY1911" s="77"/>
      <c r="AZ1911" s="82" t="s">
        <v>17385</v>
      </c>
      <c r="BA1911" s="82" t="s">
        <v>17385</v>
      </c>
      <c r="BB1911" s="82" t="s">
        <v>17385</v>
      </c>
      <c r="BC1911" s="82" t="s">
        <v>15002</v>
      </c>
      <c r="BD1911" s="77">
        <v>384623981</v>
      </c>
      <c r="BE1911" s="77"/>
      <c r="BF1911" s="77"/>
      <c r="BG1911" s="77"/>
      <c r="BH1911" s="77"/>
      <c r="BI1911" s="77"/>
    </row>
    <row r="1912" spans="1:61" x14ac:dyDescent="0.25">
      <c r="A1912" s="62" t="s">
        <v>536</v>
      </c>
      <c r="B1912" s="62" t="s">
        <v>536</v>
      </c>
      <c r="C1912" s="63"/>
      <c r="D1912" s="64"/>
      <c r="E1912" s="65"/>
      <c r="F1912" s="66"/>
      <c r="G1912" s="63"/>
      <c r="H1912" s="67"/>
      <c r="I1912" s="68"/>
      <c r="J1912" s="68"/>
      <c r="K1912" s="32"/>
      <c r="L1912" s="75">
        <v>1912</v>
      </c>
      <c r="M1912" s="75"/>
      <c r="N1912" s="70"/>
      <c r="O1912" s="77" t="s">
        <v>179</v>
      </c>
      <c r="P1912" s="79">
        <v>45125.94363425926</v>
      </c>
      <c r="Q1912" s="77" t="s">
        <v>2698</v>
      </c>
      <c r="R1912" s="77">
        <v>0</v>
      </c>
      <c r="S1912" s="77">
        <v>0</v>
      </c>
      <c r="T1912" s="77">
        <v>0</v>
      </c>
      <c r="U1912" s="77">
        <v>0</v>
      </c>
      <c r="V1912" s="77">
        <v>49</v>
      </c>
      <c r="W1912" s="82" t="s">
        <v>6055</v>
      </c>
      <c r="X1912" s="77"/>
      <c r="Y1912" s="77"/>
      <c r="Z1912" s="77"/>
      <c r="AA1912" s="77" t="s">
        <v>7935</v>
      </c>
      <c r="AB1912" s="77" t="s">
        <v>8225</v>
      </c>
      <c r="AC1912" s="82" t="s">
        <v>8232</v>
      </c>
      <c r="AD1912" s="77" t="s">
        <v>8278</v>
      </c>
      <c r="AE1912" s="80" t="str">
        <f>HYPERLINK("https://twitter.com/rcordeiro21/status/1681433372206280705")</f>
        <v>https://twitter.com/rcordeiro21/status/1681433372206280705</v>
      </c>
      <c r="AF1912" s="79">
        <v>45125.94363425926</v>
      </c>
      <c r="AG1912" s="85">
        <v>45125</v>
      </c>
      <c r="AH1912" s="82" t="s">
        <v>10017</v>
      </c>
      <c r="AI1912" s="77" t="b">
        <v>0</v>
      </c>
      <c r="AJ1912" s="77"/>
      <c r="AK1912" s="77"/>
      <c r="AL1912" s="77"/>
      <c r="AM1912" s="77"/>
      <c r="AN1912" s="77"/>
      <c r="AO1912" s="77"/>
      <c r="AP1912" s="77"/>
      <c r="AQ1912" s="77" t="s">
        <v>12820</v>
      </c>
      <c r="AR1912" s="77"/>
      <c r="AS1912" s="77"/>
      <c r="AT1912" s="77"/>
      <c r="AU1912" s="77"/>
      <c r="AV1912" s="80" t="str">
        <f>HYPERLINK("https://pbs.twimg.com/media/F1WmrGrWcAA-ZgS.png")</f>
        <v>https://pbs.twimg.com/media/F1WmrGrWcAA-ZgS.png</v>
      </c>
      <c r="AW1912" s="82" t="s">
        <v>15003</v>
      </c>
      <c r="AX1912" s="82" t="s">
        <v>15003</v>
      </c>
      <c r="AY1912" s="77"/>
      <c r="AZ1912" s="82" t="s">
        <v>17385</v>
      </c>
      <c r="BA1912" s="82" t="s">
        <v>17385</v>
      </c>
      <c r="BB1912" s="82" t="s">
        <v>17385</v>
      </c>
      <c r="BC1912" s="82" t="s">
        <v>15003</v>
      </c>
      <c r="BD1912" s="77">
        <v>384623981</v>
      </c>
      <c r="BE1912" s="77"/>
      <c r="BF1912" s="77"/>
      <c r="BG1912" s="77"/>
      <c r="BH1912" s="77"/>
      <c r="BI1912" s="77"/>
    </row>
    <row r="1913" spans="1:61" x14ac:dyDescent="0.25">
      <c r="A1913" s="62" t="s">
        <v>536</v>
      </c>
      <c r="B1913" s="62" t="s">
        <v>536</v>
      </c>
      <c r="C1913" s="63"/>
      <c r="D1913" s="64"/>
      <c r="E1913" s="65"/>
      <c r="F1913" s="66"/>
      <c r="G1913" s="63"/>
      <c r="H1913" s="67"/>
      <c r="I1913" s="68"/>
      <c r="J1913" s="68"/>
      <c r="K1913" s="32"/>
      <c r="L1913" s="75">
        <v>1913</v>
      </c>
      <c r="M1913" s="75"/>
      <c r="N1913" s="70"/>
      <c r="O1913" s="77" t="s">
        <v>179</v>
      </c>
      <c r="P1913" s="79">
        <v>45166.524895833332</v>
      </c>
      <c r="Q1913" s="77" t="s">
        <v>2699</v>
      </c>
      <c r="R1913" s="77">
        <v>0</v>
      </c>
      <c r="S1913" s="77">
        <v>0</v>
      </c>
      <c r="T1913" s="77">
        <v>0</v>
      </c>
      <c r="U1913" s="77">
        <v>0</v>
      </c>
      <c r="V1913" s="77">
        <v>41</v>
      </c>
      <c r="W1913" s="82" t="s">
        <v>6056</v>
      </c>
      <c r="X1913" s="77"/>
      <c r="Y1913" s="77"/>
      <c r="Z1913" s="77"/>
      <c r="AA1913" s="77" t="s">
        <v>7936</v>
      </c>
      <c r="AB1913" s="77" t="s">
        <v>8225</v>
      </c>
      <c r="AC1913" s="82" t="s">
        <v>8232</v>
      </c>
      <c r="AD1913" s="77" t="s">
        <v>8278</v>
      </c>
      <c r="AE1913" s="80" t="str">
        <f>HYPERLINK("https://twitter.com/rcordeiro21/status/1696139531047604611")</f>
        <v>https://twitter.com/rcordeiro21/status/1696139531047604611</v>
      </c>
      <c r="AF1913" s="79">
        <v>45166.524895833332</v>
      </c>
      <c r="AG1913" s="85">
        <v>45166</v>
      </c>
      <c r="AH1913" s="82" t="s">
        <v>10018</v>
      </c>
      <c r="AI1913" s="77" t="b">
        <v>0</v>
      </c>
      <c r="AJ1913" s="77"/>
      <c r="AK1913" s="77"/>
      <c r="AL1913" s="77"/>
      <c r="AM1913" s="77"/>
      <c r="AN1913" s="77"/>
      <c r="AO1913" s="77"/>
      <c r="AP1913" s="77"/>
      <c r="AQ1913" s="77" t="s">
        <v>12821</v>
      </c>
      <c r="AR1913" s="77"/>
      <c r="AS1913" s="77"/>
      <c r="AT1913" s="77"/>
      <c r="AU1913" s="77"/>
      <c r="AV1913" s="80" t="str">
        <f>HYPERLINK("https://pbs.twimg.com/media/F4nlvqDXkAEOyoV.jpg")</f>
        <v>https://pbs.twimg.com/media/F4nlvqDXkAEOyoV.jpg</v>
      </c>
      <c r="AW1913" s="82" t="s">
        <v>15004</v>
      </c>
      <c r="AX1913" s="82" t="s">
        <v>15004</v>
      </c>
      <c r="AY1913" s="77"/>
      <c r="AZ1913" s="82" t="s">
        <v>17385</v>
      </c>
      <c r="BA1913" s="82" t="s">
        <v>17385</v>
      </c>
      <c r="BB1913" s="82" t="s">
        <v>17385</v>
      </c>
      <c r="BC1913" s="82" t="s">
        <v>15004</v>
      </c>
      <c r="BD1913" s="77">
        <v>384623981</v>
      </c>
      <c r="BE1913" s="77"/>
      <c r="BF1913" s="77"/>
      <c r="BG1913" s="77"/>
      <c r="BH1913" s="77"/>
      <c r="BI1913" s="77"/>
    </row>
    <row r="1914" spans="1:61" x14ac:dyDescent="0.25">
      <c r="A1914" s="62" t="s">
        <v>536</v>
      </c>
      <c r="B1914" s="62" t="s">
        <v>536</v>
      </c>
      <c r="C1914" s="63"/>
      <c r="D1914" s="64"/>
      <c r="E1914" s="65"/>
      <c r="F1914" s="66"/>
      <c r="G1914" s="63"/>
      <c r="H1914" s="67"/>
      <c r="I1914" s="68"/>
      <c r="J1914" s="68"/>
      <c r="K1914" s="32"/>
      <c r="L1914" s="75">
        <v>1914</v>
      </c>
      <c r="M1914" s="75"/>
      <c r="N1914" s="70"/>
      <c r="O1914" s="77" t="s">
        <v>179</v>
      </c>
      <c r="P1914" s="79">
        <v>45163.536539351851</v>
      </c>
      <c r="Q1914" s="77" t="s">
        <v>2700</v>
      </c>
      <c r="R1914" s="77">
        <v>0</v>
      </c>
      <c r="S1914" s="77">
        <v>1</v>
      </c>
      <c r="T1914" s="77">
        <v>0</v>
      </c>
      <c r="U1914" s="77">
        <v>0</v>
      </c>
      <c r="V1914" s="77">
        <v>26</v>
      </c>
      <c r="W1914" s="82" t="s">
        <v>6057</v>
      </c>
      <c r="X1914" s="77"/>
      <c r="Y1914" s="77"/>
      <c r="Z1914" s="77"/>
      <c r="AA1914" s="77" t="s">
        <v>7937</v>
      </c>
      <c r="AB1914" s="77" t="s">
        <v>8225</v>
      </c>
      <c r="AC1914" s="82" t="s">
        <v>8232</v>
      </c>
      <c r="AD1914" s="77" t="s">
        <v>8278</v>
      </c>
      <c r="AE1914" s="80" t="str">
        <f>HYPERLINK("https://twitter.com/rcordeiro21/status/1695056587080028379")</f>
        <v>https://twitter.com/rcordeiro21/status/1695056587080028379</v>
      </c>
      <c r="AF1914" s="79">
        <v>45163.536539351851</v>
      </c>
      <c r="AG1914" s="85">
        <v>45163</v>
      </c>
      <c r="AH1914" s="82" t="s">
        <v>10019</v>
      </c>
      <c r="AI1914" s="77" t="b">
        <v>0</v>
      </c>
      <c r="AJ1914" s="77"/>
      <c r="AK1914" s="77"/>
      <c r="AL1914" s="77"/>
      <c r="AM1914" s="77"/>
      <c r="AN1914" s="77"/>
      <c r="AO1914" s="77"/>
      <c r="AP1914" s="77"/>
      <c r="AQ1914" s="77" t="s">
        <v>12822</v>
      </c>
      <c r="AR1914" s="77"/>
      <c r="AS1914" s="77"/>
      <c r="AT1914" s="77"/>
      <c r="AU1914" s="77"/>
      <c r="AV1914" s="80" t="str">
        <f>HYPERLINK("https://pbs.twimg.com/media/F4YMHU7XgAAjDlf.jpg")</f>
        <v>https://pbs.twimg.com/media/F4YMHU7XgAAjDlf.jpg</v>
      </c>
      <c r="AW1914" s="82" t="s">
        <v>15005</v>
      </c>
      <c r="AX1914" s="82" t="s">
        <v>15005</v>
      </c>
      <c r="AY1914" s="77"/>
      <c r="AZ1914" s="82" t="s">
        <v>17385</v>
      </c>
      <c r="BA1914" s="82" t="s">
        <v>17385</v>
      </c>
      <c r="BB1914" s="82" t="s">
        <v>17385</v>
      </c>
      <c r="BC1914" s="82" t="s">
        <v>15005</v>
      </c>
      <c r="BD1914" s="77">
        <v>384623981</v>
      </c>
      <c r="BE1914" s="77"/>
      <c r="BF1914" s="77"/>
      <c r="BG1914" s="77"/>
      <c r="BH1914" s="77"/>
      <c r="BI1914" s="77"/>
    </row>
    <row r="1915" spans="1:61" x14ac:dyDescent="0.25">
      <c r="A1915" s="62" t="s">
        <v>536</v>
      </c>
      <c r="B1915" s="62" t="s">
        <v>536</v>
      </c>
      <c r="C1915" s="63"/>
      <c r="D1915" s="64"/>
      <c r="E1915" s="65"/>
      <c r="F1915" s="66"/>
      <c r="G1915" s="63"/>
      <c r="H1915" s="67"/>
      <c r="I1915" s="68"/>
      <c r="J1915" s="68"/>
      <c r="K1915" s="32"/>
      <c r="L1915" s="75">
        <v>1915</v>
      </c>
      <c r="M1915" s="75"/>
      <c r="N1915" s="70"/>
      <c r="O1915" s="77" t="s">
        <v>179</v>
      </c>
      <c r="P1915" s="79">
        <v>45113.831030092595</v>
      </c>
      <c r="Q1915" s="77" t="s">
        <v>2701</v>
      </c>
      <c r="R1915" s="77">
        <v>0</v>
      </c>
      <c r="S1915" s="77">
        <v>0</v>
      </c>
      <c r="T1915" s="77">
        <v>0</v>
      </c>
      <c r="U1915" s="77">
        <v>0</v>
      </c>
      <c r="V1915" s="77">
        <v>47</v>
      </c>
      <c r="W1915" s="82" t="s">
        <v>6058</v>
      </c>
      <c r="X1915" s="77"/>
      <c r="Y1915" s="77"/>
      <c r="Z1915" s="77"/>
      <c r="AA1915" s="77" t="s">
        <v>7938</v>
      </c>
      <c r="AB1915" s="77" t="s">
        <v>8225</v>
      </c>
      <c r="AC1915" s="82" t="s">
        <v>8232</v>
      </c>
      <c r="AD1915" s="77" t="s">
        <v>8278</v>
      </c>
      <c r="AE1915" s="80" t="str">
        <f>HYPERLINK("https://twitter.com/rcordeiro21/status/1677043912592990211")</f>
        <v>https://twitter.com/rcordeiro21/status/1677043912592990211</v>
      </c>
      <c r="AF1915" s="79">
        <v>45113.831030092595</v>
      </c>
      <c r="AG1915" s="85">
        <v>45113</v>
      </c>
      <c r="AH1915" s="82" t="s">
        <v>10020</v>
      </c>
      <c r="AI1915" s="77" t="b">
        <v>0</v>
      </c>
      <c r="AJ1915" s="77"/>
      <c r="AK1915" s="77"/>
      <c r="AL1915" s="77"/>
      <c r="AM1915" s="77"/>
      <c r="AN1915" s="77"/>
      <c r="AO1915" s="77"/>
      <c r="AP1915" s="77"/>
      <c r="AQ1915" s="77" t="s">
        <v>12823</v>
      </c>
      <c r="AR1915" s="77"/>
      <c r="AS1915" s="77"/>
      <c r="AT1915" s="77"/>
      <c r="AU1915" s="77"/>
      <c r="AV1915" s="80" t="str">
        <f>HYPERLINK("https://pbs.twimg.com/media/F0YOeBRXgAAGdZW.png")</f>
        <v>https://pbs.twimg.com/media/F0YOeBRXgAAGdZW.png</v>
      </c>
      <c r="AW1915" s="82" t="s">
        <v>15006</v>
      </c>
      <c r="AX1915" s="82" t="s">
        <v>15006</v>
      </c>
      <c r="AY1915" s="77"/>
      <c r="AZ1915" s="82" t="s">
        <v>17385</v>
      </c>
      <c r="BA1915" s="82" t="s">
        <v>17385</v>
      </c>
      <c r="BB1915" s="82" t="s">
        <v>17385</v>
      </c>
      <c r="BC1915" s="82" t="s">
        <v>15006</v>
      </c>
      <c r="BD1915" s="77">
        <v>384623981</v>
      </c>
      <c r="BE1915" s="77"/>
      <c r="BF1915" s="77"/>
      <c r="BG1915" s="77"/>
      <c r="BH1915" s="77"/>
      <c r="BI1915" s="77"/>
    </row>
    <row r="1916" spans="1:61" x14ac:dyDescent="0.25">
      <c r="A1916" s="62" t="s">
        <v>536</v>
      </c>
      <c r="B1916" s="62" t="s">
        <v>536</v>
      </c>
      <c r="C1916" s="63"/>
      <c r="D1916" s="64"/>
      <c r="E1916" s="65"/>
      <c r="F1916" s="66"/>
      <c r="G1916" s="63"/>
      <c r="H1916" s="67"/>
      <c r="I1916" s="68"/>
      <c r="J1916" s="68"/>
      <c r="K1916" s="32"/>
      <c r="L1916" s="75">
        <v>1916</v>
      </c>
      <c r="M1916" s="75"/>
      <c r="N1916" s="70"/>
      <c r="O1916" s="77" t="s">
        <v>179</v>
      </c>
      <c r="P1916" s="79">
        <v>45112.517546296294</v>
      </c>
      <c r="Q1916" s="77" t="s">
        <v>2702</v>
      </c>
      <c r="R1916" s="77">
        <v>0</v>
      </c>
      <c r="S1916" s="77">
        <v>0</v>
      </c>
      <c r="T1916" s="77">
        <v>0</v>
      </c>
      <c r="U1916" s="77">
        <v>0</v>
      </c>
      <c r="V1916" s="77">
        <v>32</v>
      </c>
      <c r="W1916" s="82" t="s">
        <v>6059</v>
      </c>
      <c r="X1916" s="77"/>
      <c r="Y1916" s="77"/>
      <c r="Z1916" s="77"/>
      <c r="AA1916" s="77" t="s">
        <v>7939</v>
      </c>
      <c r="AB1916" s="77" t="s">
        <v>8225</v>
      </c>
      <c r="AC1916" s="82" t="s">
        <v>8232</v>
      </c>
      <c r="AD1916" s="77" t="s">
        <v>8278</v>
      </c>
      <c r="AE1916" s="80" t="str">
        <f>HYPERLINK("https://twitter.com/rcordeiro21/status/1676567920816578561")</f>
        <v>https://twitter.com/rcordeiro21/status/1676567920816578561</v>
      </c>
      <c r="AF1916" s="79">
        <v>45112.517546296294</v>
      </c>
      <c r="AG1916" s="85">
        <v>45112</v>
      </c>
      <c r="AH1916" s="82" t="s">
        <v>10021</v>
      </c>
      <c r="AI1916" s="77" t="b">
        <v>0</v>
      </c>
      <c r="AJ1916" s="77"/>
      <c r="AK1916" s="77"/>
      <c r="AL1916" s="77"/>
      <c r="AM1916" s="77"/>
      <c r="AN1916" s="77"/>
      <c r="AO1916" s="77"/>
      <c r="AP1916" s="77"/>
      <c r="AQ1916" s="77" t="s">
        <v>12824</v>
      </c>
      <c r="AR1916" s="77"/>
      <c r="AS1916" s="77"/>
      <c r="AT1916" s="77"/>
      <c r="AU1916" s="77"/>
      <c r="AV1916" s="80" t="str">
        <f>HYPERLINK("https://pbs.twimg.com/media/F0RdkYjWAAIzUg_.jpg")</f>
        <v>https://pbs.twimg.com/media/F0RdkYjWAAIzUg_.jpg</v>
      </c>
      <c r="AW1916" s="82" t="s">
        <v>15007</v>
      </c>
      <c r="AX1916" s="82" t="s">
        <v>15007</v>
      </c>
      <c r="AY1916" s="77"/>
      <c r="AZ1916" s="82" t="s">
        <v>17385</v>
      </c>
      <c r="BA1916" s="82" t="s">
        <v>17385</v>
      </c>
      <c r="BB1916" s="82" t="s">
        <v>17385</v>
      </c>
      <c r="BC1916" s="82" t="s">
        <v>15007</v>
      </c>
      <c r="BD1916" s="77">
        <v>384623981</v>
      </c>
      <c r="BE1916" s="77"/>
      <c r="BF1916" s="77"/>
      <c r="BG1916" s="77"/>
      <c r="BH1916" s="77"/>
      <c r="BI1916" s="77"/>
    </row>
    <row r="1917" spans="1:61" x14ac:dyDescent="0.25">
      <c r="A1917" s="62" t="s">
        <v>537</v>
      </c>
      <c r="B1917" s="62" t="s">
        <v>537</v>
      </c>
      <c r="C1917" s="63"/>
      <c r="D1917" s="64"/>
      <c r="E1917" s="65"/>
      <c r="F1917" s="66"/>
      <c r="G1917" s="63"/>
      <c r="H1917" s="67"/>
      <c r="I1917" s="68"/>
      <c r="J1917" s="68"/>
      <c r="K1917" s="32"/>
      <c r="L1917" s="75">
        <v>1917</v>
      </c>
      <c r="M1917" s="75"/>
      <c r="N1917" s="70"/>
      <c r="O1917" s="77" t="s">
        <v>179</v>
      </c>
      <c r="P1917" s="79">
        <v>45071.562708333331</v>
      </c>
      <c r="Q1917" s="77" t="s">
        <v>2703</v>
      </c>
      <c r="R1917" s="77">
        <v>0</v>
      </c>
      <c r="S1917" s="77">
        <v>0</v>
      </c>
      <c r="T1917" s="77">
        <v>0</v>
      </c>
      <c r="U1917" s="77">
        <v>0</v>
      </c>
      <c r="V1917" s="77">
        <v>19</v>
      </c>
      <c r="W1917" s="82" t="s">
        <v>6060</v>
      </c>
      <c r="X1917" s="80" t="str">
        <f>HYPERLINK("https://bddy.me/3WAcqQX")</f>
        <v>https://bddy.me/3WAcqQX</v>
      </c>
      <c r="Y1917" s="77" t="s">
        <v>7127</v>
      </c>
      <c r="Z1917" s="77"/>
      <c r="AA1917" s="77"/>
      <c r="AB1917" s="77"/>
      <c r="AC1917" s="82" t="s">
        <v>8269</v>
      </c>
      <c r="AD1917" s="77" t="s">
        <v>8278</v>
      </c>
      <c r="AE1917" s="80" t="str">
        <f>HYPERLINK("https://twitter.com/fundspeoplept/status/1661726385952399362")</f>
        <v>https://twitter.com/fundspeoplept/status/1661726385952399362</v>
      </c>
      <c r="AF1917" s="79">
        <v>45071.562708333331</v>
      </c>
      <c r="AG1917" s="85">
        <v>45071</v>
      </c>
      <c r="AH1917" s="82" t="s">
        <v>10022</v>
      </c>
      <c r="AI1917" s="77" t="b">
        <v>0</v>
      </c>
      <c r="AJ1917" s="77"/>
      <c r="AK1917" s="77"/>
      <c r="AL1917" s="77"/>
      <c r="AM1917" s="77"/>
      <c r="AN1917" s="77"/>
      <c r="AO1917" s="77"/>
      <c r="AP1917" s="77"/>
      <c r="AQ1917" s="77"/>
      <c r="AR1917" s="77"/>
      <c r="AS1917" s="77"/>
      <c r="AT1917" s="77"/>
      <c r="AU1917" s="77"/>
      <c r="AV1917" s="80" t="str">
        <f>HYPERLINK("https://pbs.twimg.com/profile_images/1247844907865313281/i6-Wedir_normal.jpg")</f>
        <v>https://pbs.twimg.com/profile_images/1247844907865313281/i6-Wedir_normal.jpg</v>
      </c>
      <c r="AW1917" s="82" t="s">
        <v>15008</v>
      </c>
      <c r="AX1917" s="82" t="s">
        <v>15008</v>
      </c>
      <c r="AY1917" s="77"/>
      <c r="AZ1917" s="82" t="s">
        <v>17385</v>
      </c>
      <c r="BA1917" s="82" t="s">
        <v>17385</v>
      </c>
      <c r="BB1917" s="82" t="s">
        <v>17385</v>
      </c>
      <c r="BC1917" s="82" t="s">
        <v>15008</v>
      </c>
      <c r="BD1917" s="77">
        <v>1069121174</v>
      </c>
      <c r="BE1917" s="77"/>
      <c r="BF1917" s="77"/>
      <c r="BG1917" s="77"/>
      <c r="BH1917" s="77"/>
      <c r="BI1917" s="77"/>
    </row>
    <row r="1918" spans="1:61" x14ac:dyDescent="0.25">
      <c r="A1918" s="62" t="s">
        <v>537</v>
      </c>
      <c r="B1918" s="62" t="s">
        <v>537</v>
      </c>
      <c r="C1918" s="63"/>
      <c r="D1918" s="64"/>
      <c r="E1918" s="65"/>
      <c r="F1918" s="66"/>
      <c r="G1918" s="63"/>
      <c r="H1918" s="67"/>
      <c r="I1918" s="68"/>
      <c r="J1918" s="68"/>
      <c r="K1918" s="32"/>
      <c r="L1918" s="75">
        <v>1918</v>
      </c>
      <c r="M1918" s="75"/>
      <c r="N1918" s="70"/>
      <c r="O1918" s="77" t="s">
        <v>179</v>
      </c>
      <c r="P1918" s="79">
        <v>45043.562569444446</v>
      </c>
      <c r="Q1918" s="77" t="s">
        <v>2704</v>
      </c>
      <c r="R1918" s="77">
        <v>0</v>
      </c>
      <c r="S1918" s="77">
        <v>0</v>
      </c>
      <c r="T1918" s="77">
        <v>0</v>
      </c>
      <c r="U1918" s="77">
        <v>0</v>
      </c>
      <c r="V1918" s="77">
        <v>22</v>
      </c>
      <c r="W1918" s="82" t="s">
        <v>6061</v>
      </c>
      <c r="X1918" s="80" t="str">
        <f>HYPERLINK("https://bddy.me/3AxiU91")</f>
        <v>https://bddy.me/3AxiU91</v>
      </c>
      <c r="Y1918" s="77" t="s">
        <v>7127</v>
      </c>
      <c r="Z1918" s="77"/>
      <c r="AA1918" s="77"/>
      <c r="AB1918" s="77"/>
      <c r="AC1918" s="82" t="s">
        <v>8269</v>
      </c>
      <c r="AD1918" s="77" t="s">
        <v>8278</v>
      </c>
      <c r="AE1918" s="80" t="str">
        <f>HYPERLINK("https://twitter.com/fundspeoplept/status/1651579473525972997")</f>
        <v>https://twitter.com/fundspeoplept/status/1651579473525972997</v>
      </c>
      <c r="AF1918" s="79">
        <v>45043.562569444446</v>
      </c>
      <c r="AG1918" s="85">
        <v>45043</v>
      </c>
      <c r="AH1918" s="82" t="s">
        <v>10023</v>
      </c>
      <c r="AI1918" s="77" t="b">
        <v>0</v>
      </c>
      <c r="AJ1918" s="77"/>
      <c r="AK1918" s="77"/>
      <c r="AL1918" s="77"/>
      <c r="AM1918" s="77"/>
      <c r="AN1918" s="77"/>
      <c r="AO1918" s="77"/>
      <c r="AP1918" s="77"/>
      <c r="AQ1918" s="77"/>
      <c r="AR1918" s="77"/>
      <c r="AS1918" s="77"/>
      <c r="AT1918" s="77"/>
      <c r="AU1918" s="77"/>
      <c r="AV1918" s="80" t="str">
        <f>HYPERLINK("https://pbs.twimg.com/profile_images/1247844907865313281/i6-Wedir_normal.jpg")</f>
        <v>https://pbs.twimg.com/profile_images/1247844907865313281/i6-Wedir_normal.jpg</v>
      </c>
      <c r="AW1918" s="82" t="s">
        <v>15009</v>
      </c>
      <c r="AX1918" s="82" t="s">
        <v>15009</v>
      </c>
      <c r="AY1918" s="77"/>
      <c r="AZ1918" s="82" t="s">
        <v>17385</v>
      </c>
      <c r="BA1918" s="82" t="s">
        <v>17385</v>
      </c>
      <c r="BB1918" s="82" t="s">
        <v>17385</v>
      </c>
      <c r="BC1918" s="82" t="s">
        <v>15009</v>
      </c>
      <c r="BD1918" s="77">
        <v>1069121174</v>
      </c>
      <c r="BE1918" s="77"/>
      <c r="BF1918" s="77"/>
      <c r="BG1918" s="77"/>
      <c r="BH1918" s="77"/>
      <c r="BI1918" s="77"/>
    </row>
    <row r="1919" spans="1:61" x14ac:dyDescent="0.25">
      <c r="A1919" s="62" t="s">
        <v>537</v>
      </c>
      <c r="B1919" s="62" t="s">
        <v>537</v>
      </c>
      <c r="C1919" s="63"/>
      <c r="D1919" s="64"/>
      <c r="E1919" s="65"/>
      <c r="F1919" s="66"/>
      <c r="G1919" s="63"/>
      <c r="H1919" s="67"/>
      <c r="I1919" s="68"/>
      <c r="J1919" s="68"/>
      <c r="K1919" s="32"/>
      <c r="L1919" s="75">
        <v>1919</v>
      </c>
      <c r="M1919" s="75"/>
      <c r="N1919" s="70"/>
      <c r="O1919" s="77" t="s">
        <v>179</v>
      </c>
      <c r="P1919" s="79">
        <v>45096.437534722223</v>
      </c>
      <c r="Q1919" s="77" t="s">
        <v>2705</v>
      </c>
      <c r="R1919" s="77">
        <v>0</v>
      </c>
      <c r="S1919" s="77">
        <v>0</v>
      </c>
      <c r="T1919" s="77">
        <v>0</v>
      </c>
      <c r="U1919" s="77">
        <v>0</v>
      </c>
      <c r="V1919" s="77">
        <v>5</v>
      </c>
      <c r="W1919" s="82" t="s">
        <v>6062</v>
      </c>
      <c r="X1919" s="80" t="str">
        <f>HYPERLINK("https://bddy.me/3JmScVE")</f>
        <v>https://bddy.me/3JmScVE</v>
      </c>
      <c r="Y1919" s="77" t="s">
        <v>7127</v>
      </c>
      <c r="Z1919" s="77"/>
      <c r="AA1919" s="77"/>
      <c r="AB1919" s="77"/>
      <c r="AC1919" s="82" t="s">
        <v>8269</v>
      </c>
      <c r="AD1919" s="77" t="s">
        <v>8278</v>
      </c>
      <c r="AE1919" s="80" t="str">
        <f>HYPERLINK("https://twitter.com/fundspeoplept/status/1670740722025222144")</f>
        <v>https://twitter.com/fundspeoplept/status/1670740722025222144</v>
      </c>
      <c r="AF1919" s="79">
        <v>45096.437534722223</v>
      </c>
      <c r="AG1919" s="85">
        <v>45096</v>
      </c>
      <c r="AH1919" s="82" t="s">
        <v>10024</v>
      </c>
      <c r="AI1919" s="77" t="b">
        <v>0</v>
      </c>
      <c r="AJ1919" s="77"/>
      <c r="AK1919" s="77"/>
      <c r="AL1919" s="77"/>
      <c r="AM1919" s="77"/>
      <c r="AN1919" s="77"/>
      <c r="AO1919" s="77"/>
      <c r="AP1919" s="77"/>
      <c r="AQ1919" s="77"/>
      <c r="AR1919" s="77"/>
      <c r="AS1919" s="77"/>
      <c r="AT1919" s="77"/>
      <c r="AU1919" s="77"/>
      <c r="AV1919" s="80" t="str">
        <f>HYPERLINK("https://pbs.twimg.com/profile_images/1247844907865313281/i6-Wedir_normal.jpg")</f>
        <v>https://pbs.twimg.com/profile_images/1247844907865313281/i6-Wedir_normal.jpg</v>
      </c>
      <c r="AW1919" s="82" t="s">
        <v>15010</v>
      </c>
      <c r="AX1919" s="82" t="s">
        <v>15010</v>
      </c>
      <c r="AY1919" s="77"/>
      <c r="AZ1919" s="82" t="s">
        <v>17385</v>
      </c>
      <c r="BA1919" s="82" t="s">
        <v>17385</v>
      </c>
      <c r="BB1919" s="82" t="s">
        <v>17385</v>
      </c>
      <c r="BC1919" s="82" t="s">
        <v>15010</v>
      </c>
      <c r="BD1919" s="77">
        <v>1069121174</v>
      </c>
      <c r="BE1919" s="77"/>
      <c r="BF1919" s="77"/>
      <c r="BG1919" s="77"/>
      <c r="BH1919" s="77"/>
      <c r="BI1919" s="77"/>
    </row>
    <row r="1920" spans="1:61" x14ac:dyDescent="0.25">
      <c r="A1920" s="62" t="s">
        <v>537</v>
      </c>
      <c r="B1920" s="62" t="s">
        <v>537</v>
      </c>
      <c r="C1920" s="63"/>
      <c r="D1920" s="64"/>
      <c r="E1920" s="65"/>
      <c r="F1920" s="66"/>
      <c r="G1920" s="63"/>
      <c r="H1920" s="67"/>
      <c r="I1920" s="68"/>
      <c r="J1920" s="68"/>
      <c r="K1920" s="32"/>
      <c r="L1920" s="75">
        <v>1920</v>
      </c>
      <c r="M1920" s="75"/>
      <c r="N1920" s="70"/>
      <c r="O1920" s="77" t="s">
        <v>179</v>
      </c>
      <c r="P1920" s="79">
        <v>45048.437534722223</v>
      </c>
      <c r="Q1920" s="77" t="s">
        <v>2706</v>
      </c>
      <c r="R1920" s="77">
        <v>0</v>
      </c>
      <c r="S1920" s="77">
        <v>0</v>
      </c>
      <c r="T1920" s="77">
        <v>0</v>
      </c>
      <c r="U1920" s="77">
        <v>0</v>
      </c>
      <c r="V1920" s="77">
        <v>7</v>
      </c>
      <c r="W1920" s="82" t="s">
        <v>6063</v>
      </c>
      <c r="X1920" s="80" t="str">
        <f>HYPERLINK("https://bddy.me/3oUcRZD")</f>
        <v>https://bddy.me/3oUcRZD</v>
      </c>
      <c r="Y1920" s="77" t="s">
        <v>7127</v>
      </c>
      <c r="Z1920" s="77"/>
      <c r="AA1920" s="77"/>
      <c r="AB1920" s="77"/>
      <c r="AC1920" s="82" t="s">
        <v>8269</v>
      </c>
      <c r="AD1920" s="77" t="s">
        <v>8278</v>
      </c>
      <c r="AE1920" s="80" t="str">
        <f>HYPERLINK("https://twitter.com/fundspeoplept/status/1653346102777729027")</f>
        <v>https://twitter.com/fundspeoplept/status/1653346102777729027</v>
      </c>
      <c r="AF1920" s="79">
        <v>45048.437534722223</v>
      </c>
      <c r="AG1920" s="85">
        <v>45048</v>
      </c>
      <c r="AH1920" s="82" t="s">
        <v>10024</v>
      </c>
      <c r="AI1920" s="77" t="b">
        <v>0</v>
      </c>
      <c r="AJ1920" s="77"/>
      <c r="AK1920" s="77"/>
      <c r="AL1920" s="77"/>
      <c r="AM1920" s="77"/>
      <c r="AN1920" s="77"/>
      <c r="AO1920" s="77"/>
      <c r="AP1920" s="77"/>
      <c r="AQ1920" s="77"/>
      <c r="AR1920" s="77"/>
      <c r="AS1920" s="77"/>
      <c r="AT1920" s="77"/>
      <c r="AU1920" s="77"/>
      <c r="AV1920" s="80" t="str">
        <f>HYPERLINK("https://pbs.twimg.com/profile_images/1247844907865313281/i6-Wedir_normal.jpg")</f>
        <v>https://pbs.twimg.com/profile_images/1247844907865313281/i6-Wedir_normal.jpg</v>
      </c>
      <c r="AW1920" s="82" t="s">
        <v>15011</v>
      </c>
      <c r="AX1920" s="82" t="s">
        <v>15011</v>
      </c>
      <c r="AY1920" s="77"/>
      <c r="AZ1920" s="82" t="s">
        <v>17385</v>
      </c>
      <c r="BA1920" s="82" t="s">
        <v>17385</v>
      </c>
      <c r="BB1920" s="82" t="s">
        <v>17385</v>
      </c>
      <c r="BC1920" s="82" t="s">
        <v>15011</v>
      </c>
      <c r="BD1920" s="77">
        <v>1069121174</v>
      </c>
      <c r="BE1920" s="77"/>
      <c r="BF1920" s="77"/>
      <c r="BG1920" s="77"/>
      <c r="BH1920" s="77"/>
      <c r="BI1920" s="77"/>
    </row>
    <row r="1921" spans="1:61" x14ac:dyDescent="0.25">
      <c r="A1921" s="62" t="s">
        <v>537</v>
      </c>
      <c r="B1921" s="62" t="s">
        <v>537</v>
      </c>
      <c r="C1921" s="63"/>
      <c r="D1921" s="64"/>
      <c r="E1921" s="65"/>
      <c r="F1921" s="66"/>
      <c r="G1921" s="63"/>
      <c r="H1921" s="67"/>
      <c r="I1921" s="68"/>
      <c r="J1921" s="68"/>
      <c r="K1921" s="32"/>
      <c r="L1921" s="75">
        <v>1921</v>
      </c>
      <c r="M1921" s="75"/>
      <c r="N1921" s="70"/>
      <c r="O1921" s="77" t="s">
        <v>179</v>
      </c>
      <c r="P1921" s="79">
        <v>45168.438923611109</v>
      </c>
      <c r="Q1921" s="77" t="s">
        <v>2707</v>
      </c>
      <c r="R1921" s="77">
        <v>0</v>
      </c>
      <c r="S1921" s="77">
        <v>0</v>
      </c>
      <c r="T1921" s="77">
        <v>0</v>
      </c>
      <c r="U1921" s="77">
        <v>0</v>
      </c>
      <c r="V1921" s="77">
        <v>24</v>
      </c>
      <c r="W1921" s="82" t="s">
        <v>6064</v>
      </c>
      <c r="X1921" s="80" t="str">
        <f>HYPERLINK("https://bddy.me/3OZerTq")</f>
        <v>https://bddy.me/3OZerTq</v>
      </c>
      <c r="Y1921" s="77" t="s">
        <v>7127</v>
      </c>
      <c r="Z1921" s="77"/>
      <c r="AA1921" s="77"/>
      <c r="AB1921" s="77"/>
      <c r="AC1921" s="82" t="s">
        <v>8269</v>
      </c>
      <c r="AD1921" s="77" t="s">
        <v>8278</v>
      </c>
      <c r="AE1921" s="80" t="str">
        <f>HYPERLINK("https://twitter.com/fundspeoplept/status/1696833152549847284")</f>
        <v>https://twitter.com/fundspeoplept/status/1696833152549847284</v>
      </c>
      <c r="AF1921" s="79">
        <v>45168.438923611109</v>
      </c>
      <c r="AG1921" s="85">
        <v>45168</v>
      </c>
      <c r="AH1921" s="82" t="s">
        <v>10025</v>
      </c>
      <c r="AI1921" s="77" t="b">
        <v>0</v>
      </c>
      <c r="AJ1921" s="77"/>
      <c r="AK1921" s="77"/>
      <c r="AL1921" s="77"/>
      <c r="AM1921" s="77"/>
      <c r="AN1921" s="77"/>
      <c r="AO1921" s="77"/>
      <c r="AP1921" s="77"/>
      <c r="AQ1921" s="77"/>
      <c r="AR1921" s="77"/>
      <c r="AS1921" s="77"/>
      <c r="AT1921" s="77"/>
      <c r="AU1921" s="77"/>
      <c r="AV1921" s="80" t="str">
        <f>HYPERLINK("https://pbs.twimg.com/profile_images/1247844907865313281/i6-Wedir_normal.jpg")</f>
        <v>https://pbs.twimg.com/profile_images/1247844907865313281/i6-Wedir_normal.jpg</v>
      </c>
      <c r="AW1921" s="82" t="s">
        <v>15012</v>
      </c>
      <c r="AX1921" s="82" t="s">
        <v>15012</v>
      </c>
      <c r="AY1921" s="77"/>
      <c r="AZ1921" s="82" t="s">
        <v>17385</v>
      </c>
      <c r="BA1921" s="82" t="s">
        <v>17385</v>
      </c>
      <c r="BB1921" s="82" t="s">
        <v>17385</v>
      </c>
      <c r="BC1921" s="82" t="s">
        <v>15012</v>
      </c>
      <c r="BD1921" s="77">
        <v>1069121174</v>
      </c>
      <c r="BE1921" s="77"/>
      <c r="BF1921" s="77"/>
      <c r="BG1921" s="77"/>
      <c r="BH1921" s="77"/>
      <c r="BI1921" s="77"/>
    </row>
    <row r="1922" spans="1:61" x14ac:dyDescent="0.25">
      <c r="A1922" s="62" t="s">
        <v>537</v>
      </c>
      <c r="B1922" s="62" t="s">
        <v>537</v>
      </c>
      <c r="C1922" s="63"/>
      <c r="D1922" s="64"/>
      <c r="E1922" s="65"/>
      <c r="F1922" s="66"/>
      <c r="G1922" s="63"/>
      <c r="H1922" s="67"/>
      <c r="I1922" s="68"/>
      <c r="J1922" s="68"/>
      <c r="K1922" s="32"/>
      <c r="L1922" s="75">
        <v>1922</v>
      </c>
      <c r="M1922" s="75"/>
      <c r="N1922" s="70"/>
      <c r="O1922" s="77" t="s">
        <v>179</v>
      </c>
      <c r="P1922" s="79">
        <v>45168.354212962964</v>
      </c>
      <c r="Q1922" s="77" t="s">
        <v>2708</v>
      </c>
      <c r="R1922" s="77">
        <v>0</v>
      </c>
      <c r="S1922" s="77">
        <v>0</v>
      </c>
      <c r="T1922" s="77">
        <v>0</v>
      </c>
      <c r="U1922" s="77">
        <v>0</v>
      </c>
      <c r="V1922" s="77">
        <v>24</v>
      </c>
      <c r="W1922" s="82" t="s">
        <v>6065</v>
      </c>
      <c r="X1922" s="80" t="str">
        <f>HYPERLINK("https://bddy.me/3qXuid9")</f>
        <v>https://bddy.me/3qXuid9</v>
      </c>
      <c r="Y1922" s="77" t="s">
        <v>7127</v>
      </c>
      <c r="Z1922" s="77"/>
      <c r="AA1922" s="77"/>
      <c r="AB1922" s="77"/>
      <c r="AC1922" s="82" t="s">
        <v>8269</v>
      </c>
      <c r="AD1922" s="77" t="s">
        <v>8278</v>
      </c>
      <c r="AE1922" s="80" t="str">
        <f>HYPERLINK("https://twitter.com/fundspeoplept/status/1696802451066691964")</f>
        <v>https://twitter.com/fundspeoplept/status/1696802451066691964</v>
      </c>
      <c r="AF1922" s="79">
        <v>45168.354212962964</v>
      </c>
      <c r="AG1922" s="85">
        <v>45168</v>
      </c>
      <c r="AH1922" s="82" t="s">
        <v>10026</v>
      </c>
      <c r="AI1922" s="77" t="b">
        <v>0</v>
      </c>
      <c r="AJ1922" s="77"/>
      <c r="AK1922" s="77"/>
      <c r="AL1922" s="77"/>
      <c r="AM1922" s="77"/>
      <c r="AN1922" s="77"/>
      <c r="AO1922" s="77"/>
      <c r="AP1922" s="77"/>
      <c r="AQ1922" s="77"/>
      <c r="AR1922" s="77"/>
      <c r="AS1922" s="77"/>
      <c r="AT1922" s="77"/>
      <c r="AU1922" s="77"/>
      <c r="AV1922" s="80" t="str">
        <f>HYPERLINK("https://pbs.twimg.com/profile_images/1247844907865313281/i6-Wedir_normal.jpg")</f>
        <v>https://pbs.twimg.com/profile_images/1247844907865313281/i6-Wedir_normal.jpg</v>
      </c>
      <c r="AW1922" s="82" t="s">
        <v>15013</v>
      </c>
      <c r="AX1922" s="82" t="s">
        <v>15013</v>
      </c>
      <c r="AY1922" s="77"/>
      <c r="AZ1922" s="82" t="s">
        <v>17385</v>
      </c>
      <c r="BA1922" s="82" t="s">
        <v>17385</v>
      </c>
      <c r="BB1922" s="82" t="s">
        <v>17385</v>
      </c>
      <c r="BC1922" s="82" t="s">
        <v>15013</v>
      </c>
      <c r="BD1922" s="77">
        <v>1069121174</v>
      </c>
      <c r="BE1922" s="77"/>
      <c r="BF1922" s="77"/>
      <c r="BG1922" s="77"/>
      <c r="BH1922" s="77"/>
      <c r="BI1922" s="77"/>
    </row>
    <row r="1923" spans="1:61" x14ac:dyDescent="0.25">
      <c r="A1923" s="62" t="s">
        <v>537</v>
      </c>
      <c r="B1923" s="62" t="s">
        <v>537</v>
      </c>
      <c r="C1923" s="63"/>
      <c r="D1923" s="64"/>
      <c r="E1923" s="65"/>
      <c r="F1923" s="66"/>
      <c r="G1923" s="63"/>
      <c r="H1923" s="67"/>
      <c r="I1923" s="68"/>
      <c r="J1923" s="68"/>
      <c r="K1923" s="32"/>
      <c r="L1923" s="75">
        <v>1923</v>
      </c>
      <c r="M1923" s="75"/>
      <c r="N1923" s="70"/>
      <c r="O1923" s="77" t="s">
        <v>179</v>
      </c>
      <c r="P1923" s="79">
        <v>45118.562569444446</v>
      </c>
      <c r="Q1923" s="77" t="s">
        <v>2709</v>
      </c>
      <c r="R1923" s="77">
        <v>0</v>
      </c>
      <c r="S1923" s="77">
        <v>0</v>
      </c>
      <c r="T1923" s="77">
        <v>0</v>
      </c>
      <c r="U1923" s="77">
        <v>0</v>
      </c>
      <c r="V1923" s="77">
        <v>19</v>
      </c>
      <c r="W1923" s="82" t="s">
        <v>6061</v>
      </c>
      <c r="X1923" s="80" t="str">
        <f>HYPERLINK("https://bddy.me/44f0rLM")</f>
        <v>https://bddy.me/44f0rLM</v>
      </c>
      <c r="Y1923" s="77" t="s">
        <v>7127</v>
      </c>
      <c r="Z1923" s="77"/>
      <c r="AA1923" s="77"/>
      <c r="AB1923" s="77"/>
      <c r="AC1923" s="82" t="s">
        <v>8269</v>
      </c>
      <c r="AD1923" s="77" t="s">
        <v>8278</v>
      </c>
      <c r="AE1923" s="80" t="str">
        <f>HYPERLINK("https://twitter.com/fundspeoplept/status/1678758564809129989")</f>
        <v>https://twitter.com/fundspeoplept/status/1678758564809129989</v>
      </c>
      <c r="AF1923" s="79">
        <v>45118.562569444446</v>
      </c>
      <c r="AG1923" s="85">
        <v>45118</v>
      </c>
      <c r="AH1923" s="82" t="s">
        <v>10023</v>
      </c>
      <c r="AI1923" s="77" t="b">
        <v>0</v>
      </c>
      <c r="AJ1923" s="77"/>
      <c r="AK1923" s="77"/>
      <c r="AL1923" s="77"/>
      <c r="AM1923" s="77"/>
      <c r="AN1923" s="77"/>
      <c r="AO1923" s="77"/>
      <c r="AP1923" s="77"/>
      <c r="AQ1923" s="77"/>
      <c r="AR1923" s="77"/>
      <c r="AS1923" s="77"/>
      <c r="AT1923" s="77"/>
      <c r="AU1923" s="77"/>
      <c r="AV1923" s="80" t="str">
        <f>HYPERLINK("https://pbs.twimg.com/profile_images/1247844907865313281/i6-Wedir_normal.jpg")</f>
        <v>https://pbs.twimg.com/profile_images/1247844907865313281/i6-Wedir_normal.jpg</v>
      </c>
      <c r="AW1923" s="82" t="s">
        <v>15014</v>
      </c>
      <c r="AX1923" s="82" t="s">
        <v>15014</v>
      </c>
      <c r="AY1923" s="77"/>
      <c r="AZ1923" s="82" t="s">
        <v>17385</v>
      </c>
      <c r="BA1923" s="82" t="s">
        <v>17385</v>
      </c>
      <c r="BB1923" s="82" t="s">
        <v>17385</v>
      </c>
      <c r="BC1923" s="82" t="s">
        <v>15014</v>
      </c>
      <c r="BD1923" s="77">
        <v>1069121174</v>
      </c>
      <c r="BE1923" s="77"/>
      <c r="BF1923" s="77"/>
      <c r="BG1923" s="77"/>
      <c r="BH1923" s="77"/>
      <c r="BI1923" s="77"/>
    </row>
    <row r="1924" spans="1:61" x14ac:dyDescent="0.25">
      <c r="A1924" s="62" t="s">
        <v>537</v>
      </c>
      <c r="B1924" s="62" t="s">
        <v>537</v>
      </c>
      <c r="C1924" s="63"/>
      <c r="D1924" s="64"/>
      <c r="E1924" s="65"/>
      <c r="F1924" s="66"/>
      <c r="G1924" s="63"/>
      <c r="H1924" s="67"/>
      <c r="I1924" s="68"/>
      <c r="J1924" s="68"/>
      <c r="K1924" s="32"/>
      <c r="L1924" s="75">
        <v>1924</v>
      </c>
      <c r="M1924" s="75"/>
      <c r="N1924" s="70"/>
      <c r="O1924" s="77" t="s">
        <v>179</v>
      </c>
      <c r="P1924" s="79">
        <v>45183.562534722223</v>
      </c>
      <c r="Q1924" s="77" t="s">
        <v>2710</v>
      </c>
      <c r="R1924" s="77">
        <v>0</v>
      </c>
      <c r="S1924" s="77">
        <v>0</v>
      </c>
      <c r="T1924" s="77">
        <v>0</v>
      </c>
      <c r="U1924" s="77">
        <v>0</v>
      </c>
      <c r="V1924" s="77">
        <v>22</v>
      </c>
      <c r="W1924" s="82" t="s">
        <v>6064</v>
      </c>
      <c r="X1924" s="80" t="str">
        <f>HYPERLINK("https://bddy.me/45Ibwpr")</f>
        <v>https://bddy.me/45Ibwpr</v>
      </c>
      <c r="Y1924" s="77" t="s">
        <v>7127</v>
      </c>
      <c r="Z1924" s="77"/>
      <c r="AA1924" s="77"/>
      <c r="AB1924" s="77"/>
      <c r="AC1924" s="82" t="s">
        <v>8269</v>
      </c>
      <c r="AD1924" s="77" t="s">
        <v>8278</v>
      </c>
      <c r="AE1924" s="80" t="str">
        <f>HYPERLINK("https://twitter.com/fundspeoplept/status/1702313764278710457")</f>
        <v>https://twitter.com/fundspeoplept/status/1702313764278710457</v>
      </c>
      <c r="AF1924" s="79">
        <v>45183.562534722223</v>
      </c>
      <c r="AG1924" s="85">
        <v>45183</v>
      </c>
      <c r="AH1924" s="82" t="s">
        <v>10027</v>
      </c>
      <c r="AI1924" s="77" t="b">
        <v>0</v>
      </c>
      <c r="AJ1924" s="77"/>
      <c r="AK1924" s="77"/>
      <c r="AL1924" s="77"/>
      <c r="AM1924" s="77"/>
      <c r="AN1924" s="77"/>
      <c r="AO1924" s="77"/>
      <c r="AP1924" s="77"/>
      <c r="AQ1924" s="77"/>
      <c r="AR1924" s="77"/>
      <c r="AS1924" s="77"/>
      <c r="AT1924" s="77"/>
      <c r="AU1924" s="77"/>
      <c r="AV1924" s="80" t="str">
        <f>HYPERLINK("https://pbs.twimg.com/profile_images/1247844907865313281/i6-Wedir_normal.jpg")</f>
        <v>https://pbs.twimg.com/profile_images/1247844907865313281/i6-Wedir_normal.jpg</v>
      </c>
      <c r="AW1924" s="82" t="s">
        <v>15015</v>
      </c>
      <c r="AX1924" s="82" t="s">
        <v>15015</v>
      </c>
      <c r="AY1924" s="77"/>
      <c r="AZ1924" s="82" t="s">
        <v>17385</v>
      </c>
      <c r="BA1924" s="82" t="s">
        <v>17385</v>
      </c>
      <c r="BB1924" s="82" t="s">
        <v>17385</v>
      </c>
      <c r="BC1924" s="82" t="s">
        <v>15015</v>
      </c>
      <c r="BD1924" s="77">
        <v>1069121174</v>
      </c>
      <c r="BE1924" s="77"/>
      <c r="BF1924" s="77"/>
      <c r="BG1924" s="77"/>
      <c r="BH1924" s="77"/>
      <c r="BI1924" s="77"/>
    </row>
    <row r="1925" spans="1:61" x14ac:dyDescent="0.25">
      <c r="A1925" s="62" t="s">
        <v>537</v>
      </c>
      <c r="B1925" s="62" t="s">
        <v>537</v>
      </c>
      <c r="C1925" s="63"/>
      <c r="D1925" s="64"/>
      <c r="E1925" s="65"/>
      <c r="F1925" s="66"/>
      <c r="G1925" s="63"/>
      <c r="H1925" s="67"/>
      <c r="I1925" s="68"/>
      <c r="J1925" s="68"/>
      <c r="K1925" s="32"/>
      <c r="L1925" s="75">
        <v>1925</v>
      </c>
      <c r="M1925" s="75"/>
      <c r="N1925" s="70"/>
      <c r="O1925" s="77" t="s">
        <v>179</v>
      </c>
      <c r="P1925" s="79">
        <v>45180.354212962964</v>
      </c>
      <c r="Q1925" s="77" t="s">
        <v>2711</v>
      </c>
      <c r="R1925" s="77">
        <v>0</v>
      </c>
      <c r="S1925" s="77">
        <v>0</v>
      </c>
      <c r="T1925" s="77">
        <v>0</v>
      </c>
      <c r="U1925" s="77">
        <v>0</v>
      </c>
      <c r="V1925" s="77">
        <v>11</v>
      </c>
      <c r="W1925" s="82" t="s">
        <v>6066</v>
      </c>
      <c r="X1925" s="80" t="str">
        <f>HYPERLINK("https://bddy.me/3EALubC")</f>
        <v>https://bddy.me/3EALubC</v>
      </c>
      <c r="Y1925" s="77" t="s">
        <v>7127</v>
      </c>
      <c r="Z1925" s="77"/>
      <c r="AA1925" s="77"/>
      <c r="AB1925" s="77"/>
      <c r="AC1925" s="82" t="s">
        <v>8269</v>
      </c>
      <c r="AD1925" s="77" t="s">
        <v>8278</v>
      </c>
      <c r="AE1925" s="80" t="str">
        <f>HYPERLINK("https://twitter.com/fundspeoplept/status/1701151108587045135")</f>
        <v>https://twitter.com/fundspeoplept/status/1701151108587045135</v>
      </c>
      <c r="AF1925" s="79">
        <v>45180.354212962964</v>
      </c>
      <c r="AG1925" s="85">
        <v>45180</v>
      </c>
      <c r="AH1925" s="82" t="s">
        <v>10026</v>
      </c>
      <c r="AI1925" s="77" t="b">
        <v>0</v>
      </c>
      <c r="AJ1925" s="77"/>
      <c r="AK1925" s="77"/>
      <c r="AL1925" s="77"/>
      <c r="AM1925" s="77"/>
      <c r="AN1925" s="77"/>
      <c r="AO1925" s="77"/>
      <c r="AP1925" s="77"/>
      <c r="AQ1925" s="77"/>
      <c r="AR1925" s="77"/>
      <c r="AS1925" s="77"/>
      <c r="AT1925" s="77"/>
      <c r="AU1925" s="77"/>
      <c r="AV1925" s="80" t="str">
        <f>HYPERLINK("https://pbs.twimg.com/profile_images/1247844907865313281/i6-Wedir_normal.jpg")</f>
        <v>https://pbs.twimg.com/profile_images/1247844907865313281/i6-Wedir_normal.jpg</v>
      </c>
      <c r="AW1925" s="82" t="s">
        <v>15016</v>
      </c>
      <c r="AX1925" s="82" t="s">
        <v>15016</v>
      </c>
      <c r="AY1925" s="77"/>
      <c r="AZ1925" s="82" t="s">
        <v>17385</v>
      </c>
      <c r="BA1925" s="82" t="s">
        <v>17385</v>
      </c>
      <c r="BB1925" s="82" t="s">
        <v>17385</v>
      </c>
      <c r="BC1925" s="82" t="s">
        <v>15016</v>
      </c>
      <c r="BD1925" s="77">
        <v>1069121174</v>
      </c>
      <c r="BE1925" s="77"/>
      <c r="BF1925" s="77"/>
      <c r="BG1925" s="77"/>
      <c r="BH1925" s="77"/>
      <c r="BI1925" s="77"/>
    </row>
    <row r="1926" spans="1:61" x14ac:dyDescent="0.25">
      <c r="A1926" s="62" t="s">
        <v>537</v>
      </c>
      <c r="B1926" s="62" t="s">
        <v>537</v>
      </c>
      <c r="C1926" s="63"/>
      <c r="D1926" s="64"/>
      <c r="E1926" s="65"/>
      <c r="F1926" s="66"/>
      <c r="G1926" s="63"/>
      <c r="H1926" s="67"/>
      <c r="I1926" s="68"/>
      <c r="J1926" s="68"/>
      <c r="K1926" s="32"/>
      <c r="L1926" s="75">
        <v>1926</v>
      </c>
      <c r="M1926" s="75"/>
      <c r="N1926" s="70"/>
      <c r="O1926" s="77" t="s">
        <v>179</v>
      </c>
      <c r="P1926" s="79">
        <v>45156.562557870369</v>
      </c>
      <c r="Q1926" s="77" t="s">
        <v>2712</v>
      </c>
      <c r="R1926" s="77">
        <v>0</v>
      </c>
      <c r="S1926" s="77">
        <v>0</v>
      </c>
      <c r="T1926" s="77">
        <v>0</v>
      </c>
      <c r="U1926" s="77">
        <v>0</v>
      </c>
      <c r="V1926" s="77">
        <v>14</v>
      </c>
      <c r="W1926" s="82" t="s">
        <v>6067</v>
      </c>
      <c r="X1926" s="80" t="str">
        <f>HYPERLINK("https://bddy.me/3smdFrU")</f>
        <v>https://bddy.me/3smdFrU</v>
      </c>
      <c r="Y1926" s="77" t="s">
        <v>7127</v>
      </c>
      <c r="Z1926" s="77"/>
      <c r="AA1926" s="77"/>
      <c r="AB1926" s="77"/>
      <c r="AC1926" s="82" t="s">
        <v>8269</v>
      </c>
      <c r="AD1926" s="77" t="s">
        <v>8278</v>
      </c>
      <c r="AE1926" s="80" t="str">
        <f>HYPERLINK("https://twitter.com/fundspeoplept/status/1692529300228931955")</f>
        <v>https://twitter.com/fundspeoplept/status/1692529300228931955</v>
      </c>
      <c r="AF1926" s="79">
        <v>45156.562557870369</v>
      </c>
      <c r="AG1926" s="85">
        <v>45156</v>
      </c>
      <c r="AH1926" s="82" t="s">
        <v>10028</v>
      </c>
      <c r="AI1926" s="77" t="b">
        <v>0</v>
      </c>
      <c r="AJ1926" s="77"/>
      <c r="AK1926" s="77"/>
      <c r="AL1926" s="77"/>
      <c r="AM1926" s="77"/>
      <c r="AN1926" s="77"/>
      <c r="AO1926" s="77"/>
      <c r="AP1926" s="77"/>
      <c r="AQ1926" s="77"/>
      <c r="AR1926" s="77"/>
      <c r="AS1926" s="77"/>
      <c r="AT1926" s="77"/>
      <c r="AU1926" s="77"/>
      <c r="AV1926" s="80" t="str">
        <f>HYPERLINK("https://pbs.twimg.com/profile_images/1247844907865313281/i6-Wedir_normal.jpg")</f>
        <v>https://pbs.twimg.com/profile_images/1247844907865313281/i6-Wedir_normal.jpg</v>
      </c>
      <c r="AW1926" s="82" t="s">
        <v>15017</v>
      </c>
      <c r="AX1926" s="82" t="s">
        <v>15017</v>
      </c>
      <c r="AY1926" s="77"/>
      <c r="AZ1926" s="82" t="s">
        <v>17385</v>
      </c>
      <c r="BA1926" s="82" t="s">
        <v>17385</v>
      </c>
      <c r="BB1926" s="82" t="s">
        <v>17385</v>
      </c>
      <c r="BC1926" s="82" t="s">
        <v>15017</v>
      </c>
      <c r="BD1926" s="77">
        <v>1069121174</v>
      </c>
      <c r="BE1926" s="77"/>
      <c r="BF1926" s="77"/>
      <c r="BG1926" s="77"/>
      <c r="BH1926" s="77"/>
      <c r="BI1926" s="77"/>
    </row>
    <row r="1927" spans="1:61" x14ac:dyDescent="0.25">
      <c r="A1927" s="62" t="s">
        <v>537</v>
      </c>
      <c r="B1927" s="62" t="s">
        <v>537</v>
      </c>
      <c r="C1927" s="63"/>
      <c r="D1927" s="64"/>
      <c r="E1927" s="65"/>
      <c r="F1927" s="66"/>
      <c r="G1927" s="63"/>
      <c r="H1927" s="67"/>
      <c r="I1927" s="68"/>
      <c r="J1927" s="68"/>
      <c r="K1927" s="32"/>
      <c r="L1927" s="75">
        <v>1927</v>
      </c>
      <c r="M1927" s="75"/>
      <c r="N1927" s="70"/>
      <c r="O1927" s="77" t="s">
        <v>179</v>
      </c>
      <c r="P1927" s="79">
        <v>45190.354212962964</v>
      </c>
      <c r="Q1927" s="77" t="s">
        <v>2713</v>
      </c>
      <c r="R1927" s="77">
        <v>0</v>
      </c>
      <c r="S1927" s="77">
        <v>0</v>
      </c>
      <c r="T1927" s="77">
        <v>0</v>
      </c>
      <c r="U1927" s="77">
        <v>0</v>
      </c>
      <c r="V1927" s="77">
        <v>7</v>
      </c>
      <c r="W1927" s="82" t="s">
        <v>6064</v>
      </c>
      <c r="X1927" s="80" t="str">
        <f>HYPERLINK("https://bddy.me/3ZpjykG")</f>
        <v>https://bddy.me/3ZpjykG</v>
      </c>
      <c r="Y1927" s="77" t="s">
        <v>7127</v>
      </c>
      <c r="Z1927" s="77"/>
      <c r="AA1927" s="77"/>
      <c r="AB1927" s="77"/>
      <c r="AC1927" s="82" t="s">
        <v>8269</v>
      </c>
      <c r="AD1927" s="77" t="s">
        <v>8278</v>
      </c>
      <c r="AE1927" s="80" t="str">
        <f>HYPERLINK("https://twitter.com/fundspeoplept/status/1704774988031479812")</f>
        <v>https://twitter.com/fundspeoplept/status/1704774988031479812</v>
      </c>
      <c r="AF1927" s="79">
        <v>45190.354212962964</v>
      </c>
      <c r="AG1927" s="85">
        <v>45190</v>
      </c>
      <c r="AH1927" s="82" t="s">
        <v>10026</v>
      </c>
      <c r="AI1927" s="77" t="b">
        <v>0</v>
      </c>
      <c r="AJ1927" s="77"/>
      <c r="AK1927" s="77"/>
      <c r="AL1927" s="77"/>
      <c r="AM1927" s="77"/>
      <c r="AN1927" s="77"/>
      <c r="AO1927" s="77"/>
      <c r="AP1927" s="77"/>
      <c r="AQ1927" s="77"/>
      <c r="AR1927" s="77"/>
      <c r="AS1927" s="77"/>
      <c r="AT1927" s="77"/>
      <c r="AU1927" s="77"/>
      <c r="AV1927" s="80" t="str">
        <f>HYPERLINK("https://pbs.twimg.com/profile_images/1247844907865313281/i6-Wedir_normal.jpg")</f>
        <v>https://pbs.twimg.com/profile_images/1247844907865313281/i6-Wedir_normal.jpg</v>
      </c>
      <c r="AW1927" s="82" t="s">
        <v>15018</v>
      </c>
      <c r="AX1927" s="82" t="s">
        <v>15018</v>
      </c>
      <c r="AY1927" s="77"/>
      <c r="AZ1927" s="82" t="s">
        <v>17385</v>
      </c>
      <c r="BA1927" s="82" t="s">
        <v>17385</v>
      </c>
      <c r="BB1927" s="82" t="s">
        <v>17385</v>
      </c>
      <c r="BC1927" s="82" t="s">
        <v>15018</v>
      </c>
      <c r="BD1927" s="77">
        <v>1069121174</v>
      </c>
      <c r="BE1927" s="77"/>
      <c r="BF1927" s="77"/>
      <c r="BG1927" s="77"/>
      <c r="BH1927" s="77"/>
      <c r="BI1927" s="77"/>
    </row>
    <row r="1928" spans="1:61" x14ac:dyDescent="0.25">
      <c r="A1928" s="62" t="s">
        <v>537</v>
      </c>
      <c r="B1928" s="62" t="s">
        <v>537</v>
      </c>
      <c r="C1928" s="63"/>
      <c r="D1928" s="64"/>
      <c r="E1928" s="65"/>
      <c r="F1928" s="66"/>
      <c r="G1928" s="63"/>
      <c r="H1928" s="67"/>
      <c r="I1928" s="68"/>
      <c r="J1928" s="68"/>
      <c r="K1928" s="32"/>
      <c r="L1928" s="75">
        <v>1928</v>
      </c>
      <c r="M1928" s="75"/>
      <c r="N1928" s="70"/>
      <c r="O1928" s="77" t="s">
        <v>179</v>
      </c>
      <c r="P1928" s="79">
        <v>45098.354201388887</v>
      </c>
      <c r="Q1928" s="77" t="s">
        <v>2714</v>
      </c>
      <c r="R1928" s="77">
        <v>0</v>
      </c>
      <c r="S1928" s="77">
        <v>1</v>
      </c>
      <c r="T1928" s="77">
        <v>0</v>
      </c>
      <c r="U1928" s="77">
        <v>0</v>
      </c>
      <c r="V1928" s="77">
        <v>10</v>
      </c>
      <c r="W1928" s="82" t="s">
        <v>6068</v>
      </c>
      <c r="X1928" s="80" t="str">
        <f>HYPERLINK("https://bddy.me/44eEg8d")</f>
        <v>https://bddy.me/44eEg8d</v>
      </c>
      <c r="Y1928" s="77" t="s">
        <v>7127</v>
      </c>
      <c r="Z1928" s="77"/>
      <c r="AA1928" s="77"/>
      <c r="AB1928" s="77"/>
      <c r="AC1928" s="82" t="s">
        <v>8269</v>
      </c>
      <c r="AD1928" s="77" t="s">
        <v>8278</v>
      </c>
      <c r="AE1928" s="80" t="str">
        <f>HYPERLINK("https://twitter.com/fundspeoplept/status/1671435299417628672")</f>
        <v>https://twitter.com/fundspeoplept/status/1671435299417628672</v>
      </c>
      <c r="AF1928" s="79">
        <v>45098.354201388887</v>
      </c>
      <c r="AG1928" s="85">
        <v>45098</v>
      </c>
      <c r="AH1928" s="82" t="s">
        <v>10029</v>
      </c>
      <c r="AI1928" s="77" t="b">
        <v>0</v>
      </c>
      <c r="AJ1928" s="77"/>
      <c r="AK1928" s="77"/>
      <c r="AL1928" s="77"/>
      <c r="AM1928" s="77"/>
      <c r="AN1928" s="77"/>
      <c r="AO1928" s="77"/>
      <c r="AP1928" s="77"/>
      <c r="AQ1928" s="77"/>
      <c r="AR1928" s="77"/>
      <c r="AS1928" s="77"/>
      <c r="AT1928" s="77"/>
      <c r="AU1928" s="77"/>
      <c r="AV1928" s="80" t="str">
        <f>HYPERLINK("https://pbs.twimg.com/profile_images/1247844907865313281/i6-Wedir_normal.jpg")</f>
        <v>https://pbs.twimg.com/profile_images/1247844907865313281/i6-Wedir_normal.jpg</v>
      </c>
      <c r="AW1928" s="82" t="s">
        <v>15019</v>
      </c>
      <c r="AX1928" s="82" t="s">
        <v>15019</v>
      </c>
      <c r="AY1928" s="77"/>
      <c r="AZ1928" s="82" t="s">
        <v>17385</v>
      </c>
      <c r="BA1928" s="82" t="s">
        <v>17385</v>
      </c>
      <c r="BB1928" s="82" t="s">
        <v>17385</v>
      </c>
      <c r="BC1928" s="82" t="s">
        <v>15019</v>
      </c>
      <c r="BD1928" s="77">
        <v>1069121174</v>
      </c>
      <c r="BE1928" s="77"/>
      <c r="BF1928" s="77"/>
      <c r="BG1928" s="77"/>
      <c r="BH1928" s="77"/>
      <c r="BI1928" s="77"/>
    </row>
    <row r="1929" spans="1:61" x14ac:dyDescent="0.25">
      <c r="A1929" s="62" t="s">
        <v>537</v>
      </c>
      <c r="B1929" s="62" t="s">
        <v>537</v>
      </c>
      <c r="C1929" s="63"/>
      <c r="D1929" s="64"/>
      <c r="E1929" s="65"/>
      <c r="F1929" s="66"/>
      <c r="G1929" s="63"/>
      <c r="H1929" s="67"/>
      <c r="I1929" s="68"/>
      <c r="J1929" s="68"/>
      <c r="K1929" s="32"/>
      <c r="L1929" s="75">
        <v>1929</v>
      </c>
      <c r="M1929" s="75"/>
      <c r="N1929" s="70"/>
      <c r="O1929" s="77" t="s">
        <v>179</v>
      </c>
      <c r="P1929" s="79">
        <v>45061.5625462963</v>
      </c>
      <c r="Q1929" s="77" t="s">
        <v>2715</v>
      </c>
      <c r="R1929" s="77">
        <v>0</v>
      </c>
      <c r="S1929" s="77">
        <v>0</v>
      </c>
      <c r="T1929" s="77">
        <v>0</v>
      </c>
      <c r="U1929" s="77">
        <v>0</v>
      </c>
      <c r="V1929" s="77">
        <v>2</v>
      </c>
      <c r="W1929" s="82" t="s">
        <v>6069</v>
      </c>
      <c r="X1929" s="80" t="str">
        <f>HYPERLINK("https://bddy.me/3M9iDP4")</f>
        <v>https://bddy.me/3M9iDP4</v>
      </c>
      <c r="Y1929" s="77" t="s">
        <v>7127</v>
      </c>
      <c r="Z1929" s="77"/>
      <c r="AA1929" s="77"/>
      <c r="AB1929" s="77"/>
      <c r="AC1929" s="82" t="s">
        <v>8269</v>
      </c>
      <c r="AD1929" s="77" t="s">
        <v>8278</v>
      </c>
      <c r="AE1929" s="80" t="str">
        <f>HYPERLINK("https://twitter.com/fundspeoplept/status/1658102449473814529")</f>
        <v>https://twitter.com/fundspeoplept/status/1658102449473814529</v>
      </c>
      <c r="AF1929" s="79">
        <v>45061.5625462963</v>
      </c>
      <c r="AG1929" s="85">
        <v>45061</v>
      </c>
      <c r="AH1929" s="82" t="s">
        <v>9584</v>
      </c>
      <c r="AI1929" s="77" t="b">
        <v>0</v>
      </c>
      <c r="AJ1929" s="77"/>
      <c r="AK1929" s="77"/>
      <c r="AL1929" s="77"/>
      <c r="AM1929" s="77"/>
      <c r="AN1929" s="77"/>
      <c r="AO1929" s="77"/>
      <c r="AP1929" s="77"/>
      <c r="AQ1929" s="77"/>
      <c r="AR1929" s="77"/>
      <c r="AS1929" s="77"/>
      <c r="AT1929" s="77"/>
      <c r="AU1929" s="77"/>
      <c r="AV1929" s="80" t="str">
        <f>HYPERLINK("https://pbs.twimg.com/profile_images/1247844907865313281/i6-Wedir_normal.jpg")</f>
        <v>https://pbs.twimg.com/profile_images/1247844907865313281/i6-Wedir_normal.jpg</v>
      </c>
      <c r="AW1929" s="82" t="s">
        <v>15020</v>
      </c>
      <c r="AX1929" s="82" t="s">
        <v>15020</v>
      </c>
      <c r="AY1929" s="77"/>
      <c r="AZ1929" s="82" t="s">
        <v>17385</v>
      </c>
      <c r="BA1929" s="82" t="s">
        <v>17385</v>
      </c>
      <c r="BB1929" s="82" t="s">
        <v>17385</v>
      </c>
      <c r="BC1929" s="82" t="s">
        <v>15020</v>
      </c>
      <c r="BD1929" s="77">
        <v>1069121174</v>
      </c>
      <c r="BE1929" s="77"/>
      <c r="BF1929" s="77"/>
      <c r="BG1929" s="77"/>
      <c r="BH1929" s="77"/>
      <c r="BI1929" s="77"/>
    </row>
    <row r="1930" spans="1:61" x14ac:dyDescent="0.25">
      <c r="A1930" s="62" t="s">
        <v>537</v>
      </c>
      <c r="B1930" s="62" t="s">
        <v>537</v>
      </c>
      <c r="C1930" s="63"/>
      <c r="D1930" s="64"/>
      <c r="E1930" s="65"/>
      <c r="F1930" s="66"/>
      <c r="G1930" s="63"/>
      <c r="H1930" s="67"/>
      <c r="I1930" s="68"/>
      <c r="J1930" s="68"/>
      <c r="K1930" s="32"/>
      <c r="L1930" s="75">
        <v>1930</v>
      </c>
      <c r="M1930" s="75"/>
      <c r="N1930" s="70"/>
      <c r="O1930" s="77" t="s">
        <v>179</v>
      </c>
      <c r="P1930" s="79">
        <v>45058.5625462963</v>
      </c>
      <c r="Q1930" s="77" t="s">
        <v>2716</v>
      </c>
      <c r="R1930" s="77">
        <v>0</v>
      </c>
      <c r="S1930" s="77">
        <v>0</v>
      </c>
      <c r="T1930" s="77">
        <v>0</v>
      </c>
      <c r="U1930" s="77">
        <v>0</v>
      </c>
      <c r="V1930" s="77">
        <v>4</v>
      </c>
      <c r="W1930" s="82" t="s">
        <v>6064</v>
      </c>
      <c r="X1930" s="80" t="str">
        <f>HYPERLINK("https://bddy.me/44XURhx")</f>
        <v>https://bddy.me/44XURhx</v>
      </c>
      <c r="Y1930" s="77" t="s">
        <v>7127</v>
      </c>
      <c r="Z1930" s="77"/>
      <c r="AA1930" s="77"/>
      <c r="AB1930" s="77"/>
      <c r="AC1930" s="82" t="s">
        <v>8269</v>
      </c>
      <c r="AD1930" s="77" t="s">
        <v>8278</v>
      </c>
      <c r="AE1930" s="80" t="str">
        <f>HYPERLINK("https://twitter.com/fundspeoplept/status/1657015286149664773")</f>
        <v>https://twitter.com/fundspeoplept/status/1657015286149664773</v>
      </c>
      <c r="AF1930" s="79">
        <v>45058.5625462963</v>
      </c>
      <c r="AG1930" s="85">
        <v>45058</v>
      </c>
      <c r="AH1930" s="82" t="s">
        <v>9584</v>
      </c>
      <c r="AI1930" s="77" t="b">
        <v>0</v>
      </c>
      <c r="AJ1930" s="77"/>
      <c r="AK1930" s="77"/>
      <c r="AL1930" s="77"/>
      <c r="AM1930" s="77"/>
      <c r="AN1930" s="77"/>
      <c r="AO1930" s="77"/>
      <c r="AP1930" s="77"/>
      <c r="AQ1930" s="77"/>
      <c r="AR1930" s="77"/>
      <c r="AS1930" s="77"/>
      <c r="AT1930" s="77"/>
      <c r="AU1930" s="77"/>
      <c r="AV1930" s="80" t="str">
        <f>HYPERLINK("https://pbs.twimg.com/profile_images/1247844907865313281/i6-Wedir_normal.jpg")</f>
        <v>https://pbs.twimg.com/profile_images/1247844907865313281/i6-Wedir_normal.jpg</v>
      </c>
      <c r="AW1930" s="82" t="s">
        <v>15021</v>
      </c>
      <c r="AX1930" s="82" t="s">
        <v>15021</v>
      </c>
      <c r="AY1930" s="77"/>
      <c r="AZ1930" s="82" t="s">
        <v>17385</v>
      </c>
      <c r="BA1930" s="82" t="s">
        <v>17385</v>
      </c>
      <c r="BB1930" s="82" t="s">
        <v>17385</v>
      </c>
      <c r="BC1930" s="82" t="s">
        <v>15021</v>
      </c>
      <c r="BD1930" s="77">
        <v>1069121174</v>
      </c>
      <c r="BE1930" s="77"/>
      <c r="BF1930" s="77"/>
      <c r="BG1930" s="77"/>
      <c r="BH1930" s="77"/>
      <c r="BI1930" s="77"/>
    </row>
    <row r="1931" spans="1:61" x14ac:dyDescent="0.25">
      <c r="A1931" s="62" t="s">
        <v>537</v>
      </c>
      <c r="B1931" s="62" t="s">
        <v>537</v>
      </c>
      <c r="C1931" s="63"/>
      <c r="D1931" s="64"/>
      <c r="E1931" s="65"/>
      <c r="F1931" s="66"/>
      <c r="G1931" s="63"/>
      <c r="H1931" s="67"/>
      <c r="I1931" s="68"/>
      <c r="J1931" s="68"/>
      <c r="K1931" s="32"/>
      <c r="L1931" s="75">
        <v>1931</v>
      </c>
      <c r="M1931" s="75"/>
      <c r="N1931" s="70"/>
      <c r="O1931" s="77" t="s">
        <v>179</v>
      </c>
      <c r="P1931" s="79">
        <v>45195.565312500003</v>
      </c>
      <c r="Q1931" s="77" t="s">
        <v>2717</v>
      </c>
      <c r="R1931" s="77">
        <v>0</v>
      </c>
      <c r="S1931" s="77">
        <v>0</v>
      </c>
      <c r="T1931" s="77">
        <v>0</v>
      </c>
      <c r="U1931" s="77">
        <v>0</v>
      </c>
      <c r="V1931" s="77">
        <v>7</v>
      </c>
      <c r="W1931" s="82" t="s">
        <v>6070</v>
      </c>
      <c r="X1931" s="80" t="str">
        <f>HYPERLINK("https://bddy.me/3rrDw1K")</f>
        <v>https://bddy.me/3rrDw1K</v>
      </c>
      <c r="Y1931" s="77" t="s">
        <v>7127</v>
      </c>
      <c r="Z1931" s="77"/>
      <c r="AA1931" s="77"/>
      <c r="AB1931" s="77"/>
      <c r="AC1931" s="82" t="s">
        <v>8269</v>
      </c>
      <c r="AD1931" s="77" t="s">
        <v>8278</v>
      </c>
      <c r="AE1931" s="80" t="str">
        <f>HYPERLINK("https://twitter.com/fundspeoplept/status/1706663423478583428")</f>
        <v>https://twitter.com/fundspeoplept/status/1706663423478583428</v>
      </c>
      <c r="AF1931" s="79">
        <v>45195.565312500003</v>
      </c>
      <c r="AG1931" s="85">
        <v>45195</v>
      </c>
      <c r="AH1931" s="82" t="s">
        <v>10030</v>
      </c>
      <c r="AI1931" s="77" t="b">
        <v>0</v>
      </c>
      <c r="AJ1931" s="77"/>
      <c r="AK1931" s="77"/>
      <c r="AL1931" s="77"/>
      <c r="AM1931" s="77"/>
      <c r="AN1931" s="77"/>
      <c r="AO1931" s="77"/>
      <c r="AP1931" s="77"/>
      <c r="AQ1931" s="77"/>
      <c r="AR1931" s="77"/>
      <c r="AS1931" s="77"/>
      <c r="AT1931" s="77"/>
      <c r="AU1931" s="77"/>
      <c r="AV1931" s="80" t="str">
        <f>HYPERLINK("https://pbs.twimg.com/profile_images/1247844907865313281/i6-Wedir_normal.jpg")</f>
        <v>https://pbs.twimg.com/profile_images/1247844907865313281/i6-Wedir_normal.jpg</v>
      </c>
      <c r="AW1931" s="82" t="s">
        <v>15022</v>
      </c>
      <c r="AX1931" s="82" t="s">
        <v>15022</v>
      </c>
      <c r="AY1931" s="77"/>
      <c r="AZ1931" s="82" t="s">
        <v>17385</v>
      </c>
      <c r="BA1931" s="82" t="s">
        <v>17385</v>
      </c>
      <c r="BB1931" s="82" t="s">
        <v>17385</v>
      </c>
      <c r="BC1931" s="82" t="s">
        <v>15022</v>
      </c>
      <c r="BD1931" s="77">
        <v>1069121174</v>
      </c>
      <c r="BE1931" s="77"/>
      <c r="BF1931" s="77"/>
      <c r="BG1931" s="77"/>
      <c r="BH1931" s="77"/>
      <c r="BI1931" s="77"/>
    </row>
    <row r="1932" spans="1:61" x14ac:dyDescent="0.25">
      <c r="A1932" s="62" t="s">
        <v>537</v>
      </c>
      <c r="B1932" s="62" t="s">
        <v>537</v>
      </c>
      <c r="C1932" s="63"/>
      <c r="D1932" s="64"/>
      <c r="E1932" s="65"/>
      <c r="F1932" s="66"/>
      <c r="G1932" s="63"/>
      <c r="H1932" s="67"/>
      <c r="I1932" s="68"/>
      <c r="J1932" s="68"/>
      <c r="K1932" s="32"/>
      <c r="L1932" s="75">
        <v>1932</v>
      </c>
      <c r="M1932" s="75"/>
      <c r="N1932" s="70"/>
      <c r="O1932" s="77" t="s">
        <v>179</v>
      </c>
      <c r="P1932" s="79">
        <v>45064.562569444446</v>
      </c>
      <c r="Q1932" s="77" t="s">
        <v>2718</v>
      </c>
      <c r="R1932" s="77">
        <v>0</v>
      </c>
      <c r="S1932" s="77">
        <v>0</v>
      </c>
      <c r="T1932" s="77">
        <v>0</v>
      </c>
      <c r="U1932" s="77">
        <v>0</v>
      </c>
      <c r="V1932" s="77">
        <v>12</v>
      </c>
      <c r="W1932" s="82" t="s">
        <v>6071</v>
      </c>
      <c r="X1932" s="80" t="str">
        <f>HYPERLINK("https://bddy.me/3ME9nEf")</f>
        <v>https://bddy.me/3ME9nEf</v>
      </c>
      <c r="Y1932" s="77" t="s">
        <v>7127</v>
      </c>
      <c r="Z1932" s="77"/>
      <c r="AA1932" s="77"/>
      <c r="AB1932" s="77"/>
      <c r="AC1932" s="82" t="s">
        <v>8269</v>
      </c>
      <c r="AD1932" s="77" t="s">
        <v>8278</v>
      </c>
      <c r="AE1932" s="80" t="str">
        <f>HYPERLINK("https://twitter.com/fundspeoplept/status/1659189621022965761")</f>
        <v>https://twitter.com/fundspeoplept/status/1659189621022965761</v>
      </c>
      <c r="AF1932" s="79">
        <v>45064.562569444446</v>
      </c>
      <c r="AG1932" s="85">
        <v>45064</v>
      </c>
      <c r="AH1932" s="82" t="s">
        <v>10023</v>
      </c>
      <c r="AI1932" s="77" t="b">
        <v>0</v>
      </c>
      <c r="AJ1932" s="77"/>
      <c r="AK1932" s="77"/>
      <c r="AL1932" s="77"/>
      <c r="AM1932" s="77"/>
      <c r="AN1932" s="77"/>
      <c r="AO1932" s="77"/>
      <c r="AP1932" s="77"/>
      <c r="AQ1932" s="77"/>
      <c r="AR1932" s="77"/>
      <c r="AS1932" s="77"/>
      <c r="AT1932" s="77"/>
      <c r="AU1932" s="77"/>
      <c r="AV1932" s="80" t="str">
        <f>HYPERLINK("https://pbs.twimg.com/profile_images/1247844907865313281/i6-Wedir_normal.jpg")</f>
        <v>https://pbs.twimg.com/profile_images/1247844907865313281/i6-Wedir_normal.jpg</v>
      </c>
      <c r="AW1932" s="82" t="s">
        <v>15023</v>
      </c>
      <c r="AX1932" s="82" t="s">
        <v>15023</v>
      </c>
      <c r="AY1932" s="77"/>
      <c r="AZ1932" s="82" t="s">
        <v>17385</v>
      </c>
      <c r="BA1932" s="82" t="s">
        <v>17385</v>
      </c>
      <c r="BB1932" s="82" t="s">
        <v>17385</v>
      </c>
      <c r="BC1932" s="82" t="s">
        <v>15023</v>
      </c>
      <c r="BD1932" s="77">
        <v>1069121174</v>
      </c>
      <c r="BE1932" s="77"/>
      <c r="BF1932" s="77"/>
      <c r="BG1932" s="77"/>
      <c r="BH1932" s="77"/>
      <c r="BI1932" s="77"/>
    </row>
    <row r="1933" spans="1:61" x14ac:dyDescent="0.25">
      <c r="A1933" s="62" t="s">
        <v>537</v>
      </c>
      <c r="B1933" s="62" t="s">
        <v>537</v>
      </c>
      <c r="C1933" s="63"/>
      <c r="D1933" s="64"/>
      <c r="E1933" s="65"/>
      <c r="F1933" s="66"/>
      <c r="G1933" s="63"/>
      <c r="H1933" s="67"/>
      <c r="I1933" s="68"/>
      <c r="J1933" s="68"/>
      <c r="K1933" s="32"/>
      <c r="L1933" s="75">
        <v>1933</v>
      </c>
      <c r="M1933" s="75"/>
      <c r="N1933" s="70"/>
      <c r="O1933" s="77" t="s">
        <v>179</v>
      </c>
      <c r="P1933" s="79">
        <v>45196.4375462963</v>
      </c>
      <c r="Q1933" s="77" t="s">
        <v>2719</v>
      </c>
      <c r="R1933" s="77">
        <v>0</v>
      </c>
      <c r="S1933" s="77">
        <v>1</v>
      </c>
      <c r="T1933" s="77">
        <v>0</v>
      </c>
      <c r="U1933" s="77">
        <v>0</v>
      </c>
      <c r="V1933" s="77">
        <v>6</v>
      </c>
      <c r="W1933" s="82" t="s">
        <v>6064</v>
      </c>
      <c r="X1933" s="80" t="str">
        <f>HYPERLINK("https://bddy.me/4680kmj")</f>
        <v>https://bddy.me/4680kmj</v>
      </c>
      <c r="Y1933" s="77" t="s">
        <v>7127</v>
      </c>
      <c r="Z1933" s="77"/>
      <c r="AA1933" s="77"/>
      <c r="AB1933" s="77"/>
      <c r="AC1933" s="82" t="s">
        <v>8269</v>
      </c>
      <c r="AD1933" s="77" t="s">
        <v>8278</v>
      </c>
      <c r="AE1933" s="80" t="str">
        <f>HYPERLINK("https://twitter.com/fundspeoplept/status/1706979510292251105")</f>
        <v>https://twitter.com/fundspeoplept/status/1706979510292251105</v>
      </c>
      <c r="AF1933" s="79">
        <v>45196.4375462963</v>
      </c>
      <c r="AG1933" s="85">
        <v>45196</v>
      </c>
      <c r="AH1933" s="82" t="s">
        <v>10031</v>
      </c>
      <c r="AI1933" s="77" t="b">
        <v>0</v>
      </c>
      <c r="AJ1933" s="77"/>
      <c r="AK1933" s="77"/>
      <c r="AL1933" s="77"/>
      <c r="AM1933" s="77"/>
      <c r="AN1933" s="77"/>
      <c r="AO1933" s="77"/>
      <c r="AP1933" s="77"/>
      <c r="AQ1933" s="77"/>
      <c r="AR1933" s="77"/>
      <c r="AS1933" s="77"/>
      <c r="AT1933" s="77"/>
      <c r="AU1933" s="77"/>
      <c r="AV1933" s="80" t="str">
        <f>HYPERLINK("https://pbs.twimg.com/profile_images/1247844907865313281/i6-Wedir_normal.jpg")</f>
        <v>https://pbs.twimg.com/profile_images/1247844907865313281/i6-Wedir_normal.jpg</v>
      </c>
      <c r="AW1933" s="82" t="s">
        <v>15024</v>
      </c>
      <c r="AX1933" s="82" t="s">
        <v>15024</v>
      </c>
      <c r="AY1933" s="77"/>
      <c r="AZ1933" s="82" t="s">
        <v>17385</v>
      </c>
      <c r="BA1933" s="82" t="s">
        <v>17385</v>
      </c>
      <c r="BB1933" s="82" t="s">
        <v>17385</v>
      </c>
      <c r="BC1933" s="82" t="s">
        <v>15024</v>
      </c>
      <c r="BD1933" s="77">
        <v>1069121174</v>
      </c>
      <c r="BE1933" s="77"/>
      <c r="BF1933" s="77"/>
      <c r="BG1933" s="77"/>
      <c r="BH1933" s="77"/>
      <c r="BI1933" s="77"/>
    </row>
    <row r="1934" spans="1:61" x14ac:dyDescent="0.25">
      <c r="A1934" s="62" t="s">
        <v>537</v>
      </c>
      <c r="B1934" s="62" t="s">
        <v>537</v>
      </c>
      <c r="C1934" s="63"/>
      <c r="D1934" s="64"/>
      <c r="E1934" s="65"/>
      <c r="F1934" s="66"/>
      <c r="G1934" s="63"/>
      <c r="H1934" s="67"/>
      <c r="I1934" s="68"/>
      <c r="J1934" s="68"/>
      <c r="K1934" s="32"/>
      <c r="L1934" s="75">
        <v>1934</v>
      </c>
      <c r="M1934" s="75"/>
      <c r="N1934" s="70"/>
      <c r="O1934" s="77" t="s">
        <v>179</v>
      </c>
      <c r="P1934" s="79">
        <v>45187.437534722223</v>
      </c>
      <c r="Q1934" s="77" t="s">
        <v>2720</v>
      </c>
      <c r="R1934" s="77">
        <v>0</v>
      </c>
      <c r="S1934" s="77">
        <v>0</v>
      </c>
      <c r="T1934" s="77">
        <v>0</v>
      </c>
      <c r="U1934" s="77">
        <v>0</v>
      </c>
      <c r="V1934" s="77">
        <v>9</v>
      </c>
      <c r="W1934" s="82" t="s">
        <v>6072</v>
      </c>
      <c r="X1934" s="80" t="str">
        <f>HYPERLINK("https://bddy.me/3RqNbQS")</f>
        <v>https://bddy.me/3RqNbQS</v>
      </c>
      <c r="Y1934" s="77" t="s">
        <v>7127</v>
      </c>
      <c r="Z1934" s="77"/>
      <c r="AA1934" s="77"/>
      <c r="AB1934" s="77"/>
      <c r="AC1934" s="82" t="s">
        <v>8269</v>
      </c>
      <c r="AD1934" s="77" t="s">
        <v>8278</v>
      </c>
      <c r="AE1934" s="80" t="str">
        <f>HYPERLINK("https://twitter.com/fundspeoplept/status/1703718015437529471")</f>
        <v>https://twitter.com/fundspeoplept/status/1703718015437529471</v>
      </c>
      <c r="AF1934" s="79">
        <v>45187.437534722223</v>
      </c>
      <c r="AG1934" s="85">
        <v>45187</v>
      </c>
      <c r="AH1934" s="82" t="s">
        <v>10024</v>
      </c>
      <c r="AI1934" s="77" t="b">
        <v>0</v>
      </c>
      <c r="AJ1934" s="77"/>
      <c r="AK1934" s="77"/>
      <c r="AL1934" s="77"/>
      <c r="AM1934" s="77"/>
      <c r="AN1934" s="77"/>
      <c r="AO1934" s="77"/>
      <c r="AP1934" s="77"/>
      <c r="AQ1934" s="77"/>
      <c r="AR1934" s="77"/>
      <c r="AS1934" s="77"/>
      <c r="AT1934" s="77"/>
      <c r="AU1934" s="77"/>
      <c r="AV1934" s="80" t="str">
        <f>HYPERLINK("https://pbs.twimg.com/profile_images/1247844907865313281/i6-Wedir_normal.jpg")</f>
        <v>https://pbs.twimg.com/profile_images/1247844907865313281/i6-Wedir_normal.jpg</v>
      </c>
      <c r="AW1934" s="82" t="s">
        <v>15025</v>
      </c>
      <c r="AX1934" s="82" t="s">
        <v>15025</v>
      </c>
      <c r="AY1934" s="77"/>
      <c r="AZ1934" s="82" t="s">
        <v>17385</v>
      </c>
      <c r="BA1934" s="82" t="s">
        <v>17385</v>
      </c>
      <c r="BB1934" s="82" t="s">
        <v>17385</v>
      </c>
      <c r="BC1934" s="82" t="s">
        <v>15025</v>
      </c>
      <c r="BD1934" s="77">
        <v>1069121174</v>
      </c>
      <c r="BE1934" s="77"/>
      <c r="BF1934" s="77"/>
      <c r="BG1934" s="77"/>
      <c r="BH1934" s="77"/>
      <c r="BI1934" s="77"/>
    </row>
    <row r="1935" spans="1:61" x14ac:dyDescent="0.25">
      <c r="A1935" s="62" t="s">
        <v>537</v>
      </c>
      <c r="B1935" s="62" t="s">
        <v>537</v>
      </c>
      <c r="C1935" s="63"/>
      <c r="D1935" s="64"/>
      <c r="E1935" s="65"/>
      <c r="F1935" s="66"/>
      <c r="G1935" s="63"/>
      <c r="H1935" s="67"/>
      <c r="I1935" s="68"/>
      <c r="J1935" s="68"/>
      <c r="K1935" s="32"/>
      <c r="L1935" s="75">
        <v>1935</v>
      </c>
      <c r="M1935" s="75"/>
      <c r="N1935" s="70"/>
      <c r="O1935" s="77" t="s">
        <v>179</v>
      </c>
      <c r="P1935" s="79">
        <v>45106.5625462963</v>
      </c>
      <c r="Q1935" s="77" t="s">
        <v>2721</v>
      </c>
      <c r="R1935" s="77">
        <v>0</v>
      </c>
      <c r="S1935" s="77">
        <v>0</v>
      </c>
      <c r="T1935" s="77">
        <v>0</v>
      </c>
      <c r="U1935" s="77">
        <v>0</v>
      </c>
      <c r="V1935" s="77">
        <v>20</v>
      </c>
      <c r="W1935" s="82" t="s">
        <v>6073</v>
      </c>
      <c r="X1935" s="80" t="str">
        <f>HYPERLINK("https://bddy.me/3r8WtG5")</f>
        <v>https://bddy.me/3r8WtG5</v>
      </c>
      <c r="Y1935" s="77" t="s">
        <v>7127</v>
      </c>
      <c r="Z1935" s="77"/>
      <c r="AA1935" s="77"/>
      <c r="AB1935" s="77"/>
      <c r="AC1935" s="82" t="s">
        <v>8269</v>
      </c>
      <c r="AD1935" s="77" t="s">
        <v>8278</v>
      </c>
      <c r="AE1935" s="80" t="str">
        <f>HYPERLINK("https://twitter.com/fundspeoplept/status/1674409903807397888")</f>
        <v>https://twitter.com/fundspeoplept/status/1674409903807397888</v>
      </c>
      <c r="AF1935" s="79">
        <v>45106.5625462963</v>
      </c>
      <c r="AG1935" s="85">
        <v>45106</v>
      </c>
      <c r="AH1935" s="82" t="s">
        <v>9584</v>
      </c>
      <c r="AI1935" s="77" t="b">
        <v>0</v>
      </c>
      <c r="AJ1935" s="77"/>
      <c r="AK1935" s="77"/>
      <c r="AL1935" s="77"/>
      <c r="AM1935" s="77"/>
      <c r="AN1935" s="77"/>
      <c r="AO1935" s="77"/>
      <c r="AP1935" s="77"/>
      <c r="AQ1935" s="77"/>
      <c r="AR1935" s="77"/>
      <c r="AS1935" s="77"/>
      <c r="AT1935" s="77"/>
      <c r="AU1935" s="77"/>
      <c r="AV1935" s="80" t="str">
        <f>HYPERLINK("https://pbs.twimg.com/profile_images/1247844907865313281/i6-Wedir_normal.jpg")</f>
        <v>https://pbs.twimg.com/profile_images/1247844907865313281/i6-Wedir_normal.jpg</v>
      </c>
      <c r="AW1935" s="82" t="s">
        <v>15026</v>
      </c>
      <c r="AX1935" s="82" t="s">
        <v>15026</v>
      </c>
      <c r="AY1935" s="77"/>
      <c r="AZ1935" s="82" t="s">
        <v>17385</v>
      </c>
      <c r="BA1935" s="82" t="s">
        <v>17385</v>
      </c>
      <c r="BB1935" s="82" t="s">
        <v>17385</v>
      </c>
      <c r="BC1935" s="82" t="s">
        <v>15026</v>
      </c>
      <c r="BD1935" s="77">
        <v>1069121174</v>
      </c>
      <c r="BE1935" s="77"/>
      <c r="BF1935" s="77"/>
      <c r="BG1935" s="77"/>
      <c r="BH1935" s="77"/>
      <c r="BI1935" s="77"/>
    </row>
    <row r="1936" spans="1:61" x14ac:dyDescent="0.25">
      <c r="A1936" s="62" t="s">
        <v>537</v>
      </c>
      <c r="B1936" s="62" t="s">
        <v>537</v>
      </c>
      <c r="C1936" s="63"/>
      <c r="D1936" s="64"/>
      <c r="E1936" s="65"/>
      <c r="F1936" s="66"/>
      <c r="G1936" s="63"/>
      <c r="H1936" s="67"/>
      <c r="I1936" s="68"/>
      <c r="J1936" s="68"/>
      <c r="K1936" s="32"/>
      <c r="L1936" s="75">
        <v>1936</v>
      </c>
      <c r="M1936" s="75"/>
      <c r="N1936" s="70"/>
      <c r="O1936" s="77" t="s">
        <v>179</v>
      </c>
      <c r="P1936" s="79">
        <v>45105.562557870369</v>
      </c>
      <c r="Q1936" s="77" t="s">
        <v>2722</v>
      </c>
      <c r="R1936" s="77">
        <v>0</v>
      </c>
      <c r="S1936" s="77">
        <v>0</v>
      </c>
      <c r="T1936" s="77">
        <v>0</v>
      </c>
      <c r="U1936" s="77">
        <v>0</v>
      </c>
      <c r="V1936" s="77">
        <v>2</v>
      </c>
      <c r="W1936" s="82" t="s">
        <v>6064</v>
      </c>
      <c r="X1936" s="80" t="str">
        <f>HYPERLINK("https://bddy.me/46tfTFu")</f>
        <v>https://bddy.me/46tfTFu</v>
      </c>
      <c r="Y1936" s="77" t="s">
        <v>7127</v>
      </c>
      <c r="Z1936" s="77"/>
      <c r="AA1936" s="77"/>
      <c r="AB1936" s="77"/>
      <c r="AC1936" s="82" t="s">
        <v>8269</v>
      </c>
      <c r="AD1936" s="77" t="s">
        <v>8278</v>
      </c>
      <c r="AE1936" s="80" t="str">
        <f>HYPERLINK("https://twitter.com/fundspeoplept/status/1674047518617874432")</f>
        <v>https://twitter.com/fundspeoplept/status/1674047518617874432</v>
      </c>
      <c r="AF1936" s="79">
        <v>45105.562557870369</v>
      </c>
      <c r="AG1936" s="85">
        <v>45105</v>
      </c>
      <c r="AH1936" s="82" t="s">
        <v>10028</v>
      </c>
      <c r="AI1936" s="77" t="b">
        <v>0</v>
      </c>
      <c r="AJ1936" s="77"/>
      <c r="AK1936" s="77"/>
      <c r="AL1936" s="77"/>
      <c r="AM1936" s="77"/>
      <c r="AN1936" s="77"/>
      <c r="AO1936" s="77"/>
      <c r="AP1936" s="77"/>
      <c r="AQ1936" s="77"/>
      <c r="AR1936" s="77"/>
      <c r="AS1936" s="77"/>
      <c r="AT1936" s="77"/>
      <c r="AU1936" s="77"/>
      <c r="AV1936" s="80" t="str">
        <f>HYPERLINK("https://pbs.twimg.com/profile_images/1247844907865313281/i6-Wedir_normal.jpg")</f>
        <v>https://pbs.twimg.com/profile_images/1247844907865313281/i6-Wedir_normal.jpg</v>
      </c>
      <c r="AW1936" s="82" t="s">
        <v>15027</v>
      </c>
      <c r="AX1936" s="82" t="s">
        <v>15027</v>
      </c>
      <c r="AY1936" s="77"/>
      <c r="AZ1936" s="82" t="s">
        <v>17385</v>
      </c>
      <c r="BA1936" s="82" t="s">
        <v>17385</v>
      </c>
      <c r="BB1936" s="82" t="s">
        <v>17385</v>
      </c>
      <c r="BC1936" s="82" t="s">
        <v>15027</v>
      </c>
      <c r="BD1936" s="77">
        <v>1069121174</v>
      </c>
      <c r="BE1936" s="77"/>
      <c r="BF1936" s="77"/>
      <c r="BG1936" s="77"/>
      <c r="BH1936" s="77"/>
      <c r="BI1936" s="77"/>
    </row>
    <row r="1937" spans="1:61" x14ac:dyDescent="0.25">
      <c r="A1937" s="62" t="s">
        <v>537</v>
      </c>
      <c r="B1937" s="62" t="s">
        <v>537</v>
      </c>
      <c r="C1937" s="63"/>
      <c r="D1937" s="64"/>
      <c r="E1937" s="65"/>
      <c r="F1937" s="66"/>
      <c r="G1937" s="63"/>
      <c r="H1937" s="67"/>
      <c r="I1937" s="68"/>
      <c r="J1937" s="68"/>
      <c r="K1937" s="32"/>
      <c r="L1937" s="75">
        <v>1937</v>
      </c>
      <c r="M1937" s="75"/>
      <c r="N1937" s="70"/>
      <c r="O1937" s="77" t="s">
        <v>179</v>
      </c>
      <c r="P1937" s="79">
        <v>45104.606296296297</v>
      </c>
      <c r="Q1937" s="77" t="s">
        <v>2723</v>
      </c>
      <c r="R1937" s="77">
        <v>0</v>
      </c>
      <c r="S1937" s="77">
        <v>0</v>
      </c>
      <c r="T1937" s="77">
        <v>0</v>
      </c>
      <c r="U1937" s="77">
        <v>0</v>
      </c>
      <c r="V1937" s="77">
        <v>16</v>
      </c>
      <c r="W1937" s="82" t="s">
        <v>6074</v>
      </c>
      <c r="X1937" s="80" t="str">
        <f>HYPERLINK("https://bddy.me/3CQ1eXC")</f>
        <v>https://bddy.me/3CQ1eXC</v>
      </c>
      <c r="Y1937" s="77" t="s">
        <v>7127</v>
      </c>
      <c r="Z1937" s="77"/>
      <c r="AA1937" s="77"/>
      <c r="AB1937" s="77"/>
      <c r="AC1937" s="82" t="s">
        <v>8269</v>
      </c>
      <c r="AD1937" s="77" t="s">
        <v>8278</v>
      </c>
      <c r="AE1937" s="80" t="str">
        <f>HYPERLINK("https://twitter.com/fundspeoplept/status/1673700982146859012")</f>
        <v>https://twitter.com/fundspeoplept/status/1673700982146859012</v>
      </c>
      <c r="AF1937" s="79">
        <v>45104.606296296297</v>
      </c>
      <c r="AG1937" s="85">
        <v>45104</v>
      </c>
      <c r="AH1937" s="82" t="s">
        <v>9326</v>
      </c>
      <c r="AI1937" s="77" t="b">
        <v>0</v>
      </c>
      <c r="AJ1937" s="77"/>
      <c r="AK1937" s="77"/>
      <c r="AL1937" s="77"/>
      <c r="AM1937" s="77"/>
      <c r="AN1937" s="77"/>
      <c r="AO1937" s="77"/>
      <c r="AP1937" s="77"/>
      <c r="AQ1937" s="77"/>
      <c r="AR1937" s="77"/>
      <c r="AS1937" s="77"/>
      <c r="AT1937" s="77"/>
      <c r="AU1937" s="77"/>
      <c r="AV1937" s="80" t="str">
        <f>HYPERLINK("https://pbs.twimg.com/profile_images/1247844907865313281/i6-Wedir_normal.jpg")</f>
        <v>https://pbs.twimg.com/profile_images/1247844907865313281/i6-Wedir_normal.jpg</v>
      </c>
      <c r="AW1937" s="82" t="s">
        <v>15028</v>
      </c>
      <c r="AX1937" s="82" t="s">
        <v>15028</v>
      </c>
      <c r="AY1937" s="77"/>
      <c r="AZ1937" s="82" t="s">
        <v>17385</v>
      </c>
      <c r="BA1937" s="82" t="s">
        <v>17385</v>
      </c>
      <c r="BB1937" s="82" t="s">
        <v>17385</v>
      </c>
      <c r="BC1937" s="82" t="s">
        <v>15028</v>
      </c>
      <c r="BD1937" s="77">
        <v>1069121174</v>
      </c>
      <c r="BE1937" s="77"/>
      <c r="BF1937" s="77"/>
      <c r="BG1937" s="77"/>
      <c r="BH1937" s="77"/>
      <c r="BI1937" s="77"/>
    </row>
    <row r="1938" spans="1:61" x14ac:dyDescent="0.25">
      <c r="A1938" s="62" t="s">
        <v>537</v>
      </c>
      <c r="B1938" s="62" t="s">
        <v>537</v>
      </c>
      <c r="C1938" s="63"/>
      <c r="D1938" s="64"/>
      <c r="E1938" s="65"/>
      <c r="F1938" s="66"/>
      <c r="G1938" s="63"/>
      <c r="H1938" s="67"/>
      <c r="I1938" s="68"/>
      <c r="J1938" s="68"/>
      <c r="K1938" s="32"/>
      <c r="L1938" s="75">
        <v>1938</v>
      </c>
      <c r="M1938" s="75"/>
      <c r="N1938" s="70"/>
      <c r="O1938" s="77" t="s">
        <v>179</v>
      </c>
      <c r="P1938" s="79">
        <v>45083.354212962964</v>
      </c>
      <c r="Q1938" s="77" t="s">
        <v>2724</v>
      </c>
      <c r="R1938" s="77">
        <v>0</v>
      </c>
      <c r="S1938" s="77">
        <v>0</v>
      </c>
      <c r="T1938" s="77">
        <v>0</v>
      </c>
      <c r="U1938" s="77">
        <v>0</v>
      </c>
      <c r="V1938" s="77">
        <v>9</v>
      </c>
      <c r="W1938" s="82" t="s">
        <v>6064</v>
      </c>
      <c r="X1938" s="80" t="str">
        <f>HYPERLINK("https://bddy.me/3NggTWe")</f>
        <v>https://bddy.me/3NggTWe</v>
      </c>
      <c r="Y1938" s="77" t="s">
        <v>7127</v>
      </c>
      <c r="Z1938" s="77"/>
      <c r="AA1938" s="77"/>
      <c r="AB1938" s="77"/>
      <c r="AC1938" s="82" t="s">
        <v>8269</v>
      </c>
      <c r="AD1938" s="77" t="s">
        <v>8278</v>
      </c>
      <c r="AE1938" s="80" t="str">
        <f>HYPERLINK("https://twitter.com/fundspeoplept/status/1665999484340273152")</f>
        <v>https://twitter.com/fundspeoplept/status/1665999484340273152</v>
      </c>
      <c r="AF1938" s="79">
        <v>45083.354212962964</v>
      </c>
      <c r="AG1938" s="85">
        <v>45083</v>
      </c>
      <c r="AH1938" s="82" t="s">
        <v>10026</v>
      </c>
      <c r="AI1938" s="77" t="b">
        <v>0</v>
      </c>
      <c r="AJ1938" s="77"/>
      <c r="AK1938" s="77"/>
      <c r="AL1938" s="77"/>
      <c r="AM1938" s="77"/>
      <c r="AN1938" s="77"/>
      <c r="AO1938" s="77"/>
      <c r="AP1938" s="77"/>
      <c r="AQ1938" s="77"/>
      <c r="AR1938" s="77"/>
      <c r="AS1938" s="77"/>
      <c r="AT1938" s="77"/>
      <c r="AU1938" s="77"/>
      <c r="AV1938" s="80" t="str">
        <f>HYPERLINK("https://pbs.twimg.com/profile_images/1247844907865313281/i6-Wedir_normal.jpg")</f>
        <v>https://pbs.twimg.com/profile_images/1247844907865313281/i6-Wedir_normal.jpg</v>
      </c>
      <c r="AW1938" s="82" t="s">
        <v>15029</v>
      </c>
      <c r="AX1938" s="82" t="s">
        <v>15029</v>
      </c>
      <c r="AY1938" s="77"/>
      <c r="AZ1938" s="82" t="s">
        <v>17385</v>
      </c>
      <c r="BA1938" s="82" t="s">
        <v>17385</v>
      </c>
      <c r="BB1938" s="82" t="s">
        <v>17385</v>
      </c>
      <c r="BC1938" s="82" t="s">
        <v>15029</v>
      </c>
      <c r="BD1938" s="77">
        <v>1069121174</v>
      </c>
      <c r="BE1938" s="77"/>
      <c r="BF1938" s="77"/>
      <c r="BG1938" s="77"/>
      <c r="BH1938" s="77"/>
      <c r="BI1938" s="77"/>
    </row>
    <row r="1939" spans="1:61" x14ac:dyDescent="0.25">
      <c r="A1939" s="62" t="s">
        <v>537</v>
      </c>
      <c r="B1939" s="62" t="s">
        <v>537</v>
      </c>
      <c r="C1939" s="63"/>
      <c r="D1939" s="64"/>
      <c r="E1939" s="65"/>
      <c r="F1939" s="66"/>
      <c r="G1939" s="63"/>
      <c r="H1939" s="67"/>
      <c r="I1939" s="68"/>
      <c r="J1939" s="68"/>
      <c r="K1939" s="32"/>
      <c r="L1939" s="75">
        <v>1939</v>
      </c>
      <c r="M1939" s="75"/>
      <c r="N1939" s="70"/>
      <c r="O1939" s="77" t="s">
        <v>179</v>
      </c>
      <c r="P1939" s="79">
        <v>45068.604224537034</v>
      </c>
      <c r="Q1939" s="77" t="s">
        <v>2725</v>
      </c>
      <c r="R1939" s="77">
        <v>0</v>
      </c>
      <c r="S1939" s="77">
        <v>0</v>
      </c>
      <c r="T1939" s="77">
        <v>0</v>
      </c>
      <c r="U1939" s="77">
        <v>0</v>
      </c>
      <c r="V1939" s="77">
        <v>14</v>
      </c>
      <c r="W1939" s="82" t="s">
        <v>6061</v>
      </c>
      <c r="X1939" s="80" t="str">
        <f>HYPERLINK("https://bddy.me/3Mu7R6k")</f>
        <v>https://bddy.me/3Mu7R6k</v>
      </c>
      <c r="Y1939" s="77" t="s">
        <v>7127</v>
      </c>
      <c r="Z1939" s="77"/>
      <c r="AA1939" s="77"/>
      <c r="AB1939" s="77"/>
      <c r="AC1939" s="82" t="s">
        <v>8269</v>
      </c>
      <c r="AD1939" s="77" t="s">
        <v>8278</v>
      </c>
      <c r="AE1939" s="80" t="str">
        <f>HYPERLINK("https://twitter.com/fundspeoplept/status/1660654267873493000")</f>
        <v>https://twitter.com/fundspeoplept/status/1660654267873493000</v>
      </c>
      <c r="AF1939" s="79">
        <v>45068.604224537034</v>
      </c>
      <c r="AG1939" s="85">
        <v>45068</v>
      </c>
      <c r="AH1939" s="82" t="s">
        <v>10032</v>
      </c>
      <c r="AI1939" s="77" t="b">
        <v>0</v>
      </c>
      <c r="AJ1939" s="77"/>
      <c r="AK1939" s="77"/>
      <c r="AL1939" s="77"/>
      <c r="AM1939" s="77"/>
      <c r="AN1939" s="77"/>
      <c r="AO1939" s="77"/>
      <c r="AP1939" s="77"/>
      <c r="AQ1939" s="77"/>
      <c r="AR1939" s="77"/>
      <c r="AS1939" s="77"/>
      <c r="AT1939" s="77"/>
      <c r="AU1939" s="77"/>
      <c r="AV1939" s="80" t="str">
        <f>HYPERLINK("https://pbs.twimg.com/profile_images/1247844907865313281/i6-Wedir_normal.jpg")</f>
        <v>https://pbs.twimg.com/profile_images/1247844907865313281/i6-Wedir_normal.jpg</v>
      </c>
      <c r="AW1939" s="82" t="s">
        <v>15030</v>
      </c>
      <c r="AX1939" s="82" t="s">
        <v>15030</v>
      </c>
      <c r="AY1939" s="77"/>
      <c r="AZ1939" s="82" t="s">
        <v>17385</v>
      </c>
      <c r="BA1939" s="82" t="s">
        <v>17385</v>
      </c>
      <c r="BB1939" s="82" t="s">
        <v>17385</v>
      </c>
      <c r="BC1939" s="82" t="s">
        <v>15030</v>
      </c>
      <c r="BD1939" s="77">
        <v>1069121174</v>
      </c>
      <c r="BE1939" s="77"/>
      <c r="BF1939" s="77"/>
      <c r="BG1939" s="77"/>
      <c r="BH1939" s="77"/>
      <c r="BI1939" s="77"/>
    </row>
    <row r="1940" spans="1:61" x14ac:dyDescent="0.25">
      <c r="A1940" s="62" t="s">
        <v>538</v>
      </c>
      <c r="B1940" s="62" t="s">
        <v>538</v>
      </c>
      <c r="C1940" s="63"/>
      <c r="D1940" s="64"/>
      <c r="E1940" s="65"/>
      <c r="F1940" s="66"/>
      <c r="G1940" s="63"/>
      <c r="H1940" s="67"/>
      <c r="I1940" s="68"/>
      <c r="J1940" s="68"/>
      <c r="K1940" s="32"/>
      <c r="L1940" s="75">
        <v>1940</v>
      </c>
      <c r="M1940" s="75"/>
      <c r="N1940" s="70"/>
      <c r="O1940" s="77" t="s">
        <v>179</v>
      </c>
      <c r="P1940" s="79">
        <v>45158.807650462964</v>
      </c>
      <c r="Q1940" s="77" t="s">
        <v>2726</v>
      </c>
      <c r="R1940" s="77">
        <v>0</v>
      </c>
      <c r="S1940" s="77">
        <v>0</v>
      </c>
      <c r="T1940" s="77">
        <v>0</v>
      </c>
      <c r="U1940" s="77">
        <v>0</v>
      </c>
      <c r="V1940" s="77">
        <v>7</v>
      </c>
      <c r="W1940" s="82" t="s">
        <v>6075</v>
      </c>
      <c r="X1940" s="77"/>
      <c r="Y1940" s="77"/>
      <c r="Z1940" s="77"/>
      <c r="AA1940" s="77"/>
      <c r="AB1940" s="77"/>
      <c r="AC1940" s="82" t="s">
        <v>8232</v>
      </c>
      <c r="AD1940" s="77" t="s">
        <v>8278</v>
      </c>
      <c r="AE1940" s="80" t="str">
        <f>HYPERLINK("https://twitter.com/fragmentos27/status/1693342892918546617")</f>
        <v>https://twitter.com/fragmentos27/status/1693342892918546617</v>
      </c>
      <c r="AF1940" s="79">
        <v>45158.807650462964</v>
      </c>
      <c r="AG1940" s="85">
        <v>45158</v>
      </c>
      <c r="AH1940" s="82" t="s">
        <v>10033</v>
      </c>
      <c r="AI1940" s="77"/>
      <c r="AJ1940" s="77"/>
      <c r="AK1940" s="77"/>
      <c r="AL1940" s="77"/>
      <c r="AM1940" s="77"/>
      <c r="AN1940" s="77"/>
      <c r="AO1940" s="77"/>
      <c r="AP1940" s="77"/>
      <c r="AQ1940" s="77"/>
      <c r="AR1940" s="77"/>
      <c r="AS1940" s="77"/>
      <c r="AT1940" s="77"/>
      <c r="AU1940" s="77"/>
      <c r="AV1940" s="80" t="str">
        <f>HYPERLINK("https://pbs.twimg.com/profile_images/1693236592578613248/T0Ib3tZL_normal.jpg")</f>
        <v>https://pbs.twimg.com/profile_images/1693236592578613248/T0Ib3tZL_normal.jpg</v>
      </c>
      <c r="AW1940" s="82" t="s">
        <v>15031</v>
      </c>
      <c r="AX1940" s="82" t="s">
        <v>15031</v>
      </c>
      <c r="AY1940" s="77"/>
      <c r="AZ1940" s="82" t="s">
        <v>17385</v>
      </c>
      <c r="BA1940" s="82" t="s">
        <v>17385</v>
      </c>
      <c r="BB1940" s="82" t="s">
        <v>17385</v>
      </c>
      <c r="BC1940" s="82" t="s">
        <v>15031</v>
      </c>
      <c r="BD1940" s="82" t="s">
        <v>17605</v>
      </c>
      <c r="BE1940" s="77"/>
      <c r="BF1940" s="77"/>
      <c r="BG1940" s="77"/>
      <c r="BH1940" s="77"/>
      <c r="BI1940" s="77"/>
    </row>
    <row r="1941" spans="1:61" x14ac:dyDescent="0.25">
      <c r="A1941" s="62" t="s">
        <v>539</v>
      </c>
      <c r="B1941" s="62" t="s">
        <v>539</v>
      </c>
      <c r="C1941" s="63"/>
      <c r="D1941" s="64"/>
      <c r="E1941" s="65"/>
      <c r="F1941" s="66"/>
      <c r="G1941" s="63"/>
      <c r="H1941" s="67"/>
      <c r="I1941" s="68"/>
      <c r="J1941" s="68"/>
      <c r="K1941" s="32"/>
      <c r="L1941" s="75">
        <v>1941</v>
      </c>
      <c r="M1941" s="75"/>
      <c r="N1941" s="70"/>
      <c r="O1941" s="77" t="s">
        <v>800</v>
      </c>
      <c r="P1941" s="79">
        <v>45097.829965277779</v>
      </c>
      <c r="Q1941" s="77" t="s">
        <v>2727</v>
      </c>
      <c r="R1941" s="77">
        <v>0</v>
      </c>
      <c r="S1941" s="77">
        <v>0</v>
      </c>
      <c r="T1941" s="77">
        <v>0</v>
      </c>
      <c r="U1941" s="77">
        <v>0</v>
      </c>
      <c r="V1941" s="77">
        <v>12</v>
      </c>
      <c r="W1941" s="82" t="s">
        <v>6076</v>
      </c>
      <c r="X1941" s="77"/>
      <c r="Y1941" s="77"/>
      <c r="Z1941" s="77"/>
      <c r="AA1941" s="77"/>
      <c r="AB1941" s="77"/>
      <c r="AC1941" s="82" t="s">
        <v>8234</v>
      </c>
      <c r="AD1941" s="77" t="s">
        <v>8278</v>
      </c>
      <c r="AE1941" s="80" t="str">
        <f>HYPERLINK("https://twitter.com/econovisao/status/1671245323098791937")</f>
        <v>https://twitter.com/econovisao/status/1671245323098791937</v>
      </c>
      <c r="AF1941" s="79">
        <v>45097.829965277779</v>
      </c>
      <c r="AG1941" s="85">
        <v>45097</v>
      </c>
      <c r="AH1941" s="82" t="s">
        <v>10034</v>
      </c>
      <c r="AI1941" s="77"/>
      <c r="AJ1941" s="77"/>
      <c r="AK1941" s="77"/>
      <c r="AL1941" s="77"/>
      <c r="AM1941" s="77"/>
      <c r="AN1941" s="77"/>
      <c r="AO1941" s="77"/>
      <c r="AP1941" s="77"/>
      <c r="AQ1941" s="77"/>
      <c r="AR1941" s="77"/>
      <c r="AS1941" s="77"/>
      <c r="AT1941" s="77"/>
      <c r="AU1941" s="77"/>
      <c r="AV1941" s="80" t="str">
        <f>HYPERLINK("https://pbs.twimg.com/profile_images/1680970917977939969/-cbAdNlU_normal.jpg")</f>
        <v>https://pbs.twimg.com/profile_images/1680970917977939969/-cbAdNlU_normal.jpg</v>
      </c>
      <c r="AW1941" s="82" t="s">
        <v>15032</v>
      </c>
      <c r="AX1941" s="82" t="s">
        <v>17195</v>
      </c>
      <c r="AY1941" s="82" t="s">
        <v>17362</v>
      </c>
      <c r="AZ1941" s="82" t="s">
        <v>17416</v>
      </c>
      <c r="BA1941" s="82" t="s">
        <v>17385</v>
      </c>
      <c r="BB1941" s="82" t="s">
        <v>17385</v>
      </c>
      <c r="BC1941" s="82" t="s">
        <v>17416</v>
      </c>
      <c r="BD1941" s="82" t="s">
        <v>17362</v>
      </c>
      <c r="BE1941" s="77"/>
      <c r="BF1941" s="77"/>
      <c r="BG1941" s="77"/>
      <c r="BH1941" s="77"/>
      <c r="BI1941" s="77"/>
    </row>
    <row r="1942" spans="1:61" x14ac:dyDescent="0.25">
      <c r="A1942" s="62" t="s">
        <v>540</v>
      </c>
      <c r="B1942" s="62" t="s">
        <v>540</v>
      </c>
      <c r="C1942" s="63"/>
      <c r="D1942" s="64"/>
      <c r="E1942" s="65"/>
      <c r="F1942" s="66"/>
      <c r="G1942" s="63"/>
      <c r="H1942" s="67"/>
      <c r="I1942" s="68"/>
      <c r="J1942" s="68"/>
      <c r="K1942" s="32"/>
      <c r="L1942" s="75">
        <v>1942</v>
      </c>
      <c r="M1942" s="75"/>
      <c r="N1942" s="70"/>
      <c r="O1942" s="77" t="s">
        <v>179</v>
      </c>
      <c r="P1942" s="79">
        <v>45196.691817129627</v>
      </c>
      <c r="Q1942" s="77" t="s">
        <v>2728</v>
      </c>
      <c r="R1942" s="77">
        <v>0</v>
      </c>
      <c r="S1942" s="77">
        <v>0</v>
      </c>
      <c r="T1942" s="77">
        <v>0</v>
      </c>
      <c r="U1942" s="77">
        <v>0</v>
      </c>
      <c r="V1942" s="77">
        <v>21</v>
      </c>
      <c r="W1942" s="82" t="s">
        <v>4835</v>
      </c>
      <c r="X1942" s="77"/>
      <c r="Y1942" s="77"/>
      <c r="Z1942" s="77"/>
      <c r="AA1942" s="77"/>
      <c r="AB1942" s="77"/>
      <c r="AC1942" s="82" t="s">
        <v>8232</v>
      </c>
      <c r="AD1942" s="77" t="s">
        <v>8278</v>
      </c>
      <c r="AE1942" s="80" t="str">
        <f>HYPERLINK("https://twitter.com/kingrodrigues0/status/1707071655472664728")</f>
        <v>https://twitter.com/kingrodrigues0/status/1707071655472664728</v>
      </c>
      <c r="AF1942" s="79">
        <v>45196.691817129627</v>
      </c>
      <c r="AG1942" s="85">
        <v>45196</v>
      </c>
      <c r="AH1942" s="82" t="s">
        <v>10035</v>
      </c>
      <c r="AI1942" s="77"/>
      <c r="AJ1942" s="77"/>
      <c r="AK1942" s="77"/>
      <c r="AL1942" s="77"/>
      <c r="AM1942" s="77"/>
      <c r="AN1942" s="77"/>
      <c r="AO1942" s="77"/>
      <c r="AP1942" s="77"/>
      <c r="AQ1942" s="77"/>
      <c r="AR1942" s="77"/>
      <c r="AS1942" s="77"/>
      <c r="AT1942" s="77"/>
      <c r="AU1942" s="77"/>
      <c r="AV1942" s="80" t="str">
        <f>HYPERLINK("https://pbs.twimg.com/profile_images/1658511155394932736/5ZDt-zI8_normal.jpg")</f>
        <v>https://pbs.twimg.com/profile_images/1658511155394932736/5ZDt-zI8_normal.jpg</v>
      </c>
      <c r="AW1942" s="82" t="s">
        <v>15033</v>
      </c>
      <c r="AX1942" s="82" t="s">
        <v>15033</v>
      </c>
      <c r="AY1942" s="77"/>
      <c r="AZ1942" s="82" t="s">
        <v>17385</v>
      </c>
      <c r="BA1942" s="82" t="s">
        <v>17385</v>
      </c>
      <c r="BB1942" s="82" t="s">
        <v>17385</v>
      </c>
      <c r="BC1942" s="82" t="s">
        <v>15033</v>
      </c>
      <c r="BD1942" s="82" t="s">
        <v>17606</v>
      </c>
      <c r="BE1942" s="77"/>
      <c r="BF1942" s="77"/>
      <c r="BG1942" s="77"/>
      <c r="BH1942" s="77"/>
      <c r="BI1942" s="77"/>
    </row>
    <row r="1943" spans="1:61" x14ac:dyDescent="0.25">
      <c r="A1943" s="62" t="s">
        <v>541</v>
      </c>
      <c r="B1943" s="62" t="s">
        <v>541</v>
      </c>
      <c r="C1943" s="63"/>
      <c r="D1943" s="64"/>
      <c r="E1943" s="65"/>
      <c r="F1943" s="66"/>
      <c r="G1943" s="63"/>
      <c r="H1943" s="67"/>
      <c r="I1943" s="68"/>
      <c r="J1943" s="68"/>
      <c r="K1943" s="32"/>
      <c r="L1943" s="75">
        <v>1943</v>
      </c>
      <c r="M1943" s="75"/>
      <c r="N1943" s="70"/>
      <c r="O1943" s="77" t="s">
        <v>179</v>
      </c>
      <c r="P1943" s="79">
        <v>45096.450601851851</v>
      </c>
      <c r="Q1943" s="77" t="s">
        <v>2729</v>
      </c>
      <c r="R1943" s="77">
        <v>0</v>
      </c>
      <c r="S1943" s="77">
        <v>0</v>
      </c>
      <c r="T1943" s="77">
        <v>0</v>
      </c>
      <c r="U1943" s="77">
        <v>0</v>
      </c>
      <c r="V1943" s="77">
        <v>20</v>
      </c>
      <c r="W1943" s="82" t="s">
        <v>6077</v>
      </c>
      <c r="X1943" s="77"/>
      <c r="Y1943" s="77"/>
      <c r="Z1943" s="77"/>
      <c r="AA1943" s="77" t="s">
        <v>7940</v>
      </c>
      <c r="AB1943" s="77" t="s">
        <v>8225</v>
      </c>
      <c r="AC1943" s="82" t="s">
        <v>8234</v>
      </c>
      <c r="AD1943" s="77" t="s">
        <v>8278</v>
      </c>
      <c r="AE1943" s="80" t="str">
        <f>HYPERLINK("https://twitter.com/mecfin/status/1670745458073894912")</f>
        <v>https://twitter.com/mecfin/status/1670745458073894912</v>
      </c>
      <c r="AF1943" s="79">
        <v>45096.450601851851</v>
      </c>
      <c r="AG1943" s="85">
        <v>45096</v>
      </c>
      <c r="AH1943" s="82" t="s">
        <v>10036</v>
      </c>
      <c r="AI1943" s="77" t="b">
        <v>0</v>
      </c>
      <c r="AJ1943" s="77"/>
      <c r="AK1943" s="77"/>
      <c r="AL1943" s="77"/>
      <c r="AM1943" s="77"/>
      <c r="AN1943" s="77"/>
      <c r="AO1943" s="77"/>
      <c r="AP1943" s="77"/>
      <c r="AQ1943" s="77" t="s">
        <v>12825</v>
      </c>
      <c r="AR1943" s="77"/>
      <c r="AS1943" s="77"/>
      <c r="AT1943" s="77"/>
      <c r="AU1943" s="77"/>
      <c r="AV1943" s="80" t="str">
        <f>HYPERLINK("https://pbs.twimg.com/media/Fy-uI8BXwAEC7jQ.jpg")</f>
        <v>https://pbs.twimg.com/media/Fy-uI8BXwAEC7jQ.jpg</v>
      </c>
      <c r="AW1943" s="82" t="s">
        <v>15034</v>
      </c>
      <c r="AX1943" s="82" t="s">
        <v>15034</v>
      </c>
      <c r="AY1943" s="77"/>
      <c r="AZ1943" s="82" t="s">
        <v>17385</v>
      </c>
      <c r="BA1943" s="82" t="s">
        <v>17385</v>
      </c>
      <c r="BB1943" s="82" t="s">
        <v>17385</v>
      </c>
      <c r="BC1943" s="82" t="s">
        <v>15034</v>
      </c>
      <c r="BD1943" s="82" t="s">
        <v>17607</v>
      </c>
      <c r="BE1943" s="77"/>
      <c r="BF1943" s="77"/>
      <c r="BG1943" s="77"/>
      <c r="BH1943" s="77"/>
      <c r="BI1943" s="77"/>
    </row>
    <row r="1944" spans="1:61" x14ac:dyDescent="0.25">
      <c r="A1944" s="62" t="s">
        <v>541</v>
      </c>
      <c r="B1944" s="62" t="s">
        <v>541</v>
      </c>
      <c r="C1944" s="63"/>
      <c r="D1944" s="64"/>
      <c r="E1944" s="65"/>
      <c r="F1944" s="66"/>
      <c r="G1944" s="63"/>
      <c r="H1944" s="67"/>
      <c r="I1944" s="68"/>
      <c r="J1944" s="68"/>
      <c r="K1944" s="32"/>
      <c r="L1944" s="75">
        <v>1944</v>
      </c>
      <c r="M1944" s="75"/>
      <c r="N1944" s="70"/>
      <c r="O1944" s="77" t="s">
        <v>179</v>
      </c>
      <c r="P1944" s="79">
        <v>45096.401331018518</v>
      </c>
      <c r="Q1944" s="77" t="s">
        <v>2730</v>
      </c>
      <c r="R1944" s="77">
        <v>0</v>
      </c>
      <c r="S1944" s="77">
        <v>0</v>
      </c>
      <c r="T1944" s="77">
        <v>0</v>
      </c>
      <c r="U1944" s="77">
        <v>0</v>
      </c>
      <c r="V1944" s="77">
        <v>34</v>
      </c>
      <c r="W1944" s="82" t="s">
        <v>6078</v>
      </c>
      <c r="X1944" s="77"/>
      <c r="Y1944" s="77"/>
      <c r="Z1944" s="77"/>
      <c r="AA1944" s="77" t="s">
        <v>7941</v>
      </c>
      <c r="AB1944" s="77" t="s">
        <v>8225</v>
      </c>
      <c r="AC1944" s="82" t="s">
        <v>8234</v>
      </c>
      <c r="AD1944" s="77" t="s">
        <v>8278</v>
      </c>
      <c r="AE1944" s="80" t="str">
        <f>HYPERLINK("https://twitter.com/mecfin/status/1670727599696355328")</f>
        <v>https://twitter.com/mecfin/status/1670727599696355328</v>
      </c>
      <c r="AF1944" s="79">
        <v>45096.401331018518</v>
      </c>
      <c r="AG1944" s="85">
        <v>45096</v>
      </c>
      <c r="AH1944" s="82" t="s">
        <v>10037</v>
      </c>
      <c r="AI1944" s="77" t="b">
        <v>0</v>
      </c>
      <c r="AJ1944" s="77"/>
      <c r="AK1944" s="77"/>
      <c r="AL1944" s="77"/>
      <c r="AM1944" s="77"/>
      <c r="AN1944" s="77"/>
      <c r="AO1944" s="77"/>
      <c r="AP1944" s="77"/>
      <c r="AQ1944" s="77" t="s">
        <v>12826</v>
      </c>
      <c r="AR1944" s="77"/>
      <c r="AS1944" s="77"/>
      <c r="AT1944" s="77"/>
      <c r="AU1944" s="77"/>
      <c r="AV1944" s="80" t="str">
        <f>HYPERLINK("https://pbs.twimg.com/media/Fy-d5dYWwAIvdxo.jpg")</f>
        <v>https://pbs.twimg.com/media/Fy-d5dYWwAIvdxo.jpg</v>
      </c>
      <c r="AW1944" s="82" t="s">
        <v>15035</v>
      </c>
      <c r="AX1944" s="82" t="s">
        <v>15035</v>
      </c>
      <c r="AY1944" s="77"/>
      <c r="AZ1944" s="82" t="s">
        <v>17385</v>
      </c>
      <c r="BA1944" s="82" t="s">
        <v>17385</v>
      </c>
      <c r="BB1944" s="82" t="s">
        <v>17385</v>
      </c>
      <c r="BC1944" s="82" t="s">
        <v>15035</v>
      </c>
      <c r="BD1944" s="82" t="s">
        <v>17607</v>
      </c>
      <c r="BE1944" s="77"/>
      <c r="BF1944" s="77"/>
      <c r="BG1944" s="77"/>
      <c r="BH1944" s="77"/>
      <c r="BI1944" s="77"/>
    </row>
    <row r="1945" spans="1:61" x14ac:dyDescent="0.25">
      <c r="A1945" s="62" t="s">
        <v>541</v>
      </c>
      <c r="B1945" s="62" t="s">
        <v>541</v>
      </c>
      <c r="C1945" s="63"/>
      <c r="D1945" s="64"/>
      <c r="E1945" s="65"/>
      <c r="F1945" s="66"/>
      <c r="G1945" s="63"/>
      <c r="H1945" s="67"/>
      <c r="I1945" s="68"/>
      <c r="J1945" s="68"/>
      <c r="K1945" s="32"/>
      <c r="L1945" s="75">
        <v>1945</v>
      </c>
      <c r="M1945" s="75"/>
      <c r="N1945" s="70"/>
      <c r="O1945" s="77" t="s">
        <v>179</v>
      </c>
      <c r="P1945" s="79">
        <v>45096.397627314815</v>
      </c>
      <c r="Q1945" s="77" t="s">
        <v>2731</v>
      </c>
      <c r="R1945" s="77">
        <v>0</v>
      </c>
      <c r="S1945" s="77">
        <v>0</v>
      </c>
      <c r="T1945" s="77">
        <v>0</v>
      </c>
      <c r="U1945" s="77">
        <v>0</v>
      </c>
      <c r="V1945" s="77">
        <v>111</v>
      </c>
      <c r="W1945" s="82" t="s">
        <v>6079</v>
      </c>
      <c r="X1945" s="77"/>
      <c r="Y1945" s="77"/>
      <c r="Z1945" s="77"/>
      <c r="AA1945" s="77" t="s">
        <v>7942</v>
      </c>
      <c r="AB1945" s="77" t="s">
        <v>8225</v>
      </c>
      <c r="AC1945" s="82" t="s">
        <v>8234</v>
      </c>
      <c r="AD1945" s="77" t="s">
        <v>8278</v>
      </c>
      <c r="AE1945" s="80" t="str">
        <f>HYPERLINK("https://twitter.com/mecfin/status/1670726260069203968")</f>
        <v>https://twitter.com/mecfin/status/1670726260069203968</v>
      </c>
      <c r="AF1945" s="79">
        <v>45096.397627314815</v>
      </c>
      <c r="AG1945" s="85">
        <v>45096</v>
      </c>
      <c r="AH1945" s="82" t="s">
        <v>10038</v>
      </c>
      <c r="AI1945" s="77" t="b">
        <v>0</v>
      </c>
      <c r="AJ1945" s="77"/>
      <c r="AK1945" s="77"/>
      <c r="AL1945" s="77"/>
      <c r="AM1945" s="77"/>
      <c r="AN1945" s="77"/>
      <c r="AO1945" s="77"/>
      <c r="AP1945" s="77"/>
      <c r="AQ1945" s="77" t="s">
        <v>12827</v>
      </c>
      <c r="AR1945" s="77"/>
      <c r="AS1945" s="77"/>
      <c r="AT1945" s="77"/>
      <c r="AU1945" s="77"/>
      <c r="AV1945" s="80" t="str">
        <f>HYPERLINK("https://pbs.twimg.com/media/Fy-creTWAAE40ih.jpg")</f>
        <v>https://pbs.twimg.com/media/Fy-creTWAAE40ih.jpg</v>
      </c>
      <c r="AW1945" s="82" t="s">
        <v>15036</v>
      </c>
      <c r="AX1945" s="82" t="s">
        <v>15036</v>
      </c>
      <c r="AY1945" s="77"/>
      <c r="AZ1945" s="82" t="s">
        <v>17385</v>
      </c>
      <c r="BA1945" s="82" t="s">
        <v>17385</v>
      </c>
      <c r="BB1945" s="82" t="s">
        <v>17385</v>
      </c>
      <c r="BC1945" s="82" t="s">
        <v>15036</v>
      </c>
      <c r="BD1945" s="82" t="s">
        <v>17607</v>
      </c>
      <c r="BE1945" s="77"/>
      <c r="BF1945" s="77"/>
      <c r="BG1945" s="77"/>
      <c r="BH1945" s="77"/>
      <c r="BI1945" s="77"/>
    </row>
    <row r="1946" spans="1:61" x14ac:dyDescent="0.25">
      <c r="A1946" s="62" t="s">
        <v>541</v>
      </c>
      <c r="B1946" s="62" t="s">
        <v>541</v>
      </c>
      <c r="C1946" s="63"/>
      <c r="D1946" s="64"/>
      <c r="E1946" s="65"/>
      <c r="F1946" s="66"/>
      <c r="G1946" s="63"/>
      <c r="H1946" s="67"/>
      <c r="I1946" s="68"/>
      <c r="J1946" s="68"/>
      <c r="K1946" s="32"/>
      <c r="L1946" s="75">
        <v>1946</v>
      </c>
      <c r="M1946" s="75"/>
      <c r="N1946" s="70"/>
      <c r="O1946" s="77" t="s">
        <v>179</v>
      </c>
      <c r="P1946" s="79">
        <v>45097.170104166667</v>
      </c>
      <c r="Q1946" s="77" t="s">
        <v>2732</v>
      </c>
      <c r="R1946" s="77">
        <v>0</v>
      </c>
      <c r="S1946" s="77">
        <v>0</v>
      </c>
      <c r="T1946" s="77">
        <v>0</v>
      </c>
      <c r="U1946" s="77">
        <v>0</v>
      </c>
      <c r="V1946" s="77">
        <v>64</v>
      </c>
      <c r="W1946" s="82" t="s">
        <v>6080</v>
      </c>
      <c r="X1946" s="77"/>
      <c r="Y1946" s="77"/>
      <c r="Z1946" s="77"/>
      <c r="AA1946" s="77" t="s">
        <v>7943</v>
      </c>
      <c r="AB1946" s="77" t="s">
        <v>8225</v>
      </c>
      <c r="AC1946" s="82" t="s">
        <v>8234</v>
      </c>
      <c r="AD1946" s="77" t="s">
        <v>8278</v>
      </c>
      <c r="AE1946" s="80" t="str">
        <f>HYPERLINK("https://twitter.com/mecfin/status/1671006197560819713")</f>
        <v>https://twitter.com/mecfin/status/1671006197560819713</v>
      </c>
      <c r="AF1946" s="79">
        <v>45097.170104166667</v>
      </c>
      <c r="AG1946" s="85">
        <v>45097</v>
      </c>
      <c r="AH1946" s="82" t="s">
        <v>10039</v>
      </c>
      <c r="AI1946" s="77" t="b">
        <v>0</v>
      </c>
      <c r="AJ1946" s="77"/>
      <c r="AK1946" s="77"/>
      <c r="AL1946" s="77"/>
      <c r="AM1946" s="77"/>
      <c r="AN1946" s="77"/>
      <c r="AO1946" s="77"/>
      <c r="AP1946" s="77"/>
      <c r="AQ1946" s="77" t="s">
        <v>12828</v>
      </c>
      <c r="AR1946" s="77"/>
      <c r="AS1946" s="77"/>
      <c r="AT1946" s="77"/>
      <c r="AU1946" s="77"/>
      <c r="AV1946" s="80" t="str">
        <f>HYPERLINK("https://pbs.twimg.com/media/FzCbSA-X0AY0lX0.jpg")</f>
        <v>https://pbs.twimg.com/media/FzCbSA-X0AY0lX0.jpg</v>
      </c>
      <c r="AW1946" s="82" t="s">
        <v>15037</v>
      </c>
      <c r="AX1946" s="82" t="s">
        <v>15037</v>
      </c>
      <c r="AY1946" s="77"/>
      <c r="AZ1946" s="82" t="s">
        <v>17385</v>
      </c>
      <c r="BA1946" s="82" t="s">
        <v>17385</v>
      </c>
      <c r="BB1946" s="82" t="s">
        <v>17385</v>
      </c>
      <c r="BC1946" s="82" t="s">
        <v>15037</v>
      </c>
      <c r="BD1946" s="82" t="s">
        <v>17607</v>
      </c>
      <c r="BE1946" s="77"/>
      <c r="BF1946" s="77"/>
      <c r="BG1946" s="77"/>
      <c r="BH1946" s="77"/>
      <c r="BI1946" s="77"/>
    </row>
    <row r="1947" spans="1:61" x14ac:dyDescent="0.25">
      <c r="A1947" s="62" t="s">
        <v>541</v>
      </c>
      <c r="B1947" s="62" t="s">
        <v>541</v>
      </c>
      <c r="C1947" s="63"/>
      <c r="D1947" s="64"/>
      <c r="E1947" s="65"/>
      <c r="F1947" s="66"/>
      <c r="G1947" s="63"/>
      <c r="H1947" s="67"/>
      <c r="I1947" s="68"/>
      <c r="J1947" s="68"/>
      <c r="K1947" s="32"/>
      <c r="L1947" s="75">
        <v>1947</v>
      </c>
      <c r="M1947" s="75"/>
      <c r="N1947" s="70"/>
      <c r="O1947" s="77" t="s">
        <v>179</v>
      </c>
      <c r="P1947" s="79">
        <v>45112.39702546296</v>
      </c>
      <c r="Q1947" s="77" t="s">
        <v>2733</v>
      </c>
      <c r="R1947" s="77">
        <v>0</v>
      </c>
      <c r="S1947" s="77">
        <v>0</v>
      </c>
      <c r="T1947" s="77">
        <v>1</v>
      </c>
      <c r="U1947" s="77">
        <v>0</v>
      </c>
      <c r="V1947" s="77">
        <v>27</v>
      </c>
      <c r="W1947" s="82" t="s">
        <v>6081</v>
      </c>
      <c r="X1947" s="77"/>
      <c r="Y1947" s="77"/>
      <c r="Z1947" s="77"/>
      <c r="AA1947" s="77" t="s">
        <v>7944</v>
      </c>
      <c r="AB1947" s="77" t="s">
        <v>8225</v>
      </c>
      <c r="AC1947" s="82" t="s">
        <v>8234</v>
      </c>
      <c r="AD1947" s="77" t="s">
        <v>8278</v>
      </c>
      <c r="AE1947" s="80" t="str">
        <f>HYPERLINK("https://twitter.com/mecfin/status/1676524247026466816")</f>
        <v>https://twitter.com/mecfin/status/1676524247026466816</v>
      </c>
      <c r="AF1947" s="79">
        <v>45112.39702546296</v>
      </c>
      <c r="AG1947" s="85">
        <v>45112</v>
      </c>
      <c r="AH1947" s="82" t="s">
        <v>10040</v>
      </c>
      <c r="AI1947" s="77" t="b">
        <v>0</v>
      </c>
      <c r="AJ1947" s="77"/>
      <c r="AK1947" s="77"/>
      <c r="AL1947" s="77"/>
      <c r="AM1947" s="77"/>
      <c r="AN1947" s="77"/>
      <c r="AO1947" s="77"/>
      <c r="AP1947" s="77"/>
      <c r="AQ1947" s="77" t="s">
        <v>12829</v>
      </c>
      <c r="AR1947" s="77"/>
      <c r="AS1947" s="77"/>
      <c r="AT1947" s="77"/>
      <c r="AU1947" s="77"/>
      <c r="AV1947" s="80" t="str">
        <f>HYPERLINK("https://pbs.twimg.com/media/F0Q16wSWIAAhLlB.jpg")</f>
        <v>https://pbs.twimg.com/media/F0Q16wSWIAAhLlB.jpg</v>
      </c>
      <c r="AW1947" s="82" t="s">
        <v>15038</v>
      </c>
      <c r="AX1947" s="82" t="s">
        <v>15038</v>
      </c>
      <c r="AY1947" s="77"/>
      <c r="AZ1947" s="82" t="s">
        <v>17385</v>
      </c>
      <c r="BA1947" s="82" t="s">
        <v>17385</v>
      </c>
      <c r="BB1947" s="82" t="s">
        <v>17385</v>
      </c>
      <c r="BC1947" s="82" t="s">
        <v>15038</v>
      </c>
      <c r="BD1947" s="82" t="s">
        <v>17607</v>
      </c>
      <c r="BE1947" s="77"/>
      <c r="BF1947" s="77"/>
      <c r="BG1947" s="77"/>
      <c r="BH1947" s="77"/>
      <c r="BI1947" s="77"/>
    </row>
    <row r="1948" spans="1:61" x14ac:dyDescent="0.25">
      <c r="A1948" s="62" t="s">
        <v>541</v>
      </c>
      <c r="B1948" s="62" t="s">
        <v>541</v>
      </c>
      <c r="C1948" s="63"/>
      <c r="D1948" s="64"/>
      <c r="E1948" s="65"/>
      <c r="F1948" s="66"/>
      <c r="G1948" s="63"/>
      <c r="H1948" s="67"/>
      <c r="I1948" s="68"/>
      <c r="J1948" s="68"/>
      <c r="K1948" s="32"/>
      <c r="L1948" s="75">
        <v>1948</v>
      </c>
      <c r="M1948" s="75"/>
      <c r="N1948" s="70"/>
      <c r="O1948" s="77" t="s">
        <v>179</v>
      </c>
      <c r="P1948" s="79">
        <v>45133.400740740741</v>
      </c>
      <c r="Q1948" s="77" t="s">
        <v>2734</v>
      </c>
      <c r="R1948" s="77">
        <v>0</v>
      </c>
      <c r="S1948" s="77">
        <v>0</v>
      </c>
      <c r="T1948" s="77">
        <v>0</v>
      </c>
      <c r="U1948" s="77">
        <v>0</v>
      </c>
      <c r="V1948" s="77">
        <v>112</v>
      </c>
      <c r="W1948" s="82" t="s">
        <v>6082</v>
      </c>
      <c r="X1948" s="77"/>
      <c r="Y1948" s="77"/>
      <c r="Z1948" s="77"/>
      <c r="AA1948" s="77" t="s">
        <v>7945</v>
      </c>
      <c r="AB1948" s="77" t="s">
        <v>8225</v>
      </c>
      <c r="AC1948" s="82" t="s">
        <v>8234</v>
      </c>
      <c r="AD1948" s="77" t="s">
        <v>8278</v>
      </c>
      <c r="AE1948" s="80" t="str">
        <f>HYPERLINK("https://twitter.com/mecfin/status/1684135738944933888")</f>
        <v>https://twitter.com/mecfin/status/1684135738944933888</v>
      </c>
      <c r="AF1948" s="79">
        <v>45133.400740740741</v>
      </c>
      <c r="AG1948" s="85">
        <v>45133</v>
      </c>
      <c r="AH1948" s="82" t="s">
        <v>10041</v>
      </c>
      <c r="AI1948" s="77" t="b">
        <v>0</v>
      </c>
      <c r="AJ1948" s="77"/>
      <c r="AK1948" s="77"/>
      <c r="AL1948" s="77"/>
      <c r="AM1948" s="77"/>
      <c r="AN1948" s="77"/>
      <c r="AO1948" s="77"/>
      <c r="AP1948" s="77"/>
      <c r="AQ1948" s="77" t="s">
        <v>12830</v>
      </c>
      <c r="AR1948" s="77"/>
      <c r="AS1948" s="77"/>
      <c r="AT1948" s="77"/>
      <c r="AU1948" s="77"/>
      <c r="AV1948" s="80" t="str">
        <f>HYPERLINK("https://pbs.twimg.com/media/F19Ah3xXsAMrDQJ.jpg")</f>
        <v>https://pbs.twimg.com/media/F19Ah3xXsAMrDQJ.jpg</v>
      </c>
      <c r="AW1948" s="82" t="s">
        <v>15039</v>
      </c>
      <c r="AX1948" s="82" t="s">
        <v>15039</v>
      </c>
      <c r="AY1948" s="77"/>
      <c r="AZ1948" s="82" t="s">
        <v>17385</v>
      </c>
      <c r="BA1948" s="82" t="s">
        <v>17385</v>
      </c>
      <c r="BB1948" s="82" t="s">
        <v>17385</v>
      </c>
      <c r="BC1948" s="82" t="s">
        <v>15039</v>
      </c>
      <c r="BD1948" s="82" t="s">
        <v>17607</v>
      </c>
      <c r="BE1948" s="77"/>
      <c r="BF1948" s="77"/>
      <c r="BG1948" s="77"/>
      <c r="BH1948" s="77"/>
      <c r="BI1948" s="77"/>
    </row>
    <row r="1949" spans="1:61" x14ac:dyDescent="0.25">
      <c r="A1949" s="62" t="s">
        <v>541</v>
      </c>
      <c r="B1949" s="62" t="s">
        <v>541</v>
      </c>
      <c r="C1949" s="63"/>
      <c r="D1949" s="64"/>
      <c r="E1949" s="65"/>
      <c r="F1949" s="66"/>
      <c r="G1949" s="63"/>
      <c r="H1949" s="67"/>
      <c r="I1949" s="68"/>
      <c r="J1949" s="68"/>
      <c r="K1949" s="32"/>
      <c r="L1949" s="75">
        <v>1949</v>
      </c>
      <c r="M1949" s="75"/>
      <c r="N1949" s="70"/>
      <c r="O1949" s="77" t="s">
        <v>179</v>
      </c>
      <c r="P1949" s="79">
        <v>45105.447442129633</v>
      </c>
      <c r="Q1949" s="77" t="s">
        <v>2735</v>
      </c>
      <c r="R1949" s="77">
        <v>0</v>
      </c>
      <c r="S1949" s="77">
        <v>0</v>
      </c>
      <c r="T1949" s="77">
        <v>1</v>
      </c>
      <c r="U1949" s="77">
        <v>0</v>
      </c>
      <c r="V1949" s="77">
        <v>36</v>
      </c>
      <c r="W1949" s="82" t="s">
        <v>6083</v>
      </c>
      <c r="X1949" s="77"/>
      <c r="Y1949" s="77"/>
      <c r="Z1949" s="77"/>
      <c r="AA1949" s="77" t="s">
        <v>7946</v>
      </c>
      <c r="AB1949" s="77" t="s">
        <v>8225</v>
      </c>
      <c r="AC1949" s="82" t="s">
        <v>8234</v>
      </c>
      <c r="AD1949" s="77" t="s">
        <v>8278</v>
      </c>
      <c r="AE1949" s="80" t="str">
        <f>HYPERLINK("https://twitter.com/mecfin/status/1674005801021612032")</f>
        <v>https://twitter.com/mecfin/status/1674005801021612032</v>
      </c>
      <c r="AF1949" s="79">
        <v>45105.447442129633</v>
      </c>
      <c r="AG1949" s="85">
        <v>45105</v>
      </c>
      <c r="AH1949" s="82" t="s">
        <v>10042</v>
      </c>
      <c r="AI1949" s="77" t="b">
        <v>0</v>
      </c>
      <c r="AJ1949" s="77"/>
      <c r="AK1949" s="77"/>
      <c r="AL1949" s="77"/>
      <c r="AM1949" s="77"/>
      <c r="AN1949" s="77"/>
      <c r="AO1949" s="77"/>
      <c r="AP1949" s="77"/>
      <c r="AQ1949" s="77" t="s">
        <v>12831</v>
      </c>
      <c r="AR1949" s="77"/>
      <c r="AS1949" s="77"/>
      <c r="AT1949" s="77"/>
      <c r="AU1949" s="77"/>
      <c r="AV1949" s="80" t="str">
        <f>HYPERLINK("https://pbs.twimg.com/media/FztDZ4sWYAQk_pp.jpg")</f>
        <v>https://pbs.twimg.com/media/FztDZ4sWYAQk_pp.jpg</v>
      </c>
      <c r="AW1949" s="82" t="s">
        <v>15040</v>
      </c>
      <c r="AX1949" s="82" t="s">
        <v>15040</v>
      </c>
      <c r="AY1949" s="77"/>
      <c r="AZ1949" s="82" t="s">
        <v>17385</v>
      </c>
      <c r="BA1949" s="82" t="s">
        <v>17385</v>
      </c>
      <c r="BB1949" s="82" t="s">
        <v>17385</v>
      </c>
      <c r="BC1949" s="82" t="s">
        <v>15040</v>
      </c>
      <c r="BD1949" s="82" t="s">
        <v>17607</v>
      </c>
      <c r="BE1949" s="77"/>
      <c r="BF1949" s="77"/>
      <c r="BG1949" s="77"/>
      <c r="BH1949" s="77"/>
      <c r="BI1949" s="77"/>
    </row>
    <row r="1950" spans="1:61" x14ac:dyDescent="0.25">
      <c r="A1950" s="62" t="s">
        <v>541</v>
      </c>
      <c r="B1950" s="62" t="s">
        <v>541</v>
      </c>
      <c r="C1950" s="63"/>
      <c r="D1950" s="64"/>
      <c r="E1950" s="65"/>
      <c r="F1950" s="66"/>
      <c r="G1950" s="63"/>
      <c r="H1950" s="67"/>
      <c r="I1950" s="68"/>
      <c r="J1950" s="68"/>
      <c r="K1950" s="32"/>
      <c r="L1950" s="75">
        <v>1950</v>
      </c>
      <c r="M1950" s="75"/>
      <c r="N1950" s="70"/>
      <c r="O1950" s="77" t="s">
        <v>179</v>
      </c>
      <c r="P1950" s="79">
        <v>45131.572210648148</v>
      </c>
      <c r="Q1950" s="77" t="s">
        <v>2736</v>
      </c>
      <c r="R1950" s="77">
        <v>0</v>
      </c>
      <c r="S1950" s="77">
        <v>0</v>
      </c>
      <c r="T1950" s="77">
        <v>0</v>
      </c>
      <c r="U1950" s="77">
        <v>0</v>
      </c>
      <c r="V1950" s="77">
        <v>59</v>
      </c>
      <c r="W1950" s="82" t="s">
        <v>6084</v>
      </c>
      <c r="X1950" s="77"/>
      <c r="Y1950" s="77"/>
      <c r="Z1950" s="77"/>
      <c r="AA1950" s="77" t="s">
        <v>7947</v>
      </c>
      <c r="AB1950" s="77" t="s">
        <v>8225</v>
      </c>
      <c r="AC1950" s="82" t="s">
        <v>8234</v>
      </c>
      <c r="AD1950" s="77" t="s">
        <v>8278</v>
      </c>
      <c r="AE1950" s="80" t="str">
        <f>HYPERLINK("https://twitter.com/mecfin/status/1683473101491781635")</f>
        <v>https://twitter.com/mecfin/status/1683473101491781635</v>
      </c>
      <c r="AF1950" s="79">
        <v>45131.572210648148</v>
      </c>
      <c r="AG1950" s="85">
        <v>45131</v>
      </c>
      <c r="AH1950" s="82" t="s">
        <v>10043</v>
      </c>
      <c r="AI1950" s="77" t="b">
        <v>0</v>
      </c>
      <c r="AJ1950" s="77"/>
      <c r="AK1950" s="77"/>
      <c r="AL1950" s="77"/>
      <c r="AM1950" s="77"/>
      <c r="AN1950" s="77"/>
      <c r="AO1950" s="77"/>
      <c r="AP1950" s="77"/>
      <c r="AQ1950" s="77" t="s">
        <v>12832</v>
      </c>
      <c r="AR1950" s="77"/>
      <c r="AS1950" s="77"/>
      <c r="AT1950" s="77"/>
      <c r="AU1950" s="77"/>
      <c r="AV1950" s="80" t="str">
        <f>HYPERLINK("https://pbs.twimg.com/media/F1zl3RIWYAMdQiZ.jpg")</f>
        <v>https://pbs.twimg.com/media/F1zl3RIWYAMdQiZ.jpg</v>
      </c>
      <c r="AW1950" s="82" t="s">
        <v>15041</v>
      </c>
      <c r="AX1950" s="82" t="s">
        <v>15041</v>
      </c>
      <c r="AY1950" s="77"/>
      <c r="AZ1950" s="82" t="s">
        <v>17385</v>
      </c>
      <c r="BA1950" s="82" t="s">
        <v>17385</v>
      </c>
      <c r="BB1950" s="82" t="s">
        <v>17385</v>
      </c>
      <c r="BC1950" s="82" t="s">
        <v>15041</v>
      </c>
      <c r="BD1950" s="82" t="s">
        <v>17607</v>
      </c>
      <c r="BE1950" s="77"/>
      <c r="BF1950" s="77"/>
      <c r="BG1950" s="77"/>
      <c r="BH1950" s="77"/>
      <c r="BI1950" s="77"/>
    </row>
    <row r="1951" spans="1:61" x14ac:dyDescent="0.25">
      <c r="A1951" s="62" t="s">
        <v>542</v>
      </c>
      <c r="B1951" s="62" t="s">
        <v>542</v>
      </c>
      <c r="C1951" s="63"/>
      <c r="D1951" s="64"/>
      <c r="E1951" s="65"/>
      <c r="F1951" s="66"/>
      <c r="G1951" s="63"/>
      <c r="H1951" s="67"/>
      <c r="I1951" s="68"/>
      <c r="J1951" s="68"/>
      <c r="K1951" s="32"/>
      <c r="L1951" s="75">
        <v>1951</v>
      </c>
      <c r="M1951" s="75"/>
      <c r="N1951" s="70"/>
      <c r="O1951" s="77" t="s">
        <v>179</v>
      </c>
      <c r="P1951" s="79">
        <v>45076.713854166665</v>
      </c>
      <c r="Q1951" s="77" t="s">
        <v>2737</v>
      </c>
      <c r="R1951" s="77">
        <v>0</v>
      </c>
      <c r="S1951" s="77">
        <v>3</v>
      </c>
      <c r="T1951" s="77">
        <v>0</v>
      </c>
      <c r="U1951" s="77">
        <v>0</v>
      </c>
      <c r="V1951" s="77">
        <v>85</v>
      </c>
      <c r="W1951" s="82" t="s">
        <v>6085</v>
      </c>
      <c r="X1951" s="77"/>
      <c r="Y1951" s="77"/>
      <c r="Z1951" s="77"/>
      <c r="AA1951" s="77" t="s">
        <v>7948</v>
      </c>
      <c r="AB1951" s="77" t="s">
        <v>8225</v>
      </c>
      <c r="AC1951" s="82" t="s">
        <v>8232</v>
      </c>
      <c r="AD1951" s="77" t="s">
        <v>8278</v>
      </c>
      <c r="AE1951" s="80" t="str">
        <f>HYPERLINK("https://twitter.com/rodmf/status/1663593097496756236")</f>
        <v>https://twitter.com/rodmf/status/1663593097496756236</v>
      </c>
      <c r="AF1951" s="79">
        <v>45076.713854166665</v>
      </c>
      <c r="AG1951" s="85">
        <v>45076</v>
      </c>
      <c r="AH1951" s="82" t="s">
        <v>10044</v>
      </c>
      <c r="AI1951" s="77" t="b">
        <v>0</v>
      </c>
      <c r="AJ1951" s="77"/>
      <c r="AK1951" s="77"/>
      <c r="AL1951" s="77"/>
      <c r="AM1951" s="77"/>
      <c r="AN1951" s="77"/>
      <c r="AO1951" s="77"/>
      <c r="AP1951" s="77"/>
      <c r="AQ1951" s="77" t="s">
        <v>12833</v>
      </c>
      <c r="AR1951" s="77"/>
      <c r="AS1951" s="77"/>
      <c r="AT1951" s="77"/>
      <c r="AU1951" s="77"/>
      <c r="AV1951" s="80" t="str">
        <f>HYPERLINK("https://pbs.twimg.com/media/FxZE32WWABAU2uV.png")</f>
        <v>https://pbs.twimg.com/media/FxZE32WWABAU2uV.png</v>
      </c>
      <c r="AW1951" s="82" t="s">
        <v>15042</v>
      </c>
      <c r="AX1951" s="82" t="s">
        <v>15042</v>
      </c>
      <c r="AY1951" s="77"/>
      <c r="AZ1951" s="82" t="s">
        <v>17385</v>
      </c>
      <c r="BA1951" s="82" t="s">
        <v>17385</v>
      </c>
      <c r="BB1951" s="82" t="s">
        <v>17385</v>
      </c>
      <c r="BC1951" s="82" t="s">
        <v>15042</v>
      </c>
      <c r="BD1951" s="77">
        <v>33525637</v>
      </c>
      <c r="BE1951" s="77"/>
      <c r="BF1951" s="77"/>
      <c r="BG1951" s="77"/>
      <c r="BH1951" s="77"/>
      <c r="BI1951" s="77"/>
    </row>
    <row r="1952" spans="1:61" x14ac:dyDescent="0.25">
      <c r="A1952" s="62" t="s">
        <v>543</v>
      </c>
      <c r="B1952" s="62" t="s">
        <v>543</v>
      </c>
      <c r="C1952" s="63"/>
      <c r="D1952" s="64"/>
      <c r="E1952" s="65"/>
      <c r="F1952" s="66"/>
      <c r="G1952" s="63"/>
      <c r="H1952" s="67"/>
      <c r="I1952" s="68"/>
      <c r="J1952" s="68"/>
      <c r="K1952" s="32"/>
      <c r="L1952" s="75">
        <v>1952</v>
      </c>
      <c r="M1952" s="75"/>
      <c r="N1952" s="70"/>
      <c r="O1952" s="77" t="s">
        <v>179</v>
      </c>
      <c r="P1952" s="79">
        <v>45050.593854166669</v>
      </c>
      <c r="Q1952" s="77" t="s">
        <v>2738</v>
      </c>
      <c r="R1952" s="77">
        <v>0</v>
      </c>
      <c r="S1952" s="77">
        <v>0</v>
      </c>
      <c r="T1952" s="77">
        <v>0</v>
      </c>
      <c r="U1952" s="77">
        <v>0</v>
      </c>
      <c r="V1952" s="77">
        <v>10</v>
      </c>
      <c r="W1952" s="82" t="s">
        <v>6086</v>
      </c>
      <c r="X1952" s="80" t="str">
        <f>HYPERLINK("https://blogdohiellevy.com.br/deputado-ve-problemas-na-seguranca-do-estado-e-cobra-acoes-mais-efetivas-para-combater-a-criminalidade/")</f>
        <v>https://blogdohiellevy.com.br/deputado-ve-problemas-na-seguranca-do-estado-e-cobra-acoes-mais-efetivas-para-combater-a-criminalidade/</v>
      </c>
      <c r="Y1952" s="77" t="s">
        <v>7053</v>
      </c>
      <c r="Z1952" s="77"/>
      <c r="AA1952" s="77" t="s">
        <v>7949</v>
      </c>
      <c r="AB1952" s="77" t="s">
        <v>8225</v>
      </c>
      <c r="AC1952" s="82" t="s">
        <v>8232</v>
      </c>
      <c r="AD1952" s="77" t="s">
        <v>8278</v>
      </c>
      <c r="AE1952" s="80" t="str">
        <f>HYPERLINK("https://twitter.com/blogdohiel/status/1654127529056440326")</f>
        <v>https://twitter.com/blogdohiel/status/1654127529056440326</v>
      </c>
      <c r="AF1952" s="79">
        <v>45050.593854166669</v>
      </c>
      <c r="AG1952" s="85">
        <v>45050</v>
      </c>
      <c r="AH1952" s="82" t="s">
        <v>10045</v>
      </c>
      <c r="AI1952" s="77" t="b">
        <v>0</v>
      </c>
      <c r="AJ1952" s="77"/>
      <c r="AK1952" s="77"/>
      <c r="AL1952" s="77"/>
      <c r="AM1952" s="77"/>
      <c r="AN1952" s="77"/>
      <c r="AO1952" s="77"/>
      <c r="AP1952" s="77"/>
      <c r="AQ1952" s="77" t="s">
        <v>12834</v>
      </c>
      <c r="AR1952" s="77"/>
      <c r="AS1952" s="77"/>
      <c r="AT1952" s="77"/>
      <c r="AU1952" s="77"/>
      <c r="AV1952" s="80" t="str">
        <f>HYPERLINK("https://pbs.twimg.com/media/FvSkM9TagAE2IqH.jpg")</f>
        <v>https://pbs.twimg.com/media/FvSkM9TagAE2IqH.jpg</v>
      </c>
      <c r="AW1952" s="82" t="s">
        <v>15043</v>
      </c>
      <c r="AX1952" s="82" t="s">
        <v>15043</v>
      </c>
      <c r="AY1952" s="77"/>
      <c r="AZ1952" s="82" t="s">
        <v>17385</v>
      </c>
      <c r="BA1952" s="82" t="s">
        <v>17385</v>
      </c>
      <c r="BB1952" s="82" t="s">
        <v>17385</v>
      </c>
      <c r="BC1952" s="82" t="s">
        <v>15043</v>
      </c>
      <c r="BD1952" s="82" t="s">
        <v>17608</v>
      </c>
      <c r="BE1952" s="77"/>
      <c r="BF1952" s="77"/>
      <c r="BG1952" s="77"/>
      <c r="BH1952" s="77"/>
      <c r="BI1952" s="77"/>
    </row>
    <row r="1953" spans="1:61" x14ac:dyDescent="0.25">
      <c r="A1953" s="62" t="s">
        <v>543</v>
      </c>
      <c r="B1953" s="62" t="s">
        <v>543</v>
      </c>
      <c r="C1953" s="63"/>
      <c r="D1953" s="64"/>
      <c r="E1953" s="65"/>
      <c r="F1953" s="66"/>
      <c r="G1953" s="63"/>
      <c r="H1953" s="67"/>
      <c r="I1953" s="68"/>
      <c r="J1953" s="68"/>
      <c r="K1953" s="32"/>
      <c r="L1953" s="75">
        <v>1953</v>
      </c>
      <c r="M1953" s="75"/>
      <c r="N1953" s="70"/>
      <c r="O1953" s="77" t="s">
        <v>179</v>
      </c>
      <c r="P1953" s="79">
        <v>45048.023321759261</v>
      </c>
      <c r="Q1953" s="77" t="s">
        <v>2739</v>
      </c>
      <c r="R1953" s="77">
        <v>0</v>
      </c>
      <c r="S1953" s="77">
        <v>0</v>
      </c>
      <c r="T1953" s="77">
        <v>0</v>
      </c>
      <c r="U1953" s="77">
        <v>0</v>
      </c>
      <c r="V1953" s="77">
        <v>14</v>
      </c>
      <c r="W1953" s="82" t="s">
        <v>6087</v>
      </c>
      <c r="X1953" s="80" t="str">
        <f>HYPERLINK("https://blogdohiellevy.com.br/david-destaca-acoes-da-prefeitura-para-atender-autistas/")</f>
        <v>https://blogdohiellevy.com.br/david-destaca-acoes-da-prefeitura-para-atender-autistas/</v>
      </c>
      <c r="Y1953" s="77" t="s">
        <v>7053</v>
      </c>
      <c r="Z1953" s="77"/>
      <c r="AA1953" s="77"/>
      <c r="AB1953" s="77"/>
      <c r="AC1953" s="82" t="s">
        <v>8232</v>
      </c>
      <c r="AD1953" s="77" t="s">
        <v>8278</v>
      </c>
      <c r="AE1953" s="80" t="str">
        <f>HYPERLINK("https://twitter.com/blogdohiel/status/1653195997516820480")</f>
        <v>https://twitter.com/blogdohiel/status/1653195997516820480</v>
      </c>
      <c r="AF1953" s="79">
        <v>45048.023321759261</v>
      </c>
      <c r="AG1953" s="85">
        <v>45048</v>
      </c>
      <c r="AH1953" s="82" t="s">
        <v>10046</v>
      </c>
      <c r="AI1953" s="77" t="b">
        <v>0</v>
      </c>
      <c r="AJ1953" s="77"/>
      <c r="AK1953" s="77"/>
      <c r="AL1953" s="77"/>
      <c r="AM1953" s="77"/>
      <c r="AN1953" s="77"/>
      <c r="AO1953" s="77"/>
      <c r="AP1953" s="77"/>
      <c r="AQ1953" s="77"/>
      <c r="AR1953" s="77"/>
      <c r="AS1953" s="77"/>
      <c r="AT1953" s="77"/>
      <c r="AU1953" s="77"/>
      <c r="AV1953" s="80" t="str">
        <f>HYPERLINK("https://pbs.twimg.com/profile_images/1428428579885486081/0Mg8DapI_normal.jpg")</f>
        <v>https://pbs.twimg.com/profile_images/1428428579885486081/0Mg8DapI_normal.jpg</v>
      </c>
      <c r="AW1953" s="82" t="s">
        <v>15044</v>
      </c>
      <c r="AX1953" s="82" t="s">
        <v>15044</v>
      </c>
      <c r="AY1953" s="77"/>
      <c r="AZ1953" s="82" t="s">
        <v>17385</v>
      </c>
      <c r="BA1953" s="82" t="s">
        <v>17385</v>
      </c>
      <c r="BB1953" s="82" t="s">
        <v>17385</v>
      </c>
      <c r="BC1953" s="82" t="s">
        <v>15044</v>
      </c>
      <c r="BD1953" s="82" t="s">
        <v>17608</v>
      </c>
      <c r="BE1953" s="77"/>
      <c r="BF1953" s="77"/>
      <c r="BG1953" s="77"/>
      <c r="BH1953" s="77"/>
      <c r="BI1953" s="77"/>
    </row>
    <row r="1954" spans="1:61" x14ac:dyDescent="0.25">
      <c r="A1954" s="62" t="s">
        <v>543</v>
      </c>
      <c r="B1954" s="62" t="s">
        <v>543</v>
      </c>
      <c r="C1954" s="63"/>
      <c r="D1954" s="64"/>
      <c r="E1954" s="65"/>
      <c r="F1954" s="66"/>
      <c r="G1954" s="63"/>
      <c r="H1954" s="67"/>
      <c r="I1954" s="68"/>
      <c r="J1954" s="68"/>
      <c r="K1954" s="32"/>
      <c r="L1954" s="75">
        <v>1954</v>
      </c>
      <c r="M1954" s="75"/>
      <c r="N1954" s="70"/>
      <c r="O1954" s="77" t="s">
        <v>179</v>
      </c>
      <c r="P1954" s="79">
        <v>45086.805694444447</v>
      </c>
      <c r="Q1954" s="77" t="s">
        <v>2740</v>
      </c>
      <c r="R1954" s="77">
        <v>0</v>
      </c>
      <c r="S1954" s="77">
        <v>0</v>
      </c>
      <c r="T1954" s="77">
        <v>0</v>
      </c>
      <c r="U1954" s="77">
        <v>0</v>
      </c>
      <c r="V1954" s="77">
        <v>20</v>
      </c>
      <c r="W1954" s="82" t="s">
        <v>6088</v>
      </c>
      <c r="X1954" s="80" t="str">
        <f>HYPERLINK("https://blogdohiellevy.com.br/amazonas-energia-investe-na-preservacao-da-fauna-e-promove-acoes-na-semana-do-meio-ambiente/")</f>
        <v>https://blogdohiellevy.com.br/amazonas-energia-investe-na-preservacao-da-fauna-e-promove-acoes-na-semana-do-meio-ambiente/</v>
      </c>
      <c r="Y1954" s="77" t="s">
        <v>7053</v>
      </c>
      <c r="Z1954" s="77"/>
      <c r="AA1954" s="77" t="s">
        <v>7950</v>
      </c>
      <c r="AB1954" s="77" t="s">
        <v>8225</v>
      </c>
      <c r="AC1954" s="82" t="s">
        <v>8232</v>
      </c>
      <c r="AD1954" s="77" t="s">
        <v>8278</v>
      </c>
      <c r="AE1954" s="80" t="str">
        <f>HYPERLINK("https://twitter.com/blogdohiel/status/1667250258282250240")</f>
        <v>https://twitter.com/blogdohiel/status/1667250258282250240</v>
      </c>
      <c r="AF1954" s="79">
        <v>45086.805694444447</v>
      </c>
      <c r="AG1954" s="85">
        <v>45086</v>
      </c>
      <c r="AH1954" s="82" t="s">
        <v>10047</v>
      </c>
      <c r="AI1954" s="77" t="b">
        <v>0</v>
      </c>
      <c r="AJ1954" s="77"/>
      <c r="AK1954" s="77"/>
      <c r="AL1954" s="77"/>
      <c r="AM1954" s="77"/>
      <c r="AN1954" s="77"/>
      <c r="AO1954" s="77"/>
      <c r="AP1954" s="77"/>
      <c r="AQ1954" s="77" t="s">
        <v>12835</v>
      </c>
      <c r="AR1954" s="77"/>
      <c r="AS1954" s="77"/>
      <c r="AT1954" s="77"/>
      <c r="AU1954" s="77"/>
      <c r="AV1954" s="80" t="str">
        <f>HYPERLINK("https://pbs.twimg.com/media/FyNDQ-3XgAA6_o0.jpg")</f>
        <v>https://pbs.twimg.com/media/FyNDQ-3XgAA6_o0.jpg</v>
      </c>
      <c r="AW1954" s="82" t="s">
        <v>15045</v>
      </c>
      <c r="AX1954" s="82" t="s">
        <v>15045</v>
      </c>
      <c r="AY1954" s="77"/>
      <c r="AZ1954" s="82" t="s">
        <v>17385</v>
      </c>
      <c r="BA1954" s="82" t="s">
        <v>17385</v>
      </c>
      <c r="BB1954" s="82" t="s">
        <v>17385</v>
      </c>
      <c r="BC1954" s="82" t="s">
        <v>15045</v>
      </c>
      <c r="BD1954" s="82" t="s">
        <v>17608</v>
      </c>
      <c r="BE1954" s="77"/>
      <c r="BF1954" s="77"/>
      <c r="BG1954" s="77"/>
      <c r="BH1954" s="77"/>
      <c r="BI1954" s="77"/>
    </row>
    <row r="1955" spans="1:61" x14ac:dyDescent="0.25">
      <c r="A1955" s="62" t="s">
        <v>543</v>
      </c>
      <c r="B1955" s="62" t="s">
        <v>543</v>
      </c>
      <c r="C1955" s="63"/>
      <c r="D1955" s="64"/>
      <c r="E1955" s="65"/>
      <c r="F1955" s="66"/>
      <c r="G1955" s="63"/>
      <c r="H1955" s="67"/>
      <c r="I1955" s="68"/>
      <c r="J1955" s="68"/>
      <c r="K1955" s="32"/>
      <c r="L1955" s="75">
        <v>1955</v>
      </c>
      <c r="M1955" s="75"/>
      <c r="N1955" s="70"/>
      <c r="O1955" s="77" t="s">
        <v>179</v>
      </c>
      <c r="P1955" s="79">
        <v>45104.816087962965</v>
      </c>
      <c r="Q1955" s="77" t="s">
        <v>2741</v>
      </c>
      <c r="R1955" s="77">
        <v>0</v>
      </c>
      <c r="S1955" s="77">
        <v>0</v>
      </c>
      <c r="T1955" s="77">
        <v>0</v>
      </c>
      <c r="U1955" s="77">
        <v>0</v>
      </c>
      <c r="V1955" s="77">
        <v>15</v>
      </c>
      <c r="W1955" s="82" t="s">
        <v>6089</v>
      </c>
      <c r="X1955" s="80" t="str">
        <f>HYPERLINK("https://blogdohiellevy.com.br/em-presidente-figueiredo-comunidades-do-rio-uatuma-recebem-mutirao-de-acoes-com-emissao-de-documentos-e-atendimento-odontologico/")</f>
        <v>https://blogdohiellevy.com.br/em-presidente-figueiredo-comunidades-do-rio-uatuma-recebem-mutirao-de-acoes-com-emissao-de-documentos-e-atendimento-odontologico/</v>
      </c>
      <c r="Y1955" s="77" t="s">
        <v>7053</v>
      </c>
      <c r="Z1955" s="77"/>
      <c r="AA1955" s="77" t="s">
        <v>7951</v>
      </c>
      <c r="AB1955" s="77" t="s">
        <v>8225</v>
      </c>
      <c r="AC1955" s="82" t="s">
        <v>8232</v>
      </c>
      <c r="AD1955" s="77" t="s">
        <v>8278</v>
      </c>
      <c r="AE1955" s="80" t="str">
        <f>HYPERLINK("https://twitter.com/blogdohiel/status/1673777005458857988")</f>
        <v>https://twitter.com/blogdohiel/status/1673777005458857988</v>
      </c>
      <c r="AF1955" s="79">
        <v>45104.816087962965</v>
      </c>
      <c r="AG1955" s="85">
        <v>45104</v>
      </c>
      <c r="AH1955" s="82" t="s">
        <v>10048</v>
      </c>
      <c r="AI1955" s="77" t="b">
        <v>0</v>
      </c>
      <c r="AJ1955" s="77"/>
      <c r="AK1955" s="77"/>
      <c r="AL1955" s="77"/>
      <c r="AM1955" s="77"/>
      <c r="AN1955" s="77"/>
      <c r="AO1955" s="77"/>
      <c r="AP1955" s="77"/>
      <c r="AQ1955" s="77" t="s">
        <v>12836</v>
      </c>
      <c r="AR1955" s="77"/>
      <c r="AS1955" s="77"/>
      <c r="AT1955" s="77"/>
      <c r="AU1955" s="77"/>
      <c r="AV1955" s="80" t="str">
        <f>HYPERLINK("https://pbs.twimg.com/media/FzpzTr3XgAMhy2Q.jpg")</f>
        <v>https://pbs.twimg.com/media/FzpzTr3XgAMhy2Q.jpg</v>
      </c>
      <c r="AW1955" s="82" t="s">
        <v>15046</v>
      </c>
      <c r="AX1955" s="82" t="s">
        <v>15046</v>
      </c>
      <c r="AY1955" s="77"/>
      <c r="AZ1955" s="82" t="s">
        <v>17385</v>
      </c>
      <c r="BA1955" s="82" t="s">
        <v>17385</v>
      </c>
      <c r="BB1955" s="82" t="s">
        <v>17385</v>
      </c>
      <c r="BC1955" s="82" t="s">
        <v>15046</v>
      </c>
      <c r="BD1955" s="82" t="s">
        <v>17608</v>
      </c>
      <c r="BE1955" s="77"/>
      <c r="BF1955" s="77"/>
      <c r="BG1955" s="77"/>
      <c r="BH1955" s="77"/>
      <c r="BI1955" s="77"/>
    </row>
    <row r="1956" spans="1:61" x14ac:dyDescent="0.25">
      <c r="A1956" s="62" t="s">
        <v>543</v>
      </c>
      <c r="B1956" s="62" t="s">
        <v>543</v>
      </c>
      <c r="C1956" s="63"/>
      <c r="D1956" s="64"/>
      <c r="E1956" s="65"/>
      <c r="F1956" s="66"/>
      <c r="G1956" s="63"/>
      <c r="H1956" s="67"/>
      <c r="I1956" s="68"/>
      <c r="J1956" s="68"/>
      <c r="K1956" s="32"/>
      <c r="L1956" s="75">
        <v>1956</v>
      </c>
      <c r="M1956" s="75"/>
      <c r="N1956" s="70"/>
      <c r="O1956" s="77" t="s">
        <v>179</v>
      </c>
      <c r="P1956" s="79">
        <v>45082.58525462963</v>
      </c>
      <c r="Q1956" s="77" t="s">
        <v>2742</v>
      </c>
      <c r="R1956" s="77">
        <v>0</v>
      </c>
      <c r="S1956" s="77">
        <v>0</v>
      </c>
      <c r="T1956" s="77">
        <v>0</v>
      </c>
      <c r="U1956" s="77">
        <v>0</v>
      </c>
      <c r="V1956" s="77">
        <v>9</v>
      </c>
      <c r="W1956" s="82" t="s">
        <v>6090</v>
      </c>
      <c r="X1956" s="80" t="str">
        <f>HYPERLINK("https://blogdohiellevy.com.br/soberania-da-amazonia-esta-sob-ameaca-por-causa-da-acao-de-faccoes-aponta-forum-brasileiro-de-seguranca-publica/")</f>
        <v>https://blogdohiellevy.com.br/soberania-da-amazonia-esta-sob-ameaca-por-causa-da-acao-de-faccoes-aponta-forum-brasileiro-de-seguranca-publica/</v>
      </c>
      <c r="Y1956" s="77" t="s">
        <v>7053</v>
      </c>
      <c r="Z1956" s="77"/>
      <c r="AA1956" s="77" t="s">
        <v>7952</v>
      </c>
      <c r="AB1956" s="77" t="s">
        <v>8225</v>
      </c>
      <c r="AC1956" s="82" t="s">
        <v>8232</v>
      </c>
      <c r="AD1956" s="77" t="s">
        <v>8278</v>
      </c>
      <c r="AE1956" s="80" t="str">
        <f>HYPERLINK("https://twitter.com/blogdohiel/status/1665720823984824322")</f>
        <v>https://twitter.com/blogdohiel/status/1665720823984824322</v>
      </c>
      <c r="AF1956" s="79">
        <v>45082.58525462963</v>
      </c>
      <c r="AG1956" s="85">
        <v>45082</v>
      </c>
      <c r="AH1956" s="82" t="s">
        <v>10049</v>
      </c>
      <c r="AI1956" s="77" t="b">
        <v>0</v>
      </c>
      <c r="AJ1956" s="77"/>
      <c r="AK1956" s="77"/>
      <c r="AL1956" s="77"/>
      <c r="AM1956" s="77"/>
      <c r="AN1956" s="77"/>
      <c r="AO1956" s="77"/>
      <c r="AP1956" s="77"/>
      <c r="AQ1956" s="77" t="s">
        <v>12837</v>
      </c>
      <c r="AR1956" s="77"/>
      <c r="AS1956" s="77"/>
      <c r="AT1956" s="77"/>
      <c r="AU1956" s="77"/>
      <c r="AV1956" s="80" t="str">
        <f>HYPERLINK("https://pbs.twimg.com/media/Fx3UQIIWcAMlgoP.jpg")</f>
        <v>https://pbs.twimg.com/media/Fx3UQIIWcAMlgoP.jpg</v>
      </c>
      <c r="AW1956" s="82" t="s">
        <v>15047</v>
      </c>
      <c r="AX1956" s="82" t="s">
        <v>15047</v>
      </c>
      <c r="AY1956" s="77"/>
      <c r="AZ1956" s="82" t="s">
        <v>17385</v>
      </c>
      <c r="BA1956" s="82" t="s">
        <v>17385</v>
      </c>
      <c r="BB1956" s="82" t="s">
        <v>17385</v>
      </c>
      <c r="BC1956" s="82" t="s">
        <v>15047</v>
      </c>
      <c r="BD1956" s="82" t="s">
        <v>17608</v>
      </c>
      <c r="BE1956" s="77"/>
      <c r="BF1956" s="77"/>
      <c r="BG1956" s="77"/>
      <c r="BH1956" s="77"/>
      <c r="BI1956" s="77"/>
    </row>
    <row r="1957" spans="1:61" x14ac:dyDescent="0.25">
      <c r="A1957" s="62" t="s">
        <v>543</v>
      </c>
      <c r="B1957" s="62" t="s">
        <v>543</v>
      </c>
      <c r="C1957" s="63"/>
      <c r="D1957" s="64"/>
      <c r="E1957" s="65"/>
      <c r="F1957" s="66"/>
      <c r="G1957" s="63"/>
      <c r="H1957" s="67"/>
      <c r="I1957" s="68"/>
      <c r="J1957" s="68"/>
      <c r="K1957" s="32"/>
      <c r="L1957" s="75">
        <v>1957</v>
      </c>
      <c r="M1957" s="75"/>
      <c r="N1957" s="70"/>
      <c r="O1957" s="77" t="s">
        <v>179</v>
      </c>
      <c r="P1957" s="79">
        <v>45156.63685185185</v>
      </c>
      <c r="Q1957" s="77" t="s">
        <v>2743</v>
      </c>
      <c r="R1957" s="77">
        <v>0</v>
      </c>
      <c r="S1957" s="77">
        <v>0</v>
      </c>
      <c r="T1957" s="77">
        <v>0</v>
      </c>
      <c r="U1957" s="77">
        <v>0</v>
      </c>
      <c r="V1957" s="77">
        <v>12</v>
      </c>
      <c r="W1957" s="82" t="s">
        <v>6091</v>
      </c>
      <c r="X1957" s="80" t="str">
        <f>HYPERLINK("https://blogdohiellevy.com.br/deputado-amazonense-se-reune-em-brasilia-com-bolsonaro-para-alinhar-acoes/")</f>
        <v>https://blogdohiellevy.com.br/deputado-amazonense-se-reune-em-brasilia-com-bolsonaro-para-alinhar-acoes/</v>
      </c>
      <c r="Y1957" s="77" t="s">
        <v>7053</v>
      </c>
      <c r="Z1957" s="77"/>
      <c r="AA1957" s="77" t="s">
        <v>7953</v>
      </c>
      <c r="AB1957" s="77" t="s">
        <v>8225</v>
      </c>
      <c r="AC1957" s="82" t="s">
        <v>8232</v>
      </c>
      <c r="AD1957" s="77" t="s">
        <v>8278</v>
      </c>
      <c r="AE1957" s="80" t="str">
        <f>HYPERLINK("https://twitter.com/blogdohiel/status/1692556221679567187")</f>
        <v>https://twitter.com/blogdohiel/status/1692556221679567187</v>
      </c>
      <c r="AF1957" s="79">
        <v>45156.63685185185</v>
      </c>
      <c r="AG1957" s="85">
        <v>45156</v>
      </c>
      <c r="AH1957" s="82" t="s">
        <v>10050</v>
      </c>
      <c r="AI1957" s="77" t="b">
        <v>0</v>
      </c>
      <c r="AJ1957" s="77"/>
      <c r="AK1957" s="77"/>
      <c r="AL1957" s="77"/>
      <c r="AM1957" s="77"/>
      <c r="AN1957" s="77"/>
      <c r="AO1957" s="77"/>
      <c r="AP1957" s="77"/>
      <c r="AQ1957" s="77" t="s">
        <v>12838</v>
      </c>
      <c r="AR1957" s="77"/>
      <c r="AS1957" s="77"/>
      <c r="AT1957" s="77"/>
      <c r="AU1957" s="77"/>
      <c r="AV1957" s="80" t="str">
        <f>HYPERLINK("https://pbs.twimg.com/media/F30q5a8W4AAhiM0.jpg")</f>
        <v>https://pbs.twimg.com/media/F30q5a8W4AAhiM0.jpg</v>
      </c>
      <c r="AW1957" s="82" t="s">
        <v>15048</v>
      </c>
      <c r="AX1957" s="82" t="s">
        <v>15048</v>
      </c>
      <c r="AY1957" s="77"/>
      <c r="AZ1957" s="82" t="s">
        <v>17385</v>
      </c>
      <c r="BA1957" s="82" t="s">
        <v>17385</v>
      </c>
      <c r="BB1957" s="82" t="s">
        <v>17385</v>
      </c>
      <c r="BC1957" s="82" t="s">
        <v>15048</v>
      </c>
      <c r="BD1957" s="82" t="s">
        <v>17608</v>
      </c>
      <c r="BE1957" s="77"/>
      <c r="BF1957" s="77"/>
      <c r="BG1957" s="77"/>
      <c r="BH1957" s="77"/>
      <c r="BI1957" s="77"/>
    </row>
    <row r="1958" spans="1:61" x14ac:dyDescent="0.25">
      <c r="A1958" s="62" t="s">
        <v>544</v>
      </c>
      <c r="B1958" s="62" t="s">
        <v>544</v>
      </c>
      <c r="C1958" s="63"/>
      <c r="D1958" s="64"/>
      <c r="E1958" s="65"/>
      <c r="F1958" s="66"/>
      <c r="G1958" s="63"/>
      <c r="H1958" s="67"/>
      <c r="I1958" s="68"/>
      <c r="J1958" s="68"/>
      <c r="K1958" s="32"/>
      <c r="L1958" s="75">
        <v>1958</v>
      </c>
      <c r="M1958" s="75"/>
      <c r="N1958" s="70"/>
      <c r="O1958" s="77" t="s">
        <v>179</v>
      </c>
      <c r="P1958" s="79">
        <v>45044.968460648146</v>
      </c>
      <c r="Q1958" s="77" t="s">
        <v>2744</v>
      </c>
      <c r="R1958" s="77">
        <v>0</v>
      </c>
      <c r="S1958" s="77">
        <v>0</v>
      </c>
      <c r="T1958" s="77">
        <v>0</v>
      </c>
      <c r="U1958" s="77">
        <v>0</v>
      </c>
      <c r="V1958" s="77">
        <v>2</v>
      </c>
      <c r="W1958" s="82" t="s">
        <v>6092</v>
      </c>
      <c r="X1958" s="80" t="str">
        <f>HYPERLINK("http://dlvr.it/SnFPjm")</f>
        <v>http://dlvr.it/SnFPjm</v>
      </c>
      <c r="Y1958" s="77" t="s">
        <v>7094</v>
      </c>
      <c r="Z1958" s="77"/>
      <c r="AA1958" s="77"/>
      <c r="AB1958" s="77"/>
      <c r="AC1958" s="82" t="s">
        <v>7094</v>
      </c>
      <c r="AD1958" s="77" t="s">
        <v>8278</v>
      </c>
      <c r="AE1958" s="80" t="str">
        <f>HYPERLINK("https://twitter.com/plu7oficial/status/1652088955146473473")</f>
        <v>https://twitter.com/plu7oficial/status/1652088955146473473</v>
      </c>
      <c r="AF1958" s="79">
        <v>45044.968460648146</v>
      </c>
      <c r="AG1958" s="85">
        <v>45044</v>
      </c>
      <c r="AH1958" s="82" t="s">
        <v>10051</v>
      </c>
      <c r="AI1958" s="77" t="b">
        <v>0</v>
      </c>
      <c r="AJ1958" s="77"/>
      <c r="AK1958" s="77"/>
      <c r="AL1958" s="77"/>
      <c r="AM1958" s="77"/>
      <c r="AN1958" s="77"/>
      <c r="AO1958" s="77"/>
      <c r="AP1958" s="77"/>
      <c r="AQ1958" s="77"/>
      <c r="AR1958" s="77"/>
      <c r="AS1958" s="77"/>
      <c r="AT1958" s="77"/>
      <c r="AU1958" s="77"/>
      <c r="AV1958" s="80" t="str">
        <f>HYPERLINK("https://pbs.twimg.com/profile_images/1362043512531914755/MDpv7b99_normal.jpg")</f>
        <v>https://pbs.twimg.com/profile_images/1362043512531914755/MDpv7b99_normal.jpg</v>
      </c>
      <c r="AW1958" s="82" t="s">
        <v>15049</v>
      </c>
      <c r="AX1958" s="82" t="s">
        <v>15049</v>
      </c>
      <c r="AY1958" s="77"/>
      <c r="AZ1958" s="82" t="s">
        <v>17385</v>
      </c>
      <c r="BA1958" s="82" t="s">
        <v>17385</v>
      </c>
      <c r="BB1958" s="82" t="s">
        <v>17385</v>
      </c>
      <c r="BC1958" s="82" t="s">
        <v>15049</v>
      </c>
      <c r="BD1958" s="82" t="s">
        <v>17609</v>
      </c>
      <c r="BE1958" s="77"/>
      <c r="BF1958" s="77"/>
      <c r="BG1958" s="77"/>
      <c r="BH1958" s="77"/>
      <c r="BI1958" s="77"/>
    </row>
    <row r="1959" spans="1:61" x14ac:dyDescent="0.25">
      <c r="A1959" s="62" t="s">
        <v>544</v>
      </c>
      <c r="B1959" s="62" t="s">
        <v>544</v>
      </c>
      <c r="C1959" s="63"/>
      <c r="D1959" s="64"/>
      <c r="E1959" s="65"/>
      <c r="F1959" s="66"/>
      <c r="G1959" s="63"/>
      <c r="H1959" s="67"/>
      <c r="I1959" s="68"/>
      <c r="J1959" s="68"/>
      <c r="K1959" s="32"/>
      <c r="L1959" s="75">
        <v>1959</v>
      </c>
      <c r="M1959" s="75"/>
      <c r="N1959" s="70"/>
      <c r="O1959" s="77" t="s">
        <v>179</v>
      </c>
      <c r="P1959" s="79">
        <v>45049.325740740744</v>
      </c>
      <c r="Q1959" s="77" t="s">
        <v>2745</v>
      </c>
      <c r="R1959" s="77">
        <v>0</v>
      </c>
      <c r="S1959" s="77">
        <v>0</v>
      </c>
      <c r="T1959" s="77">
        <v>0</v>
      </c>
      <c r="U1959" s="77">
        <v>0</v>
      </c>
      <c r="V1959" s="77">
        <v>2</v>
      </c>
      <c r="W1959" s="82" t="s">
        <v>6093</v>
      </c>
      <c r="X1959" s="80" t="str">
        <f>HYPERLINK("http://dlvr.it/SnS17W")</f>
        <v>http://dlvr.it/SnS17W</v>
      </c>
      <c r="Y1959" s="77" t="s">
        <v>7094</v>
      </c>
      <c r="Z1959" s="77"/>
      <c r="AA1959" s="77"/>
      <c r="AB1959" s="77"/>
      <c r="AC1959" s="82" t="s">
        <v>7094</v>
      </c>
      <c r="AD1959" s="77" t="s">
        <v>8278</v>
      </c>
      <c r="AE1959" s="80" t="str">
        <f>HYPERLINK("https://twitter.com/plu7oficial/status/1653667977601101825")</f>
        <v>https://twitter.com/plu7oficial/status/1653667977601101825</v>
      </c>
      <c r="AF1959" s="79">
        <v>45049.325740740744</v>
      </c>
      <c r="AG1959" s="85">
        <v>45049</v>
      </c>
      <c r="AH1959" s="82" t="s">
        <v>10052</v>
      </c>
      <c r="AI1959" s="77" t="b">
        <v>0</v>
      </c>
      <c r="AJ1959" s="77"/>
      <c r="AK1959" s="77"/>
      <c r="AL1959" s="77"/>
      <c r="AM1959" s="77"/>
      <c r="AN1959" s="77"/>
      <c r="AO1959" s="77"/>
      <c r="AP1959" s="77"/>
      <c r="AQ1959" s="77"/>
      <c r="AR1959" s="77"/>
      <c r="AS1959" s="77"/>
      <c r="AT1959" s="77"/>
      <c r="AU1959" s="77"/>
      <c r="AV1959" s="80" t="str">
        <f>HYPERLINK("https://pbs.twimg.com/profile_images/1362043512531914755/MDpv7b99_normal.jpg")</f>
        <v>https://pbs.twimg.com/profile_images/1362043512531914755/MDpv7b99_normal.jpg</v>
      </c>
      <c r="AW1959" s="82" t="s">
        <v>15050</v>
      </c>
      <c r="AX1959" s="82" t="s">
        <v>15050</v>
      </c>
      <c r="AY1959" s="77"/>
      <c r="AZ1959" s="82" t="s">
        <v>17385</v>
      </c>
      <c r="BA1959" s="82" t="s">
        <v>17385</v>
      </c>
      <c r="BB1959" s="82" t="s">
        <v>17385</v>
      </c>
      <c r="BC1959" s="82" t="s">
        <v>15050</v>
      </c>
      <c r="BD1959" s="82" t="s">
        <v>17609</v>
      </c>
      <c r="BE1959" s="77"/>
      <c r="BF1959" s="77"/>
      <c r="BG1959" s="77"/>
      <c r="BH1959" s="77"/>
      <c r="BI1959" s="77"/>
    </row>
    <row r="1960" spans="1:61" x14ac:dyDescent="0.25">
      <c r="A1960" s="62" t="s">
        <v>544</v>
      </c>
      <c r="B1960" s="62" t="s">
        <v>544</v>
      </c>
      <c r="C1960" s="63"/>
      <c r="D1960" s="64"/>
      <c r="E1960" s="65"/>
      <c r="F1960" s="66"/>
      <c r="G1960" s="63"/>
      <c r="H1960" s="67"/>
      <c r="I1960" s="68"/>
      <c r="J1960" s="68"/>
      <c r="K1960" s="32"/>
      <c r="L1960" s="75">
        <v>1960</v>
      </c>
      <c r="M1960" s="75"/>
      <c r="N1960" s="70"/>
      <c r="O1960" s="77" t="s">
        <v>179</v>
      </c>
      <c r="P1960" s="79">
        <v>45099.457395833335</v>
      </c>
      <c r="Q1960" s="77" t="s">
        <v>2746</v>
      </c>
      <c r="R1960" s="77">
        <v>0</v>
      </c>
      <c r="S1960" s="77">
        <v>0</v>
      </c>
      <c r="T1960" s="77">
        <v>0</v>
      </c>
      <c r="U1960" s="77">
        <v>0</v>
      </c>
      <c r="V1960" s="77">
        <v>44</v>
      </c>
      <c r="W1960" s="82" t="s">
        <v>6094</v>
      </c>
      <c r="X1960" s="80" t="str">
        <f>HYPERLINK("http://dlvr.it/Sr3pbc")</f>
        <v>http://dlvr.it/Sr3pbc</v>
      </c>
      <c r="Y1960" s="77" t="s">
        <v>7094</v>
      </c>
      <c r="Z1960" s="77"/>
      <c r="AA1960" s="77"/>
      <c r="AB1960" s="77"/>
      <c r="AC1960" s="82" t="s">
        <v>7094</v>
      </c>
      <c r="AD1960" s="77" t="s">
        <v>8278</v>
      </c>
      <c r="AE1960" s="80" t="str">
        <f>HYPERLINK("https://twitter.com/plu7oficial/status/1671835083265941504")</f>
        <v>https://twitter.com/plu7oficial/status/1671835083265941504</v>
      </c>
      <c r="AF1960" s="79">
        <v>45099.457395833335</v>
      </c>
      <c r="AG1960" s="85">
        <v>45099</v>
      </c>
      <c r="AH1960" s="82" t="s">
        <v>10053</v>
      </c>
      <c r="AI1960" s="77" t="b">
        <v>0</v>
      </c>
      <c r="AJ1960" s="77"/>
      <c r="AK1960" s="77"/>
      <c r="AL1960" s="77"/>
      <c r="AM1960" s="77"/>
      <c r="AN1960" s="77"/>
      <c r="AO1960" s="77"/>
      <c r="AP1960" s="77"/>
      <c r="AQ1960" s="77"/>
      <c r="AR1960" s="77"/>
      <c r="AS1960" s="77"/>
      <c r="AT1960" s="77"/>
      <c r="AU1960" s="77"/>
      <c r="AV1960" s="80" t="str">
        <f>HYPERLINK("https://pbs.twimg.com/profile_images/1362043512531914755/MDpv7b99_normal.jpg")</f>
        <v>https://pbs.twimg.com/profile_images/1362043512531914755/MDpv7b99_normal.jpg</v>
      </c>
      <c r="AW1960" s="82" t="s">
        <v>15051</v>
      </c>
      <c r="AX1960" s="82" t="s">
        <v>15051</v>
      </c>
      <c r="AY1960" s="77"/>
      <c r="AZ1960" s="82" t="s">
        <v>17385</v>
      </c>
      <c r="BA1960" s="82" t="s">
        <v>17385</v>
      </c>
      <c r="BB1960" s="82" t="s">
        <v>17385</v>
      </c>
      <c r="BC1960" s="82" t="s">
        <v>15051</v>
      </c>
      <c r="BD1960" s="82" t="s">
        <v>17609</v>
      </c>
      <c r="BE1960" s="77"/>
      <c r="BF1960" s="77"/>
      <c r="BG1960" s="77"/>
      <c r="BH1960" s="77"/>
      <c r="BI1960" s="77"/>
    </row>
    <row r="1961" spans="1:61" x14ac:dyDescent="0.25">
      <c r="A1961" s="62" t="s">
        <v>545</v>
      </c>
      <c r="B1961" s="62" t="s">
        <v>545</v>
      </c>
      <c r="C1961" s="63"/>
      <c r="D1961" s="64"/>
      <c r="E1961" s="65"/>
      <c r="F1961" s="66"/>
      <c r="G1961" s="63"/>
      <c r="H1961" s="67"/>
      <c r="I1961" s="68"/>
      <c r="J1961" s="68"/>
      <c r="K1961" s="32"/>
      <c r="L1961" s="75">
        <v>1961</v>
      </c>
      <c r="M1961" s="75"/>
      <c r="N1961" s="70"/>
      <c r="O1961" s="77" t="s">
        <v>179</v>
      </c>
      <c r="P1961" s="79">
        <v>45073.524108796293</v>
      </c>
      <c r="Q1961" s="77" t="s">
        <v>2747</v>
      </c>
      <c r="R1961" s="77">
        <v>0</v>
      </c>
      <c r="S1961" s="77">
        <v>0</v>
      </c>
      <c r="T1961" s="77">
        <v>0</v>
      </c>
      <c r="U1961" s="77">
        <v>0</v>
      </c>
      <c r="V1961" s="77">
        <v>26</v>
      </c>
      <c r="W1961" s="82" t="s">
        <v>4835</v>
      </c>
      <c r="X1961" s="77"/>
      <c r="Y1961" s="77"/>
      <c r="Z1961" s="77"/>
      <c r="AA1961" s="77" t="s">
        <v>7954</v>
      </c>
      <c r="AB1961" s="77" t="s">
        <v>8225</v>
      </c>
      <c r="AC1961" s="82" t="s">
        <v>8255</v>
      </c>
      <c r="AD1961" s="77" t="s">
        <v>8285</v>
      </c>
      <c r="AE1961" s="80" t="str">
        <f>HYPERLINK("https://twitter.com/coingraphnewspt/status/1662437175588167683")</f>
        <v>https://twitter.com/coingraphnewspt/status/1662437175588167683</v>
      </c>
      <c r="AF1961" s="79">
        <v>45073.524108796293</v>
      </c>
      <c r="AG1961" s="85">
        <v>45073</v>
      </c>
      <c r="AH1961" s="82" t="s">
        <v>10054</v>
      </c>
      <c r="AI1961" s="77" t="b">
        <v>0</v>
      </c>
      <c r="AJ1961" s="77"/>
      <c r="AK1961" s="77"/>
      <c r="AL1961" s="77"/>
      <c r="AM1961" s="77"/>
      <c r="AN1961" s="77"/>
      <c r="AO1961" s="77"/>
      <c r="AP1961" s="77"/>
      <c r="AQ1961" s="77" t="s">
        <v>12839</v>
      </c>
      <c r="AR1961" s="77"/>
      <c r="AS1961" s="77"/>
      <c r="AT1961" s="77"/>
      <c r="AU1961" s="77"/>
      <c r="AV1961" s="80" t="str">
        <f>HYPERLINK("https://pbs.twimg.com/media/FxIoL8aWwAEP9AH.jpg")</f>
        <v>https://pbs.twimg.com/media/FxIoL8aWwAEP9AH.jpg</v>
      </c>
      <c r="AW1961" s="82" t="s">
        <v>15052</v>
      </c>
      <c r="AX1961" s="82" t="s">
        <v>15052</v>
      </c>
      <c r="AY1961" s="77"/>
      <c r="AZ1961" s="82" t="s">
        <v>17385</v>
      </c>
      <c r="BA1961" s="82" t="s">
        <v>17385</v>
      </c>
      <c r="BB1961" s="82" t="s">
        <v>17385</v>
      </c>
      <c r="BC1961" s="82" t="s">
        <v>15052</v>
      </c>
      <c r="BD1961" s="82" t="s">
        <v>17610</v>
      </c>
      <c r="BE1961" s="77"/>
      <c r="BF1961" s="77"/>
      <c r="BG1961" s="77"/>
      <c r="BH1961" s="77"/>
      <c r="BI1961" s="77"/>
    </row>
    <row r="1962" spans="1:61" x14ac:dyDescent="0.25">
      <c r="A1962" s="62" t="s">
        <v>546</v>
      </c>
      <c r="B1962" s="62" t="s">
        <v>714</v>
      </c>
      <c r="C1962" s="63"/>
      <c r="D1962" s="64"/>
      <c r="E1962" s="65"/>
      <c r="F1962" s="66"/>
      <c r="G1962" s="63"/>
      <c r="H1962" s="67"/>
      <c r="I1962" s="68"/>
      <c r="J1962" s="68"/>
      <c r="K1962" s="32"/>
      <c r="L1962" s="75">
        <v>1962</v>
      </c>
      <c r="M1962" s="75"/>
      <c r="N1962" s="70"/>
      <c r="O1962" s="77" t="s">
        <v>801</v>
      </c>
      <c r="P1962" s="79">
        <v>45161.786261574074</v>
      </c>
      <c r="Q1962" s="77" t="s">
        <v>2748</v>
      </c>
      <c r="R1962" s="77">
        <v>0</v>
      </c>
      <c r="S1962" s="77">
        <v>0</v>
      </c>
      <c r="T1962" s="77">
        <v>0</v>
      </c>
      <c r="U1962" s="77">
        <v>0</v>
      </c>
      <c r="V1962" s="77">
        <v>49</v>
      </c>
      <c r="W1962" s="82" t="s">
        <v>6095</v>
      </c>
      <c r="X1962" s="77"/>
      <c r="Y1962" s="77"/>
      <c r="Z1962" s="77"/>
      <c r="AA1962" s="77"/>
      <c r="AB1962" s="77"/>
      <c r="AC1962" s="82" t="s">
        <v>8232</v>
      </c>
      <c r="AD1962" s="77" t="s">
        <v>8282</v>
      </c>
      <c r="AE1962" s="80" t="str">
        <f>HYPERLINK("https://twitter.com/anderson77i/status/1694422308843057170")</f>
        <v>https://twitter.com/anderson77i/status/1694422308843057170</v>
      </c>
      <c r="AF1962" s="79">
        <v>45161.786261574074</v>
      </c>
      <c r="AG1962" s="85">
        <v>45161</v>
      </c>
      <c r="AH1962" s="82" t="s">
        <v>10055</v>
      </c>
      <c r="AI1962" s="77"/>
      <c r="AJ1962" s="77"/>
      <c r="AK1962" s="77"/>
      <c r="AL1962" s="77"/>
      <c r="AM1962" s="77"/>
      <c r="AN1962" s="77"/>
      <c r="AO1962" s="77"/>
      <c r="AP1962" s="77"/>
      <c r="AQ1962" s="77"/>
      <c r="AR1962" s="77"/>
      <c r="AS1962" s="77"/>
      <c r="AT1962" s="77"/>
      <c r="AU1962" s="77"/>
      <c r="AV1962" s="80" t="str">
        <f>HYPERLINK("https://pbs.twimg.com/profile_images/1240403189016469505/sNkpq40K_normal.jpg")</f>
        <v>https://pbs.twimg.com/profile_images/1240403189016469505/sNkpq40K_normal.jpg</v>
      </c>
      <c r="AW1962" s="82" t="s">
        <v>15053</v>
      </c>
      <c r="AX1962" s="82" t="s">
        <v>15053</v>
      </c>
      <c r="AY1962" s="77"/>
      <c r="AZ1962" s="82" t="s">
        <v>17385</v>
      </c>
      <c r="BA1962" s="82" t="s">
        <v>17109</v>
      </c>
      <c r="BB1962" s="82" t="s">
        <v>17385</v>
      </c>
      <c r="BC1962" s="82" t="s">
        <v>17109</v>
      </c>
      <c r="BD1962" s="77">
        <v>15514372</v>
      </c>
      <c r="BE1962" s="77"/>
      <c r="BF1962" s="77"/>
      <c r="BG1962" s="77"/>
      <c r="BH1962" s="77"/>
      <c r="BI1962" s="77"/>
    </row>
    <row r="1963" spans="1:61" x14ac:dyDescent="0.25">
      <c r="A1963" s="62" t="s">
        <v>547</v>
      </c>
      <c r="B1963" s="62" t="s">
        <v>547</v>
      </c>
      <c r="C1963" s="63"/>
      <c r="D1963" s="64"/>
      <c r="E1963" s="65"/>
      <c r="F1963" s="66"/>
      <c r="G1963" s="63"/>
      <c r="H1963" s="67"/>
      <c r="I1963" s="68"/>
      <c r="J1963" s="68"/>
      <c r="K1963" s="32"/>
      <c r="L1963" s="75">
        <v>1963</v>
      </c>
      <c r="M1963" s="75"/>
      <c r="N1963" s="70"/>
      <c r="O1963" s="77" t="s">
        <v>179</v>
      </c>
      <c r="P1963" s="79">
        <v>45094.854594907411</v>
      </c>
      <c r="Q1963" s="77" t="s">
        <v>2749</v>
      </c>
      <c r="R1963" s="77">
        <v>0</v>
      </c>
      <c r="S1963" s="77">
        <v>0</v>
      </c>
      <c r="T1963" s="77">
        <v>0</v>
      </c>
      <c r="U1963" s="77">
        <v>0</v>
      </c>
      <c r="V1963" s="77">
        <v>17</v>
      </c>
      <c r="W1963" s="82" t="s">
        <v>6096</v>
      </c>
      <c r="X1963" s="80" t="str">
        <f>HYPERLINK("https://jornalpanoramaminas.com.br/marmelopolis-mais-uma-vez-esta-no-mapa-do-turismo-brasileiro-2023/?swcfpc=1")</f>
        <v>https://jornalpanoramaminas.com.br/marmelopolis-mais-uma-vez-esta-no-mapa-do-turismo-brasileiro-2023/?swcfpc=1</v>
      </c>
      <c r="Y1963" s="77" t="s">
        <v>7053</v>
      </c>
      <c r="Z1963" s="77"/>
      <c r="AA1963" s="77"/>
      <c r="AB1963" s="77"/>
      <c r="AC1963" s="82" t="s">
        <v>8232</v>
      </c>
      <c r="AD1963" s="77" t="s">
        <v>8278</v>
      </c>
      <c r="AE1963" s="80" t="str">
        <f>HYPERLINK("https://twitter.com/jornal_panorama/status/1670167083957514242")</f>
        <v>https://twitter.com/jornal_panorama/status/1670167083957514242</v>
      </c>
      <c r="AF1963" s="79">
        <v>45094.854594907411</v>
      </c>
      <c r="AG1963" s="85">
        <v>45094</v>
      </c>
      <c r="AH1963" s="82" t="s">
        <v>10056</v>
      </c>
      <c r="AI1963" s="77" t="b">
        <v>0</v>
      </c>
      <c r="AJ1963" s="77"/>
      <c r="AK1963" s="77"/>
      <c r="AL1963" s="77"/>
      <c r="AM1963" s="77"/>
      <c r="AN1963" s="77"/>
      <c r="AO1963" s="77"/>
      <c r="AP1963" s="77"/>
      <c r="AQ1963" s="77"/>
      <c r="AR1963" s="77"/>
      <c r="AS1963" s="77"/>
      <c r="AT1963" s="77"/>
      <c r="AU1963" s="77"/>
      <c r="AV1963" s="80" t="str">
        <f>HYPERLINK("https://pbs.twimg.com/profile_images/1613205825199259649/hUcz1R6k_normal.jpg")</f>
        <v>https://pbs.twimg.com/profile_images/1613205825199259649/hUcz1R6k_normal.jpg</v>
      </c>
      <c r="AW1963" s="82" t="s">
        <v>15054</v>
      </c>
      <c r="AX1963" s="82" t="s">
        <v>15054</v>
      </c>
      <c r="AY1963" s="77"/>
      <c r="AZ1963" s="82" t="s">
        <v>17385</v>
      </c>
      <c r="BA1963" s="82" t="s">
        <v>17385</v>
      </c>
      <c r="BB1963" s="82" t="s">
        <v>17385</v>
      </c>
      <c r="BC1963" s="82" t="s">
        <v>15054</v>
      </c>
      <c r="BD1963" s="77">
        <v>239762397</v>
      </c>
      <c r="BE1963" s="77"/>
      <c r="BF1963" s="77"/>
      <c r="BG1963" s="77"/>
      <c r="BH1963" s="77"/>
      <c r="BI1963" s="77"/>
    </row>
    <row r="1964" spans="1:61" x14ac:dyDescent="0.25">
      <c r="A1964" s="62" t="s">
        <v>547</v>
      </c>
      <c r="B1964" s="62" t="s">
        <v>547</v>
      </c>
      <c r="C1964" s="63"/>
      <c r="D1964" s="64"/>
      <c r="E1964" s="65"/>
      <c r="F1964" s="66"/>
      <c r="G1964" s="63"/>
      <c r="H1964" s="67"/>
      <c r="I1964" s="68"/>
      <c r="J1964" s="68"/>
      <c r="K1964" s="32"/>
      <c r="L1964" s="75">
        <v>1964</v>
      </c>
      <c r="M1964" s="75"/>
      <c r="N1964" s="70"/>
      <c r="O1964" s="77" t="s">
        <v>179</v>
      </c>
      <c r="P1964" s="79">
        <v>45165.553101851852</v>
      </c>
      <c r="Q1964" s="77" t="s">
        <v>2750</v>
      </c>
      <c r="R1964" s="77">
        <v>0</v>
      </c>
      <c r="S1964" s="77">
        <v>0</v>
      </c>
      <c r="T1964" s="77">
        <v>0</v>
      </c>
      <c r="U1964" s="77">
        <v>0</v>
      </c>
      <c r="V1964" s="77">
        <v>10</v>
      </c>
      <c r="W1964" s="82" t="s">
        <v>6097</v>
      </c>
      <c r="X1964" s="80" t="str">
        <f>HYPERLINK("https://jornalpanoramaminas.com.br/prefeitura-da-campanha-realiza-acoes-de-melhoria-nas-comunidades-do-municipio/?swcfpc=1")</f>
        <v>https://jornalpanoramaminas.com.br/prefeitura-da-campanha-realiza-acoes-de-melhoria-nas-comunidades-do-municipio/?swcfpc=1</v>
      </c>
      <c r="Y1964" s="77" t="s">
        <v>7053</v>
      </c>
      <c r="Z1964" s="77"/>
      <c r="AA1964" s="77"/>
      <c r="AB1964" s="77"/>
      <c r="AC1964" s="82" t="s">
        <v>8232</v>
      </c>
      <c r="AD1964" s="77" t="s">
        <v>8278</v>
      </c>
      <c r="AE1964" s="80" t="str">
        <f>HYPERLINK("https://twitter.com/jornal_panorama/status/1695787364805640676")</f>
        <v>https://twitter.com/jornal_panorama/status/1695787364805640676</v>
      </c>
      <c r="AF1964" s="79">
        <v>45165.553101851852</v>
      </c>
      <c r="AG1964" s="85">
        <v>45165</v>
      </c>
      <c r="AH1964" s="82" t="s">
        <v>10057</v>
      </c>
      <c r="AI1964" s="77" t="b">
        <v>0</v>
      </c>
      <c r="AJ1964" s="77"/>
      <c r="AK1964" s="77"/>
      <c r="AL1964" s="77"/>
      <c r="AM1964" s="77"/>
      <c r="AN1964" s="77"/>
      <c r="AO1964" s="77"/>
      <c r="AP1964" s="77"/>
      <c r="AQ1964" s="77"/>
      <c r="AR1964" s="77"/>
      <c r="AS1964" s="77"/>
      <c r="AT1964" s="77"/>
      <c r="AU1964" s="77"/>
      <c r="AV1964" s="80" t="str">
        <f>HYPERLINK("https://pbs.twimg.com/profile_images/1613205825199259649/hUcz1R6k_normal.jpg")</f>
        <v>https://pbs.twimg.com/profile_images/1613205825199259649/hUcz1R6k_normal.jpg</v>
      </c>
      <c r="AW1964" s="82" t="s">
        <v>15055</v>
      </c>
      <c r="AX1964" s="82" t="s">
        <v>15055</v>
      </c>
      <c r="AY1964" s="77"/>
      <c r="AZ1964" s="82" t="s">
        <v>17385</v>
      </c>
      <c r="BA1964" s="82" t="s">
        <v>17385</v>
      </c>
      <c r="BB1964" s="82" t="s">
        <v>17385</v>
      </c>
      <c r="BC1964" s="82" t="s">
        <v>15055</v>
      </c>
      <c r="BD1964" s="77">
        <v>239762397</v>
      </c>
      <c r="BE1964" s="77"/>
      <c r="BF1964" s="77"/>
      <c r="BG1964" s="77"/>
      <c r="BH1964" s="77"/>
      <c r="BI1964" s="77"/>
    </row>
    <row r="1965" spans="1:61" x14ac:dyDescent="0.25">
      <c r="A1965" s="62" t="s">
        <v>547</v>
      </c>
      <c r="B1965" s="62" t="s">
        <v>547</v>
      </c>
      <c r="C1965" s="63"/>
      <c r="D1965" s="64"/>
      <c r="E1965" s="65"/>
      <c r="F1965" s="66"/>
      <c r="G1965" s="63"/>
      <c r="H1965" s="67"/>
      <c r="I1965" s="68"/>
      <c r="J1965" s="68"/>
      <c r="K1965" s="32"/>
      <c r="L1965" s="75">
        <v>1965</v>
      </c>
      <c r="M1965" s="75"/>
      <c r="N1965" s="70"/>
      <c r="O1965" s="77" t="s">
        <v>179</v>
      </c>
      <c r="P1965" s="79">
        <v>45089.880358796298</v>
      </c>
      <c r="Q1965" s="77" t="s">
        <v>2751</v>
      </c>
      <c r="R1965" s="77">
        <v>0</v>
      </c>
      <c r="S1965" s="77">
        <v>0</v>
      </c>
      <c r="T1965" s="77">
        <v>0</v>
      </c>
      <c r="U1965" s="77">
        <v>0</v>
      </c>
      <c r="V1965" s="77">
        <v>16</v>
      </c>
      <c r="W1965" s="82" t="s">
        <v>6098</v>
      </c>
      <c r="X1965" s="80" t="str">
        <f>HYPERLINK("https://jornalpanoramaminas.com.br/semana-do-meio-ambiente-em-nazareno-conta-com-diversas-acoes-importantes/?swcfpc=1")</f>
        <v>https://jornalpanoramaminas.com.br/semana-do-meio-ambiente-em-nazareno-conta-com-diversas-acoes-importantes/?swcfpc=1</v>
      </c>
      <c r="Y1965" s="77" t="s">
        <v>7053</v>
      </c>
      <c r="Z1965" s="77"/>
      <c r="AA1965" s="77"/>
      <c r="AB1965" s="77"/>
      <c r="AC1965" s="82" t="s">
        <v>8232</v>
      </c>
      <c r="AD1965" s="77" t="s">
        <v>8278</v>
      </c>
      <c r="AE1965" s="80" t="str">
        <f>HYPERLINK("https://twitter.com/jornal_panorama/status/1668364480353296386")</f>
        <v>https://twitter.com/jornal_panorama/status/1668364480353296386</v>
      </c>
      <c r="AF1965" s="79">
        <v>45089.880358796298</v>
      </c>
      <c r="AG1965" s="85">
        <v>45089</v>
      </c>
      <c r="AH1965" s="82" t="s">
        <v>10058</v>
      </c>
      <c r="AI1965" s="77" t="b">
        <v>0</v>
      </c>
      <c r="AJ1965" s="77"/>
      <c r="AK1965" s="77"/>
      <c r="AL1965" s="77"/>
      <c r="AM1965" s="77"/>
      <c r="AN1965" s="77"/>
      <c r="AO1965" s="77"/>
      <c r="AP1965" s="77"/>
      <c r="AQ1965" s="77"/>
      <c r="AR1965" s="77"/>
      <c r="AS1965" s="77"/>
      <c r="AT1965" s="77"/>
      <c r="AU1965" s="77"/>
      <c r="AV1965" s="80" t="str">
        <f>HYPERLINK("https://pbs.twimg.com/profile_images/1613205825199259649/hUcz1R6k_normal.jpg")</f>
        <v>https://pbs.twimg.com/profile_images/1613205825199259649/hUcz1R6k_normal.jpg</v>
      </c>
      <c r="AW1965" s="82" t="s">
        <v>15056</v>
      </c>
      <c r="AX1965" s="82" t="s">
        <v>15056</v>
      </c>
      <c r="AY1965" s="77"/>
      <c r="AZ1965" s="82" t="s">
        <v>17385</v>
      </c>
      <c r="BA1965" s="82" t="s">
        <v>17385</v>
      </c>
      <c r="BB1965" s="82" t="s">
        <v>17385</v>
      </c>
      <c r="BC1965" s="82" t="s">
        <v>15056</v>
      </c>
      <c r="BD1965" s="77">
        <v>239762397</v>
      </c>
      <c r="BE1965" s="77"/>
      <c r="BF1965" s="77"/>
      <c r="BG1965" s="77"/>
      <c r="BH1965" s="77"/>
      <c r="BI1965" s="77"/>
    </row>
    <row r="1966" spans="1:61" x14ac:dyDescent="0.25">
      <c r="A1966" s="62" t="s">
        <v>547</v>
      </c>
      <c r="B1966" s="62" t="s">
        <v>547</v>
      </c>
      <c r="C1966" s="63"/>
      <c r="D1966" s="64"/>
      <c r="E1966" s="65"/>
      <c r="F1966" s="66"/>
      <c r="G1966" s="63"/>
      <c r="H1966" s="67"/>
      <c r="I1966" s="68"/>
      <c r="J1966" s="68"/>
      <c r="K1966" s="32"/>
      <c r="L1966" s="75">
        <v>1966</v>
      </c>
      <c r="M1966" s="75"/>
      <c r="N1966" s="70"/>
      <c r="O1966" s="77" t="s">
        <v>179</v>
      </c>
      <c r="P1966" s="79">
        <v>45046.615914351853</v>
      </c>
      <c r="Q1966" s="77" t="s">
        <v>2752</v>
      </c>
      <c r="R1966" s="77">
        <v>0</v>
      </c>
      <c r="S1966" s="77">
        <v>0</v>
      </c>
      <c r="T1966" s="77">
        <v>0</v>
      </c>
      <c r="U1966" s="77">
        <v>0</v>
      </c>
      <c r="V1966" s="77">
        <v>4</v>
      </c>
      <c r="W1966" s="82" t="s">
        <v>6099</v>
      </c>
      <c r="X1966" s="80" t="str">
        <f>HYPERLINK("https://jornalpanoramaminas.com.br/contas-publicas-tem-deficit-de-r-14182-bilhoes-em-marco/")</f>
        <v>https://jornalpanoramaminas.com.br/contas-publicas-tem-deficit-de-r-14182-bilhoes-em-marco/</v>
      </c>
      <c r="Y1966" s="77" t="s">
        <v>7053</v>
      </c>
      <c r="Z1966" s="77"/>
      <c r="AA1966" s="77"/>
      <c r="AB1966" s="77"/>
      <c r="AC1966" s="82" t="s">
        <v>8232</v>
      </c>
      <c r="AD1966" s="77" t="s">
        <v>8278</v>
      </c>
      <c r="AE1966" s="80" t="str">
        <f>HYPERLINK("https://twitter.com/jornal_panorama/status/1652685969877880832")</f>
        <v>https://twitter.com/jornal_panorama/status/1652685969877880832</v>
      </c>
      <c r="AF1966" s="79">
        <v>45046.615914351853</v>
      </c>
      <c r="AG1966" s="85">
        <v>45046</v>
      </c>
      <c r="AH1966" s="82" t="s">
        <v>10059</v>
      </c>
      <c r="AI1966" s="77" t="b">
        <v>0</v>
      </c>
      <c r="AJ1966" s="77"/>
      <c r="AK1966" s="77"/>
      <c r="AL1966" s="77"/>
      <c r="AM1966" s="77"/>
      <c r="AN1966" s="77"/>
      <c r="AO1966" s="77"/>
      <c r="AP1966" s="77"/>
      <c r="AQ1966" s="77"/>
      <c r="AR1966" s="77"/>
      <c r="AS1966" s="77"/>
      <c r="AT1966" s="77"/>
      <c r="AU1966" s="77"/>
      <c r="AV1966" s="80" t="str">
        <f>HYPERLINK("https://pbs.twimg.com/profile_images/1613205825199259649/hUcz1R6k_normal.jpg")</f>
        <v>https://pbs.twimg.com/profile_images/1613205825199259649/hUcz1R6k_normal.jpg</v>
      </c>
      <c r="AW1966" s="82" t="s">
        <v>15057</v>
      </c>
      <c r="AX1966" s="82" t="s">
        <v>15057</v>
      </c>
      <c r="AY1966" s="77"/>
      <c r="AZ1966" s="82" t="s">
        <v>17385</v>
      </c>
      <c r="BA1966" s="82" t="s">
        <v>17385</v>
      </c>
      <c r="BB1966" s="82" t="s">
        <v>17385</v>
      </c>
      <c r="BC1966" s="82" t="s">
        <v>15057</v>
      </c>
      <c r="BD1966" s="77">
        <v>239762397</v>
      </c>
      <c r="BE1966" s="77"/>
      <c r="BF1966" s="77"/>
      <c r="BG1966" s="77"/>
      <c r="BH1966" s="77"/>
      <c r="BI1966" s="77"/>
    </row>
    <row r="1967" spans="1:61" x14ac:dyDescent="0.25">
      <c r="A1967" s="62" t="s">
        <v>547</v>
      </c>
      <c r="B1967" s="62" t="s">
        <v>547</v>
      </c>
      <c r="C1967" s="63"/>
      <c r="D1967" s="64"/>
      <c r="E1967" s="65"/>
      <c r="F1967" s="66"/>
      <c r="G1967" s="63"/>
      <c r="H1967" s="67"/>
      <c r="I1967" s="68"/>
      <c r="J1967" s="68"/>
      <c r="K1967" s="32"/>
      <c r="L1967" s="75">
        <v>1967</v>
      </c>
      <c r="M1967" s="75"/>
      <c r="N1967" s="70"/>
      <c r="O1967" s="77" t="s">
        <v>179</v>
      </c>
      <c r="P1967" s="79">
        <v>45196.89875</v>
      </c>
      <c r="Q1967" s="77" t="s">
        <v>2753</v>
      </c>
      <c r="R1967" s="77">
        <v>0</v>
      </c>
      <c r="S1967" s="77">
        <v>0</v>
      </c>
      <c r="T1967" s="77">
        <v>0</v>
      </c>
      <c r="U1967" s="77">
        <v>0</v>
      </c>
      <c r="V1967" s="77">
        <v>112</v>
      </c>
      <c r="W1967" s="82" t="s">
        <v>6100</v>
      </c>
      <c r="X1967" s="80" t="str">
        <f>HYPERLINK("https://jornalpanoramaminas.com.br/em-mocoes-de-aplauso-camara-da-campanha-reconhece-acoes-dos-cidadaos/?swcfpc=1")</f>
        <v>https://jornalpanoramaminas.com.br/em-mocoes-de-aplauso-camara-da-campanha-reconhece-acoes-dos-cidadaos/?swcfpc=1</v>
      </c>
      <c r="Y1967" s="77" t="s">
        <v>7053</v>
      </c>
      <c r="Z1967" s="77"/>
      <c r="AA1967" s="77"/>
      <c r="AB1967" s="77"/>
      <c r="AC1967" s="82" t="s">
        <v>8232</v>
      </c>
      <c r="AD1967" s="77" t="s">
        <v>8278</v>
      </c>
      <c r="AE1967" s="80" t="str">
        <f>HYPERLINK("https://twitter.com/jornal_panorama/status/1707146648214778325")</f>
        <v>https://twitter.com/jornal_panorama/status/1707146648214778325</v>
      </c>
      <c r="AF1967" s="79">
        <v>45196.89875</v>
      </c>
      <c r="AG1967" s="85">
        <v>45196</v>
      </c>
      <c r="AH1967" s="82" t="s">
        <v>10060</v>
      </c>
      <c r="AI1967" s="77" t="b">
        <v>0</v>
      </c>
      <c r="AJ1967" s="77"/>
      <c r="AK1967" s="77"/>
      <c r="AL1967" s="77"/>
      <c r="AM1967" s="77"/>
      <c r="AN1967" s="77"/>
      <c r="AO1967" s="77"/>
      <c r="AP1967" s="77"/>
      <c r="AQ1967" s="77"/>
      <c r="AR1967" s="77"/>
      <c r="AS1967" s="77"/>
      <c r="AT1967" s="77"/>
      <c r="AU1967" s="77"/>
      <c r="AV1967" s="80" t="str">
        <f>HYPERLINK("https://pbs.twimg.com/profile_images/1613205825199259649/hUcz1R6k_normal.jpg")</f>
        <v>https://pbs.twimg.com/profile_images/1613205825199259649/hUcz1R6k_normal.jpg</v>
      </c>
      <c r="AW1967" s="82" t="s">
        <v>15058</v>
      </c>
      <c r="AX1967" s="82" t="s">
        <v>15058</v>
      </c>
      <c r="AY1967" s="77"/>
      <c r="AZ1967" s="82" t="s">
        <v>17385</v>
      </c>
      <c r="BA1967" s="82" t="s">
        <v>17385</v>
      </c>
      <c r="BB1967" s="82" t="s">
        <v>17385</v>
      </c>
      <c r="BC1967" s="82" t="s">
        <v>15058</v>
      </c>
      <c r="BD1967" s="77">
        <v>239762397</v>
      </c>
      <c r="BE1967" s="77"/>
      <c r="BF1967" s="77"/>
      <c r="BG1967" s="77"/>
      <c r="BH1967" s="77"/>
      <c r="BI1967" s="77"/>
    </row>
    <row r="1968" spans="1:61" x14ac:dyDescent="0.25">
      <c r="A1968" s="62" t="s">
        <v>548</v>
      </c>
      <c r="B1968" s="62" t="s">
        <v>548</v>
      </c>
      <c r="C1968" s="63"/>
      <c r="D1968" s="64"/>
      <c r="E1968" s="65"/>
      <c r="F1968" s="66"/>
      <c r="G1968" s="63"/>
      <c r="H1968" s="67"/>
      <c r="I1968" s="68"/>
      <c r="J1968" s="68"/>
      <c r="K1968" s="32"/>
      <c r="L1968" s="75">
        <v>1968</v>
      </c>
      <c r="M1968" s="75"/>
      <c r="N1968" s="70"/>
      <c r="O1968" s="77" t="s">
        <v>179</v>
      </c>
      <c r="P1968" s="79">
        <v>45096.750497685185</v>
      </c>
      <c r="Q1968" s="77" t="s">
        <v>2754</v>
      </c>
      <c r="R1968" s="77">
        <v>0</v>
      </c>
      <c r="S1968" s="77">
        <v>0</v>
      </c>
      <c r="T1968" s="77">
        <v>0</v>
      </c>
      <c r="U1968" s="77">
        <v>0</v>
      </c>
      <c r="V1968" s="77">
        <v>22</v>
      </c>
      <c r="W1968" s="82" t="s">
        <v>6101</v>
      </c>
      <c r="X1968" s="80" t="str">
        <f>HYPERLINK("https://bit.ly/3Jku6dX")</f>
        <v>https://bit.ly/3Jku6dX</v>
      </c>
      <c r="Y1968" s="77" t="s">
        <v>7063</v>
      </c>
      <c r="Z1968" s="77"/>
      <c r="AA1968" s="77" t="s">
        <v>7955</v>
      </c>
      <c r="AB1968" s="77" t="s">
        <v>8225</v>
      </c>
      <c r="AC1968" s="82" t="s">
        <v>8235</v>
      </c>
      <c r="AD1968" s="77" t="s">
        <v>8278</v>
      </c>
      <c r="AE1968" s="80" t="str">
        <f>HYPERLINK("https://twitter.com/adminneotel/status/1670854135682416640")</f>
        <v>https://twitter.com/adminneotel/status/1670854135682416640</v>
      </c>
      <c r="AF1968" s="79">
        <v>45096.750497685185</v>
      </c>
      <c r="AG1968" s="85">
        <v>45096</v>
      </c>
      <c r="AH1968" s="82" t="s">
        <v>10061</v>
      </c>
      <c r="AI1968" s="77" t="b">
        <v>0</v>
      </c>
      <c r="AJ1968" s="77"/>
      <c r="AK1968" s="77"/>
      <c r="AL1968" s="77"/>
      <c r="AM1968" s="77"/>
      <c r="AN1968" s="77"/>
      <c r="AO1968" s="77"/>
      <c r="AP1968" s="77"/>
      <c r="AQ1968" s="77" t="s">
        <v>12840</v>
      </c>
      <c r="AR1968" s="77"/>
      <c r="AS1968" s="77"/>
      <c r="AT1968" s="77"/>
      <c r="AU1968" s="77"/>
      <c r="AV1968" s="80" t="str">
        <f>HYPERLINK("https://pbs.twimg.com/media/FzAQ-25XgAc2_FP.jpg")</f>
        <v>https://pbs.twimg.com/media/FzAQ-25XgAc2_FP.jpg</v>
      </c>
      <c r="AW1968" s="82" t="s">
        <v>15059</v>
      </c>
      <c r="AX1968" s="82" t="s">
        <v>15059</v>
      </c>
      <c r="AY1968" s="77"/>
      <c r="AZ1968" s="82" t="s">
        <v>17385</v>
      </c>
      <c r="BA1968" s="82" t="s">
        <v>17385</v>
      </c>
      <c r="BB1968" s="82" t="s">
        <v>17385</v>
      </c>
      <c r="BC1968" s="82" t="s">
        <v>15059</v>
      </c>
      <c r="BD1968" s="82" t="s">
        <v>17611</v>
      </c>
      <c r="BE1968" s="77"/>
      <c r="BF1968" s="77"/>
      <c r="BG1968" s="77"/>
      <c r="BH1968" s="77"/>
      <c r="BI1968" s="77"/>
    </row>
    <row r="1969" spans="1:61" x14ac:dyDescent="0.25">
      <c r="A1969" s="62" t="s">
        <v>549</v>
      </c>
      <c r="B1969" s="62" t="s">
        <v>549</v>
      </c>
      <c r="C1969" s="63"/>
      <c r="D1969" s="64"/>
      <c r="E1969" s="65"/>
      <c r="F1969" s="66"/>
      <c r="G1969" s="63"/>
      <c r="H1969" s="67"/>
      <c r="I1969" s="68"/>
      <c r="J1969" s="68"/>
      <c r="K1969" s="32"/>
      <c r="L1969" s="75">
        <v>1969</v>
      </c>
      <c r="M1969" s="75"/>
      <c r="N1969" s="70"/>
      <c r="O1969" s="77" t="s">
        <v>179</v>
      </c>
      <c r="P1969" s="79">
        <v>45107.084618055553</v>
      </c>
      <c r="Q1969" s="77" t="s">
        <v>2755</v>
      </c>
      <c r="R1969" s="77">
        <v>0</v>
      </c>
      <c r="S1969" s="77">
        <v>0</v>
      </c>
      <c r="T1969" s="77">
        <v>0</v>
      </c>
      <c r="U1969" s="77">
        <v>0</v>
      </c>
      <c r="V1969" s="77">
        <v>26</v>
      </c>
      <c r="W1969" s="82" t="s">
        <v>6102</v>
      </c>
      <c r="X1969" s="80" t="str">
        <f>HYPERLINK("https://economicnewsbrasil.com.br/2023/06/29/mercado-financeiro-ibovespa-sobe-e-dolar-estabiliza-cmn-ajusta-meta-de-inflacao-e-igp-m-registra-queda/")</f>
        <v>https://economicnewsbrasil.com.br/2023/06/29/mercado-financeiro-ibovespa-sobe-e-dolar-estabiliza-cmn-ajusta-meta-de-inflacao-e-igp-m-registra-queda/</v>
      </c>
      <c r="Y1969" s="77" t="s">
        <v>7053</v>
      </c>
      <c r="Z1969" s="77"/>
      <c r="AA1969" s="77" t="s">
        <v>7956</v>
      </c>
      <c r="AB1969" s="77" t="s">
        <v>8225</v>
      </c>
      <c r="AC1969" s="82" t="s">
        <v>8243</v>
      </c>
      <c r="AD1969" s="77" t="s">
        <v>8278</v>
      </c>
      <c r="AE1969" s="80" t="str">
        <f>HYPERLINK("https://twitter.com/economicnewsbr/status/1674599095120412672")</f>
        <v>https://twitter.com/economicnewsbr/status/1674599095120412672</v>
      </c>
      <c r="AF1969" s="79">
        <v>45107.084618055553</v>
      </c>
      <c r="AG1969" s="85">
        <v>45107</v>
      </c>
      <c r="AH1969" s="82" t="s">
        <v>10062</v>
      </c>
      <c r="AI1969" s="77" t="b">
        <v>0</v>
      </c>
      <c r="AJ1969" s="77"/>
      <c r="AK1969" s="77"/>
      <c r="AL1969" s="77"/>
      <c r="AM1969" s="77"/>
      <c r="AN1969" s="77"/>
      <c r="AO1969" s="77"/>
      <c r="AP1969" s="77"/>
      <c r="AQ1969" s="77" t="s">
        <v>12841</v>
      </c>
      <c r="AR1969" s="77"/>
      <c r="AS1969" s="77"/>
      <c r="AT1969" s="77"/>
      <c r="AU1969" s="77"/>
      <c r="AV1969" s="80" t="str">
        <f>HYPERLINK("https://pbs.twimg.com/media/Fz1fAKqWwAElGxl.jpg")</f>
        <v>https://pbs.twimg.com/media/Fz1fAKqWwAElGxl.jpg</v>
      </c>
      <c r="AW1969" s="82" t="s">
        <v>15060</v>
      </c>
      <c r="AX1969" s="82" t="s">
        <v>15060</v>
      </c>
      <c r="AY1969" s="77"/>
      <c r="AZ1969" s="82" t="s">
        <v>17385</v>
      </c>
      <c r="BA1969" s="82" t="s">
        <v>17385</v>
      </c>
      <c r="BB1969" s="82" t="s">
        <v>17385</v>
      </c>
      <c r="BC1969" s="82" t="s">
        <v>15060</v>
      </c>
      <c r="BD1969" s="82" t="s">
        <v>17612</v>
      </c>
      <c r="BE1969" s="77"/>
      <c r="BF1969" s="77"/>
      <c r="BG1969" s="77"/>
      <c r="BH1969" s="77"/>
      <c r="BI1969" s="77"/>
    </row>
    <row r="1970" spans="1:61" x14ac:dyDescent="0.25">
      <c r="A1970" s="62" t="s">
        <v>549</v>
      </c>
      <c r="B1970" s="62" t="s">
        <v>549</v>
      </c>
      <c r="C1970" s="63"/>
      <c r="D1970" s="64"/>
      <c r="E1970" s="65"/>
      <c r="F1970" s="66"/>
      <c r="G1970" s="63"/>
      <c r="H1970" s="67"/>
      <c r="I1970" s="68"/>
      <c r="J1970" s="68"/>
      <c r="K1970" s="32"/>
      <c r="L1970" s="75">
        <v>1970</v>
      </c>
      <c r="M1970" s="75"/>
      <c r="N1970" s="70"/>
      <c r="O1970" s="77" t="s">
        <v>179</v>
      </c>
      <c r="P1970" s="79">
        <v>45106.008564814816</v>
      </c>
      <c r="Q1970" s="77" t="s">
        <v>2756</v>
      </c>
      <c r="R1970" s="77">
        <v>0</v>
      </c>
      <c r="S1970" s="77">
        <v>0</v>
      </c>
      <c r="T1970" s="77">
        <v>0</v>
      </c>
      <c r="U1970" s="77">
        <v>0</v>
      </c>
      <c r="V1970" s="77">
        <v>20</v>
      </c>
      <c r="W1970" s="82" t="s">
        <v>6103</v>
      </c>
      <c r="X1970" s="80" t="str">
        <f>HYPERLINK("https://economicnewsbrasil.com.br/2023/06/28/blackrock-amplia-participacao-em-acoes-da-iguatemi/")</f>
        <v>https://economicnewsbrasil.com.br/2023/06/28/blackrock-amplia-participacao-em-acoes-da-iguatemi/</v>
      </c>
      <c r="Y1970" s="77" t="s">
        <v>7053</v>
      </c>
      <c r="Z1970" s="77"/>
      <c r="AA1970" s="77"/>
      <c r="AB1970" s="77"/>
      <c r="AC1970" s="82" t="s">
        <v>8243</v>
      </c>
      <c r="AD1970" s="77" t="s">
        <v>8278</v>
      </c>
      <c r="AE1970" s="80" t="str">
        <f>HYPERLINK("https://twitter.com/economicnewsbr/status/1674209146520981506")</f>
        <v>https://twitter.com/economicnewsbr/status/1674209146520981506</v>
      </c>
      <c r="AF1970" s="79">
        <v>45106.008564814816</v>
      </c>
      <c r="AG1970" s="85">
        <v>45106</v>
      </c>
      <c r="AH1970" s="82" t="s">
        <v>10063</v>
      </c>
      <c r="AI1970" s="77" t="b">
        <v>0</v>
      </c>
      <c r="AJ1970" s="77"/>
      <c r="AK1970" s="77"/>
      <c r="AL1970" s="77"/>
      <c r="AM1970" s="77"/>
      <c r="AN1970" s="77"/>
      <c r="AO1970" s="77"/>
      <c r="AP1970" s="77"/>
      <c r="AQ1970" s="77"/>
      <c r="AR1970" s="77"/>
      <c r="AS1970" s="77"/>
      <c r="AT1970" s="77"/>
      <c r="AU1970" s="77"/>
      <c r="AV1970" s="80" t="str">
        <f>HYPERLINK("https://pbs.twimg.com/profile_images/1211027151870402560/9JIqaKmf_normal.jpg")</f>
        <v>https://pbs.twimg.com/profile_images/1211027151870402560/9JIqaKmf_normal.jpg</v>
      </c>
      <c r="AW1970" s="82" t="s">
        <v>15061</v>
      </c>
      <c r="AX1970" s="82" t="s">
        <v>15061</v>
      </c>
      <c r="AY1970" s="77"/>
      <c r="AZ1970" s="82" t="s">
        <v>17385</v>
      </c>
      <c r="BA1970" s="82" t="s">
        <v>17385</v>
      </c>
      <c r="BB1970" s="82" t="s">
        <v>17385</v>
      </c>
      <c r="BC1970" s="82" t="s">
        <v>15061</v>
      </c>
      <c r="BD1970" s="82" t="s">
        <v>17612</v>
      </c>
      <c r="BE1970" s="77"/>
      <c r="BF1970" s="77"/>
      <c r="BG1970" s="77"/>
      <c r="BH1970" s="77"/>
      <c r="BI1970" s="77"/>
    </row>
    <row r="1971" spans="1:61" x14ac:dyDescent="0.25">
      <c r="A1971" s="62" t="s">
        <v>549</v>
      </c>
      <c r="B1971" s="62" t="s">
        <v>549</v>
      </c>
      <c r="C1971" s="63"/>
      <c r="D1971" s="64"/>
      <c r="E1971" s="65"/>
      <c r="F1971" s="66"/>
      <c r="G1971" s="63"/>
      <c r="H1971" s="67"/>
      <c r="I1971" s="68"/>
      <c r="J1971" s="68"/>
      <c r="K1971" s="32"/>
      <c r="L1971" s="75">
        <v>1971</v>
      </c>
      <c r="M1971" s="75"/>
      <c r="N1971" s="70"/>
      <c r="O1971" s="77" t="s">
        <v>179</v>
      </c>
      <c r="P1971" s="79">
        <v>45066.60434027778</v>
      </c>
      <c r="Q1971" s="77" t="s">
        <v>2757</v>
      </c>
      <c r="R1971" s="77">
        <v>0</v>
      </c>
      <c r="S1971" s="77">
        <v>0</v>
      </c>
      <c r="T1971" s="77">
        <v>0</v>
      </c>
      <c r="U1971" s="77">
        <v>0</v>
      </c>
      <c r="V1971" s="77">
        <v>35</v>
      </c>
      <c r="W1971" s="82" t="s">
        <v>5566</v>
      </c>
      <c r="X1971" s="80" t="str">
        <f>HYPERLINK("https://economicnewsbrasil.com.br/2023/05/20/vivara-viva3-antecipa-pagamento-de-dividendos-confira-detalhes/")</f>
        <v>https://economicnewsbrasil.com.br/2023/05/20/vivara-viva3-antecipa-pagamento-de-dividendos-confira-detalhes/</v>
      </c>
      <c r="Y1971" s="77" t="s">
        <v>7053</v>
      </c>
      <c r="Z1971" s="77"/>
      <c r="AA1971" s="77" t="s">
        <v>7957</v>
      </c>
      <c r="AB1971" s="77" t="s">
        <v>8225</v>
      </c>
      <c r="AC1971" s="82" t="s">
        <v>8243</v>
      </c>
      <c r="AD1971" s="77" t="s">
        <v>8278</v>
      </c>
      <c r="AE1971" s="80" t="str">
        <f>HYPERLINK("https://twitter.com/economicnewsbr/status/1659929533837987844")</f>
        <v>https://twitter.com/economicnewsbr/status/1659929533837987844</v>
      </c>
      <c r="AF1971" s="79">
        <v>45066.60434027778</v>
      </c>
      <c r="AG1971" s="85">
        <v>45066</v>
      </c>
      <c r="AH1971" s="82" t="s">
        <v>10064</v>
      </c>
      <c r="AI1971" s="77" t="b">
        <v>0</v>
      </c>
      <c r="AJ1971" s="77"/>
      <c r="AK1971" s="77"/>
      <c r="AL1971" s="77"/>
      <c r="AM1971" s="77"/>
      <c r="AN1971" s="77"/>
      <c r="AO1971" s="77"/>
      <c r="AP1971" s="77"/>
      <c r="AQ1971" s="77" t="s">
        <v>12842</v>
      </c>
      <c r="AR1971" s="77"/>
      <c r="AS1971" s="77"/>
      <c r="AT1971" s="77"/>
      <c r="AU1971" s="77"/>
      <c r="AV1971" s="80" t="str">
        <f>HYPERLINK("https://pbs.twimg.com/media/FwlBHR4WIAgsbgI.jpg")</f>
        <v>https://pbs.twimg.com/media/FwlBHR4WIAgsbgI.jpg</v>
      </c>
      <c r="AW1971" s="82" t="s">
        <v>15062</v>
      </c>
      <c r="AX1971" s="82" t="s">
        <v>15062</v>
      </c>
      <c r="AY1971" s="77"/>
      <c r="AZ1971" s="82" t="s">
        <v>17385</v>
      </c>
      <c r="BA1971" s="82" t="s">
        <v>17385</v>
      </c>
      <c r="BB1971" s="82" t="s">
        <v>17385</v>
      </c>
      <c r="BC1971" s="82" t="s">
        <v>15062</v>
      </c>
      <c r="BD1971" s="82" t="s">
        <v>17612</v>
      </c>
      <c r="BE1971" s="77"/>
      <c r="BF1971" s="77"/>
      <c r="BG1971" s="77"/>
      <c r="BH1971" s="77"/>
      <c r="BI1971" s="77"/>
    </row>
    <row r="1972" spans="1:61" x14ac:dyDescent="0.25">
      <c r="A1972" s="62" t="s">
        <v>549</v>
      </c>
      <c r="B1972" s="62" t="s">
        <v>549</v>
      </c>
      <c r="C1972" s="63"/>
      <c r="D1972" s="64"/>
      <c r="E1972" s="65"/>
      <c r="F1972" s="66"/>
      <c r="G1972" s="63"/>
      <c r="H1972" s="67"/>
      <c r="I1972" s="68"/>
      <c r="J1972" s="68"/>
      <c r="K1972" s="32"/>
      <c r="L1972" s="75">
        <v>1972</v>
      </c>
      <c r="M1972" s="75"/>
      <c r="N1972" s="70"/>
      <c r="O1972" s="77" t="s">
        <v>179</v>
      </c>
      <c r="P1972" s="79">
        <v>45066.603171296294</v>
      </c>
      <c r="Q1972" s="77" t="s">
        <v>2758</v>
      </c>
      <c r="R1972" s="77">
        <v>0</v>
      </c>
      <c r="S1972" s="77">
        <v>0</v>
      </c>
      <c r="T1972" s="77">
        <v>0</v>
      </c>
      <c r="U1972" s="77">
        <v>0</v>
      </c>
      <c r="V1972" s="77">
        <v>19</v>
      </c>
      <c r="W1972" s="82" t="s">
        <v>5566</v>
      </c>
      <c r="X1972" s="80" t="str">
        <f>HYPERLINK("https://economicnewsbrasil.com.br/2023/05/20/vivara-viva3-antecipa-pagamento-de-dividendos-confira-detalhes/")</f>
        <v>https://economicnewsbrasil.com.br/2023/05/20/vivara-viva3-antecipa-pagamento-de-dividendos-confira-detalhes/</v>
      </c>
      <c r="Y1972" s="77" t="s">
        <v>7053</v>
      </c>
      <c r="Z1972" s="77"/>
      <c r="AA1972" s="77" t="s">
        <v>7958</v>
      </c>
      <c r="AB1972" s="77" t="s">
        <v>8225</v>
      </c>
      <c r="AC1972" s="82" t="s">
        <v>8243</v>
      </c>
      <c r="AD1972" s="77" t="s">
        <v>8278</v>
      </c>
      <c r="AE1972" s="80" t="str">
        <f>HYPERLINK("https://twitter.com/economicnewsbr/status/1659929110750154752")</f>
        <v>https://twitter.com/economicnewsbr/status/1659929110750154752</v>
      </c>
      <c r="AF1972" s="79">
        <v>45066.603171296294</v>
      </c>
      <c r="AG1972" s="85">
        <v>45066</v>
      </c>
      <c r="AH1972" s="82" t="s">
        <v>10065</v>
      </c>
      <c r="AI1972" s="77" t="b">
        <v>0</v>
      </c>
      <c r="AJ1972" s="77"/>
      <c r="AK1972" s="77"/>
      <c r="AL1972" s="77"/>
      <c r="AM1972" s="77"/>
      <c r="AN1972" s="77"/>
      <c r="AO1972" s="77"/>
      <c r="AP1972" s="77"/>
      <c r="AQ1972" s="77" t="s">
        <v>12843</v>
      </c>
      <c r="AR1972" s="77"/>
      <c r="AS1972" s="77"/>
      <c r="AT1972" s="77"/>
      <c r="AU1972" s="77"/>
      <c r="AV1972" s="80" t="str">
        <f>HYPERLINK("https://pbs.twimg.com/media/FwlAuubX0AAHRgg.jpg")</f>
        <v>https://pbs.twimg.com/media/FwlAuubX0AAHRgg.jpg</v>
      </c>
      <c r="AW1972" s="82" t="s">
        <v>15063</v>
      </c>
      <c r="AX1972" s="82" t="s">
        <v>15063</v>
      </c>
      <c r="AY1972" s="77"/>
      <c r="AZ1972" s="82" t="s">
        <v>17385</v>
      </c>
      <c r="BA1972" s="82" t="s">
        <v>17385</v>
      </c>
      <c r="BB1972" s="82" t="s">
        <v>17385</v>
      </c>
      <c r="BC1972" s="82" t="s">
        <v>15063</v>
      </c>
      <c r="BD1972" s="82" t="s">
        <v>17612</v>
      </c>
      <c r="BE1972" s="77"/>
      <c r="BF1972" s="77"/>
      <c r="BG1972" s="77"/>
      <c r="BH1972" s="77"/>
      <c r="BI1972" s="77"/>
    </row>
    <row r="1973" spans="1:61" x14ac:dyDescent="0.25">
      <c r="A1973" s="62" t="s">
        <v>549</v>
      </c>
      <c r="B1973" s="62" t="s">
        <v>549</v>
      </c>
      <c r="C1973" s="63"/>
      <c r="D1973" s="64"/>
      <c r="E1973" s="65"/>
      <c r="F1973" s="66"/>
      <c r="G1973" s="63"/>
      <c r="H1973" s="67"/>
      <c r="I1973" s="68"/>
      <c r="J1973" s="68"/>
      <c r="K1973" s="32"/>
      <c r="L1973" s="75">
        <v>1973</v>
      </c>
      <c r="M1973" s="75"/>
      <c r="N1973" s="70"/>
      <c r="O1973" s="77" t="s">
        <v>179</v>
      </c>
      <c r="P1973" s="79">
        <v>45148.67019675926</v>
      </c>
      <c r="Q1973" s="77" t="s">
        <v>2759</v>
      </c>
      <c r="R1973" s="77">
        <v>0</v>
      </c>
      <c r="S1973" s="77">
        <v>0</v>
      </c>
      <c r="T1973" s="77">
        <v>0</v>
      </c>
      <c r="U1973" s="77">
        <v>0</v>
      </c>
      <c r="V1973" s="77">
        <v>60</v>
      </c>
      <c r="W1973" s="82" t="s">
        <v>6104</v>
      </c>
      <c r="X1973" s="80" t="str">
        <f>HYPERLINK("https://economicnewsbrasil.com.br/2023/08/10/expectativa-alta-para-balanco-da-m-dias-branco-nesta-sexta-11-08/")</f>
        <v>https://economicnewsbrasil.com.br/2023/08/10/expectativa-alta-para-balanco-da-m-dias-branco-nesta-sexta-11-08/</v>
      </c>
      <c r="Y1973" s="77" t="s">
        <v>7053</v>
      </c>
      <c r="Z1973" s="77"/>
      <c r="AA1973" s="77" t="s">
        <v>7959</v>
      </c>
      <c r="AB1973" s="77" t="s">
        <v>8225</v>
      </c>
      <c r="AC1973" s="82" t="s">
        <v>8270</v>
      </c>
      <c r="AD1973" s="77" t="s">
        <v>8278</v>
      </c>
      <c r="AE1973" s="80" t="str">
        <f>HYPERLINK("https://twitter.com/economicnewsbr/status/1689669204054544385")</f>
        <v>https://twitter.com/economicnewsbr/status/1689669204054544385</v>
      </c>
      <c r="AF1973" s="79">
        <v>45148.67019675926</v>
      </c>
      <c r="AG1973" s="85">
        <v>45148</v>
      </c>
      <c r="AH1973" s="82" t="s">
        <v>10066</v>
      </c>
      <c r="AI1973" s="77" t="b">
        <v>0</v>
      </c>
      <c r="AJ1973" s="77"/>
      <c r="AK1973" s="77"/>
      <c r="AL1973" s="77"/>
      <c r="AM1973" s="77"/>
      <c r="AN1973" s="77"/>
      <c r="AO1973" s="77"/>
      <c r="AP1973" s="77"/>
      <c r="AQ1973" s="77" t="s">
        <v>12844</v>
      </c>
      <c r="AR1973" s="77"/>
      <c r="AS1973" s="77"/>
      <c r="AT1973" s="77"/>
      <c r="AU1973" s="77"/>
      <c r="AV1973" s="80" t="str">
        <f>HYPERLINK("https://pbs.twimg.com/media/F3LpL_EW0AA1N-V.jpg")</f>
        <v>https://pbs.twimg.com/media/F3LpL_EW0AA1N-V.jpg</v>
      </c>
      <c r="AW1973" s="82" t="s">
        <v>15064</v>
      </c>
      <c r="AX1973" s="82" t="s">
        <v>15064</v>
      </c>
      <c r="AY1973" s="77"/>
      <c r="AZ1973" s="82" t="s">
        <v>17385</v>
      </c>
      <c r="BA1973" s="82" t="s">
        <v>17385</v>
      </c>
      <c r="BB1973" s="82" t="s">
        <v>17385</v>
      </c>
      <c r="BC1973" s="82" t="s">
        <v>15064</v>
      </c>
      <c r="BD1973" s="82" t="s">
        <v>17612</v>
      </c>
      <c r="BE1973" s="77"/>
      <c r="BF1973" s="77"/>
      <c r="BG1973" s="77"/>
      <c r="BH1973" s="77"/>
      <c r="BI1973" s="77"/>
    </row>
    <row r="1974" spans="1:61" x14ac:dyDescent="0.25">
      <c r="A1974" s="62" t="s">
        <v>549</v>
      </c>
      <c r="B1974" s="62" t="s">
        <v>549</v>
      </c>
      <c r="C1974" s="63"/>
      <c r="D1974" s="64"/>
      <c r="E1974" s="65"/>
      <c r="F1974" s="66"/>
      <c r="G1974" s="63"/>
      <c r="H1974" s="67"/>
      <c r="I1974" s="68"/>
      <c r="J1974" s="68"/>
      <c r="K1974" s="32"/>
      <c r="L1974" s="75">
        <v>1974</v>
      </c>
      <c r="M1974" s="75"/>
      <c r="N1974" s="70"/>
      <c r="O1974" s="77" t="s">
        <v>179</v>
      </c>
      <c r="P1974" s="79">
        <v>45142.985613425924</v>
      </c>
      <c r="Q1974" s="77" t="s">
        <v>2760</v>
      </c>
      <c r="R1974" s="77">
        <v>0</v>
      </c>
      <c r="S1974" s="77">
        <v>0</v>
      </c>
      <c r="T1974" s="77">
        <v>0</v>
      </c>
      <c r="U1974" s="77">
        <v>0</v>
      </c>
      <c r="V1974" s="77">
        <v>30</v>
      </c>
      <c r="W1974" s="82" t="s">
        <v>6105</v>
      </c>
      <c r="X1974" s="80" t="str">
        <f>HYPERLINK("https://economicnewsbrasil.com.br/2023/08/04/mercado-financeiro-dolar-fecha-em-queda-ibovespa-recua-analise-de-acoes/")</f>
        <v>https://economicnewsbrasil.com.br/2023/08/04/mercado-financeiro-dolar-fecha-em-queda-ibovespa-recua-analise-de-acoes/</v>
      </c>
      <c r="Y1974" s="77" t="s">
        <v>7053</v>
      </c>
      <c r="Z1974" s="77"/>
      <c r="AA1974" s="77" t="s">
        <v>7960</v>
      </c>
      <c r="AB1974" s="77" t="s">
        <v>8225</v>
      </c>
      <c r="AC1974" s="82" t="s">
        <v>8270</v>
      </c>
      <c r="AD1974" s="77" t="s">
        <v>8278</v>
      </c>
      <c r="AE1974" s="80" t="str">
        <f>HYPERLINK("https://twitter.com/economicnewsbr/status/1687609178754371584")</f>
        <v>https://twitter.com/economicnewsbr/status/1687609178754371584</v>
      </c>
      <c r="AF1974" s="79">
        <v>45142.985613425924</v>
      </c>
      <c r="AG1974" s="85">
        <v>45142</v>
      </c>
      <c r="AH1974" s="82" t="s">
        <v>10067</v>
      </c>
      <c r="AI1974" s="77" t="b">
        <v>0</v>
      </c>
      <c r="AJ1974" s="77"/>
      <c r="AK1974" s="77"/>
      <c r="AL1974" s="77"/>
      <c r="AM1974" s="77"/>
      <c r="AN1974" s="77"/>
      <c r="AO1974" s="77"/>
      <c r="AP1974" s="77"/>
      <c r="AQ1974" s="77" t="s">
        <v>12845</v>
      </c>
      <c r="AR1974" s="77"/>
      <c r="AS1974" s="77"/>
      <c r="AT1974" s="77"/>
      <c r="AU1974" s="77"/>
      <c r="AV1974" s="80" t="str">
        <f>HYPERLINK("https://pbs.twimg.com/media/F2uXmrrWMAApkkg.jpg")</f>
        <v>https://pbs.twimg.com/media/F2uXmrrWMAApkkg.jpg</v>
      </c>
      <c r="AW1974" s="82" t="s">
        <v>15065</v>
      </c>
      <c r="AX1974" s="82" t="s">
        <v>15065</v>
      </c>
      <c r="AY1974" s="77"/>
      <c r="AZ1974" s="82" t="s">
        <v>17385</v>
      </c>
      <c r="BA1974" s="82" t="s">
        <v>17385</v>
      </c>
      <c r="BB1974" s="82" t="s">
        <v>17385</v>
      </c>
      <c r="BC1974" s="82" t="s">
        <v>15065</v>
      </c>
      <c r="BD1974" s="82" t="s">
        <v>17612</v>
      </c>
      <c r="BE1974" s="77"/>
      <c r="BF1974" s="77"/>
      <c r="BG1974" s="77"/>
      <c r="BH1974" s="77"/>
      <c r="BI1974" s="77"/>
    </row>
    <row r="1975" spans="1:61" x14ac:dyDescent="0.25">
      <c r="A1975" s="62" t="s">
        <v>549</v>
      </c>
      <c r="B1975" s="62" t="s">
        <v>549</v>
      </c>
      <c r="C1975" s="63"/>
      <c r="D1975" s="64"/>
      <c r="E1975" s="65"/>
      <c r="F1975" s="66"/>
      <c r="G1975" s="63"/>
      <c r="H1975" s="67"/>
      <c r="I1975" s="68"/>
      <c r="J1975" s="68"/>
      <c r="K1975" s="32"/>
      <c r="L1975" s="75">
        <v>1975</v>
      </c>
      <c r="M1975" s="75"/>
      <c r="N1975" s="70"/>
      <c r="O1975" s="77" t="s">
        <v>179</v>
      </c>
      <c r="P1975" s="79">
        <v>45119.992094907408</v>
      </c>
      <c r="Q1975" s="77" t="s">
        <v>2761</v>
      </c>
      <c r="R1975" s="77">
        <v>0</v>
      </c>
      <c r="S1975" s="77">
        <v>0</v>
      </c>
      <c r="T1975" s="77">
        <v>0</v>
      </c>
      <c r="U1975" s="77">
        <v>0</v>
      </c>
      <c r="V1975" s="77">
        <v>52</v>
      </c>
      <c r="W1975" s="82" t="s">
        <v>6106</v>
      </c>
      <c r="X1975" s="80" t="str">
        <f>HYPERLINK("https://economicnewsbrasil.com.br/2023/07/12/mercado-financeiro-queda-do-dolar-e-ibovespa-em-alta-marcam-na-quarta-feira-12-07/")</f>
        <v>https://economicnewsbrasil.com.br/2023/07/12/mercado-financeiro-queda-do-dolar-e-ibovespa-em-alta-marcam-na-quarta-feira-12-07/</v>
      </c>
      <c r="Y1975" s="77" t="s">
        <v>7053</v>
      </c>
      <c r="Z1975" s="77"/>
      <c r="AA1975" s="77" t="s">
        <v>7961</v>
      </c>
      <c r="AB1975" s="77" t="s">
        <v>8225</v>
      </c>
      <c r="AC1975" s="82" t="s">
        <v>8243</v>
      </c>
      <c r="AD1975" s="77" t="s">
        <v>8278</v>
      </c>
      <c r="AE1975" s="80" t="str">
        <f>HYPERLINK("https://twitter.com/economicnewsbr/status/1679276607641460738")</f>
        <v>https://twitter.com/economicnewsbr/status/1679276607641460738</v>
      </c>
      <c r="AF1975" s="79">
        <v>45119.992094907408</v>
      </c>
      <c r="AG1975" s="85">
        <v>45119</v>
      </c>
      <c r="AH1975" s="82" t="s">
        <v>10068</v>
      </c>
      <c r="AI1975" s="77" t="b">
        <v>0</v>
      </c>
      <c r="AJ1975" s="77"/>
      <c r="AK1975" s="77"/>
      <c r="AL1975" s="77"/>
      <c r="AM1975" s="77"/>
      <c r="AN1975" s="77"/>
      <c r="AO1975" s="77"/>
      <c r="AP1975" s="77"/>
      <c r="AQ1975" s="77" t="s">
        <v>12846</v>
      </c>
      <c r="AR1975" s="77"/>
      <c r="AS1975" s="77"/>
      <c r="AT1975" s="77"/>
      <c r="AU1975" s="77"/>
      <c r="AV1975" s="80" t="str">
        <f>HYPERLINK("https://pbs.twimg.com/media/F039LQuXsAECeUL.jpg")</f>
        <v>https://pbs.twimg.com/media/F039LQuXsAECeUL.jpg</v>
      </c>
      <c r="AW1975" s="82" t="s">
        <v>15066</v>
      </c>
      <c r="AX1975" s="82" t="s">
        <v>15066</v>
      </c>
      <c r="AY1975" s="77"/>
      <c r="AZ1975" s="82" t="s">
        <v>17385</v>
      </c>
      <c r="BA1975" s="82" t="s">
        <v>17385</v>
      </c>
      <c r="BB1975" s="82" t="s">
        <v>17385</v>
      </c>
      <c r="BC1975" s="82" t="s">
        <v>15066</v>
      </c>
      <c r="BD1975" s="82" t="s">
        <v>17612</v>
      </c>
      <c r="BE1975" s="77"/>
      <c r="BF1975" s="77"/>
      <c r="BG1975" s="77"/>
      <c r="BH1975" s="77"/>
      <c r="BI1975" s="77"/>
    </row>
    <row r="1976" spans="1:61" x14ac:dyDescent="0.25">
      <c r="A1976" s="62" t="s">
        <v>549</v>
      </c>
      <c r="B1976" s="62" t="s">
        <v>549</v>
      </c>
      <c r="C1976" s="63"/>
      <c r="D1976" s="64"/>
      <c r="E1976" s="65"/>
      <c r="F1976" s="66"/>
      <c r="G1976" s="63"/>
      <c r="H1976" s="67"/>
      <c r="I1976" s="68"/>
      <c r="J1976" s="68"/>
      <c r="K1976" s="32"/>
      <c r="L1976" s="75">
        <v>1976</v>
      </c>
      <c r="M1976" s="75"/>
      <c r="N1976" s="70"/>
      <c r="O1976" s="77" t="s">
        <v>179</v>
      </c>
      <c r="P1976" s="79">
        <v>45110.771273148152</v>
      </c>
      <c r="Q1976" s="77" t="s">
        <v>2762</v>
      </c>
      <c r="R1976" s="77">
        <v>0</v>
      </c>
      <c r="S1976" s="77">
        <v>0</v>
      </c>
      <c r="T1976" s="77">
        <v>0</v>
      </c>
      <c r="U1976" s="77">
        <v>0</v>
      </c>
      <c r="V1976" s="77">
        <v>34</v>
      </c>
      <c r="W1976" s="82" t="s">
        <v>6107</v>
      </c>
      <c r="X1976" s="80" t="str">
        <f>HYPERLINK("https://economicnewsbrasil.com.br/2023/07/03/m-dias-branco-xp-eleva-preco-alvo-e-recomenda-compra-em-relatorio-otimista/")</f>
        <v>https://economicnewsbrasil.com.br/2023/07/03/m-dias-branco-xp-eleva-preco-alvo-e-recomenda-compra-em-relatorio-otimista/</v>
      </c>
      <c r="Y1976" s="77" t="s">
        <v>7053</v>
      </c>
      <c r="Z1976" s="77"/>
      <c r="AA1976" s="77" t="s">
        <v>7962</v>
      </c>
      <c r="AB1976" s="77" t="s">
        <v>8225</v>
      </c>
      <c r="AC1976" s="82" t="s">
        <v>8243</v>
      </c>
      <c r="AD1976" s="77" t="s">
        <v>8278</v>
      </c>
      <c r="AE1976" s="80" t="str">
        <f>HYPERLINK("https://twitter.com/economicnewsbr/status/1675935093955739648")</f>
        <v>https://twitter.com/economicnewsbr/status/1675935093955739648</v>
      </c>
      <c r="AF1976" s="79">
        <v>45110.771273148152</v>
      </c>
      <c r="AG1976" s="85">
        <v>45110</v>
      </c>
      <c r="AH1976" s="82" t="s">
        <v>10069</v>
      </c>
      <c r="AI1976" s="77" t="b">
        <v>0</v>
      </c>
      <c r="AJ1976" s="77"/>
      <c r="AK1976" s="77"/>
      <c r="AL1976" s="77"/>
      <c r="AM1976" s="77"/>
      <c r="AN1976" s="77"/>
      <c r="AO1976" s="77"/>
      <c r="AP1976" s="77"/>
      <c r="AQ1976" s="77" t="s">
        <v>12847</v>
      </c>
      <c r="AR1976" s="77"/>
      <c r="AS1976" s="77"/>
      <c r="AT1976" s="77"/>
      <c r="AU1976" s="77"/>
      <c r="AV1976" s="80" t="str">
        <f>HYPERLINK("https://pbs.twimg.com/media/F0IeFk1WcAI7UEL.jpg")</f>
        <v>https://pbs.twimg.com/media/F0IeFk1WcAI7UEL.jpg</v>
      </c>
      <c r="AW1976" s="82" t="s">
        <v>15067</v>
      </c>
      <c r="AX1976" s="82" t="s">
        <v>15067</v>
      </c>
      <c r="AY1976" s="77"/>
      <c r="AZ1976" s="82" t="s">
        <v>17385</v>
      </c>
      <c r="BA1976" s="82" t="s">
        <v>17385</v>
      </c>
      <c r="BB1976" s="82" t="s">
        <v>17385</v>
      </c>
      <c r="BC1976" s="82" t="s">
        <v>15067</v>
      </c>
      <c r="BD1976" s="82" t="s">
        <v>17612</v>
      </c>
      <c r="BE1976" s="77"/>
      <c r="BF1976" s="77"/>
      <c r="BG1976" s="77"/>
      <c r="BH1976" s="77"/>
      <c r="BI1976" s="77"/>
    </row>
    <row r="1977" spans="1:61" x14ac:dyDescent="0.25">
      <c r="A1977" s="62" t="s">
        <v>549</v>
      </c>
      <c r="B1977" s="62" t="s">
        <v>549</v>
      </c>
      <c r="C1977" s="63"/>
      <c r="D1977" s="64"/>
      <c r="E1977" s="65"/>
      <c r="F1977" s="66"/>
      <c r="G1977" s="63"/>
      <c r="H1977" s="67"/>
      <c r="I1977" s="68"/>
      <c r="J1977" s="68"/>
      <c r="K1977" s="32"/>
      <c r="L1977" s="75">
        <v>1977</v>
      </c>
      <c r="M1977" s="75"/>
      <c r="N1977" s="70"/>
      <c r="O1977" s="77" t="s">
        <v>179</v>
      </c>
      <c r="P1977" s="79">
        <v>45087.002002314817</v>
      </c>
      <c r="Q1977" s="77" t="s">
        <v>2763</v>
      </c>
      <c r="R1977" s="77">
        <v>1</v>
      </c>
      <c r="S1977" s="77">
        <v>1</v>
      </c>
      <c r="T1977" s="77">
        <v>0</v>
      </c>
      <c r="U1977" s="77">
        <v>0</v>
      </c>
      <c r="V1977" s="77">
        <v>29</v>
      </c>
      <c r="W1977" s="82" t="s">
        <v>4835</v>
      </c>
      <c r="X1977" s="80" t="str">
        <f>HYPERLINK("https://economicnewsbrasil.com.br/2023/06/09/mercado-financeiro-ibovespa-sobe-com-perspectivas-de-queda-de-juros-e-dolar-recua-itau-unibanco-fortalece-presenca-no-setor-de-energia/")</f>
        <v>https://economicnewsbrasil.com.br/2023/06/09/mercado-financeiro-ibovespa-sobe-com-perspectivas-de-queda-de-juros-e-dolar-recua-itau-unibanco-fortalece-presenca-no-setor-de-energia/</v>
      </c>
      <c r="Y1977" s="77" t="s">
        <v>7053</v>
      </c>
      <c r="Z1977" s="77"/>
      <c r="AA1977" s="77" t="s">
        <v>7963</v>
      </c>
      <c r="AB1977" s="77" t="s">
        <v>8225</v>
      </c>
      <c r="AC1977" s="82" t="s">
        <v>8243</v>
      </c>
      <c r="AD1977" s="77" t="s">
        <v>8278</v>
      </c>
      <c r="AE1977" s="80" t="str">
        <f>HYPERLINK("https://twitter.com/economicnewsbr/status/1667321397746495490")</f>
        <v>https://twitter.com/economicnewsbr/status/1667321397746495490</v>
      </c>
      <c r="AF1977" s="79">
        <v>45087.002002314817</v>
      </c>
      <c r="AG1977" s="85">
        <v>45087</v>
      </c>
      <c r="AH1977" s="82" t="s">
        <v>10070</v>
      </c>
      <c r="AI1977" s="77" t="b">
        <v>0</v>
      </c>
      <c r="AJ1977" s="77"/>
      <c r="AK1977" s="77"/>
      <c r="AL1977" s="77"/>
      <c r="AM1977" s="77"/>
      <c r="AN1977" s="77"/>
      <c r="AO1977" s="77"/>
      <c r="AP1977" s="77"/>
      <c r="AQ1977" s="77" t="s">
        <v>12848</v>
      </c>
      <c r="AR1977" s="77"/>
      <c r="AS1977" s="77"/>
      <c r="AT1977" s="77"/>
      <c r="AU1977" s="77"/>
      <c r="AV1977" s="80" t="str">
        <f>HYPERLINK("https://pbs.twimg.com/media/FyOD-dSWAAEdYsS.jpg")</f>
        <v>https://pbs.twimg.com/media/FyOD-dSWAAEdYsS.jpg</v>
      </c>
      <c r="AW1977" s="82" t="s">
        <v>15068</v>
      </c>
      <c r="AX1977" s="82" t="s">
        <v>15068</v>
      </c>
      <c r="AY1977" s="77"/>
      <c r="AZ1977" s="82" t="s">
        <v>17385</v>
      </c>
      <c r="BA1977" s="82" t="s">
        <v>17385</v>
      </c>
      <c r="BB1977" s="82" t="s">
        <v>17385</v>
      </c>
      <c r="BC1977" s="82" t="s">
        <v>15068</v>
      </c>
      <c r="BD1977" s="82" t="s">
        <v>17612</v>
      </c>
      <c r="BE1977" s="77"/>
      <c r="BF1977" s="77"/>
      <c r="BG1977" s="77"/>
      <c r="BH1977" s="77"/>
      <c r="BI1977" s="77"/>
    </row>
    <row r="1978" spans="1:61" x14ac:dyDescent="0.25">
      <c r="A1978" s="62" t="s">
        <v>549</v>
      </c>
      <c r="B1978" s="62" t="s">
        <v>549</v>
      </c>
      <c r="C1978" s="63"/>
      <c r="D1978" s="64"/>
      <c r="E1978" s="65"/>
      <c r="F1978" s="66"/>
      <c r="G1978" s="63"/>
      <c r="H1978" s="67"/>
      <c r="I1978" s="68"/>
      <c r="J1978" s="68"/>
      <c r="K1978" s="32"/>
      <c r="L1978" s="75">
        <v>1978</v>
      </c>
      <c r="M1978" s="75"/>
      <c r="N1978" s="70"/>
      <c r="O1978" s="77" t="s">
        <v>179</v>
      </c>
      <c r="P1978" s="79">
        <v>45072.469224537039</v>
      </c>
      <c r="Q1978" s="77" t="s">
        <v>2764</v>
      </c>
      <c r="R1978" s="77">
        <v>0</v>
      </c>
      <c r="S1978" s="77">
        <v>0</v>
      </c>
      <c r="T1978" s="77">
        <v>0</v>
      </c>
      <c r="U1978" s="77">
        <v>0</v>
      </c>
      <c r="V1978" s="77">
        <v>20</v>
      </c>
      <c r="W1978" s="82" t="s">
        <v>6106</v>
      </c>
      <c r="X1978" s="80" t="str">
        <f>HYPERLINK("https://economicnewsbrasil.com.br/2023/05/25/dolar-fecha-em-alta-alcancando-r-5036-ibovespa-valoriza-se-em-115/")</f>
        <v>https://economicnewsbrasil.com.br/2023/05/25/dolar-fecha-em-alta-alcancando-r-5036-ibovespa-valoriza-se-em-115/</v>
      </c>
      <c r="Y1978" s="77" t="s">
        <v>7053</v>
      </c>
      <c r="Z1978" s="77"/>
      <c r="AA1978" s="77" t="s">
        <v>7964</v>
      </c>
      <c r="AB1978" s="77" t="s">
        <v>8225</v>
      </c>
      <c r="AC1978" s="82" t="s">
        <v>8243</v>
      </c>
      <c r="AD1978" s="77" t="s">
        <v>8278</v>
      </c>
      <c r="AE1978" s="80" t="str">
        <f>HYPERLINK("https://twitter.com/economicnewsbr/status/1662054895501946881")</f>
        <v>https://twitter.com/economicnewsbr/status/1662054895501946881</v>
      </c>
      <c r="AF1978" s="79">
        <v>45072.469224537039</v>
      </c>
      <c r="AG1978" s="85">
        <v>45072</v>
      </c>
      <c r="AH1978" s="82" t="s">
        <v>10071</v>
      </c>
      <c r="AI1978" s="77" t="b">
        <v>0</v>
      </c>
      <c r="AJ1978" s="77"/>
      <c r="AK1978" s="77"/>
      <c r="AL1978" s="77"/>
      <c r="AM1978" s="77"/>
      <c r="AN1978" s="77"/>
      <c r="AO1978" s="77"/>
      <c r="AP1978" s="77"/>
      <c r="AQ1978" s="77" t="s">
        <v>12849</v>
      </c>
      <c r="AR1978" s="77"/>
      <c r="AS1978" s="77"/>
      <c r="AT1978" s="77"/>
      <c r="AU1978" s="77"/>
      <c r="AV1978" s="80" t="str">
        <f>HYPERLINK("https://pbs.twimg.com/media/FxDOHosXwAAlIuw.jpg")</f>
        <v>https://pbs.twimg.com/media/FxDOHosXwAAlIuw.jpg</v>
      </c>
      <c r="AW1978" s="82" t="s">
        <v>15069</v>
      </c>
      <c r="AX1978" s="82" t="s">
        <v>15069</v>
      </c>
      <c r="AY1978" s="77"/>
      <c r="AZ1978" s="82" t="s">
        <v>17385</v>
      </c>
      <c r="BA1978" s="82" t="s">
        <v>17385</v>
      </c>
      <c r="BB1978" s="82" t="s">
        <v>17385</v>
      </c>
      <c r="BC1978" s="82" t="s">
        <v>15069</v>
      </c>
      <c r="BD1978" s="82" t="s">
        <v>17612</v>
      </c>
      <c r="BE1978" s="77"/>
      <c r="BF1978" s="77"/>
      <c r="BG1978" s="77"/>
      <c r="BH1978" s="77"/>
      <c r="BI1978" s="77"/>
    </row>
    <row r="1979" spans="1:61" x14ac:dyDescent="0.25">
      <c r="A1979" s="62" t="s">
        <v>549</v>
      </c>
      <c r="B1979" s="62" t="s">
        <v>549</v>
      </c>
      <c r="C1979" s="63"/>
      <c r="D1979" s="64"/>
      <c r="E1979" s="65"/>
      <c r="F1979" s="66"/>
      <c r="G1979" s="63"/>
      <c r="H1979" s="67"/>
      <c r="I1979" s="68"/>
      <c r="J1979" s="68"/>
      <c r="K1979" s="32"/>
      <c r="L1979" s="75">
        <v>1979</v>
      </c>
      <c r="M1979" s="75"/>
      <c r="N1979" s="70"/>
      <c r="O1979" s="77" t="s">
        <v>179</v>
      </c>
      <c r="P1979" s="79">
        <v>45183.933888888889</v>
      </c>
      <c r="Q1979" s="77" t="s">
        <v>2765</v>
      </c>
      <c r="R1979" s="77">
        <v>0</v>
      </c>
      <c r="S1979" s="77">
        <v>0</v>
      </c>
      <c r="T1979" s="77">
        <v>0</v>
      </c>
      <c r="U1979" s="77">
        <v>0</v>
      </c>
      <c r="V1979" s="77">
        <v>21</v>
      </c>
      <c r="W1979" s="82" t="s">
        <v>6108</v>
      </c>
      <c r="X1979" s="80" t="str">
        <f>HYPERLINK("https://economicnewsbrasil.com.br/2023/09/14/mercado-financeiro-atualizacoes-importantes-de-14-09/")</f>
        <v>https://economicnewsbrasil.com.br/2023/09/14/mercado-financeiro-atualizacoes-importantes-de-14-09/</v>
      </c>
      <c r="Y1979" s="77" t="s">
        <v>7053</v>
      </c>
      <c r="Z1979" s="77"/>
      <c r="AA1979" s="77"/>
      <c r="AB1979" s="77"/>
      <c r="AC1979" s="82" t="s">
        <v>8270</v>
      </c>
      <c r="AD1979" s="77" t="s">
        <v>8278</v>
      </c>
      <c r="AE1979" s="80" t="str">
        <f>HYPERLINK("https://twitter.com/economicnewsbr/status/1702448337171993024")</f>
        <v>https://twitter.com/economicnewsbr/status/1702448337171993024</v>
      </c>
      <c r="AF1979" s="79">
        <v>45183.933888888889</v>
      </c>
      <c r="AG1979" s="85">
        <v>45183</v>
      </c>
      <c r="AH1979" s="82" t="s">
        <v>10072</v>
      </c>
      <c r="AI1979" s="77" t="b">
        <v>0</v>
      </c>
      <c r="AJ1979" s="77"/>
      <c r="AK1979" s="77"/>
      <c r="AL1979" s="77"/>
      <c r="AM1979" s="77"/>
      <c r="AN1979" s="77"/>
      <c r="AO1979" s="77"/>
      <c r="AP1979" s="77"/>
      <c r="AQ1979" s="77"/>
      <c r="AR1979" s="77"/>
      <c r="AS1979" s="77"/>
      <c r="AT1979" s="77"/>
      <c r="AU1979" s="77"/>
      <c r="AV1979" s="80" t="str">
        <f>HYPERLINK("https://pbs.twimg.com/profile_images/1211027151870402560/9JIqaKmf_normal.jpg")</f>
        <v>https://pbs.twimg.com/profile_images/1211027151870402560/9JIqaKmf_normal.jpg</v>
      </c>
      <c r="AW1979" s="82" t="s">
        <v>15070</v>
      </c>
      <c r="AX1979" s="82" t="s">
        <v>15070</v>
      </c>
      <c r="AY1979" s="77"/>
      <c r="AZ1979" s="82" t="s">
        <v>17385</v>
      </c>
      <c r="BA1979" s="82" t="s">
        <v>17385</v>
      </c>
      <c r="BB1979" s="82" t="s">
        <v>17385</v>
      </c>
      <c r="BC1979" s="82" t="s">
        <v>15070</v>
      </c>
      <c r="BD1979" s="82" t="s">
        <v>17612</v>
      </c>
      <c r="BE1979" s="77"/>
      <c r="BF1979" s="77"/>
      <c r="BG1979" s="77"/>
      <c r="BH1979" s="77"/>
      <c r="BI1979" s="77"/>
    </row>
    <row r="1980" spans="1:61" x14ac:dyDescent="0.25">
      <c r="A1980" s="62" t="s">
        <v>549</v>
      </c>
      <c r="B1980" s="62" t="s">
        <v>549</v>
      </c>
      <c r="C1980" s="63"/>
      <c r="D1980" s="64"/>
      <c r="E1980" s="65"/>
      <c r="F1980" s="66"/>
      <c r="G1980" s="63"/>
      <c r="H1980" s="67"/>
      <c r="I1980" s="68"/>
      <c r="J1980" s="68"/>
      <c r="K1980" s="32"/>
      <c r="L1980" s="75">
        <v>1980</v>
      </c>
      <c r="M1980" s="75"/>
      <c r="N1980" s="70"/>
      <c r="O1980" s="77" t="s">
        <v>179</v>
      </c>
      <c r="P1980" s="79">
        <v>45183.757314814815</v>
      </c>
      <c r="Q1980" s="77" t="s">
        <v>2766</v>
      </c>
      <c r="R1980" s="77">
        <v>0</v>
      </c>
      <c r="S1980" s="77">
        <v>0</v>
      </c>
      <c r="T1980" s="77">
        <v>0</v>
      </c>
      <c r="U1980" s="77">
        <v>0</v>
      </c>
      <c r="V1980" s="77">
        <v>101</v>
      </c>
      <c r="W1980" s="82" t="s">
        <v>6109</v>
      </c>
      <c r="X1980" s="80" t="str">
        <f>HYPERLINK("https://economicnewsbrasil.com.br/2023/09/14/queda-drastica-de-3153-grupo-casas-bahia-viia3-enfrenta-turbulencia-na-bolsa/")</f>
        <v>https://economicnewsbrasil.com.br/2023/09/14/queda-drastica-de-3153-grupo-casas-bahia-viia3-enfrenta-turbulencia-na-bolsa/</v>
      </c>
      <c r="Y1980" s="77" t="s">
        <v>7053</v>
      </c>
      <c r="Z1980" s="77"/>
      <c r="AA1980" s="77"/>
      <c r="AB1980" s="77"/>
      <c r="AC1980" s="82" t="s">
        <v>8270</v>
      </c>
      <c r="AD1980" s="77" t="s">
        <v>8278</v>
      </c>
      <c r="AE1980" s="80" t="str">
        <f>HYPERLINK("https://twitter.com/economicnewsbr/status/1702384349704831095")</f>
        <v>https://twitter.com/economicnewsbr/status/1702384349704831095</v>
      </c>
      <c r="AF1980" s="79">
        <v>45183.757314814815</v>
      </c>
      <c r="AG1980" s="85">
        <v>45183</v>
      </c>
      <c r="AH1980" s="82" t="s">
        <v>10073</v>
      </c>
      <c r="AI1980" s="77" t="b">
        <v>0</v>
      </c>
      <c r="AJ1980" s="77"/>
      <c r="AK1980" s="77"/>
      <c r="AL1980" s="77"/>
      <c r="AM1980" s="77"/>
      <c r="AN1980" s="77"/>
      <c r="AO1980" s="77"/>
      <c r="AP1980" s="77"/>
      <c r="AQ1980" s="77"/>
      <c r="AR1980" s="77"/>
      <c r="AS1980" s="77"/>
      <c r="AT1980" s="77"/>
      <c r="AU1980" s="77"/>
      <c r="AV1980" s="80" t="str">
        <f>HYPERLINK("https://pbs.twimg.com/profile_images/1211027151870402560/9JIqaKmf_normal.jpg")</f>
        <v>https://pbs.twimg.com/profile_images/1211027151870402560/9JIqaKmf_normal.jpg</v>
      </c>
      <c r="AW1980" s="82" t="s">
        <v>15071</v>
      </c>
      <c r="AX1980" s="82" t="s">
        <v>15071</v>
      </c>
      <c r="AY1980" s="77"/>
      <c r="AZ1980" s="82" t="s">
        <v>17385</v>
      </c>
      <c r="BA1980" s="82" t="s">
        <v>17385</v>
      </c>
      <c r="BB1980" s="82" t="s">
        <v>17385</v>
      </c>
      <c r="BC1980" s="82" t="s">
        <v>15071</v>
      </c>
      <c r="BD1980" s="82" t="s">
        <v>17612</v>
      </c>
      <c r="BE1980" s="77"/>
      <c r="BF1980" s="77"/>
      <c r="BG1980" s="77"/>
      <c r="BH1980" s="77"/>
      <c r="BI1980" s="77"/>
    </row>
    <row r="1981" spans="1:61" x14ac:dyDescent="0.25">
      <c r="A1981" s="62" t="s">
        <v>549</v>
      </c>
      <c r="B1981" s="62" t="s">
        <v>549</v>
      </c>
      <c r="C1981" s="63"/>
      <c r="D1981" s="64"/>
      <c r="E1981" s="65"/>
      <c r="F1981" s="66"/>
      <c r="G1981" s="63"/>
      <c r="H1981" s="67"/>
      <c r="I1981" s="68"/>
      <c r="J1981" s="68"/>
      <c r="K1981" s="32"/>
      <c r="L1981" s="75">
        <v>1981</v>
      </c>
      <c r="M1981" s="75"/>
      <c r="N1981" s="70"/>
      <c r="O1981" s="77" t="s">
        <v>179</v>
      </c>
      <c r="P1981" s="79">
        <v>45179.711423611108</v>
      </c>
      <c r="Q1981" s="77" t="s">
        <v>2767</v>
      </c>
      <c r="R1981" s="77">
        <v>0</v>
      </c>
      <c r="S1981" s="77">
        <v>0</v>
      </c>
      <c r="T1981" s="77">
        <v>0</v>
      </c>
      <c r="U1981" s="77">
        <v>0</v>
      </c>
      <c r="V1981" s="77">
        <v>54</v>
      </c>
      <c r="W1981" s="82" t="s">
        <v>6110</v>
      </c>
      <c r="X1981" s="80" t="str">
        <f>HYPERLINK("https://economicnewsbrasil.com.br/2023/09/10/gpa-negocia-venda-de-parte-na-cnova-detalhes-aqui/")</f>
        <v>https://economicnewsbrasil.com.br/2023/09/10/gpa-negocia-venda-de-parte-na-cnova-detalhes-aqui/</v>
      </c>
      <c r="Y1981" s="77" t="s">
        <v>7053</v>
      </c>
      <c r="Z1981" s="77"/>
      <c r="AA1981" s="77"/>
      <c r="AB1981" s="77"/>
      <c r="AC1981" s="82" t="s">
        <v>8270</v>
      </c>
      <c r="AD1981" s="77" t="s">
        <v>8278</v>
      </c>
      <c r="AE1981" s="80" t="str">
        <f>HYPERLINK("https://twitter.com/economicnewsbr/status/1700918166807773307")</f>
        <v>https://twitter.com/economicnewsbr/status/1700918166807773307</v>
      </c>
      <c r="AF1981" s="79">
        <v>45179.711423611108</v>
      </c>
      <c r="AG1981" s="85">
        <v>45179</v>
      </c>
      <c r="AH1981" s="82" t="s">
        <v>10074</v>
      </c>
      <c r="AI1981" s="77" t="b">
        <v>0</v>
      </c>
      <c r="AJ1981" s="77"/>
      <c r="AK1981" s="77"/>
      <c r="AL1981" s="77"/>
      <c r="AM1981" s="77"/>
      <c r="AN1981" s="77"/>
      <c r="AO1981" s="77"/>
      <c r="AP1981" s="77"/>
      <c r="AQ1981" s="77"/>
      <c r="AR1981" s="77"/>
      <c r="AS1981" s="77"/>
      <c r="AT1981" s="77"/>
      <c r="AU1981" s="77"/>
      <c r="AV1981" s="80" t="str">
        <f>HYPERLINK("https://pbs.twimg.com/profile_images/1211027151870402560/9JIqaKmf_normal.jpg")</f>
        <v>https://pbs.twimg.com/profile_images/1211027151870402560/9JIqaKmf_normal.jpg</v>
      </c>
      <c r="AW1981" s="82" t="s">
        <v>15072</v>
      </c>
      <c r="AX1981" s="82" t="s">
        <v>15072</v>
      </c>
      <c r="AY1981" s="77"/>
      <c r="AZ1981" s="82" t="s">
        <v>17385</v>
      </c>
      <c r="BA1981" s="82" t="s">
        <v>17385</v>
      </c>
      <c r="BB1981" s="82" t="s">
        <v>17385</v>
      </c>
      <c r="BC1981" s="82" t="s">
        <v>15072</v>
      </c>
      <c r="BD1981" s="82" t="s">
        <v>17612</v>
      </c>
      <c r="BE1981" s="77"/>
      <c r="BF1981" s="77"/>
      <c r="BG1981" s="77"/>
      <c r="BH1981" s="77"/>
      <c r="BI1981" s="77"/>
    </row>
    <row r="1982" spans="1:61" x14ac:dyDescent="0.25">
      <c r="A1982" s="62" t="s">
        <v>549</v>
      </c>
      <c r="B1982" s="62" t="s">
        <v>549</v>
      </c>
      <c r="C1982" s="63"/>
      <c r="D1982" s="64"/>
      <c r="E1982" s="65"/>
      <c r="F1982" s="66"/>
      <c r="G1982" s="63"/>
      <c r="H1982" s="67"/>
      <c r="I1982" s="68"/>
      <c r="J1982" s="68"/>
      <c r="K1982" s="32"/>
      <c r="L1982" s="75">
        <v>1982</v>
      </c>
      <c r="M1982" s="75"/>
      <c r="N1982" s="70"/>
      <c r="O1982" s="77" t="s">
        <v>179</v>
      </c>
      <c r="P1982" s="79">
        <v>45176.393587962964</v>
      </c>
      <c r="Q1982" s="77" t="s">
        <v>2768</v>
      </c>
      <c r="R1982" s="77">
        <v>0</v>
      </c>
      <c r="S1982" s="77">
        <v>0</v>
      </c>
      <c r="T1982" s="77">
        <v>0</v>
      </c>
      <c r="U1982" s="77">
        <v>0</v>
      </c>
      <c r="V1982" s="77">
        <v>20</v>
      </c>
      <c r="W1982" s="82" t="s">
        <v>6111</v>
      </c>
      <c r="X1982" s="80" t="str">
        <f>HYPERLINK("https://economicnewsbrasil.com.br/?p=87519")</f>
        <v>https://economicnewsbrasil.com.br/?p=87519</v>
      </c>
      <c r="Y1982" s="77" t="s">
        <v>7053</v>
      </c>
      <c r="Z1982" s="77"/>
      <c r="AA1982" s="77" t="s">
        <v>7965</v>
      </c>
      <c r="AB1982" s="77" t="s">
        <v>8225</v>
      </c>
      <c r="AC1982" s="82" t="s">
        <v>8270</v>
      </c>
      <c r="AD1982" s="77" t="s">
        <v>8278</v>
      </c>
      <c r="AE1982" s="80" t="str">
        <f>HYPERLINK("https://twitter.com/economicnewsbr/status/1699715823844069492")</f>
        <v>https://twitter.com/economicnewsbr/status/1699715823844069492</v>
      </c>
      <c r="AF1982" s="79">
        <v>45176.393587962964</v>
      </c>
      <c r="AG1982" s="85">
        <v>45176</v>
      </c>
      <c r="AH1982" s="82" t="s">
        <v>10075</v>
      </c>
      <c r="AI1982" s="77" t="b">
        <v>0</v>
      </c>
      <c r="AJ1982" s="77"/>
      <c r="AK1982" s="77"/>
      <c r="AL1982" s="77"/>
      <c r="AM1982" s="77"/>
      <c r="AN1982" s="77"/>
      <c r="AO1982" s="77"/>
      <c r="AP1982" s="77"/>
      <c r="AQ1982" s="77" t="s">
        <v>12850</v>
      </c>
      <c r="AR1982" s="77"/>
      <c r="AS1982" s="77"/>
      <c r="AT1982" s="77"/>
      <c r="AU1982" s="77"/>
      <c r="AV1982" s="80" t="str">
        <f>HYPERLINK("https://pbs.twimg.com/media/F5aaiOhWsAAsWI4.jpg")</f>
        <v>https://pbs.twimg.com/media/F5aaiOhWsAAsWI4.jpg</v>
      </c>
      <c r="AW1982" s="82" t="s">
        <v>15073</v>
      </c>
      <c r="AX1982" s="82" t="s">
        <v>15073</v>
      </c>
      <c r="AY1982" s="77"/>
      <c r="AZ1982" s="82" t="s">
        <v>17385</v>
      </c>
      <c r="BA1982" s="82" t="s">
        <v>17385</v>
      </c>
      <c r="BB1982" s="82" t="s">
        <v>17385</v>
      </c>
      <c r="BC1982" s="82" t="s">
        <v>15073</v>
      </c>
      <c r="BD1982" s="82" t="s">
        <v>17612</v>
      </c>
      <c r="BE1982" s="77"/>
      <c r="BF1982" s="77"/>
      <c r="BG1982" s="77"/>
      <c r="BH1982" s="77"/>
      <c r="BI1982" s="77"/>
    </row>
    <row r="1983" spans="1:61" x14ac:dyDescent="0.25">
      <c r="A1983" s="62" t="s">
        <v>549</v>
      </c>
      <c r="B1983" s="62" t="s">
        <v>549</v>
      </c>
      <c r="C1983" s="63"/>
      <c r="D1983" s="64"/>
      <c r="E1983" s="65"/>
      <c r="F1983" s="66"/>
      <c r="G1983" s="63"/>
      <c r="H1983" s="67"/>
      <c r="I1983" s="68"/>
      <c r="J1983" s="68"/>
      <c r="K1983" s="32"/>
      <c r="L1983" s="75">
        <v>1983</v>
      </c>
      <c r="M1983" s="75"/>
      <c r="N1983" s="70"/>
      <c r="O1983" s="77" t="s">
        <v>179</v>
      </c>
      <c r="P1983" s="79">
        <v>45173.978043981479</v>
      </c>
      <c r="Q1983" s="77" t="s">
        <v>2769</v>
      </c>
      <c r="R1983" s="77">
        <v>0</v>
      </c>
      <c r="S1983" s="77">
        <v>0</v>
      </c>
      <c r="T1983" s="77">
        <v>0</v>
      </c>
      <c r="U1983" s="77">
        <v>0</v>
      </c>
      <c r="V1983" s="77">
        <v>41</v>
      </c>
      <c r="W1983" s="82" t="s">
        <v>6112</v>
      </c>
      <c r="X1983" s="80" t="str">
        <f>HYPERLINK("https://economicnewsbrasil.com.br/2023/09/04/mercado-financeiro-04-09-confira-cotacao-indices-e-mais-informacao/")</f>
        <v>https://economicnewsbrasil.com.br/2023/09/04/mercado-financeiro-04-09-confira-cotacao-indices-e-mais-informacao/</v>
      </c>
      <c r="Y1983" s="77" t="s">
        <v>7053</v>
      </c>
      <c r="Z1983" s="77"/>
      <c r="AA1983" s="77" t="s">
        <v>7966</v>
      </c>
      <c r="AB1983" s="77" t="s">
        <v>8225</v>
      </c>
      <c r="AC1983" s="82" t="s">
        <v>8270</v>
      </c>
      <c r="AD1983" s="77" t="s">
        <v>8278</v>
      </c>
      <c r="AE1983" s="80" t="str">
        <f>HYPERLINK("https://twitter.com/economicnewsbr/status/1698840460565864570")</f>
        <v>https://twitter.com/economicnewsbr/status/1698840460565864570</v>
      </c>
      <c r="AF1983" s="79">
        <v>45173.978043981479</v>
      </c>
      <c r="AG1983" s="85">
        <v>45173</v>
      </c>
      <c r="AH1983" s="82" t="s">
        <v>10076</v>
      </c>
      <c r="AI1983" s="77" t="b">
        <v>0</v>
      </c>
      <c r="AJ1983" s="77"/>
      <c r="AK1983" s="77"/>
      <c r="AL1983" s="77"/>
      <c r="AM1983" s="77"/>
      <c r="AN1983" s="77"/>
      <c r="AO1983" s="77"/>
      <c r="AP1983" s="77"/>
      <c r="AQ1983" s="77" t="s">
        <v>12851</v>
      </c>
      <c r="AR1983" s="77"/>
      <c r="AS1983" s="77"/>
      <c r="AT1983" s="77"/>
      <c r="AU1983" s="77"/>
      <c r="AV1983" s="80" t="str">
        <f>HYPERLINK("https://pbs.twimg.com/media/F5N-ZXfWMAAGwyN.jpg")</f>
        <v>https://pbs.twimg.com/media/F5N-ZXfWMAAGwyN.jpg</v>
      </c>
      <c r="AW1983" s="82" t="s">
        <v>15074</v>
      </c>
      <c r="AX1983" s="82" t="s">
        <v>15074</v>
      </c>
      <c r="AY1983" s="77"/>
      <c r="AZ1983" s="82" t="s">
        <v>17385</v>
      </c>
      <c r="BA1983" s="82" t="s">
        <v>17385</v>
      </c>
      <c r="BB1983" s="82" t="s">
        <v>17385</v>
      </c>
      <c r="BC1983" s="82" t="s">
        <v>15074</v>
      </c>
      <c r="BD1983" s="82" t="s">
        <v>17612</v>
      </c>
      <c r="BE1983" s="77"/>
      <c r="BF1983" s="77"/>
      <c r="BG1983" s="77"/>
      <c r="BH1983" s="77"/>
      <c r="BI1983" s="77"/>
    </row>
    <row r="1984" spans="1:61" x14ac:dyDescent="0.25">
      <c r="A1984" s="62" t="s">
        <v>549</v>
      </c>
      <c r="B1984" s="62" t="s">
        <v>549</v>
      </c>
      <c r="C1984" s="63"/>
      <c r="D1984" s="64"/>
      <c r="E1984" s="65"/>
      <c r="F1984" s="66"/>
      <c r="G1984" s="63"/>
      <c r="H1984" s="67"/>
      <c r="I1984" s="68"/>
      <c r="J1984" s="68"/>
      <c r="K1984" s="32"/>
      <c r="L1984" s="75">
        <v>1984</v>
      </c>
      <c r="M1984" s="75"/>
      <c r="N1984" s="70"/>
      <c r="O1984" s="77" t="s">
        <v>179</v>
      </c>
      <c r="P1984" s="79">
        <v>45173.976064814815</v>
      </c>
      <c r="Q1984" s="77" t="s">
        <v>2770</v>
      </c>
      <c r="R1984" s="77">
        <v>0</v>
      </c>
      <c r="S1984" s="77">
        <v>0</v>
      </c>
      <c r="T1984" s="77">
        <v>0</v>
      </c>
      <c r="U1984" s="77">
        <v>0</v>
      </c>
      <c r="V1984" s="77">
        <v>38</v>
      </c>
      <c r="W1984" s="82" t="s">
        <v>6112</v>
      </c>
      <c r="X1984" s="80" t="str">
        <f>HYPERLINK("https://economicnewsbrasil.com.br/2023/09/04/87189/")</f>
        <v>https://economicnewsbrasil.com.br/2023/09/04/87189/</v>
      </c>
      <c r="Y1984" s="77" t="s">
        <v>7053</v>
      </c>
      <c r="Z1984" s="77"/>
      <c r="AA1984" s="77" t="s">
        <v>7967</v>
      </c>
      <c r="AB1984" s="77" t="s">
        <v>8225</v>
      </c>
      <c r="AC1984" s="82" t="s">
        <v>8270</v>
      </c>
      <c r="AD1984" s="77" t="s">
        <v>8278</v>
      </c>
      <c r="AE1984" s="80" t="str">
        <f>HYPERLINK("https://twitter.com/economicnewsbr/status/1698839742316441794")</f>
        <v>https://twitter.com/economicnewsbr/status/1698839742316441794</v>
      </c>
      <c r="AF1984" s="79">
        <v>45173.976064814815</v>
      </c>
      <c r="AG1984" s="85">
        <v>45173</v>
      </c>
      <c r="AH1984" s="82" t="s">
        <v>10077</v>
      </c>
      <c r="AI1984" s="77" t="b">
        <v>0</v>
      </c>
      <c r="AJ1984" s="77"/>
      <c r="AK1984" s="77"/>
      <c r="AL1984" s="77"/>
      <c r="AM1984" s="77"/>
      <c r="AN1984" s="77"/>
      <c r="AO1984" s="77"/>
      <c r="AP1984" s="77"/>
      <c r="AQ1984" s="77" t="s">
        <v>12852</v>
      </c>
      <c r="AR1984" s="77"/>
      <c r="AS1984" s="77"/>
      <c r="AT1984" s="77"/>
      <c r="AU1984" s="77"/>
      <c r="AV1984" s="80" t="str">
        <f>HYPERLINK("https://pbs.twimg.com/media/F5N9vjFXwAIjhKX.jpg")</f>
        <v>https://pbs.twimg.com/media/F5N9vjFXwAIjhKX.jpg</v>
      </c>
      <c r="AW1984" s="82" t="s">
        <v>15075</v>
      </c>
      <c r="AX1984" s="82" t="s">
        <v>15075</v>
      </c>
      <c r="AY1984" s="77"/>
      <c r="AZ1984" s="82" t="s">
        <v>17385</v>
      </c>
      <c r="BA1984" s="82" t="s">
        <v>17385</v>
      </c>
      <c r="BB1984" s="82" t="s">
        <v>17385</v>
      </c>
      <c r="BC1984" s="82" t="s">
        <v>15075</v>
      </c>
      <c r="BD1984" s="82" t="s">
        <v>17612</v>
      </c>
      <c r="BE1984" s="77"/>
      <c r="BF1984" s="77"/>
      <c r="BG1984" s="77"/>
      <c r="BH1984" s="77"/>
      <c r="BI1984" s="77"/>
    </row>
    <row r="1985" spans="1:61" x14ac:dyDescent="0.25">
      <c r="A1985" s="62" t="s">
        <v>549</v>
      </c>
      <c r="B1985" s="62" t="s">
        <v>549</v>
      </c>
      <c r="C1985" s="63"/>
      <c r="D1985" s="64"/>
      <c r="E1985" s="65"/>
      <c r="F1985" s="66"/>
      <c r="G1985" s="63"/>
      <c r="H1985" s="67"/>
      <c r="I1985" s="68"/>
      <c r="J1985" s="68"/>
      <c r="K1985" s="32"/>
      <c r="L1985" s="75">
        <v>1985</v>
      </c>
      <c r="M1985" s="75"/>
      <c r="N1985" s="70"/>
      <c r="O1985" s="77" t="s">
        <v>179</v>
      </c>
      <c r="P1985" s="79">
        <v>45165.754502314812</v>
      </c>
      <c r="Q1985" s="77" t="s">
        <v>2771</v>
      </c>
      <c r="R1985" s="77">
        <v>0</v>
      </c>
      <c r="S1985" s="77">
        <v>0</v>
      </c>
      <c r="T1985" s="77">
        <v>0</v>
      </c>
      <c r="U1985" s="77">
        <v>0</v>
      </c>
      <c r="V1985" s="77">
        <v>9</v>
      </c>
      <c r="W1985" s="82" t="s">
        <v>6113</v>
      </c>
      <c r="X1985" s="80" t="str">
        <f>HYPERLINK("https://economicnewsbrasil.com.br/?p=85240")</f>
        <v>https://economicnewsbrasil.com.br/?p=85240</v>
      </c>
      <c r="Y1985" s="77" t="s">
        <v>7053</v>
      </c>
      <c r="Z1985" s="77"/>
      <c r="AA1985" s="77" t="s">
        <v>7968</v>
      </c>
      <c r="AB1985" s="77" t="s">
        <v>8225</v>
      </c>
      <c r="AC1985" s="82" t="s">
        <v>8270</v>
      </c>
      <c r="AD1985" s="77" t="s">
        <v>8278</v>
      </c>
      <c r="AE1985" s="80" t="str">
        <f>HYPERLINK("https://twitter.com/economicnewsbr/status/1695860350011232459")</f>
        <v>https://twitter.com/economicnewsbr/status/1695860350011232459</v>
      </c>
      <c r="AF1985" s="79">
        <v>45165.754502314812</v>
      </c>
      <c r="AG1985" s="85">
        <v>45165</v>
      </c>
      <c r="AH1985" s="82" t="s">
        <v>10078</v>
      </c>
      <c r="AI1985" s="77" t="b">
        <v>0</v>
      </c>
      <c r="AJ1985" s="77"/>
      <c r="AK1985" s="77"/>
      <c r="AL1985" s="77"/>
      <c r="AM1985" s="77"/>
      <c r="AN1985" s="77"/>
      <c r="AO1985" s="77"/>
      <c r="AP1985" s="77"/>
      <c r="AQ1985" s="77" t="s">
        <v>12853</v>
      </c>
      <c r="AR1985" s="77"/>
      <c r="AS1985" s="77"/>
      <c r="AT1985" s="77"/>
      <c r="AU1985" s="77"/>
      <c r="AV1985" s="80" t="str">
        <f>HYPERLINK("https://pbs.twimg.com/media/F4joAEtWgAAtLna.jpg")</f>
        <v>https://pbs.twimg.com/media/F4joAEtWgAAtLna.jpg</v>
      </c>
      <c r="AW1985" s="82" t="s">
        <v>15076</v>
      </c>
      <c r="AX1985" s="82" t="s">
        <v>15076</v>
      </c>
      <c r="AY1985" s="77"/>
      <c r="AZ1985" s="82" t="s">
        <v>17385</v>
      </c>
      <c r="BA1985" s="82" t="s">
        <v>17385</v>
      </c>
      <c r="BB1985" s="82" t="s">
        <v>17385</v>
      </c>
      <c r="BC1985" s="82" t="s">
        <v>15076</v>
      </c>
      <c r="BD1985" s="82" t="s">
        <v>17612</v>
      </c>
      <c r="BE1985" s="77"/>
      <c r="BF1985" s="77"/>
      <c r="BG1985" s="77"/>
      <c r="BH1985" s="77"/>
      <c r="BI1985" s="77"/>
    </row>
    <row r="1986" spans="1:61" x14ac:dyDescent="0.25">
      <c r="A1986" s="62" t="s">
        <v>549</v>
      </c>
      <c r="B1986" s="62" t="s">
        <v>549</v>
      </c>
      <c r="C1986" s="63"/>
      <c r="D1986" s="64"/>
      <c r="E1986" s="65"/>
      <c r="F1986" s="66"/>
      <c r="G1986" s="63"/>
      <c r="H1986" s="67"/>
      <c r="I1986" s="68"/>
      <c r="J1986" s="68"/>
      <c r="K1986" s="32"/>
      <c r="L1986" s="75">
        <v>1986</v>
      </c>
      <c r="M1986" s="75"/>
      <c r="N1986" s="70"/>
      <c r="O1986" s="77" t="s">
        <v>179</v>
      </c>
      <c r="P1986" s="79">
        <v>45146.481747685182</v>
      </c>
      <c r="Q1986" s="77" t="s">
        <v>2772</v>
      </c>
      <c r="R1986" s="77">
        <v>0</v>
      </c>
      <c r="S1986" s="77">
        <v>1</v>
      </c>
      <c r="T1986" s="77">
        <v>1</v>
      </c>
      <c r="U1986" s="77">
        <v>0</v>
      </c>
      <c r="V1986" s="77">
        <v>223</v>
      </c>
      <c r="W1986" s="82" t="s">
        <v>4835</v>
      </c>
      <c r="X1986" s="80" t="str">
        <f>HYPERLINK("https://economicnewsbrasil.com.br/2023/08/08/itau-unibanco-divulga-lucro-de-r-874-bilhoes-com-foco-em-credito-lucrativo/")</f>
        <v>https://economicnewsbrasil.com.br/2023/08/08/itau-unibanco-divulga-lucro-de-r-874-bilhoes-com-foco-em-credito-lucrativo/</v>
      </c>
      <c r="Y1986" s="77" t="s">
        <v>7053</v>
      </c>
      <c r="Z1986" s="77"/>
      <c r="AA1986" s="77" t="s">
        <v>7969</v>
      </c>
      <c r="AB1986" s="77" t="s">
        <v>8225</v>
      </c>
      <c r="AC1986" s="82" t="s">
        <v>8270</v>
      </c>
      <c r="AD1986" s="77" t="s">
        <v>8278</v>
      </c>
      <c r="AE1986" s="80" t="str">
        <f>HYPERLINK("https://twitter.com/economicnewsbr/status/1688876136892182528")</f>
        <v>https://twitter.com/economicnewsbr/status/1688876136892182528</v>
      </c>
      <c r="AF1986" s="79">
        <v>45146.481747685182</v>
      </c>
      <c r="AG1986" s="85">
        <v>45146</v>
      </c>
      <c r="AH1986" s="82" t="s">
        <v>10079</v>
      </c>
      <c r="AI1986" s="77" t="b">
        <v>0</v>
      </c>
      <c r="AJ1986" s="77"/>
      <c r="AK1986" s="77"/>
      <c r="AL1986" s="77"/>
      <c r="AM1986" s="77"/>
      <c r="AN1986" s="77"/>
      <c r="AO1986" s="77"/>
      <c r="AP1986" s="77"/>
      <c r="AQ1986" s="77" t="s">
        <v>12854</v>
      </c>
      <c r="AR1986" s="77"/>
      <c r="AS1986" s="77"/>
      <c r="AT1986" s="77"/>
      <c r="AU1986" s="77"/>
      <c r="AV1986" s="80" t="str">
        <f>HYPERLINK("https://pbs.twimg.com/media/F3AX5YqWAAAyHsf.png")</f>
        <v>https://pbs.twimg.com/media/F3AX5YqWAAAyHsf.png</v>
      </c>
      <c r="AW1986" s="82" t="s">
        <v>15077</v>
      </c>
      <c r="AX1986" s="82" t="s">
        <v>15077</v>
      </c>
      <c r="AY1986" s="77"/>
      <c r="AZ1986" s="82" t="s">
        <v>17385</v>
      </c>
      <c r="BA1986" s="82" t="s">
        <v>17385</v>
      </c>
      <c r="BB1986" s="82" t="s">
        <v>17385</v>
      </c>
      <c r="BC1986" s="82" t="s">
        <v>15077</v>
      </c>
      <c r="BD1986" s="82" t="s">
        <v>17612</v>
      </c>
      <c r="BE1986" s="77"/>
      <c r="BF1986" s="77"/>
      <c r="BG1986" s="77"/>
      <c r="BH1986" s="77"/>
      <c r="BI1986" s="77"/>
    </row>
    <row r="1987" spans="1:61" x14ac:dyDescent="0.25">
      <c r="A1987" s="62" t="s">
        <v>549</v>
      </c>
      <c r="B1987" s="62" t="s">
        <v>549</v>
      </c>
      <c r="C1987" s="63"/>
      <c r="D1987" s="64"/>
      <c r="E1987" s="65"/>
      <c r="F1987" s="66"/>
      <c r="G1987" s="63"/>
      <c r="H1987" s="67"/>
      <c r="I1987" s="68"/>
      <c r="J1987" s="68"/>
      <c r="K1987" s="32"/>
      <c r="L1987" s="75">
        <v>1987</v>
      </c>
      <c r="M1987" s="75"/>
      <c r="N1987" s="70"/>
      <c r="O1987" s="77" t="s">
        <v>179</v>
      </c>
      <c r="P1987" s="79">
        <v>45075.893553240741</v>
      </c>
      <c r="Q1987" s="77" t="s">
        <v>2773</v>
      </c>
      <c r="R1987" s="77">
        <v>0</v>
      </c>
      <c r="S1987" s="77">
        <v>0</v>
      </c>
      <c r="T1987" s="77">
        <v>0</v>
      </c>
      <c r="U1987" s="77">
        <v>0</v>
      </c>
      <c r="V1987" s="77">
        <v>22</v>
      </c>
      <c r="W1987" s="82" t="s">
        <v>6114</v>
      </c>
      <c r="X1987" s="80" t="str">
        <f>HYPERLINK("https://economicnewsbrasil.com.br/2023/05/29/mercado-financeiro-dolar-encerra-em-alta-e-ibovespa-fecha-em-queda-em-dia-de-baixo-volume-de-negocios/")</f>
        <v>https://economicnewsbrasil.com.br/2023/05/29/mercado-financeiro-dolar-encerra-em-alta-e-ibovespa-fecha-em-queda-em-dia-de-baixo-volume-de-negocios/</v>
      </c>
      <c r="Y1987" s="77" t="s">
        <v>7053</v>
      </c>
      <c r="Z1987" s="77"/>
      <c r="AA1987" s="77" t="s">
        <v>7970</v>
      </c>
      <c r="AB1987" s="77" t="s">
        <v>8225</v>
      </c>
      <c r="AC1987" s="82" t="s">
        <v>8243</v>
      </c>
      <c r="AD1987" s="77" t="s">
        <v>8278</v>
      </c>
      <c r="AE1987" s="80" t="str">
        <f>HYPERLINK("https://twitter.com/economicnewsbr/status/1663295833733836801")</f>
        <v>https://twitter.com/economicnewsbr/status/1663295833733836801</v>
      </c>
      <c r="AF1987" s="79">
        <v>45075.893553240741</v>
      </c>
      <c r="AG1987" s="85">
        <v>45075</v>
      </c>
      <c r="AH1987" s="82" t="s">
        <v>10080</v>
      </c>
      <c r="AI1987" s="77" t="b">
        <v>0</v>
      </c>
      <c r="AJ1987" s="77"/>
      <c r="AK1987" s="77"/>
      <c r="AL1987" s="77"/>
      <c r="AM1987" s="77"/>
      <c r="AN1987" s="77"/>
      <c r="AO1987" s="77"/>
      <c r="AP1987" s="77"/>
      <c r="AQ1987" s="77" t="s">
        <v>12855</v>
      </c>
      <c r="AR1987" s="77"/>
      <c r="AS1987" s="77"/>
      <c r="AT1987" s="77"/>
      <c r="AU1987" s="77"/>
      <c r="AV1987" s="80" t="str">
        <f>HYPERLINK("https://pbs.twimg.com/media/FxU2vzFX0AEPw0q.jpg")</f>
        <v>https://pbs.twimg.com/media/FxU2vzFX0AEPw0q.jpg</v>
      </c>
      <c r="AW1987" s="82" t="s">
        <v>15078</v>
      </c>
      <c r="AX1987" s="82" t="s">
        <v>15078</v>
      </c>
      <c r="AY1987" s="77"/>
      <c r="AZ1987" s="82" t="s">
        <v>17385</v>
      </c>
      <c r="BA1987" s="82" t="s">
        <v>17385</v>
      </c>
      <c r="BB1987" s="82" t="s">
        <v>17385</v>
      </c>
      <c r="BC1987" s="82" t="s">
        <v>15078</v>
      </c>
      <c r="BD1987" s="82" t="s">
        <v>17612</v>
      </c>
      <c r="BE1987" s="77"/>
      <c r="BF1987" s="77"/>
      <c r="BG1987" s="77"/>
      <c r="BH1987" s="77"/>
      <c r="BI1987" s="77"/>
    </row>
    <row r="1988" spans="1:61" x14ac:dyDescent="0.25">
      <c r="A1988" s="62" t="s">
        <v>549</v>
      </c>
      <c r="B1988" s="62" t="s">
        <v>549</v>
      </c>
      <c r="C1988" s="63"/>
      <c r="D1988" s="64"/>
      <c r="E1988" s="65"/>
      <c r="F1988" s="66"/>
      <c r="G1988" s="63"/>
      <c r="H1988" s="67"/>
      <c r="I1988" s="68"/>
      <c r="J1988" s="68"/>
      <c r="K1988" s="32"/>
      <c r="L1988" s="75">
        <v>1988</v>
      </c>
      <c r="M1988" s="75"/>
      <c r="N1988" s="70"/>
      <c r="O1988" s="77" t="s">
        <v>179</v>
      </c>
      <c r="P1988" s="79">
        <v>45190.605729166666</v>
      </c>
      <c r="Q1988" s="77" t="s">
        <v>2774</v>
      </c>
      <c r="R1988" s="77">
        <v>0</v>
      </c>
      <c r="S1988" s="77">
        <v>0</v>
      </c>
      <c r="T1988" s="77">
        <v>0</v>
      </c>
      <c r="U1988" s="77">
        <v>0</v>
      </c>
      <c r="V1988" s="77">
        <v>5</v>
      </c>
      <c r="W1988" s="82" t="s">
        <v>6115</v>
      </c>
      <c r="X1988" s="80" t="str">
        <f>HYPERLINK("https://economicnewsbrasil.com.br/2023/09/21/desempenho-dos-fundos-de-investimento-imobiliario/")</f>
        <v>https://economicnewsbrasil.com.br/2023/09/21/desempenho-dos-fundos-de-investimento-imobiliario/</v>
      </c>
      <c r="Y1988" s="77" t="s">
        <v>7053</v>
      </c>
      <c r="Z1988" s="77"/>
      <c r="AA1988" s="77" t="s">
        <v>7971</v>
      </c>
      <c r="AB1988" s="77" t="s">
        <v>8225</v>
      </c>
      <c r="AC1988" s="82" t="s">
        <v>8270</v>
      </c>
      <c r="AD1988" s="77" t="s">
        <v>8278</v>
      </c>
      <c r="AE1988" s="80" t="str">
        <f>HYPERLINK("https://twitter.com/economicnewsbr/status/1704866133176705531")</f>
        <v>https://twitter.com/economicnewsbr/status/1704866133176705531</v>
      </c>
      <c r="AF1988" s="79">
        <v>45190.605729166666</v>
      </c>
      <c r="AG1988" s="85">
        <v>45190</v>
      </c>
      <c r="AH1988" s="82" t="s">
        <v>10081</v>
      </c>
      <c r="AI1988" s="77" t="b">
        <v>0</v>
      </c>
      <c r="AJ1988" s="77"/>
      <c r="AK1988" s="77"/>
      <c r="AL1988" s="77"/>
      <c r="AM1988" s="77"/>
      <c r="AN1988" s="77"/>
      <c r="AO1988" s="77"/>
      <c r="AP1988" s="77"/>
      <c r="AQ1988" s="77" t="s">
        <v>12856</v>
      </c>
      <c r="AR1988" s="77"/>
      <c r="AS1988" s="77"/>
      <c r="AT1988" s="77"/>
      <c r="AU1988" s="77"/>
      <c r="AV1988" s="80" t="str">
        <f>HYPERLINK("https://pbs.twimg.com/media/F6jmtm7WMAA_D3T.jpg")</f>
        <v>https://pbs.twimg.com/media/F6jmtm7WMAA_D3T.jpg</v>
      </c>
      <c r="AW1988" s="82" t="s">
        <v>15079</v>
      </c>
      <c r="AX1988" s="82" t="s">
        <v>15079</v>
      </c>
      <c r="AY1988" s="77"/>
      <c r="AZ1988" s="82" t="s">
        <v>17385</v>
      </c>
      <c r="BA1988" s="82" t="s">
        <v>17385</v>
      </c>
      <c r="BB1988" s="82" t="s">
        <v>17385</v>
      </c>
      <c r="BC1988" s="82" t="s">
        <v>15079</v>
      </c>
      <c r="BD1988" s="82" t="s">
        <v>17612</v>
      </c>
      <c r="BE1988" s="77"/>
      <c r="BF1988" s="77"/>
      <c r="BG1988" s="77"/>
      <c r="BH1988" s="77"/>
      <c r="BI1988" s="77"/>
    </row>
    <row r="1989" spans="1:61" x14ac:dyDescent="0.25">
      <c r="A1989" s="62" t="s">
        <v>549</v>
      </c>
      <c r="B1989" s="62" t="s">
        <v>549</v>
      </c>
      <c r="C1989" s="63"/>
      <c r="D1989" s="64"/>
      <c r="E1989" s="65"/>
      <c r="F1989" s="66"/>
      <c r="G1989" s="63"/>
      <c r="H1989" s="67"/>
      <c r="I1989" s="68"/>
      <c r="J1989" s="68"/>
      <c r="K1989" s="32"/>
      <c r="L1989" s="75">
        <v>1989</v>
      </c>
      <c r="M1989" s="75"/>
      <c r="N1989" s="70"/>
      <c r="O1989" s="77" t="s">
        <v>179</v>
      </c>
      <c r="P1989" s="79">
        <v>45188.64744212963</v>
      </c>
      <c r="Q1989" s="77" t="s">
        <v>2775</v>
      </c>
      <c r="R1989" s="77">
        <v>0</v>
      </c>
      <c r="S1989" s="77">
        <v>1</v>
      </c>
      <c r="T1989" s="77">
        <v>0</v>
      </c>
      <c r="U1989" s="77">
        <v>0</v>
      </c>
      <c r="V1989" s="77">
        <v>8</v>
      </c>
      <c r="W1989" s="82" t="s">
        <v>6116</v>
      </c>
      <c r="X1989" s="80" t="str">
        <f>HYPERLINK("https://economicnewsbrasil.com.br/2023/09/19/marfrig-aumenta-sua-participacao-acionaria-na-brf/")</f>
        <v>https://economicnewsbrasil.com.br/2023/09/19/marfrig-aumenta-sua-participacao-acionaria-na-brf/</v>
      </c>
      <c r="Y1989" s="77" t="s">
        <v>7053</v>
      </c>
      <c r="Z1989" s="77"/>
      <c r="AA1989" s="77"/>
      <c r="AB1989" s="77"/>
      <c r="AC1989" s="82" t="s">
        <v>8270</v>
      </c>
      <c r="AD1989" s="77" t="s">
        <v>8278</v>
      </c>
      <c r="AE1989" s="80" t="str">
        <f>HYPERLINK("https://twitter.com/economicnewsbr/status/1704156474727903435")</f>
        <v>https://twitter.com/economicnewsbr/status/1704156474727903435</v>
      </c>
      <c r="AF1989" s="79">
        <v>45188.64744212963</v>
      </c>
      <c r="AG1989" s="85">
        <v>45188</v>
      </c>
      <c r="AH1989" s="82" t="s">
        <v>10082</v>
      </c>
      <c r="AI1989" s="77" t="b">
        <v>0</v>
      </c>
      <c r="AJ1989" s="77"/>
      <c r="AK1989" s="77"/>
      <c r="AL1989" s="77"/>
      <c r="AM1989" s="77"/>
      <c r="AN1989" s="77"/>
      <c r="AO1989" s="77"/>
      <c r="AP1989" s="77"/>
      <c r="AQ1989" s="77"/>
      <c r="AR1989" s="77"/>
      <c r="AS1989" s="77"/>
      <c r="AT1989" s="77"/>
      <c r="AU1989" s="77"/>
      <c r="AV1989" s="80" t="str">
        <f>HYPERLINK("https://pbs.twimg.com/profile_images/1211027151870402560/9JIqaKmf_normal.jpg")</f>
        <v>https://pbs.twimg.com/profile_images/1211027151870402560/9JIqaKmf_normal.jpg</v>
      </c>
      <c r="AW1989" s="82" t="s">
        <v>15080</v>
      </c>
      <c r="AX1989" s="82" t="s">
        <v>15080</v>
      </c>
      <c r="AY1989" s="77"/>
      <c r="AZ1989" s="82" t="s">
        <v>17385</v>
      </c>
      <c r="BA1989" s="82" t="s">
        <v>17385</v>
      </c>
      <c r="BB1989" s="82" t="s">
        <v>17385</v>
      </c>
      <c r="BC1989" s="82" t="s">
        <v>15080</v>
      </c>
      <c r="BD1989" s="82" t="s">
        <v>17612</v>
      </c>
      <c r="BE1989" s="77"/>
      <c r="BF1989" s="77"/>
      <c r="BG1989" s="77"/>
      <c r="BH1989" s="77"/>
      <c r="BI1989" s="77"/>
    </row>
    <row r="1990" spans="1:61" x14ac:dyDescent="0.25">
      <c r="A1990" s="62" t="s">
        <v>549</v>
      </c>
      <c r="B1990" s="62" t="s">
        <v>549</v>
      </c>
      <c r="C1990" s="63"/>
      <c r="D1990" s="64"/>
      <c r="E1990" s="65"/>
      <c r="F1990" s="66"/>
      <c r="G1990" s="63"/>
      <c r="H1990" s="67"/>
      <c r="I1990" s="68"/>
      <c r="J1990" s="68"/>
      <c r="K1990" s="32"/>
      <c r="L1990" s="75">
        <v>1990</v>
      </c>
      <c r="M1990" s="75"/>
      <c r="N1990" s="70"/>
      <c r="O1990" s="77" t="s">
        <v>179</v>
      </c>
      <c r="P1990" s="79">
        <v>45160.905335648145</v>
      </c>
      <c r="Q1990" s="77" t="s">
        <v>2776</v>
      </c>
      <c r="R1990" s="77">
        <v>0</v>
      </c>
      <c r="S1990" s="77">
        <v>0</v>
      </c>
      <c r="T1990" s="77">
        <v>0</v>
      </c>
      <c r="U1990" s="77">
        <v>0</v>
      </c>
      <c r="V1990" s="77">
        <v>40</v>
      </c>
      <c r="W1990" s="82" t="s">
        <v>6117</v>
      </c>
      <c r="X1990" s="80" t="str">
        <f>HYPERLINK("https://economicnewsbrasil.com.br/2023/08/22/ibovespa-em-alta-e-dolar-em-queda-marcam-o-dia-no-mercado-financeiro/")</f>
        <v>https://economicnewsbrasil.com.br/2023/08/22/ibovespa-em-alta-e-dolar-em-queda-marcam-o-dia-no-mercado-financeiro/</v>
      </c>
      <c r="Y1990" s="77" t="s">
        <v>7053</v>
      </c>
      <c r="Z1990" s="77"/>
      <c r="AA1990" s="77" t="s">
        <v>7972</v>
      </c>
      <c r="AB1990" s="77" t="s">
        <v>8225</v>
      </c>
      <c r="AC1990" s="82" t="s">
        <v>8270</v>
      </c>
      <c r="AD1990" s="77" t="s">
        <v>8278</v>
      </c>
      <c r="AE1990" s="80" t="str">
        <f>HYPERLINK("https://twitter.com/economicnewsbr/status/1694103072077684995")</f>
        <v>https://twitter.com/economicnewsbr/status/1694103072077684995</v>
      </c>
      <c r="AF1990" s="79">
        <v>45160.905335648145</v>
      </c>
      <c r="AG1990" s="85">
        <v>45160</v>
      </c>
      <c r="AH1990" s="82" t="s">
        <v>10083</v>
      </c>
      <c r="AI1990" s="77" t="b">
        <v>0</v>
      </c>
      <c r="AJ1990" s="77"/>
      <c r="AK1990" s="77"/>
      <c r="AL1990" s="77"/>
      <c r="AM1990" s="77"/>
      <c r="AN1990" s="77"/>
      <c r="AO1990" s="77"/>
      <c r="AP1990" s="77"/>
      <c r="AQ1990" s="77" t="s">
        <v>12857</v>
      </c>
      <c r="AR1990" s="77"/>
      <c r="AS1990" s="77"/>
      <c r="AT1990" s="77"/>
      <c r="AU1990" s="77"/>
      <c r="AV1990" s="80" t="str">
        <f>HYPERLINK("https://pbs.twimg.com/media/F4KpxD1WwAEeOYm.jpg")</f>
        <v>https://pbs.twimg.com/media/F4KpxD1WwAEeOYm.jpg</v>
      </c>
      <c r="AW1990" s="82" t="s">
        <v>15081</v>
      </c>
      <c r="AX1990" s="82" t="s">
        <v>15081</v>
      </c>
      <c r="AY1990" s="77"/>
      <c r="AZ1990" s="82" t="s">
        <v>17385</v>
      </c>
      <c r="BA1990" s="82" t="s">
        <v>17385</v>
      </c>
      <c r="BB1990" s="82" t="s">
        <v>17385</v>
      </c>
      <c r="BC1990" s="82" t="s">
        <v>15081</v>
      </c>
      <c r="BD1990" s="82" t="s">
        <v>17612</v>
      </c>
      <c r="BE1990" s="77"/>
      <c r="BF1990" s="77"/>
      <c r="BG1990" s="77"/>
      <c r="BH1990" s="77"/>
      <c r="BI1990" s="77"/>
    </row>
    <row r="1991" spans="1:61" x14ac:dyDescent="0.25">
      <c r="A1991" s="62" t="s">
        <v>549</v>
      </c>
      <c r="B1991" s="62" t="s">
        <v>549</v>
      </c>
      <c r="C1991" s="63"/>
      <c r="D1991" s="64"/>
      <c r="E1991" s="65"/>
      <c r="F1991" s="66"/>
      <c r="G1991" s="63"/>
      <c r="H1991" s="67"/>
      <c r="I1991" s="68"/>
      <c r="J1991" s="68"/>
      <c r="K1991" s="32"/>
      <c r="L1991" s="75">
        <v>1991</v>
      </c>
      <c r="M1991" s="75"/>
      <c r="N1991" s="70"/>
      <c r="O1991" s="77" t="s">
        <v>179</v>
      </c>
      <c r="P1991" s="79">
        <v>45141.628761574073</v>
      </c>
      <c r="Q1991" s="77" t="s">
        <v>2777</v>
      </c>
      <c r="R1991" s="77">
        <v>0</v>
      </c>
      <c r="S1991" s="77">
        <v>0</v>
      </c>
      <c r="T1991" s="77">
        <v>0</v>
      </c>
      <c r="U1991" s="77">
        <v>0</v>
      </c>
      <c r="V1991" s="77">
        <v>34</v>
      </c>
      <c r="W1991" s="82" t="s">
        <v>6118</v>
      </c>
      <c r="X1991" s="80" t="str">
        <f>HYPERLINK("https://economicnewsbrasil.com.br/2023/08/03/csn-mineracao-lucro-2t23-queda-de-40-anual-e-44-trimestral/")</f>
        <v>https://economicnewsbrasil.com.br/2023/08/03/csn-mineracao-lucro-2t23-queda-de-40-anual-e-44-trimestral/</v>
      </c>
      <c r="Y1991" s="77" t="s">
        <v>7053</v>
      </c>
      <c r="Z1991" s="77"/>
      <c r="AA1991" s="77" t="s">
        <v>7973</v>
      </c>
      <c r="AB1991" s="77" t="s">
        <v>8225</v>
      </c>
      <c r="AC1991" s="82" t="s">
        <v>8270</v>
      </c>
      <c r="AD1991" s="77" t="s">
        <v>8278</v>
      </c>
      <c r="AE1991" s="80" t="str">
        <f>HYPERLINK("https://twitter.com/economicnewsbr/status/1687117472863059969")</f>
        <v>https://twitter.com/economicnewsbr/status/1687117472863059969</v>
      </c>
      <c r="AF1991" s="79">
        <v>45141.628761574073</v>
      </c>
      <c r="AG1991" s="85">
        <v>45141</v>
      </c>
      <c r="AH1991" s="82" t="s">
        <v>10084</v>
      </c>
      <c r="AI1991" s="77" t="b">
        <v>0</v>
      </c>
      <c r="AJ1991" s="77"/>
      <c r="AK1991" s="77"/>
      <c r="AL1991" s="77"/>
      <c r="AM1991" s="77"/>
      <c r="AN1991" s="77"/>
      <c r="AO1991" s="77"/>
      <c r="AP1991" s="77"/>
      <c r="AQ1991" s="77" t="s">
        <v>12858</v>
      </c>
      <c r="AR1991" s="77"/>
      <c r="AS1991" s="77"/>
      <c r="AT1991" s="77"/>
      <c r="AU1991" s="77"/>
      <c r="AV1991" s="80" t="str">
        <f>HYPERLINK("https://pbs.twimg.com/media/F2nYZnaaMAAMftJ.jpg")</f>
        <v>https://pbs.twimg.com/media/F2nYZnaaMAAMftJ.jpg</v>
      </c>
      <c r="AW1991" s="82" t="s">
        <v>15082</v>
      </c>
      <c r="AX1991" s="82" t="s">
        <v>15082</v>
      </c>
      <c r="AY1991" s="77"/>
      <c r="AZ1991" s="82" t="s">
        <v>17385</v>
      </c>
      <c r="BA1991" s="82" t="s">
        <v>17385</v>
      </c>
      <c r="BB1991" s="82" t="s">
        <v>17385</v>
      </c>
      <c r="BC1991" s="82" t="s">
        <v>15082</v>
      </c>
      <c r="BD1991" s="82" t="s">
        <v>17612</v>
      </c>
      <c r="BE1991" s="77"/>
      <c r="BF1991" s="77"/>
      <c r="BG1991" s="77"/>
      <c r="BH1991" s="77"/>
      <c r="BI1991" s="77"/>
    </row>
    <row r="1992" spans="1:61" x14ac:dyDescent="0.25">
      <c r="A1992" s="62" t="s">
        <v>549</v>
      </c>
      <c r="B1992" s="62" t="s">
        <v>549</v>
      </c>
      <c r="C1992" s="63"/>
      <c r="D1992" s="64"/>
      <c r="E1992" s="65"/>
      <c r="F1992" s="66"/>
      <c r="G1992" s="63"/>
      <c r="H1992" s="67"/>
      <c r="I1992" s="68"/>
      <c r="J1992" s="68"/>
      <c r="K1992" s="32"/>
      <c r="L1992" s="75">
        <v>1992</v>
      </c>
      <c r="M1992" s="75"/>
      <c r="N1992" s="70"/>
      <c r="O1992" s="77" t="s">
        <v>179</v>
      </c>
      <c r="P1992" s="79">
        <v>45141.620219907411</v>
      </c>
      <c r="Q1992" s="77" t="s">
        <v>2778</v>
      </c>
      <c r="R1992" s="77">
        <v>0</v>
      </c>
      <c r="S1992" s="77">
        <v>0</v>
      </c>
      <c r="T1992" s="77">
        <v>0</v>
      </c>
      <c r="U1992" s="77">
        <v>0</v>
      </c>
      <c r="V1992" s="77">
        <v>11</v>
      </c>
      <c r="W1992" s="82" t="s">
        <v>6119</v>
      </c>
      <c r="X1992" s="80" t="str">
        <f>HYPERLINK("https://economicnewsbrasil.com.br/2023/08/03/lucro-da-ambev-no-2t23-queda-de-152-revela-resultados-mistos/")</f>
        <v>https://economicnewsbrasil.com.br/2023/08/03/lucro-da-ambev-no-2t23-queda-de-152-revela-resultados-mistos/</v>
      </c>
      <c r="Y1992" s="77" t="s">
        <v>7053</v>
      </c>
      <c r="Z1992" s="77"/>
      <c r="AA1992" s="77" t="s">
        <v>7974</v>
      </c>
      <c r="AB1992" s="77" t="s">
        <v>8225</v>
      </c>
      <c r="AC1992" s="82" t="s">
        <v>8270</v>
      </c>
      <c r="AD1992" s="77" t="s">
        <v>8278</v>
      </c>
      <c r="AE1992" s="80" t="str">
        <f>HYPERLINK("https://twitter.com/economicnewsbr/status/1687114379056349186")</f>
        <v>https://twitter.com/economicnewsbr/status/1687114379056349186</v>
      </c>
      <c r="AF1992" s="79">
        <v>45141.620219907411</v>
      </c>
      <c r="AG1992" s="85">
        <v>45141</v>
      </c>
      <c r="AH1992" s="82" t="s">
        <v>10085</v>
      </c>
      <c r="AI1992" s="77" t="b">
        <v>0</v>
      </c>
      <c r="AJ1992" s="77"/>
      <c r="AK1992" s="77"/>
      <c r="AL1992" s="77"/>
      <c r="AM1992" s="77"/>
      <c r="AN1992" s="77"/>
      <c r="AO1992" s="77"/>
      <c r="AP1992" s="77"/>
      <c r="AQ1992" s="77" t="s">
        <v>12859</v>
      </c>
      <c r="AR1992" s="77"/>
      <c r="AS1992" s="77"/>
      <c r="AT1992" s="77"/>
      <c r="AU1992" s="77"/>
      <c r="AV1992" s="80" t="str">
        <f>HYPERLINK("https://pbs.twimg.com/media/F2nVlkNawAExL8u.jpg")</f>
        <v>https://pbs.twimg.com/media/F2nVlkNawAExL8u.jpg</v>
      </c>
      <c r="AW1992" s="82" t="s">
        <v>15083</v>
      </c>
      <c r="AX1992" s="82" t="s">
        <v>15083</v>
      </c>
      <c r="AY1992" s="77"/>
      <c r="AZ1992" s="82" t="s">
        <v>17385</v>
      </c>
      <c r="BA1992" s="82" t="s">
        <v>17385</v>
      </c>
      <c r="BB1992" s="82" t="s">
        <v>17385</v>
      </c>
      <c r="BC1992" s="82" t="s">
        <v>15083</v>
      </c>
      <c r="BD1992" s="82" t="s">
        <v>17612</v>
      </c>
      <c r="BE1992" s="77"/>
      <c r="BF1992" s="77"/>
      <c r="BG1992" s="77"/>
      <c r="BH1992" s="77"/>
      <c r="BI1992" s="77"/>
    </row>
    <row r="1993" spans="1:61" x14ac:dyDescent="0.25">
      <c r="A1993" s="62" t="s">
        <v>549</v>
      </c>
      <c r="B1993" s="62" t="s">
        <v>549</v>
      </c>
      <c r="C1993" s="63"/>
      <c r="D1993" s="64"/>
      <c r="E1993" s="65"/>
      <c r="F1993" s="66"/>
      <c r="G1993" s="63"/>
      <c r="H1993" s="67"/>
      <c r="I1993" s="68"/>
      <c r="J1993" s="68"/>
      <c r="K1993" s="32"/>
      <c r="L1993" s="75">
        <v>1993</v>
      </c>
      <c r="M1993" s="75"/>
      <c r="N1993" s="70"/>
      <c r="O1993" s="77" t="s">
        <v>179</v>
      </c>
      <c r="P1993" s="79">
        <v>45104.313877314817</v>
      </c>
      <c r="Q1993" s="77" t="s">
        <v>2779</v>
      </c>
      <c r="R1993" s="77">
        <v>1</v>
      </c>
      <c r="S1993" s="77">
        <v>1</v>
      </c>
      <c r="T1993" s="77">
        <v>0</v>
      </c>
      <c r="U1993" s="77">
        <v>0</v>
      </c>
      <c r="V1993" s="77">
        <v>33</v>
      </c>
      <c r="W1993" s="82" t="s">
        <v>4835</v>
      </c>
      <c r="X1993" s="80" t="str">
        <f>HYPERLINK("https://economicnewsbrasil.com.br/?p=74550")</f>
        <v>https://economicnewsbrasil.com.br/?p=74550</v>
      </c>
      <c r="Y1993" s="77" t="s">
        <v>7053</v>
      </c>
      <c r="Z1993" s="77"/>
      <c r="AA1993" s="77" t="s">
        <v>7975</v>
      </c>
      <c r="AB1993" s="77" t="s">
        <v>8225</v>
      </c>
      <c r="AC1993" s="82" t="s">
        <v>8243</v>
      </c>
      <c r="AD1993" s="77" t="s">
        <v>8278</v>
      </c>
      <c r="AE1993" s="80" t="str">
        <f>HYPERLINK("https://twitter.com/economicnewsbr/status/1673595013882626048")</f>
        <v>https://twitter.com/economicnewsbr/status/1673595013882626048</v>
      </c>
      <c r="AF1993" s="79">
        <v>45104.313877314817</v>
      </c>
      <c r="AG1993" s="85">
        <v>45104</v>
      </c>
      <c r="AH1993" s="82" t="s">
        <v>10086</v>
      </c>
      <c r="AI1993" s="77" t="b">
        <v>0</v>
      </c>
      <c r="AJ1993" s="77"/>
      <c r="AK1993" s="77"/>
      <c r="AL1993" s="77"/>
      <c r="AM1993" s="77"/>
      <c r="AN1993" s="77"/>
      <c r="AO1993" s="77"/>
      <c r="AP1993" s="77"/>
      <c r="AQ1993" s="77" t="s">
        <v>12860</v>
      </c>
      <c r="AR1993" s="77"/>
      <c r="AS1993" s="77"/>
      <c r="AT1993" s="77"/>
      <c r="AU1993" s="77"/>
      <c r="AV1993" s="80" t="str">
        <f>HYPERLINK("https://pbs.twimg.com/media/FznNy-BXoAAvRLf.png")</f>
        <v>https://pbs.twimg.com/media/FznNy-BXoAAvRLf.png</v>
      </c>
      <c r="AW1993" s="82" t="s">
        <v>15084</v>
      </c>
      <c r="AX1993" s="82" t="s">
        <v>15084</v>
      </c>
      <c r="AY1993" s="77"/>
      <c r="AZ1993" s="82" t="s">
        <v>17385</v>
      </c>
      <c r="BA1993" s="82" t="s">
        <v>17385</v>
      </c>
      <c r="BB1993" s="82" t="s">
        <v>17385</v>
      </c>
      <c r="BC1993" s="82" t="s">
        <v>15084</v>
      </c>
      <c r="BD1993" s="82" t="s">
        <v>17612</v>
      </c>
      <c r="BE1993" s="77"/>
      <c r="BF1993" s="77"/>
      <c r="BG1993" s="77"/>
      <c r="BH1993" s="77"/>
      <c r="BI1993" s="77"/>
    </row>
    <row r="1994" spans="1:61" x14ac:dyDescent="0.25">
      <c r="A1994" s="62" t="s">
        <v>549</v>
      </c>
      <c r="B1994" s="62" t="s">
        <v>549</v>
      </c>
      <c r="C1994" s="63"/>
      <c r="D1994" s="64"/>
      <c r="E1994" s="65"/>
      <c r="F1994" s="66"/>
      <c r="G1994" s="63"/>
      <c r="H1994" s="67"/>
      <c r="I1994" s="68"/>
      <c r="J1994" s="68"/>
      <c r="K1994" s="32"/>
      <c r="L1994" s="75">
        <v>1994</v>
      </c>
      <c r="M1994" s="75"/>
      <c r="N1994" s="70"/>
      <c r="O1994" s="77" t="s">
        <v>179</v>
      </c>
      <c r="P1994" s="79">
        <v>45102.834594907406</v>
      </c>
      <c r="Q1994" s="77" t="s">
        <v>2780</v>
      </c>
      <c r="R1994" s="77">
        <v>0</v>
      </c>
      <c r="S1994" s="77">
        <v>0</v>
      </c>
      <c r="T1994" s="77">
        <v>0</v>
      </c>
      <c r="U1994" s="77">
        <v>0</v>
      </c>
      <c r="V1994" s="77">
        <v>13</v>
      </c>
      <c r="W1994" s="82" t="s">
        <v>6120</v>
      </c>
      <c r="X1994" s="80" t="str">
        <f>HYPERLINK("https://economicnewsbrasil.com.br/?p=74267")</f>
        <v>https://economicnewsbrasil.com.br/?p=74267</v>
      </c>
      <c r="Y1994" s="77" t="s">
        <v>7053</v>
      </c>
      <c r="Z1994" s="77"/>
      <c r="AA1994" s="77" t="s">
        <v>7976</v>
      </c>
      <c r="AB1994" s="77" t="s">
        <v>8225</v>
      </c>
      <c r="AC1994" s="82" t="s">
        <v>8243</v>
      </c>
      <c r="AD1994" s="77" t="s">
        <v>8278</v>
      </c>
      <c r="AE1994" s="80" t="str">
        <f>HYPERLINK("https://twitter.com/economicnewsbr/status/1673058938529497091")</f>
        <v>https://twitter.com/economicnewsbr/status/1673058938529497091</v>
      </c>
      <c r="AF1994" s="79">
        <v>45102.834594907406</v>
      </c>
      <c r="AG1994" s="85">
        <v>45102</v>
      </c>
      <c r="AH1994" s="82" t="s">
        <v>10087</v>
      </c>
      <c r="AI1994" s="77" t="b">
        <v>0</v>
      </c>
      <c r="AJ1994" s="77"/>
      <c r="AK1994" s="77"/>
      <c r="AL1994" s="77"/>
      <c r="AM1994" s="77"/>
      <c r="AN1994" s="77"/>
      <c r="AO1994" s="77"/>
      <c r="AP1994" s="77"/>
      <c r="AQ1994" s="77" t="s">
        <v>12861</v>
      </c>
      <c r="AR1994" s="77"/>
      <c r="AS1994" s="77"/>
      <c r="AT1994" s="77"/>
      <c r="AU1994" s="77"/>
      <c r="AV1994" s="80" t="str">
        <f>HYPERLINK("https://pbs.twimg.com/media/FzfmPSqXgAES2NM.jpg")</f>
        <v>https://pbs.twimg.com/media/FzfmPSqXgAES2NM.jpg</v>
      </c>
      <c r="AW1994" s="82" t="s">
        <v>15085</v>
      </c>
      <c r="AX1994" s="82" t="s">
        <v>15085</v>
      </c>
      <c r="AY1994" s="77"/>
      <c r="AZ1994" s="82" t="s">
        <v>17385</v>
      </c>
      <c r="BA1994" s="82" t="s">
        <v>17385</v>
      </c>
      <c r="BB1994" s="82" t="s">
        <v>17385</v>
      </c>
      <c r="BC1994" s="82" t="s">
        <v>15085</v>
      </c>
      <c r="BD1994" s="82" t="s">
        <v>17612</v>
      </c>
      <c r="BE1994" s="77"/>
      <c r="BF1994" s="77"/>
      <c r="BG1994" s="77"/>
      <c r="BH1994" s="77"/>
      <c r="BI1994" s="77"/>
    </row>
    <row r="1995" spans="1:61" x14ac:dyDescent="0.25">
      <c r="A1995" s="62" t="s">
        <v>549</v>
      </c>
      <c r="B1995" s="62" t="s">
        <v>549</v>
      </c>
      <c r="C1995" s="63"/>
      <c r="D1995" s="64"/>
      <c r="E1995" s="65"/>
      <c r="F1995" s="66"/>
      <c r="G1995" s="63"/>
      <c r="H1995" s="67"/>
      <c r="I1995" s="68"/>
      <c r="J1995" s="68"/>
      <c r="K1995" s="32"/>
      <c r="L1995" s="75">
        <v>1995</v>
      </c>
      <c r="M1995" s="75"/>
      <c r="N1995" s="70"/>
      <c r="O1995" s="77" t="s">
        <v>179</v>
      </c>
      <c r="P1995" s="79">
        <v>45064.510914351849</v>
      </c>
      <c r="Q1995" s="77" t="s">
        <v>2781</v>
      </c>
      <c r="R1995" s="77">
        <v>0</v>
      </c>
      <c r="S1995" s="77">
        <v>1</v>
      </c>
      <c r="T1995" s="77">
        <v>0</v>
      </c>
      <c r="U1995" s="77">
        <v>0</v>
      </c>
      <c r="V1995" s="77">
        <v>10</v>
      </c>
      <c r="W1995" s="82" t="s">
        <v>6121</v>
      </c>
      <c r="X1995" s="80" t="str">
        <f>HYPERLINK("https://economicnewsbrasil.com.br/2023/05/17/ibovespa-retoma-alta-com-impulso-da-vale-e-aereas-dolar-fecha-em-queda/")</f>
        <v>https://economicnewsbrasil.com.br/2023/05/17/ibovespa-retoma-alta-com-impulso-da-vale-e-aereas-dolar-fecha-em-queda/</v>
      </c>
      <c r="Y1995" s="77" t="s">
        <v>7053</v>
      </c>
      <c r="Z1995" s="77"/>
      <c r="AA1995" s="77" t="s">
        <v>7977</v>
      </c>
      <c r="AB1995" s="77" t="s">
        <v>8225</v>
      </c>
      <c r="AC1995" s="82" t="s">
        <v>8243</v>
      </c>
      <c r="AD1995" s="77" t="s">
        <v>8278</v>
      </c>
      <c r="AE1995" s="80" t="str">
        <f>HYPERLINK("https://twitter.com/economicnewsbr/status/1659170902301372417")</f>
        <v>https://twitter.com/economicnewsbr/status/1659170902301372417</v>
      </c>
      <c r="AF1995" s="79">
        <v>45064.510914351849</v>
      </c>
      <c r="AG1995" s="85">
        <v>45064</v>
      </c>
      <c r="AH1995" s="82" t="s">
        <v>10088</v>
      </c>
      <c r="AI1995" s="77" t="b">
        <v>0</v>
      </c>
      <c r="AJ1995" s="77"/>
      <c r="AK1995" s="77"/>
      <c r="AL1995" s="77"/>
      <c r="AM1995" s="77"/>
      <c r="AN1995" s="77"/>
      <c r="AO1995" s="77"/>
      <c r="AP1995" s="77"/>
      <c r="AQ1995" s="77" t="s">
        <v>12862</v>
      </c>
      <c r="AR1995" s="77"/>
      <c r="AS1995" s="77"/>
      <c r="AT1995" s="77"/>
      <c r="AU1995" s="77"/>
      <c r="AV1995" s="80" t="str">
        <f>HYPERLINK("https://pbs.twimg.com/media/FwaPJJSXgAIoJhN.jpg")</f>
        <v>https://pbs.twimg.com/media/FwaPJJSXgAIoJhN.jpg</v>
      </c>
      <c r="AW1995" s="82" t="s">
        <v>15086</v>
      </c>
      <c r="AX1995" s="82" t="s">
        <v>15086</v>
      </c>
      <c r="AY1995" s="77"/>
      <c r="AZ1995" s="82" t="s">
        <v>17385</v>
      </c>
      <c r="BA1995" s="82" t="s">
        <v>17385</v>
      </c>
      <c r="BB1995" s="82" t="s">
        <v>17385</v>
      </c>
      <c r="BC1995" s="82" t="s">
        <v>15086</v>
      </c>
      <c r="BD1995" s="82" t="s">
        <v>17612</v>
      </c>
      <c r="BE1995" s="77"/>
      <c r="BF1995" s="77"/>
      <c r="BG1995" s="77"/>
      <c r="BH1995" s="77"/>
      <c r="BI1995" s="77"/>
    </row>
    <row r="1996" spans="1:61" x14ac:dyDescent="0.25">
      <c r="A1996" s="62" t="s">
        <v>549</v>
      </c>
      <c r="B1996" s="62" t="s">
        <v>549</v>
      </c>
      <c r="C1996" s="63"/>
      <c r="D1996" s="64"/>
      <c r="E1996" s="65"/>
      <c r="F1996" s="66"/>
      <c r="G1996" s="63"/>
      <c r="H1996" s="67"/>
      <c r="I1996" s="68"/>
      <c r="J1996" s="68"/>
      <c r="K1996" s="32"/>
      <c r="L1996" s="75">
        <v>1996</v>
      </c>
      <c r="M1996" s="75"/>
      <c r="N1996" s="70"/>
      <c r="O1996" s="77" t="s">
        <v>179</v>
      </c>
      <c r="P1996" s="79">
        <v>45063.688101851854</v>
      </c>
      <c r="Q1996" s="77" t="s">
        <v>2782</v>
      </c>
      <c r="R1996" s="77">
        <v>0</v>
      </c>
      <c r="S1996" s="77">
        <v>0</v>
      </c>
      <c r="T1996" s="77">
        <v>0</v>
      </c>
      <c r="U1996" s="77">
        <v>0</v>
      </c>
      <c r="V1996" s="77">
        <v>15</v>
      </c>
      <c r="W1996" s="82" t="s">
        <v>6122</v>
      </c>
      <c r="X1996" s="80" t="str">
        <f>HYPERLINK("https://economicnewsbrasil.com.br/?p=67902")</f>
        <v>https://economicnewsbrasil.com.br/?p=67902</v>
      </c>
      <c r="Y1996" s="77" t="s">
        <v>7053</v>
      </c>
      <c r="Z1996" s="77"/>
      <c r="AA1996" s="77" t="s">
        <v>7978</v>
      </c>
      <c r="AB1996" s="77" t="s">
        <v>8225</v>
      </c>
      <c r="AC1996" s="82" t="s">
        <v>8243</v>
      </c>
      <c r="AD1996" s="77" t="s">
        <v>8278</v>
      </c>
      <c r="AE1996" s="80" t="str">
        <f>HYPERLINK("https://twitter.com/economicnewsbr/status/1658872724574306304")</f>
        <v>https://twitter.com/economicnewsbr/status/1658872724574306304</v>
      </c>
      <c r="AF1996" s="79">
        <v>45063.688101851854</v>
      </c>
      <c r="AG1996" s="85">
        <v>45063</v>
      </c>
      <c r="AH1996" s="82" t="s">
        <v>8636</v>
      </c>
      <c r="AI1996" s="77" t="b">
        <v>0</v>
      </c>
      <c r="AJ1996" s="77"/>
      <c r="AK1996" s="77"/>
      <c r="AL1996" s="77"/>
      <c r="AM1996" s="77"/>
      <c r="AN1996" s="77"/>
      <c r="AO1996" s="77"/>
      <c r="AP1996" s="77"/>
      <c r="AQ1996" s="77" t="s">
        <v>12863</v>
      </c>
      <c r="AR1996" s="77"/>
      <c r="AS1996" s="77"/>
      <c r="AT1996" s="77"/>
      <c r="AU1996" s="77"/>
      <c r="AV1996" s="80" t="str">
        <f>HYPERLINK("https://pbs.twimg.com/media/FwV_85GWwAI0oUO.jpg")</f>
        <v>https://pbs.twimg.com/media/FwV_85GWwAI0oUO.jpg</v>
      </c>
      <c r="AW1996" s="82" t="s">
        <v>15087</v>
      </c>
      <c r="AX1996" s="82" t="s">
        <v>15087</v>
      </c>
      <c r="AY1996" s="77"/>
      <c r="AZ1996" s="82" t="s">
        <v>17385</v>
      </c>
      <c r="BA1996" s="82" t="s">
        <v>17385</v>
      </c>
      <c r="BB1996" s="82" t="s">
        <v>17385</v>
      </c>
      <c r="BC1996" s="82" t="s">
        <v>15087</v>
      </c>
      <c r="BD1996" s="82" t="s">
        <v>17612</v>
      </c>
      <c r="BE1996" s="77"/>
      <c r="BF1996" s="77"/>
      <c r="BG1996" s="77"/>
      <c r="BH1996" s="77"/>
      <c r="BI1996" s="77"/>
    </row>
    <row r="1997" spans="1:61" x14ac:dyDescent="0.25">
      <c r="A1997" s="62" t="s">
        <v>549</v>
      </c>
      <c r="B1997" s="62" t="s">
        <v>549</v>
      </c>
      <c r="C1997" s="63"/>
      <c r="D1997" s="64"/>
      <c r="E1997" s="65"/>
      <c r="F1997" s="66"/>
      <c r="G1997" s="63"/>
      <c r="H1997" s="67"/>
      <c r="I1997" s="68"/>
      <c r="J1997" s="68"/>
      <c r="K1997" s="32"/>
      <c r="L1997" s="75">
        <v>1997</v>
      </c>
      <c r="M1997" s="75"/>
      <c r="N1997" s="70"/>
      <c r="O1997" s="77" t="s">
        <v>179</v>
      </c>
      <c r="P1997" s="79">
        <v>45194.377465277779</v>
      </c>
      <c r="Q1997" s="77" t="s">
        <v>2783</v>
      </c>
      <c r="R1997" s="77">
        <v>0</v>
      </c>
      <c r="S1997" s="77">
        <v>0</v>
      </c>
      <c r="T1997" s="77">
        <v>0</v>
      </c>
      <c r="U1997" s="77">
        <v>0</v>
      </c>
      <c r="V1997" s="77">
        <v>9</v>
      </c>
      <c r="W1997" s="82" t="s">
        <v>4835</v>
      </c>
      <c r="X1997" s="80" t="str">
        <f>HYPERLINK("https://economicnewsbrasil.com.br/?p=90679")</f>
        <v>https://economicnewsbrasil.com.br/?p=90679</v>
      </c>
      <c r="Y1997" s="77" t="s">
        <v>7053</v>
      </c>
      <c r="Z1997" s="77"/>
      <c r="AA1997" s="77" t="s">
        <v>7979</v>
      </c>
      <c r="AB1997" s="77" t="s">
        <v>8225</v>
      </c>
      <c r="AC1997" s="82" t="s">
        <v>8270</v>
      </c>
      <c r="AD1997" s="77" t="s">
        <v>8278</v>
      </c>
      <c r="AE1997" s="80" t="str">
        <f>HYPERLINK("https://twitter.com/economicnewsbr/status/1706232961916379197")</f>
        <v>https://twitter.com/economicnewsbr/status/1706232961916379197</v>
      </c>
      <c r="AF1997" s="79">
        <v>45194.377465277779</v>
      </c>
      <c r="AG1997" s="85">
        <v>45194</v>
      </c>
      <c r="AH1997" s="82" t="s">
        <v>10089</v>
      </c>
      <c r="AI1997" s="77" t="b">
        <v>0</v>
      </c>
      <c r="AJ1997" s="77"/>
      <c r="AK1997" s="77"/>
      <c r="AL1997" s="77"/>
      <c r="AM1997" s="77"/>
      <c r="AN1997" s="77"/>
      <c r="AO1997" s="77"/>
      <c r="AP1997" s="77"/>
      <c r="AQ1997" s="77" t="s">
        <v>12864</v>
      </c>
      <c r="AR1997" s="77"/>
      <c r="AS1997" s="77"/>
      <c r="AT1997" s="77"/>
      <c r="AU1997" s="77"/>
      <c r="AV1997" s="80" t="str">
        <f>HYPERLINK("https://pbs.twimg.com/media/F63B1j2W8AAycl2.jpg")</f>
        <v>https://pbs.twimg.com/media/F63B1j2W8AAycl2.jpg</v>
      </c>
      <c r="AW1997" s="82" t="s">
        <v>15088</v>
      </c>
      <c r="AX1997" s="82" t="s">
        <v>15088</v>
      </c>
      <c r="AY1997" s="77"/>
      <c r="AZ1997" s="82" t="s">
        <v>17385</v>
      </c>
      <c r="BA1997" s="82" t="s">
        <v>17385</v>
      </c>
      <c r="BB1997" s="82" t="s">
        <v>17385</v>
      </c>
      <c r="BC1997" s="82" t="s">
        <v>15088</v>
      </c>
      <c r="BD1997" s="82" t="s">
        <v>17612</v>
      </c>
      <c r="BE1997" s="77"/>
      <c r="BF1997" s="77"/>
      <c r="BG1997" s="77"/>
      <c r="BH1997" s="77"/>
      <c r="BI1997" s="77"/>
    </row>
    <row r="1998" spans="1:61" x14ac:dyDescent="0.25">
      <c r="A1998" s="62" t="s">
        <v>549</v>
      </c>
      <c r="B1998" s="62" t="s">
        <v>549</v>
      </c>
      <c r="C1998" s="63"/>
      <c r="D1998" s="64"/>
      <c r="E1998" s="65"/>
      <c r="F1998" s="66"/>
      <c r="G1998" s="63"/>
      <c r="H1998" s="67"/>
      <c r="I1998" s="68"/>
      <c r="J1998" s="68"/>
      <c r="K1998" s="32"/>
      <c r="L1998" s="75">
        <v>1998</v>
      </c>
      <c r="M1998" s="75"/>
      <c r="N1998" s="70"/>
      <c r="O1998" s="77" t="s">
        <v>179</v>
      </c>
      <c r="P1998" s="79">
        <v>45188.937071759261</v>
      </c>
      <c r="Q1998" s="77" t="s">
        <v>2784</v>
      </c>
      <c r="R1998" s="77">
        <v>0</v>
      </c>
      <c r="S1998" s="77">
        <v>0</v>
      </c>
      <c r="T1998" s="77">
        <v>0</v>
      </c>
      <c r="U1998" s="77">
        <v>0</v>
      </c>
      <c r="V1998" s="77">
        <v>14</v>
      </c>
      <c r="W1998" s="82" t="s">
        <v>6123</v>
      </c>
      <c r="X1998" s="80" t="str">
        <f>HYPERLINK("https://economicnewsbrasil.com.br/2023/09/19/mercado-financeiro-hoje-analise-detalhada-das-movimentacoes-de-19-09/")</f>
        <v>https://economicnewsbrasil.com.br/2023/09/19/mercado-financeiro-hoje-analise-detalhada-das-movimentacoes-de-19-09/</v>
      </c>
      <c r="Y1998" s="77" t="s">
        <v>7053</v>
      </c>
      <c r="Z1998" s="77"/>
      <c r="AA1998" s="77"/>
      <c r="AB1998" s="77"/>
      <c r="AC1998" s="82" t="s">
        <v>8270</v>
      </c>
      <c r="AD1998" s="77" t="s">
        <v>8278</v>
      </c>
      <c r="AE1998" s="80" t="str">
        <f>HYPERLINK("https://twitter.com/economicnewsbr/status/1704261430680203713")</f>
        <v>https://twitter.com/economicnewsbr/status/1704261430680203713</v>
      </c>
      <c r="AF1998" s="79">
        <v>45188.937071759261</v>
      </c>
      <c r="AG1998" s="85">
        <v>45188</v>
      </c>
      <c r="AH1998" s="82" t="s">
        <v>10090</v>
      </c>
      <c r="AI1998" s="77" t="b">
        <v>0</v>
      </c>
      <c r="AJ1998" s="77"/>
      <c r="AK1998" s="77"/>
      <c r="AL1998" s="77"/>
      <c r="AM1998" s="77"/>
      <c r="AN1998" s="77"/>
      <c r="AO1998" s="77"/>
      <c r="AP1998" s="77"/>
      <c r="AQ1998" s="77"/>
      <c r="AR1998" s="77"/>
      <c r="AS1998" s="77"/>
      <c r="AT1998" s="77"/>
      <c r="AU1998" s="77"/>
      <c r="AV1998" s="80" t="str">
        <f>HYPERLINK("https://pbs.twimg.com/profile_images/1211027151870402560/9JIqaKmf_normal.jpg")</f>
        <v>https://pbs.twimg.com/profile_images/1211027151870402560/9JIqaKmf_normal.jpg</v>
      </c>
      <c r="AW1998" s="82" t="s">
        <v>15089</v>
      </c>
      <c r="AX1998" s="82" t="s">
        <v>15089</v>
      </c>
      <c r="AY1998" s="77"/>
      <c r="AZ1998" s="82" t="s">
        <v>17385</v>
      </c>
      <c r="BA1998" s="82" t="s">
        <v>17385</v>
      </c>
      <c r="BB1998" s="82" t="s">
        <v>17385</v>
      </c>
      <c r="BC1998" s="82" t="s">
        <v>15089</v>
      </c>
      <c r="BD1998" s="82" t="s">
        <v>17612</v>
      </c>
      <c r="BE1998" s="77"/>
      <c r="BF1998" s="77"/>
      <c r="BG1998" s="77"/>
      <c r="BH1998" s="77"/>
      <c r="BI1998" s="77"/>
    </row>
    <row r="1999" spans="1:61" x14ac:dyDescent="0.25">
      <c r="A1999" s="62" t="s">
        <v>549</v>
      </c>
      <c r="B1999" s="62" t="s">
        <v>549</v>
      </c>
      <c r="C1999" s="63"/>
      <c r="D1999" s="64"/>
      <c r="E1999" s="65"/>
      <c r="F1999" s="66"/>
      <c r="G1999" s="63"/>
      <c r="H1999" s="67"/>
      <c r="I1999" s="68"/>
      <c r="J1999" s="68"/>
      <c r="K1999" s="32"/>
      <c r="L1999" s="75">
        <v>1999</v>
      </c>
      <c r="M1999" s="75"/>
      <c r="N1999" s="70"/>
      <c r="O1999" s="77" t="s">
        <v>179</v>
      </c>
      <c r="P1999" s="79">
        <v>45183.512754629628</v>
      </c>
      <c r="Q1999" s="77" t="s">
        <v>2785</v>
      </c>
      <c r="R1999" s="77">
        <v>0</v>
      </c>
      <c r="S1999" s="77">
        <v>1</v>
      </c>
      <c r="T1999" s="77">
        <v>0</v>
      </c>
      <c r="U1999" s="77">
        <v>0</v>
      </c>
      <c r="V1999" s="77">
        <v>52</v>
      </c>
      <c r="W1999" s="82" t="s">
        <v>6124</v>
      </c>
      <c r="X1999" s="80" t="str">
        <f>HYPERLINK("https://economicnewsbrasil.com.br/2023/09/14/itausa-vende-r-390-milhoes-de-acoes-da-xp/")</f>
        <v>https://economicnewsbrasil.com.br/2023/09/14/itausa-vende-r-390-milhoes-de-acoes-da-xp/</v>
      </c>
      <c r="Y1999" s="77" t="s">
        <v>7053</v>
      </c>
      <c r="Z1999" s="77"/>
      <c r="AA1999" s="77"/>
      <c r="AB1999" s="77"/>
      <c r="AC1999" s="82" t="s">
        <v>8270</v>
      </c>
      <c r="AD1999" s="77" t="s">
        <v>8278</v>
      </c>
      <c r="AE1999" s="80" t="str">
        <f>HYPERLINK("https://twitter.com/economicnewsbr/status/1702295726242316512")</f>
        <v>https://twitter.com/economicnewsbr/status/1702295726242316512</v>
      </c>
      <c r="AF1999" s="79">
        <v>45183.512754629628</v>
      </c>
      <c r="AG1999" s="85">
        <v>45183</v>
      </c>
      <c r="AH1999" s="82" t="s">
        <v>10091</v>
      </c>
      <c r="AI1999" s="77" t="b">
        <v>0</v>
      </c>
      <c r="AJ1999" s="77"/>
      <c r="AK1999" s="77"/>
      <c r="AL1999" s="77"/>
      <c r="AM1999" s="77"/>
      <c r="AN1999" s="77"/>
      <c r="AO1999" s="77"/>
      <c r="AP1999" s="77"/>
      <c r="AQ1999" s="77"/>
      <c r="AR1999" s="77"/>
      <c r="AS1999" s="77"/>
      <c r="AT1999" s="77"/>
      <c r="AU1999" s="77"/>
      <c r="AV1999" s="80" t="str">
        <f>HYPERLINK("https://pbs.twimg.com/profile_images/1211027151870402560/9JIqaKmf_normal.jpg")</f>
        <v>https://pbs.twimg.com/profile_images/1211027151870402560/9JIqaKmf_normal.jpg</v>
      </c>
      <c r="AW1999" s="82" t="s">
        <v>15090</v>
      </c>
      <c r="AX1999" s="82" t="s">
        <v>15090</v>
      </c>
      <c r="AY1999" s="77"/>
      <c r="AZ1999" s="82" t="s">
        <v>17385</v>
      </c>
      <c r="BA1999" s="82" t="s">
        <v>17385</v>
      </c>
      <c r="BB1999" s="82" t="s">
        <v>17385</v>
      </c>
      <c r="BC1999" s="82" t="s">
        <v>15090</v>
      </c>
      <c r="BD1999" s="82" t="s">
        <v>17612</v>
      </c>
      <c r="BE1999" s="77"/>
      <c r="BF1999" s="77"/>
      <c r="BG1999" s="77"/>
      <c r="BH1999" s="77"/>
      <c r="BI1999" s="77"/>
    </row>
    <row r="2000" spans="1:61" x14ac:dyDescent="0.25">
      <c r="A2000" s="62" t="s">
        <v>549</v>
      </c>
      <c r="B2000" s="62" t="s">
        <v>549</v>
      </c>
      <c r="C2000" s="63"/>
      <c r="D2000" s="64"/>
      <c r="E2000" s="65"/>
      <c r="F2000" s="66"/>
      <c r="G2000" s="63"/>
      <c r="H2000" s="67"/>
      <c r="I2000" s="68"/>
      <c r="J2000" s="68"/>
      <c r="K2000" s="32"/>
      <c r="L2000" s="75">
        <v>2000</v>
      </c>
      <c r="M2000" s="75"/>
      <c r="N2000" s="70"/>
      <c r="O2000" s="77" t="s">
        <v>179</v>
      </c>
      <c r="P2000" s="79">
        <v>45177.893854166665</v>
      </c>
      <c r="Q2000" s="77" t="s">
        <v>2786</v>
      </c>
      <c r="R2000" s="77">
        <v>0</v>
      </c>
      <c r="S2000" s="77">
        <v>0</v>
      </c>
      <c r="T2000" s="77">
        <v>0</v>
      </c>
      <c r="U2000" s="77">
        <v>0</v>
      </c>
      <c r="V2000" s="77">
        <v>37</v>
      </c>
      <c r="W2000" s="82" t="s">
        <v>6125</v>
      </c>
      <c r="X2000" s="80" t="str">
        <f>HYPERLINK("https://economicnewsbrasil.com.br/2023/09/08/venda-da-the-body-shop-uma-nova-estrategia-para-a-natura/")</f>
        <v>https://economicnewsbrasil.com.br/2023/09/08/venda-da-the-body-shop-uma-nova-estrategia-para-a-natura/</v>
      </c>
      <c r="Y2000" s="77" t="s">
        <v>7053</v>
      </c>
      <c r="Z2000" s="77"/>
      <c r="AA2000" s="77" t="s">
        <v>7980</v>
      </c>
      <c r="AB2000" s="77" t="s">
        <v>8225</v>
      </c>
      <c r="AC2000" s="82" t="s">
        <v>8270</v>
      </c>
      <c r="AD2000" s="77" t="s">
        <v>8278</v>
      </c>
      <c r="AE2000" s="80" t="str">
        <f>HYPERLINK("https://twitter.com/economicnewsbr/status/1700259502275043831")</f>
        <v>https://twitter.com/economicnewsbr/status/1700259502275043831</v>
      </c>
      <c r="AF2000" s="79">
        <v>45177.893854166665</v>
      </c>
      <c r="AG2000" s="85">
        <v>45177</v>
      </c>
      <c r="AH2000" s="82" t="s">
        <v>10092</v>
      </c>
      <c r="AI2000" s="77" t="b">
        <v>0</v>
      </c>
      <c r="AJ2000" s="77"/>
      <c r="AK2000" s="77"/>
      <c r="AL2000" s="77"/>
      <c r="AM2000" s="77"/>
      <c r="AN2000" s="77"/>
      <c r="AO2000" s="77"/>
      <c r="AP2000" s="77"/>
      <c r="AQ2000" s="77" t="s">
        <v>12865</v>
      </c>
      <c r="AR2000" s="77"/>
      <c r="AS2000" s="77"/>
      <c r="AT2000" s="77"/>
      <c r="AU2000" s="77"/>
      <c r="AV2000" s="80" t="str">
        <f>HYPERLINK("https://pbs.twimg.com/media/F5iJAdEWMAA-Xpp.jpg")</f>
        <v>https://pbs.twimg.com/media/F5iJAdEWMAA-Xpp.jpg</v>
      </c>
      <c r="AW2000" s="82" t="s">
        <v>15091</v>
      </c>
      <c r="AX2000" s="82" t="s">
        <v>15091</v>
      </c>
      <c r="AY2000" s="77"/>
      <c r="AZ2000" s="82" t="s">
        <v>17385</v>
      </c>
      <c r="BA2000" s="82" t="s">
        <v>17385</v>
      </c>
      <c r="BB2000" s="82" t="s">
        <v>17385</v>
      </c>
      <c r="BC2000" s="82" t="s">
        <v>15091</v>
      </c>
      <c r="BD2000" s="82" t="s">
        <v>17612</v>
      </c>
      <c r="BE2000" s="77"/>
      <c r="BF2000" s="77"/>
      <c r="BG2000" s="77"/>
      <c r="BH2000" s="77"/>
      <c r="BI2000" s="77"/>
    </row>
    <row r="2001" spans="1:61" x14ac:dyDescent="0.25">
      <c r="A2001" s="62" t="s">
        <v>549</v>
      </c>
      <c r="B2001" s="62" t="s">
        <v>549</v>
      </c>
      <c r="C2001" s="63"/>
      <c r="D2001" s="64"/>
      <c r="E2001" s="65"/>
      <c r="F2001" s="66"/>
      <c r="G2001" s="63"/>
      <c r="H2001" s="67"/>
      <c r="I2001" s="68"/>
      <c r="J2001" s="68"/>
      <c r="K2001" s="32"/>
      <c r="L2001" s="75">
        <v>2001</v>
      </c>
      <c r="M2001" s="75"/>
      <c r="N2001" s="70"/>
      <c r="O2001" s="77" t="s">
        <v>179</v>
      </c>
      <c r="P2001" s="79">
        <v>45177.52244212963</v>
      </c>
      <c r="Q2001" s="77" t="s">
        <v>2787</v>
      </c>
      <c r="R2001" s="77">
        <v>0</v>
      </c>
      <c r="S2001" s="77">
        <v>0</v>
      </c>
      <c r="T2001" s="77">
        <v>0</v>
      </c>
      <c r="U2001" s="77">
        <v>0</v>
      </c>
      <c r="V2001" s="77">
        <v>16</v>
      </c>
      <c r="W2001" s="82" t="s">
        <v>6126</v>
      </c>
      <c r="X2001" s="80" t="str">
        <f>HYPERLINK("https://economicnewsbrasil.com.br/?p=87774")</f>
        <v>https://economicnewsbrasil.com.br/?p=87774</v>
      </c>
      <c r="Y2001" s="77" t="s">
        <v>7053</v>
      </c>
      <c r="Z2001" s="77"/>
      <c r="AA2001" s="77"/>
      <c r="AB2001" s="77"/>
      <c r="AC2001" s="82" t="s">
        <v>8270</v>
      </c>
      <c r="AD2001" s="77" t="s">
        <v>8278</v>
      </c>
      <c r="AE2001" s="80" t="str">
        <f>HYPERLINK("https://twitter.com/economicnewsbr/status/1700124907571466477")</f>
        <v>https://twitter.com/economicnewsbr/status/1700124907571466477</v>
      </c>
      <c r="AF2001" s="79">
        <v>45177.52244212963</v>
      </c>
      <c r="AG2001" s="85">
        <v>45177</v>
      </c>
      <c r="AH2001" s="82" t="s">
        <v>10093</v>
      </c>
      <c r="AI2001" s="77" t="b">
        <v>0</v>
      </c>
      <c r="AJ2001" s="77"/>
      <c r="AK2001" s="77"/>
      <c r="AL2001" s="77"/>
      <c r="AM2001" s="77"/>
      <c r="AN2001" s="77"/>
      <c r="AO2001" s="77"/>
      <c r="AP2001" s="77"/>
      <c r="AQ2001" s="77"/>
      <c r="AR2001" s="77"/>
      <c r="AS2001" s="77"/>
      <c r="AT2001" s="77"/>
      <c r="AU2001" s="77"/>
      <c r="AV2001" s="80" t="str">
        <f>HYPERLINK("https://pbs.twimg.com/profile_images/1211027151870402560/9JIqaKmf_normal.jpg")</f>
        <v>https://pbs.twimg.com/profile_images/1211027151870402560/9JIqaKmf_normal.jpg</v>
      </c>
      <c r="AW2001" s="82" t="s">
        <v>15092</v>
      </c>
      <c r="AX2001" s="82" t="s">
        <v>15092</v>
      </c>
      <c r="AY2001" s="77"/>
      <c r="AZ2001" s="82" t="s">
        <v>17385</v>
      </c>
      <c r="BA2001" s="82" t="s">
        <v>17385</v>
      </c>
      <c r="BB2001" s="82" t="s">
        <v>17385</v>
      </c>
      <c r="BC2001" s="82" t="s">
        <v>15092</v>
      </c>
      <c r="BD2001" s="82" t="s">
        <v>17612</v>
      </c>
      <c r="BE2001" s="77"/>
      <c r="BF2001" s="77"/>
      <c r="BG2001" s="77"/>
      <c r="BH2001" s="77"/>
      <c r="BI2001" s="77"/>
    </row>
    <row r="2002" spans="1:61" x14ac:dyDescent="0.25">
      <c r="A2002" s="62" t="s">
        <v>549</v>
      </c>
      <c r="B2002" s="62" t="s">
        <v>549</v>
      </c>
      <c r="C2002" s="63"/>
      <c r="D2002" s="64"/>
      <c r="E2002" s="65"/>
      <c r="F2002" s="66"/>
      <c r="G2002" s="63"/>
      <c r="H2002" s="67"/>
      <c r="I2002" s="68"/>
      <c r="J2002" s="68"/>
      <c r="K2002" s="32"/>
      <c r="L2002" s="75">
        <v>2002</v>
      </c>
      <c r="M2002" s="75"/>
      <c r="N2002" s="70"/>
      <c r="O2002" s="77" t="s">
        <v>179</v>
      </c>
      <c r="P2002" s="79">
        <v>45168.041388888887</v>
      </c>
      <c r="Q2002" s="77" t="s">
        <v>2788</v>
      </c>
      <c r="R2002" s="77">
        <v>0</v>
      </c>
      <c r="S2002" s="77">
        <v>0</v>
      </c>
      <c r="T2002" s="77">
        <v>0</v>
      </c>
      <c r="U2002" s="77">
        <v>0</v>
      </c>
      <c r="V2002" s="77">
        <v>18</v>
      </c>
      <c r="W2002" s="82" t="s">
        <v>6127</v>
      </c>
      <c r="X2002" s="80" t="str">
        <f>HYPERLINK("https://economicnewsbrasil.com.br/2023/08/29/mercado-financeiro-dolar-em-queda-e-ibovespa-tem-alta-confira-mais/")</f>
        <v>https://economicnewsbrasil.com.br/2023/08/29/mercado-financeiro-dolar-em-queda-e-ibovespa-tem-alta-confira-mais/</v>
      </c>
      <c r="Y2002" s="77" t="s">
        <v>7053</v>
      </c>
      <c r="Z2002" s="77"/>
      <c r="AA2002" s="77"/>
      <c r="AB2002" s="77"/>
      <c r="AC2002" s="82" t="s">
        <v>8270</v>
      </c>
      <c r="AD2002" s="77" t="s">
        <v>8278</v>
      </c>
      <c r="AE2002" s="80" t="str">
        <f>HYPERLINK("https://twitter.com/economicnewsbr/status/1696689088537964582")</f>
        <v>https://twitter.com/economicnewsbr/status/1696689088537964582</v>
      </c>
      <c r="AF2002" s="79">
        <v>45168.041388888887</v>
      </c>
      <c r="AG2002" s="85">
        <v>45168</v>
      </c>
      <c r="AH2002" s="82" t="s">
        <v>10094</v>
      </c>
      <c r="AI2002" s="77" t="b">
        <v>0</v>
      </c>
      <c r="AJ2002" s="77"/>
      <c r="AK2002" s="77"/>
      <c r="AL2002" s="77"/>
      <c r="AM2002" s="77"/>
      <c r="AN2002" s="77"/>
      <c r="AO2002" s="77"/>
      <c r="AP2002" s="77"/>
      <c r="AQ2002" s="77"/>
      <c r="AR2002" s="77"/>
      <c r="AS2002" s="77"/>
      <c r="AT2002" s="77"/>
      <c r="AU2002" s="77"/>
      <c r="AV2002" s="80" t="str">
        <f>HYPERLINK("https://pbs.twimg.com/profile_images/1211027151870402560/9JIqaKmf_normal.jpg")</f>
        <v>https://pbs.twimg.com/profile_images/1211027151870402560/9JIqaKmf_normal.jpg</v>
      </c>
      <c r="AW2002" s="82" t="s">
        <v>15093</v>
      </c>
      <c r="AX2002" s="82" t="s">
        <v>15093</v>
      </c>
      <c r="AY2002" s="77"/>
      <c r="AZ2002" s="82" t="s">
        <v>17385</v>
      </c>
      <c r="BA2002" s="82" t="s">
        <v>17385</v>
      </c>
      <c r="BB2002" s="82" t="s">
        <v>17385</v>
      </c>
      <c r="BC2002" s="82" t="s">
        <v>15093</v>
      </c>
      <c r="BD2002" s="82" t="s">
        <v>17612</v>
      </c>
      <c r="BE2002" s="77"/>
      <c r="BF2002" s="77"/>
      <c r="BG2002" s="77"/>
      <c r="BH2002" s="77"/>
      <c r="BI2002" s="77"/>
    </row>
    <row r="2003" spans="1:61" x14ac:dyDescent="0.25">
      <c r="A2003" s="62" t="s">
        <v>549</v>
      </c>
      <c r="B2003" s="62" t="s">
        <v>549</v>
      </c>
      <c r="C2003" s="63"/>
      <c r="D2003" s="64"/>
      <c r="E2003" s="65"/>
      <c r="F2003" s="66"/>
      <c r="G2003" s="63"/>
      <c r="H2003" s="67"/>
      <c r="I2003" s="68"/>
      <c r="J2003" s="68"/>
      <c r="K2003" s="32"/>
      <c r="L2003" s="75">
        <v>2003</v>
      </c>
      <c r="M2003" s="75"/>
      <c r="N2003" s="70"/>
      <c r="O2003" s="77" t="s">
        <v>179</v>
      </c>
      <c r="P2003" s="79">
        <v>45095.882175925923</v>
      </c>
      <c r="Q2003" s="77" t="s">
        <v>2789</v>
      </c>
      <c r="R2003" s="77">
        <v>0</v>
      </c>
      <c r="S2003" s="77">
        <v>0</v>
      </c>
      <c r="T2003" s="77">
        <v>0</v>
      </c>
      <c r="U2003" s="77">
        <v>0</v>
      </c>
      <c r="V2003" s="77">
        <v>22</v>
      </c>
      <c r="W2003" s="82" t="s">
        <v>6128</v>
      </c>
      <c r="X2003" s="80" t="str">
        <f>HYPERLINK("https://economicnewsbrasil.com.br/?p=73213")</f>
        <v>https://economicnewsbrasil.com.br/?p=73213</v>
      </c>
      <c r="Y2003" s="77" t="s">
        <v>7053</v>
      </c>
      <c r="Z2003" s="77"/>
      <c r="AA2003" s="77" t="s">
        <v>7981</v>
      </c>
      <c r="AB2003" s="77" t="s">
        <v>8225</v>
      </c>
      <c r="AC2003" s="82" t="s">
        <v>8243</v>
      </c>
      <c r="AD2003" s="77" t="s">
        <v>8278</v>
      </c>
      <c r="AE2003" s="80" t="str">
        <f>HYPERLINK("https://twitter.com/economicnewsbr/status/1670539465327013890")</f>
        <v>https://twitter.com/economicnewsbr/status/1670539465327013890</v>
      </c>
      <c r="AF2003" s="79">
        <v>45095.882175925923</v>
      </c>
      <c r="AG2003" s="85">
        <v>45095</v>
      </c>
      <c r="AH2003" s="82" t="s">
        <v>10095</v>
      </c>
      <c r="AI2003" s="77" t="b">
        <v>0</v>
      </c>
      <c r="AJ2003" s="77"/>
      <c r="AK2003" s="77"/>
      <c r="AL2003" s="77"/>
      <c r="AM2003" s="77"/>
      <c r="AN2003" s="77"/>
      <c r="AO2003" s="77"/>
      <c r="AP2003" s="77"/>
      <c r="AQ2003" s="77" t="s">
        <v>12866</v>
      </c>
      <c r="AR2003" s="77"/>
      <c r="AS2003" s="77"/>
      <c r="AT2003" s="77"/>
      <c r="AU2003" s="77"/>
      <c r="AV2003" s="80" t="str">
        <f>HYPERLINK("https://pbs.twimg.com/media/Fy7yynRWwAIcVBZ.jpg")</f>
        <v>https://pbs.twimg.com/media/Fy7yynRWwAIcVBZ.jpg</v>
      </c>
      <c r="AW2003" s="82" t="s">
        <v>15094</v>
      </c>
      <c r="AX2003" s="82" t="s">
        <v>15094</v>
      </c>
      <c r="AY2003" s="77"/>
      <c r="AZ2003" s="82" t="s">
        <v>17385</v>
      </c>
      <c r="BA2003" s="82" t="s">
        <v>17385</v>
      </c>
      <c r="BB2003" s="82" t="s">
        <v>17385</v>
      </c>
      <c r="BC2003" s="82" t="s">
        <v>15094</v>
      </c>
      <c r="BD2003" s="82" t="s">
        <v>17612</v>
      </c>
      <c r="BE2003" s="77"/>
      <c r="BF2003" s="77"/>
      <c r="BG2003" s="77"/>
      <c r="BH2003" s="77"/>
      <c r="BI2003" s="77"/>
    </row>
    <row r="2004" spans="1:61" x14ac:dyDescent="0.25">
      <c r="A2004" s="62" t="s">
        <v>549</v>
      </c>
      <c r="B2004" s="62" t="s">
        <v>549</v>
      </c>
      <c r="C2004" s="63"/>
      <c r="D2004" s="64"/>
      <c r="E2004" s="65"/>
      <c r="F2004" s="66"/>
      <c r="G2004" s="63"/>
      <c r="H2004" s="67"/>
      <c r="I2004" s="68"/>
      <c r="J2004" s="68"/>
      <c r="K2004" s="32"/>
      <c r="L2004" s="75">
        <v>2004</v>
      </c>
      <c r="M2004" s="75"/>
      <c r="N2004" s="70"/>
      <c r="O2004" s="77" t="s">
        <v>179</v>
      </c>
      <c r="P2004" s="79">
        <v>45092.001793981479</v>
      </c>
      <c r="Q2004" s="77" t="s">
        <v>2790</v>
      </c>
      <c r="R2004" s="77">
        <v>0</v>
      </c>
      <c r="S2004" s="77">
        <v>0</v>
      </c>
      <c r="T2004" s="77">
        <v>0</v>
      </c>
      <c r="U2004" s="77">
        <v>0</v>
      </c>
      <c r="V2004" s="77">
        <v>14</v>
      </c>
      <c r="W2004" s="82" t="s">
        <v>4835</v>
      </c>
      <c r="X2004" s="80" t="str">
        <f>HYPERLINK("https://economicnewsbrasil.com.br/?p=72793")</f>
        <v>https://economicnewsbrasil.com.br/?p=72793</v>
      </c>
      <c r="Y2004" s="77" t="s">
        <v>7053</v>
      </c>
      <c r="Z2004" s="77"/>
      <c r="AA2004" s="77" t="s">
        <v>7982</v>
      </c>
      <c r="AB2004" s="77" t="s">
        <v>8225</v>
      </c>
      <c r="AC2004" s="82" t="s">
        <v>8243</v>
      </c>
      <c r="AD2004" s="77" t="s">
        <v>8278</v>
      </c>
      <c r="AE2004" s="80" t="str">
        <f>HYPERLINK("https://twitter.com/economicnewsbr/status/1669133261983952898")</f>
        <v>https://twitter.com/economicnewsbr/status/1669133261983952898</v>
      </c>
      <c r="AF2004" s="79">
        <v>45092.001793981479</v>
      </c>
      <c r="AG2004" s="85">
        <v>45092</v>
      </c>
      <c r="AH2004" s="82" t="s">
        <v>10096</v>
      </c>
      <c r="AI2004" s="77" t="b">
        <v>0</v>
      </c>
      <c r="AJ2004" s="77"/>
      <c r="AK2004" s="77"/>
      <c r="AL2004" s="77"/>
      <c r="AM2004" s="77"/>
      <c r="AN2004" s="77"/>
      <c r="AO2004" s="77"/>
      <c r="AP2004" s="77"/>
      <c r="AQ2004" s="77" t="s">
        <v>12867</v>
      </c>
      <c r="AR2004" s="77"/>
      <c r="AS2004" s="77"/>
      <c r="AT2004" s="77"/>
      <c r="AU2004" s="77"/>
      <c r="AV2004" s="80" t="str">
        <f>HYPERLINK("https://pbs.twimg.com/media/Fynz20cXsAAPn8D.jpg")</f>
        <v>https://pbs.twimg.com/media/Fynz20cXsAAPn8D.jpg</v>
      </c>
      <c r="AW2004" s="82" t="s">
        <v>15095</v>
      </c>
      <c r="AX2004" s="82" t="s">
        <v>15095</v>
      </c>
      <c r="AY2004" s="77"/>
      <c r="AZ2004" s="82" t="s">
        <v>17385</v>
      </c>
      <c r="BA2004" s="82" t="s">
        <v>17385</v>
      </c>
      <c r="BB2004" s="82" t="s">
        <v>17385</v>
      </c>
      <c r="BC2004" s="82" t="s">
        <v>15095</v>
      </c>
      <c r="BD2004" s="82" t="s">
        <v>17612</v>
      </c>
      <c r="BE2004" s="77"/>
      <c r="BF2004" s="77"/>
      <c r="BG2004" s="77"/>
      <c r="BH2004" s="77"/>
      <c r="BI2004" s="77"/>
    </row>
    <row r="2005" spans="1:61" x14ac:dyDescent="0.25">
      <c r="A2005" s="62" t="s">
        <v>549</v>
      </c>
      <c r="B2005" s="62" t="s">
        <v>549</v>
      </c>
      <c r="C2005" s="63"/>
      <c r="D2005" s="64"/>
      <c r="E2005" s="65"/>
      <c r="F2005" s="66"/>
      <c r="G2005" s="63"/>
      <c r="H2005" s="67"/>
      <c r="I2005" s="68"/>
      <c r="J2005" s="68"/>
      <c r="K2005" s="32"/>
      <c r="L2005" s="75">
        <v>2005</v>
      </c>
      <c r="M2005" s="75"/>
      <c r="N2005" s="70"/>
      <c r="O2005" s="77" t="s">
        <v>179</v>
      </c>
      <c r="P2005" s="79">
        <v>45057.587835648148</v>
      </c>
      <c r="Q2005" s="77" t="s">
        <v>2791</v>
      </c>
      <c r="R2005" s="77">
        <v>0</v>
      </c>
      <c r="S2005" s="77">
        <v>1</v>
      </c>
      <c r="T2005" s="77">
        <v>0</v>
      </c>
      <c r="U2005" s="77">
        <v>0</v>
      </c>
      <c r="V2005" s="77">
        <v>8</v>
      </c>
      <c r="W2005" s="82" t="s">
        <v>4835</v>
      </c>
      <c r="X2005" s="80" t="str">
        <f>HYPERLINK("https://economicnewsbrasil.com.br/?p=66871")</f>
        <v>https://economicnewsbrasil.com.br/?p=66871</v>
      </c>
      <c r="Y2005" s="77" t="s">
        <v>7053</v>
      </c>
      <c r="Z2005" s="77"/>
      <c r="AA2005" s="77" t="s">
        <v>7983</v>
      </c>
      <c r="AB2005" s="77" t="s">
        <v>8225</v>
      </c>
      <c r="AC2005" s="82" t="s">
        <v>8243</v>
      </c>
      <c r="AD2005" s="77" t="s">
        <v>8278</v>
      </c>
      <c r="AE2005" s="80" t="str">
        <f>HYPERLINK("https://twitter.com/economicnewsbr/status/1656662062481948675")</f>
        <v>https://twitter.com/economicnewsbr/status/1656662062481948675</v>
      </c>
      <c r="AF2005" s="79">
        <v>45057.587835648148</v>
      </c>
      <c r="AG2005" s="85">
        <v>45057</v>
      </c>
      <c r="AH2005" s="82" t="s">
        <v>10097</v>
      </c>
      <c r="AI2005" s="77" t="b">
        <v>0</v>
      </c>
      <c r="AJ2005" s="77"/>
      <c r="AK2005" s="77"/>
      <c r="AL2005" s="77"/>
      <c r="AM2005" s="77"/>
      <c r="AN2005" s="77"/>
      <c r="AO2005" s="77"/>
      <c r="AP2005" s="77"/>
      <c r="AQ2005" s="77" t="s">
        <v>12868</v>
      </c>
      <c r="AR2005" s="77"/>
      <c r="AS2005" s="77"/>
      <c r="AT2005" s="77"/>
      <c r="AU2005" s="77"/>
      <c r="AV2005" s="80" t="str">
        <f>HYPERLINK("https://pbs.twimg.com/media/Fv2lXcYaMAEwLE8.jpg")</f>
        <v>https://pbs.twimg.com/media/Fv2lXcYaMAEwLE8.jpg</v>
      </c>
      <c r="AW2005" s="82" t="s">
        <v>15096</v>
      </c>
      <c r="AX2005" s="82" t="s">
        <v>15096</v>
      </c>
      <c r="AY2005" s="77"/>
      <c r="AZ2005" s="82" t="s">
        <v>17385</v>
      </c>
      <c r="BA2005" s="82" t="s">
        <v>17385</v>
      </c>
      <c r="BB2005" s="82" t="s">
        <v>17385</v>
      </c>
      <c r="BC2005" s="82" t="s">
        <v>15096</v>
      </c>
      <c r="BD2005" s="82" t="s">
        <v>17612</v>
      </c>
      <c r="BE2005" s="77"/>
      <c r="BF2005" s="77"/>
      <c r="BG2005" s="77"/>
      <c r="BH2005" s="77"/>
      <c r="BI2005" s="77"/>
    </row>
    <row r="2006" spans="1:61" x14ac:dyDescent="0.25">
      <c r="A2006" s="62" t="s">
        <v>549</v>
      </c>
      <c r="B2006" s="62" t="s">
        <v>549</v>
      </c>
      <c r="C2006" s="63"/>
      <c r="D2006" s="64"/>
      <c r="E2006" s="65"/>
      <c r="F2006" s="66"/>
      <c r="G2006" s="63"/>
      <c r="H2006" s="67"/>
      <c r="I2006" s="68"/>
      <c r="J2006" s="68"/>
      <c r="K2006" s="32"/>
      <c r="L2006" s="75">
        <v>2006</v>
      </c>
      <c r="M2006" s="75"/>
      <c r="N2006" s="70"/>
      <c r="O2006" s="77" t="s">
        <v>179</v>
      </c>
      <c r="P2006" s="79">
        <v>45195.856516203705</v>
      </c>
      <c r="Q2006" s="77" t="s">
        <v>2792</v>
      </c>
      <c r="R2006" s="77">
        <v>0</v>
      </c>
      <c r="S2006" s="77">
        <v>0</v>
      </c>
      <c r="T2006" s="77">
        <v>0</v>
      </c>
      <c r="U2006" s="77">
        <v>0</v>
      </c>
      <c r="V2006" s="77">
        <v>3</v>
      </c>
      <c r="W2006" s="82" t="s">
        <v>4835</v>
      </c>
      <c r="X2006" s="80" t="str">
        <f>HYPERLINK("https://economicnewsbrasil.com.br/?p=90868")</f>
        <v>https://economicnewsbrasil.com.br/?p=90868</v>
      </c>
      <c r="Y2006" s="77" t="s">
        <v>7053</v>
      </c>
      <c r="Z2006" s="77"/>
      <c r="AA2006" s="77"/>
      <c r="AB2006" s="77"/>
      <c r="AC2006" s="82" t="s">
        <v>8270</v>
      </c>
      <c r="AD2006" s="77" t="s">
        <v>8278</v>
      </c>
      <c r="AE2006" s="80" t="str">
        <f>HYPERLINK("https://twitter.com/economicnewsbr/status/1706768955648487511")</f>
        <v>https://twitter.com/economicnewsbr/status/1706768955648487511</v>
      </c>
      <c r="AF2006" s="79">
        <v>45195.856516203705</v>
      </c>
      <c r="AG2006" s="85">
        <v>45195</v>
      </c>
      <c r="AH2006" s="82" t="s">
        <v>10098</v>
      </c>
      <c r="AI2006" s="77" t="b">
        <v>0</v>
      </c>
      <c r="AJ2006" s="77"/>
      <c r="AK2006" s="77"/>
      <c r="AL2006" s="77"/>
      <c r="AM2006" s="77"/>
      <c r="AN2006" s="77"/>
      <c r="AO2006" s="77"/>
      <c r="AP2006" s="77"/>
      <c r="AQ2006" s="77"/>
      <c r="AR2006" s="77"/>
      <c r="AS2006" s="77"/>
      <c r="AT2006" s="77"/>
      <c r="AU2006" s="77"/>
      <c r="AV2006" s="80" t="str">
        <f>HYPERLINK("https://pbs.twimg.com/profile_images/1211027151870402560/9JIqaKmf_normal.jpg")</f>
        <v>https://pbs.twimg.com/profile_images/1211027151870402560/9JIqaKmf_normal.jpg</v>
      </c>
      <c r="AW2006" s="82" t="s">
        <v>15097</v>
      </c>
      <c r="AX2006" s="82" t="s">
        <v>15097</v>
      </c>
      <c r="AY2006" s="77"/>
      <c r="AZ2006" s="82" t="s">
        <v>17385</v>
      </c>
      <c r="BA2006" s="82" t="s">
        <v>17385</v>
      </c>
      <c r="BB2006" s="82" t="s">
        <v>17385</v>
      </c>
      <c r="BC2006" s="82" t="s">
        <v>15097</v>
      </c>
      <c r="BD2006" s="82" t="s">
        <v>17612</v>
      </c>
      <c r="BE2006" s="77"/>
      <c r="BF2006" s="77"/>
      <c r="BG2006" s="77"/>
      <c r="BH2006" s="77"/>
      <c r="BI2006" s="77"/>
    </row>
    <row r="2007" spans="1:61" x14ac:dyDescent="0.25">
      <c r="A2007" s="62" t="s">
        <v>549</v>
      </c>
      <c r="B2007" s="62" t="s">
        <v>549</v>
      </c>
      <c r="C2007" s="63"/>
      <c r="D2007" s="64"/>
      <c r="E2007" s="65"/>
      <c r="F2007" s="66"/>
      <c r="G2007" s="63"/>
      <c r="H2007" s="67"/>
      <c r="I2007" s="68"/>
      <c r="J2007" s="68"/>
      <c r="K2007" s="32"/>
      <c r="L2007" s="75">
        <v>2007</v>
      </c>
      <c r="M2007" s="75"/>
      <c r="N2007" s="70"/>
      <c r="O2007" s="77" t="s">
        <v>179</v>
      </c>
      <c r="P2007" s="79">
        <v>45187.944849537038</v>
      </c>
      <c r="Q2007" s="77" t="s">
        <v>2793</v>
      </c>
      <c r="R2007" s="77">
        <v>0</v>
      </c>
      <c r="S2007" s="77">
        <v>0</v>
      </c>
      <c r="T2007" s="77">
        <v>0</v>
      </c>
      <c r="U2007" s="77">
        <v>0</v>
      </c>
      <c r="V2007" s="77">
        <v>30</v>
      </c>
      <c r="W2007" s="82" t="s">
        <v>6129</v>
      </c>
      <c r="X2007" s="80" t="str">
        <f>HYPERLINK("https://economicnewsbrasil.com.br/2023/09/18/mercado-financeiro-hoje-analise-da-queda-do-dolar-e-previsoes-para-a-semana-18-09/")</f>
        <v>https://economicnewsbrasil.com.br/2023/09/18/mercado-financeiro-hoje-analise-da-queda-do-dolar-e-previsoes-para-a-semana-18-09/</v>
      </c>
      <c r="Y2007" s="77" t="s">
        <v>7053</v>
      </c>
      <c r="Z2007" s="77"/>
      <c r="AA2007" s="77" t="s">
        <v>7984</v>
      </c>
      <c r="AB2007" s="77" t="s">
        <v>8225</v>
      </c>
      <c r="AC2007" s="82" t="s">
        <v>8270</v>
      </c>
      <c r="AD2007" s="77" t="s">
        <v>8278</v>
      </c>
      <c r="AE2007" s="80" t="str">
        <f>HYPERLINK("https://twitter.com/economicnewsbr/status/1703901860678054309")</f>
        <v>https://twitter.com/economicnewsbr/status/1703901860678054309</v>
      </c>
      <c r="AF2007" s="79">
        <v>45187.944849537038</v>
      </c>
      <c r="AG2007" s="85">
        <v>45187</v>
      </c>
      <c r="AH2007" s="82" t="s">
        <v>10099</v>
      </c>
      <c r="AI2007" s="77" t="b">
        <v>0</v>
      </c>
      <c r="AJ2007" s="77"/>
      <c r="AK2007" s="77"/>
      <c r="AL2007" s="77"/>
      <c r="AM2007" s="77"/>
      <c r="AN2007" s="77"/>
      <c r="AO2007" s="77"/>
      <c r="AP2007" s="77"/>
      <c r="AQ2007" s="77" t="s">
        <v>12869</v>
      </c>
      <c r="AR2007" s="77"/>
      <c r="AS2007" s="77"/>
      <c r="AT2007" s="77"/>
      <c r="AU2007" s="77"/>
      <c r="AV2007" s="80" t="str">
        <f>HYPERLINK("https://pbs.twimg.com/media/F6V5tm-W8AAr1jB.jpg")</f>
        <v>https://pbs.twimg.com/media/F6V5tm-W8AAr1jB.jpg</v>
      </c>
      <c r="AW2007" s="82" t="s">
        <v>15098</v>
      </c>
      <c r="AX2007" s="82" t="s">
        <v>15098</v>
      </c>
      <c r="AY2007" s="77"/>
      <c r="AZ2007" s="82" t="s">
        <v>17385</v>
      </c>
      <c r="BA2007" s="82" t="s">
        <v>17385</v>
      </c>
      <c r="BB2007" s="82" t="s">
        <v>17385</v>
      </c>
      <c r="BC2007" s="82" t="s">
        <v>15098</v>
      </c>
      <c r="BD2007" s="82" t="s">
        <v>17612</v>
      </c>
      <c r="BE2007" s="77"/>
      <c r="BF2007" s="77"/>
      <c r="BG2007" s="77"/>
      <c r="BH2007" s="77"/>
      <c r="BI2007" s="77"/>
    </row>
    <row r="2008" spans="1:61" x14ac:dyDescent="0.25">
      <c r="A2008" s="62" t="s">
        <v>549</v>
      </c>
      <c r="B2008" s="62" t="s">
        <v>549</v>
      </c>
      <c r="C2008" s="63"/>
      <c r="D2008" s="64"/>
      <c r="E2008" s="65"/>
      <c r="F2008" s="66"/>
      <c r="G2008" s="63"/>
      <c r="H2008" s="67"/>
      <c r="I2008" s="68"/>
      <c r="J2008" s="68"/>
      <c r="K2008" s="32"/>
      <c r="L2008" s="75">
        <v>2008</v>
      </c>
      <c r="M2008" s="75"/>
      <c r="N2008" s="70"/>
      <c r="O2008" s="77" t="s">
        <v>179</v>
      </c>
      <c r="P2008" s="79">
        <v>45169.007685185185</v>
      </c>
      <c r="Q2008" s="77" t="s">
        <v>2794</v>
      </c>
      <c r="R2008" s="77">
        <v>0</v>
      </c>
      <c r="S2008" s="77">
        <v>0</v>
      </c>
      <c r="T2008" s="77">
        <v>0</v>
      </c>
      <c r="U2008" s="77">
        <v>0</v>
      </c>
      <c r="V2008" s="77">
        <v>52</v>
      </c>
      <c r="W2008" s="82" t="s">
        <v>6130</v>
      </c>
      <c r="X2008" s="80" t="str">
        <f>HYPERLINK("https://economicnewsbrasil.com.br/2023/08/30/resumo-do-mercado-financeiro-quarta-feira-30-08/")</f>
        <v>https://economicnewsbrasil.com.br/2023/08/30/resumo-do-mercado-financeiro-quarta-feira-30-08/</v>
      </c>
      <c r="Y2008" s="77" t="s">
        <v>7053</v>
      </c>
      <c r="Z2008" s="77"/>
      <c r="AA2008" s="77"/>
      <c r="AB2008" s="77"/>
      <c r="AC2008" s="82" t="s">
        <v>8270</v>
      </c>
      <c r="AD2008" s="77" t="s">
        <v>8278</v>
      </c>
      <c r="AE2008" s="80" t="str">
        <f>HYPERLINK("https://twitter.com/economicnewsbr/status/1697039265136332858")</f>
        <v>https://twitter.com/economicnewsbr/status/1697039265136332858</v>
      </c>
      <c r="AF2008" s="79">
        <v>45169.007685185185</v>
      </c>
      <c r="AG2008" s="85">
        <v>45169</v>
      </c>
      <c r="AH2008" s="82" t="s">
        <v>10100</v>
      </c>
      <c r="AI2008" s="77" t="b">
        <v>0</v>
      </c>
      <c r="AJ2008" s="77"/>
      <c r="AK2008" s="77"/>
      <c r="AL2008" s="77"/>
      <c r="AM2008" s="77"/>
      <c r="AN2008" s="77"/>
      <c r="AO2008" s="77"/>
      <c r="AP2008" s="77"/>
      <c r="AQ2008" s="77"/>
      <c r="AR2008" s="77"/>
      <c r="AS2008" s="77"/>
      <c r="AT2008" s="77"/>
      <c r="AU2008" s="77"/>
      <c r="AV2008" s="80" t="str">
        <f>HYPERLINK("https://pbs.twimg.com/profile_images/1211027151870402560/9JIqaKmf_normal.jpg")</f>
        <v>https://pbs.twimg.com/profile_images/1211027151870402560/9JIqaKmf_normal.jpg</v>
      </c>
      <c r="AW2008" s="82" t="s">
        <v>15099</v>
      </c>
      <c r="AX2008" s="82" t="s">
        <v>15099</v>
      </c>
      <c r="AY2008" s="77"/>
      <c r="AZ2008" s="82" t="s">
        <v>17385</v>
      </c>
      <c r="BA2008" s="82" t="s">
        <v>17385</v>
      </c>
      <c r="BB2008" s="82" t="s">
        <v>17385</v>
      </c>
      <c r="BC2008" s="82" t="s">
        <v>15099</v>
      </c>
      <c r="BD2008" s="82" t="s">
        <v>17612</v>
      </c>
      <c r="BE2008" s="77"/>
      <c r="BF2008" s="77"/>
      <c r="BG2008" s="77"/>
      <c r="BH2008" s="77"/>
      <c r="BI2008" s="77"/>
    </row>
    <row r="2009" spans="1:61" x14ac:dyDescent="0.25">
      <c r="A2009" s="62" t="s">
        <v>549</v>
      </c>
      <c r="B2009" s="62" t="s">
        <v>549</v>
      </c>
      <c r="C2009" s="63"/>
      <c r="D2009" s="64"/>
      <c r="E2009" s="65"/>
      <c r="F2009" s="66"/>
      <c r="G2009" s="63"/>
      <c r="H2009" s="67"/>
      <c r="I2009" s="68"/>
      <c r="J2009" s="68"/>
      <c r="K2009" s="32"/>
      <c r="L2009" s="75">
        <v>2009</v>
      </c>
      <c r="M2009" s="75"/>
      <c r="N2009" s="70"/>
      <c r="O2009" s="77" t="s">
        <v>179</v>
      </c>
      <c r="P2009" s="79">
        <v>45139.98510416667</v>
      </c>
      <c r="Q2009" s="77" t="s">
        <v>2795</v>
      </c>
      <c r="R2009" s="77">
        <v>0</v>
      </c>
      <c r="S2009" s="77">
        <v>0</v>
      </c>
      <c r="T2009" s="77">
        <v>0</v>
      </c>
      <c r="U2009" s="77">
        <v>0</v>
      </c>
      <c r="V2009" s="77">
        <v>54</v>
      </c>
      <c r="W2009" s="82" t="s">
        <v>6131</v>
      </c>
      <c r="X2009" s="80" t="str">
        <f>HYPERLINK("https://economicnewsbrasil.com.br/2023/08/01/mercado-financeiro-dolar-sobe-1269-e-ibovespa-cai-analise-do-mercado-01-08/")</f>
        <v>https://economicnewsbrasil.com.br/2023/08/01/mercado-financeiro-dolar-sobe-1269-e-ibovespa-cai-analise-do-mercado-01-08/</v>
      </c>
      <c r="Y2009" s="77" t="s">
        <v>7053</v>
      </c>
      <c r="Z2009" s="77"/>
      <c r="AA2009" s="77"/>
      <c r="AB2009" s="77"/>
      <c r="AC2009" s="82" t="s">
        <v>8270</v>
      </c>
      <c r="AD2009" s="77" t="s">
        <v>8278</v>
      </c>
      <c r="AE2009" s="80" t="str">
        <f>HYPERLINK("https://twitter.com/economicnewsbr/status/1686521833116381184")</f>
        <v>https://twitter.com/economicnewsbr/status/1686521833116381184</v>
      </c>
      <c r="AF2009" s="79">
        <v>45139.98510416667</v>
      </c>
      <c r="AG2009" s="85">
        <v>45139</v>
      </c>
      <c r="AH2009" s="82" t="s">
        <v>10101</v>
      </c>
      <c r="AI2009" s="77" t="b">
        <v>0</v>
      </c>
      <c r="AJ2009" s="77"/>
      <c r="AK2009" s="77"/>
      <c r="AL2009" s="77"/>
      <c r="AM2009" s="77"/>
      <c r="AN2009" s="77"/>
      <c r="AO2009" s="77"/>
      <c r="AP2009" s="77"/>
      <c r="AQ2009" s="77"/>
      <c r="AR2009" s="77"/>
      <c r="AS2009" s="77"/>
      <c r="AT2009" s="77"/>
      <c r="AU2009" s="77"/>
      <c r="AV2009" s="80" t="str">
        <f>HYPERLINK("https://pbs.twimg.com/profile_images/1211027151870402560/9JIqaKmf_normal.jpg")</f>
        <v>https://pbs.twimg.com/profile_images/1211027151870402560/9JIqaKmf_normal.jpg</v>
      </c>
      <c r="AW2009" s="82" t="s">
        <v>15100</v>
      </c>
      <c r="AX2009" s="82" t="s">
        <v>15100</v>
      </c>
      <c r="AY2009" s="77"/>
      <c r="AZ2009" s="82" t="s">
        <v>17385</v>
      </c>
      <c r="BA2009" s="82" t="s">
        <v>17385</v>
      </c>
      <c r="BB2009" s="82" t="s">
        <v>17385</v>
      </c>
      <c r="BC2009" s="82" t="s">
        <v>15100</v>
      </c>
      <c r="BD2009" s="82" t="s">
        <v>17612</v>
      </c>
      <c r="BE2009" s="77"/>
      <c r="BF2009" s="77"/>
      <c r="BG2009" s="77"/>
      <c r="BH2009" s="77"/>
      <c r="BI2009" s="77"/>
    </row>
    <row r="2010" spans="1:61" x14ac:dyDescent="0.25">
      <c r="A2010" s="62" t="s">
        <v>549</v>
      </c>
      <c r="B2010" s="62" t="s">
        <v>549</v>
      </c>
      <c r="C2010" s="63"/>
      <c r="D2010" s="64"/>
      <c r="E2010" s="65"/>
      <c r="F2010" s="66"/>
      <c r="G2010" s="63"/>
      <c r="H2010" s="67"/>
      <c r="I2010" s="68"/>
      <c r="J2010" s="68"/>
      <c r="K2010" s="32"/>
      <c r="L2010" s="75">
        <v>2010</v>
      </c>
      <c r="M2010" s="75"/>
      <c r="N2010" s="70"/>
      <c r="O2010" s="77" t="s">
        <v>179</v>
      </c>
      <c r="P2010" s="79">
        <v>45139.977870370371</v>
      </c>
      <c r="Q2010" s="77" t="s">
        <v>2796</v>
      </c>
      <c r="R2010" s="77">
        <v>0</v>
      </c>
      <c r="S2010" s="77">
        <v>1</v>
      </c>
      <c r="T2010" s="77">
        <v>0</v>
      </c>
      <c r="U2010" s="77">
        <v>0</v>
      </c>
      <c r="V2010" s="77">
        <v>54</v>
      </c>
      <c r="W2010" s="82" t="s">
        <v>6131</v>
      </c>
      <c r="X2010" s="80" t="str">
        <f>HYPERLINK("https://economicnewsbrasil.com.br/2023/08/01/mercado-financeiro-dolar-sobe-1269-e-ibovespa-cai-analise-do-mercado-01-08/")</f>
        <v>https://economicnewsbrasil.com.br/2023/08/01/mercado-financeiro-dolar-sobe-1269-e-ibovespa-cai-analise-do-mercado-01-08/</v>
      </c>
      <c r="Y2010" s="77" t="s">
        <v>7053</v>
      </c>
      <c r="Z2010" s="77"/>
      <c r="AA2010" s="77" t="s">
        <v>7985</v>
      </c>
      <c r="AB2010" s="77" t="s">
        <v>8225</v>
      </c>
      <c r="AC2010" s="82" t="s">
        <v>8270</v>
      </c>
      <c r="AD2010" s="77" t="s">
        <v>8278</v>
      </c>
      <c r="AE2010" s="80" t="str">
        <f>HYPERLINK("https://twitter.com/economicnewsbr/status/1686519211034591232")</f>
        <v>https://twitter.com/economicnewsbr/status/1686519211034591232</v>
      </c>
      <c r="AF2010" s="79">
        <v>45139.977870370371</v>
      </c>
      <c r="AG2010" s="85">
        <v>45139</v>
      </c>
      <c r="AH2010" s="82" t="s">
        <v>10102</v>
      </c>
      <c r="AI2010" s="77" t="b">
        <v>0</v>
      </c>
      <c r="AJ2010" s="77"/>
      <c r="AK2010" s="77"/>
      <c r="AL2010" s="77"/>
      <c r="AM2010" s="77"/>
      <c r="AN2010" s="77"/>
      <c r="AO2010" s="77"/>
      <c r="AP2010" s="77"/>
      <c r="AQ2010" s="77" t="s">
        <v>12870</v>
      </c>
      <c r="AR2010" s="77"/>
      <c r="AS2010" s="77"/>
      <c r="AT2010" s="77"/>
      <c r="AU2010" s="77"/>
      <c r="AV2010" s="80" t="str">
        <f>HYPERLINK("https://pbs.twimg.com/media/F2e4SQFWUAASFW5.jpg")</f>
        <v>https://pbs.twimg.com/media/F2e4SQFWUAASFW5.jpg</v>
      </c>
      <c r="AW2010" s="82" t="s">
        <v>15101</v>
      </c>
      <c r="AX2010" s="82" t="s">
        <v>15101</v>
      </c>
      <c r="AY2010" s="77"/>
      <c r="AZ2010" s="82" t="s">
        <v>17385</v>
      </c>
      <c r="BA2010" s="82" t="s">
        <v>17385</v>
      </c>
      <c r="BB2010" s="82" t="s">
        <v>17385</v>
      </c>
      <c r="BC2010" s="82" t="s">
        <v>15101</v>
      </c>
      <c r="BD2010" s="82" t="s">
        <v>17612</v>
      </c>
      <c r="BE2010" s="77"/>
      <c r="BF2010" s="77"/>
      <c r="BG2010" s="77"/>
      <c r="BH2010" s="77"/>
      <c r="BI2010" s="77"/>
    </row>
    <row r="2011" spans="1:61" x14ac:dyDescent="0.25">
      <c r="A2011" s="62" t="s">
        <v>550</v>
      </c>
      <c r="B2011" s="62" t="s">
        <v>550</v>
      </c>
      <c r="C2011" s="63"/>
      <c r="D2011" s="64"/>
      <c r="E2011" s="65"/>
      <c r="F2011" s="66"/>
      <c r="G2011" s="63"/>
      <c r="H2011" s="67"/>
      <c r="I2011" s="68"/>
      <c r="J2011" s="68"/>
      <c r="K2011" s="32"/>
      <c r="L2011" s="75">
        <v>2011</v>
      </c>
      <c r="M2011" s="75"/>
      <c r="N2011" s="70"/>
      <c r="O2011" s="77" t="s">
        <v>179</v>
      </c>
      <c r="P2011" s="79">
        <v>45106.577303240738</v>
      </c>
      <c r="Q2011" s="77" t="s">
        <v>2797</v>
      </c>
      <c r="R2011" s="77">
        <v>0</v>
      </c>
      <c r="S2011" s="77">
        <v>0</v>
      </c>
      <c r="T2011" s="77">
        <v>0</v>
      </c>
      <c r="U2011" s="77">
        <v>0</v>
      </c>
      <c r="V2011" s="77">
        <v>84</v>
      </c>
      <c r="W2011" s="82" t="s">
        <v>6132</v>
      </c>
      <c r="X2011" s="77"/>
      <c r="Y2011" s="77"/>
      <c r="Z2011" s="77"/>
      <c r="AA2011" s="77" t="s">
        <v>7986</v>
      </c>
      <c r="AB2011" s="77" t="s">
        <v>8225</v>
      </c>
      <c r="AC2011" s="82" t="s">
        <v>8234</v>
      </c>
      <c r="AD2011" s="77" t="s">
        <v>8278</v>
      </c>
      <c r="AE2011" s="80" t="str">
        <f>HYPERLINK("https://twitter.com/joselaus/status/1674415252124082176")</f>
        <v>https://twitter.com/joselaus/status/1674415252124082176</v>
      </c>
      <c r="AF2011" s="79">
        <v>45106.577303240738</v>
      </c>
      <c r="AG2011" s="85">
        <v>45106</v>
      </c>
      <c r="AH2011" s="82" t="s">
        <v>10103</v>
      </c>
      <c r="AI2011" s="77" t="b">
        <v>0</v>
      </c>
      <c r="AJ2011" s="77"/>
      <c r="AK2011" s="77"/>
      <c r="AL2011" s="77"/>
      <c r="AM2011" s="77"/>
      <c r="AN2011" s="77"/>
      <c r="AO2011" s="77"/>
      <c r="AP2011" s="77"/>
      <c r="AQ2011" s="77" t="s">
        <v>12871</v>
      </c>
      <c r="AR2011" s="77"/>
      <c r="AS2011" s="77"/>
      <c r="AT2011" s="77"/>
      <c r="AU2011" s="77"/>
      <c r="AV2011" s="80" t="str">
        <f>HYPERLINK("https://pbs.twimg.com/media/Fzy3yaTaIAE6h8U.jpg")</f>
        <v>https://pbs.twimg.com/media/Fzy3yaTaIAE6h8U.jpg</v>
      </c>
      <c r="AW2011" s="82" t="s">
        <v>15102</v>
      </c>
      <c r="AX2011" s="82" t="s">
        <v>15102</v>
      </c>
      <c r="AY2011" s="77"/>
      <c r="AZ2011" s="82" t="s">
        <v>17385</v>
      </c>
      <c r="BA2011" s="82" t="s">
        <v>17385</v>
      </c>
      <c r="BB2011" s="82" t="s">
        <v>17385</v>
      </c>
      <c r="BC2011" s="82" t="s">
        <v>15102</v>
      </c>
      <c r="BD2011" s="82" t="s">
        <v>17613</v>
      </c>
      <c r="BE2011" s="77"/>
      <c r="BF2011" s="77"/>
      <c r="BG2011" s="77"/>
      <c r="BH2011" s="77"/>
      <c r="BI2011" s="77"/>
    </row>
    <row r="2012" spans="1:61" x14ac:dyDescent="0.25">
      <c r="A2012" s="62" t="s">
        <v>551</v>
      </c>
      <c r="B2012" s="62" t="s">
        <v>551</v>
      </c>
      <c r="C2012" s="63"/>
      <c r="D2012" s="64"/>
      <c r="E2012" s="65"/>
      <c r="F2012" s="66"/>
      <c r="G2012" s="63"/>
      <c r="H2012" s="67"/>
      <c r="I2012" s="68"/>
      <c r="J2012" s="68"/>
      <c r="K2012" s="32"/>
      <c r="L2012" s="75">
        <v>2012</v>
      </c>
      <c r="M2012" s="75"/>
      <c r="N2012" s="70"/>
      <c r="O2012" s="77" t="s">
        <v>179</v>
      </c>
      <c r="P2012" s="79">
        <v>45135.444826388892</v>
      </c>
      <c r="Q2012" s="77" t="s">
        <v>2798</v>
      </c>
      <c r="R2012" s="77">
        <v>0</v>
      </c>
      <c r="S2012" s="77">
        <v>5</v>
      </c>
      <c r="T2012" s="77">
        <v>0</v>
      </c>
      <c r="U2012" s="77">
        <v>1</v>
      </c>
      <c r="V2012" s="77">
        <v>5095</v>
      </c>
      <c r="W2012" s="77"/>
      <c r="X2012" s="80" t="str">
        <f>HYPERLINK("http://reut.rs/477SoSK")</f>
        <v>http://reut.rs/477SoSK</v>
      </c>
      <c r="Y2012" s="77" t="s">
        <v>7128</v>
      </c>
      <c r="Z2012" s="77"/>
      <c r="AA2012" s="77" t="s">
        <v>7987</v>
      </c>
      <c r="AB2012" s="77" t="s">
        <v>8225</v>
      </c>
      <c r="AC2012" s="82" t="s">
        <v>8271</v>
      </c>
      <c r="AD2012" s="77" t="s">
        <v>8285</v>
      </c>
      <c r="AE2012" s="80" t="str">
        <f>HYPERLINK("https://twitter.com/reutersworld/status/1684876489383116800")</f>
        <v>https://twitter.com/reutersworld/status/1684876489383116800</v>
      </c>
      <c r="AF2012" s="79">
        <v>45135.444826388892</v>
      </c>
      <c r="AG2012" s="85">
        <v>45135</v>
      </c>
      <c r="AH2012" s="82" t="s">
        <v>10104</v>
      </c>
      <c r="AI2012" s="77" t="b">
        <v>0</v>
      </c>
      <c r="AJ2012" s="77"/>
      <c r="AK2012" s="77"/>
      <c r="AL2012" s="77"/>
      <c r="AM2012" s="77"/>
      <c r="AN2012" s="77"/>
      <c r="AO2012" s="77"/>
      <c r="AP2012" s="77"/>
      <c r="AQ2012" s="77" t="s">
        <v>12872</v>
      </c>
      <c r="AR2012" s="77"/>
      <c r="AS2012" s="77"/>
      <c r="AT2012" s="77"/>
      <c r="AU2012" s="77"/>
      <c r="AV2012" s="80" t="str">
        <f>HYPERLINK("https://pbs.twimg.com/media/F2HiPJ5a0AY9ZjE.jpg")</f>
        <v>https://pbs.twimg.com/media/F2HiPJ5a0AY9ZjE.jpg</v>
      </c>
      <c r="AW2012" s="82" t="s">
        <v>15103</v>
      </c>
      <c r="AX2012" s="82" t="s">
        <v>15103</v>
      </c>
      <c r="AY2012" s="77"/>
      <c r="AZ2012" s="82" t="s">
        <v>17385</v>
      </c>
      <c r="BA2012" s="82" t="s">
        <v>17385</v>
      </c>
      <c r="BB2012" s="82" t="s">
        <v>17385</v>
      </c>
      <c r="BC2012" s="82" t="s">
        <v>15103</v>
      </c>
      <c r="BD2012" s="77">
        <v>335455570</v>
      </c>
      <c r="BE2012" s="77"/>
      <c r="BF2012" s="77"/>
      <c r="BG2012" s="77"/>
      <c r="BH2012" s="77"/>
      <c r="BI2012" s="77"/>
    </row>
    <row r="2013" spans="1:61" x14ac:dyDescent="0.25">
      <c r="A2013" s="62" t="s">
        <v>552</v>
      </c>
      <c r="B2013" s="62" t="s">
        <v>551</v>
      </c>
      <c r="C2013" s="63"/>
      <c r="D2013" s="64"/>
      <c r="E2013" s="65"/>
      <c r="F2013" s="66"/>
      <c r="G2013" s="63"/>
      <c r="H2013" s="67"/>
      <c r="I2013" s="68"/>
      <c r="J2013" s="68"/>
      <c r="K2013" s="32"/>
      <c r="L2013" s="75">
        <v>2013</v>
      </c>
      <c r="M2013" s="75"/>
      <c r="N2013" s="70"/>
      <c r="O2013" s="77" t="s">
        <v>801</v>
      </c>
      <c r="P2013" s="79">
        <v>45135.665891203702</v>
      </c>
      <c r="Q2013" s="77" t="s">
        <v>2799</v>
      </c>
      <c r="R2013" s="77">
        <v>0</v>
      </c>
      <c r="S2013" s="77">
        <v>0</v>
      </c>
      <c r="T2013" s="77">
        <v>0</v>
      </c>
      <c r="U2013" s="77">
        <v>0</v>
      </c>
      <c r="V2013" s="77">
        <v>21</v>
      </c>
      <c r="W2013" s="82" t="s">
        <v>4835</v>
      </c>
      <c r="X2013" s="77"/>
      <c r="Y2013" s="77"/>
      <c r="Z2013" s="77"/>
      <c r="AA2013" s="77"/>
      <c r="AB2013" s="77"/>
      <c r="AC2013" s="82" t="s">
        <v>8233</v>
      </c>
      <c r="AD2013" s="77" t="s">
        <v>8278</v>
      </c>
      <c r="AE2013" s="80" t="str">
        <f>HYPERLINK("https://twitter.com/info_global_/status/1684956600543379456")</f>
        <v>https://twitter.com/info_global_/status/1684956600543379456</v>
      </c>
      <c r="AF2013" s="79">
        <v>45135.665891203702</v>
      </c>
      <c r="AG2013" s="85">
        <v>45135</v>
      </c>
      <c r="AH2013" s="82" t="s">
        <v>10105</v>
      </c>
      <c r="AI2013" s="77"/>
      <c r="AJ2013" s="77"/>
      <c r="AK2013" s="77"/>
      <c r="AL2013" s="77"/>
      <c r="AM2013" s="77"/>
      <c r="AN2013" s="77"/>
      <c r="AO2013" s="77"/>
      <c r="AP2013" s="77"/>
      <c r="AQ2013" s="77"/>
      <c r="AR2013" s="77"/>
      <c r="AS2013" s="77"/>
      <c r="AT2013" s="77"/>
      <c r="AU2013" s="77"/>
      <c r="AV2013" s="80" t="str">
        <f>HYPERLINK("https://pbs.twimg.com/profile_images/1681316087248601095/kIRWJNKp_normal.jpg")</f>
        <v>https://pbs.twimg.com/profile_images/1681316087248601095/kIRWJNKp_normal.jpg</v>
      </c>
      <c r="AW2013" s="82" t="s">
        <v>15104</v>
      </c>
      <c r="AX2013" s="82" t="s">
        <v>15104</v>
      </c>
      <c r="AY2013" s="77"/>
      <c r="AZ2013" s="82" t="s">
        <v>17385</v>
      </c>
      <c r="BA2013" s="82" t="s">
        <v>15103</v>
      </c>
      <c r="BB2013" s="82" t="s">
        <v>17385</v>
      </c>
      <c r="BC2013" s="82" t="s">
        <v>15103</v>
      </c>
      <c r="BD2013" s="82" t="s">
        <v>17614</v>
      </c>
      <c r="BE2013" s="77"/>
      <c r="BF2013" s="77"/>
      <c r="BG2013" s="77"/>
      <c r="BH2013" s="77"/>
      <c r="BI2013" s="77"/>
    </row>
    <row r="2014" spans="1:61" x14ac:dyDescent="0.25">
      <c r="A2014" s="62" t="s">
        <v>553</v>
      </c>
      <c r="B2014" s="62" t="s">
        <v>554</v>
      </c>
      <c r="C2014" s="63"/>
      <c r="D2014" s="64"/>
      <c r="E2014" s="65"/>
      <c r="F2014" s="66"/>
      <c r="G2014" s="63"/>
      <c r="H2014" s="67"/>
      <c r="I2014" s="68"/>
      <c r="J2014" s="68"/>
      <c r="K2014" s="32"/>
      <c r="L2014" s="75">
        <v>2014</v>
      </c>
      <c r="M2014" s="75"/>
      <c r="N2014" s="70"/>
      <c r="O2014" s="77" t="s">
        <v>803</v>
      </c>
      <c r="P2014" s="79">
        <v>45192.140775462962</v>
      </c>
      <c r="Q2014" s="77" t="s">
        <v>2800</v>
      </c>
      <c r="R2014" s="77">
        <v>2</v>
      </c>
      <c r="S2014" s="77">
        <v>0</v>
      </c>
      <c r="T2014" s="77">
        <v>0</v>
      </c>
      <c r="U2014" s="77">
        <v>0</v>
      </c>
      <c r="V2014" s="77"/>
      <c r="W2014" s="82" t="s">
        <v>4855</v>
      </c>
      <c r="X2014" s="77"/>
      <c r="Y2014" s="77"/>
      <c r="Z2014" s="77" t="s">
        <v>554</v>
      </c>
      <c r="AA2014" s="77"/>
      <c r="AB2014" s="77"/>
      <c r="AC2014" s="82" t="s">
        <v>8232</v>
      </c>
      <c r="AD2014" s="77" t="s">
        <v>8278</v>
      </c>
      <c r="AE2014" s="80" t="str">
        <f>HYPERLINK("https://twitter.com/bmp1357/status/1705422415906365588")</f>
        <v>https://twitter.com/bmp1357/status/1705422415906365588</v>
      </c>
      <c r="AF2014" s="79">
        <v>45192.140775462962</v>
      </c>
      <c r="AG2014" s="85">
        <v>45192</v>
      </c>
      <c r="AH2014" s="82" t="s">
        <v>10106</v>
      </c>
      <c r="AI2014" s="77"/>
      <c r="AJ2014" s="77"/>
      <c r="AK2014" s="77"/>
      <c r="AL2014" s="77"/>
      <c r="AM2014" s="77"/>
      <c r="AN2014" s="77"/>
      <c r="AO2014" s="77"/>
      <c r="AP2014" s="77"/>
      <c r="AQ2014" s="77"/>
      <c r="AR2014" s="77"/>
      <c r="AS2014" s="77"/>
      <c r="AT2014" s="77"/>
      <c r="AU2014" s="77"/>
      <c r="AV2014" s="80" t="str">
        <f>HYPERLINK("https://pbs.twimg.com/profile_images/1687474232983212032/AWztRuCy_normal.jpg")</f>
        <v>https://pbs.twimg.com/profile_images/1687474232983212032/AWztRuCy_normal.jpg</v>
      </c>
      <c r="AW2014" s="82" t="s">
        <v>15105</v>
      </c>
      <c r="AX2014" s="82" t="s">
        <v>15105</v>
      </c>
      <c r="AY2014" s="77"/>
      <c r="AZ2014" s="82" t="s">
        <v>17385</v>
      </c>
      <c r="BA2014" s="82" t="s">
        <v>17385</v>
      </c>
      <c r="BB2014" s="82" t="s">
        <v>15106</v>
      </c>
      <c r="BC2014" s="82" t="s">
        <v>15106</v>
      </c>
      <c r="BD2014" s="77">
        <v>283815297</v>
      </c>
      <c r="BE2014" s="77"/>
      <c r="BF2014" s="77"/>
      <c r="BG2014" s="77"/>
      <c r="BH2014" s="77"/>
      <c r="BI2014" s="77"/>
    </row>
    <row r="2015" spans="1:61" x14ac:dyDescent="0.25">
      <c r="A2015" s="62" t="s">
        <v>554</v>
      </c>
      <c r="B2015" s="62" t="s">
        <v>554</v>
      </c>
      <c r="C2015" s="63"/>
      <c r="D2015" s="64"/>
      <c r="E2015" s="65"/>
      <c r="F2015" s="66"/>
      <c r="G2015" s="63"/>
      <c r="H2015" s="67"/>
      <c r="I2015" s="68"/>
      <c r="J2015" s="68"/>
      <c r="K2015" s="32"/>
      <c r="L2015" s="75">
        <v>2015</v>
      </c>
      <c r="M2015" s="75"/>
      <c r="N2015" s="70"/>
      <c r="O2015" s="77" t="s">
        <v>179</v>
      </c>
      <c r="P2015" s="79">
        <v>45191.997893518521</v>
      </c>
      <c r="Q2015" s="77" t="s">
        <v>2801</v>
      </c>
      <c r="R2015" s="77">
        <v>2</v>
      </c>
      <c r="S2015" s="77">
        <v>18</v>
      </c>
      <c r="T2015" s="77">
        <v>4</v>
      </c>
      <c r="U2015" s="77">
        <v>0</v>
      </c>
      <c r="V2015" s="77">
        <v>617</v>
      </c>
      <c r="W2015" s="82" t="s">
        <v>6133</v>
      </c>
      <c r="X2015" s="77"/>
      <c r="Y2015" s="77"/>
      <c r="Z2015" s="77"/>
      <c r="AA2015" s="77" t="s">
        <v>7988</v>
      </c>
      <c r="AB2015" s="77" t="s">
        <v>8225</v>
      </c>
      <c r="AC2015" s="82" t="s">
        <v>8233</v>
      </c>
      <c r="AD2015" s="77" t="s">
        <v>8278</v>
      </c>
      <c r="AE2015" s="80" t="str">
        <f>HYPERLINK("https://twitter.com/ocriptomestre/status/1705370637852668345")</f>
        <v>https://twitter.com/ocriptomestre/status/1705370637852668345</v>
      </c>
      <c r="AF2015" s="79">
        <v>45191.997893518521</v>
      </c>
      <c r="AG2015" s="85">
        <v>45191</v>
      </c>
      <c r="AH2015" s="82" t="s">
        <v>10107</v>
      </c>
      <c r="AI2015" s="77" t="b">
        <v>0</v>
      </c>
      <c r="AJ2015" s="77"/>
      <c r="AK2015" s="77"/>
      <c r="AL2015" s="77"/>
      <c r="AM2015" s="77"/>
      <c r="AN2015" s="77"/>
      <c r="AO2015" s="77"/>
      <c r="AP2015" s="77"/>
      <c r="AQ2015" s="77" t="s">
        <v>12873</v>
      </c>
      <c r="AR2015" s="77"/>
      <c r="AS2015" s="77"/>
      <c r="AT2015" s="77"/>
      <c r="AU2015" s="77"/>
      <c r="AV2015" s="80" t="str">
        <f>HYPERLINK("https://pbs.twimg.com/media/F6qxfdpWkAArBtK.jpg")</f>
        <v>https://pbs.twimg.com/media/F6qxfdpWkAArBtK.jpg</v>
      </c>
      <c r="AW2015" s="82" t="s">
        <v>15106</v>
      </c>
      <c r="AX2015" s="82" t="s">
        <v>15106</v>
      </c>
      <c r="AY2015" s="77"/>
      <c r="AZ2015" s="82" t="s">
        <v>17385</v>
      </c>
      <c r="BA2015" s="82" t="s">
        <v>17385</v>
      </c>
      <c r="BB2015" s="82" t="s">
        <v>17385</v>
      </c>
      <c r="BC2015" s="82" t="s">
        <v>15106</v>
      </c>
      <c r="BD2015" s="82" t="s">
        <v>17615</v>
      </c>
      <c r="BE2015" s="77"/>
      <c r="BF2015" s="77"/>
      <c r="BG2015" s="77"/>
      <c r="BH2015" s="77"/>
      <c r="BI2015" s="77"/>
    </row>
    <row r="2016" spans="1:61" x14ac:dyDescent="0.25">
      <c r="A2016" s="62" t="s">
        <v>555</v>
      </c>
      <c r="B2016" s="62" t="s">
        <v>554</v>
      </c>
      <c r="C2016" s="63"/>
      <c r="D2016" s="64"/>
      <c r="E2016" s="65"/>
      <c r="F2016" s="66"/>
      <c r="G2016" s="63"/>
      <c r="H2016" s="67"/>
      <c r="I2016" s="68"/>
      <c r="J2016" s="68"/>
      <c r="K2016" s="32"/>
      <c r="L2016" s="75">
        <v>2016</v>
      </c>
      <c r="M2016" s="75"/>
      <c r="N2016" s="70"/>
      <c r="O2016" s="77" t="s">
        <v>803</v>
      </c>
      <c r="P2016" s="79">
        <v>45192.961134259262</v>
      </c>
      <c r="Q2016" s="77" t="s">
        <v>2800</v>
      </c>
      <c r="R2016" s="77">
        <v>2</v>
      </c>
      <c r="S2016" s="77">
        <v>0</v>
      </c>
      <c r="T2016" s="77">
        <v>0</v>
      </c>
      <c r="U2016" s="77">
        <v>0</v>
      </c>
      <c r="V2016" s="77"/>
      <c r="W2016" s="82" t="s">
        <v>4855</v>
      </c>
      <c r="X2016" s="77"/>
      <c r="Y2016" s="77"/>
      <c r="Z2016" s="77" t="s">
        <v>554</v>
      </c>
      <c r="AA2016" s="77"/>
      <c r="AB2016" s="77"/>
      <c r="AC2016" s="82" t="s">
        <v>8233</v>
      </c>
      <c r="AD2016" s="77" t="s">
        <v>8278</v>
      </c>
      <c r="AE2016" s="80" t="str">
        <f>HYPERLINK("https://twitter.com/criptomestres/status/1705719700850688047")</f>
        <v>https://twitter.com/criptomestres/status/1705719700850688047</v>
      </c>
      <c r="AF2016" s="79">
        <v>45192.961134259262</v>
      </c>
      <c r="AG2016" s="85">
        <v>45192</v>
      </c>
      <c r="AH2016" s="82" t="s">
        <v>10108</v>
      </c>
      <c r="AI2016" s="77"/>
      <c r="AJ2016" s="77"/>
      <c r="AK2016" s="77"/>
      <c r="AL2016" s="77"/>
      <c r="AM2016" s="77"/>
      <c r="AN2016" s="77"/>
      <c r="AO2016" s="77"/>
      <c r="AP2016" s="77"/>
      <c r="AQ2016" s="77"/>
      <c r="AR2016" s="77"/>
      <c r="AS2016" s="77"/>
      <c r="AT2016" s="77"/>
      <c r="AU2016" s="77"/>
      <c r="AV2016" s="80" t="str">
        <f>HYPERLINK("https://pbs.twimg.com/profile_images/1705960523135660033/LM7s3iDX_normal.jpg")</f>
        <v>https://pbs.twimg.com/profile_images/1705960523135660033/LM7s3iDX_normal.jpg</v>
      </c>
      <c r="AW2016" s="82" t="s">
        <v>15107</v>
      </c>
      <c r="AX2016" s="82" t="s">
        <v>15107</v>
      </c>
      <c r="AY2016" s="77"/>
      <c r="AZ2016" s="82" t="s">
        <v>17385</v>
      </c>
      <c r="BA2016" s="82" t="s">
        <v>17385</v>
      </c>
      <c r="BB2016" s="82" t="s">
        <v>15106</v>
      </c>
      <c r="BC2016" s="82" t="s">
        <v>15106</v>
      </c>
      <c r="BD2016" s="82" t="s">
        <v>17616</v>
      </c>
      <c r="BE2016" s="77"/>
      <c r="BF2016" s="77"/>
      <c r="BG2016" s="77"/>
      <c r="BH2016" s="77"/>
      <c r="BI2016" s="77"/>
    </row>
    <row r="2017" spans="1:61" x14ac:dyDescent="0.25">
      <c r="A2017" s="62" t="s">
        <v>556</v>
      </c>
      <c r="B2017" s="62" t="s">
        <v>556</v>
      </c>
      <c r="C2017" s="63"/>
      <c r="D2017" s="64"/>
      <c r="E2017" s="65"/>
      <c r="F2017" s="66"/>
      <c r="G2017" s="63"/>
      <c r="H2017" s="67"/>
      <c r="I2017" s="68"/>
      <c r="J2017" s="68"/>
      <c r="K2017" s="32"/>
      <c r="L2017" s="75">
        <v>2017</v>
      </c>
      <c r="M2017" s="75"/>
      <c r="N2017" s="70"/>
      <c r="O2017" s="77" t="s">
        <v>179</v>
      </c>
      <c r="P2017" s="79">
        <v>45097.685277777775</v>
      </c>
      <c r="Q2017" s="77" t="s">
        <v>2802</v>
      </c>
      <c r="R2017" s="77">
        <v>0</v>
      </c>
      <c r="S2017" s="77">
        <v>1</v>
      </c>
      <c r="T2017" s="77">
        <v>0</v>
      </c>
      <c r="U2017" s="77">
        <v>0</v>
      </c>
      <c r="V2017" s="77">
        <v>12</v>
      </c>
      <c r="W2017" s="82" t="s">
        <v>6134</v>
      </c>
      <c r="X2017" s="77"/>
      <c r="Y2017" s="77"/>
      <c r="Z2017" s="77"/>
      <c r="AA2017" s="77" t="s">
        <v>7989</v>
      </c>
      <c r="AB2017" s="77" t="s">
        <v>8225</v>
      </c>
      <c r="AC2017" s="82" t="s">
        <v>8233</v>
      </c>
      <c r="AD2017" s="77" t="s">
        <v>8278</v>
      </c>
      <c r="AE2017" s="80" t="str">
        <f>HYPERLINK("https://twitter.com/peritofinanc/status/1671192890142339086")</f>
        <v>https://twitter.com/peritofinanc/status/1671192890142339086</v>
      </c>
      <c r="AF2017" s="79">
        <v>45097.685277777775</v>
      </c>
      <c r="AG2017" s="85">
        <v>45097</v>
      </c>
      <c r="AH2017" s="82" t="s">
        <v>10109</v>
      </c>
      <c r="AI2017" s="77" t="b">
        <v>0</v>
      </c>
      <c r="AJ2017" s="77"/>
      <c r="AK2017" s="77"/>
      <c r="AL2017" s="77"/>
      <c r="AM2017" s="77"/>
      <c r="AN2017" s="77"/>
      <c r="AO2017" s="77"/>
      <c r="AP2017" s="77"/>
      <c r="AQ2017" s="77" t="s">
        <v>12874</v>
      </c>
      <c r="AR2017" s="77"/>
      <c r="AS2017" s="77"/>
      <c r="AT2017" s="77"/>
      <c r="AU2017" s="77"/>
      <c r="AV2017" s="80" t="str">
        <f>HYPERLINK("https://pbs.twimg.com/media/FzFFExhX0AIscl6.jpg")</f>
        <v>https://pbs.twimg.com/media/FzFFExhX0AIscl6.jpg</v>
      </c>
      <c r="AW2017" s="82" t="s">
        <v>15108</v>
      </c>
      <c r="AX2017" s="82" t="s">
        <v>15108</v>
      </c>
      <c r="AY2017" s="77"/>
      <c r="AZ2017" s="82" t="s">
        <v>17385</v>
      </c>
      <c r="BA2017" s="82" t="s">
        <v>17385</v>
      </c>
      <c r="BB2017" s="82" t="s">
        <v>17385</v>
      </c>
      <c r="BC2017" s="82" t="s">
        <v>15108</v>
      </c>
      <c r="BD2017" s="82" t="s">
        <v>17617</v>
      </c>
      <c r="BE2017" s="77"/>
      <c r="BF2017" s="77"/>
      <c r="BG2017" s="77"/>
      <c r="BH2017" s="77"/>
      <c r="BI2017" s="77"/>
    </row>
    <row r="2018" spans="1:61" x14ac:dyDescent="0.25">
      <c r="A2018" s="62" t="s">
        <v>557</v>
      </c>
      <c r="B2018" s="62" t="s">
        <v>731</v>
      </c>
      <c r="C2018" s="63"/>
      <c r="D2018" s="64"/>
      <c r="E2018" s="65"/>
      <c r="F2018" s="66"/>
      <c r="G2018" s="63"/>
      <c r="H2018" s="67"/>
      <c r="I2018" s="68"/>
      <c r="J2018" s="68"/>
      <c r="K2018" s="32"/>
      <c r="L2018" s="75">
        <v>2018</v>
      </c>
      <c r="M2018" s="75"/>
      <c r="N2018" s="70"/>
      <c r="O2018" s="77" t="s">
        <v>802</v>
      </c>
      <c r="P2018" s="79">
        <v>45054.001145833332</v>
      </c>
      <c r="Q2018" s="77" t="s">
        <v>2803</v>
      </c>
      <c r="R2018" s="77">
        <v>0</v>
      </c>
      <c r="S2018" s="77">
        <v>2</v>
      </c>
      <c r="T2018" s="77">
        <v>0</v>
      </c>
      <c r="U2018" s="77">
        <v>0</v>
      </c>
      <c r="V2018" s="77">
        <v>62</v>
      </c>
      <c r="W2018" s="82" t="s">
        <v>6135</v>
      </c>
      <c r="X2018" s="80" t="str">
        <f>HYPERLINK("https://youtu.be/j9nM0pUAmK0")</f>
        <v>https://youtu.be/j9nM0pUAmK0</v>
      </c>
      <c r="Y2018" s="77" t="s">
        <v>7064</v>
      </c>
      <c r="Z2018" s="77" t="s">
        <v>731</v>
      </c>
      <c r="AA2018" s="77"/>
      <c r="AB2018" s="77"/>
      <c r="AC2018" s="82" t="s">
        <v>8232</v>
      </c>
      <c r="AD2018" s="77" t="s">
        <v>8278</v>
      </c>
      <c r="AE2018" s="80" t="str">
        <f>HYPERLINK("https://twitter.com/lucaspereira_ef/status/1655362287941611521")</f>
        <v>https://twitter.com/lucaspereira_ef/status/1655362287941611521</v>
      </c>
      <c r="AF2018" s="79">
        <v>45054.001145833332</v>
      </c>
      <c r="AG2018" s="85">
        <v>45054</v>
      </c>
      <c r="AH2018" s="82" t="s">
        <v>10110</v>
      </c>
      <c r="AI2018" s="77" t="b">
        <v>0</v>
      </c>
      <c r="AJ2018" s="77"/>
      <c r="AK2018" s="77"/>
      <c r="AL2018" s="77"/>
      <c r="AM2018" s="77"/>
      <c r="AN2018" s="77"/>
      <c r="AO2018" s="77"/>
      <c r="AP2018" s="77"/>
      <c r="AQ2018" s="77"/>
      <c r="AR2018" s="77"/>
      <c r="AS2018" s="77"/>
      <c r="AT2018" s="77"/>
      <c r="AU2018" s="77"/>
      <c r="AV2018" s="80" t="str">
        <f>HYPERLINK("https://pbs.twimg.com/profile_images/1628185029837832193/Qb7BI_Jj_normal.jpg")</f>
        <v>https://pbs.twimg.com/profile_images/1628185029837832193/Qb7BI_Jj_normal.jpg</v>
      </c>
      <c r="AW2018" s="82" t="s">
        <v>15109</v>
      </c>
      <c r="AX2018" s="82" t="s">
        <v>15109</v>
      </c>
      <c r="AY2018" s="77"/>
      <c r="AZ2018" s="82" t="s">
        <v>17385</v>
      </c>
      <c r="BA2018" s="82" t="s">
        <v>17385</v>
      </c>
      <c r="BB2018" s="82" t="s">
        <v>17385</v>
      </c>
      <c r="BC2018" s="82" t="s">
        <v>15109</v>
      </c>
      <c r="BD2018" s="82" t="s">
        <v>17618</v>
      </c>
      <c r="BE2018" s="77"/>
      <c r="BF2018" s="77"/>
      <c r="BG2018" s="77"/>
      <c r="BH2018" s="77"/>
      <c r="BI2018" s="77"/>
    </row>
    <row r="2019" spans="1:61" x14ac:dyDescent="0.25">
      <c r="A2019" s="62" t="s">
        <v>557</v>
      </c>
      <c r="B2019" s="62" t="s">
        <v>731</v>
      </c>
      <c r="C2019" s="63"/>
      <c r="D2019" s="64"/>
      <c r="E2019" s="65"/>
      <c r="F2019" s="66"/>
      <c r="G2019" s="63"/>
      <c r="H2019" s="67"/>
      <c r="I2019" s="68"/>
      <c r="J2019" s="68"/>
      <c r="K2019" s="32"/>
      <c r="L2019" s="75">
        <v>2019</v>
      </c>
      <c r="M2019" s="75"/>
      <c r="N2019" s="70"/>
      <c r="O2019" s="77" t="s">
        <v>802</v>
      </c>
      <c r="P2019" s="79">
        <v>45060.999131944445</v>
      </c>
      <c r="Q2019" s="77" t="s">
        <v>2804</v>
      </c>
      <c r="R2019" s="77">
        <v>0</v>
      </c>
      <c r="S2019" s="77">
        <v>1</v>
      </c>
      <c r="T2019" s="77">
        <v>0</v>
      </c>
      <c r="U2019" s="77">
        <v>0</v>
      </c>
      <c r="V2019" s="77">
        <v>16</v>
      </c>
      <c r="W2019" s="82" t="s">
        <v>6136</v>
      </c>
      <c r="X2019" s="80" t="str">
        <f>HYPERLINK("https://youtu.be/mhRRfZz9tek")</f>
        <v>https://youtu.be/mhRRfZz9tek</v>
      </c>
      <c r="Y2019" s="77" t="s">
        <v>7064</v>
      </c>
      <c r="Z2019" s="77" t="s">
        <v>731</v>
      </c>
      <c r="AA2019" s="77"/>
      <c r="AB2019" s="77"/>
      <c r="AC2019" s="82" t="s">
        <v>8232</v>
      </c>
      <c r="AD2019" s="77" t="s">
        <v>8278</v>
      </c>
      <c r="AE2019" s="80" t="str">
        <f>HYPERLINK("https://twitter.com/lucaspereira_ef/status/1657898273284259840")</f>
        <v>https://twitter.com/lucaspereira_ef/status/1657898273284259840</v>
      </c>
      <c r="AF2019" s="79">
        <v>45060.999131944445</v>
      </c>
      <c r="AG2019" s="85">
        <v>45060</v>
      </c>
      <c r="AH2019" s="82" t="s">
        <v>10111</v>
      </c>
      <c r="AI2019" s="77" t="b">
        <v>0</v>
      </c>
      <c r="AJ2019" s="77"/>
      <c r="AK2019" s="77"/>
      <c r="AL2019" s="77"/>
      <c r="AM2019" s="77"/>
      <c r="AN2019" s="77"/>
      <c r="AO2019" s="77"/>
      <c r="AP2019" s="77"/>
      <c r="AQ2019" s="77"/>
      <c r="AR2019" s="77"/>
      <c r="AS2019" s="77"/>
      <c r="AT2019" s="77"/>
      <c r="AU2019" s="77"/>
      <c r="AV2019" s="80" t="str">
        <f>HYPERLINK("https://pbs.twimg.com/profile_images/1628185029837832193/Qb7BI_Jj_normal.jpg")</f>
        <v>https://pbs.twimg.com/profile_images/1628185029837832193/Qb7BI_Jj_normal.jpg</v>
      </c>
      <c r="AW2019" s="82" t="s">
        <v>15110</v>
      </c>
      <c r="AX2019" s="82" t="s">
        <v>15110</v>
      </c>
      <c r="AY2019" s="77"/>
      <c r="AZ2019" s="82" t="s">
        <v>17385</v>
      </c>
      <c r="BA2019" s="82" t="s">
        <v>17385</v>
      </c>
      <c r="BB2019" s="82" t="s">
        <v>17385</v>
      </c>
      <c r="BC2019" s="82" t="s">
        <v>15110</v>
      </c>
      <c r="BD2019" s="82" t="s">
        <v>17618</v>
      </c>
      <c r="BE2019" s="77"/>
      <c r="BF2019" s="77"/>
      <c r="BG2019" s="77"/>
      <c r="BH2019" s="77"/>
      <c r="BI2019" s="77"/>
    </row>
    <row r="2020" spans="1:61" x14ac:dyDescent="0.25">
      <c r="A2020" s="62" t="s">
        <v>557</v>
      </c>
      <c r="B2020" s="62" t="s">
        <v>731</v>
      </c>
      <c r="C2020" s="63"/>
      <c r="D2020" s="64"/>
      <c r="E2020" s="65"/>
      <c r="F2020" s="66"/>
      <c r="G2020" s="63"/>
      <c r="H2020" s="67"/>
      <c r="I2020" s="68"/>
      <c r="J2020" s="68"/>
      <c r="K2020" s="32"/>
      <c r="L2020" s="75">
        <v>2020</v>
      </c>
      <c r="M2020" s="75"/>
      <c r="N2020" s="70"/>
      <c r="O2020" s="77" t="s">
        <v>802</v>
      </c>
      <c r="P2020" s="79">
        <v>45081.99827546296</v>
      </c>
      <c r="Q2020" s="77" t="s">
        <v>2805</v>
      </c>
      <c r="R2020" s="77">
        <v>0</v>
      </c>
      <c r="S2020" s="77">
        <v>1</v>
      </c>
      <c r="T2020" s="77">
        <v>0</v>
      </c>
      <c r="U2020" s="77">
        <v>0</v>
      </c>
      <c r="V2020" s="77">
        <v>25</v>
      </c>
      <c r="W2020" s="82" t="s">
        <v>6137</v>
      </c>
      <c r="X2020" s="80" t="str">
        <f>HYPERLINK("https://youtu.be/jffXr_iWUiY")</f>
        <v>https://youtu.be/jffXr_iWUiY</v>
      </c>
      <c r="Y2020" s="77" t="s">
        <v>7064</v>
      </c>
      <c r="Z2020" s="77" t="s">
        <v>731</v>
      </c>
      <c r="AA2020" s="77"/>
      <c r="AB2020" s="77"/>
      <c r="AC2020" s="82" t="s">
        <v>8232</v>
      </c>
      <c r="AD2020" s="77" t="s">
        <v>8278</v>
      </c>
      <c r="AE2020" s="80" t="str">
        <f>HYPERLINK("https://twitter.com/lucaspereira_ef/status/1665508110570594304")</f>
        <v>https://twitter.com/lucaspereira_ef/status/1665508110570594304</v>
      </c>
      <c r="AF2020" s="79">
        <v>45081.99827546296</v>
      </c>
      <c r="AG2020" s="85">
        <v>45081</v>
      </c>
      <c r="AH2020" s="82" t="s">
        <v>10112</v>
      </c>
      <c r="AI2020" s="77" t="b">
        <v>0</v>
      </c>
      <c r="AJ2020" s="77"/>
      <c r="AK2020" s="77"/>
      <c r="AL2020" s="77"/>
      <c r="AM2020" s="77"/>
      <c r="AN2020" s="77"/>
      <c r="AO2020" s="77"/>
      <c r="AP2020" s="77"/>
      <c r="AQ2020" s="77"/>
      <c r="AR2020" s="77"/>
      <c r="AS2020" s="77"/>
      <c r="AT2020" s="77"/>
      <c r="AU2020" s="77"/>
      <c r="AV2020" s="80" t="str">
        <f>HYPERLINK("https://pbs.twimg.com/profile_images/1628185029837832193/Qb7BI_Jj_normal.jpg")</f>
        <v>https://pbs.twimg.com/profile_images/1628185029837832193/Qb7BI_Jj_normal.jpg</v>
      </c>
      <c r="AW2020" s="82" t="s">
        <v>15111</v>
      </c>
      <c r="AX2020" s="82" t="s">
        <v>15111</v>
      </c>
      <c r="AY2020" s="77"/>
      <c r="AZ2020" s="82" t="s">
        <v>17385</v>
      </c>
      <c r="BA2020" s="82" t="s">
        <v>17385</v>
      </c>
      <c r="BB2020" s="82" t="s">
        <v>17385</v>
      </c>
      <c r="BC2020" s="82" t="s">
        <v>15111</v>
      </c>
      <c r="BD2020" s="82" t="s">
        <v>17618</v>
      </c>
      <c r="BE2020" s="77"/>
      <c r="BF2020" s="77"/>
      <c r="BG2020" s="77"/>
      <c r="BH2020" s="77"/>
      <c r="BI2020" s="77"/>
    </row>
    <row r="2021" spans="1:61" x14ac:dyDescent="0.25">
      <c r="A2021" s="62" t="s">
        <v>557</v>
      </c>
      <c r="B2021" s="62" t="s">
        <v>731</v>
      </c>
      <c r="C2021" s="63"/>
      <c r="D2021" s="64"/>
      <c r="E2021" s="65"/>
      <c r="F2021" s="66"/>
      <c r="G2021" s="63"/>
      <c r="H2021" s="67"/>
      <c r="I2021" s="68"/>
      <c r="J2021" s="68"/>
      <c r="K2021" s="32"/>
      <c r="L2021" s="75">
        <v>2021</v>
      </c>
      <c r="M2021" s="75"/>
      <c r="N2021" s="70"/>
      <c r="O2021" s="77" t="s">
        <v>802</v>
      </c>
      <c r="P2021" s="79">
        <v>45093.042280092595</v>
      </c>
      <c r="Q2021" s="77" t="s">
        <v>2806</v>
      </c>
      <c r="R2021" s="77">
        <v>0</v>
      </c>
      <c r="S2021" s="77">
        <v>1</v>
      </c>
      <c r="T2021" s="77">
        <v>0</v>
      </c>
      <c r="U2021" s="77">
        <v>0</v>
      </c>
      <c r="V2021" s="77">
        <v>52</v>
      </c>
      <c r="W2021" s="82" t="s">
        <v>6138</v>
      </c>
      <c r="X2021" s="80" t="str">
        <f>HYPERLINK("https://youtu.be/DqFMnjfHn2w")</f>
        <v>https://youtu.be/DqFMnjfHn2w</v>
      </c>
      <c r="Y2021" s="77" t="s">
        <v>7064</v>
      </c>
      <c r="Z2021" s="77" t="s">
        <v>731</v>
      </c>
      <c r="AA2021" s="77"/>
      <c r="AB2021" s="77"/>
      <c r="AC2021" s="82" t="s">
        <v>8232</v>
      </c>
      <c r="AD2021" s="77" t="s">
        <v>8278</v>
      </c>
      <c r="AE2021" s="80" t="str">
        <f>HYPERLINK("https://twitter.com/lucaspereira_ef/status/1669510324058243075")</f>
        <v>https://twitter.com/lucaspereira_ef/status/1669510324058243075</v>
      </c>
      <c r="AF2021" s="79">
        <v>45093.042280092595</v>
      </c>
      <c r="AG2021" s="85">
        <v>45093</v>
      </c>
      <c r="AH2021" s="82" t="s">
        <v>10113</v>
      </c>
      <c r="AI2021" s="77" t="b">
        <v>0</v>
      </c>
      <c r="AJ2021" s="77"/>
      <c r="AK2021" s="77"/>
      <c r="AL2021" s="77"/>
      <c r="AM2021" s="77"/>
      <c r="AN2021" s="77"/>
      <c r="AO2021" s="77"/>
      <c r="AP2021" s="77"/>
      <c r="AQ2021" s="77"/>
      <c r="AR2021" s="77"/>
      <c r="AS2021" s="77"/>
      <c r="AT2021" s="77"/>
      <c r="AU2021" s="77"/>
      <c r="AV2021" s="80" t="str">
        <f>HYPERLINK("https://pbs.twimg.com/profile_images/1628185029837832193/Qb7BI_Jj_normal.jpg")</f>
        <v>https://pbs.twimg.com/profile_images/1628185029837832193/Qb7BI_Jj_normal.jpg</v>
      </c>
      <c r="AW2021" s="82" t="s">
        <v>15112</v>
      </c>
      <c r="AX2021" s="82" t="s">
        <v>15112</v>
      </c>
      <c r="AY2021" s="77"/>
      <c r="AZ2021" s="82" t="s">
        <v>17385</v>
      </c>
      <c r="BA2021" s="82" t="s">
        <v>17385</v>
      </c>
      <c r="BB2021" s="82" t="s">
        <v>17385</v>
      </c>
      <c r="BC2021" s="82" t="s">
        <v>15112</v>
      </c>
      <c r="BD2021" s="82" t="s">
        <v>17618</v>
      </c>
      <c r="BE2021" s="77"/>
      <c r="BF2021" s="77"/>
      <c r="BG2021" s="77"/>
      <c r="BH2021" s="77"/>
      <c r="BI2021" s="77"/>
    </row>
    <row r="2022" spans="1:61" x14ac:dyDescent="0.25">
      <c r="A2022" s="62" t="s">
        <v>557</v>
      </c>
      <c r="B2022" s="62" t="s">
        <v>731</v>
      </c>
      <c r="C2022" s="63"/>
      <c r="D2022" s="64"/>
      <c r="E2022" s="65"/>
      <c r="F2022" s="66"/>
      <c r="G2022" s="63"/>
      <c r="H2022" s="67"/>
      <c r="I2022" s="68"/>
      <c r="J2022" s="68"/>
      <c r="K2022" s="32"/>
      <c r="L2022" s="75">
        <v>2022</v>
      </c>
      <c r="M2022" s="75"/>
      <c r="N2022" s="70"/>
      <c r="O2022" s="77" t="s">
        <v>802</v>
      </c>
      <c r="P2022" s="79">
        <v>45086.007291666669</v>
      </c>
      <c r="Q2022" s="77" t="s">
        <v>2807</v>
      </c>
      <c r="R2022" s="77">
        <v>0</v>
      </c>
      <c r="S2022" s="77">
        <v>1</v>
      </c>
      <c r="T2022" s="77">
        <v>0</v>
      </c>
      <c r="U2022" s="77">
        <v>0</v>
      </c>
      <c r="V2022" s="77">
        <v>25</v>
      </c>
      <c r="W2022" s="82" t="s">
        <v>6139</v>
      </c>
      <c r="X2022" s="80" t="str">
        <f>HYPERLINK("https://youtu.be/8UQkA_uSFmA")</f>
        <v>https://youtu.be/8UQkA_uSFmA</v>
      </c>
      <c r="Y2022" s="77" t="s">
        <v>7064</v>
      </c>
      <c r="Z2022" s="77" t="s">
        <v>731</v>
      </c>
      <c r="AA2022" s="77"/>
      <c r="AB2022" s="77"/>
      <c r="AC2022" s="82" t="s">
        <v>8232</v>
      </c>
      <c r="AD2022" s="77" t="s">
        <v>8278</v>
      </c>
      <c r="AE2022" s="80" t="str">
        <f>HYPERLINK("https://twitter.com/lucaspereira_ef/status/1666960927445381120")</f>
        <v>https://twitter.com/lucaspereira_ef/status/1666960927445381120</v>
      </c>
      <c r="AF2022" s="79">
        <v>45086.007291666669</v>
      </c>
      <c r="AG2022" s="85">
        <v>45086</v>
      </c>
      <c r="AH2022" s="82" t="s">
        <v>10114</v>
      </c>
      <c r="AI2022" s="77" t="b">
        <v>0</v>
      </c>
      <c r="AJ2022" s="77"/>
      <c r="AK2022" s="77"/>
      <c r="AL2022" s="77"/>
      <c r="AM2022" s="77"/>
      <c r="AN2022" s="77"/>
      <c r="AO2022" s="77"/>
      <c r="AP2022" s="77"/>
      <c r="AQ2022" s="77"/>
      <c r="AR2022" s="77"/>
      <c r="AS2022" s="77"/>
      <c r="AT2022" s="77"/>
      <c r="AU2022" s="77"/>
      <c r="AV2022" s="80" t="str">
        <f>HYPERLINK("https://pbs.twimg.com/profile_images/1628185029837832193/Qb7BI_Jj_normal.jpg")</f>
        <v>https://pbs.twimg.com/profile_images/1628185029837832193/Qb7BI_Jj_normal.jpg</v>
      </c>
      <c r="AW2022" s="82" t="s">
        <v>15113</v>
      </c>
      <c r="AX2022" s="82" t="s">
        <v>15113</v>
      </c>
      <c r="AY2022" s="77"/>
      <c r="AZ2022" s="82" t="s">
        <v>17385</v>
      </c>
      <c r="BA2022" s="82" t="s">
        <v>17385</v>
      </c>
      <c r="BB2022" s="82" t="s">
        <v>17385</v>
      </c>
      <c r="BC2022" s="82" t="s">
        <v>15113</v>
      </c>
      <c r="BD2022" s="82" t="s">
        <v>17618</v>
      </c>
      <c r="BE2022" s="77"/>
      <c r="BF2022" s="77"/>
      <c r="BG2022" s="77"/>
      <c r="BH2022" s="77"/>
      <c r="BI2022" s="77"/>
    </row>
    <row r="2023" spans="1:61" x14ac:dyDescent="0.25">
      <c r="A2023" s="62" t="s">
        <v>557</v>
      </c>
      <c r="B2023" s="62" t="s">
        <v>731</v>
      </c>
      <c r="C2023" s="63"/>
      <c r="D2023" s="64"/>
      <c r="E2023" s="65"/>
      <c r="F2023" s="66"/>
      <c r="G2023" s="63"/>
      <c r="H2023" s="67"/>
      <c r="I2023" s="68"/>
      <c r="J2023" s="68"/>
      <c r="K2023" s="32"/>
      <c r="L2023" s="75">
        <v>2023</v>
      </c>
      <c r="M2023" s="75"/>
      <c r="N2023" s="70"/>
      <c r="O2023" s="77" t="s">
        <v>802</v>
      </c>
      <c r="P2023" s="79">
        <v>45051.04347222222</v>
      </c>
      <c r="Q2023" s="77" t="s">
        <v>2808</v>
      </c>
      <c r="R2023" s="77">
        <v>0</v>
      </c>
      <c r="S2023" s="77">
        <v>1</v>
      </c>
      <c r="T2023" s="77">
        <v>0</v>
      </c>
      <c r="U2023" s="77">
        <v>0</v>
      </c>
      <c r="V2023" s="77">
        <v>11</v>
      </c>
      <c r="W2023" s="82" t="s">
        <v>6140</v>
      </c>
      <c r="X2023" s="80" t="str">
        <f>HYPERLINK("https://youtu.be/vioXXj6GDAs")</f>
        <v>https://youtu.be/vioXXj6GDAs</v>
      </c>
      <c r="Y2023" s="77" t="s">
        <v>7064</v>
      </c>
      <c r="Z2023" s="77" t="s">
        <v>731</v>
      </c>
      <c r="AA2023" s="77"/>
      <c r="AB2023" s="77"/>
      <c r="AC2023" s="82" t="s">
        <v>8232</v>
      </c>
      <c r="AD2023" s="77" t="s">
        <v>8278</v>
      </c>
      <c r="AE2023" s="80" t="str">
        <f>HYPERLINK("https://twitter.com/lucaspereira_ef/status/1654290464873299970")</f>
        <v>https://twitter.com/lucaspereira_ef/status/1654290464873299970</v>
      </c>
      <c r="AF2023" s="79">
        <v>45051.04347222222</v>
      </c>
      <c r="AG2023" s="85">
        <v>45051</v>
      </c>
      <c r="AH2023" s="82" t="s">
        <v>10115</v>
      </c>
      <c r="AI2023" s="77" t="b">
        <v>0</v>
      </c>
      <c r="AJ2023" s="77"/>
      <c r="AK2023" s="77"/>
      <c r="AL2023" s="77"/>
      <c r="AM2023" s="77"/>
      <c r="AN2023" s="77"/>
      <c r="AO2023" s="77"/>
      <c r="AP2023" s="77"/>
      <c r="AQ2023" s="77"/>
      <c r="AR2023" s="77"/>
      <c r="AS2023" s="77"/>
      <c r="AT2023" s="77"/>
      <c r="AU2023" s="77"/>
      <c r="AV2023" s="80" t="str">
        <f>HYPERLINK("https://pbs.twimg.com/profile_images/1628185029837832193/Qb7BI_Jj_normal.jpg")</f>
        <v>https://pbs.twimg.com/profile_images/1628185029837832193/Qb7BI_Jj_normal.jpg</v>
      </c>
      <c r="AW2023" s="82" t="s">
        <v>15114</v>
      </c>
      <c r="AX2023" s="82" t="s">
        <v>15114</v>
      </c>
      <c r="AY2023" s="77"/>
      <c r="AZ2023" s="82" t="s">
        <v>17385</v>
      </c>
      <c r="BA2023" s="82" t="s">
        <v>17385</v>
      </c>
      <c r="BB2023" s="82" t="s">
        <v>17385</v>
      </c>
      <c r="BC2023" s="82" t="s">
        <v>15114</v>
      </c>
      <c r="BD2023" s="82" t="s">
        <v>17618</v>
      </c>
      <c r="BE2023" s="77"/>
      <c r="BF2023" s="77"/>
      <c r="BG2023" s="77"/>
      <c r="BH2023" s="77"/>
      <c r="BI2023" s="77"/>
    </row>
    <row r="2024" spans="1:61" x14ac:dyDescent="0.25">
      <c r="A2024" s="62" t="s">
        <v>557</v>
      </c>
      <c r="B2024" s="62" t="s">
        <v>557</v>
      </c>
      <c r="C2024" s="63"/>
      <c r="D2024" s="64"/>
      <c r="E2024" s="65"/>
      <c r="F2024" s="66"/>
      <c r="G2024" s="63"/>
      <c r="H2024" s="67"/>
      <c r="I2024" s="68"/>
      <c r="J2024" s="68"/>
      <c r="K2024" s="32"/>
      <c r="L2024" s="75">
        <v>2024</v>
      </c>
      <c r="M2024" s="75"/>
      <c r="N2024" s="70"/>
      <c r="O2024" s="77" t="s">
        <v>179</v>
      </c>
      <c r="P2024" s="79">
        <v>45163.01258101852</v>
      </c>
      <c r="Q2024" s="77" t="s">
        <v>2809</v>
      </c>
      <c r="R2024" s="77">
        <v>0</v>
      </c>
      <c r="S2024" s="77">
        <v>1</v>
      </c>
      <c r="T2024" s="77">
        <v>0</v>
      </c>
      <c r="U2024" s="77">
        <v>0</v>
      </c>
      <c r="V2024" s="77">
        <v>33</v>
      </c>
      <c r="W2024" s="82" t="s">
        <v>6141</v>
      </c>
      <c r="X2024" s="80" t="str">
        <f>HYPERLINK("https://youtu.be/uKX_ljPsFFE?si=9iLTdX6i8QLAb7dy")</f>
        <v>https://youtu.be/uKX_ljPsFFE?si=9iLTdX6i8QLAb7dy</v>
      </c>
      <c r="Y2024" s="77" t="s">
        <v>7064</v>
      </c>
      <c r="Z2024" s="77"/>
      <c r="AA2024" s="77"/>
      <c r="AB2024" s="77"/>
      <c r="AC2024" s="82" t="s">
        <v>8232</v>
      </c>
      <c r="AD2024" s="77" t="s">
        <v>8278</v>
      </c>
      <c r="AE2024" s="80" t="str">
        <f>HYPERLINK("https://twitter.com/lucaspereira_ef/status/1694866710019309643")</f>
        <v>https://twitter.com/lucaspereira_ef/status/1694866710019309643</v>
      </c>
      <c r="AF2024" s="79">
        <v>45163.01258101852</v>
      </c>
      <c r="AG2024" s="85">
        <v>45163</v>
      </c>
      <c r="AH2024" s="82" t="s">
        <v>10116</v>
      </c>
      <c r="AI2024" s="77" t="b">
        <v>0</v>
      </c>
      <c r="AJ2024" s="77"/>
      <c r="AK2024" s="77"/>
      <c r="AL2024" s="77"/>
      <c r="AM2024" s="77"/>
      <c r="AN2024" s="77"/>
      <c r="AO2024" s="77"/>
      <c r="AP2024" s="77"/>
      <c r="AQ2024" s="77"/>
      <c r="AR2024" s="77"/>
      <c r="AS2024" s="77"/>
      <c r="AT2024" s="77"/>
      <c r="AU2024" s="77"/>
      <c r="AV2024" s="80" t="str">
        <f>HYPERLINK("https://pbs.twimg.com/profile_images/1628185029837832193/Qb7BI_Jj_normal.jpg")</f>
        <v>https://pbs.twimg.com/profile_images/1628185029837832193/Qb7BI_Jj_normal.jpg</v>
      </c>
      <c r="AW2024" s="82" t="s">
        <v>15115</v>
      </c>
      <c r="AX2024" s="82" t="s">
        <v>15115</v>
      </c>
      <c r="AY2024" s="77"/>
      <c r="AZ2024" s="82" t="s">
        <v>17385</v>
      </c>
      <c r="BA2024" s="82" t="s">
        <v>17385</v>
      </c>
      <c r="BB2024" s="82" t="s">
        <v>17385</v>
      </c>
      <c r="BC2024" s="82" t="s">
        <v>15115</v>
      </c>
      <c r="BD2024" s="82" t="s">
        <v>17618</v>
      </c>
      <c r="BE2024" s="77"/>
      <c r="BF2024" s="77"/>
      <c r="BG2024" s="77"/>
      <c r="BH2024" s="77"/>
      <c r="BI2024" s="77"/>
    </row>
    <row r="2025" spans="1:61" x14ac:dyDescent="0.25">
      <c r="A2025" s="62" t="s">
        <v>557</v>
      </c>
      <c r="B2025" s="62" t="s">
        <v>731</v>
      </c>
      <c r="C2025" s="63"/>
      <c r="D2025" s="64"/>
      <c r="E2025" s="65"/>
      <c r="F2025" s="66"/>
      <c r="G2025" s="63"/>
      <c r="H2025" s="67"/>
      <c r="I2025" s="68"/>
      <c r="J2025" s="68"/>
      <c r="K2025" s="32"/>
      <c r="L2025" s="75">
        <v>2025</v>
      </c>
      <c r="M2025" s="75"/>
      <c r="N2025" s="70"/>
      <c r="O2025" s="77" t="s">
        <v>802</v>
      </c>
      <c r="P2025" s="79">
        <v>45067.985879629632</v>
      </c>
      <c r="Q2025" s="77" t="s">
        <v>2810</v>
      </c>
      <c r="R2025" s="77">
        <v>0</v>
      </c>
      <c r="S2025" s="77">
        <v>0</v>
      </c>
      <c r="T2025" s="77">
        <v>0</v>
      </c>
      <c r="U2025" s="77">
        <v>0</v>
      </c>
      <c r="V2025" s="77">
        <v>29</v>
      </c>
      <c r="W2025" s="82" t="s">
        <v>6142</v>
      </c>
      <c r="X2025" s="80" t="str">
        <f>HYPERLINK("https://youtu.be/qqpE6GPeJBA")</f>
        <v>https://youtu.be/qqpE6GPeJBA</v>
      </c>
      <c r="Y2025" s="77" t="s">
        <v>7064</v>
      </c>
      <c r="Z2025" s="77" t="s">
        <v>731</v>
      </c>
      <c r="AA2025" s="77"/>
      <c r="AB2025" s="77"/>
      <c r="AC2025" s="82" t="s">
        <v>8232</v>
      </c>
      <c r="AD2025" s="77" t="s">
        <v>8278</v>
      </c>
      <c r="AE2025" s="80" t="str">
        <f>HYPERLINK("https://twitter.com/lucaspereira_ef/status/1660430185248747520")</f>
        <v>https://twitter.com/lucaspereira_ef/status/1660430185248747520</v>
      </c>
      <c r="AF2025" s="79">
        <v>45067.985879629632</v>
      </c>
      <c r="AG2025" s="85">
        <v>45067</v>
      </c>
      <c r="AH2025" s="82" t="s">
        <v>10117</v>
      </c>
      <c r="AI2025" s="77" t="b">
        <v>0</v>
      </c>
      <c r="AJ2025" s="77"/>
      <c r="AK2025" s="77"/>
      <c r="AL2025" s="77"/>
      <c r="AM2025" s="77"/>
      <c r="AN2025" s="77"/>
      <c r="AO2025" s="77"/>
      <c r="AP2025" s="77"/>
      <c r="AQ2025" s="77"/>
      <c r="AR2025" s="77"/>
      <c r="AS2025" s="77"/>
      <c r="AT2025" s="77"/>
      <c r="AU2025" s="77"/>
      <c r="AV2025" s="80" t="str">
        <f>HYPERLINK("https://pbs.twimg.com/profile_images/1628185029837832193/Qb7BI_Jj_normal.jpg")</f>
        <v>https://pbs.twimg.com/profile_images/1628185029837832193/Qb7BI_Jj_normal.jpg</v>
      </c>
      <c r="AW2025" s="82" t="s">
        <v>15116</v>
      </c>
      <c r="AX2025" s="82" t="s">
        <v>15116</v>
      </c>
      <c r="AY2025" s="77"/>
      <c r="AZ2025" s="82" t="s">
        <v>17385</v>
      </c>
      <c r="BA2025" s="82" t="s">
        <v>17385</v>
      </c>
      <c r="BB2025" s="82" t="s">
        <v>17385</v>
      </c>
      <c r="BC2025" s="82" t="s">
        <v>15116</v>
      </c>
      <c r="BD2025" s="82" t="s">
        <v>17618</v>
      </c>
      <c r="BE2025" s="77"/>
      <c r="BF2025" s="77"/>
      <c r="BG2025" s="77"/>
      <c r="BH2025" s="77"/>
      <c r="BI2025" s="77"/>
    </row>
    <row r="2026" spans="1:61" x14ac:dyDescent="0.25">
      <c r="A2026" s="62" t="s">
        <v>557</v>
      </c>
      <c r="B2026" s="62" t="s">
        <v>731</v>
      </c>
      <c r="C2026" s="63"/>
      <c r="D2026" s="64"/>
      <c r="E2026" s="65"/>
      <c r="F2026" s="66"/>
      <c r="G2026" s="63"/>
      <c r="H2026" s="67"/>
      <c r="I2026" s="68"/>
      <c r="J2026" s="68"/>
      <c r="K2026" s="32"/>
      <c r="L2026" s="75">
        <v>2026</v>
      </c>
      <c r="M2026" s="75"/>
      <c r="N2026" s="70"/>
      <c r="O2026" s="77" t="s">
        <v>802</v>
      </c>
      <c r="P2026" s="79">
        <v>45064.98909722222</v>
      </c>
      <c r="Q2026" s="77" t="s">
        <v>2811</v>
      </c>
      <c r="R2026" s="77">
        <v>0</v>
      </c>
      <c r="S2026" s="77">
        <v>0</v>
      </c>
      <c r="T2026" s="77">
        <v>0</v>
      </c>
      <c r="U2026" s="77">
        <v>0</v>
      </c>
      <c r="V2026" s="77">
        <v>9</v>
      </c>
      <c r="W2026" s="82" t="s">
        <v>6143</v>
      </c>
      <c r="X2026" s="80" t="str">
        <f>HYPERLINK("https://youtu.be/9UzQ3NeIh60")</f>
        <v>https://youtu.be/9UzQ3NeIh60</v>
      </c>
      <c r="Y2026" s="77" t="s">
        <v>7064</v>
      </c>
      <c r="Z2026" s="77" t="s">
        <v>731</v>
      </c>
      <c r="AA2026" s="77"/>
      <c r="AB2026" s="77"/>
      <c r="AC2026" s="82" t="s">
        <v>8232</v>
      </c>
      <c r="AD2026" s="77" t="s">
        <v>8278</v>
      </c>
      <c r="AE2026" s="80" t="str">
        <f>HYPERLINK("https://twitter.com/lucaspereira_ef/status/1659344188654211074")</f>
        <v>https://twitter.com/lucaspereira_ef/status/1659344188654211074</v>
      </c>
      <c r="AF2026" s="79">
        <v>45064.98909722222</v>
      </c>
      <c r="AG2026" s="85">
        <v>45064</v>
      </c>
      <c r="AH2026" s="82" t="s">
        <v>10118</v>
      </c>
      <c r="AI2026" s="77" t="b">
        <v>0</v>
      </c>
      <c r="AJ2026" s="77"/>
      <c r="AK2026" s="77"/>
      <c r="AL2026" s="77"/>
      <c r="AM2026" s="77"/>
      <c r="AN2026" s="77"/>
      <c r="AO2026" s="77"/>
      <c r="AP2026" s="77"/>
      <c r="AQ2026" s="77"/>
      <c r="AR2026" s="77"/>
      <c r="AS2026" s="77"/>
      <c r="AT2026" s="77"/>
      <c r="AU2026" s="77"/>
      <c r="AV2026" s="80" t="str">
        <f>HYPERLINK("https://pbs.twimg.com/profile_images/1628185029837832193/Qb7BI_Jj_normal.jpg")</f>
        <v>https://pbs.twimg.com/profile_images/1628185029837832193/Qb7BI_Jj_normal.jpg</v>
      </c>
      <c r="AW2026" s="82" t="s">
        <v>15117</v>
      </c>
      <c r="AX2026" s="82" t="s">
        <v>15117</v>
      </c>
      <c r="AY2026" s="77"/>
      <c r="AZ2026" s="82" t="s">
        <v>17385</v>
      </c>
      <c r="BA2026" s="82" t="s">
        <v>17385</v>
      </c>
      <c r="BB2026" s="82" t="s">
        <v>17385</v>
      </c>
      <c r="BC2026" s="82" t="s">
        <v>15117</v>
      </c>
      <c r="BD2026" s="82" t="s">
        <v>17618</v>
      </c>
      <c r="BE2026" s="77"/>
      <c r="BF2026" s="77"/>
      <c r="BG2026" s="77"/>
      <c r="BH2026" s="77"/>
      <c r="BI2026" s="77"/>
    </row>
    <row r="2027" spans="1:61" x14ac:dyDescent="0.25">
      <c r="A2027" s="62" t="s">
        <v>557</v>
      </c>
      <c r="B2027" s="62" t="s">
        <v>557</v>
      </c>
      <c r="C2027" s="63"/>
      <c r="D2027" s="64"/>
      <c r="E2027" s="65"/>
      <c r="F2027" s="66"/>
      <c r="G2027" s="63"/>
      <c r="H2027" s="67"/>
      <c r="I2027" s="68"/>
      <c r="J2027" s="68"/>
      <c r="K2027" s="32"/>
      <c r="L2027" s="75">
        <v>2027</v>
      </c>
      <c r="M2027" s="75"/>
      <c r="N2027" s="70"/>
      <c r="O2027" s="77" t="s">
        <v>179</v>
      </c>
      <c r="P2027" s="79">
        <v>45180.012245370373</v>
      </c>
      <c r="Q2027" s="77" t="s">
        <v>2812</v>
      </c>
      <c r="R2027" s="77">
        <v>0</v>
      </c>
      <c r="S2027" s="77">
        <v>1</v>
      </c>
      <c r="T2027" s="77">
        <v>0</v>
      </c>
      <c r="U2027" s="77">
        <v>0</v>
      </c>
      <c r="V2027" s="77">
        <v>66</v>
      </c>
      <c r="W2027" s="82" t="s">
        <v>6144</v>
      </c>
      <c r="X2027" s="80" t="str">
        <f>HYPERLINK("https://youtu.be/-mU1zA5hmZ8?si=420QhbrmkAfWR8sp")</f>
        <v>https://youtu.be/-mU1zA5hmZ8?si=420QhbrmkAfWR8sp</v>
      </c>
      <c r="Y2027" s="77" t="s">
        <v>7064</v>
      </c>
      <c r="Z2027" s="77"/>
      <c r="AA2027" s="77"/>
      <c r="AB2027" s="77"/>
      <c r="AC2027" s="82" t="s">
        <v>8232</v>
      </c>
      <c r="AD2027" s="77" t="s">
        <v>8278</v>
      </c>
      <c r="AE2027" s="80" t="str">
        <f>HYPERLINK("https://twitter.com/lucaspereira_ef/status/1701027181499949466")</f>
        <v>https://twitter.com/lucaspereira_ef/status/1701027181499949466</v>
      </c>
      <c r="AF2027" s="79">
        <v>45180.012245370373</v>
      </c>
      <c r="AG2027" s="85">
        <v>45180</v>
      </c>
      <c r="AH2027" s="82" t="s">
        <v>10119</v>
      </c>
      <c r="AI2027" s="77" t="b">
        <v>0</v>
      </c>
      <c r="AJ2027" s="77"/>
      <c r="AK2027" s="77"/>
      <c r="AL2027" s="77"/>
      <c r="AM2027" s="77"/>
      <c r="AN2027" s="77"/>
      <c r="AO2027" s="77"/>
      <c r="AP2027" s="77"/>
      <c r="AQ2027" s="77"/>
      <c r="AR2027" s="77"/>
      <c r="AS2027" s="77"/>
      <c r="AT2027" s="77"/>
      <c r="AU2027" s="77"/>
      <c r="AV2027" s="80" t="str">
        <f>HYPERLINK("https://pbs.twimg.com/profile_images/1628185029837832193/Qb7BI_Jj_normal.jpg")</f>
        <v>https://pbs.twimg.com/profile_images/1628185029837832193/Qb7BI_Jj_normal.jpg</v>
      </c>
      <c r="AW2027" s="82" t="s">
        <v>15118</v>
      </c>
      <c r="AX2027" s="82" t="s">
        <v>15118</v>
      </c>
      <c r="AY2027" s="77"/>
      <c r="AZ2027" s="82" t="s">
        <v>17385</v>
      </c>
      <c r="BA2027" s="82" t="s">
        <v>17385</v>
      </c>
      <c r="BB2027" s="82" t="s">
        <v>17385</v>
      </c>
      <c r="BC2027" s="82" t="s">
        <v>15118</v>
      </c>
      <c r="BD2027" s="82" t="s">
        <v>17618</v>
      </c>
      <c r="BE2027" s="77"/>
      <c r="BF2027" s="77"/>
      <c r="BG2027" s="77"/>
      <c r="BH2027" s="77"/>
      <c r="BI2027" s="77"/>
    </row>
    <row r="2028" spans="1:61" x14ac:dyDescent="0.25">
      <c r="A2028" s="62" t="s">
        <v>558</v>
      </c>
      <c r="B2028" s="62" t="s">
        <v>731</v>
      </c>
      <c r="C2028" s="63"/>
      <c r="D2028" s="64"/>
      <c r="E2028" s="65"/>
      <c r="F2028" s="66"/>
      <c r="G2028" s="63"/>
      <c r="H2028" s="67"/>
      <c r="I2028" s="68"/>
      <c r="J2028" s="68"/>
      <c r="K2028" s="32"/>
      <c r="L2028" s="75">
        <v>2028</v>
      </c>
      <c r="M2028" s="75"/>
      <c r="N2028" s="70"/>
      <c r="O2028" s="77" t="s">
        <v>802</v>
      </c>
      <c r="P2028" s="79">
        <v>45194.898275462961</v>
      </c>
      <c r="Q2028" s="77" t="s">
        <v>2813</v>
      </c>
      <c r="R2028" s="77">
        <v>0</v>
      </c>
      <c r="S2028" s="77">
        <v>0</v>
      </c>
      <c r="T2028" s="77">
        <v>0</v>
      </c>
      <c r="U2028" s="77">
        <v>0</v>
      </c>
      <c r="V2028" s="77">
        <v>7</v>
      </c>
      <c r="W2028" s="82" t="s">
        <v>6145</v>
      </c>
      <c r="X2028" s="80" t="str">
        <f>HYPERLINK("https://youtu.be/cjzQrfvLKYw?si=bdBXcr91uIXncy_f")</f>
        <v>https://youtu.be/cjzQrfvLKYw?si=bdBXcr91uIXncy_f</v>
      </c>
      <c r="Y2028" s="77" t="s">
        <v>7064</v>
      </c>
      <c r="Z2028" s="77" t="s">
        <v>731</v>
      </c>
      <c r="AA2028" s="77"/>
      <c r="AB2028" s="77"/>
      <c r="AC2028" s="82" t="s">
        <v>8232</v>
      </c>
      <c r="AD2028" s="77" t="s">
        <v>8281</v>
      </c>
      <c r="AE2028" s="80" t="str">
        <f>HYPERLINK("https://twitter.com/webercripim/status/1706421697857880102")</f>
        <v>https://twitter.com/webercripim/status/1706421697857880102</v>
      </c>
      <c r="AF2028" s="79">
        <v>45194.898275462961</v>
      </c>
      <c r="AG2028" s="85">
        <v>45194</v>
      </c>
      <c r="AH2028" s="82" t="s">
        <v>10120</v>
      </c>
      <c r="AI2028" s="77" t="b">
        <v>0</v>
      </c>
      <c r="AJ2028" s="77"/>
      <c r="AK2028" s="77"/>
      <c r="AL2028" s="77"/>
      <c r="AM2028" s="77"/>
      <c r="AN2028" s="77"/>
      <c r="AO2028" s="77"/>
      <c r="AP2028" s="77"/>
      <c r="AQ2028" s="77"/>
      <c r="AR2028" s="77"/>
      <c r="AS2028" s="77"/>
      <c r="AT2028" s="77"/>
      <c r="AU2028" s="77"/>
      <c r="AV2028" s="80" t="str">
        <f>HYPERLINK("https://pbs.twimg.com/profile_images/1637652557047709696/EBJNrey3_normal.jpg")</f>
        <v>https://pbs.twimg.com/profile_images/1637652557047709696/EBJNrey3_normal.jpg</v>
      </c>
      <c r="AW2028" s="82" t="s">
        <v>15119</v>
      </c>
      <c r="AX2028" s="82" t="s">
        <v>15119</v>
      </c>
      <c r="AY2028" s="77"/>
      <c r="AZ2028" s="82" t="s">
        <v>17385</v>
      </c>
      <c r="BA2028" s="82" t="s">
        <v>17385</v>
      </c>
      <c r="BB2028" s="82" t="s">
        <v>17385</v>
      </c>
      <c r="BC2028" s="82" t="s">
        <v>15119</v>
      </c>
      <c r="BD2028" s="82" t="s">
        <v>17619</v>
      </c>
      <c r="BE2028" s="77"/>
      <c r="BF2028" s="77"/>
      <c r="BG2028" s="77"/>
      <c r="BH2028" s="77"/>
      <c r="BI2028" s="77"/>
    </row>
    <row r="2029" spans="1:61" x14ac:dyDescent="0.25">
      <c r="A2029" s="62" t="s">
        <v>559</v>
      </c>
      <c r="B2029" s="62" t="s">
        <v>559</v>
      </c>
      <c r="C2029" s="63"/>
      <c r="D2029" s="64"/>
      <c r="E2029" s="65"/>
      <c r="F2029" s="66"/>
      <c r="G2029" s="63"/>
      <c r="H2029" s="67"/>
      <c r="I2029" s="68"/>
      <c r="J2029" s="68"/>
      <c r="K2029" s="32"/>
      <c r="L2029" s="75">
        <v>2029</v>
      </c>
      <c r="M2029" s="75"/>
      <c r="N2029" s="70"/>
      <c r="O2029" s="77" t="s">
        <v>800</v>
      </c>
      <c r="P2029" s="79">
        <v>45189.842164351852</v>
      </c>
      <c r="Q2029" s="77" t="s">
        <v>2814</v>
      </c>
      <c r="R2029" s="77">
        <v>0</v>
      </c>
      <c r="S2029" s="77">
        <v>0</v>
      </c>
      <c r="T2029" s="77">
        <v>0</v>
      </c>
      <c r="U2029" s="77">
        <v>0</v>
      </c>
      <c r="V2029" s="77">
        <v>26</v>
      </c>
      <c r="W2029" s="82" t="s">
        <v>6146</v>
      </c>
      <c r="X2029" s="77"/>
      <c r="Y2029" s="77"/>
      <c r="Z2029" s="77"/>
      <c r="AA2029" s="77"/>
      <c r="AB2029" s="77"/>
      <c r="AC2029" s="82" t="s">
        <v>8232</v>
      </c>
      <c r="AD2029" s="77" t="s">
        <v>8278</v>
      </c>
      <c r="AE2029" s="80" t="str">
        <f>HYPERLINK("https://twitter.com/vitorfaustinoyt/status/1704589425764671950")</f>
        <v>https://twitter.com/vitorfaustinoyt/status/1704589425764671950</v>
      </c>
      <c r="AF2029" s="79">
        <v>45189.842164351852</v>
      </c>
      <c r="AG2029" s="85">
        <v>45189</v>
      </c>
      <c r="AH2029" s="82" t="s">
        <v>10121</v>
      </c>
      <c r="AI2029" s="77"/>
      <c r="AJ2029" s="77"/>
      <c r="AK2029" s="77"/>
      <c r="AL2029" s="77"/>
      <c r="AM2029" s="77"/>
      <c r="AN2029" s="77"/>
      <c r="AO2029" s="77"/>
      <c r="AP2029" s="77"/>
      <c r="AQ2029" s="77"/>
      <c r="AR2029" s="77"/>
      <c r="AS2029" s="77"/>
      <c r="AT2029" s="77"/>
      <c r="AU2029" s="77"/>
      <c r="AV2029" s="80" t="str">
        <f>HYPERLINK("https://pbs.twimg.com/profile_images/1546163935333814276/n7HvQBLs_normal.jpg")</f>
        <v>https://pbs.twimg.com/profile_images/1546163935333814276/n7HvQBLs_normal.jpg</v>
      </c>
      <c r="AW2029" s="82" t="s">
        <v>15120</v>
      </c>
      <c r="AX2029" s="82" t="s">
        <v>17196</v>
      </c>
      <c r="AY2029" s="82" t="s">
        <v>17363</v>
      </c>
      <c r="AZ2029" s="82" t="s">
        <v>17417</v>
      </c>
      <c r="BA2029" s="82" t="s">
        <v>17385</v>
      </c>
      <c r="BB2029" s="82" t="s">
        <v>17385</v>
      </c>
      <c r="BC2029" s="82" t="s">
        <v>17417</v>
      </c>
      <c r="BD2029" s="82" t="s">
        <v>17363</v>
      </c>
      <c r="BE2029" s="77"/>
      <c r="BF2029" s="77"/>
      <c r="BG2029" s="77"/>
      <c r="BH2029" s="77"/>
      <c r="BI2029" s="77"/>
    </row>
    <row r="2030" spans="1:61" x14ac:dyDescent="0.25">
      <c r="A2030" s="62" t="s">
        <v>559</v>
      </c>
      <c r="B2030" s="62" t="s">
        <v>559</v>
      </c>
      <c r="C2030" s="63"/>
      <c r="D2030" s="64"/>
      <c r="E2030" s="65"/>
      <c r="F2030" s="66"/>
      <c r="G2030" s="63"/>
      <c r="H2030" s="67"/>
      <c r="I2030" s="68"/>
      <c r="J2030" s="68"/>
      <c r="K2030" s="32"/>
      <c r="L2030" s="75">
        <v>2030</v>
      </c>
      <c r="M2030" s="75"/>
      <c r="N2030" s="70"/>
      <c r="O2030" s="77" t="s">
        <v>179</v>
      </c>
      <c r="P2030" s="79">
        <v>45132.96471064815</v>
      </c>
      <c r="Q2030" s="77" t="s">
        <v>2815</v>
      </c>
      <c r="R2030" s="77">
        <v>0</v>
      </c>
      <c r="S2030" s="77">
        <v>0</v>
      </c>
      <c r="T2030" s="77">
        <v>0</v>
      </c>
      <c r="U2030" s="77">
        <v>0</v>
      </c>
      <c r="V2030" s="77">
        <v>95</v>
      </c>
      <c r="W2030" s="82" t="s">
        <v>6147</v>
      </c>
      <c r="X2030" s="80" t="str">
        <f>HYPERLINK("https://youtu.be/uIGgFvr_Fps")</f>
        <v>https://youtu.be/uIGgFvr_Fps</v>
      </c>
      <c r="Y2030" s="77" t="s">
        <v>7064</v>
      </c>
      <c r="Z2030" s="77"/>
      <c r="AA2030" s="77" t="s">
        <v>7990</v>
      </c>
      <c r="AB2030" s="77" t="s">
        <v>8225</v>
      </c>
      <c r="AC2030" s="82" t="s">
        <v>8232</v>
      </c>
      <c r="AD2030" s="77" t="s">
        <v>8278</v>
      </c>
      <c r="AE2030" s="80" t="str">
        <f>HYPERLINK("https://twitter.com/vitorfaustinoyt/status/1683977724904235008")</f>
        <v>https://twitter.com/vitorfaustinoyt/status/1683977724904235008</v>
      </c>
      <c r="AF2030" s="79">
        <v>45132.96471064815</v>
      </c>
      <c r="AG2030" s="85">
        <v>45132</v>
      </c>
      <c r="AH2030" s="82" t="s">
        <v>10122</v>
      </c>
      <c r="AI2030" s="77" t="b">
        <v>0</v>
      </c>
      <c r="AJ2030" s="77"/>
      <c r="AK2030" s="77"/>
      <c r="AL2030" s="77"/>
      <c r="AM2030" s="77"/>
      <c r="AN2030" s="77"/>
      <c r="AO2030" s="77"/>
      <c r="AP2030" s="77"/>
      <c r="AQ2030" s="77" t="s">
        <v>12875</v>
      </c>
      <c r="AR2030" s="77"/>
      <c r="AS2030" s="77"/>
      <c r="AT2030" s="77"/>
      <c r="AU2030" s="77"/>
      <c r="AV2030" s="80" t="str">
        <f>HYPERLINK("https://pbs.twimg.com/media/F16wTc1XgAESaOC.jpg")</f>
        <v>https://pbs.twimg.com/media/F16wTc1XgAESaOC.jpg</v>
      </c>
      <c r="AW2030" s="82" t="s">
        <v>15121</v>
      </c>
      <c r="AX2030" s="82" t="s">
        <v>15121</v>
      </c>
      <c r="AY2030" s="77"/>
      <c r="AZ2030" s="82" t="s">
        <v>17385</v>
      </c>
      <c r="BA2030" s="82" t="s">
        <v>17385</v>
      </c>
      <c r="BB2030" s="82" t="s">
        <v>17385</v>
      </c>
      <c r="BC2030" s="82" t="s">
        <v>15121</v>
      </c>
      <c r="BD2030" s="82" t="s">
        <v>17363</v>
      </c>
      <c r="BE2030" s="77"/>
      <c r="BF2030" s="77"/>
      <c r="BG2030" s="77"/>
      <c r="BH2030" s="77"/>
      <c r="BI2030" s="77"/>
    </row>
    <row r="2031" spans="1:61" x14ac:dyDescent="0.25">
      <c r="A2031" s="62" t="s">
        <v>560</v>
      </c>
      <c r="B2031" s="62" t="s">
        <v>560</v>
      </c>
      <c r="C2031" s="63"/>
      <c r="D2031" s="64"/>
      <c r="E2031" s="65"/>
      <c r="F2031" s="66"/>
      <c r="G2031" s="63"/>
      <c r="H2031" s="67"/>
      <c r="I2031" s="68"/>
      <c r="J2031" s="68"/>
      <c r="K2031" s="32"/>
      <c r="L2031" s="75">
        <v>2031</v>
      </c>
      <c r="M2031" s="75"/>
      <c r="N2031" s="70"/>
      <c r="O2031" s="77" t="s">
        <v>179</v>
      </c>
      <c r="P2031" s="79">
        <v>45148.773773148147</v>
      </c>
      <c r="Q2031" s="77" t="s">
        <v>2816</v>
      </c>
      <c r="R2031" s="77">
        <v>0</v>
      </c>
      <c r="S2031" s="77">
        <v>0</v>
      </c>
      <c r="T2031" s="77">
        <v>0</v>
      </c>
      <c r="U2031" s="77">
        <v>0</v>
      </c>
      <c r="V2031" s="77">
        <v>21</v>
      </c>
      <c r="W2031" s="82" t="s">
        <v>6148</v>
      </c>
      <c r="X2031" s="80" t="str">
        <f>HYPERLINK("https://correiodeminas.com.br/2023/08/10/cidade-e-a-sexta-em-minas-melhor-para-se-viver-e-prefeito-destaca-acoes-e-parcerias/")</f>
        <v>https://correiodeminas.com.br/2023/08/10/cidade-e-a-sexta-em-minas-melhor-para-se-viver-e-prefeito-destaca-acoes-e-parcerias/</v>
      </c>
      <c r="Y2031" s="77" t="s">
        <v>7053</v>
      </c>
      <c r="Z2031" s="77"/>
      <c r="AA2031" s="77"/>
      <c r="AB2031" s="77"/>
      <c r="AC2031" s="82" t="s">
        <v>8232</v>
      </c>
      <c r="AD2031" s="77" t="s">
        <v>8278</v>
      </c>
      <c r="AE2031" s="80" t="str">
        <f>HYPERLINK("https://twitter.com/correiodeminas/status/1689706737761169408")</f>
        <v>https://twitter.com/correiodeminas/status/1689706737761169408</v>
      </c>
      <c r="AF2031" s="79">
        <v>45148.773773148147</v>
      </c>
      <c r="AG2031" s="85">
        <v>45148</v>
      </c>
      <c r="AH2031" s="82" t="s">
        <v>10123</v>
      </c>
      <c r="AI2031" s="77" t="b">
        <v>0</v>
      </c>
      <c r="AJ2031" s="77"/>
      <c r="AK2031" s="77"/>
      <c r="AL2031" s="77"/>
      <c r="AM2031" s="77"/>
      <c r="AN2031" s="77"/>
      <c r="AO2031" s="77"/>
      <c r="AP2031" s="77"/>
      <c r="AQ2031" s="77"/>
      <c r="AR2031" s="77"/>
      <c r="AS2031" s="77"/>
      <c r="AT2031" s="77"/>
      <c r="AU2031" s="77"/>
      <c r="AV2031" s="80" t="str">
        <f>HYPERLINK("https://pbs.twimg.com/profile_images/1297877005644582912/RHlYwGJG_normal.jpg")</f>
        <v>https://pbs.twimg.com/profile_images/1297877005644582912/RHlYwGJG_normal.jpg</v>
      </c>
      <c r="AW2031" s="82" t="s">
        <v>15122</v>
      </c>
      <c r="AX2031" s="82" t="s">
        <v>15122</v>
      </c>
      <c r="AY2031" s="77"/>
      <c r="AZ2031" s="82" t="s">
        <v>17385</v>
      </c>
      <c r="BA2031" s="82" t="s">
        <v>17385</v>
      </c>
      <c r="BB2031" s="82" t="s">
        <v>17385</v>
      </c>
      <c r="BC2031" s="82" t="s">
        <v>15122</v>
      </c>
      <c r="BD2031" s="77">
        <v>119024617</v>
      </c>
      <c r="BE2031" s="77"/>
      <c r="BF2031" s="77"/>
      <c r="BG2031" s="77"/>
      <c r="BH2031" s="77"/>
      <c r="BI2031" s="77"/>
    </row>
    <row r="2032" spans="1:61" x14ac:dyDescent="0.25">
      <c r="A2032" s="62" t="s">
        <v>560</v>
      </c>
      <c r="B2032" s="62" t="s">
        <v>560</v>
      </c>
      <c r="C2032" s="63"/>
      <c r="D2032" s="64"/>
      <c r="E2032" s="65"/>
      <c r="F2032" s="66"/>
      <c r="G2032" s="63"/>
      <c r="H2032" s="67"/>
      <c r="I2032" s="68"/>
      <c r="J2032" s="68"/>
      <c r="K2032" s="32"/>
      <c r="L2032" s="75">
        <v>2032</v>
      </c>
      <c r="M2032" s="75"/>
      <c r="N2032" s="70"/>
      <c r="O2032" s="77" t="s">
        <v>179</v>
      </c>
      <c r="P2032" s="79">
        <v>45087.833344907405</v>
      </c>
      <c r="Q2032" s="77" t="s">
        <v>2817</v>
      </c>
      <c r="R2032" s="77">
        <v>0</v>
      </c>
      <c r="S2032" s="77">
        <v>0</v>
      </c>
      <c r="T2032" s="77">
        <v>0</v>
      </c>
      <c r="U2032" s="77">
        <v>0</v>
      </c>
      <c r="V2032" s="77">
        <v>39</v>
      </c>
      <c r="W2032" s="82" t="s">
        <v>6149</v>
      </c>
      <c r="X2032" s="80" t="str">
        <f>HYPERLINK("https://correiodeminas.com.br/2023/06/10/desenrola-deve-beneficiar-bancos-e-varejistas-apontam-analistas-quais-acoes-devem-ganhar-com-programa/")</f>
        <v>https://correiodeminas.com.br/2023/06/10/desenrola-deve-beneficiar-bancos-e-varejistas-apontam-analistas-quais-acoes-devem-ganhar-com-programa/</v>
      </c>
      <c r="Y2032" s="77" t="s">
        <v>7053</v>
      </c>
      <c r="Z2032" s="77"/>
      <c r="AA2032" s="77" t="s">
        <v>7991</v>
      </c>
      <c r="AB2032" s="77" t="s">
        <v>8225</v>
      </c>
      <c r="AC2032" s="82" t="s">
        <v>8232</v>
      </c>
      <c r="AD2032" s="77" t="s">
        <v>8278</v>
      </c>
      <c r="AE2032" s="80" t="str">
        <f>HYPERLINK("https://twitter.com/correiodeminas/status/1667622665954242566")</f>
        <v>https://twitter.com/correiodeminas/status/1667622665954242566</v>
      </c>
      <c r="AF2032" s="79">
        <v>45087.833344907405</v>
      </c>
      <c r="AG2032" s="85">
        <v>45087</v>
      </c>
      <c r="AH2032" s="82" t="s">
        <v>8804</v>
      </c>
      <c r="AI2032" s="77" t="b">
        <v>0</v>
      </c>
      <c r="AJ2032" s="77"/>
      <c r="AK2032" s="77"/>
      <c r="AL2032" s="77"/>
      <c r="AM2032" s="77"/>
      <c r="AN2032" s="77"/>
      <c r="AO2032" s="77"/>
      <c r="AP2032" s="77"/>
      <c r="AQ2032" s="77" t="s">
        <v>12876</v>
      </c>
      <c r="AR2032" s="77"/>
      <c r="AS2032" s="77"/>
      <c r="AT2032" s="77"/>
      <c r="AU2032" s="77"/>
      <c r="AV2032" s="80" t="str">
        <f>HYPERLINK("https://pbs.twimg.com/media/FyC1SlrWAAE93xb.jpg")</f>
        <v>https://pbs.twimg.com/media/FyC1SlrWAAE93xb.jpg</v>
      </c>
      <c r="AW2032" s="82" t="s">
        <v>15123</v>
      </c>
      <c r="AX2032" s="82" t="s">
        <v>15123</v>
      </c>
      <c r="AY2032" s="77"/>
      <c r="AZ2032" s="82" t="s">
        <v>17385</v>
      </c>
      <c r="BA2032" s="82" t="s">
        <v>17385</v>
      </c>
      <c r="BB2032" s="82" t="s">
        <v>17385</v>
      </c>
      <c r="BC2032" s="82" t="s">
        <v>15123</v>
      </c>
      <c r="BD2032" s="77">
        <v>119024617</v>
      </c>
      <c r="BE2032" s="77"/>
      <c r="BF2032" s="77"/>
      <c r="BG2032" s="77"/>
      <c r="BH2032" s="77"/>
      <c r="BI2032" s="77"/>
    </row>
    <row r="2033" spans="1:61" x14ac:dyDescent="0.25">
      <c r="A2033" s="62" t="s">
        <v>561</v>
      </c>
      <c r="B2033" s="62" t="s">
        <v>731</v>
      </c>
      <c r="C2033" s="63"/>
      <c r="D2033" s="64"/>
      <c r="E2033" s="65"/>
      <c r="F2033" s="66"/>
      <c r="G2033" s="63"/>
      <c r="H2033" s="67"/>
      <c r="I2033" s="68"/>
      <c r="J2033" s="68"/>
      <c r="K2033" s="32"/>
      <c r="L2033" s="75">
        <v>2033</v>
      </c>
      <c r="M2033" s="75"/>
      <c r="N2033" s="70"/>
      <c r="O2033" s="77" t="s">
        <v>802</v>
      </c>
      <c r="P2033" s="79">
        <v>45078.749305555553</v>
      </c>
      <c r="Q2033" s="77" t="s">
        <v>2818</v>
      </c>
      <c r="R2033" s="77">
        <v>0</v>
      </c>
      <c r="S2033" s="77">
        <v>0</v>
      </c>
      <c r="T2033" s="77">
        <v>0</v>
      </c>
      <c r="U2033" s="77">
        <v>0</v>
      </c>
      <c r="V2033" s="77">
        <v>101</v>
      </c>
      <c r="W2033" s="82" t="s">
        <v>6150</v>
      </c>
      <c r="X2033" s="80" t="str">
        <f>HYPERLINK("https://youtu.be/j0pPVCKjBU4")</f>
        <v>https://youtu.be/j0pPVCKjBU4</v>
      </c>
      <c r="Y2033" s="77" t="s">
        <v>7064</v>
      </c>
      <c r="Z2033" s="77" t="s">
        <v>731</v>
      </c>
      <c r="AA2033" s="77"/>
      <c r="AB2033" s="77"/>
      <c r="AC2033" s="82" t="s">
        <v>8232</v>
      </c>
      <c r="AD2033" s="77" t="s">
        <v>8278</v>
      </c>
      <c r="AE2033" s="80" t="str">
        <f>HYPERLINK("https://twitter.com/lipeinveste/status/1664330719701639177")</f>
        <v>https://twitter.com/lipeinveste/status/1664330719701639177</v>
      </c>
      <c r="AF2033" s="79">
        <v>45078.749305555553</v>
      </c>
      <c r="AG2033" s="85">
        <v>45078</v>
      </c>
      <c r="AH2033" s="82" t="s">
        <v>10124</v>
      </c>
      <c r="AI2033" s="77" t="b">
        <v>0</v>
      </c>
      <c r="AJ2033" s="77"/>
      <c r="AK2033" s="77"/>
      <c r="AL2033" s="77"/>
      <c r="AM2033" s="77"/>
      <c r="AN2033" s="77"/>
      <c r="AO2033" s="77"/>
      <c r="AP2033" s="77"/>
      <c r="AQ2033" s="77"/>
      <c r="AR2033" s="77"/>
      <c r="AS2033" s="77"/>
      <c r="AT2033" s="77"/>
      <c r="AU2033" s="77"/>
      <c r="AV2033" s="80" t="str">
        <f>HYPERLINK("https://pbs.twimg.com/profile_images/1619416094510387200/iIGQvcL5_normal.jpg")</f>
        <v>https://pbs.twimg.com/profile_images/1619416094510387200/iIGQvcL5_normal.jpg</v>
      </c>
      <c r="AW2033" s="82" t="s">
        <v>15124</v>
      </c>
      <c r="AX2033" s="82" t="s">
        <v>15124</v>
      </c>
      <c r="AY2033" s="77"/>
      <c r="AZ2033" s="82" t="s">
        <v>17385</v>
      </c>
      <c r="BA2033" s="82" t="s">
        <v>17385</v>
      </c>
      <c r="BB2033" s="82" t="s">
        <v>17385</v>
      </c>
      <c r="BC2033" s="82" t="s">
        <v>15124</v>
      </c>
      <c r="BD2033" s="82" t="s">
        <v>17620</v>
      </c>
      <c r="BE2033" s="77"/>
      <c r="BF2033" s="77"/>
      <c r="BG2033" s="77"/>
      <c r="BH2033" s="77"/>
      <c r="BI2033" s="77"/>
    </row>
    <row r="2034" spans="1:61" x14ac:dyDescent="0.25">
      <c r="A2034" s="62" t="s">
        <v>561</v>
      </c>
      <c r="B2034" s="62" t="s">
        <v>731</v>
      </c>
      <c r="C2034" s="63"/>
      <c r="D2034" s="64"/>
      <c r="E2034" s="65"/>
      <c r="F2034" s="66"/>
      <c r="G2034" s="63"/>
      <c r="H2034" s="67"/>
      <c r="I2034" s="68"/>
      <c r="J2034" s="68"/>
      <c r="K2034" s="32"/>
      <c r="L2034" s="75">
        <v>2034</v>
      </c>
      <c r="M2034" s="75"/>
      <c r="N2034" s="70"/>
      <c r="O2034" s="77" t="s">
        <v>802</v>
      </c>
      <c r="P2034" s="79">
        <v>45082.08666666667</v>
      </c>
      <c r="Q2034" s="77" t="s">
        <v>2819</v>
      </c>
      <c r="R2034" s="77">
        <v>0</v>
      </c>
      <c r="S2034" s="77">
        <v>1</v>
      </c>
      <c r="T2034" s="77">
        <v>0</v>
      </c>
      <c r="U2034" s="77">
        <v>0</v>
      </c>
      <c r="V2034" s="77">
        <v>53</v>
      </c>
      <c r="W2034" s="82" t="s">
        <v>6151</v>
      </c>
      <c r="X2034" s="80" t="str">
        <f>HYPERLINK("https://youtu.be/v8oO1d7tQ7I")</f>
        <v>https://youtu.be/v8oO1d7tQ7I</v>
      </c>
      <c r="Y2034" s="77" t="s">
        <v>7064</v>
      </c>
      <c r="Z2034" s="77" t="s">
        <v>731</v>
      </c>
      <c r="AA2034" s="77"/>
      <c r="AB2034" s="77"/>
      <c r="AC2034" s="82" t="s">
        <v>8232</v>
      </c>
      <c r="AD2034" s="77" t="s">
        <v>8278</v>
      </c>
      <c r="AE2034" s="80" t="str">
        <f>HYPERLINK("https://twitter.com/lipeinveste/status/1665540142201708544")</f>
        <v>https://twitter.com/lipeinveste/status/1665540142201708544</v>
      </c>
      <c r="AF2034" s="79">
        <v>45082.08666666667</v>
      </c>
      <c r="AG2034" s="85">
        <v>45082</v>
      </c>
      <c r="AH2034" s="82" t="s">
        <v>10125</v>
      </c>
      <c r="AI2034" s="77" t="b">
        <v>0</v>
      </c>
      <c r="AJ2034" s="77"/>
      <c r="AK2034" s="77"/>
      <c r="AL2034" s="77"/>
      <c r="AM2034" s="77"/>
      <c r="AN2034" s="77"/>
      <c r="AO2034" s="77"/>
      <c r="AP2034" s="77"/>
      <c r="AQ2034" s="77"/>
      <c r="AR2034" s="77"/>
      <c r="AS2034" s="77"/>
      <c r="AT2034" s="77"/>
      <c r="AU2034" s="77"/>
      <c r="AV2034" s="80" t="str">
        <f>HYPERLINK("https://pbs.twimg.com/profile_images/1619416094510387200/iIGQvcL5_normal.jpg")</f>
        <v>https://pbs.twimg.com/profile_images/1619416094510387200/iIGQvcL5_normal.jpg</v>
      </c>
      <c r="AW2034" s="82" t="s">
        <v>15125</v>
      </c>
      <c r="AX2034" s="82" t="s">
        <v>15125</v>
      </c>
      <c r="AY2034" s="77"/>
      <c r="AZ2034" s="82" t="s">
        <v>17385</v>
      </c>
      <c r="BA2034" s="82" t="s">
        <v>17385</v>
      </c>
      <c r="BB2034" s="82" t="s">
        <v>17385</v>
      </c>
      <c r="BC2034" s="82" t="s">
        <v>15125</v>
      </c>
      <c r="BD2034" s="82" t="s">
        <v>17620</v>
      </c>
      <c r="BE2034" s="77"/>
      <c r="BF2034" s="77"/>
      <c r="BG2034" s="77"/>
      <c r="BH2034" s="77"/>
      <c r="BI2034" s="77"/>
    </row>
    <row r="2035" spans="1:61" x14ac:dyDescent="0.25">
      <c r="A2035" s="62" t="s">
        <v>561</v>
      </c>
      <c r="B2035" s="62" t="s">
        <v>731</v>
      </c>
      <c r="C2035" s="63"/>
      <c r="D2035" s="64"/>
      <c r="E2035" s="65"/>
      <c r="F2035" s="66"/>
      <c r="G2035" s="63"/>
      <c r="H2035" s="67"/>
      <c r="I2035" s="68"/>
      <c r="J2035" s="68"/>
      <c r="K2035" s="32"/>
      <c r="L2035" s="75">
        <v>2035</v>
      </c>
      <c r="M2035" s="75"/>
      <c r="N2035" s="70"/>
      <c r="O2035" s="77" t="s">
        <v>802</v>
      </c>
      <c r="P2035" s="79">
        <v>45106.078275462962</v>
      </c>
      <c r="Q2035" s="77" t="s">
        <v>2820</v>
      </c>
      <c r="R2035" s="77">
        <v>0</v>
      </c>
      <c r="S2035" s="77">
        <v>1</v>
      </c>
      <c r="T2035" s="77">
        <v>0</v>
      </c>
      <c r="U2035" s="77">
        <v>0</v>
      </c>
      <c r="V2035" s="77">
        <v>126</v>
      </c>
      <c r="W2035" s="82" t="s">
        <v>6152</v>
      </c>
      <c r="X2035" s="80" t="str">
        <f>HYPERLINK("https://youtu.be/gSo_XSAJm40")</f>
        <v>https://youtu.be/gSo_XSAJm40</v>
      </c>
      <c r="Y2035" s="77" t="s">
        <v>7064</v>
      </c>
      <c r="Z2035" s="77" t="s">
        <v>731</v>
      </c>
      <c r="AA2035" s="77"/>
      <c r="AB2035" s="77"/>
      <c r="AC2035" s="82" t="s">
        <v>8232</v>
      </c>
      <c r="AD2035" s="77" t="s">
        <v>8278</v>
      </c>
      <c r="AE2035" s="80" t="str">
        <f>HYPERLINK("https://twitter.com/lipeinveste/status/1674234407492755456")</f>
        <v>https://twitter.com/lipeinveste/status/1674234407492755456</v>
      </c>
      <c r="AF2035" s="79">
        <v>45106.078275462962</v>
      </c>
      <c r="AG2035" s="85">
        <v>45106</v>
      </c>
      <c r="AH2035" s="82" t="s">
        <v>10126</v>
      </c>
      <c r="AI2035" s="77" t="b">
        <v>0</v>
      </c>
      <c r="AJ2035" s="77"/>
      <c r="AK2035" s="77"/>
      <c r="AL2035" s="77"/>
      <c r="AM2035" s="77"/>
      <c r="AN2035" s="77"/>
      <c r="AO2035" s="77"/>
      <c r="AP2035" s="77"/>
      <c r="AQ2035" s="77"/>
      <c r="AR2035" s="77"/>
      <c r="AS2035" s="77"/>
      <c r="AT2035" s="77"/>
      <c r="AU2035" s="77"/>
      <c r="AV2035" s="80" t="str">
        <f>HYPERLINK("https://pbs.twimg.com/profile_images/1619416094510387200/iIGQvcL5_normal.jpg")</f>
        <v>https://pbs.twimg.com/profile_images/1619416094510387200/iIGQvcL5_normal.jpg</v>
      </c>
      <c r="AW2035" s="82" t="s">
        <v>15126</v>
      </c>
      <c r="AX2035" s="82" t="s">
        <v>15126</v>
      </c>
      <c r="AY2035" s="77"/>
      <c r="AZ2035" s="82" t="s">
        <v>17385</v>
      </c>
      <c r="BA2035" s="82" t="s">
        <v>17385</v>
      </c>
      <c r="BB2035" s="82" t="s">
        <v>17385</v>
      </c>
      <c r="BC2035" s="82" t="s">
        <v>15126</v>
      </c>
      <c r="BD2035" s="82" t="s">
        <v>17620</v>
      </c>
      <c r="BE2035" s="77"/>
      <c r="BF2035" s="77"/>
      <c r="BG2035" s="77"/>
      <c r="BH2035" s="77"/>
      <c r="BI2035" s="77"/>
    </row>
    <row r="2036" spans="1:61" x14ac:dyDescent="0.25">
      <c r="A2036" s="62" t="s">
        <v>561</v>
      </c>
      <c r="B2036" s="62" t="s">
        <v>731</v>
      </c>
      <c r="C2036" s="63"/>
      <c r="D2036" s="64"/>
      <c r="E2036" s="65"/>
      <c r="F2036" s="66"/>
      <c r="G2036" s="63"/>
      <c r="H2036" s="67"/>
      <c r="I2036" s="68"/>
      <c r="J2036" s="68"/>
      <c r="K2036" s="32"/>
      <c r="L2036" s="75">
        <v>2036</v>
      </c>
      <c r="M2036" s="75"/>
      <c r="N2036" s="70"/>
      <c r="O2036" s="77" t="s">
        <v>802</v>
      </c>
      <c r="P2036" s="79">
        <v>45118.773101851853</v>
      </c>
      <c r="Q2036" s="77" t="s">
        <v>2821</v>
      </c>
      <c r="R2036" s="77">
        <v>0</v>
      </c>
      <c r="S2036" s="77">
        <v>1</v>
      </c>
      <c r="T2036" s="77">
        <v>0</v>
      </c>
      <c r="U2036" s="77">
        <v>0</v>
      </c>
      <c r="V2036" s="77">
        <v>149</v>
      </c>
      <c r="W2036" s="82" t="s">
        <v>6153</v>
      </c>
      <c r="X2036" s="80" t="str">
        <f>HYPERLINK("https://youtu.be/Q1BJm6L3Sxs")</f>
        <v>https://youtu.be/Q1BJm6L3Sxs</v>
      </c>
      <c r="Y2036" s="77" t="s">
        <v>7064</v>
      </c>
      <c r="Z2036" s="77" t="s">
        <v>731</v>
      </c>
      <c r="AA2036" s="77"/>
      <c r="AB2036" s="77"/>
      <c r="AC2036" s="82" t="s">
        <v>8232</v>
      </c>
      <c r="AD2036" s="77" t="s">
        <v>8278</v>
      </c>
      <c r="AE2036" s="80" t="str">
        <f>HYPERLINK("https://twitter.com/lipeinveste/status/1678834858217426945")</f>
        <v>https://twitter.com/lipeinveste/status/1678834858217426945</v>
      </c>
      <c r="AF2036" s="79">
        <v>45118.773101851853</v>
      </c>
      <c r="AG2036" s="85">
        <v>45118</v>
      </c>
      <c r="AH2036" s="82" t="s">
        <v>10127</v>
      </c>
      <c r="AI2036" s="77" t="b">
        <v>0</v>
      </c>
      <c r="AJ2036" s="77"/>
      <c r="AK2036" s="77"/>
      <c r="AL2036" s="77"/>
      <c r="AM2036" s="77"/>
      <c r="AN2036" s="77"/>
      <c r="AO2036" s="77"/>
      <c r="AP2036" s="77"/>
      <c r="AQ2036" s="77"/>
      <c r="AR2036" s="77"/>
      <c r="AS2036" s="77"/>
      <c r="AT2036" s="77"/>
      <c r="AU2036" s="77"/>
      <c r="AV2036" s="80" t="str">
        <f>HYPERLINK("https://pbs.twimg.com/profile_images/1619416094510387200/iIGQvcL5_normal.jpg")</f>
        <v>https://pbs.twimg.com/profile_images/1619416094510387200/iIGQvcL5_normal.jpg</v>
      </c>
      <c r="AW2036" s="82" t="s">
        <v>15127</v>
      </c>
      <c r="AX2036" s="82" t="s">
        <v>15127</v>
      </c>
      <c r="AY2036" s="77"/>
      <c r="AZ2036" s="82" t="s">
        <v>17385</v>
      </c>
      <c r="BA2036" s="82" t="s">
        <v>17385</v>
      </c>
      <c r="BB2036" s="82" t="s">
        <v>17385</v>
      </c>
      <c r="BC2036" s="82" t="s">
        <v>15127</v>
      </c>
      <c r="BD2036" s="82" t="s">
        <v>17620</v>
      </c>
      <c r="BE2036" s="77"/>
      <c r="BF2036" s="77"/>
      <c r="BG2036" s="77"/>
      <c r="BH2036" s="77"/>
      <c r="BI2036" s="77"/>
    </row>
    <row r="2037" spans="1:61" x14ac:dyDescent="0.25">
      <c r="A2037" s="62" t="s">
        <v>561</v>
      </c>
      <c r="B2037" s="62" t="s">
        <v>731</v>
      </c>
      <c r="C2037" s="63"/>
      <c r="D2037" s="64"/>
      <c r="E2037" s="65"/>
      <c r="F2037" s="66"/>
      <c r="G2037" s="63"/>
      <c r="H2037" s="67"/>
      <c r="I2037" s="68"/>
      <c r="J2037" s="68"/>
      <c r="K2037" s="32"/>
      <c r="L2037" s="75">
        <v>2037</v>
      </c>
      <c r="M2037" s="75"/>
      <c r="N2037" s="70"/>
      <c r="O2037" s="77" t="s">
        <v>802</v>
      </c>
      <c r="P2037" s="79">
        <v>45094.860289351855</v>
      </c>
      <c r="Q2037" s="77" t="s">
        <v>2822</v>
      </c>
      <c r="R2037" s="77">
        <v>0</v>
      </c>
      <c r="S2037" s="77">
        <v>1</v>
      </c>
      <c r="T2037" s="77">
        <v>0</v>
      </c>
      <c r="U2037" s="77">
        <v>0</v>
      </c>
      <c r="V2037" s="77">
        <v>207</v>
      </c>
      <c r="W2037" s="82" t="s">
        <v>6154</v>
      </c>
      <c r="X2037" s="80" t="str">
        <f>HYPERLINK("https://youtu.be/WeDdXPoVylU")</f>
        <v>https://youtu.be/WeDdXPoVylU</v>
      </c>
      <c r="Y2037" s="77" t="s">
        <v>7064</v>
      </c>
      <c r="Z2037" s="77" t="s">
        <v>731</v>
      </c>
      <c r="AA2037" s="77"/>
      <c r="AB2037" s="77"/>
      <c r="AC2037" s="82" t="s">
        <v>8232</v>
      </c>
      <c r="AD2037" s="77" t="s">
        <v>8278</v>
      </c>
      <c r="AE2037" s="80" t="str">
        <f>HYPERLINK("https://twitter.com/lipeinveste/status/1670169145147641857")</f>
        <v>https://twitter.com/lipeinveste/status/1670169145147641857</v>
      </c>
      <c r="AF2037" s="79">
        <v>45094.860289351855</v>
      </c>
      <c r="AG2037" s="85">
        <v>45094</v>
      </c>
      <c r="AH2037" s="82" t="s">
        <v>10128</v>
      </c>
      <c r="AI2037" s="77" t="b">
        <v>0</v>
      </c>
      <c r="AJ2037" s="77"/>
      <c r="AK2037" s="77"/>
      <c r="AL2037" s="77"/>
      <c r="AM2037" s="77"/>
      <c r="AN2037" s="77"/>
      <c r="AO2037" s="77"/>
      <c r="AP2037" s="77"/>
      <c r="AQ2037" s="77"/>
      <c r="AR2037" s="77"/>
      <c r="AS2037" s="77"/>
      <c r="AT2037" s="77"/>
      <c r="AU2037" s="77"/>
      <c r="AV2037" s="80" t="str">
        <f>HYPERLINK("https://pbs.twimg.com/profile_images/1619416094510387200/iIGQvcL5_normal.jpg")</f>
        <v>https://pbs.twimg.com/profile_images/1619416094510387200/iIGQvcL5_normal.jpg</v>
      </c>
      <c r="AW2037" s="82" t="s">
        <v>15128</v>
      </c>
      <c r="AX2037" s="82" t="s">
        <v>15128</v>
      </c>
      <c r="AY2037" s="77"/>
      <c r="AZ2037" s="82" t="s">
        <v>17385</v>
      </c>
      <c r="BA2037" s="82" t="s">
        <v>17385</v>
      </c>
      <c r="BB2037" s="82" t="s">
        <v>17385</v>
      </c>
      <c r="BC2037" s="82" t="s">
        <v>15128</v>
      </c>
      <c r="BD2037" s="82" t="s">
        <v>17620</v>
      </c>
      <c r="BE2037" s="77"/>
      <c r="BF2037" s="77"/>
      <c r="BG2037" s="77"/>
      <c r="BH2037" s="77"/>
      <c r="BI2037" s="77"/>
    </row>
    <row r="2038" spans="1:61" x14ac:dyDescent="0.25">
      <c r="A2038" s="62" t="s">
        <v>562</v>
      </c>
      <c r="B2038" s="62" t="s">
        <v>562</v>
      </c>
      <c r="C2038" s="63"/>
      <c r="D2038" s="64"/>
      <c r="E2038" s="65"/>
      <c r="F2038" s="66"/>
      <c r="G2038" s="63"/>
      <c r="H2038" s="67"/>
      <c r="I2038" s="68"/>
      <c r="J2038" s="68"/>
      <c r="K2038" s="32"/>
      <c r="L2038" s="75">
        <v>2038</v>
      </c>
      <c r="M2038" s="75"/>
      <c r="N2038" s="70"/>
      <c r="O2038" s="77" t="s">
        <v>179</v>
      </c>
      <c r="P2038" s="79">
        <v>45049.528807870367</v>
      </c>
      <c r="Q2038" s="77" t="s">
        <v>2823</v>
      </c>
      <c r="R2038" s="77">
        <v>0</v>
      </c>
      <c r="S2038" s="77">
        <v>0</v>
      </c>
      <c r="T2038" s="77">
        <v>0</v>
      </c>
      <c r="U2038" s="77">
        <v>0</v>
      </c>
      <c r="V2038" s="77">
        <v>15</v>
      </c>
      <c r="W2038" s="82" t="s">
        <v>6155</v>
      </c>
      <c r="X2038" s="80" t="str">
        <f>HYPERLINK("https://invst.ly/-xnvu")</f>
        <v>https://invst.ly/-xnvu</v>
      </c>
      <c r="Y2038" s="77" t="s">
        <v>7129</v>
      </c>
      <c r="Z2038" s="77"/>
      <c r="AA2038" s="77"/>
      <c r="AB2038" s="77"/>
      <c r="AC2038" s="82" t="s">
        <v>8232</v>
      </c>
      <c r="AD2038" s="77" t="s">
        <v>8278</v>
      </c>
      <c r="AE2038" s="80" t="str">
        <f>HYPERLINK("https://twitter.com/eddie_poker/status/1653741568136736773")</f>
        <v>https://twitter.com/eddie_poker/status/1653741568136736773</v>
      </c>
      <c r="AF2038" s="79">
        <v>45049.528807870367</v>
      </c>
      <c r="AG2038" s="85">
        <v>45049</v>
      </c>
      <c r="AH2038" s="82" t="s">
        <v>10129</v>
      </c>
      <c r="AI2038" s="77" t="b">
        <v>0</v>
      </c>
      <c r="AJ2038" s="77"/>
      <c r="AK2038" s="77"/>
      <c r="AL2038" s="77"/>
      <c r="AM2038" s="77"/>
      <c r="AN2038" s="77"/>
      <c r="AO2038" s="77"/>
      <c r="AP2038" s="77"/>
      <c r="AQ2038" s="77"/>
      <c r="AR2038" s="77"/>
      <c r="AS2038" s="77"/>
      <c r="AT2038" s="77"/>
      <c r="AU2038" s="77"/>
      <c r="AV2038" s="80" t="str">
        <f>HYPERLINK("https://pbs.twimg.com/profile_images/1605380523819507714/Z5c9T6sP_normal.jpg")</f>
        <v>https://pbs.twimg.com/profile_images/1605380523819507714/Z5c9T6sP_normal.jpg</v>
      </c>
      <c r="AW2038" s="82" t="s">
        <v>15129</v>
      </c>
      <c r="AX2038" s="82" t="s">
        <v>15129</v>
      </c>
      <c r="AY2038" s="77"/>
      <c r="AZ2038" s="82" t="s">
        <v>17385</v>
      </c>
      <c r="BA2038" s="82" t="s">
        <v>17385</v>
      </c>
      <c r="BB2038" s="82" t="s">
        <v>17385</v>
      </c>
      <c r="BC2038" s="82" t="s">
        <v>15129</v>
      </c>
      <c r="BD2038" s="77">
        <v>634133167</v>
      </c>
      <c r="BE2038" s="77"/>
      <c r="BF2038" s="77"/>
      <c r="BG2038" s="77"/>
      <c r="BH2038" s="77"/>
      <c r="BI2038" s="77"/>
    </row>
    <row r="2039" spans="1:61" x14ac:dyDescent="0.25">
      <c r="A2039" s="62" t="s">
        <v>562</v>
      </c>
      <c r="B2039" s="62" t="s">
        <v>562</v>
      </c>
      <c r="C2039" s="63"/>
      <c r="D2039" s="64"/>
      <c r="E2039" s="65"/>
      <c r="F2039" s="66"/>
      <c r="G2039" s="63"/>
      <c r="H2039" s="67"/>
      <c r="I2039" s="68"/>
      <c r="J2039" s="68"/>
      <c r="K2039" s="32"/>
      <c r="L2039" s="75">
        <v>2039</v>
      </c>
      <c r="M2039" s="75"/>
      <c r="N2039" s="70"/>
      <c r="O2039" s="77" t="s">
        <v>179</v>
      </c>
      <c r="P2039" s="79">
        <v>45048.581701388888</v>
      </c>
      <c r="Q2039" s="77" t="s">
        <v>2824</v>
      </c>
      <c r="R2039" s="77">
        <v>0</v>
      </c>
      <c r="S2039" s="77">
        <v>0</v>
      </c>
      <c r="T2039" s="77">
        <v>0</v>
      </c>
      <c r="U2039" s="77">
        <v>0</v>
      </c>
      <c r="V2039" s="77">
        <v>21</v>
      </c>
      <c r="W2039" s="82" t="s">
        <v>4835</v>
      </c>
      <c r="X2039" s="80" t="str">
        <f>HYPERLINK("https://invst.ly/-x7gj")</f>
        <v>https://invst.ly/-x7gj</v>
      </c>
      <c r="Y2039" s="77" t="s">
        <v>7129</v>
      </c>
      <c r="Z2039" s="77"/>
      <c r="AA2039" s="77"/>
      <c r="AB2039" s="77"/>
      <c r="AC2039" s="82" t="s">
        <v>8232</v>
      </c>
      <c r="AD2039" s="77" t="s">
        <v>8278</v>
      </c>
      <c r="AE2039" s="80" t="str">
        <f>HYPERLINK("https://twitter.com/eddie_poker/status/1653398349943324680")</f>
        <v>https://twitter.com/eddie_poker/status/1653398349943324680</v>
      </c>
      <c r="AF2039" s="79">
        <v>45048.581701388888</v>
      </c>
      <c r="AG2039" s="85">
        <v>45048</v>
      </c>
      <c r="AH2039" s="82" t="s">
        <v>10130</v>
      </c>
      <c r="AI2039" s="77" t="b">
        <v>0</v>
      </c>
      <c r="AJ2039" s="77"/>
      <c r="AK2039" s="77"/>
      <c r="AL2039" s="77"/>
      <c r="AM2039" s="77"/>
      <c r="AN2039" s="77"/>
      <c r="AO2039" s="77"/>
      <c r="AP2039" s="77"/>
      <c r="AQ2039" s="77"/>
      <c r="AR2039" s="77"/>
      <c r="AS2039" s="77"/>
      <c r="AT2039" s="77"/>
      <c r="AU2039" s="77"/>
      <c r="AV2039" s="80" t="str">
        <f>HYPERLINK("https://pbs.twimg.com/profile_images/1605380523819507714/Z5c9T6sP_normal.jpg")</f>
        <v>https://pbs.twimg.com/profile_images/1605380523819507714/Z5c9T6sP_normal.jpg</v>
      </c>
      <c r="AW2039" s="82" t="s">
        <v>15130</v>
      </c>
      <c r="AX2039" s="82" t="s">
        <v>15130</v>
      </c>
      <c r="AY2039" s="77"/>
      <c r="AZ2039" s="82" t="s">
        <v>17385</v>
      </c>
      <c r="BA2039" s="82" t="s">
        <v>17385</v>
      </c>
      <c r="BB2039" s="82" t="s">
        <v>17385</v>
      </c>
      <c r="BC2039" s="82" t="s">
        <v>15130</v>
      </c>
      <c r="BD2039" s="77">
        <v>634133167</v>
      </c>
      <c r="BE2039" s="77"/>
      <c r="BF2039" s="77"/>
      <c r="BG2039" s="77"/>
      <c r="BH2039" s="77"/>
      <c r="BI2039" s="77"/>
    </row>
    <row r="2040" spans="1:61" x14ac:dyDescent="0.25">
      <c r="A2040" s="62" t="s">
        <v>563</v>
      </c>
      <c r="B2040" s="62" t="s">
        <v>784</v>
      </c>
      <c r="C2040" s="63"/>
      <c r="D2040" s="64"/>
      <c r="E2040" s="65"/>
      <c r="F2040" s="66"/>
      <c r="G2040" s="63"/>
      <c r="H2040" s="67"/>
      <c r="I2040" s="68"/>
      <c r="J2040" s="68"/>
      <c r="K2040" s="32"/>
      <c r="L2040" s="75">
        <v>2040</v>
      </c>
      <c r="M2040" s="75"/>
      <c r="N2040" s="70"/>
      <c r="O2040" s="77" t="s">
        <v>802</v>
      </c>
      <c r="P2040" s="79">
        <v>45090.573564814818</v>
      </c>
      <c r="Q2040" s="77" t="s">
        <v>2825</v>
      </c>
      <c r="R2040" s="77">
        <v>0</v>
      </c>
      <c r="S2040" s="77">
        <v>0</v>
      </c>
      <c r="T2040" s="77">
        <v>0</v>
      </c>
      <c r="U2040" s="77">
        <v>0</v>
      </c>
      <c r="V2040" s="77">
        <v>13</v>
      </c>
      <c r="W2040" s="82" t="s">
        <v>6156</v>
      </c>
      <c r="X2040" s="77"/>
      <c r="Y2040" s="77"/>
      <c r="Z2040" s="77" t="s">
        <v>784</v>
      </c>
      <c r="AA2040" s="77"/>
      <c r="AB2040" s="77"/>
      <c r="AC2040" s="82" t="s">
        <v>8232</v>
      </c>
      <c r="AD2040" s="77" t="s">
        <v>8278</v>
      </c>
      <c r="AE2040" s="80" t="str">
        <f>HYPERLINK("https://twitter.com/ex_terior/status/1668615688171433985")</f>
        <v>https://twitter.com/ex_terior/status/1668615688171433985</v>
      </c>
      <c r="AF2040" s="79">
        <v>45090.573564814818</v>
      </c>
      <c r="AG2040" s="85">
        <v>45090</v>
      </c>
      <c r="AH2040" s="82" t="s">
        <v>10131</v>
      </c>
      <c r="AI2040" s="77"/>
      <c r="AJ2040" s="77"/>
      <c r="AK2040" s="77"/>
      <c r="AL2040" s="77"/>
      <c r="AM2040" s="77"/>
      <c r="AN2040" s="77"/>
      <c r="AO2040" s="77"/>
      <c r="AP2040" s="77"/>
      <c r="AQ2040" s="77"/>
      <c r="AR2040" s="77"/>
      <c r="AS2040" s="77"/>
      <c r="AT2040" s="77"/>
      <c r="AU2040" s="77"/>
      <c r="AV2040" s="80" t="str">
        <f>HYPERLINK("https://pbs.twimg.com/profile_images/1643749433325113346/r1dsz00Y_normal.jpg")</f>
        <v>https://pbs.twimg.com/profile_images/1643749433325113346/r1dsz00Y_normal.jpg</v>
      </c>
      <c r="AW2040" s="82" t="s">
        <v>15131</v>
      </c>
      <c r="AX2040" s="82" t="s">
        <v>15131</v>
      </c>
      <c r="AY2040" s="77"/>
      <c r="AZ2040" s="82" t="s">
        <v>17385</v>
      </c>
      <c r="BA2040" s="82" t="s">
        <v>17385</v>
      </c>
      <c r="BB2040" s="82" t="s">
        <v>17385</v>
      </c>
      <c r="BC2040" s="82" t="s">
        <v>15131</v>
      </c>
      <c r="BD2040" s="82" t="s">
        <v>17621</v>
      </c>
      <c r="BE2040" s="77"/>
      <c r="BF2040" s="77"/>
      <c r="BG2040" s="77"/>
      <c r="BH2040" s="77"/>
      <c r="BI2040" s="77"/>
    </row>
    <row r="2041" spans="1:61" x14ac:dyDescent="0.25">
      <c r="A2041" s="62" t="s">
        <v>564</v>
      </c>
      <c r="B2041" s="62" t="s">
        <v>564</v>
      </c>
      <c r="C2041" s="63"/>
      <c r="D2041" s="64"/>
      <c r="E2041" s="65"/>
      <c r="F2041" s="66"/>
      <c r="G2041" s="63"/>
      <c r="H2041" s="67"/>
      <c r="I2041" s="68"/>
      <c r="J2041" s="68"/>
      <c r="K2041" s="32"/>
      <c r="L2041" s="75">
        <v>2041</v>
      </c>
      <c r="M2041" s="75"/>
      <c r="N2041" s="70"/>
      <c r="O2041" s="77" t="s">
        <v>179</v>
      </c>
      <c r="P2041" s="79">
        <v>45100.77652777778</v>
      </c>
      <c r="Q2041" s="77" t="s">
        <v>2826</v>
      </c>
      <c r="R2041" s="77">
        <v>0</v>
      </c>
      <c r="S2041" s="77">
        <v>0</v>
      </c>
      <c r="T2041" s="77">
        <v>0</v>
      </c>
      <c r="U2041" s="77">
        <v>0</v>
      </c>
      <c r="V2041" s="77">
        <v>28</v>
      </c>
      <c r="W2041" s="82" t="s">
        <v>6157</v>
      </c>
      <c r="X2041" s="77"/>
      <c r="Y2041" s="77"/>
      <c r="Z2041" s="77"/>
      <c r="AA2041" s="77" t="s">
        <v>7992</v>
      </c>
      <c r="AB2041" s="77" t="s">
        <v>8225</v>
      </c>
      <c r="AC2041" s="82" t="s">
        <v>8232</v>
      </c>
      <c r="AD2041" s="77" t="s">
        <v>8278</v>
      </c>
      <c r="AE2041" s="80" t="str">
        <f>HYPERLINK("https://twitter.com/osmarangelin/status/1672313120969183232")</f>
        <v>https://twitter.com/osmarangelin/status/1672313120969183232</v>
      </c>
      <c r="AF2041" s="79">
        <v>45100.77652777778</v>
      </c>
      <c r="AG2041" s="85">
        <v>45100</v>
      </c>
      <c r="AH2041" s="82" t="s">
        <v>10132</v>
      </c>
      <c r="AI2041" s="77" t="b">
        <v>0</v>
      </c>
      <c r="AJ2041" s="77"/>
      <c r="AK2041" s="77"/>
      <c r="AL2041" s="77"/>
      <c r="AM2041" s="77"/>
      <c r="AN2041" s="77"/>
      <c r="AO2041" s="77"/>
      <c r="AP2041" s="77"/>
      <c r="AQ2041" s="77" t="s">
        <v>12877</v>
      </c>
      <c r="AR2041" s="77"/>
      <c r="AS2041" s="77"/>
      <c r="AT2041" s="77"/>
      <c r="AU2041" s="77"/>
      <c r="AV2041" s="80" t="str">
        <f>HYPERLINK("https://pbs.twimg.com/media/FzU_VauWIAMt6zD.png")</f>
        <v>https://pbs.twimg.com/media/FzU_VauWIAMt6zD.png</v>
      </c>
      <c r="AW2041" s="82" t="s">
        <v>15132</v>
      </c>
      <c r="AX2041" s="82" t="s">
        <v>15132</v>
      </c>
      <c r="AY2041" s="77"/>
      <c r="AZ2041" s="82" t="s">
        <v>17385</v>
      </c>
      <c r="BA2041" s="82" t="s">
        <v>17385</v>
      </c>
      <c r="BB2041" s="82" t="s">
        <v>17385</v>
      </c>
      <c r="BC2041" s="82" t="s">
        <v>15132</v>
      </c>
      <c r="BD2041" s="77">
        <v>2874080791</v>
      </c>
      <c r="BE2041" s="77"/>
      <c r="BF2041" s="77"/>
      <c r="BG2041" s="77"/>
      <c r="BH2041" s="77"/>
      <c r="BI2041" s="77"/>
    </row>
    <row r="2042" spans="1:61" x14ac:dyDescent="0.25">
      <c r="A2042" s="62" t="s">
        <v>565</v>
      </c>
      <c r="B2042" s="62" t="s">
        <v>565</v>
      </c>
      <c r="C2042" s="63"/>
      <c r="D2042" s="64"/>
      <c r="E2042" s="65"/>
      <c r="F2042" s="66"/>
      <c r="G2042" s="63"/>
      <c r="H2042" s="67"/>
      <c r="I2042" s="68"/>
      <c r="J2042" s="68"/>
      <c r="K2042" s="32"/>
      <c r="L2042" s="75">
        <v>2042</v>
      </c>
      <c r="M2042" s="75"/>
      <c r="N2042" s="70"/>
      <c r="O2042" s="77" t="s">
        <v>179</v>
      </c>
      <c r="P2042" s="79">
        <v>45152.639918981484</v>
      </c>
      <c r="Q2042" s="77" t="s">
        <v>2827</v>
      </c>
      <c r="R2042" s="77">
        <v>0</v>
      </c>
      <c r="S2042" s="77">
        <v>2</v>
      </c>
      <c r="T2042" s="77">
        <v>7</v>
      </c>
      <c r="U2042" s="77">
        <v>1</v>
      </c>
      <c r="V2042" s="77">
        <v>2739</v>
      </c>
      <c r="W2042" s="82" t="s">
        <v>6158</v>
      </c>
      <c r="X2042" s="77"/>
      <c r="Y2042" s="77"/>
      <c r="Z2042" s="77"/>
      <c r="AA2042" s="77" t="s">
        <v>7993</v>
      </c>
      <c r="AB2042" s="77" t="s">
        <v>8225</v>
      </c>
      <c r="AC2042" s="82" t="s">
        <v>8233</v>
      </c>
      <c r="AD2042" s="77" t="s">
        <v>8278</v>
      </c>
      <c r="AE2042" s="80" t="str">
        <f>HYPERLINK("https://twitter.com/yagocardoso_/status/1691107785147023360")</f>
        <v>https://twitter.com/yagocardoso_/status/1691107785147023360</v>
      </c>
      <c r="AF2042" s="79">
        <v>45152.639918981484</v>
      </c>
      <c r="AG2042" s="85">
        <v>45152</v>
      </c>
      <c r="AH2042" s="82" t="s">
        <v>10133</v>
      </c>
      <c r="AI2042" s="77" t="b">
        <v>0</v>
      </c>
      <c r="AJ2042" s="77"/>
      <c r="AK2042" s="77"/>
      <c r="AL2042" s="77"/>
      <c r="AM2042" s="77"/>
      <c r="AN2042" s="77"/>
      <c r="AO2042" s="77"/>
      <c r="AP2042" s="77"/>
      <c r="AQ2042" s="77" t="s">
        <v>12878</v>
      </c>
      <c r="AR2042" s="77"/>
      <c r="AS2042" s="77"/>
      <c r="AT2042" s="77"/>
      <c r="AU2042" s="77"/>
      <c r="AV2042" s="80" t="str">
        <f>HYPERLINK("https://pbs.twimg.com/media/F3gFkT4WgAAo6Uz.jpg")</f>
        <v>https://pbs.twimg.com/media/F3gFkT4WgAAo6Uz.jpg</v>
      </c>
      <c r="AW2042" s="82" t="s">
        <v>15133</v>
      </c>
      <c r="AX2042" s="82" t="s">
        <v>15133</v>
      </c>
      <c r="AY2042" s="77"/>
      <c r="AZ2042" s="82" t="s">
        <v>17385</v>
      </c>
      <c r="BA2042" s="82" t="s">
        <v>17385</v>
      </c>
      <c r="BB2042" s="82" t="s">
        <v>17385</v>
      </c>
      <c r="BC2042" s="82" t="s">
        <v>15133</v>
      </c>
      <c r="BD2042" s="82" t="s">
        <v>17622</v>
      </c>
      <c r="BE2042" s="77"/>
      <c r="BF2042" s="77"/>
      <c r="BG2042" s="77"/>
      <c r="BH2042" s="77"/>
      <c r="BI2042" s="77"/>
    </row>
    <row r="2043" spans="1:61" x14ac:dyDescent="0.25">
      <c r="A2043" s="62" t="s">
        <v>566</v>
      </c>
      <c r="B2043" s="62" t="s">
        <v>566</v>
      </c>
      <c r="C2043" s="63"/>
      <c r="D2043" s="64"/>
      <c r="E2043" s="65"/>
      <c r="F2043" s="66"/>
      <c r="G2043" s="63"/>
      <c r="H2043" s="67"/>
      <c r="I2043" s="68"/>
      <c r="J2043" s="68"/>
      <c r="K2043" s="32"/>
      <c r="L2043" s="75">
        <v>2043</v>
      </c>
      <c r="M2043" s="75"/>
      <c r="N2043" s="70"/>
      <c r="O2043" s="77" t="s">
        <v>179</v>
      </c>
      <c r="P2043" s="79">
        <v>45150.917638888888</v>
      </c>
      <c r="Q2043" s="77" t="s">
        <v>2828</v>
      </c>
      <c r="R2043" s="77">
        <v>0</v>
      </c>
      <c r="S2043" s="77">
        <v>1</v>
      </c>
      <c r="T2043" s="77">
        <v>0</v>
      </c>
      <c r="U2043" s="77">
        <v>0</v>
      </c>
      <c r="V2043" s="77">
        <v>63</v>
      </c>
      <c r="W2043" s="82" t="s">
        <v>6159</v>
      </c>
      <c r="X2043" s="80" t="str">
        <f>HYPERLINK("http://www.wagnergeremia.com")</f>
        <v>http://www.wagnergeremia.com</v>
      </c>
      <c r="Y2043" s="77" t="s">
        <v>7130</v>
      </c>
      <c r="Z2043" s="77"/>
      <c r="AA2043" s="77" t="s">
        <v>7994</v>
      </c>
      <c r="AB2043" s="77" t="s">
        <v>8227</v>
      </c>
      <c r="AC2043" s="82" t="s">
        <v>8254</v>
      </c>
      <c r="AD2043" s="77" t="s">
        <v>8278</v>
      </c>
      <c r="AE2043" s="80" t="str">
        <f>HYPERLINK("https://twitter.com/wagnergeremia/status/1690483650620477441")</f>
        <v>https://twitter.com/wagnergeremia/status/1690483650620477441</v>
      </c>
      <c r="AF2043" s="79">
        <v>45150.917638888888</v>
      </c>
      <c r="AG2043" s="85">
        <v>45150</v>
      </c>
      <c r="AH2043" s="82" t="s">
        <v>10134</v>
      </c>
      <c r="AI2043" s="77" t="b">
        <v>0</v>
      </c>
      <c r="AJ2043" s="77"/>
      <c r="AK2043" s="77"/>
      <c r="AL2043" s="77"/>
      <c r="AM2043" s="77"/>
      <c r="AN2043" s="77"/>
      <c r="AO2043" s="77"/>
      <c r="AP2043" s="77"/>
      <c r="AQ2043" s="77" t="s">
        <v>12879</v>
      </c>
      <c r="AR2043" s="77">
        <v>56300</v>
      </c>
      <c r="AS2043" s="77"/>
      <c r="AT2043" s="77"/>
      <c r="AU2043" s="77"/>
      <c r="AV2043" s="80" t="str">
        <f>HYPERLINK("https://pbs.twimg.com/ext_tw_video_thumb/1690483581439643648/pu/img/p8v-f986tgh5sH-t.jpg")</f>
        <v>https://pbs.twimg.com/ext_tw_video_thumb/1690483581439643648/pu/img/p8v-f986tgh5sH-t.jpg</v>
      </c>
      <c r="AW2043" s="82" t="s">
        <v>15134</v>
      </c>
      <c r="AX2043" s="82" t="s">
        <v>15134</v>
      </c>
      <c r="AY2043" s="77"/>
      <c r="AZ2043" s="82" t="s">
        <v>17385</v>
      </c>
      <c r="BA2043" s="82" t="s">
        <v>17385</v>
      </c>
      <c r="BB2043" s="82" t="s">
        <v>17385</v>
      </c>
      <c r="BC2043" s="82" t="s">
        <v>15134</v>
      </c>
      <c r="BD2043" s="77">
        <v>438488077</v>
      </c>
      <c r="BE2043" s="77"/>
      <c r="BF2043" s="77"/>
      <c r="BG2043" s="77"/>
      <c r="BH2043" s="77"/>
      <c r="BI2043" s="77"/>
    </row>
    <row r="2044" spans="1:61" x14ac:dyDescent="0.25">
      <c r="A2044" s="62" t="s">
        <v>566</v>
      </c>
      <c r="B2044" s="62" t="s">
        <v>566</v>
      </c>
      <c r="C2044" s="63"/>
      <c r="D2044" s="64"/>
      <c r="E2044" s="65"/>
      <c r="F2044" s="66"/>
      <c r="G2044" s="63"/>
      <c r="H2044" s="67"/>
      <c r="I2044" s="68"/>
      <c r="J2044" s="68"/>
      <c r="K2044" s="32"/>
      <c r="L2044" s="75">
        <v>2044</v>
      </c>
      <c r="M2044" s="75"/>
      <c r="N2044" s="70"/>
      <c r="O2044" s="77" t="s">
        <v>179</v>
      </c>
      <c r="P2044" s="79">
        <v>45155.625891203701</v>
      </c>
      <c r="Q2044" s="77" t="s">
        <v>2829</v>
      </c>
      <c r="R2044" s="77">
        <v>0</v>
      </c>
      <c r="S2044" s="77">
        <v>0</v>
      </c>
      <c r="T2044" s="77">
        <v>0</v>
      </c>
      <c r="U2044" s="77">
        <v>0</v>
      </c>
      <c r="V2044" s="77">
        <v>28</v>
      </c>
      <c r="W2044" s="82" t="s">
        <v>6160</v>
      </c>
      <c r="X2044" s="80" t="str">
        <f>HYPERLINK("http://www.wagnergeremia.com")</f>
        <v>http://www.wagnergeremia.com</v>
      </c>
      <c r="Y2044" s="77" t="s">
        <v>7130</v>
      </c>
      <c r="Z2044" s="77"/>
      <c r="AA2044" s="77" t="s">
        <v>7995</v>
      </c>
      <c r="AB2044" s="77" t="s">
        <v>8227</v>
      </c>
      <c r="AC2044" s="82" t="s">
        <v>8254</v>
      </c>
      <c r="AD2044" s="77" t="s">
        <v>8278</v>
      </c>
      <c r="AE2044" s="80" t="str">
        <f>HYPERLINK("https://twitter.com/wagnergeremia/status/1692189862705676687")</f>
        <v>https://twitter.com/wagnergeremia/status/1692189862705676687</v>
      </c>
      <c r="AF2044" s="79">
        <v>45155.625891203701</v>
      </c>
      <c r="AG2044" s="85">
        <v>45155</v>
      </c>
      <c r="AH2044" s="82" t="s">
        <v>10135</v>
      </c>
      <c r="AI2044" s="77" t="b">
        <v>0</v>
      </c>
      <c r="AJ2044" s="77"/>
      <c r="AK2044" s="77"/>
      <c r="AL2044" s="77"/>
      <c r="AM2044" s="77"/>
      <c r="AN2044" s="77"/>
      <c r="AO2044" s="77"/>
      <c r="AP2044" s="77"/>
      <c r="AQ2044" s="77" t="s">
        <v>12880</v>
      </c>
      <c r="AR2044" s="77">
        <v>36633</v>
      </c>
      <c r="AS2044" s="77"/>
      <c r="AT2044" s="77"/>
      <c r="AU2044" s="77"/>
      <c r="AV2044" s="80" t="str">
        <f>HYPERLINK("https://pbs.twimg.com/ext_tw_video_thumb/1692189804895612929/pu/img/vMh9BGT5hSEkrCQ5.jpg")</f>
        <v>https://pbs.twimg.com/ext_tw_video_thumb/1692189804895612929/pu/img/vMh9BGT5hSEkrCQ5.jpg</v>
      </c>
      <c r="AW2044" s="82" t="s">
        <v>15135</v>
      </c>
      <c r="AX2044" s="82" t="s">
        <v>15135</v>
      </c>
      <c r="AY2044" s="77"/>
      <c r="AZ2044" s="82" t="s">
        <v>17385</v>
      </c>
      <c r="BA2044" s="82" t="s">
        <v>17385</v>
      </c>
      <c r="BB2044" s="82" t="s">
        <v>17385</v>
      </c>
      <c r="BC2044" s="82" t="s">
        <v>15135</v>
      </c>
      <c r="BD2044" s="77">
        <v>438488077</v>
      </c>
      <c r="BE2044" s="77"/>
      <c r="BF2044" s="77"/>
      <c r="BG2044" s="77"/>
      <c r="BH2044" s="77"/>
      <c r="BI2044" s="77"/>
    </row>
    <row r="2045" spans="1:61" x14ac:dyDescent="0.25">
      <c r="A2045" s="62" t="s">
        <v>566</v>
      </c>
      <c r="B2045" s="62" t="s">
        <v>566</v>
      </c>
      <c r="C2045" s="63"/>
      <c r="D2045" s="64"/>
      <c r="E2045" s="65"/>
      <c r="F2045" s="66"/>
      <c r="G2045" s="63"/>
      <c r="H2045" s="67"/>
      <c r="I2045" s="68"/>
      <c r="J2045" s="68"/>
      <c r="K2045" s="32"/>
      <c r="L2045" s="75">
        <v>2045</v>
      </c>
      <c r="M2045" s="75"/>
      <c r="N2045" s="70"/>
      <c r="O2045" s="77" t="s">
        <v>179</v>
      </c>
      <c r="P2045" s="79">
        <v>45146.746805555558</v>
      </c>
      <c r="Q2045" s="77" t="s">
        <v>2830</v>
      </c>
      <c r="R2045" s="77">
        <v>0</v>
      </c>
      <c r="S2045" s="77">
        <v>0</v>
      </c>
      <c r="T2045" s="77">
        <v>0</v>
      </c>
      <c r="U2045" s="77">
        <v>0</v>
      </c>
      <c r="V2045" s="77">
        <v>246</v>
      </c>
      <c r="W2045" s="82" t="s">
        <v>6161</v>
      </c>
      <c r="X2045" s="80" t="str">
        <f>HYPERLINK("https://youtu.be/wOovtaOq_4w")</f>
        <v>https://youtu.be/wOovtaOq_4w</v>
      </c>
      <c r="Y2045" s="77" t="s">
        <v>7064</v>
      </c>
      <c r="Z2045" s="77"/>
      <c r="AA2045" s="77" t="s">
        <v>7996</v>
      </c>
      <c r="AB2045" s="77" t="s">
        <v>8227</v>
      </c>
      <c r="AC2045" s="82" t="s">
        <v>8254</v>
      </c>
      <c r="AD2045" s="77" t="s">
        <v>8278</v>
      </c>
      <c r="AE2045" s="80" t="str">
        <f>HYPERLINK("https://twitter.com/wagnergeremia/status/1688972191176527888")</f>
        <v>https://twitter.com/wagnergeremia/status/1688972191176527888</v>
      </c>
      <c r="AF2045" s="79">
        <v>45146.746805555558</v>
      </c>
      <c r="AG2045" s="85">
        <v>45146</v>
      </c>
      <c r="AH2045" s="82" t="s">
        <v>10136</v>
      </c>
      <c r="AI2045" s="77" t="b">
        <v>0</v>
      </c>
      <c r="AJ2045" s="77"/>
      <c r="AK2045" s="77"/>
      <c r="AL2045" s="77"/>
      <c r="AM2045" s="77"/>
      <c r="AN2045" s="77"/>
      <c r="AO2045" s="77"/>
      <c r="AP2045" s="77"/>
      <c r="AQ2045" s="77" t="s">
        <v>12881</v>
      </c>
      <c r="AR2045" s="77">
        <v>57300</v>
      </c>
      <c r="AS2045" s="77"/>
      <c r="AT2045" s="77"/>
      <c r="AU2045" s="77"/>
      <c r="AV2045" s="80" t="str">
        <f>HYPERLINK("https://pbs.twimg.com/ext_tw_video_thumb/1688972139792109580/pu/img/kLP1m99ME_Tljnfd.jpg")</f>
        <v>https://pbs.twimg.com/ext_tw_video_thumb/1688972139792109580/pu/img/kLP1m99ME_Tljnfd.jpg</v>
      </c>
      <c r="AW2045" s="82" t="s">
        <v>15136</v>
      </c>
      <c r="AX2045" s="82" t="s">
        <v>15136</v>
      </c>
      <c r="AY2045" s="77"/>
      <c r="AZ2045" s="82" t="s">
        <v>17385</v>
      </c>
      <c r="BA2045" s="82" t="s">
        <v>17385</v>
      </c>
      <c r="BB2045" s="82" t="s">
        <v>17385</v>
      </c>
      <c r="BC2045" s="82" t="s">
        <v>15136</v>
      </c>
      <c r="BD2045" s="77">
        <v>438488077</v>
      </c>
      <c r="BE2045" s="77"/>
      <c r="BF2045" s="77"/>
      <c r="BG2045" s="77"/>
      <c r="BH2045" s="77"/>
      <c r="BI2045" s="77"/>
    </row>
    <row r="2046" spans="1:61" x14ac:dyDescent="0.25">
      <c r="A2046" s="62" t="s">
        <v>566</v>
      </c>
      <c r="B2046" s="62" t="s">
        <v>566</v>
      </c>
      <c r="C2046" s="63"/>
      <c r="D2046" s="64"/>
      <c r="E2046" s="65"/>
      <c r="F2046" s="66"/>
      <c r="G2046" s="63"/>
      <c r="H2046" s="67"/>
      <c r="I2046" s="68"/>
      <c r="J2046" s="68"/>
      <c r="K2046" s="32"/>
      <c r="L2046" s="75">
        <v>2046</v>
      </c>
      <c r="M2046" s="75"/>
      <c r="N2046" s="70"/>
      <c r="O2046" s="77" t="s">
        <v>179</v>
      </c>
      <c r="P2046" s="79">
        <v>45112.835810185185</v>
      </c>
      <c r="Q2046" s="77" t="s">
        <v>2831</v>
      </c>
      <c r="R2046" s="77">
        <v>0</v>
      </c>
      <c r="S2046" s="77">
        <v>0</v>
      </c>
      <c r="T2046" s="77">
        <v>0</v>
      </c>
      <c r="U2046" s="77">
        <v>0</v>
      </c>
      <c r="V2046" s="77">
        <v>14</v>
      </c>
      <c r="W2046" s="82" t="s">
        <v>6162</v>
      </c>
      <c r="X2046" s="80" t="str">
        <f>HYPERLINK("https://youtu.be/zkzXzIJNB_k")</f>
        <v>https://youtu.be/zkzXzIJNB_k</v>
      </c>
      <c r="Y2046" s="77" t="s">
        <v>7064</v>
      </c>
      <c r="Z2046" s="77"/>
      <c r="AA2046" s="77" t="s">
        <v>7997</v>
      </c>
      <c r="AB2046" s="77" t="s">
        <v>8227</v>
      </c>
      <c r="AC2046" s="82" t="s">
        <v>8254</v>
      </c>
      <c r="AD2046" s="77" t="s">
        <v>8278</v>
      </c>
      <c r="AE2046" s="80" t="str">
        <f>HYPERLINK("https://twitter.com/wagnergeremia/status/1676683257880911876")</f>
        <v>https://twitter.com/wagnergeremia/status/1676683257880911876</v>
      </c>
      <c r="AF2046" s="79">
        <v>45112.835810185185</v>
      </c>
      <c r="AG2046" s="85">
        <v>45112</v>
      </c>
      <c r="AH2046" s="82" t="s">
        <v>10137</v>
      </c>
      <c r="AI2046" s="77" t="b">
        <v>0</v>
      </c>
      <c r="AJ2046" s="77"/>
      <c r="AK2046" s="77"/>
      <c r="AL2046" s="77"/>
      <c r="AM2046" s="77"/>
      <c r="AN2046" s="77"/>
      <c r="AO2046" s="77"/>
      <c r="AP2046" s="77"/>
      <c r="AQ2046" s="77" t="s">
        <v>12882</v>
      </c>
      <c r="AR2046" s="77">
        <v>25200</v>
      </c>
      <c r="AS2046" s="77"/>
      <c r="AT2046" s="77"/>
      <c r="AU2046" s="77"/>
      <c r="AV2046" s="80" t="str">
        <f>HYPERLINK("https://pbs.twimg.com/ext_tw_video_thumb/1676683211491930112/pu/img/I_wl2GGy6DyZ_eWn.jpg")</f>
        <v>https://pbs.twimg.com/ext_tw_video_thumb/1676683211491930112/pu/img/I_wl2GGy6DyZ_eWn.jpg</v>
      </c>
      <c r="AW2046" s="82" t="s">
        <v>15137</v>
      </c>
      <c r="AX2046" s="82" t="s">
        <v>15137</v>
      </c>
      <c r="AY2046" s="77"/>
      <c r="AZ2046" s="82" t="s">
        <v>17385</v>
      </c>
      <c r="BA2046" s="82" t="s">
        <v>17385</v>
      </c>
      <c r="BB2046" s="82" t="s">
        <v>17385</v>
      </c>
      <c r="BC2046" s="82" t="s">
        <v>15137</v>
      </c>
      <c r="BD2046" s="77">
        <v>438488077</v>
      </c>
      <c r="BE2046" s="77"/>
      <c r="BF2046" s="77"/>
      <c r="BG2046" s="77"/>
      <c r="BH2046" s="77"/>
      <c r="BI2046" s="77"/>
    </row>
    <row r="2047" spans="1:61" x14ac:dyDescent="0.25">
      <c r="A2047" s="62" t="s">
        <v>566</v>
      </c>
      <c r="B2047" s="62" t="s">
        <v>566</v>
      </c>
      <c r="C2047" s="63"/>
      <c r="D2047" s="64"/>
      <c r="E2047" s="65"/>
      <c r="F2047" s="66"/>
      <c r="G2047" s="63"/>
      <c r="H2047" s="67"/>
      <c r="I2047" s="68"/>
      <c r="J2047" s="68"/>
      <c r="K2047" s="32"/>
      <c r="L2047" s="75">
        <v>2047</v>
      </c>
      <c r="M2047" s="75"/>
      <c r="N2047" s="70"/>
      <c r="O2047" s="77" t="s">
        <v>179</v>
      </c>
      <c r="P2047" s="79">
        <v>45153.917743055557</v>
      </c>
      <c r="Q2047" s="77" t="s">
        <v>2832</v>
      </c>
      <c r="R2047" s="77">
        <v>0</v>
      </c>
      <c r="S2047" s="77">
        <v>1</v>
      </c>
      <c r="T2047" s="77">
        <v>0</v>
      </c>
      <c r="U2047" s="77">
        <v>0</v>
      </c>
      <c r="V2047" s="77">
        <v>56</v>
      </c>
      <c r="W2047" s="82" t="s">
        <v>6159</v>
      </c>
      <c r="X2047" s="80" t="str">
        <f>HYPERLINK("http://www.wagnergeremia.com")</f>
        <v>http://www.wagnergeremia.com</v>
      </c>
      <c r="Y2047" s="77" t="s">
        <v>7130</v>
      </c>
      <c r="Z2047" s="77"/>
      <c r="AA2047" s="77" t="s">
        <v>7998</v>
      </c>
      <c r="AB2047" s="77" t="s">
        <v>8227</v>
      </c>
      <c r="AC2047" s="82" t="s">
        <v>8254</v>
      </c>
      <c r="AD2047" s="77" t="s">
        <v>8278</v>
      </c>
      <c r="AE2047" s="80" t="str">
        <f>HYPERLINK("https://twitter.com/wagnergeremia/status/1691570849860501973")</f>
        <v>https://twitter.com/wagnergeremia/status/1691570849860501973</v>
      </c>
      <c r="AF2047" s="79">
        <v>45153.917743055557</v>
      </c>
      <c r="AG2047" s="85">
        <v>45153</v>
      </c>
      <c r="AH2047" s="82" t="s">
        <v>8480</v>
      </c>
      <c r="AI2047" s="77" t="b">
        <v>0</v>
      </c>
      <c r="AJ2047" s="77"/>
      <c r="AK2047" s="77"/>
      <c r="AL2047" s="77"/>
      <c r="AM2047" s="77"/>
      <c r="AN2047" s="77"/>
      <c r="AO2047" s="77"/>
      <c r="AP2047" s="77"/>
      <c r="AQ2047" s="77" t="s">
        <v>12883</v>
      </c>
      <c r="AR2047" s="77">
        <v>50500</v>
      </c>
      <c r="AS2047" s="77"/>
      <c r="AT2047" s="77"/>
      <c r="AU2047" s="77"/>
      <c r="AV2047" s="80" t="str">
        <f>HYPERLINK("https://pbs.twimg.com/ext_tw_video_thumb/1691570778842533888/pu/img/UD-yibBYHf9uuUEW.jpg")</f>
        <v>https://pbs.twimg.com/ext_tw_video_thumb/1691570778842533888/pu/img/UD-yibBYHf9uuUEW.jpg</v>
      </c>
      <c r="AW2047" s="82" t="s">
        <v>15138</v>
      </c>
      <c r="AX2047" s="82" t="s">
        <v>15138</v>
      </c>
      <c r="AY2047" s="77"/>
      <c r="AZ2047" s="82" t="s">
        <v>17385</v>
      </c>
      <c r="BA2047" s="82" t="s">
        <v>17385</v>
      </c>
      <c r="BB2047" s="82" t="s">
        <v>17385</v>
      </c>
      <c r="BC2047" s="82" t="s">
        <v>15138</v>
      </c>
      <c r="BD2047" s="77">
        <v>438488077</v>
      </c>
      <c r="BE2047" s="77"/>
      <c r="BF2047" s="77"/>
      <c r="BG2047" s="77"/>
      <c r="BH2047" s="77"/>
      <c r="BI2047" s="77"/>
    </row>
    <row r="2048" spans="1:61" x14ac:dyDescent="0.25">
      <c r="A2048" s="62" t="s">
        <v>566</v>
      </c>
      <c r="B2048" s="62" t="s">
        <v>566</v>
      </c>
      <c r="C2048" s="63"/>
      <c r="D2048" s="64"/>
      <c r="E2048" s="65"/>
      <c r="F2048" s="66"/>
      <c r="G2048" s="63"/>
      <c r="H2048" s="67"/>
      <c r="I2048" s="68"/>
      <c r="J2048" s="68"/>
      <c r="K2048" s="32"/>
      <c r="L2048" s="75">
        <v>2048</v>
      </c>
      <c r="M2048" s="75"/>
      <c r="N2048" s="70"/>
      <c r="O2048" s="77" t="s">
        <v>179</v>
      </c>
      <c r="P2048" s="79">
        <v>45131.681967592594</v>
      </c>
      <c r="Q2048" s="77" t="s">
        <v>2833</v>
      </c>
      <c r="R2048" s="77">
        <v>0</v>
      </c>
      <c r="S2048" s="77">
        <v>1</v>
      </c>
      <c r="T2048" s="77">
        <v>0</v>
      </c>
      <c r="U2048" s="77">
        <v>0</v>
      </c>
      <c r="V2048" s="77">
        <v>27</v>
      </c>
      <c r="W2048" s="82" t="s">
        <v>6162</v>
      </c>
      <c r="X2048" s="80" t="str">
        <f>HYPERLINK("https://youtu.be/BbnM84fzlxw")</f>
        <v>https://youtu.be/BbnM84fzlxw</v>
      </c>
      <c r="Y2048" s="77" t="s">
        <v>7064</v>
      </c>
      <c r="Z2048" s="77"/>
      <c r="AA2048" s="77" t="s">
        <v>7999</v>
      </c>
      <c r="AB2048" s="77" t="s">
        <v>8227</v>
      </c>
      <c r="AC2048" s="82" t="s">
        <v>8254</v>
      </c>
      <c r="AD2048" s="77" t="s">
        <v>8278</v>
      </c>
      <c r="AE2048" s="80" t="str">
        <f>HYPERLINK("https://twitter.com/wagnergeremia/status/1683512875489320960")</f>
        <v>https://twitter.com/wagnergeremia/status/1683512875489320960</v>
      </c>
      <c r="AF2048" s="79">
        <v>45131.681967592594</v>
      </c>
      <c r="AG2048" s="85">
        <v>45131</v>
      </c>
      <c r="AH2048" s="82" t="s">
        <v>10138</v>
      </c>
      <c r="AI2048" s="77" t="b">
        <v>0</v>
      </c>
      <c r="AJ2048" s="77"/>
      <c r="AK2048" s="77"/>
      <c r="AL2048" s="77"/>
      <c r="AM2048" s="77"/>
      <c r="AN2048" s="77"/>
      <c r="AO2048" s="77"/>
      <c r="AP2048" s="77"/>
      <c r="AQ2048" s="77" t="s">
        <v>12884</v>
      </c>
      <c r="AR2048" s="77">
        <v>11200</v>
      </c>
      <c r="AS2048" s="77"/>
      <c r="AT2048" s="77"/>
      <c r="AU2048" s="77"/>
      <c r="AV2048" s="80" t="str">
        <f>HYPERLINK("https://pbs.twimg.com/ext_tw_video_thumb/1683512830987837443/pu/img/B-KU7iEPbN2PyNUr.jpg")</f>
        <v>https://pbs.twimg.com/ext_tw_video_thumb/1683512830987837443/pu/img/B-KU7iEPbN2PyNUr.jpg</v>
      </c>
      <c r="AW2048" s="82" t="s">
        <v>15139</v>
      </c>
      <c r="AX2048" s="82" t="s">
        <v>15139</v>
      </c>
      <c r="AY2048" s="77"/>
      <c r="AZ2048" s="82" t="s">
        <v>17385</v>
      </c>
      <c r="BA2048" s="82" t="s">
        <v>17385</v>
      </c>
      <c r="BB2048" s="82" t="s">
        <v>17385</v>
      </c>
      <c r="BC2048" s="82" t="s">
        <v>15139</v>
      </c>
      <c r="BD2048" s="77">
        <v>438488077</v>
      </c>
      <c r="BE2048" s="77"/>
      <c r="BF2048" s="77"/>
      <c r="BG2048" s="77"/>
      <c r="BH2048" s="77"/>
      <c r="BI2048" s="77"/>
    </row>
    <row r="2049" spans="1:61" x14ac:dyDescent="0.25">
      <c r="A2049" s="62" t="s">
        <v>566</v>
      </c>
      <c r="B2049" s="62" t="s">
        <v>566</v>
      </c>
      <c r="C2049" s="63"/>
      <c r="D2049" s="64"/>
      <c r="E2049" s="65"/>
      <c r="F2049" s="66"/>
      <c r="G2049" s="63"/>
      <c r="H2049" s="67"/>
      <c r="I2049" s="68"/>
      <c r="J2049" s="68"/>
      <c r="K2049" s="32"/>
      <c r="L2049" s="75">
        <v>2049</v>
      </c>
      <c r="M2049" s="75"/>
      <c r="N2049" s="70"/>
      <c r="O2049" s="77" t="s">
        <v>179</v>
      </c>
      <c r="P2049" s="79">
        <v>45154.917905092596</v>
      </c>
      <c r="Q2049" s="77" t="s">
        <v>2834</v>
      </c>
      <c r="R2049" s="77">
        <v>0</v>
      </c>
      <c r="S2049" s="77">
        <v>2</v>
      </c>
      <c r="T2049" s="77">
        <v>0</v>
      </c>
      <c r="U2049" s="77">
        <v>0</v>
      </c>
      <c r="V2049" s="77">
        <v>249</v>
      </c>
      <c r="W2049" s="82" t="s">
        <v>6163</v>
      </c>
      <c r="X2049" s="80" t="str">
        <f>HYPERLINK("http://www.wagnergeremia.com")</f>
        <v>http://www.wagnergeremia.com</v>
      </c>
      <c r="Y2049" s="77" t="s">
        <v>7130</v>
      </c>
      <c r="Z2049" s="77"/>
      <c r="AA2049" s="77" t="s">
        <v>8000</v>
      </c>
      <c r="AB2049" s="77" t="s">
        <v>8227</v>
      </c>
      <c r="AC2049" s="82" t="s">
        <v>8254</v>
      </c>
      <c r="AD2049" s="77" t="s">
        <v>8278</v>
      </c>
      <c r="AE2049" s="80" t="str">
        <f>HYPERLINK("https://twitter.com/wagnergeremia/status/1691933297570381939")</f>
        <v>https://twitter.com/wagnergeremia/status/1691933297570381939</v>
      </c>
      <c r="AF2049" s="79">
        <v>45154.917905092596</v>
      </c>
      <c r="AG2049" s="85">
        <v>45154</v>
      </c>
      <c r="AH2049" s="82" t="s">
        <v>10139</v>
      </c>
      <c r="AI2049" s="77" t="b">
        <v>0</v>
      </c>
      <c r="AJ2049" s="77"/>
      <c r="AK2049" s="77"/>
      <c r="AL2049" s="77"/>
      <c r="AM2049" s="77"/>
      <c r="AN2049" s="77"/>
      <c r="AO2049" s="77"/>
      <c r="AP2049" s="77"/>
      <c r="AQ2049" s="77" t="s">
        <v>12885</v>
      </c>
      <c r="AR2049" s="77">
        <v>53800</v>
      </c>
      <c r="AS2049" s="77"/>
      <c r="AT2049" s="77"/>
      <c r="AU2049" s="77"/>
      <c r="AV2049" s="80" t="str">
        <f>HYPERLINK("https://pbs.twimg.com/ext_tw_video_thumb/1691933186232590336/pu/img/VenX2vQsCluu4veP.jpg")</f>
        <v>https://pbs.twimg.com/ext_tw_video_thumb/1691933186232590336/pu/img/VenX2vQsCluu4veP.jpg</v>
      </c>
      <c r="AW2049" s="82" t="s">
        <v>15140</v>
      </c>
      <c r="AX2049" s="82" t="s">
        <v>15140</v>
      </c>
      <c r="AY2049" s="77"/>
      <c r="AZ2049" s="82" t="s">
        <v>17385</v>
      </c>
      <c r="BA2049" s="82" t="s">
        <v>17385</v>
      </c>
      <c r="BB2049" s="82" t="s">
        <v>17385</v>
      </c>
      <c r="BC2049" s="82" t="s">
        <v>15140</v>
      </c>
      <c r="BD2049" s="77">
        <v>438488077</v>
      </c>
      <c r="BE2049" s="77"/>
      <c r="BF2049" s="77"/>
      <c r="BG2049" s="77"/>
      <c r="BH2049" s="77"/>
      <c r="BI2049" s="77"/>
    </row>
    <row r="2050" spans="1:61" x14ac:dyDescent="0.25">
      <c r="A2050" s="62" t="s">
        <v>566</v>
      </c>
      <c r="B2050" s="62" t="s">
        <v>566</v>
      </c>
      <c r="C2050" s="63"/>
      <c r="D2050" s="64"/>
      <c r="E2050" s="65"/>
      <c r="F2050" s="66"/>
      <c r="G2050" s="63"/>
      <c r="H2050" s="67"/>
      <c r="I2050" s="68"/>
      <c r="J2050" s="68"/>
      <c r="K2050" s="32"/>
      <c r="L2050" s="75">
        <v>2050</v>
      </c>
      <c r="M2050" s="75"/>
      <c r="N2050" s="70"/>
      <c r="O2050" s="77" t="s">
        <v>179</v>
      </c>
      <c r="P2050" s="79">
        <v>45152.917708333334</v>
      </c>
      <c r="Q2050" s="77" t="s">
        <v>2835</v>
      </c>
      <c r="R2050" s="77">
        <v>0</v>
      </c>
      <c r="S2050" s="77">
        <v>1</v>
      </c>
      <c r="T2050" s="77">
        <v>0</v>
      </c>
      <c r="U2050" s="77">
        <v>0</v>
      </c>
      <c r="V2050" s="77">
        <v>39</v>
      </c>
      <c r="W2050" s="82" t="s">
        <v>6159</v>
      </c>
      <c r="X2050" s="80" t="str">
        <f>HYPERLINK("http://www.wagnergeremia.com")</f>
        <v>http://www.wagnergeremia.com</v>
      </c>
      <c r="Y2050" s="77" t="s">
        <v>7130</v>
      </c>
      <c r="Z2050" s="77"/>
      <c r="AA2050" s="77" t="s">
        <v>8001</v>
      </c>
      <c r="AB2050" s="77" t="s">
        <v>8227</v>
      </c>
      <c r="AC2050" s="82" t="s">
        <v>8254</v>
      </c>
      <c r="AD2050" s="77" t="s">
        <v>8278</v>
      </c>
      <c r="AE2050" s="80" t="str">
        <f>HYPERLINK("https://twitter.com/wagnergeremia/status/1691208450531897344")</f>
        <v>https://twitter.com/wagnergeremia/status/1691208450531897344</v>
      </c>
      <c r="AF2050" s="79">
        <v>45152.917708333334</v>
      </c>
      <c r="AG2050" s="85">
        <v>45152</v>
      </c>
      <c r="AH2050" s="82" t="s">
        <v>10140</v>
      </c>
      <c r="AI2050" s="77" t="b">
        <v>0</v>
      </c>
      <c r="AJ2050" s="77"/>
      <c r="AK2050" s="77"/>
      <c r="AL2050" s="77"/>
      <c r="AM2050" s="77"/>
      <c r="AN2050" s="77"/>
      <c r="AO2050" s="77"/>
      <c r="AP2050" s="77"/>
      <c r="AQ2050" s="77" t="s">
        <v>12886</v>
      </c>
      <c r="AR2050" s="77">
        <v>37733</v>
      </c>
      <c r="AS2050" s="77"/>
      <c r="AT2050" s="77"/>
      <c r="AU2050" s="77"/>
      <c r="AV2050" s="80" t="str">
        <f>HYPERLINK("https://pbs.twimg.com/ext_tw_video_thumb/1691208345284157440/pu/img/E18eOZZA4fu9iD2K.jpg")</f>
        <v>https://pbs.twimg.com/ext_tw_video_thumb/1691208345284157440/pu/img/E18eOZZA4fu9iD2K.jpg</v>
      </c>
      <c r="AW2050" s="82" t="s">
        <v>15141</v>
      </c>
      <c r="AX2050" s="82" t="s">
        <v>15141</v>
      </c>
      <c r="AY2050" s="77"/>
      <c r="AZ2050" s="82" t="s">
        <v>17385</v>
      </c>
      <c r="BA2050" s="82" t="s">
        <v>17385</v>
      </c>
      <c r="BB2050" s="82" t="s">
        <v>17385</v>
      </c>
      <c r="BC2050" s="82" t="s">
        <v>15141</v>
      </c>
      <c r="BD2050" s="77">
        <v>438488077</v>
      </c>
      <c r="BE2050" s="77"/>
      <c r="BF2050" s="77"/>
      <c r="BG2050" s="77"/>
      <c r="BH2050" s="77"/>
      <c r="BI2050" s="77"/>
    </row>
    <row r="2051" spans="1:61" x14ac:dyDescent="0.25">
      <c r="A2051" s="62" t="s">
        <v>566</v>
      </c>
      <c r="B2051" s="62" t="s">
        <v>566</v>
      </c>
      <c r="C2051" s="63"/>
      <c r="D2051" s="64"/>
      <c r="E2051" s="65"/>
      <c r="F2051" s="66"/>
      <c r="G2051" s="63"/>
      <c r="H2051" s="67"/>
      <c r="I2051" s="68"/>
      <c r="J2051" s="68"/>
      <c r="K2051" s="32"/>
      <c r="L2051" s="75">
        <v>2051</v>
      </c>
      <c r="M2051" s="75"/>
      <c r="N2051" s="70"/>
      <c r="O2051" s="77" t="s">
        <v>179</v>
      </c>
      <c r="P2051" s="79">
        <v>45151.917766203704</v>
      </c>
      <c r="Q2051" s="77" t="s">
        <v>2836</v>
      </c>
      <c r="R2051" s="77">
        <v>0</v>
      </c>
      <c r="S2051" s="77">
        <v>1</v>
      </c>
      <c r="T2051" s="77">
        <v>0</v>
      </c>
      <c r="U2051" s="77">
        <v>0</v>
      </c>
      <c r="V2051" s="77">
        <v>49</v>
      </c>
      <c r="W2051" s="82" t="s">
        <v>6159</v>
      </c>
      <c r="X2051" s="80" t="str">
        <f>HYPERLINK("http://www.wagnergeremia.com")</f>
        <v>http://www.wagnergeremia.com</v>
      </c>
      <c r="Y2051" s="77" t="s">
        <v>7130</v>
      </c>
      <c r="Z2051" s="77"/>
      <c r="AA2051" s="77" t="s">
        <v>8002</v>
      </c>
      <c r="AB2051" s="77" t="s">
        <v>8227</v>
      </c>
      <c r="AC2051" s="82" t="s">
        <v>8254</v>
      </c>
      <c r="AD2051" s="77" t="s">
        <v>8278</v>
      </c>
      <c r="AE2051" s="80" t="str">
        <f>HYPERLINK("https://twitter.com/wagnergeremia/status/1690846084816314368")</f>
        <v>https://twitter.com/wagnergeremia/status/1690846084816314368</v>
      </c>
      <c r="AF2051" s="79">
        <v>45151.917766203704</v>
      </c>
      <c r="AG2051" s="85">
        <v>45151</v>
      </c>
      <c r="AH2051" s="82" t="s">
        <v>10141</v>
      </c>
      <c r="AI2051" s="77" t="b">
        <v>0</v>
      </c>
      <c r="AJ2051" s="77"/>
      <c r="AK2051" s="77"/>
      <c r="AL2051" s="77"/>
      <c r="AM2051" s="77"/>
      <c r="AN2051" s="77"/>
      <c r="AO2051" s="77"/>
      <c r="AP2051" s="77"/>
      <c r="AQ2051" s="77" t="s">
        <v>12887</v>
      </c>
      <c r="AR2051" s="77">
        <v>52766</v>
      </c>
      <c r="AS2051" s="77"/>
      <c r="AT2051" s="77"/>
      <c r="AU2051" s="77"/>
      <c r="AV2051" s="80" t="str">
        <f>HYPERLINK("https://pbs.twimg.com/ext_tw_video_thumb/1690845973180719107/pu/img/vwlx3B-oLy_LkTzQ.jpg")</f>
        <v>https://pbs.twimg.com/ext_tw_video_thumb/1690845973180719107/pu/img/vwlx3B-oLy_LkTzQ.jpg</v>
      </c>
      <c r="AW2051" s="82" t="s">
        <v>15142</v>
      </c>
      <c r="AX2051" s="82" t="s">
        <v>15142</v>
      </c>
      <c r="AY2051" s="77"/>
      <c r="AZ2051" s="82" t="s">
        <v>17385</v>
      </c>
      <c r="BA2051" s="82" t="s">
        <v>17385</v>
      </c>
      <c r="BB2051" s="82" t="s">
        <v>17385</v>
      </c>
      <c r="BC2051" s="82" t="s">
        <v>15142</v>
      </c>
      <c r="BD2051" s="77">
        <v>438488077</v>
      </c>
      <c r="BE2051" s="77"/>
      <c r="BF2051" s="77"/>
      <c r="BG2051" s="77"/>
      <c r="BH2051" s="77"/>
      <c r="BI2051" s="77"/>
    </row>
    <row r="2052" spans="1:61" x14ac:dyDescent="0.25">
      <c r="A2052" s="62" t="s">
        <v>566</v>
      </c>
      <c r="B2052" s="62" t="s">
        <v>566</v>
      </c>
      <c r="C2052" s="63"/>
      <c r="D2052" s="64"/>
      <c r="E2052" s="65"/>
      <c r="F2052" s="66"/>
      <c r="G2052" s="63"/>
      <c r="H2052" s="67"/>
      <c r="I2052" s="68"/>
      <c r="J2052" s="68"/>
      <c r="K2052" s="32"/>
      <c r="L2052" s="75">
        <v>2052</v>
      </c>
      <c r="M2052" s="75"/>
      <c r="N2052" s="70"/>
      <c r="O2052" s="77" t="s">
        <v>179</v>
      </c>
      <c r="P2052" s="79">
        <v>45160.750960648147</v>
      </c>
      <c r="Q2052" s="77" t="s">
        <v>2837</v>
      </c>
      <c r="R2052" s="77">
        <v>0</v>
      </c>
      <c r="S2052" s="77">
        <v>1</v>
      </c>
      <c r="T2052" s="77">
        <v>0</v>
      </c>
      <c r="U2052" s="77">
        <v>0</v>
      </c>
      <c r="V2052" s="77">
        <v>44</v>
      </c>
      <c r="W2052" s="82" t="s">
        <v>6159</v>
      </c>
      <c r="X2052" s="80" t="str">
        <f>HYPERLINK("http://www.wagnergeremia.com")</f>
        <v>http://www.wagnergeremia.com</v>
      </c>
      <c r="Y2052" s="77" t="s">
        <v>7130</v>
      </c>
      <c r="Z2052" s="77"/>
      <c r="AA2052" s="77" t="s">
        <v>8003</v>
      </c>
      <c r="AB2052" s="77" t="s">
        <v>8227</v>
      </c>
      <c r="AC2052" s="82" t="s">
        <v>8254</v>
      </c>
      <c r="AD2052" s="77" t="s">
        <v>8278</v>
      </c>
      <c r="AE2052" s="80" t="str">
        <f>HYPERLINK("https://twitter.com/wagnergeremia/status/1694047124596330644")</f>
        <v>https://twitter.com/wagnergeremia/status/1694047124596330644</v>
      </c>
      <c r="AF2052" s="79">
        <v>45160.750960648147</v>
      </c>
      <c r="AG2052" s="85">
        <v>45160</v>
      </c>
      <c r="AH2052" s="82" t="s">
        <v>10142</v>
      </c>
      <c r="AI2052" s="77" t="b">
        <v>0</v>
      </c>
      <c r="AJ2052" s="77"/>
      <c r="AK2052" s="77"/>
      <c r="AL2052" s="77"/>
      <c r="AM2052" s="77"/>
      <c r="AN2052" s="77"/>
      <c r="AO2052" s="77"/>
      <c r="AP2052" s="77"/>
      <c r="AQ2052" s="77" t="s">
        <v>12888</v>
      </c>
      <c r="AR2052" s="77">
        <v>57333</v>
      </c>
      <c r="AS2052" s="77"/>
      <c r="AT2052" s="77"/>
      <c r="AU2052" s="77"/>
      <c r="AV2052" s="80" t="str">
        <f>HYPERLINK("https://pbs.twimg.com/ext_tw_video_thumb/1694047058934534144/pu/img/lKpzEalAAmLSMvEk.jpg")</f>
        <v>https://pbs.twimg.com/ext_tw_video_thumb/1694047058934534144/pu/img/lKpzEalAAmLSMvEk.jpg</v>
      </c>
      <c r="AW2052" s="82" t="s">
        <v>15143</v>
      </c>
      <c r="AX2052" s="82" t="s">
        <v>15143</v>
      </c>
      <c r="AY2052" s="77"/>
      <c r="AZ2052" s="82" t="s">
        <v>17385</v>
      </c>
      <c r="BA2052" s="82" t="s">
        <v>17385</v>
      </c>
      <c r="BB2052" s="82" t="s">
        <v>17385</v>
      </c>
      <c r="BC2052" s="82" t="s">
        <v>15143</v>
      </c>
      <c r="BD2052" s="77">
        <v>438488077</v>
      </c>
      <c r="BE2052" s="77"/>
      <c r="BF2052" s="77"/>
      <c r="BG2052" s="77"/>
      <c r="BH2052" s="77"/>
      <c r="BI2052" s="77"/>
    </row>
    <row r="2053" spans="1:61" x14ac:dyDescent="0.25">
      <c r="A2053" s="62" t="s">
        <v>566</v>
      </c>
      <c r="B2053" s="62" t="s">
        <v>566</v>
      </c>
      <c r="C2053" s="63"/>
      <c r="D2053" s="64"/>
      <c r="E2053" s="65"/>
      <c r="F2053" s="66"/>
      <c r="G2053" s="63"/>
      <c r="H2053" s="67"/>
      <c r="I2053" s="68"/>
      <c r="J2053" s="68"/>
      <c r="K2053" s="32"/>
      <c r="L2053" s="75">
        <v>2053</v>
      </c>
      <c r="M2053" s="75"/>
      <c r="N2053" s="70"/>
      <c r="O2053" s="77" t="s">
        <v>179</v>
      </c>
      <c r="P2053" s="79">
        <v>45159.459872685184</v>
      </c>
      <c r="Q2053" s="77" t="s">
        <v>2838</v>
      </c>
      <c r="R2053" s="77">
        <v>0</v>
      </c>
      <c r="S2053" s="77">
        <v>0</v>
      </c>
      <c r="T2053" s="77">
        <v>0</v>
      </c>
      <c r="U2053" s="77">
        <v>0</v>
      </c>
      <c r="V2053" s="77">
        <v>67</v>
      </c>
      <c r="W2053" s="82" t="s">
        <v>6159</v>
      </c>
      <c r="X2053" s="80" t="str">
        <f>HYPERLINK("http://www.wagnergeremia.com")</f>
        <v>http://www.wagnergeremia.com</v>
      </c>
      <c r="Y2053" s="77" t="s">
        <v>7130</v>
      </c>
      <c r="Z2053" s="77"/>
      <c r="AA2053" s="77" t="s">
        <v>8004</v>
      </c>
      <c r="AB2053" s="77" t="s">
        <v>8227</v>
      </c>
      <c r="AC2053" s="82" t="s">
        <v>8254</v>
      </c>
      <c r="AD2053" s="77" t="s">
        <v>8278</v>
      </c>
      <c r="AE2053" s="80" t="str">
        <f>HYPERLINK("https://twitter.com/wagnergeremia/status/1693579252942119111")</f>
        <v>https://twitter.com/wagnergeremia/status/1693579252942119111</v>
      </c>
      <c r="AF2053" s="79">
        <v>45159.459872685184</v>
      </c>
      <c r="AG2053" s="85">
        <v>45159</v>
      </c>
      <c r="AH2053" s="82" t="s">
        <v>10143</v>
      </c>
      <c r="AI2053" s="77" t="b">
        <v>0</v>
      </c>
      <c r="AJ2053" s="77"/>
      <c r="AK2053" s="77"/>
      <c r="AL2053" s="77"/>
      <c r="AM2053" s="77"/>
      <c r="AN2053" s="77"/>
      <c r="AO2053" s="77"/>
      <c r="AP2053" s="77"/>
      <c r="AQ2053" s="77" t="s">
        <v>12889</v>
      </c>
      <c r="AR2053" s="77">
        <v>38633</v>
      </c>
      <c r="AS2053" s="77"/>
      <c r="AT2053" s="77"/>
      <c r="AU2053" s="77"/>
      <c r="AV2053" s="80" t="str">
        <f>HYPERLINK("https://pbs.twimg.com/ext_tw_video_thumb/1693579192544202752/pu/img/k_RIEX688F86AaYR.jpg")</f>
        <v>https://pbs.twimg.com/ext_tw_video_thumb/1693579192544202752/pu/img/k_RIEX688F86AaYR.jpg</v>
      </c>
      <c r="AW2053" s="82" t="s">
        <v>15144</v>
      </c>
      <c r="AX2053" s="82" t="s">
        <v>15144</v>
      </c>
      <c r="AY2053" s="77"/>
      <c r="AZ2053" s="82" t="s">
        <v>17385</v>
      </c>
      <c r="BA2053" s="82" t="s">
        <v>17385</v>
      </c>
      <c r="BB2053" s="82" t="s">
        <v>17385</v>
      </c>
      <c r="BC2053" s="82" t="s">
        <v>15144</v>
      </c>
      <c r="BD2053" s="77">
        <v>438488077</v>
      </c>
      <c r="BE2053" s="77"/>
      <c r="BF2053" s="77"/>
      <c r="BG2053" s="77"/>
      <c r="BH2053" s="77"/>
      <c r="BI2053" s="77"/>
    </row>
    <row r="2054" spans="1:61" x14ac:dyDescent="0.25">
      <c r="A2054" s="62" t="s">
        <v>566</v>
      </c>
      <c r="B2054" s="62" t="s">
        <v>566</v>
      </c>
      <c r="C2054" s="63"/>
      <c r="D2054" s="64"/>
      <c r="E2054" s="65"/>
      <c r="F2054" s="66"/>
      <c r="G2054" s="63"/>
      <c r="H2054" s="67"/>
      <c r="I2054" s="68"/>
      <c r="J2054" s="68"/>
      <c r="K2054" s="32"/>
      <c r="L2054" s="75">
        <v>2054</v>
      </c>
      <c r="M2054" s="75"/>
      <c r="N2054" s="70"/>
      <c r="O2054" s="77" t="s">
        <v>179</v>
      </c>
      <c r="P2054" s="79">
        <v>45115.504166666666</v>
      </c>
      <c r="Q2054" s="77" t="s">
        <v>2839</v>
      </c>
      <c r="R2054" s="77">
        <v>0</v>
      </c>
      <c r="S2054" s="77">
        <v>0</v>
      </c>
      <c r="T2054" s="77">
        <v>0</v>
      </c>
      <c r="U2054" s="77">
        <v>0</v>
      </c>
      <c r="V2054" s="77">
        <v>11</v>
      </c>
      <c r="W2054" s="82" t="s">
        <v>6162</v>
      </c>
      <c r="X2054" s="80" t="str">
        <f>HYPERLINK("https://youtu.be/5EXHnAiwgLQ")</f>
        <v>https://youtu.be/5EXHnAiwgLQ</v>
      </c>
      <c r="Y2054" s="77" t="s">
        <v>7064</v>
      </c>
      <c r="Z2054" s="77"/>
      <c r="AA2054" s="77" t="s">
        <v>8005</v>
      </c>
      <c r="AB2054" s="77" t="s">
        <v>8227</v>
      </c>
      <c r="AC2054" s="82" t="s">
        <v>8254</v>
      </c>
      <c r="AD2054" s="77" t="s">
        <v>8278</v>
      </c>
      <c r="AE2054" s="80" t="str">
        <f>HYPERLINK("https://twitter.com/wagnergeremia/status/1677650238117478401")</f>
        <v>https://twitter.com/wagnergeremia/status/1677650238117478401</v>
      </c>
      <c r="AF2054" s="79">
        <v>45115.504166666666</v>
      </c>
      <c r="AG2054" s="85">
        <v>45115</v>
      </c>
      <c r="AH2054" s="82" t="s">
        <v>10144</v>
      </c>
      <c r="AI2054" s="77" t="b">
        <v>0</v>
      </c>
      <c r="AJ2054" s="77"/>
      <c r="AK2054" s="77"/>
      <c r="AL2054" s="77"/>
      <c r="AM2054" s="77"/>
      <c r="AN2054" s="77"/>
      <c r="AO2054" s="77"/>
      <c r="AP2054" s="77"/>
      <c r="AQ2054" s="77" t="s">
        <v>12890</v>
      </c>
      <c r="AR2054" s="77">
        <v>13400</v>
      </c>
      <c r="AS2054" s="77"/>
      <c r="AT2054" s="77"/>
      <c r="AU2054" s="77"/>
      <c r="AV2054" s="80" t="str">
        <f>HYPERLINK("https://pbs.twimg.com/ext_tw_video_thumb/1677650193427095553/pu/img/u7vk0nNa2JyyPHOo.jpg")</f>
        <v>https://pbs.twimg.com/ext_tw_video_thumb/1677650193427095553/pu/img/u7vk0nNa2JyyPHOo.jpg</v>
      </c>
      <c r="AW2054" s="82" t="s">
        <v>15145</v>
      </c>
      <c r="AX2054" s="82" t="s">
        <v>15145</v>
      </c>
      <c r="AY2054" s="77"/>
      <c r="AZ2054" s="82" t="s">
        <v>17385</v>
      </c>
      <c r="BA2054" s="82" t="s">
        <v>17385</v>
      </c>
      <c r="BB2054" s="82" t="s">
        <v>17385</v>
      </c>
      <c r="BC2054" s="82" t="s">
        <v>15145</v>
      </c>
      <c r="BD2054" s="77">
        <v>438488077</v>
      </c>
      <c r="BE2054" s="77"/>
      <c r="BF2054" s="77"/>
      <c r="BG2054" s="77"/>
      <c r="BH2054" s="77"/>
      <c r="BI2054" s="77"/>
    </row>
    <row r="2055" spans="1:61" x14ac:dyDescent="0.25">
      <c r="A2055" s="62" t="s">
        <v>567</v>
      </c>
      <c r="B2055" s="62" t="s">
        <v>567</v>
      </c>
      <c r="C2055" s="63"/>
      <c r="D2055" s="64"/>
      <c r="E2055" s="65"/>
      <c r="F2055" s="66"/>
      <c r="G2055" s="63"/>
      <c r="H2055" s="67"/>
      <c r="I2055" s="68"/>
      <c r="J2055" s="68"/>
      <c r="K2055" s="32"/>
      <c r="L2055" s="75">
        <v>2055</v>
      </c>
      <c r="M2055" s="75"/>
      <c r="N2055" s="70"/>
      <c r="O2055" s="77" t="s">
        <v>800</v>
      </c>
      <c r="P2055" s="79">
        <v>45080.913819444446</v>
      </c>
      <c r="Q2055" s="77" t="s">
        <v>2840</v>
      </c>
      <c r="R2055" s="77">
        <v>0</v>
      </c>
      <c r="S2055" s="77">
        <v>0</v>
      </c>
      <c r="T2055" s="77">
        <v>0</v>
      </c>
      <c r="U2055" s="77">
        <v>0</v>
      </c>
      <c r="V2055" s="77">
        <v>22</v>
      </c>
      <c r="W2055" s="82" t="s">
        <v>6164</v>
      </c>
      <c r="X2055" s="77"/>
      <c r="Y2055" s="77"/>
      <c r="Z2055" s="77"/>
      <c r="AA2055" s="77"/>
      <c r="AB2055" s="77"/>
      <c r="AC2055" s="82" t="s">
        <v>8234</v>
      </c>
      <c r="AD2055" s="77" t="s">
        <v>8278</v>
      </c>
      <c r="AE2055" s="80" t="str">
        <f>HYPERLINK("https://twitter.com/marcosmanguelli/status/1665115116734480384")</f>
        <v>https://twitter.com/marcosmanguelli/status/1665115116734480384</v>
      </c>
      <c r="AF2055" s="79">
        <v>45080.913819444446</v>
      </c>
      <c r="AG2055" s="85">
        <v>45080</v>
      </c>
      <c r="AH2055" s="82" t="s">
        <v>10145</v>
      </c>
      <c r="AI2055" s="77"/>
      <c r="AJ2055" s="77"/>
      <c r="AK2055" s="77"/>
      <c r="AL2055" s="77"/>
      <c r="AM2055" s="77"/>
      <c r="AN2055" s="77"/>
      <c r="AO2055" s="77"/>
      <c r="AP2055" s="77"/>
      <c r="AQ2055" s="77"/>
      <c r="AR2055" s="77"/>
      <c r="AS2055" s="77"/>
      <c r="AT2055" s="77"/>
      <c r="AU2055" s="77"/>
      <c r="AV2055" s="80" t="str">
        <f>HYPERLINK("https://pbs.twimg.com/profile_images/1671233527365394432/L20yfc7f_normal.jpg")</f>
        <v>https://pbs.twimg.com/profile_images/1671233527365394432/L20yfc7f_normal.jpg</v>
      </c>
      <c r="AW2055" s="82" t="s">
        <v>15146</v>
      </c>
      <c r="AX2055" s="82" t="s">
        <v>17197</v>
      </c>
      <c r="AY2055" s="82" t="s">
        <v>17364</v>
      </c>
      <c r="AZ2055" s="82" t="s">
        <v>17197</v>
      </c>
      <c r="BA2055" s="82" t="s">
        <v>17385</v>
      </c>
      <c r="BB2055" s="82" t="s">
        <v>17385</v>
      </c>
      <c r="BC2055" s="82" t="s">
        <v>17197</v>
      </c>
      <c r="BD2055" s="77">
        <v>466084954</v>
      </c>
      <c r="BE2055" s="77"/>
      <c r="BF2055" s="77"/>
      <c r="BG2055" s="77"/>
      <c r="BH2055" s="77"/>
      <c r="BI2055" s="77"/>
    </row>
    <row r="2056" spans="1:61" x14ac:dyDescent="0.25">
      <c r="A2056" s="62" t="s">
        <v>568</v>
      </c>
      <c r="B2056" s="62" t="s">
        <v>568</v>
      </c>
      <c r="C2056" s="63"/>
      <c r="D2056" s="64"/>
      <c r="E2056" s="65"/>
      <c r="F2056" s="66"/>
      <c r="G2056" s="63"/>
      <c r="H2056" s="67"/>
      <c r="I2056" s="68"/>
      <c r="J2056" s="68"/>
      <c r="K2056" s="32"/>
      <c r="L2056" s="75">
        <v>2056</v>
      </c>
      <c r="M2056" s="75"/>
      <c r="N2056" s="70"/>
      <c r="O2056" s="77" t="s">
        <v>179</v>
      </c>
      <c r="P2056" s="79">
        <v>45046.121539351851</v>
      </c>
      <c r="Q2056" s="77" t="s">
        <v>2841</v>
      </c>
      <c r="R2056" s="77">
        <v>0</v>
      </c>
      <c r="S2056" s="77">
        <v>0</v>
      </c>
      <c r="T2056" s="77">
        <v>0</v>
      </c>
      <c r="U2056" s="77">
        <v>0</v>
      </c>
      <c r="V2056" s="77">
        <v>185</v>
      </c>
      <c r="W2056" s="82" t="s">
        <v>6165</v>
      </c>
      <c r="X2056" s="80" t="str">
        <f>HYPERLINK("http://espacorecomecar.com.br")</f>
        <v>http://espacorecomecar.com.br</v>
      </c>
      <c r="Y2056" s="77" t="s">
        <v>7053</v>
      </c>
      <c r="Z2056" s="77"/>
      <c r="AA2056" s="77" t="s">
        <v>8006</v>
      </c>
      <c r="AB2056" s="77" t="s">
        <v>8225</v>
      </c>
      <c r="AC2056" s="82" t="s">
        <v>8235</v>
      </c>
      <c r="AD2056" s="77" t="s">
        <v>8278</v>
      </c>
      <c r="AE2056" s="80" t="str">
        <f>HYPERLINK("https://twitter.com/espacorecomecar/status/1652506815643435010")</f>
        <v>https://twitter.com/espacorecomecar/status/1652506815643435010</v>
      </c>
      <c r="AF2056" s="79">
        <v>45046.121539351851</v>
      </c>
      <c r="AG2056" s="85">
        <v>45046</v>
      </c>
      <c r="AH2056" s="82" t="s">
        <v>10146</v>
      </c>
      <c r="AI2056" s="77" t="b">
        <v>0</v>
      </c>
      <c r="AJ2056" s="77"/>
      <c r="AK2056" s="77"/>
      <c r="AL2056" s="77"/>
      <c r="AM2056" s="77"/>
      <c r="AN2056" s="77"/>
      <c r="AO2056" s="77"/>
      <c r="AP2056" s="77"/>
      <c r="AQ2056" s="77" t="s">
        <v>12891</v>
      </c>
      <c r="AR2056" s="77"/>
      <c r="AS2056" s="77"/>
      <c r="AT2056" s="77"/>
      <c r="AU2056" s="77"/>
      <c r="AV2056" s="80" t="str">
        <f>HYPERLINK("https://pbs.twimg.com/media/Fu7iMQsXsAASEWP.jpg")</f>
        <v>https://pbs.twimg.com/media/Fu7iMQsXsAASEWP.jpg</v>
      </c>
      <c r="AW2056" s="82" t="s">
        <v>15147</v>
      </c>
      <c r="AX2056" s="82" t="s">
        <v>15147</v>
      </c>
      <c r="AY2056" s="77"/>
      <c r="AZ2056" s="82" t="s">
        <v>17385</v>
      </c>
      <c r="BA2056" s="82" t="s">
        <v>17385</v>
      </c>
      <c r="BB2056" s="82" t="s">
        <v>17385</v>
      </c>
      <c r="BC2056" s="82" t="s">
        <v>15147</v>
      </c>
      <c r="BD2056" s="77">
        <v>93418087</v>
      </c>
      <c r="BE2056" s="77"/>
      <c r="BF2056" s="77"/>
      <c r="BG2056" s="77"/>
      <c r="BH2056" s="77"/>
      <c r="BI2056" s="77"/>
    </row>
    <row r="2057" spans="1:61" x14ac:dyDescent="0.25">
      <c r="A2057" s="62" t="s">
        <v>569</v>
      </c>
      <c r="B2057" s="62" t="s">
        <v>569</v>
      </c>
      <c r="C2057" s="63"/>
      <c r="D2057" s="64"/>
      <c r="E2057" s="65"/>
      <c r="F2057" s="66"/>
      <c r="G2057" s="63"/>
      <c r="H2057" s="67"/>
      <c r="I2057" s="68"/>
      <c r="J2057" s="68"/>
      <c r="K2057" s="32"/>
      <c r="L2057" s="75">
        <v>2057</v>
      </c>
      <c r="M2057" s="75"/>
      <c r="N2057" s="70"/>
      <c r="O2057" s="77" t="s">
        <v>179</v>
      </c>
      <c r="P2057" s="79">
        <v>45170.645381944443</v>
      </c>
      <c r="Q2057" s="77" t="s">
        <v>2842</v>
      </c>
      <c r="R2057" s="77">
        <v>0</v>
      </c>
      <c r="S2057" s="77">
        <v>15</v>
      </c>
      <c r="T2057" s="77">
        <v>0</v>
      </c>
      <c r="U2057" s="77">
        <v>0</v>
      </c>
      <c r="V2057" s="77">
        <v>577</v>
      </c>
      <c r="W2057" s="82" t="s">
        <v>6166</v>
      </c>
      <c r="X2057" s="77"/>
      <c r="Y2057" s="77"/>
      <c r="Z2057" s="77"/>
      <c r="AA2057" s="77" t="s">
        <v>8007</v>
      </c>
      <c r="AB2057" s="77" t="s">
        <v>8225</v>
      </c>
      <c r="AC2057" s="82" t="s">
        <v>8232</v>
      </c>
      <c r="AD2057" s="77" t="s">
        <v>8278</v>
      </c>
      <c r="AE2057" s="80" t="str">
        <f>HYPERLINK("https://twitter.com/piauidaniel/status/1697632743855710247")</f>
        <v>https://twitter.com/piauidaniel/status/1697632743855710247</v>
      </c>
      <c r="AF2057" s="79">
        <v>45170.645381944443</v>
      </c>
      <c r="AG2057" s="85">
        <v>45170</v>
      </c>
      <c r="AH2057" s="82" t="s">
        <v>10147</v>
      </c>
      <c r="AI2057" s="77" t="b">
        <v>0</v>
      </c>
      <c r="AJ2057" s="77"/>
      <c r="AK2057" s="77"/>
      <c r="AL2057" s="77"/>
      <c r="AM2057" s="77"/>
      <c r="AN2057" s="77"/>
      <c r="AO2057" s="77"/>
      <c r="AP2057" s="77"/>
      <c r="AQ2057" s="77" t="s">
        <v>12892</v>
      </c>
      <c r="AR2057" s="77"/>
      <c r="AS2057" s="77"/>
      <c r="AT2057" s="77"/>
      <c r="AU2057" s="77"/>
      <c r="AV2057" s="80" t="str">
        <f>HYPERLINK("https://pbs.twimg.com/media/F48ypnkWAAA8bvm.jpg")</f>
        <v>https://pbs.twimg.com/media/F48ypnkWAAA8bvm.jpg</v>
      </c>
      <c r="AW2057" s="82" t="s">
        <v>15148</v>
      </c>
      <c r="AX2057" s="82" t="s">
        <v>15148</v>
      </c>
      <c r="AY2057" s="77"/>
      <c r="AZ2057" s="82" t="s">
        <v>17385</v>
      </c>
      <c r="BA2057" s="82" t="s">
        <v>17385</v>
      </c>
      <c r="BB2057" s="82" t="s">
        <v>17385</v>
      </c>
      <c r="BC2057" s="82" t="s">
        <v>15148</v>
      </c>
      <c r="BD2057" s="77">
        <v>966615637</v>
      </c>
      <c r="BE2057" s="77"/>
      <c r="BF2057" s="77"/>
      <c r="BG2057" s="77"/>
      <c r="BH2057" s="77"/>
      <c r="BI2057" s="77"/>
    </row>
    <row r="2058" spans="1:61" x14ac:dyDescent="0.25">
      <c r="A2058" s="62" t="s">
        <v>570</v>
      </c>
      <c r="B2058" s="62" t="s">
        <v>570</v>
      </c>
      <c r="C2058" s="63"/>
      <c r="D2058" s="64"/>
      <c r="E2058" s="65"/>
      <c r="F2058" s="66"/>
      <c r="G2058" s="63"/>
      <c r="H2058" s="67"/>
      <c r="I2058" s="68"/>
      <c r="J2058" s="68"/>
      <c r="K2058" s="32"/>
      <c r="L2058" s="75">
        <v>2058</v>
      </c>
      <c r="M2058" s="75"/>
      <c r="N2058" s="70"/>
      <c r="O2058" s="77" t="s">
        <v>179</v>
      </c>
      <c r="P2058" s="79">
        <v>45189.026354166665</v>
      </c>
      <c r="Q2058" s="77" t="s">
        <v>2843</v>
      </c>
      <c r="R2058" s="77">
        <v>0</v>
      </c>
      <c r="S2058" s="77">
        <v>2</v>
      </c>
      <c r="T2058" s="77">
        <v>0</v>
      </c>
      <c r="U2058" s="77">
        <v>0</v>
      </c>
      <c r="V2058" s="77">
        <v>77</v>
      </c>
      <c r="W2058" s="82" t="s">
        <v>6167</v>
      </c>
      <c r="X2058" s="77"/>
      <c r="Y2058" s="77"/>
      <c r="Z2058" s="77"/>
      <c r="AA2058" s="77" t="s">
        <v>8008</v>
      </c>
      <c r="AB2058" s="77" t="s">
        <v>8225</v>
      </c>
      <c r="AC2058" s="82" t="s">
        <v>8233</v>
      </c>
      <c r="AD2058" s="77" t="s">
        <v>8278</v>
      </c>
      <c r="AE2058" s="80" t="str">
        <f>HYPERLINK("https://twitter.com/lucasrdgx/status/1704293784832352646")</f>
        <v>https://twitter.com/lucasrdgx/status/1704293784832352646</v>
      </c>
      <c r="AF2058" s="79">
        <v>45189.026354166665</v>
      </c>
      <c r="AG2058" s="85">
        <v>45189</v>
      </c>
      <c r="AH2058" s="82" t="s">
        <v>10148</v>
      </c>
      <c r="AI2058" s="77" t="b">
        <v>0</v>
      </c>
      <c r="AJ2058" s="77"/>
      <c r="AK2058" s="77"/>
      <c r="AL2058" s="77"/>
      <c r="AM2058" s="77"/>
      <c r="AN2058" s="77"/>
      <c r="AO2058" s="77"/>
      <c r="AP2058" s="77"/>
      <c r="AQ2058" s="77" t="s">
        <v>12893</v>
      </c>
      <c r="AR2058" s="77"/>
      <c r="AS2058" s="77"/>
      <c r="AT2058" s="77"/>
      <c r="AU2058" s="77"/>
      <c r="AV2058" s="80" t="str">
        <f>HYPERLINK("https://pbs.twimg.com/media/F6beKd2XIAAX6F1.jpg")</f>
        <v>https://pbs.twimg.com/media/F6beKd2XIAAX6F1.jpg</v>
      </c>
      <c r="AW2058" s="82" t="s">
        <v>15149</v>
      </c>
      <c r="AX2058" s="82" t="s">
        <v>15149</v>
      </c>
      <c r="AY2058" s="77"/>
      <c r="AZ2058" s="82" t="s">
        <v>17385</v>
      </c>
      <c r="BA2058" s="82" t="s">
        <v>17385</v>
      </c>
      <c r="BB2058" s="82" t="s">
        <v>17385</v>
      </c>
      <c r="BC2058" s="82" t="s">
        <v>15149</v>
      </c>
      <c r="BD2058" s="82" t="s">
        <v>17623</v>
      </c>
      <c r="BE2058" s="77"/>
      <c r="BF2058" s="77"/>
      <c r="BG2058" s="77"/>
      <c r="BH2058" s="77"/>
      <c r="BI2058" s="77"/>
    </row>
    <row r="2059" spans="1:61" x14ac:dyDescent="0.25">
      <c r="A2059" s="62" t="s">
        <v>570</v>
      </c>
      <c r="B2059" s="62" t="s">
        <v>570</v>
      </c>
      <c r="C2059" s="63"/>
      <c r="D2059" s="64"/>
      <c r="E2059" s="65"/>
      <c r="F2059" s="66"/>
      <c r="G2059" s="63"/>
      <c r="H2059" s="67"/>
      <c r="I2059" s="68"/>
      <c r="J2059" s="68"/>
      <c r="K2059" s="32"/>
      <c r="L2059" s="75">
        <v>2059</v>
      </c>
      <c r="M2059" s="75"/>
      <c r="N2059" s="70"/>
      <c r="O2059" s="77" t="s">
        <v>179</v>
      </c>
      <c r="P2059" s="79">
        <v>45196.635474537034</v>
      </c>
      <c r="Q2059" s="77" t="s">
        <v>2844</v>
      </c>
      <c r="R2059" s="77">
        <v>0</v>
      </c>
      <c r="S2059" s="77">
        <v>0</v>
      </c>
      <c r="T2059" s="77">
        <v>0</v>
      </c>
      <c r="U2059" s="77">
        <v>0</v>
      </c>
      <c r="V2059" s="77">
        <v>13</v>
      </c>
      <c r="W2059" s="82" t="s">
        <v>6168</v>
      </c>
      <c r="X2059" s="77"/>
      <c r="Y2059" s="77"/>
      <c r="Z2059" s="77"/>
      <c r="AA2059" s="77"/>
      <c r="AB2059" s="77"/>
      <c r="AC2059" s="82" t="s">
        <v>8232</v>
      </c>
      <c r="AD2059" s="77" t="s">
        <v>8278</v>
      </c>
      <c r="AE2059" s="80" t="str">
        <f>HYPERLINK("https://twitter.com/lucasrdgx/status/1707051239265935751")</f>
        <v>https://twitter.com/lucasrdgx/status/1707051239265935751</v>
      </c>
      <c r="AF2059" s="79">
        <v>45196.635474537034</v>
      </c>
      <c r="AG2059" s="85">
        <v>45196</v>
      </c>
      <c r="AH2059" s="82" t="s">
        <v>10149</v>
      </c>
      <c r="AI2059" s="77"/>
      <c r="AJ2059" s="77"/>
      <c r="AK2059" s="77"/>
      <c r="AL2059" s="77"/>
      <c r="AM2059" s="77"/>
      <c r="AN2059" s="77"/>
      <c r="AO2059" s="77"/>
      <c r="AP2059" s="77"/>
      <c r="AQ2059" s="77"/>
      <c r="AR2059" s="77"/>
      <c r="AS2059" s="77"/>
      <c r="AT2059" s="77"/>
      <c r="AU2059" s="77"/>
      <c r="AV2059" s="80" t="str">
        <f>HYPERLINK("https://pbs.twimg.com/profile_images/1533194450624716801/7xCedVLP_normal.jpg")</f>
        <v>https://pbs.twimg.com/profile_images/1533194450624716801/7xCedVLP_normal.jpg</v>
      </c>
      <c r="AW2059" s="82" t="s">
        <v>15150</v>
      </c>
      <c r="AX2059" s="82" t="s">
        <v>15150</v>
      </c>
      <c r="AY2059" s="77"/>
      <c r="AZ2059" s="82" t="s">
        <v>17385</v>
      </c>
      <c r="BA2059" s="82" t="s">
        <v>17385</v>
      </c>
      <c r="BB2059" s="82" t="s">
        <v>17385</v>
      </c>
      <c r="BC2059" s="82" t="s">
        <v>15150</v>
      </c>
      <c r="BD2059" s="82" t="s">
        <v>17623</v>
      </c>
      <c r="BE2059" s="77"/>
      <c r="BF2059" s="77"/>
      <c r="BG2059" s="77"/>
      <c r="BH2059" s="77"/>
      <c r="BI2059" s="77"/>
    </row>
    <row r="2060" spans="1:61" x14ac:dyDescent="0.25">
      <c r="A2060" s="62" t="s">
        <v>571</v>
      </c>
      <c r="B2060" s="62" t="s">
        <v>785</v>
      </c>
      <c r="C2060" s="63"/>
      <c r="D2060" s="64"/>
      <c r="E2060" s="65"/>
      <c r="F2060" s="66"/>
      <c r="G2060" s="63"/>
      <c r="H2060" s="67"/>
      <c r="I2060" s="68"/>
      <c r="J2060" s="68"/>
      <c r="K2060" s="32"/>
      <c r="L2060" s="75">
        <v>2060</v>
      </c>
      <c r="M2060" s="75"/>
      <c r="N2060" s="70"/>
      <c r="O2060" s="77" t="s">
        <v>800</v>
      </c>
      <c r="P2060" s="79">
        <v>45154.009583333333</v>
      </c>
      <c r="Q2060" s="77" t="s">
        <v>2845</v>
      </c>
      <c r="R2060" s="77">
        <v>0</v>
      </c>
      <c r="S2060" s="77">
        <v>0</v>
      </c>
      <c r="T2060" s="77">
        <v>0</v>
      </c>
      <c r="U2060" s="77">
        <v>0</v>
      </c>
      <c r="V2060" s="77">
        <v>56</v>
      </c>
      <c r="W2060" s="82" t="s">
        <v>6169</v>
      </c>
      <c r="X2060" s="77"/>
      <c r="Y2060" s="77"/>
      <c r="Z2060" s="77" t="s">
        <v>7163</v>
      </c>
      <c r="AA2060" s="77"/>
      <c r="AB2060" s="77"/>
      <c r="AC2060" s="82" t="s">
        <v>8232</v>
      </c>
      <c r="AD2060" s="77" t="s">
        <v>8278</v>
      </c>
      <c r="AE2060" s="80" t="str">
        <f>HYPERLINK("https://twitter.com/osdadosmostram/status/1691604132199612526")</f>
        <v>https://twitter.com/osdadosmostram/status/1691604132199612526</v>
      </c>
      <c r="AF2060" s="79">
        <v>45154.009583333333</v>
      </c>
      <c r="AG2060" s="85">
        <v>45154</v>
      </c>
      <c r="AH2060" s="82" t="s">
        <v>10150</v>
      </c>
      <c r="AI2060" s="77"/>
      <c r="AJ2060" s="77"/>
      <c r="AK2060" s="77"/>
      <c r="AL2060" s="77"/>
      <c r="AM2060" s="77"/>
      <c r="AN2060" s="77"/>
      <c r="AO2060" s="77"/>
      <c r="AP2060" s="77"/>
      <c r="AQ2060" s="77"/>
      <c r="AR2060" s="77"/>
      <c r="AS2060" s="77"/>
      <c r="AT2060" s="77"/>
      <c r="AU2060" s="77"/>
      <c r="AV2060" s="80" t="str">
        <f>HYPERLINK("https://pbs.twimg.com/profile_images/1577097771961679873/kiiSE3ve_normal.jpg")</f>
        <v>https://pbs.twimg.com/profile_images/1577097771961679873/kiiSE3ve_normal.jpg</v>
      </c>
      <c r="AW2060" s="82" t="s">
        <v>15151</v>
      </c>
      <c r="AX2060" s="82" t="s">
        <v>17198</v>
      </c>
      <c r="AY2060" s="82" t="s">
        <v>17365</v>
      </c>
      <c r="AZ2060" s="82" t="s">
        <v>17418</v>
      </c>
      <c r="BA2060" s="82" t="s">
        <v>17385</v>
      </c>
      <c r="BB2060" s="82" t="s">
        <v>17385</v>
      </c>
      <c r="BC2060" s="82" t="s">
        <v>17418</v>
      </c>
      <c r="BD2060" s="82" t="s">
        <v>17624</v>
      </c>
      <c r="BE2060" s="77"/>
      <c r="BF2060" s="77"/>
      <c r="BG2060" s="77"/>
      <c r="BH2060" s="77"/>
      <c r="BI2060" s="77"/>
    </row>
    <row r="2061" spans="1:61" x14ac:dyDescent="0.25">
      <c r="A2061" s="62" t="s">
        <v>571</v>
      </c>
      <c r="B2061" s="62" t="s">
        <v>786</v>
      </c>
      <c r="C2061" s="63"/>
      <c r="D2061" s="64"/>
      <c r="E2061" s="65"/>
      <c r="F2061" s="66"/>
      <c r="G2061" s="63"/>
      <c r="H2061" s="67"/>
      <c r="I2061" s="68"/>
      <c r="J2061" s="68"/>
      <c r="K2061" s="32"/>
      <c r="L2061" s="75">
        <v>2061</v>
      </c>
      <c r="M2061" s="75"/>
      <c r="N2061" s="70"/>
      <c r="O2061" s="77" t="s">
        <v>805</v>
      </c>
      <c r="P2061" s="79">
        <v>45154.009583333333</v>
      </c>
      <c r="Q2061" s="77" t="s">
        <v>2845</v>
      </c>
      <c r="R2061" s="77">
        <v>0</v>
      </c>
      <c r="S2061" s="77">
        <v>0</v>
      </c>
      <c r="T2061" s="77">
        <v>0</v>
      </c>
      <c r="U2061" s="77">
        <v>0</v>
      </c>
      <c r="V2061" s="77">
        <v>56</v>
      </c>
      <c r="W2061" s="82" t="s">
        <v>6169</v>
      </c>
      <c r="X2061" s="77"/>
      <c r="Y2061" s="77"/>
      <c r="Z2061" s="77" t="s">
        <v>7163</v>
      </c>
      <c r="AA2061" s="77"/>
      <c r="AB2061" s="77"/>
      <c r="AC2061" s="82" t="s">
        <v>8232</v>
      </c>
      <c r="AD2061" s="77" t="s">
        <v>8278</v>
      </c>
      <c r="AE2061" s="80" t="str">
        <f>HYPERLINK("https://twitter.com/osdadosmostram/status/1691604132199612526")</f>
        <v>https://twitter.com/osdadosmostram/status/1691604132199612526</v>
      </c>
      <c r="AF2061" s="79">
        <v>45154.009583333333</v>
      </c>
      <c r="AG2061" s="85">
        <v>45154</v>
      </c>
      <c r="AH2061" s="82" t="s">
        <v>10150</v>
      </c>
      <c r="AI2061" s="77"/>
      <c r="AJ2061" s="77"/>
      <c r="AK2061" s="77"/>
      <c r="AL2061" s="77"/>
      <c r="AM2061" s="77"/>
      <c r="AN2061" s="77"/>
      <c r="AO2061" s="77"/>
      <c r="AP2061" s="77"/>
      <c r="AQ2061" s="77"/>
      <c r="AR2061" s="77"/>
      <c r="AS2061" s="77"/>
      <c r="AT2061" s="77"/>
      <c r="AU2061" s="77"/>
      <c r="AV2061" s="80" t="str">
        <f>HYPERLINK("https://pbs.twimg.com/profile_images/1577097771961679873/kiiSE3ve_normal.jpg")</f>
        <v>https://pbs.twimg.com/profile_images/1577097771961679873/kiiSE3ve_normal.jpg</v>
      </c>
      <c r="AW2061" s="82" t="s">
        <v>15151</v>
      </c>
      <c r="AX2061" s="82" t="s">
        <v>17198</v>
      </c>
      <c r="AY2061" s="82" t="s">
        <v>17365</v>
      </c>
      <c r="AZ2061" s="82" t="s">
        <v>17418</v>
      </c>
      <c r="BA2061" s="82" t="s">
        <v>17385</v>
      </c>
      <c r="BB2061" s="82" t="s">
        <v>17385</v>
      </c>
      <c r="BC2061" s="82" t="s">
        <v>17418</v>
      </c>
      <c r="BD2061" s="82" t="s">
        <v>17624</v>
      </c>
      <c r="BE2061" s="77"/>
      <c r="BF2061" s="77"/>
      <c r="BG2061" s="77"/>
      <c r="BH2061" s="77"/>
      <c r="BI2061" s="77"/>
    </row>
    <row r="2062" spans="1:61" x14ac:dyDescent="0.25">
      <c r="A2062" s="62" t="s">
        <v>571</v>
      </c>
      <c r="B2062" s="62" t="s">
        <v>786</v>
      </c>
      <c r="C2062" s="63"/>
      <c r="D2062" s="64"/>
      <c r="E2062" s="65"/>
      <c r="F2062" s="66"/>
      <c r="G2062" s="63"/>
      <c r="H2062" s="67"/>
      <c r="I2062" s="68"/>
      <c r="J2062" s="68"/>
      <c r="K2062" s="32"/>
      <c r="L2062" s="75">
        <v>2062</v>
      </c>
      <c r="M2062" s="75"/>
      <c r="N2062" s="70"/>
      <c r="O2062" s="77" t="s">
        <v>805</v>
      </c>
      <c r="P2062" s="79">
        <v>45154.009513888886</v>
      </c>
      <c r="Q2062" s="77" t="s">
        <v>2846</v>
      </c>
      <c r="R2062" s="77">
        <v>0</v>
      </c>
      <c r="S2062" s="77">
        <v>1</v>
      </c>
      <c r="T2062" s="77">
        <v>0</v>
      </c>
      <c r="U2062" s="77">
        <v>0</v>
      </c>
      <c r="V2062" s="77">
        <v>53</v>
      </c>
      <c r="W2062" s="82" t="s">
        <v>6169</v>
      </c>
      <c r="X2062" s="77"/>
      <c r="Y2062" s="77"/>
      <c r="Z2062" s="77" t="s">
        <v>7164</v>
      </c>
      <c r="AA2062" s="77"/>
      <c r="AB2062" s="77"/>
      <c r="AC2062" s="82" t="s">
        <v>8232</v>
      </c>
      <c r="AD2062" s="77" t="s">
        <v>8278</v>
      </c>
      <c r="AE2062" s="80" t="str">
        <f>HYPERLINK("https://twitter.com/osdadosmostram/status/1691604109365743644")</f>
        <v>https://twitter.com/osdadosmostram/status/1691604109365743644</v>
      </c>
      <c r="AF2062" s="79">
        <v>45154.009513888886</v>
      </c>
      <c r="AG2062" s="85">
        <v>45154</v>
      </c>
      <c r="AH2062" s="82" t="s">
        <v>10151</v>
      </c>
      <c r="AI2062" s="77"/>
      <c r="AJ2062" s="77"/>
      <c r="AK2062" s="77"/>
      <c r="AL2062" s="77"/>
      <c r="AM2062" s="77"/>
      <c r="AN2062" s="77"/>
      <c r="AO2062" s="77"/>
      <c r="AP2062" s="77"/>
      <c r="AQ2062" s="77"/>
      <c r="AR2062" s="77"/>
      <c r="AS2062" s="77"/>
      <c r="AT2062" s="77"/>
      <c r="AU2062" s="77"/>
      <c r="AV2062" s="80" t="str">
        <f>HYPERLINK("https://pbs.twimg.com/profile_images/1577097771961679873/kiiSE3ve_normal.jpg")</f>
        <v>https://pbs.twimg.com/profile_images/1577097771961679873/kiiSE3ve_normal.jpg</v>
      </c>
      <c r="AW2062" s="82" t="s">
        <v>15152</v>
      </c>
      <c r="AX2062" s="82" t="s">
        <v>17198</v>
      </c>
      <c r="AY2062" s="82" t="s">
        <v>17366</v>
      </c>
      <c r="AZ2062" s="82" t="s">
        <v>17419</v>
      </c>
      <c r="BA2062" s="82" t="s">
        <v>17385</v>
      </c>
      <c r="BB2062" s="82" t="s">
        <v>17385</v>
      </c>
      <c r="BC2062" s="82" t="s">
        <v>17419</v>
      </c>
      <c r="BD2062" s="82" t="s">
        <v>17624</v>
      </c>
      <c r="BE2062" s="77"/>
      <c r="BF2062" s="77"/>
      <c r="BG2062" s="77"/>
      <c r="BH2062" s="77"/>
      <c r="BI2062" s="77"/>
    </row>
    <row r="2063" spans="1:61" x14ac:dyDescent="0.25">
      <c r="A2063" s="62" t="s">
        <v>571</v>
      </c>
      <c r="B2063" s="62" t="s">
        <v>787</v>
      </c>
      <c r="C2063" s="63"/>
      <c r="D2063" s="64"/>
      <c r="E2063" s="65"/>
      <c r="F2063" s="66"/>
      <c r="G2063" s="63"/>
      <c r="H2063" s="67"/>
      <c r="I2063" s="68"/>
      <c r="J2063" s="68"/>
      <c r="K2063" s="32"/>
      <c r="L2063" s="75">
        <v>2063</v>
      </c>
      <c r="M2063" s="75"/>
      <c r="N2063" s="70"/>
      <c r="O2063" s="77" t="s">
        <v>805</v>
      </c>
      <c r="P2063" s="79">
        <v>45154.009583333333</v>
      </c>
      <c r="Q2063" s="77" t="s">
        <v>2845</v>
      </c>
      <c r="R2063" s="77">
        <v>0</v>
      </c>
      <c r="S2063" s="77">
        <v>0</v>
      </c>
      <c r="T2063" s="77">
        <v>0</v>
      </c>
      <c r="U2063" s="77">
        <v>0</v>
      </c>
      <c r="V2063" s="77">
        <v>56</v>
      </c>
      <c r="W2063" s="82" t="s">
        <v>6169</v>
      </c>
      <c r="X2063" s="77"/>
      <c r="Y2063" s="77"/>
      <c r="Z2063" s="77" t="s">
        <v>7163</v>
      </c>
      <c r="AA2063" s="77"/>
      <c r="AB2063" s="77"/>
      <c r="AC2063" s="82" t="s">
        <v>8232</v>
      </c>
      <c r="AD2063" s="77" t="s">
        <v>8278</v>
      </c>
      <c r="AE2063" s="80" t="str">
        <f>HYPERLINK("https://twitter.com/osdadosmostram/status/1691604132199612526")</f>
        <v>https://twitter.com/osdadosmostram/status/1691604132199612526</v>
      </c>
      <c r="AF2063" s="79">
        <v>45154.009583333333</v>
      </c>
      <c r="AG2063" s="85">
        <v>45154</v>
      </c>
      <c r="AH2063" s="82" t="s">
        <v>10150</v>
      </c>
      <c r="AI2063" s="77"/>
      <c r="AJ2063" s="77"/>
      <c r="AK2063" s="77"/>
      <c r="AL2063" s="77"/>
      <c r="AM2063" s="77"/>
      <c r="AN2063" s="77"/>
      <c r="AO2063" s="77"/>
      <c r="AP2063" s="77"/>
      <c r="AQ2063" s="77"/>
      <c r="AR2063" s="77"/>
      <c r="AS2063" s="77"/>
      <c r="AT2063" s="77"/>
      <c r="AU2063" s="77"/>
      <c r="AV2063" s="80" t="str">
        <f>HYPERLINK("https://pbs.twimg.com/profile_images/1577097771961679873/kiiSE3ve_normal.jpg")</f>
        <v>https://pbs.twimg.com/profile_images/1577097771961679873/kiiSE3ve_normal.jpg</v>
      </c>
      <c r="AW2063" s="82" t="s">
        <v>15151</v>
      </c>
      <c r="AX2063" s="82" t="s">
        <v>17198</v>
      </c>
      <c r="AY2063" s="82" t="s">
        <v>17365</v>
      </c>
      <c r="AZ2063" s="82" t="s">
        <v>17418</v>
      </c>
      <c r="BA2063" s="82" t="s">
        <v>17385</v>
      </c>
      <c r="BB2063" s="82" t="s">
        <v>17385</v>
      </c>
      <c r="BC2063" s="82" t="s">
        <v>17418</v>
      </c>
      <c r="BD2063" s="82" t="s">
        <v>17624</v>
      </c>
      <c r="BE2063" s="77"/>
      <c r="BF2063" s="77"/>
      <c r="BG2063" s="77"/>
      <c r="BH2063" s="77"/>
      <c r="BI2063" s="77"/>
    </row>
    <row r="2064" spans="1:61" x14ac:dyDescent="0.25">
      <c r="A2064" s="62" t="s">
        <v>571</v>
      </c>
      <c r="B2064" s="62" t="s">
        <v>787</v>
      </c>
      <c r="C2064" s="63"/>
      <c r="D2064" s="64"/>
      <c r="E2064" s="65"/>
      <c r="F2064" s="66"/>
      <c r="G2064" s="63"/>
      <c r="H2064" s="67"/>
      <c r="I2064" s="68"/>
      <c r="J2064" s="68"/>
      <c r="K2064" s="32"/>
      <c r="L2064" s="75">
        <v>2064</v>
      </c>
      <c r="M2064" s="75"/>
      <c r="N2064" s="70"/>
      <c r="O2064" s="77" t="s">
        <v>805</v>
      </c>
      <c r="P2064" s="79">
        <v>45154.009513888886</v>
      </c>
      <c r="Q2064" s="77" t="s">
        <v>2846</v>
      </c>
      <c r="R2064" s="77">
        <v>0</v>
      </c>
      <c r="S2064" s="77">
        <v>1</v>
      </c>
      <c r="T2064" s="77">
        <v>0</v>
      </c>
      <c r="U2064" s="77">
        <v>0</v>
      </c>
      <c r="V2064" s="77">
        <v>53</v>
      </c>
      <c r="W2064" s="82" t="s">
        <v>6169</v>
      </c>
      <c r="X2064" s="77"/>
      <c r="Y2064" s="77"/>
      <c r="Z2064" s="77" t="s">
        <v>7164</v>
      </c>
      <c r="AA2064" s="77"/>
      <c r="AB2064" s="77"/>
      <c r="AC2064" s="82" t="s">
        <v>8232</v>
      </c>
      <c r="AD2064" s="77" t="s">
        <v>8278</v>
      </c>
      <c r="AE2064" s="80" t="str">
        <f>HYPERLINK("https://twitter.com/osdadosmostram/status/1691604109365743644")</f>
        <v>https://twitter.com/osdadosmostram/status/1691604109365743644</v>
      </c>
      <c r="AF2064" s="79">
        <v>45154.009513888886</v>
      </c>
      <c r="AG2064" s="85">
        <v>45154</v>
      </c>
      <c r="AH2064" s="82" t="s">
        <v>10151</v>
      </c>
      <c r="AI2064" s="77"/>
      <c r="AJ2064" s="77"/>
      <c r="AK2064" s="77"/>
      <c r="AL2064" s="77"/>
      <c r="AM2064" s="77"/>
      <c r="AN2064" s="77"/>
      <c r="AO2064" s="77"/>
      <c r="AP2064" s="77"/>
      <c r="AQ2064" s="77"/>
      <c r="AR2064" s="77"/>
      <c r="AS2064" s="77"/>
      <c r="AT2064" s="77"/>
      <c r="AU2064" s="77"/>
      <c r="AV2064" s="80" t="str">
        <f>HYPERLINK("https://pbs.twimg.com/profile_images/1577097771961679873/kiiSE3ve_normal.jpg")</f>
        <v>https://pbs.twimg.com/profile_images/1577097771961679873/kiiSE3ve_normal.jpg</v>
      </c>
      <c r="AW2064" s="82" t="s">
        <v>15152</v>
      </c>
      <c r="AX2064" s="82" t="s">
        <v>17198</v>
      </c>
      <c r="AY2064" s="82" t="s">
        <v>17366</v>
      </c>
      <c r="AZ2064" s="82" t="s">
        <v>17419</v>
      </c>
      <c r="BA2064" s="82" t="s">
        <v>17385</v>
      </c>
      <c r="BB2064" s="82" t="s">
        <v>17385</v>
      </c>
      <c r="BC2064" s="82" t="s">
        <v>17419</v>
      </c>
      <c r="BD2064" s="82" t="s">
        <v>17624</v>
      </c>
      <c r="BE2064" s="77"/>
      <c r="BF2064" s="77"/>
      <c r="BG2064" s="77"/>
      <c r="BH2064" s="77"/>
      <c r="BI2064" s="77"/>
    </row>
    <row r="2065" spans="1:61" x14ac:dyDescent="0.25">
      <c r="A2065" s="62" t="s">
        <v>571</v>
      </c>
      <c r="B2065" s="62" t="s">
        <v>788</v>
      </c>
      <c r="C2065" s="63"/>
      <c r="D2065" s="64"/>
      <c r="E2065" s="65"/>
      <c r="F2065" s="66"/>
      <c r="G2065" s="63"/>
      <c r="H2065" s="67"/>
      <c r="I2065" s="68"/>
      <c r="J2065" s="68"/>
      <c r="K2065" s="32"/>
      <c r="L2065" s="75">
        <v>2065</v>
      </c>
      <c r="M2065" s="75"/>
      <c r="N2065" s="70"/>
      <c r="O2065" s="77" t="s">
        <v>800</v>
      </c>
      <c r="P2065" s="79">
        <v>45154.009513888886</v>
      </c>
      <c r="Q2065" s="77" t="s">
        <v>2846</v>
      </c>
      <c r="R2065" s="77">
        <v>0</v>
      </c>
      <c r="S2065" s="77">
        <v>1</v>
      </c>
      <c r="T2065" s="77">
        <v>0</v>
      </c>
      <c r="U2065" s="77">
        <v>0</v>
      </c>
      <c r="V2065" s="77">
        <v>53</v>
      </c>
      <c r="W2065" s="82" t="s">
        <v>6169</v>
      </c>
      <c r="X2065" s="77"/>
      <c r="Y2065" s="77"/>
      <c r="Z2065" s="77" t="s">
        <v>7164</v>
      </c>
      <c r="AA2065" s="77"/>
      <c r="AB2065" s="77"/>
      <c r="AC2065" s="82" t="s">
        <v>8232</v>
      </c>
      <c r="AD2065" s="77" t="s">
        <v>8278</v>
      </c>
      <c r="AE2065" s="80" t="str">
        <f>HYPERLINK("https://twitter.com/osdadosmostram/status/1691604109365743644")</f>
        <v>https://twitter.com/osdadosmostram/status/1691604109365743644</v>
      </c>
      <c r="AF2065" s="79">
        <v>45154.009513888886</v>
      </c>
      <c r="AG2065" s="85">
        <v>45154</v>
      </c>
      <c r="AH2065" s="82" t="s">
        <v>10151</v>
      </c>
      <c r="AI2065" s="77"/>
      <c r="AJ2065" s="77"/>
      <c r="AK2065" s="77"/>
      <c r="AL2065" s="77"/>
      <c r="AM2065" s="77"/>
      <c r="AN2065" s="77"/>
      <c r="AO2065" s="77"/>
      <c r="AP2065" s="77"/>
      <c r="AQ2065" s="77"/>
      <c r="AR2065" s="77"/>
      <c r="AS2065" s="77"/>
      <c r="AT2065" s="77"/>
      <c r="AU2065" s="77"/>
      <c r="AV2065" s="80" t="str">
        <f>HYPERLINK("https://pbs.twimg.com/profile_images/1577097771961679873/kiiSE3ve_normal.jpg")</f>
        <v>https://pbs.twimg.com/profile_images/1577097771961679873/kiiSE3ve_normal.jpg</v>
      </c>
      <c r="AW2065" s="82" t="s">
        <v>15152</v>
      </c>
      <c r="AX2065" s="82" t="s">
        <v>17198</v>
      </c>
      <c r="AY2065" s="82" t="s">
        <v>17366</v>
      </c>
      <c r="AZ2065" s="82" t="s">
        <v>17419</v>
      </c>
      <c r="BA2065" s="82" t="s">
        <v>17385</v>
      </c>
      <c r="BB2065" s="82" t="s">
        <v>17385</v>
      </c>
      <c r="BC2065" s="82" t="s">
        <v>17419</v>
      </c>
      <c r="BD2065" s="82" t="s">
        <v>17624</v>
      </c>
      <c r="BE2065" s="77"/>
      <c r="BF2065" s="77"/>
      <c r="BG2065" s="77"/>
      <c r="BH2065" s="77"/>
      <c r="BI2065" s="77"/>
    </row>
    <row r="2066" spans="1:61" x14ac:dyDescent="0.25">
      <c r="A2066" s="62" t="s">
        <v>571</v>
      </c>
      <c r="B2066" s="62" t="s">
        <v>742</v>
      </c>
      <c r="C2066" s="63"/>
      <c r="D2066" s="64"/>
      <c r="E2066" s="65"/>
      <c r="F2066" s="66"/>
      <c r="G2066" s="63"/>
      <c r="H2066" s="67"/>
      <c r="I2066" s="68"/>
      <c r="J2066" s="68"/>
      <c r="K2066" s="32"/>
      <c r="L2066" s="75">
        <v>2066</v>
      </c>
      <c r="M2066" s="75"/>
      <c r="N2066" s="70"/>
      <c r="O2066" s="77" t="s">
        <v>805</v>
      </c>
      <c r="P2066" s="79">
        <v>45154.009583333333</v>
      </c>
      <c r="Q2066" s="77" t="s">
        <v>2845</v>
      </c>
      <c r="R2066" s="77">
        <v>0</v>
      </c>
      <c r="S2066" s="77">
        <v>0</v>
      </c>
      <c r="T2066" s="77">
        <v>0</v>
      </c>
      <c r="U2066" s="77">
        <v>0</v>
      </c>
      <c r="V2066" s="77">
        <v>56</v>
      </c>
      <c r="W2066" s="82" t="s">
        <v>6169</v>
      </c>
      <c r="X2066" s="77"/>
      <c r="Y2066" s="77"/>
      <c r="Z2066" s="77" t="s">
        <v>7163</v>
      </c>
      <c r="AA2066" s="77"/>
      <c r="AB2066" s="77"/>
      <c r="AC2066" s="82" t="s">
        <v>8232</v>
      </c>
      <c r="AD2066" s="77" t="s">
        <v>8278</v>
      </c>
      <c r="AE2066" s="80" t="str">
        <f>HYPERLINK("https://twitter.com/osdadosmostram/status/1691604132199612526")</f>
        <v>https://twitter.com/osdadosmostram/status/1691604132199612526</v>
      </c>
      <c r="AF2066" s="79">
        <v>45154.009583333333</v>
      </c>
      <c r="AG2066" s="85">
        <v>45154</v>
      </c>
      <c r="AH2066" s="82" t="s">
        <v>10150</v>
      </c>
      <c r="AI2066" s="77"/>
      <c r="AJ2066" s="77"/>
      <c r="AK2066" s="77"/>
      <c r="AL2066" s="77"/>
      <c r="AM2066" s="77"/>
      <c r="AN2066" s="77"/>
      <c r="AO2066" s="77"/>
      <c r="AP2066" s="77"/>
      <c r="AQ2066" s="77"/>
      <c r="AR2066" s="77"/>
      <c r="AS2066" s="77"/>
      <c r="AT2066" s="77"/>
      <c r="AU2066" s="77"/>
      <c r="AV2066" s="80" t="str">
        <f>HYPERLINK("https://pbs.twimg.com/profile_images/1577097771961679873/kiiSE3ve_normal.jpg")</f>
        <v>https://pbs.twimg.com/profile_images/1577097771961679873/kiiSE3ve_normal.jpg</v>
      </c>
      <c r="AW2066" s="82" t="s">
        <v>15151</v>
      </c>
      <c r="AX2066" s="82" t="s">
        <v>17198</v>
      </c>
      <c r="AY2066" s="82" t="s">
        <v>17365</v>
      </c>
      <c r="AZ2066" s="82" t="s">
        <v>17418</v>
      </c>
      <c r="BA2066" s="82" t="s">
        <v>17385</v>
      </c>
      <c r="BB2066" s="82" t="s">
        <v>17385</v>
      </c>
      <c r="BC2066" s="82" t="s">
        <v>17418</v>
      </c>
      <c r="BD2066" s="82" t="s">
        <v>17624</v>
      </c>
      <c r="BE2066" s="77"/>
      <c r="BF2066" s="77"/>
      <c r="BG2066" s="77"/>
      <c r="BH2066" s="77"/>
      <c r="BI2066" s="77"/>
    </row>
    <row r="2067" spans="1:61" x14ac:dyDescent="0.25">
      <c r="A2067" s="62" t="s">
        <v>571</v>
      </c>
      <c r="B2067" s="62" t="s">
        <v>742</v>
      </c>
      <c r="C2067" s="63"/>
      <c r="D2067" s="64"/>
      <c r="E2067" s="65"/>
      <c r="F2067" s="66"/>
      <c r="G2067" s="63"/>
      <c r="H2067" s="67"/>
      <c r="I2067" s="68"/>
      <c r="J2067" s="68"/>
      <c r="K2067" s="32"/>
      <c r="L2067" s="75">
        <v>2067</v>
      </c>
      <c r="M2067" s="75"/>
      <c r="N2067" s="70"/>
      <c r="O2067" s="77" t="s">
        <v>805</v>
      </c>
      <c r="P2067" s="79">
        <v>45154.009513888886</v>
      </c>
      <c r="Q2067" s="77" t="s">
        <v>2846</v>
      </c>
      <c r="R2067" s="77">
        <v>0</v>
      </c>
      <c r="S2067" s="77">
        <v>1</v>
      </c>
      <c r="T2067" s="77">
        <v>0</v>
      </c>
      <c r="U2067" s="77">
        <v>0</v>
      </c>
      <c r="V2067" s="77">
        <v>53</v>
      </c>
      <c r="W2067" s="82" t="s">
        <v>6169</v>
      </c>
      <c r="X2067" s="77"/>
      <c r="Y2067" s="77"/>
      <c r="Z2067" s="77" t="s">
        <v>7164</v>
      </c>
      <c r="AA2067" s="77"/>
      <c r="AB2067" s="77"/>
      <c r="AC2067" s="82" t="s">
        <v>8232</v>
      </c>
      <c r="AD2067" s="77" t="s">
        <v>8278</v>
      </c>
      <c r="AE2067" s="80" t="str">
        <f>HYPERLINK("https://twitter.com/osdadosmostram/status/1691604109365743644")</f>
        <v>https://twitter.com/osdadosmostram/status/1691604109365743644</v>
      </c>
      <c r="AF2067" s="79">
        <v>45154.009513888886</v>
      </c>
      <c r="AG2067" s="85">
        <v>45154</v>
      </c>
      <c r="AH2067" s="82" t="s">
        <v>10151</v>
      </c>
      <c r="AI2067" s="77"/>
      <c r="AJ2067" s="77"/>
      <c r="AK2067" s="77"/>
      <c r="AL2067" s="77"/>
      <c r="AM2067" s="77"/>
      <c r="AN2067" s="77"/>
      <c r="AO2067" s="77"/>
      <c r="AP2067" s="77"/>
      <c r="AQ2067" s="77"/>
      <c r="AR2067" s="77"/>
      <c r="AS2067" s="77"/>
      <c r="AT2067" s="77"/>
      <c r="AU2067" s="77"/>
      <c r="AV2067" s="80" t="str">
        <f>HYPERLINK("https://pbs.twimg.com/profile_images/1577097771961679873/kiiSE3ve_normal.jpg")</f>
        <v>https://pbs.twimg.com/profile_images/1577097771961679873/kiiSE3ve_normal.jpg</v>
      </c>
      <c r="AW2067" s="82" t="s">
        <v>15152</v>
      </c>
      <c r="AX2067" s="82" t="s">
        <v>17198</v>
      </c>
      <c r="AY2067" s="82" t="s">
        <v>17366</v>
      </c>
      <c r="AZ2067" s="82" t="s">
        <v>17419</v>
      </c>
      <c r="BA2067" s="82" t="s">
        <v>17385</v>
      </c>
      <c r="BB2067" s="82" t="s">
        <v>17385</v>
      </c>
      <c r="BC2067" s="82" t="s">
        <v>17419</v>
      </c>
      <c r="BD2067" s="82" t="s">
        <v>17624</v>
      </c>
      <c r="BE2067" s="77"/>
      <c r="BF2067" s="77"/>
      <c r="BG2067" s="77"/>
      <c r="BH2067" s="77"/>
      <c r="BI2067" s="77"/>
    </row>
    <row r="2068" spans="1:61" x14ac:dyDescent="0.25">
      <c r="A2068" s="62" t="s">
        <v>571</v>
      </c>
      <c r="B2068" s="62" t="s">
        <v>742</v>
      </c>
      <c r="C2068" s="63"/>
      <c r="D2068" s="64"/>
      <c r="E2068" s="65"/>
      <c r="F2068" s="66"/>
      <c r="G2068" s="63"/>
      <c r="H2068" s="67"/>
      <c r="I2068" s="68"/>
      <c r="J2068" s="68"/>
      <c r="K2068" s="32"/>
      <c r="L2068" s="75">
        <v>2068</v>
      </c>
      <c r="M2068" s="75"/>
      <c r="N2068" s="70"/>
      <c r="O2068" s="77" t="s">
        <v>802</v>
      </c>
      <c r="P2068" s="79">
        <v>45153.993900462963</v>
      </c>
      <c r="Q2068" s="77" t="s">
        <v>2847</v>
      </c>
      <c r="R2068" s="77">
        <v>0</v>
      </c>
      <c r="S2068" s="77">
        <v>1</v>
      </c>
      <c r="T2068" s="77">
        <v>1</v>
      </c>
      <c r="U2068" s="77">
        <v>0</v>
      </c>
      <c r="V2068" s="77">
        <v>209</v>
      </c>
      <c r="W2068" s="82" t="s">
        <v>6170</v>
      </c>
      <c r="X2068" s="77"/>
      <c r="Y2068" s="77"/>
      <c r="Z2068" s="77" t="s">
        <v>742</v>
      </c>
      <c r="AA2068" s="77"/>
      <c r="AB2068" s="77"/>
      <c r="AC2068" s="82" t="s">
        <v>8232</v>
      </c>
      <c r="AD2068" s="77" t="s">
        <v>8278</v>
      </c>
      <c r="AE2068" s="80" t="str">
        <f>HYPERLINK("https://twitter.com/osdadosmostram/status/1691598451039949147")</f>
        <v>https://twitter.com/osdadosmostram/status/1691598451039949147</v>
      </c>
      <c r="AF2068" s="79">
        <v>45153.993900462963</v>
      </c>
      <c r="AG2068" s="85">
        <v>45153</v>
      </c>
      <c r="AH2068" s="82" t="s">
        <v>10152</v>
      </c>
      <c r="AI2068" s="77"/>
      <c r="AJ2068" s="77"/>
      <c r="AK2068" s="77"/>
      <c r="AL2068" s="77"/>
      <c r="AM2068" s="77"/>
      <c r="AN2068" s="77"/>
      <c r="AO2068" s="77"/>
      <c r="AP2068" s="77"/>
      <c r="AQ2068" s="77"/>
      <c r="AR2068" s="77"/>
      <c r="AS2068" s="77"/>
      <c r="AT2068" s="77"/>
      <c r="AU2068" s="77"/>
      <c r="AV2068" s="80" t="str">
        <f>HYPERLINK("https://pbs.twimg.com/profile_images/1577097771961679873/kiiSE3ve_normal.jpg")</f>
        <v>https://pbs.twimg.com/profile_images/1577097771961679873/kiiSE3ve_normal.jpg</v>
      </c>
      <c r="AW2068" s="82" t="s">
        <v>15153</v>
      </c>
      <c r="AX2068" s="82" t="s">
        <v>15153</v>
      </c>
      <c r="AY2068" s="77"/>
      <c r="AZ2068" s="82" t="s">
        <v>17385</v>
      </c>
      <c r="BA2068" s="82" t="s">
        <v>17385</v>
      </c>
      <c r="BB2068" s="82" t="s">
        <v>17385</v>
      </c>
      <c r="BC2068" s="82" t="s">
        <v>15153</v>
      </c>
      <c r="BD2068" s="82" t="s">
        <v>17624</v>
      </c>
      <c r="BE2068" s="77"/>
      <c r="BF2068" s="77"/>
      <c r="BG2068" s="77"/>
      <c r="BH2068" s="77"/>
      <c r="BI2068" s="77"/>
    </row>
    <row r="2069" spans="1:61" x14ac:dyDescent="0.25">
      <c r="A2069" s="62" t="s">
        <v>571</v>
      </c>
      <c r="B2069" s="62" t="s">
        <v>571</v>
      </c>
      <c r="C2069" s="63"/>
      <c r="D2069" s="64"/>
      <c r="E2069" s="65"/>
      <c r="F2069" s="66"/>
      <c r="G2069" s="63"/>
      <c r="H2069" s="67"/>
      <c r="I2069" s="68"/>
      <c r="J2069" s="68"/>
      <c r="K2069" s="32"/>
      <c r="L2069" s="75">
        <v>2069</v>
      </c>
      <c r="M2069" s="75"/>
      <c r="N2069" s="70"/>
      <c r="O2069" s="77" t="s">
        <v>179</v>
      </c>
      <c r="P2069" s="79">
        <v>45133.670578703706</v>
      </c>
      <c r="Q2069" s="77" t="s">
        <v>2848</v>
      </c>
      <c r="R2069" s="77">
        <v>0</v>
      </c>
      <c r="S2069" s="77">
        <v>0</v>
      </c>
      <c r="T2069" s="77">
        <v>1</v>
      </c>
      <c r="U2069" s="77">
        <v>0</v>
      </c>
      <c r="V2069" s="77">
        <v>184</v>
      </c>
      <c r="W2069" s="82" t="s">
        <v>6171</v>
      </c>
      <c r="X2069" s="77"/>
      <c r="Y2069" s="77"/>
      <c r="Z2069" s="77"/>
      <c r="AA2069" s="77"/>
      <c r="AB2069" s="77"/>
      <c r="AC2069" s="82" t="s">
        <v>8232</v>
      </c>
      <c r="AD2069" s="77" t="s">
        <v>8278</v>
      </c>
      <c r="AE2069" s="80" t="str">
        <f>HYPERLINK("https://twitter.com/osdadosmostram/status/1684233523803168768")</f>
        <v>https://twitter.com/osdadosmostram/status/1684233523803168768</v>
      </c>
      <c r="AF2069" s="79">
        <v>45133.670578703706</v>
      </c>
      <c r="AG2069" s="85">
        <v>45133</v>
      </c>
      <c r="AH2069" s="82" t="s">
        <v>10153</v>
      </c>
      <c r="AI2069" s="77"/>
      <c r="AJ2069" s="77"/>
      <c r="AK2069" s="77"/>
      <c r="AL2069" s="77"/>
      <c r="AM2069" s="77"/>
      <c r="AN2069" s="77"/>
      <c r="AO2069" s="77"/>
      <c r="AP2069" s="77"/>
      <c r="AQ2069" s="77"/>
      <c r="AR2069" s="77"/>
      <c r="AS2069" s="77"/>
      <c r="AT2069" s="77"/>
      <c r="AU2069" s="77"/>
      <c r="AV2069" s="80" t="str">
        <f>HYPERLINK("https://pbs.twimg.com/profile_images/1577097771961679873/kiiSE3ve_normal.jpg")</f>
        <v>https://pbs.twimg.com/profile_images/1577097771961679873/kiiSE3ve_normal.jpg</v>
      </c>
      <c r="AW2069" s="82" t="s">
        <v>15154</v>
      </c>
      <c r="AX2069" s="82" t="s">
        <v>15154</v>
      </c>
      <c r="AY2069" s="77"/>
      <c r="AZ2069" s="82" t="s">
        <v>17385</v>
      </c>
      <c r="BA2069" s="82" t="s">
        <v>17385</v>
      </c>
      <c r="BB2069" s="82" t="s">
        <v>17385</v>
      </c>
      <c r="BC2069" s="82" t="s">
        <v>15154</v>
      </c>
      <c r="BD2069" s="82" t="s">
        <v>17624</v>
      </c>
      <c r="BE2069" s="77"/>
      <c r="BF2069" s="77"/>
      <c r="BG2069" s="77"/>
      <c r="BH2069" s="77"/>
      <c r="BI2069" s="77"/>
    </row>
    <row r="2070" spans="1:61" x14ac:dyDescent="0.25">
      <c r="A2070" s="62" t="s">
        <v>571</v>
      </c>
      <c r="B2070" s="62" t="s">
        <v>571</v>
      </c>
      <c r="C2070" s="63"/>
      <c r="D2070" s="64"/>
      <c r="E2070" s="65"/>
      <c r="F2070" s="66"/>
      <c r="G2070" s="63"/>
      <c r="H2070" s="67"/>
      <c r="I2070" s="68"/>
      <c r="J2070" s="68"/>
      <c r="K2070" s="32"/>
      <c r="L2070" s="75">
        <v>2070</v>
      </c>
      <c r="M2070" s="75"/>
      <c r="N2070" s="70"/>
      <c r="O2070" s="77" t="s">
        <v>179</v>
      </c>
      <c r="P2070" s="79">
        <v>45104.763229166667</v>
      </c>
      <c r="Q2070" s="77" t="s">
        <v>2849</v>
      </c>
      <c r="R2070" s="77">
        <v>1</v>
      </c>
      <c r="S2070" s="77">
        <v>8</v>
      </c>
      <c r="T2070" s="77">
        <v>0</v>
      </c>
      <c r="U2070" s="77">
        <v>0</v>
      </c>
      <c r="V2070" s="77">
        <v>450</v>
      </c>
      <c r="W2070" s="82" t="s">
        <v>5248</v>
      </c>
      <c r="X2070" s="77"/>
      <c r="Y2070" s="77"/>
      <c r="Z2070" s="77"/>
      <c r="AA2070" s="77" t="s">
        <v>8009</v>
      </c>
      <c r="AB2070" s="77" t="s">
        <v>8225</v>
      </c>
      <c r="AC2070" s="82" t="s">
        <v>8232</v>
      </c>
      <c r="AD2070" s="77" t="s">
        <v>8278</v>
      </c>
      <c r="AE2070" s="80" t="str">
        <f>HYPERLINK("https://twitter.com/osdadosmostram/status/1673757852660277272")</f>
        <v>https://twitter.com/osdadosmostram/status/1673757852660277272</v>
      </c>
      <c r="AF2070" s="79">
        <v>45104.763229166667</v>
      </c>
      <c r="AG2070" s="85">
        <v>45104</v>
      </c>
      <c r="AH2070" s="82" t="s">
        <v>10154</v>
      </c>
      <c r="AI2070" s="77" t="b">
        <v>0</v>
      </c>
      <c r="AJ2070" s="77"/>
      <c r="AK2070" s="77"/>
      <c r="AL2070" s="77"/>
      <c r="AM2070" s="77"/>
      <c r="AN2070" s="77"/>
      <c r="AO2070" s="77"/>
      <c r="AP2070" s="77"/>
      <c r="AQ2070" s="77" t="s">
        <v>12894</v>
      </c>
      <c r="AR2070" s="77"/>
      <c r="AS2070" s="77"/>
      <c r="AT2070" s="77"/>
      <c r="AU2070" s="77"/>
      <c r="AV2070" s="80" t="str">
        <f>HYPERLINK("https://pbs.twimg.com/media/Fzph1nPXgAASPCZ.jpg")</f>
        <v>https://pbs.twimg.com/media/Fzph1nPXgAASPCZ.jpg</v>
      </c>
      <c r="AW2070" s="82" t="s">
        <v>15155</v>
      </c>
      <c r="AX2070" s="82" t="s">
        <v>15155</v>
      </c>
      <c r="AY2070" s="77"/>
      <c r="AZ2070" s="82" t="s">
        <v>17385</v>
      </c>
      <c r="BA2070" s="82" t="s">
        <v>17385</v>
      </c>
      <c r="BB2070" s="82" t="s">
        <v>17385</v>
      </c>
      <c r="BC2070" s="82" t="s">
        <v>15155</v>
      </c>
      <c r="BD2070" s="82" t="s">
        <v>17624</v>
      </c>
      <c r="BE2070" s="77"/>
      <c r="BF2070" s="77"/>
      <c r="BG2070" s="77"/>
      <c r="BH2070" s="77"/>
      <c r="BI2070" s="77"/>
    </row>
    <row r="2071" spans="1:61" x14ac:dyDescent="0.25">
      <c r="A2071" s="62" t="s">
        <v>572</v>
      </c>
      <c r="B2071" s="62" t="s">
        <v>572</v>
      </c>
      <c r="C2071" s="63"/>
      <c r="D2071" s="64"/>
      <c r="E2071" s="65"/>
      <c r="F2071" s="66"/>
      <c r="G2071" s="63"/>
      <c r="H2071" s="67"/>
      <c r="I2071" s="68"/>
      <c r="J2071" s="68"/>
      <c r="K2071" s="32"/>
      <c r="L2071" s="75">
        <v>2071</v>
      </c>
      <c r="M2071" s="75"/>
      <c r="N2071" s="70"/>
      <c r="O2071" s="77" t="s">
        <v>179</v>
      </c>
      <c r="P2071" s="79">
        <v>45045.614814814813</v>
      </c>
      <c r="Q2071" s="77" t="s">
        <v>2850</v>
      </c>
      <c r="R2071" s="77">
        <v>0</v>
      </c>
      <c r="S2071" s="77">
        <v>0</v>
      </c>
      <c r="T2071" s="77">
        <v>0</v>
      </c>
      <c r="U2071" s="77">
        <v>0</v>
      </c>
      <c r="V2071" s="77">
        <v>9</v>
      </c>
      <c r="W2071" s="82" t="s">
        <v>6172</v>
      </c>
      <c r="X2071" s="80" t="str">
        <f>HYPERLINK("https://is.gd/A6ApfV")</f>
        <v>https://is.gd/A6ApfV</v>
      </c>
      <c r="Y2071" s="77" t="s">
        <v>7131</v>
      </c>
      <c r="Z2071" s="77"/>
      <c r="AA2071" s="77" t="s">
        <v>8010</v>
      </c>
      <c r="AB2071" s="77" t="s">
        <v>8225</v>
      </c>
      <c r="AC2071" s="82" t="s">
        <v>8272</v>
      </c>
      <c r="AD2071" s="77" t="s">
        <v>8278</v>
      </c>
      <c r="AE2071" s="80" t="str">
        <f>HYPERLINK("https://twitter.com/jadsonlimanovo/status/1652323183633002497")</f>
        <v>https://twitter.com/jadsonlimanovo/status/1652323183633002497</v>
      </c>
      <c r="AF2071" s="79">
        <v>45045.614814814813</v>
      </c>
      <c r="AG2071" s="85">
        <v>45045</v>
      </c>
      <c r="AH2071" s="82" t="s">
        <v>10155</v>
      </c>
      <c r="AI2071" s="77" t="b">
        <v>0</v>
      </c>
      <c r="AJ2071" s="77"/>
      <c r="AK2071" s="77"/>
      <c r="AL2071" s="77"/>
      <c r="AM2071" s="77"/>
      <c r="AN2071" s="77"/>
      <c r="AO2071" s="77"/>
      <c r="AP2071" s="77"/>
      <c r="AQ2071" s="77" t="s">
        <v>12895</v>
      </c>
      <c r="AR2071" s="77"/>
      <c r="AS2071" s="77"/>
      <c r="AT2071" s="77"/>
      <c r="AU2071" s="77"/>
      <c r="AV2071" s="80" t="str">
        <f>HYPERLINK("https://pbs.twimg.com/media/Fu47LcHWIAA4m14.jpg")</f>
        <v>https://pbs.twimg.com/media/Fu47LcHWIAA4m14.jpg</v>
      </c>
      <c r="AW2071" s="82" t="s">
        <v>15156</v>
      </c>
      <c r="AX2071" s="82" t="s">
        <v>15156</v>
      </c>
      <c r="AY2071" s="77"/>
      <c r="AZ2071" s="82" t="s">
        <v>17385</v>
      </c>
      <c r="BA2071" s="82" t="s">
        <v>17385</v>
      </c>
      <c r="BB2071" s="82" t="s">
        <v>17385</v>
      </c>
      <c r="BC2071" s="82" t="s">
        <v>15156</v>
      </c>
      <c r="BD2071" s="82" t="s">
        <v>17625</v>
      </c>
      <c r="BE2071" s="77"/>
      <c r="BF2071" s="77"/>
      <c r="BG2071" s="77"/>
      <c r="BH2071" s="77"/>
      <c r="BI2071" s="77"/>
    </row>
    <row r="2072" spans="1:61" x14ac:dyDescent="0.25">
      <c r="A2072" s="62" t="s">
        <v>572</v>
      </c>
      <c r="B2072" s="62" t="s">
        <v>572</v>
      </c>
      <c r="C2072" s="63"/>
      <c r="D2072" s="64"/>
      <c r="E2072" s="65"/>
      <c r="F2072" s="66"/>
      <c r="G2072" s="63"/>
      <c r="H2072" s="67"/>
      <c r="I2072" s="68"/>
      <c r="J2072" s="68"/>
      <c r="K2072" s="32"/>
      <c r="L2072" s="75">
        <v>2072</v>
      </c>
      <c r="M2072" s="75"/>
      <c r="N2072" s="70"/>
      <c r="O2072" s="77" t="s">
        <v>179</v>
      </c>
      <c r="P2072" s="79">
        <v>45065.771469907406</v>
      </c>
      <c r="Q2072" s="77" t="s">
        <v>2851</v>
      </c>
      <c r="R2072" s="77">
        <v>0</v>
      </c>
      <c r="S2072" s="77">
        <v>0</v>
      </c>
      <c r="T2072" s="77">
        <v>0</v>
      </c>
      <c r="U2072" s="77">
        <v>0</v>
      </c>
      <c r="V2072" s="77">
        <v>53</v>
      </c>
      <c r="W2072" s="82" t="s">
        <v>6173</v>
      </c>
      <c r="X2072" s="80" t="str">
        <f>HYPERLINK("https://is.gd/BHvDIt")</f>
        <v>https://is.gd/BHvDIt</v>
      </c>
      <c r="Y2072" s="77" t="s">
        <v>7131</v>
      </c>
      <c r="Z2072" s="77"/>
      <c r="AA2072" s="77" t="s">
        <v>8011</v>
      </c>
      <c r="AB2072" s="77" t="s">
        <v>8225</v>
      </c>
      <c r="AC2072" s="82" t="s">
        <v>8272</v>
      </c>
      <c r="AD2072" s="77" t="s">
        <v>8278</v>
      </c>
      <c r="AE2072" s="80" t="str">
        <f>HYPERLINK("https://twitter.com/jadsonlimanovo/status/1659627712577716258")</f>
        <v>https://twitter.com/jadsonlimanovo/status/1659627712577716258</v>
      </c>
      <c r="AF2072" s="79">
        <v>45065.771469907406</v>
      </c>
      <c r="AG2072" s="85">
        <v>45065</v>
      </c>
      <c r="AH2072" s="82" t="s">
        <v>10156</v>
      </c>
      <c r="AI2072" s="77" t="b">
        <v>0</v>
      </c>
      <c r="AJ2072" s="77"/>
      <c r="AK2072" s="77"/>
      <c r="AL2072" s="77"/>
      <c r="AM2072" s="77"/>
      <c r="AN2072" s="77"/>
      <c r="AO2072" s="77"/>
      <c r="AP2072" s="77"/>
      <c r="AQ2072" s="77" t="s">
        <v>12896</v>
      </c>
      <c r="AR2072" s="77"/>
      <c r="AS2072" s="77"/>
      <c r="AT2072" s="77"/>
      <c r="AU2072" s="77"/>
      <c r="AV2072" s="80" t="str">
        <f>HYPERLINK("https://pbs.twimg.com/media/Fwgum_GWwAYL1Gp.jpg")</f>
        <v>https://pbs.twimg.com/media/Fwgum_GWwAYL1Gp.jpg</v>
      </c>
      <c r="AW2072" s="82" t="s">
        <v>15157</v>
      </c>
      <c r="AX2072" s="82" t="s">
        <v>15157</v>
      </c>
      <c r="AY2072" s="77"/>
      <c r="AZ2072" s="82" t="s">
        <v>17385</v>
      </c>
      <c r="BA2072" s="82" t="s">
        <v>17385</v>
      </c>
      <c r="BB2072" s="82" t="s">
        <v>17385</v>
      </c>
      <c r="BC2072" s="82" t="s">
        <v>15157</v>
      </c>
      <c r="BD2072" s="82" t="s">
        <v>17625</v>
      </c>
      <c r="BE2072" s="77"/>
      <c r="BF2072" s="77"/>
      <c r="BG2072" s="77"/>
      <c r="BH2072" s="77"/>
      <c r="BI2072" s="77"/>
    </row>
    <row r="2073" spans="1:61" x14ac:dyDescent="0.25">
      <c r="A2073" s="62" t="s">
        <v>572</v>
      </c>
      <c r="B2073" s="62" t="s">
        <v>572</v>
      </c>
      <c r="C2073" s="63"/>
      <c r="D2073" s="64"/>
      <c r="E2073" s="65"/>
      <c r="F2073" s="66"/>
      <c r="G2073" s="63"/>
      <c r="H2073" s="67"/>
      <c r="I2073" s="68"/>
      <c r="J2073" s="68"/>
      <c r="K2073" s="32"/>
      <c r="L2073" s="75">
        <v>2073</v>
      </c>
      <c r="M2073" s="75"/>
      <c r="N2073" s="70"/>
      <c r="O2073" s="77" t="s">
        <v>179</v>
      </c>
      <c r="P2073" s="79">
        <v>45064.50744212963</v>
      </c>
      <c r="Q2073" s="77" t="s">
        <v>2852</v>
      </c>
      <c r="R2073" s="77">
        <v>0</v>
      </c>
      <c r="S2073" s="77">
        <v>0</v>
      </c>
      <c r="T2073" s="77">
        <v>0</v>
      </c>
      <c r="U2073" s="77">
        <v>0</v>
      </c>
      <c r="V2073" s="77">
        <v>16</v>
      </c>
      <c r="W2073" s="82" t="s">
        <v>6174</v>
      </c>
      <c r="X2073" s="80" t="str">
        <f>HYPERLINK("https://is.gd/5vxgmT")</f>
        <v>https://is.gd/5vxgmT</v>
      </c>
      <c r="Y2073" s="77" t="s">
        <v>7131</v>
      </c>
      <c r="Z2073" s="77"/>
      <c r="AA2073" s="77" t="s">
        <v>8012</v>
      </c>
      <c r="AB2073" s="77" t="s">
        <v>8225</v>
      </c>
      <c r="AC2073" s="82" t="s">
        <v>8272</v>
      </c>
      <c r="AD2073" s="77" t="s">
        <v>8278</v>
      </c>
      <c r="AE2073" s="80" t="str">
        <f>HYPERLINK("https://twitter.com/jadsonlimanovo/status/1659169642206711814")</f>
        <v>https://twitter.com/jadsonlimanovo/status/1659169642206711814</v>
      </c>
      <c r="AF2073" s="79">
        <v>45064.50744212963</v>
      </c>
      <c r="AG2073" s="85">
        <v>45064</v>
      </c>
      <c r="AH2073" s="82" t="s">
        <v>10157</v>
      </c>
      <c r="AI2073" s="77" t="b">
        <v>0</v>
      </c>
      <c r="AJ2073" s="77"/>
      <c r="AK2073" s="77"/>
      <c r="AL2073" s="77"/>
      <c r="AM2073" s="77"/>
      <c r="AN2073" s="77"/>
      <c r="AO2073" s="77"/>
      <c r="AP2073" s="77"/>
      <c r="AQ2073" s="77" t="s">
        <v>12897</v>
      </c>
      <c r="AR2073" s="77"/>
      <c r="AS2073" s="77"/>
      <c r="AT2073" s="77"/>
      <c r="AU2073" s="77"/>
      <c r="AV2073" s="80" t="str">
        <f>HYPERLINK("https://pbs.twimg.com/media/FwaN_u5WwAAx9fd.jpg")</f>
        <v>https://pbs.twimg.com/media/FwaN_u5WwAAx9fd.jpg</v>
      </c>
      <c r="AW2073" s="82" t="s">
        <v>15158</v>
      </c>
      <c r="AX2073" s="82" t="s">
        <v>15158</v>
      </c>
      <c r="AY2073" s="77"/>
      <c r="AZ2073" s="82" t="s">
        <v>17385</v>
      </c>
      <c r="BA2073" s="82" t="s">
        <v>17385</v>
      </c>
      <c r="BB2073" s="82" t="s">
        <v>17385</v>
      </c>
      <c r="BC2073" s="82" t="s">
        <v>15158</v>
      </c>
      <c r="BD2073" s="82" t="s">
        <v>17625</v>
      </c>
      <c r="BE2073" s="77"/>
      <c r="BF2073" s="77"/>
      <c r="BG2073" s="77"/>
      <c r="BH2073" s="77"/>
      <c r="BI2073" s="77"/>
    </row>
    <row r="2074" spans="1:61" x14ac:dyDescent="0.25">
      <c r="A2074" s="62" t="s">
        <v>572</v>
      </c>
      <c r="B2074" s="62" t="s">
        <v>572</v>
      </c>
      <c r="C2074" s="63"/>
      <c r="D2074" s="64"/>
      <c r="E2074" s="65"/>
      <c r="F2074" s="66"/>
      <c r="G2074" s="63"/>
      <c r="H2074" s="67"/>
      <c r="I2074" s="68"/>
      <c r="J2074" s="68"/>
      <c r="K2074" s="32"/>
      <c r="L2074" s="75">
        <v>2074</v>
      </c>
      <c r="M2074" s="75"/>
      <c r="N2074" s="70"/>
      <c r="O2074" s="77" t="s">
        <v>179</v>
      </c>
      <c r="P2074" s="79">
        <v>45063.440787037034</v>
      </c>
      <c r="Q2074" s="77" t="s">
        <v>2853</v>
      </c>
      <c r="R2074" s="77">
        <v>0</v>
      </c>
      <c r="S2074" s="77">
        <v>0</v>
      </c>
      <c r="T2074" s="77">
        <v>0</v>
      </c>
      <c r="U2074" s="77">
        <v>0</v>
      </c>
      <c r="V2074" s="77">
        <v>66</v>
      </c>
      <c r="W2074" s="82" t="s">
        <v>6175</v>
      </c>
      <c r="X2074" s="80" t="str">
        <f>HYPERLINK("https://is.gd/QdLpIw")</f>
        <v>https://is.gd/QdLpIw</v>
      </c>
      <c r="Y2074" s="77" t="s">
        <v>7131</v>
      </c>
      <c r="Z2074" s="77"/>
      <c r="AA2074" s="77" t="s">
        <v>8013</v>
      </c>
      <c r="AB2074" s="77" t="s">
        <v>8225</v>
      </c>
      <c r="AC2074" s="82" t="s">
        <v>8272</v>
      </c>
      <c r="AD2074" s="77" t="s">
        <v>8278</v>
      </c>
      <c r="AE2074" s="80" t="str">
        <f>HYPERLINK("https://twitter.com/jadsonlimanovo/status/1658783102435569664")</f>
        <v>https://twitter.com/jadsonlimanovo/status/1658783102435569664</v>
      </c>
      <c r="AF2074" s="79">
        <v>45063.440787037034</v>
      </c>
      <c r="AG2074" s="85">
        <v>45063</v>
      </c>
      <c r="AH2074" s="82" t="s">
        <v>10158</v>
      </c>
      <c r="AI2074" s="77" t="b">
        <v>0</v>
      </c>
      <c r="AJ2074" s="77"/>
      <c r="AK2074" s="77"/>
      <c r="AL2074" s="77"/>
      <c r="AM2074" s="77"/>
      <c r="AN2074" s="77"/>
      <c r="AO2074" s="77"/>
      <c r="AP2074" s="77"/>
      <c r="AQ2074" s="77" t="s">
        <v>12898</v>
      </c>
      <c r="AR2074" s="77"/>
      <c r="AS2074" s="77"/>
      <c r="AT2074" s="77"/>
      <c r="AU2074" s="77"/>
      <c r="AV2074" s="80" t="str">
        <f>HYPERLINK("https://pbs.twimg.com/media/FwUucMWWIAEczVB.jpg")</f>
        <v>https://pbs.twimg.com/media/FwUucMWWIAEczVB.jpg</v>
      </c>
      <c r="AW2074" s="82" t="s">
        <v>15159</v>
      </c>
      <c r="AX2074" s="82" t="s">
        <v>15159</v>
      </c>
      <c r="AY2074" s="77"/>
      <c r="AZ2074" s="82" t="s">
        <v>17385</v>
      </c>
      <c r="BA2074" s="82" t="s">
        <v>17385</v>
      </c>
      <c r="BB2074" s="82" t="s">
        <v>17385</v>
      </c>
      <c r="BC2074" s="82" t="s">
        <v>15159</v>
      </c>
      <c r="BD2074" s="82" t="s">
        <v>17625</v>
      </c>
      <c r="BE2074" s="77"/>
      <c r="BF2074" s="77"/>
      <c r="BG2074" s="77"/>
      <c r="BH2074" s="77"/>
      <c r="BI2074" s="77"/>
    </row>
    <row r="2075" spans="1:61" x14ac:dyDescent="0.25">
      <c r="A2075" s="62" t="s">
        <v>572</v>
      </c>
      <c r="B2075" s="62" t="s">
        <v>572</v>
      </c>
      <c r="C2075" s="63"/>
      <c r="D2075" s="64"/>
      <c r="E2075" s="65"/>
      <c r="F2075" s="66"/>
      <c r="G2075" s="63"/>
      <c r="H2075" s="67"/>
      <c r="I2075" s="68"/>
      <c r="J2075" s="68"/>
      <c r="K2075" s="32"/>
      <c r="L2075" s="75">
        <v>2075</v>
      </c>
      <c r="M2075" s="75"/>
      <c r="N2075" s="70"/>
      <c r="O2075" s="77" t="s">
        <v>179</v>
      </c>
      <c r="P2075" s="79">
        <v>45062.569490740738</v>
      </c>
      <c r="Q2075" s="77" t="s">
        <v>2854</v>
      </c>
      <c r="R2075" s="77">
        <v>0</v>
      </c>
      <c r="S2075" s="77">
        <v>0</v>
      </c>
      <c r="T2075" s="77">
        <v>0</v>
      </c>
      <c r="U2075" s="77">
        <v>0</v>
      </c>
      <c r="V2075" s="77">
        <v>38</v>
      </c>
      <c r="W2075" s="82" t="s">
        <v>6176</v>
      </c>
      <c r="X2075" s="80" t="str">
        <f>HYPERLINK("https://is.gd/hozUrO")</f>
        <v>https://is.gd/hozUrO</v>
      </c>
      <c r="Y2075" s="77" t="s">
        <v>7131</v>
      </c>
      <c r="Z2075" s="77"/>
      <c r="AA2075" s="77" t="s">
        <v>8014</v>
      </c>
      <c r="AB2075" s="77" t="s">
        <v>8225</v>
      </c>
      <c r="AC2075" s="82" t="s">
        <v>8272</v>
      </c>
      <c r="AD2075" s="77" t="s">
        <v>8278</v>
      </c>
      <c r="AE2075" s="80" t="str">
        <f>HYPERLINK("https://twitter.com/jadsonlimanovo/status/1658467353447768064")</f>
        <v>https://twitter.com/jadsonlimanovo/status/1658467353447768064</v>
      </c>
      <c r="AF2075" s="79">
        <v>45062.569490740738</v>
      </c>
      <c r="AG2075" s="85">
        <v>45062</v>
      </c>
      <c r="AH2075" s="82" t="s">
        <v>10159</v>
      </c>
      <c r="AI2075" s="77" t="b">
        <v>0</v>
      </c>
      <c r="AJ2075" s="77"/>
      <c r="AK2075" s="77"/>
      <c r="AL2075" s="77"/>
      <c r="AM2075" s="77"/>
      <c r="AN2075" s="77"/>
      <c r="AO2075" s="77"/>
      <c r="AP2075" s="77"/>
      <c r="AQ2075" s="77" t="s">
        <v>12899</v>
      </c>
      <c r="AR2075" s="77"/>
      <c r="AS2075" s="77"/>
      <c r="AT2075" s="77"/>
      <c r="AU2075" s="77"/>
      <c r="AV2075" s="80" t="str">
        <f>HYPERLINK("https://pbs.twimg.com/media/FwQPRLTWcAAC-aQ.jpg")</f>
        <v>https://pbs.twimg.com/media/FwQPRLTWcAAC-aQ.jpg</v>
      </c>
      <c r="AW2075" s="82" t="s">
        <v>15160</v>
      </c>
      <c r="AX2075" s="82" t="s">
        <v>15160</v>
      </c>
      <c r="AY2075" s="77"/>
      <c r="AZ2075" s="82" t="s">
        <v>17385</v>
      </c>
      <c r="BA2075" s="82" t="s">
        <v>17385</v>
      </c>
      <c r="BB2075" s="82" t="s">
        <v>17385</v>
      </c>
      <c r="BC2075" s="82" t="s">
        <v>15160</v>
      </c>
      <c r="BD2075" s="82" t="s">
        <v>17625</v>
      </c>
      <c r="BE2075" s="77"/>
      <c r="BF2075" s="77"/>
      <c r="BG2075" s="77"/>
      <c r="BH2075" s="77"/>
      <c r="BI2075" s="77"/>
    </row>
    <row r="2076" spans="1:61" x14ac:dyDescent="0.25">
      <c r="A2076" s="62" t="s">
        <v>572</v>
      </c>
      <c r="B2076" s="62" t="s">
        <v>572</v>
      </c>
      <c r="C2076" s="63"/>
      <c r="D2076" s="64"/>
      <c r="E2076" s="65"/>
      <c r="F2076" s="66"/>
      <c r="G2076" s="63"/>
      <c r="H2076" s="67"/>
      <c r="I2076" s="68"/>
      <c r="J2076" s="68"/>
      <c r="K2076" s="32"/>
      <c r="L2076" s="75">
        <v>2076</v>
      </c>
      <c r="M2076" s="75"/>
      <c r="N2076" s="70"/>
      <c r="O2076" s="77" t="s">
        <v>179</v>
      </c>
      <c r="P2076" s="79">
        <v>45062.566446759258</v>
      </c>
      <c r="Q2076" s="77" t="s">
        <v>2855</v>
      </c>
      <c r="R2076" s="77">
        <v>0</v>
      </c>
      <c r="S2076" s="77">
        <v>0</v>
      </c>
      <c r="T2076" s="77">
        <v>0</v>
      </c>
      <c r="U2076" s="77">
        <v>0</v>
      </c>
      <c r="V2076" s="77">
        <v>33</v>
      </c>
      <c r="W2076" s="82" t="s">
        <v>6177</v>
      </c>
      <c r="X2076" s="80" t="str">
        <f>HYPERLINK("https://is.gd/5vZ81E")</f>
        <v>https://is.gd/5vZ81E</v>
      </c>
      <c r="Y2076" s="77" t="s">
        <v>7131</v>
      </c>
      <c r="Z2076" s="77"/>
      <c r="AA2076" s="77" t="s">
        <v>8015</v>
      </c>
      <c r="AB2076" s="77" t="s">
        <v>8225</v>
      </c>
      <c r="AC2076" s="82" t="s">
        <v>8272</v>
      </c>
      <c r="AD2076" s="77" t="s">
        <v>8278</v>
      </c>
      <c r="AE2076" s="80" t="str">
        <f>HYPERLINK("https://twitter.com/jadsonlimanovo/status/1658466249683116032")</f>
        <v>https://twitter.com/jadsonlimanovo/status/1658466249683116032</v>
      </c>
      <c r="AF2076" s="79">
        <v>45062.566446759258</v>
      </c>
      <c r="AG2076" s="85">
        <v>45062</v>
      </c>
      <c r="AH2076" s="82" t="s">
        <v>10160</v>
      </c>
      <c r="AI2076" s="77" t="b">
        <v>0</v>
      </c>
      <c r="AJ2076" s="77"/>
      <c r="AK2076" s="77"/>
      <c r="AL2076" s="77"/>
      <c r="AM2076" s="77"/>
      <c r="AN2076" s="77"/>
      <c r="AO2076" s="77"/>
      <c r="AP2076" s="77"/>
      <c r="AQ2076" s="77" t="s">
        <v>12900</v>
      </c>
      <c r="AR2076" s="77"/>
      <c r="AS2076" s="77"/>
      <c r="AT2076" s="77"/>
      <c r="AU2076" s="77"/>
      <c r="AV2076" s="80" t="str">
        <f>HYPERLINK("https://pbs.twimg.com/media/FwQOQ6EX0AAFnnz.jpg")</f>
        <v>https://pbs.twimg.com/media/FwQOQ6EX0AAFnnz.jpg</v>
      </c>
      <c r="AW2076" s="82" t="s">
        <v>15161</v>
      </c>
      <c r="AX2076" s="82" t="s">
        <v>15161</v>
      </c>
      <c r="AY2076" s="77"/>
      <c r="AZ2076" s="82" t="s">
        <v>17385</v>
      </c>
      <c r="BA2076" s="82" t="s">
        <v>17385</v>
      </c>
      <c r="BB2076" s="82" t="s">
        <v>17385</v>
      </c>
      <c r="BC2076" s="82" t="s">
        <v>15161</v>
      </c>
      <c r="BD2076" s="82" t="s">
        <v>17625</v>
      </c>
      <c r="BE2076" s="77"/>
      <c r="BF2076" s="77"/>
      <c r="BG2076" s="77"/>
      <c r="BH2076" s="77"/>
      <c r="BI2076" s="77"/>
    </row>
    <row r="2077" spans="1:61" x14ac:dyDescent="0.25">
      <c r="A2077" s="62" t="s">
        <v>572</v>
      </c>
      <c r="B2077" s="62" t="s">
        <v>572</v>
      </c>
      <c r="C2077" s="63"/>
      <c r="D2077" s="64"/>
      <c r="E2077" s="65"/>
      <c r="F2077" s="66"/>
      <c r="G2077" s="63"/>
      <c r="H2077" s="67"/>
      <c r="I2077" s="68"/>
      <c r="J2077" s="68"/>
      <c r="K2077" s="32"/>
      <c r="L2077" s="75">
        <v>2077</v>
      </c>
      <c r="M2077" s="75"/>
      <c r="N2077" s="70"/>
      <c r="O2077" s="77" t="s">
        <v>179</v>
      </c>
      <c r="P2077" s="79">
        <v>45069.902256944442</v>
      </c>
      <c r="Q2077" s="77" t="s">
        <v>2856</v>
      </c>
      <c r="R2077" s="77">
        <v>0</v>
      </c>
      <c r="S2077" s="77">
        <v>1</v>
      </c>
      <c r="T2077" s="77">
        <v>0</v>
      </c>
      <c r="U2077" s="77">
        <v>0</v>
      </c>
      <c r="V2077" s="77">
        <v>68</v>
      </c>
      <c r="W2077" s="82" t="s">
        <v>6178</v>
      </c>
      <c r="X2077" s="80" t="str">
        <f>HYPERLINK("https://is.gd/QE3CQc")</f>
        <v>https://is.gd/QE3CQc</v>
      </c>
      <c r="Y2077" s="77" t="s">
        <v>7131</v>
      </c>
      <c r="Z2077" s="77"/>
      <c r="AA2077" s="77" t="s">
        <v>8016</v>
      </c>
      <c r="AB2077" s="77" t="s">
        <v>8225</v>
      </c>
      <c r="AC2077" s="82" t="s">
        <v>8272</v>
      </c>
      <c r="AD2077" s="77" t="s">
        <v>8278</v>
      </c>
      <c r="AE2077" s="80" t="str">
        <f>HYPERLINK("https://twitter.com/jadsonlimanovo/status/1661124657263542274")</f>
        <v>https://twitter.com/jadsonlimanovo/status/1661124657263542274</v>
      </c>
      <c r="AF2077" s="79">
        <v>45069.902256944442</v>
      </c>
      <c r="AG2077" s="85">
        <v>45069</v>
      </c>
      <c r="AH2077" s="82" t="s">
        <v>10161</v>
      </c>
      <c r="AI2077" s="77" t="b">
        <v>0</v>
      </c>
      <c r="AJ2077" s="77"/>
      <c r="AK2077" s="77"/>
      <c r="AL2077" s="77"/>
      <c r="AM2077" s="77"/>
      <c r="AN2077" s="77"/>
      <c r="AO2077" s="77"/>
      <c r="AP2077" s="77"/>
      <c r="AQ2077" s="77" t="s">
        <v>12901</v>
      </c>
      <c r="AR2077" s="77"/>
      <c r="AS2077" s="77"/>
      <c r="AT2077" s="77"/>
      <c r="AU2077" s="77"/>
      <c r="AV2077" s="80" t="str">
        <f>HYPERLINK("https://pbs.twimg.com/media/Fw2AEoyWAAcMDdF.jpg")</f>
        <v>https://pbs.twimg.com/media/Fw2AEoyWAAcMDdF.jpg</v>
      </c>
      <c r="AW2077" s="82" t="s">
        <v>15162</v>
      </c>
      <c r="AX2077" s="82" t="s">
        <v>15162</v>
      </c>
      <c r="AY2077" s="77"/>
      <c r="AZ2077" s="82" t="s">
        <v>17385</v>
      </c>
      <c r="BA2077" s="82" t="s">
        <v>17385</v>
      </c>
      <c r="BB2077" s="82" t="s">
        <v>17385</v>
      </c>
      <c r="BC2077" s="82" t="s">
        <v>15162</v>
      </c>
      <c r="BD2077" s="82" t="s">
        <v>17625</v>
      </c>
      <c r="BE2077" s="77"/>
      <c r="BF2077" s="77"/>
      <c r="BG2077" s="77"/>
      <c r="BH2077" s="77"/>
      <c r="BI2077" s="77"/>
    </row>
    <row r="2078" spans="1:61" x14ac:dyDescent="0.25">
      <c r="A2078" s="62" t="s">
        <v>573</v>
      </c>
      <c r="B2078" s="62" t="s">
        <v>573</v>
      </c>
      <c r="C2078" s="63"/>
      <c r="D2078" s="64"/>
      <c r="E2078" s="65"/>
      <c r="F2078" s="66"/>
      <c r="G2078" s="63"/>
      <c r="H2078" s="67"/>
      <c r="I2078" s="68"/>
      <c r="J2078" s="68"/>
      <c r="K2078" s="32"/>
      <c r="L2078" s="75">
        <v>2078</v>
      </c>
      <c r="M2078" s="75"/>
      <c r="N2078" s="70"/>
      <c r="O2078" s="77" t="s">
        <v>179</v>
      </c>
      <c r="P2078" s="79">
        <v>45115.520879629628</v>
      </c>
      <c r="Q2078" s="77" t="s">
        <v>2857</v>
      </c>
      <c r="R2078" s="77">
        <v>0</v>
      </c>
      <c r="S2078" s="77">
        <v>0</v>
      </c>
      <c r="T2078" s="77">
        <v>0</v>
      </c>
      <c r="U2078" s="77">
        <v>0</v>
      </c>
      <c r="V2078" s="77">
        <v>6</v>
      </c>
      <c r="W2078" s="82" t="s">
        <v>5882</v>
      </c>
      <c r="X2078" s="80" t="str">
        <f>HYPERLINK("https://wp.me/p5JI4H-4pe")</f>
        <v>https://wp.me/p5JI4H-4pe</v>
      </c>
      <c r="Y2078" s="77" t="s">
        <v>7083</v>
      </c>
      <c r="Z2078" s="77"/>
      <c r="AA2078" s="77"/>
      <c r="AB2078" s="77"/>
      <c r="AC2078" s="82" t="s">
        <v>8272</v>
      </c>
      <c r="AD2078" s="77" t="s">
        <v>8278</v>
      </c>
      <c r="AE2078" s="80" t="str">
        <f>HYPERLINK("https://twitter.com/aulaplusbr/status/1677656292486258690")</f>
        <v>https://twitter.com/aulaplusbr/status/1677656292486258690</v>
      </c>
      <c r="AF2078" s="79">
        <v>45115.520879629628</v>
      </c>
      <c r="AG2078" s="85">
        <v>45115</v>
      </c>
      <c r="AH2078" s="82" t="s">
        <v>10162</v>
      </c>
      <c r="AI2078" s="77" t="b">
        <v>0</v>
      </c>
      <c r="AJ2078" s="77"/>
      <c r="AK2078" s="77"/>
      <c r="AL2078" s="77"/>
      <c r="AM2078" s="77"/>
      <c r="AN2078" s="77"/>
      <c r="AO2078" s="77"/>
      <c r="AP2078" s="77"/>
      <c r="AQ2078" s="77"/>
      <c r="AR2078" s="77"/>
      <c r="AS2078" s="77"/>
      <c r="AT2078" s="77"/>
      <c r="AU2078" s="77"/>
      <c r="AV2078" s="80" t="str">
        <f>HYPERLINK("https://pbs.twimg.com/profile_images/1621996204325277699/phtn6C0w_normal.jpg")</f>
        <v>https://pbs.twimg.com/profile_images/1621996204325277699/phtn6C0w_normal.jpg</v>
      </c>
      <c r="AW2078" s="82" t="s">
        <v>15163</v>
      </c>
      <c r="AX2078" s="82" t="s">
        <v>15163</v>
      </c>
      <c r="AY2078" s="77"/>
      <c r="AZ2078" s="82" t="s">
        <v>17385</v>
      </c>
      <c r="BA2078" s="82" t="s">
        <v>17385</v>
      </c>
      <c r="BB2078" s="82" t="s">
        <v>17385</v>
      </c>
      <c r="BC2078" s="82" t="s">
        <v>15163</v>
      </c>
      <c r="BD2078" s="77">
        <v>37329759</v>
      </c>
      <c r="BE2078" s="77"/>
      <c r="BF2078" s="77"/>
      <c r="BG2078" s="77"/>
      <c r="BH2078" s="77"/>
      <c r="BI2078" s="77"/>
    </row>
    <row r="2079" spans="1:61" x14ac:dyDescent="0.25">
      <c r="A2079" s="62" t="s">
        <v>574</v>
      </c>
      <c r="B2079" s="62" t="s">
        <v>574</v>
      </c>
      <c r="C2079" s="63"/>
      <c r="D2079" s="64"/>
      <c r="E2079" s="65"/>
      <c r="F2079" s="66"/>
      <c r="G2079" s="63"/>
      <c r="H2079" s="67"/>
      <c r="I2079" s="68"/>
      <c r="J2079" s="68"/>
      <c r="K2079" s="32"/>
      <c r="L2079" s="75">
        <v>2079</v>
      </c>
      <c r="M2079" s="75"/>
      <c r="N2079" s="70"/>
      <c r="O2079" s="77" t="s">
        <v>179</v>
      </c>
      <c r="P2079" s="79">
        <v>45079.619490740741</v>
      </c>
      <c r="Q2079" s="77" t="s">
        <v>2858</v>
      </c>
      <c r="R2079" s="77">
        <v>2</v>
      </c>
      <c r="S2079" s="77">
        <v>6</v>
      </c>
      <c r="T2079" s="77">
        <v>0</v>
      </c>
      <c r="U2079" s="77">
        <v>0</v>
      </c>
      <c r="V2079" s="77">
        <v>1202</v>
      </c>
      <c r="W2079" s="82" t="s">
        <v>6179</v>
      </c>
      <c r="X2079" s="80" t="str">
        <f>HYPERLINK("https://www.youtube.com/watch?v=IO2gfPM_WTs")</f>
        <v>https://www.youtube.com/watch?v=IO2gfPM_WTs</v>
      </c>
      <c r="Y2079" s="77" t="s">
        <v>7065</v>
      </c>
      <c r="Z2079" s="77"/>
      <c r="AA2079" s="77"/>
      <c r="AB2079" s="77"/>
      <c r="AC2079" s="82" t="s">
        <v>8232</v>
      </c>
      <c r="AD2079" s="77" t="s">
        <v>8278</v>
      </c>
      <c r="AE2079" s="80" t="str">
        <f>HYPERLINK("https://twitter.com/btgpactual/status/1664646065792905217")</f>
        <v>https://twitter.com/btgpactual/status/1664646065792905217</v>
      </c>
      <c r="AF2079" s="79">
        <v>45079.619490740741</v>
      </c>
      <c r="AG2079" s="85">
        <v>45079</v>
      </c>
      <c r="AH2079" s="82" t="s">
        <v>10163</v>
      </c>
      <c r="AI2079" s="77" t="b">
        <v>0</v>
      </c>
      <c r="AJ2079" s="77"/>
      <c r="AK2079" s="77"/>
      <c r="AL2079" s="77"/>
      <c r="AM2079" s="77"/>
      <c r="AN2079" s="77"/>
      <c r="AO2079" s="77"/>
      <c r="AP2079" s="77"/>
      <c r="AQ2079" s="77"/>
      <c r="AR2079" s="77"/>
      <c r="AS2079" s="77"/>
      <c r="AT2079" s="77"/>
      <c r="AU2079" s="77"/>
      <c r="AV2079" s="80" t="str">
        <f>HYPERLINK("https://pbs.twimg.com/profile_images/1305284326922297346/F7hVCaei_normal.jpg")</f>
        <v>https://pbs.twimg.com/profile_images/1305284326922297346/F7hVCaei_normal.jpg</v>
      </c>
      <c r="AW2079" s="82" t="s">
        <v>15164</v>
      </c>
      <c r="AX2079" s="82" t="s">
        <v>15164</v>
      </c>
      <c r="AY2079" s="77"/>
      <c r="AZ2079" s="82" t="s">
        <v>17385</v>
      </c>
      <c r="BA2079" s="82" t="s">
        <v>17385</v>
      </c>
      <c r="BB2079" s="82" t="s">
        <v>17385</v>
      </c>
      <c r="BC2079" s="82" t="s">
        <v>15164</v>
      </c>
      <c r="BD2079" s="82" t="s">
        <v>17626</v>
      </c>
      <c r="BE2079" s="77"/>
      <c r="BF2079" s="77"/>
      <c r="BG2079" s="77"/>
      <c r="BH2079" s="77"/>
      <c r="BI2079" s="77"/>
    </row>
    <row r="2080" spans="1:61" x14ac:dyDescent="0.25">
      <c r="A2080" s="62" t="s">
        <v>574</v>
      </c>
      <c r="B2080" s="62" t="s">
        <v>574</v>
      </c>
      <c r="C2080" s="63"/>
      <c r="D2080" s="64"/>
      <c r="E2080" s="65"/>
      <c r="F2080" s="66"/>
      <c r="G2080" s="63"/>
      <c r="H2080" s="67"/>
      <c r="I2080" s="68"/>
      <c r="J2080" s="68"/>
      <c r="K2080" s="32"/>
      <c r="L2080" s="75">
        <v>2080</v>
      </c>
      <c r="M2080" s="75"/>
      <c r="N2080" s="70"/>
      <c r="O2080" s="77" t="s">
        <v>179</v>
      </c>
      <c r="P2080" s="79">
        <v>45106.66165509259</v>
      </c>
      <c r="Q2080" s="77" t="s">
        <v>2859</v>
      </c>
      <c r="R2080" s="77">
        <v>2</v>
      </c>
      <c r="S2080" s="77">
        <v>5</v>
      </c>
      <c r="T2080" s="77">
        <v>0</v>
      </c>
      <c r="U2080" s="77">
        <v>0</v>
      </c>
      <c r="V2080" s="77">
        <v>1276</v>
      </c>
      <c r="W2080" s="82" t="s">
        <v>6180</v>
      </c>
      <c r="X2080" s="80" t="str">
        <f>HYPERLINK("https://www.youtube.com/watch?v=LpA_E4OE2AY")</f>
        <v>https://www.youtube.com/watch?v=LpA_E4OE2AY</v>
      </c>
      <c r="Y2080" s="77" t="s">
        <v>7065</v>
      </c>
      <c r="Z2080" s="77"/>
      <c r="AA2080" s="77"/>
      <c r="AB2080" s="77"/>
      <c r="AC2080" s="82" t="s">
        <v>8232</v>
      </c>
      <c r="AD2080" s="77" t="s">
        <v>8278</v>
      </c>
      <c r="AE2080" s="80" t="str">
        <f>HYPERLINK("https://twitter.com/btgpactual/status/1674445820576387073")</f>
        <v>https://twitter.com/btgpactual/status/1674445820576387073</v>
      </c>
      <c r="AF2080" s="79">
        <v>45106.66165509259</v>
      </c>
      <c r="AG2080" s="85">
        <v>45106</v>
      </c>
      <c r="AH2080" s="82" t="s">
        <v>10164</v>
      </c>
      <c r="AI2080" s="77" t="b">
        <v>0</v>
      </c>
      <c r="AJ2080" s="77"/>
      <c r="AK2080" s="77"/>
      <c r="AL2080" s="77"/>
      <c r="AM2080" s="77"/>
      <c r="AN2080" s="77"/>
      <c r="AO2080" s="77"/>
      <c r="AP2080" s="77"/>
      <c r="AQ2080" s="77"/>
      <c r="AR2080" s="77"/>
      <c r="AS2080" s="77"/>
      <c r="AT2080" s="77"/>
      <c r="AU2080" s="77"/>
      <c r="AV2080" s="80" t="str">
        <f>HYPERLINK("https://pbs.twimg.com/profile_images/1305284326922297346/F7hVCaei_normal.jpg")</f>
        <v>https://pbs.twimg.com/profile_images/1305284326922297346/F7hVCaei_normal.jpg</v>
      </c>
      <c r="AW2080" s="82" t="s">
        <v>15165</v>
      </c>
      <c r="AX2080" s="82" t="s">
        <v>15165</v>
      </c>
      <c r="AY2080" s="77"/>
      <c r="AZ2080" s="82" t="s">
        <v>17385</v>
      </c>
      <c r="BA2080" s="82" t="s">
        <v>17385</v>
      </c>
      <c r="BB2080" s="82" t="s">
        <v>17385</v>
      </c>
      <c r="BC2080" s="82" t="s">
        <v>15165</v>
      </c>
      <c r="BD2080" s="82" t="s">
        <v>17626</v>
      </c>
      <c r="BE2080" s="77"/>
      <c r="BF2080" s="77"/>
      <c r="BG2080" s="77"/>
      <c r="BH2080" s="77"/>
      <c r="BI2080" s="77"/>
    </row>
    <row r="2081" spans="1:61" x14ac:dyDescent="0.25">
      <c r="A2081" s="62" t="s">
        <v>574</v>
      </c>
      <c r="B2081" s="62" t="s">
        <v>574</v>
      </c>
      <c r="C2081" s="63"/>
      <c r="D2081" s="64"/>
      <c r="E2081" s="65"/>
      <c r="F2081" s="66"/>
      <c r="G2081" s="63"/>
      <c r="H2081" s="67"/>
      <c r="I2081" s="68"/>
      <c r="J2081" s="68"/>
      <c r="K2081" s="32"/>
      <c r="L2081" s="75">
        <v>2081</v>
      </c>
      <c r="M2081" s="75"/>
      <c r="N2081" s="70"/>
      <c r="O2081" s="77" t="s">
        <v>179</v>
      </c>
      <c r="P2081" s="79">
        <v>45051.78533564815</v>
      </c>
      <c r="Q2081" s="77" t="s">
        <v>2860</v>
      </c>
      <c r="R2081" s="77">
        <v>1</v>
      </c>
      <c r="S2081" s="77">
        <v>7</v>
      </c>
      <c r="T2081" s="77">
        <v>0</v>
      </c>
      <c r="U2081" s="77">
        <v>0</v>
      </c>
      <c r="V2081" s="77">
        <v>1351</v>
      </c>
      <c r="W2081" s="82" t="s">
        <v>4835</v>
      </c>
      <c r="X2081" s="80" t="str">
        <f>HYPERLINK("https://www.youtube.com/watch?v=ffO_nBMLS9c")</f>
        <v>https://www.youtube.com/watch?v=ffO_nBMLS9c</v>
      </c>
      <c r="Y2081" s="77" t="s">
        <v>7065</v>
      </c>
      <c r="Z2081" s="77"/>
      <c r="AA2081" s="77"/>
      <c r="AB2081" s="77"/>
      <c r="AC2081" s="82" t="s">
        <v>8232</v>
      </c>
      <c r="AD2081" s="77" t="s">
        <v>8278</v>
      </c>
      <c r="AE2081" s="80" t="str">
        <f>HYPERLINK("https://twitter.com/btgpactual/status/1654559306665152513")</f>
        <v>https://twitter.com/btgpactual/status/1654559306665152513</v>
      </c>
      <c r="AF2081" s="79">
        <v>45051.78533564815</v>
      </c>
      <c r="AG2081" s="85">
        <v>45051</v>
      </c>
      <c r="AH2081" s="82" t="s">
        <v>10165</v>
      </c>
      <c r="AI2081" s="77" t="b">
        <v>0</v>
      </c>
      <c r="AJ2081" s="77"/>
      <c r="AK2081" s="77"/>
      <c r="AL2081" s="77"/>
      <c r="AM2081" s="77"/>
      <c r="AN2081" s="77"/>
      <c r="AO2081" s="77"/>
      <c r="AP2081" s="77"/>
      <c r="AQ2081" s="77"/>
      <c r="AR2081" s="77"/>
      <c r="AS2081" s="77"/>
      <c r="AT2081" s="77"/>
      <c r="AU2081" s="77"/>
      <c r="AV2081" s="80" t="str">
        <f>HYPERLINK("https://pbs.twimg.com/profile_images/1305284326922297346/F7hVCaei_normal.jpg")</f>
        <v>https://pbs.twimg.com/profile_images/1305284326922297346/F7hVCaei_normal.jpg</v>
      </c>
      <c r="AW2081" s="82" t="s">
        <v>15166</v>
      </c>
      <c r="AX2081" s="82" t="s">
        <v>15166</v>
      </c>
      <c r="AY2081" s="77"/>
      <c r="AZ2081" s="82" t="s">
        <v>17385</v>
      </c>
      <c r="BA2081" s="82" t="s">
        <v>17385</v>
      </c>
      <c r="BB2081" s="82" t="s">
        <v>17385</v>
      </c>
      <c r="BC2081" s="82" t="s">
        <v>15166</v>
      </c>
      <c r="BD2081" s="82" t="s">
        <v>17626</v>
      </c>
      <c r="BE2081" s="77"/>
      <c r="BF2081" s="77"/>
      <c r="BG2081" s="77"/>
      <c r="BH2081" s="77"/>
      <c r="BI2081" s="77"/>
    </row>
    <row r="2082" spans="1:61" x14ac:dyDescent="0.25">
      <c r="A2082" s="62" t="s">
        <v>574</v>
      </c>
      <c r="B2082" s="62" t="s">
        <v>574</v>
      </c>
      <c r="C2082" s="63"/>
      <c r="D2082" s="64"/>
      <c r="E2082" s="65"/>
      <c r="F2082" s="66"/>
      <c r="G2082" s="63"/>
      <c r="H2082" s="67"/>
      <c r="I2082" s="68"/>
      <c r="J2082" s="68"/>
      <c r="K2082" s="32"/>
      <c r="L2082" s="75">
        <v>2082</v>
      </c>
      <c r="M2082" s="75"/>
      <c r="N2082" s="70"/>
      <c r="O2082" s="77" t="s">
        <v>179</v>
      </c>
      <c r="P2082" s="79">
        <v>45120.882395833331</v>
      </c>
      <c r="Q2082" s="77" t="s">
        <v>2861</v>
      </c>
      <c r="R2082" s="77">
        <v>2</v>
      </c>
      <c r="S2082" s="77">
        <v>9</v>
      </c>
      <c r="T2082" s="77">
        <v>2</v>
      </c>
      <c r="U2082" s="77">
        <v>0</v>
      </c>
      <c r="V2082" s="77">
        <v>1554</v>
      </c>
      <c r="W2082" s="82" t="s">
        <v>6181</v>
      </c>
      <c r="X2082" s="77" t="s">
        <v>7050</v>
      </c>
      <c r="Y2082" s="77" t="s">
        <v>7132</v>
      </c>
      <c r="Z2082" s="77"/>
      <c r="AA2082" s="77"/>
      <c r="AB2082" s="77"/>
      <c r="AC2082" s="82" t="s">
        <v>8232</v>
      </c>
      <c r="AD2082" s="77" t="s">
        <v>8278</v>
      </c>
      <c r="AE2082" s="80" t="str">
        <f>HYPERLINK("https://twitter.com/btgpactual/status/1679599240715067398")</f>
        <v>https://twitter.com/btgpactual/status/1679599240715067398</v>
      </c>
      <c r="AF2082" s="79">
        <v>45120.882395833331</v>
      </c>
      <c r="AG2082" s="85">
        <v>45120</v>
      </c>
      <c r="AH2082" s="82" t="s">
        <v>10166</v>
      </c>
      <c r="AI2082" s="77" t="b">
        <v>0</v>
      </c>
      <c r="AJ2082" s="77"/>
      <c r="AK2082" s="77"/>
      <c r="AL2082" s="77"/>
      <c r="AM2082" s="77"/>
      <c r="AN2082" s="77"/>
      <c r="AO2082" s="77"/>
      <c r="AP2082" s="77"/>
      <c r="AQ2082" s="77"/>
      <c r="AR2082" s="77"/>
      <c r="AS2082" s="77"/>
      <c r="AT2082" s="77"/>
      <c r="AU2082" s="77"/>
      <c r="AV2082" s="80" t="str">
        <f>HYPERLINK("https://pbs.twimg.com/profile_images/1305284326922297346/F7hVCaei_normal.jpg")</f>
        <v>https://pbs.twimg.com/profile_images/1305284326922297346/F7hVCaei_normal.jpg</v>
      </c>
      <c r="AW2082" s="82" t="s">
        <v>15167</v>
      </c>
      <c r="AX2082" s="82" t="s">
        <v>15167</v>
      </c>
      <c r="AY2082" s="77"/>
      <c r="AZ2082" s="82" t="s">
        <v>17385</v>
      </c>
      <c r="BA2082" s="82" t="s">
        <v>17385</v>
      </c>
      <c r="BB2082" s="82" t="s">
        <v>17385</v>
      </c>
      <c r="BC2082" s="82" t="s">
        <v>15167</v>
      </c>
      <c r="BD2082" s="82" t="s">
        <v>17626</v>
      </c>
      <c r="BE2082" s="77"/>
      <c r="BF2082" s="77"/>
      <c r="BG2082" s="77"/>
      <c r="BH2082" s="77"/>
      <c r="BI2082" s="77"/>
    </row>
    <row r="2083" spans="1:61" x14ac:dyDescent="0.25">
      <c r="A2083" s="62" t="s">
        <v>574</v>
      </c>
      <c r="B2083" s="62" t="s">
        <v>574</v>
      </c>
      <c r="C2083" s="63"/>
      <c r="D2083" s="64"/>
      <c r="E2083" s="65"/>
      <c r="F2083" s="66"/>
      <c r="G2083" s="63"/>
      <c r="H2083" s="67"/>
      <c r="I2083" s="68"/>
      <c r="J2083" s="68"/>
      <c r="K2083" s="32"/>
      <c r="L2083" s="75">
        <v>2083</v>
      </c>
      <c r="M2083" s="75"/>
      <c r="N2083" s="70"/>
      <c r="O2083" s="77" t="s">
        <v>179</v>
      </c>
      <c r="P2083" s="79">
        <v>45111.620648148149</v>
      </c>
      <c r="Q2083" s="77" t="s">
        <v>2862</v>
      </c>
      <c r="R2083" s="77">
        <v>1</v>
      </c>
      <c r="S2083" s="77">
        <v>9</v>
      </c>
      <c r="T2083" s="77">
        <v>0</v>
      </c>
      <c r="U2083" s="77">
        <v>0</v>
      </c>
      <c r="V2083" s="77">
        <v>1441</v>
      </c>
      <c r="W2083" s="82" t="s">
        <v>4835</v>
      </c>
      <c r="X2083" s="80" t="str">
        <f>HYPERLINK("https://www.youtube.com/watch?v=_i1m_oeeV8s")</f>
        <v>https://www.youtube.com/watch?v=_i1m_oeeV8s</v>
      </c>
      <c r="Y2083" s="77" t="s">
        <v>7065</v>
      </c>
      <c r="Z2083" s="77"/>
      <c r="AA2083" s="77"/>
      <c r="AB2083" s="77"/>
      <c r="AC2083" s="82" t="s">
        <v>8232</v>
      </c>
      <c r="AD2083" s="77" t="s">
        <v>8278</v>
      </c>
      <c r="AE2083" s="80" t="str">
        <f>HYPERLINK("https://twitter.com/btgpactual/status/1676242897568448515")</f>
        <v>https://twitter.com/btgpactual/status/1676242897568448515</v>
      </c>
      <c r="AF2083" s="79">
        <v>45111.620648148149</v>
      </c>
      <c r="AG2083" s="85">
        <v>45111</v>
      </c>
      <c r="AH2083" s="82" t="s">
        <v>10167</v>
      </c>
      <c r="AI2083" s="77" t="b">
        <v>0</v>
      </c>
      <c r="AJ2083" s="77"/>
      <c r="AK2083" s="77"/>
      <c r="AL2083" s="77"/>
      <c r="AM2083" s="77"/>
      <c r="AN2083" s="77"/>
      <c r="AO2083" s="77"/>
      <c r="AP2083" s="77"/>
      <c r="AQ2083" s="77"/>
      <c r="AR2083" s="77"/>
      <c r="AS2083" s="77"/>
      <c r="AT2083" s="77"/>
      <c r="AU2083" s="77"/>
      <c r="AV2083" s="80" t="str">
        <f>HYPERLINK("https://pbs.twimg.com/profile_images/1305284326922297346/F7hVCaei_normal.jpg")</f>
        <v>https://pbs.twimg.com/profile_images/1305284326922297346/F7hVCaei_normal.jpg</v>
      </c>
      <c r="AW2083" s="82" t="s">
        <v>15168</v>
      </c>
      <c r="AX2083" s="82" t="s">
        <v>15168</v>
      </c>
      <c r="AY2083" s="77"/>
      <c r="AZ2083" s="82" t="s">
        <v>17385</v>
      </c>
      <c r="BA2083" s="82" t="s">
        <v>17385</v>
      </c>
      <c r="BB2083" s="82" t="s">
        <v>17385</v>
      </c>
      <c r="BC2083" s="82" t="s">
        <v>15168</v>
      </c>
      <c r="BD2083" s="82" t="s">
        <v>17626</v>
      </c>
      <c r="BE2083" s="77"/>
      <c r="BF2083" s="77"/>
      <c r="BG2083" s="77"/>
      <c r="BH2083" s="77"/>
      <c r="BI2083" s="77"/>
    </row>
    <row r="2084" spans="1:61" x14ac:dyDescent="0.25">
      <c r="A2084" s="62" t="s">
        <v>575</v>
      </c>
      <c r="B2084" s="62" t="s">
        <v>575</v>
      </c>
      <c r="C2084" s="63"/>
      <c r="D2084" s="64"/>
      <c r="E2084" s="65"/>
      <c r="F2084" s="66"/>
      <c r="G2084" s="63"/>
      <c r="H2084" s="67"/>
      <c r="I2084" s="68"/>
      <c r="J2084" s="68"/>
      <c r="K2084" s="32"/>
      <c r="L2084" s="75">
        <v>2084</v>
      </c>
      <c r="M2084" s="75"/>
      <c r="N2084" s="70"/>
      <c r="O2084" s="77" t="s">
        <v>179</v>
      </c>
      <c r="P2084" s="79">
        <v>45170.958738425928</v>
      </c>
      <c r="Q2084" s="77" t="s">
        <v>2863</v>
      </c>
      <c r="R2084" s="77">
        <v>0</v>
      </c>
      <c r="S2084" s="77">
        <v>0</v>
      </c>
      <c r="T2084" s="77">
        <v>0</v>
      </c>
      <c r="U2084" s="77">
        <v>0</v>
      </c>
      <c r="V2084" s="77">
        <v>57</v>
      </c>
      <c r="W2084" s="82" t="s">
        <v>6182</v>
      </c>
      <c r="X2084" s="77"/>
      <c r="Y2084" s="77"/>
      <c r="Z2084" s="77"/>
      <c r="AA2084" s="77" t="s">
        <v>8017</v>
      </c>
      <c r="AB2084" s="77" t="s">
        <v>8227</v>
      </c>
      <c r="AC2084" s="82" t="s">
        <v>8234</v>
      </c>
      <c r="AD2084" s="77" t="s">
        <v>8278</v>
      </c>
      <c r="AE2084" s="80" t="str">
        <f>HYPERLINK("https://twitter.com/investemvalor/status/1697746302958727337")</f>
        <v>https://twitter.com/investemvalor/status/1697746302958727337</v>
      </c>
      <c r="AF2084" s="79">
        <v>45170.958738425928</v>
      </c>
      <c r="AG2084" s="85">
        <v>45170</v>
      </c>
      <c r="AH2084" s="82" t="s">
        <v>10168</v>
      </c>
      <c r="AI2084" s="77" t="b">
        <v>0</v>
      </c>
      <c r="AJ2084" s="77"/>
      <c r="AK2084" s="77"/>
      <c r="AL2084" s="77"/>
      <c r="AM2084" s="77"/>
      <c r="AN2084" s="77"/>
      <c r="AO2084" s="77"/>
      <c r="AP2084" s="77"/>
      <c r="AQ2084" s="77" t="s">
        <v>12902</v>
      </c>
      <c r="AR2084" s="77">
        <v>44889</v>
      </c>
      <c r="AS2084" s="77"/>
      <c r="AT2084" s="77"/>
      <c r="AU2084" s="77"/>
      <c r="AV2084" s="80" t="str">
        <f>HYPERLINK("https://pbs.twimg.com/ext_tw_video_thumb/1697746202714890240/pu/img/gbnIM4_IUrsiW6FB.jpg")</f>
        <v>https://pbs.twimg.com/ext_tw_video_thumb/1697746202714890240/pu/img/gbnIM4_IUrsiW6FB.jpg</v>
      </c>
      <c r="AW2084" s="82" t="s">
        <v>15169</v>
      </c>
      <c r="AX2084" s="82" t="s">
        <v>15169</v>
      </c>
      <c r="AY2084" s="77"/>
      <c r="AZ2084" s="82" t="s">
        <v>17385</v>
      </c>
      <c r="BA2084" s="82" t="s">
        <v>17385</v>
      </c>
      <c r="BB2084" s="82" t="s">
        <v>17385</v>
      </c>
      <c r="BC2084" s="82" t="s">
        <v>15169</v>
      </c>
      <c r="BD2084" s="77">
        <v>3996540737</v>
      </c>
      <c r="BE2084" s="77"/>
      <c r="BF2084" s="77"/>
      <c r="BG2084" s="77"/>
      <c r="BH2084" s="77"/>
      <c r="BI2084" s="77"/>
    </row>
    <row r="2085" spans="1:61" x14ac:dyDescent="0.25">
      <c r="A2085" s="62" t="s">
        <v>575</v>
      </c>
      <c r="B2085" s="62" t="s">
        <v>575</v>
      </c>
      <c r="C2085" s="63"/>
      <c r="D2085" s="64"/>
      <c r="E2085" s="65"/>
      <c r="F2085" s="66"/>
      <c r="G2085" s="63"/>
      <c r="H2085" s="67"/>
      <c r="I2085" s="68"/>
      <c r="J2085" s="68"/>
      <c r="K2085" s="32"/>
      <c r="L2085" s="75">
        <v>2085</v>
      </c>
      <c r="M2085" s="75"/>
      <c r="N2085" s="70"/>
      <c r="O2085" s="77" t="s">
        <v>179</v>
      </c>
      <c r="P2085" s="79">
        <v>45197.437268518515</v>
      </c>
      <c r="Q2085" s="77" t="s">
        <v>2864</v>
      </c>
      <c r="R2085" s="77">
        <v>0</v>
      </c>
      <c r="S2085" s="77">
        <v>0</v>
      </c>
      <c r="T2085" s="77">
        <v>0</v>
      </c>
      <c r="U2085" s="77">
        <v>0</v>
      </c>
      <c r="V2085" s="77">
        <v>9</v>
      </c>
      <c r="W2085" s="82" t="s">
        <v>5133</v>
      </c>
      <c r="X2085" s="77"/>
      <c r="Y2085" s="77"/>
      <c r="Z2085" s="77"/>
      <c r="AA2085" s="77"/>
      <c r="AB2085" s="77"/>
      <c r="AC2085" s="82" t="s">
        <v>8234</v>
      </c>
      <c r="AD2085" s="77" t="s">
        <v>8278</v>
      </c>
      <c r="AE2085" s="80" t="str">
        <f>HYPERLINK("https://twitter.com/investemvalor/status/1707341800665423903")</f>
        <v>https://twitter.com/investemvalor/status/1707341800665423903</v>
      </c>
      <c r="AF2085" s="79">
        <v>45197.437268518515</v>
      </c>
      <c r="AG2085" s="85">
        <v>45197</v>
      </c>
      <c r="AH2085" s="82" t="s">
        <v>10169</v>
      </c>
      <c r="AI2085" s="77"/>
      <c r="AJ2085" s="77"/>
      <c r="AK2085" s="77"/>
      <c r="AL2085" s="77"/>
      <c r="AM2085" s="77"/>
      <c r="AN2085" s="77"/>
      <c r="AO2085" s="77"/>
      <c r="AP2085" s="77"/>
      <c r="AQ2085" s="77"/>
      <c r="AR2085" s="77"/>
      <c r="AS2085" s="77"/>
      <c r="AT2085" s="77"/>
      <c r="AU2085" s="77"/>
      <c r="AV2085" s="80" t="str">
        <f>HYPERLINK("https://pbs.twimg.com/profile_images/1704843875527819264/E5cHKiWx_normal.jpg")</f>
        <v>https://pbs.twimg.com/profile_images/1704843875527819264/E5cHKiWx_normal.jpg</v>
      </c>
      <c r="AW2085" s="82" t="s">
        <v>15170</v>
      </c>
      <c r="AX2085" s="82" t="s">
        <v>15170</v>
      </c>
      <c r="AY2085" s="77"/>
      <c r="AZ2085" s="82" t="s">
        <v>17385</v>
      </c>
      <c r="BA2085" s="82" t="s">
        <v>17385</v>
      </c>
      <c r="BB2085" s="82" t="s">
        <v>17385</v>
      </c>
      <c r="BC2085" s="82" t="s">
        <v>15170</v>
      </c>
      <c r="BD2085" s="77">
        <v>3996540737</v>
      </c>
      <c r="BE2085" s="77"/>
      <c r="BF2085" s="77"/>
      <c r="BG2085" s="77"/>
      <c r="BH2085" s="77"/>
      <c r="BI2085" s="77"/>
    </row>
    <row r="2086" spans="1:61" x14ac:dyDescent="0.25">
      <c r="A2086" s="62" t="s">
        <v>576</v>
      </c>
      <c r="B2086" s="62" t="s">
        <v>576</v>
      </c>
      <c r="C2086" s="63"/>
      <c r="D2086" s="64"/>
      <c r="E2086" s="65"/>
      <c r="F2086" s="66"/>
      <c r="G2086" s="63"/>
      <c r="H2086" s="67"/>
      <c r="I2086" s="68"/>
      <c r="J2086" s="68"/>
      <c r="K2086" s="32"/>
      <c r="L2086" s="75">
        <v>2086</v>
      </c>
      <c r="M2086" s="75"/>
      <c r="N2086" s="70"/>
      <c r="O2086" s="77" t="s">
        <v>179</v>
      </c>
      <c r="P2086" s="79">
        <v>45061.672951388886</v>
      </c>
      <c r="Q2086" s="77" t="s">
        <v>2865</v>
      </c>
      <c r="R2086" s="77">
        <v>0</v>
      </c>
      <c r="S2086" s="77">
        <v>1</v>
      </c>
      <c r="T2086" s="77">
        <v>0</v>
      </c>
      <c r="U2086" s="77">
        <v>0</v>
      </c>
      <c r="V2086" s="77">
        <v>77</v>
      </c>
      <c r="W2086" s="82" t="s">
        <v>6183</v>
      </c>
      <c r="X2086" s="77"/>
      <c r="Y2086" s="77"/>
      <c r="Z2086" s="77"/>
      <c r="AA2086" s="77" t="s">
        <v>8018</v>
      </c>
      <c r="AB2086" s="77" t="s">
        <v>8225</v>
      </c>
      <c r="AC2086" s="82" t="s">
        <v>8232</v>
      </c>
      <c r="AD2086" s="77" t="s">
        <v>8278</v>
      </c>
      <c r="AE2086" s="80" t="str">
        <f>HYPERLINK("https://twitter.com/seiacoes/status/1658142456171339776")</f>
        <v>https://twitter.com/seiacoes/status/1658142456171339776</v>
      </c>
      <c r="AF2086" s="79">
        <v>45061.672951388886</v>
      </c>
      <c r="AG2086" s="85">
        <v>45061</v>
      </c>
      <c r="AH2086" s="82" t="s">
        <v>10170</v>
      </c>
      <c r="AI2086" s="77" t="b">
        <v>0</v>
      </c>
      <c r="AJ2086" s="77"/>
      <c r="AK2086" s="77"/>
      <c r="AL2086" s="77"/>
      <c r="AM2086" s="77"/>
      <c r="AN2086" s="77"/>
      <c r="AO2086" s="77"/>
      <c r="AP2086" s="77"/>
      <c r="AQ2086" s="77" t="s">
        <v>12903</v>
      </c>
      <c r="AR2086" s="77"/>
      <c r="AS2086" s="77"/>
      <c r="AT2086" s="77"/>
      <c r="AU2086" s="77"/>
      <c r="AV2086" s="80" t="str">
        <f>HYPERLINK("https://pbs.twimg.com/media/FwLnBTVX0AE2ZdD.png")</f>
        <v>https://pbs.twimg.com/media/FwLnBTVX0AE2ZdD.png</v>
      </c>
      <c r="AW2086" s="82" t="s">
        <v>15171</v>
      </c>
      <c r="AX2086" s="82" t="s">
        <v>15171</v>
      </c>
      <c r="AY2086" s="77"/>
      <c r="AZ2086" s="82" t="s">
        <v>17385</v>
      </c>
      <c r="BA2086" s="82" t="s">
        <v>17385</v>
      </c>
      <c r="BB2086" s="82" t="s">
        <v>17385</v>
      </c>
      <c r="BC2086" s="82" t="s">
        <v>15171</v>
      </c>
      <c r="BD2086" s="82" t="s">
        <v>17627</v>
      </c>
      <c r="BE2086" s="77"/>
      <c r="BF2086" s="77"/>
      <c r="BG2086" s="77"/>
      <c r="BH2086" s="77"/>
      <c r="BI2086" s="77"/>
    </row>
    <row r="2087" spans="1:61" x14ac:dyDescent="0.25">
      <c r="A2087" s="62" t="s">
        <v>577</v>
      </c>
      <c r="B2087" s="62" t="s">
        <v>789</v>
      </c>
      <c r="C2087" s="63"/>
      <c r="D2087" s="64"/>
      <c r="E2087" s="65"/>
      <c r="F2087" s="66"/>
      <c r="G2087" s="63"/>
      <c r="H2087" s="67"/>
      <c r="I2087" s="68"/>
      <c r="J2087" s="68"/>
      <c r="K2087" s="32"/>
      <c r="L2087" s="75">
        <v>2087</v>
      </c>
      <c r="M2087" s="75"/>
      <c r="N2087" s="70"/>
      <c r="O2087" s="77" t="s">
        <v>802</v>
      </c>
      <c r="P2087" s="79">
        <v>45147.932638888888</v>
      </c>
      <c r="Q2087" s="77" t="s">
        <v>2866</v>
      </c>
      <c r="R2087" s="77">
        <v>1</v>
      </c>
      <c r="S2087" s="77">
        <v>2</v>
      </c>
      <c r="T2087" s="77">
        <v>0</v>
      </c>
      <c r="U2087" s="77">
        <v>0</v>
      </c>
      <c r="V2087" s="77">
        <v>203</v>
      </c>
      <c r="W2087" s="82" t="s">
        <v>6184</v>
      </c>
      <c r="X2087" s="80" t="str">
        <f>HYPERLINK("https://www.bloomberg.com/news/articles/2023-08-09/gic-foi-um-dos-compradores-na-oferta-de-acoes-da-copel-fontes")</f>
        <v>https://www.bloomberg.com/news/articles/2023-08-09/gic-foi-um-dos-compradores-na-oferta-de-acoes-da-copel-fontes</v>
      </c>
      <c r="Y2087" s="77" t="s">
        <v>7133</v>
      </c>
      <c r="Z2087" s="77" t="s">
        <v>789</v>
      </c>
      <c r="AA2087" s="77"/>
      <c r="AB2087" s="77"/>
      <c r="AC2087" s="82" t="s">
        <v>8232</v>
      </c>
      <c r="AD2087" s="77" t="s">
        <v>8278</v>
      </c>
      <c r="AE2087" s="80" t="str">
        <f>HYPERLINK("https://twitter.com/vanessadezem/status/1689401922464124928")</f>
        <v>https://twitter.com/vanessadezem/status/1689401922464124928</v>
      </c>
      <c r="AF2087" s="79">
        <v>45147.932638888888</v>
      </c>
      <c r="AG2087" s="85">
        <v>45147</v>
      </c>
      <c r="AH2087" s="82" t="s">
        <v>10171</v>
      </c>
      <c r="AI2087" s="77" t="b">
        <v>0</v>
      </c>
      <c r="AJ2087" s="77"/>
      <c r="AK2087" s="77"/>
      <c r="AL2087" s="77"/>
      <c r="AM2087" s="77"/>
      <c r="AN2087" s="77"/>
      <c r="AO2087" s="77"/>
      <c r="AP2087" s="77"/>
      <c r="AQ2087" s="77"/>
      <c r="AR2087" s="77"/>
      <c r="AS2087" s="77"/>
      <c r="AT2087" s="77"/>
      <c r="AU2087" s="77"/>
      <c r="AV2087" s="80" t="str">
        <f>HYPERLINK("https://pbs.twimg.com/profile_images/1183721902650646529/i5VlV1dU_normal.jpg")</f>
        <v>https://pbs.twimg.com/profile_images/1183721902650646529/i5VlV1dU_normal.jpg</v>
      </c>
      <c r="AW2087" s="82" t="s">
        <v>15172</v>
      </c>
      <c r="AX2087" s="82" t="s">
        <v>15172</v>
      </c>
      <c r="AY2087" s="77"/>
      <c r="AZ2087" s="82" t="s">
        <v>17385</v>
      </c>
      <c r="BA2087" s="82" t="s">
        <v>17385</v>
      </c>
      <c r="BB2087" s="82" t="s">
        <v>17385</v>
      </c>
      <c r="BC2087" s="82" t="s">
        <v>15172</v>
      </c>
      <c r="BD2087" s="77">
        <v>34957352</v>
      </c>
      <c r="BE2087" s="77"/>
      <c r="BF2087" s="77"/>
      <c r="BG2087" s="77"/>
      <c r="BH2087" s="77"/>
      <c r="BI2087" s="77"/>
    </row>
    <row r="2088" spans="1:61" x14ac:dyDescent="0.25">
      <c r="A2088" s="62" t="s">
        <v>578</v>
      </c>
      <c r="B2088" s="62" t="s">
        <v>706</v>
      </c>
      <c r="C2088" s="63"/>
      <c r="D2088" s="64"/>
      <c r="E2088" s="65"/>
      <c r="F2088" s="66"/>
      <c r="G2088" s="63"/>
      <c r="H2088" s="67"/>
      <c r="I2088" s="68"/>
      <c r="J2088" s="68"/>
      <c r="K2088" s="32"/>
      <c r="L2088" s="75">
        <v>2088</v>
      </c>
      <c r="M2088" s="75"/>
      <c r="N2088" s="70"/>
      <c r="O2088" s="77" t="s">
        <v>801</v>
      </c>
      <c r="P2088" s="79">
        <v>45101.384918981479</v>
      </c>
      <c r="Q2088" s="77" t="s">
        <v>2867</v>
      </c>
      <c r="R2088" s="77">
        <v>0</v>
      </c>
      <c r="S2088" s="77">
        <v>0</v>
      </c>
      <c r="T2088" s="77">
        <v>0</v>
      </c>
      <c r="U2088" s="77">
        <v>0</v>
      </c>
      <c r="V2088" s="77">
        <v>22</v>
      </c>
      <c r="W2088" s="82" t="s">
        <v>6185</v>
      </c>
      <c r="X2088" s="77"/>
      <c r="Y2088" s="77"/>
      <c r="Z2088" s="77"/>
      <c r="AA2088" s="77"/>
      <c r="AB2088" s="77"/>
      <c r="AC2088" s="82" t="s">
        <v>8234</v>
      </c>
      <c r="AD2088" s="77" t="s">
        <v>8282</v>
      </c>
      <c r="AE2088" s="80" t="str">
        <f>HYPERLINK("https://twitter.com/murilo_sobral/status/1672533592767963137")</f>
        <v>https://twitter.com/murilo_sobral/status/1672533592767963137</v>
      </c>
      <c r="AF2088" s="79">
        <v>45101.384918981479</v>
      </c>
      <c r="AG2088" s="85">
        <v>45101</v>
      </c>
      <c r="AH2088" s="82" t="s">
        <v>10172</v>
      </c>
      <c r="AI2088" s="77"/>
      <c r="AJ2088" s="77"/>
      <c r="AK2088" s="77"/>
      <c r="AL2088" s="77"/>
      <c r="AM2088" s="77"/>
      <c r="AN2088" s="77"/>
      <c r="AO2088" s="77"/>
      <c r="AP2088" s="77"/>
      <c r="AQ2088" s="77"/>
      <c r="AR2088" s="77"/>
      <c r="AS2088" s="77"/>
      <c r="AT2088" s="77"/>
      <c r="AU2088" s="77"/>
      <c r="AV2088" s="80" t="str">
        <f>HYPERLINK("https://pbs.twimg.com/profile_images/1467524266996514816/Rql0BHdm_normal.jpg")</f>
        <v>https://pbs.twimg.com/profile_images/1467524266996514816/Rql0BHdm_normal.jpg</v>
      </c>
      <c r="AW2088" s="82" t="s">
        <v>15173</v>
      </c>
      <c r="AX2088" s="82" t="s">
        <v>15173</v>
      </c>
      <c r="AY2088" s="77"/>
      <c r="AZ2088" s="82" t="s">
        <v>17385</v>
      </c>
      <c r="BA2088" s="82" t="s">
        <v>17040</v>
      </c>
      <c r="BB2088" s="82" t="s">
        <v>17385</v>
      </c>
      <c r="BC2088" s="82" t="s">
        <v>17040</v>
      </c>
      <c r="BD2088" s="77">
        <v>74198459</v>
      </c>
      <c r="BE2088" s="77"/>
      <c r="BF2088" s="77"/>
      <c r="BG2088" s="77"/>
      <c r="BH2088" s="77"/>
      <c r="BI2088" s="77"/>
    </row>
    <row r="2089" spans="1:61" x14ac:dyDescent="0.25">
      <c r="A2089" s="62" t="s">
        <v>579</v>
      </c>
      <c r="B2089" s="62" t="s">
        <v>790</v>
      </c>
      <c r="C2089" s="63"/>
      <c r="D2089" s="64"/>
      <c r="E2089" s="65"/>
      <c r="F2089" s="66"/>
      <c r="G2089" s="63"/>
      <c r="H2089" s="67"/>
      <c r="I2089" s="68"/>
      <c r="J2089" s="68"/>
      <c r="K2089" s="32"/>
      <c r="L2089" s="75">
        <v>2089</v>
      </c>
      <c r="M2089" s="75"/>
      <c r="N2089" s="70"/>
      <c r="O2089" s="77" t="s">
        <v>800</v>
      </c>
      <c r="P2089" s="79">
        <v>45160.838530092595</v>
      </c>
      <c r="Q2089" s="77" t="s">
        <v>2868</v>
      </c>
      <c r="R2089" s="77">
        <v>0</v>
      </c>
      <c r="S2089" s="77">
        <v>0</v>
      </c>
      <c r="T2089" s="77">
        <v>0</v>
      </c>
      <c r="U2089" s="77">
        <v>0</v>
      </c>
      <c r="V2089" s="77">
        <v>80</v>
      </c>
      <c r="W2089" s="82" t="s">
        <v>6186</v>
      </c>
      <c r="X2089" s="77"/>
      <c r="Y2089" s="77"/>
      <c r="Z2089" s="77" t="s">
        <v>790</v>
      </c>
      <c r="AA2089" s="77"/>
      <c r="AB2089" s="77"/>
      <c r="AC2089" s="82" t="s">
        <v>8233</v>
      </c>
      <c r="AD2089" s="77" t="s">
        <v>8278</v>
      </c>
      <c r="AE2089" s="80" t="str">
        <f>HYPERLINK("https://twitter.com/alemartuchelli/status/1694078859790983428")</f>
        <v>https://twitter.com/alemartuchelli/status/1694078859790983428</v>
      </c>
      <c r="AF2089" s="79">
        <v>45160.838530092595</v>
      </c>
      <c r="AG2089" s="85">
        <v>45160</v>
      </c>
      <c r="AH2089" s="82" t="s">
        <v>10173</v>
      </c>
      <c r="AI2089" s="77"/>
      <c r="AJ2089" s="77"/>
      <c r="AK2089" s="77"/>
      <c r="AL2089" s="77"/>
      <c r="AM2089" s="77"/>
      <c r="AN2089" s="77"/>
      <c r="AO2089" s="77"/>
      <c r="AP2089" s="77"/>
      <c r="AQ2089" s="77"/>
      <c r="AR2089" s="77"/>
      <c r="AS2089" s="77"/>
      <c r="AT2089" s="77"/>
      <c r="AU2089" s="77"/>
      <c r="AV2089" s="80" t="str">
        <f>HYPERLINK("https://pbs.twimg.com/profile_images/1637894045581168652/kvX9cMLK_normal.jpg")</f>
        <v>https://pbs.twimg.com/profile_images/1637894045581168652/kvX9cMLK_normal.jpg</v>
      </c>
      <c r="AW2089" s="82" t="s">
        <v>15174</v>
      </c>
      <c r="AX2089" s="82" t="s">
        <v>17199</v>
      </c>
      <c r="AY2089" s="82" t="s">
        <v>17367</v>
      </c>
      <c r="AZ2089" s="82" t="s">
        <v>17199</v>
      </c>
      <c r="BA2089" s="82" t="s">
        <v>17385</v>
      </c>
      <c r="BB2089" s="82" t="s">
        <v>17385</v>
      </c>
      <c r="BC2089" s="82" t="s">
        <v>17199</v>
      </c>
      <c r="BD2089" s="77">
        <v>30299516</v>
      </c>
      <c r="BE2089" s="77"/>
      <c r="BF2089" s="77"/>
      <c r="BG2089" s="77"/>
      <c r="BH2089" s="77"/>
      <c r="BI2089" s="77"/>
    </row>
    <row r="2090" spans="1:61" x14ac:dyDescent="0.25">
      <c r="A2090" s="62" t="s">
        <v>579</v>
      </c>
      <c r="B2090" s="62" t="s">
        <v>790</v>
      </c>
      <c r="C2090" s="63"/>
      <c r="D2090" s="64"/>
      <c r="E2090" s="65"/>
      <c r="F2090" s="66"/>
      <c r="G2090" s="63"/>
      <c r="H2090" s="67"/>
      <c r="I2090" s="68"/>
      <c r="J2090" s="68"/>
      <c r="K2090" s="32"/>
      <c r="L2090" s="75">
        <v>2090</v>
      </c>
      <c r="M2090" s="75"/>
      <c r="N2090" s="70"/>
      <c r="O2090" s="77" t="s">
        <v>800</v>
      </c>
      <c r="P2090" s="79">
        <v>45159.117800925924</v>
      </c>
      <c r="Q2090" s="77" t="s">
        <v>2869</v>
      </c>
      <c r="R2090" s="77">
        <v>0</v>
      </c>
      <c r="S2090" s="77">
        <v>0</v>
      </c>
      <c r="T2090" s="77">
        <v>0</v>
      </c>
      <c r="U2090" s="77">
        <v>0</v>
      </c>
      <c r="V2090" s="77">
        <v>64</v>
      </c>
      <c r="W2090" s="82" t="s">
        <v>6187</v>
      </c>
      <c r="X2090" s="77"/>
      <c r="Y2090" s="77"/>
      <c r="Z2090" s="77" t="s">
        <v>790</v>
      </c>
      <c r="AA2090" s="77"/>
      <c r="AB2090" s="77"/>
      <c r="AC2090" s="82" t="s">
        <v>8233</v>
      </c>
      <c r="AD2090" s="77" t="s">
        <v>8278</v>
      </c>
      <c r="AE2090" s="80" t="str">
        <f>HYPERLINK("https://twitter.com/alemartuchelli/status/1693455288387387603")</f>
        <v>https://twitter.com/alemartuchelli/status/1693455288387387603</v>
      </c>
      <c r="AF2090" s="79">
        <v>45159.117800925924</v>
      </c>
      <c r="AG2090" s="85">
        <v>45159</v>
      </c>
      <c r="AH2090" s="82" t="s">
        <v>10174</v>
      </c>
      <c r="AI2090" s="77"/>
      <c r="AJ2090" s="77"/>
      <c r="AK2090" s="77"/>
      <c r="AL2090" s="77"/>
      <c r="AM2090" s="77"/>
      <c r="AN2090" s="77"/>
      <c r="AO2090" s="77"/>
      <c r="AP2090" s="77"/>
      <c r="AQ2090" s="77"/>
      <c r="AR2090" s="77"/>
      <c r="AS2090" s="77"/>
      <c r="AT2090" s="77"/>
      <c r="AU2090" s="77"/>
      <c r="AV2090" s="80" t="str">
        <f>HYPERLINK("https://pbs.twimg.com/profile_images/1637894045581168652/kvX9cMLK_normal.jpg")</f>
        <v>https://pbs.twimg.com/profile_images/1637894045581168652/kvX9cMLK_normal.jpg</v>
      </c>
      <c r="AW2090" s="82" t="s">
        <v>15175</v>
      </c>
      <c r="AX2090" s="82" t="s">
        <v>17200</v>
      </c>
      <c r="AY2090" s="82" t="s">
        <v>17367</v>
      </c>
      <c r="AZ2090" s="82" t="s">
        <v>17200</v>
      </c>
      <c r="BA2090" s="82" t="s">
        <v>17385</v>
      </c>
      <c r="BB2090" s="82" t="s">
        <v>17385</v>
      </c>
      <c r="BC2090" s="82" t="s">
        <v>17200</v>
      </c>
      <c r="BD2090" s="77">
        <v>30299516</v>
      </c>
      <c r="BE2090" s="77"/>
      <c r="BF2090" s="77"/>
      <c r="BG2090" s="77"/>
      <c r="BH2090" s="77"/>
      <c r="BI2090" s="77"/>
    </row>
    <row r="2091" spans="1:61" x14ac:dyDescent="0.25">
      <c r="A2091" s="62" t="s">
        <v>579</v>
      </c>
      <c r="B2091" s="62" t="s">
        <v>790</v>
      </c>
      <c r="C2091" s="63"/>
      <c r="D2091" s="64"/>
      <c r="E2091" s="65"/>
      <c r="F2091" s="66"/>
      <c r="G2091" s="63"/>
      <c r="H2091" s="67"/>
      <c r="I2091" s="68"/>
      <c r="J2091" s="68"/>
      <c r="K2091" s="32"/>
      <c r="L2091" s="75">
        <v>2091</v>
      </c>
      <c r="M2091" s="75"/>
      <c r="N2091" s="70"/>
      <c r="O2091" s="77" t="s">
        <v>800</v>
      </c>
      <c r="P2091" s="79">
        <v>45171.604780092595</v>
      </c>
      <c r="Q2091" s="77" t="s">
        <v>2870</v>
      </c>
      <c r="R2091" s="77">
        <v>0</v>
      </c>
      <c r="S2091" s="77">
        <v>0</v>
      </c>
      <c r="T2091" s="77">
        <v>0</v>
      </c>
      <c r="U2091" s="77">
        <v>0</v>
      </c>
      <c r="V2091" s="77">
        <v>61</v>
      </c>
      <c r="W2091" s="82" t="s">
        <v>6188</v>
      </c>
      <c r="X2091" s="77"/>
      <c r="Y2091" s="77"/>
      <c r="Z2091" s="77" t="s">
        <v>790</v>
      </c>
      <c r="AA2091" s="77"/>
      <c r="AB2091" s="77"/>
      <c r="AC2091" s="82" t="s">
        <v>8233</v>
      </c>
      <c r="AD2091" s="77" t="s">
        <v>8278</v>
      </c>
      <c r="AE2091" s="80" t="str">
        <f>HYPERLINK("https://twitter.com/alemartuchelli/status/1697980417922490403")</f>
        <v>https://twitter.com/alemartuchelli/status/1697980417922490403</v>
      </c>
      <c r="AF2091" s="79">
        <v>45171.604780092595</v>
      </c>
      <c r="AG2091" s="85">
        <v>45171</v>
      </c>
      <c r="AH2091" s="82" t="s">
        <v>10175</v>
      </c>
      <c r="AI2091" s="77"/>
      <c r="AJ2091" s="77"/>
      <c r="AK2091" s="77"/>
      <c r="AL2091" s="77"/>
      <c r="AM2091" s="77"/>
      <c r="AN2091" s="77"/>
      <c r="AO2091" s="77"/>
      <c r="AP2091" s="77"/>
      <c r="AQ2091" s="77"/>
      <c r="AR2091" s="77"/>
      <c r="AS2091" s="77"/>
      <c r="AT2091" s="77"/>
      <c r="AU2091" s="77"/>
      <c r="AV2091" s="80" t="str">
        <f>HYPERLINK("https://pbs.twimg.com/profile_images/1637894045581168652/kvX9cMLK_normal.jpg")</f>
        <v>https://pbs.twimg.com/profile_images/1637894045581168652/kvX9cMLK_normal.jpg</v>
      </c>
      <c r="AW2091" s="82" t="s">
        <v>15176</v>
      </c>
      <c r="AX2091" s="82" t="s">
        <v>17201</v>
      </c>
      <c r="AY2091" s="82" t="s">
        <v>17367</v>
      </c>
      <c r="AZ2091" s="82" t="s">
        <v>17201</v>
      </c>
      <c r="BA2091" s="82" t="s">
        <v>17385</v>
      </c>
      <c r="BB2091" s="82" t="s">
        <v>17385</v>
      </c>
      <c r="BC2091" s="82" t="s">
        <v>17201</v>
      </c>
      <c r="BD2091" s="77">
        <v>30299516</v>
      </c>
      <c r="BE2091" s="77"/>
      <c r="BF2091" s="77"/>
      <c r="BG2091" s="77"/>
      <c r="BH2091" s="77"/>
      <c r="BI2091" s="77"/>
    </row>
    <row r="2092" spans="1:61" x14ac:dyDescent="0.25">
      <c r="A2092" s="62" t="s">
        <v>579</v>
      </c>
      <c r="B2092" s="62" t="s">
        <v>579</v>
      </c>
      <c r="C2092" s="63"/>
      <c r="D2092" s="64"/>
      <c r="E2092" s="65"/>
      <c r="F2092" s="66"/>
      <c r="G2092" s="63"/>
      <c r="H2092" s="67"/>
      <c r="I2092" s="68"/>
      <c r="J2092" s="68"/>
      <c r="K2092" s="32"/>
      <c r="L2092" s="75">
        <v>2092</v>
      </c>
      <c r="M2092" s="75"/>
      <c r="N2092" s="70"/>
      <c r="O2092" s="77" t="s">
        <v>179</v>
      </c>
      <c r="P2092" s="79">
        <v>45168.850787037038</v>
      </c>
      <c r="Q2092" s="77" t="s">
        <v>2871</v>
      </c>
      <c r="R2092" s="77">
        <v>0</v>
      </c>
      <c r="S2092" s="77">
        <v>0</v>
      </c>
      <c r="T2092" s="77">
        <v>0</v>
      </c>
      <c r="U2092" s="77">
        <v>0</v>
      </c>
      <c r="V2092" s="77">
        <v>73</v>
      </c>
      <c r="W2092" s="82" t="s">
        <v>6189</v>
      </c>
      <c r="X2092" s="77"/>
      <c r="Y2092" s="77"/>
      <c r="Z2092" s="77"/>
      <c r="AA2092" s="77"/>
      <c r="AB2092" s="77"/>
      <c r="AC2092" s="82" t="s">
        <v>8232</v>
      </c>
      <c r="AD2092" s="77" t="s">
        <v>8278</v>
      </c>
      <c r="AE2092" s="80" t="str">
        <f>HYPERLINK("https://twitter.com/alemartuchelli/status/1696982407029629209")</f>
        <v>https://twitter.com/alemartuchelli/status/1696982407029629209</v>
      </c>
      <c r="AF2092" s="79">
        <v>45168.850787037038</v>
      </c>
      <c r="AG2092" s="85">
        <v>45168</v>
      </c>
      <c r="AH2092" s="82" t="s">
        <v>10176</v>
      </c>
      <c r="AI2092" s="77"/>
      <c r="AJ2092" s="77"/>
      <c r="AK2092" s="77"/>
      <c r="AL2092" s="77"/>
      <c r="AM2092" s="77"/>
      <c r="AN2092" s="77"/>
      <c r="AO2092" s="77"/>
      <c r="AP2092" s="77"/>
      <c r="AQ2092" s="77"/>
      <c r="AR2092" s="77"/>
      <c r="AS2092" s="77"/>
      <c r="AT2092" s="77"/>
      <c r="AU2092" s="77"/>
      <c r="AV2092" s="80" t="str">
        <f>HYPERLINK("https://pbs.twimg.com/profile_images/1637894045581168652/kvX9cMLK_normal.jpg")</f>
        <v>https://pbs.twimg.com/profile_images/1637894045581168652/kvX9cMLK_normal.jpg</v>
      </c>
      <c r="AW2092" s="82" t="s">
        <v>15177</v>
      </c>
      <c r="AX2092" s="82" t="s">
        <v>15177</v>
      </c>
      <c r="AY2092" s="77"/>
      <c r="AZ2092" s="82" t="s">
        <v>17385</v>
      </c>
      <c r="BA2092" s="82" t="s">
        <v>17385</v>
      </c>
      <c r="BB2092" s="82" t="s">
        <v>17385</v>
      </c>
      <c r="BC2092" s="82" t="s">
        <v>15177</v>
      </c>
      <c r="BD2092" s="77">
        <v>30299516</v>
      </c>
      <c r="BE2092" s="77"/>
      <c r="BF2092" s="77"/>
      <c r="BG2092" s="77"/>
      <c r="BH2092" s="77"/>
      <c r="BI2092" s="77"/>
    </row>
    <row r="2093" spans="1:61" x14ac:dyDescent="0.25">
      <c r="A2093" s="62" t="s">
        <v>579</v>
      </c>
      <c r="B2093" s="62" t="s">
        <v>579</v>
      </c>
      <c r="C2093" s="63"/>
      <c r="D2093" s="64"/>
      <c r="E2093" s="65"/>
      <c r="F2093" s="66"/>
      <c r="G2093" s="63"/>
      <c r="H2093" s="67"/>
      <c r="I2093" s="68"/>
      <c r="J2093" s="68"/>
      <c r="K2093" s="32"/>
      <c r="L2093" s="75">
        <v>2093</v>
      </c>
      <c r="M2093" s="75"/>
      <c r="N2093" s="70"/>
      <c r="O2093" s="77" t="s">
        <v>179</v>
      </c>
      <c r="P2093" s="79">
        <v>45114.726574074077</v>
      </c>
      <c r="Q2093" s="77" t="s">
        <v>2872</v>
      </c>
      <c r="R2093" s="77">
        <v>0</v>
      </c>
      <c r="S2093" s="77">
        <v>0</v>
      </c>
      <c r="T2093" s="77">
        <v>0</v>
      </c>
      <c r="U2093" s="77">
        <v>0</v>
      </c>
      <c r="V2093" s="77">
        <v>24</v>
      </c>
      <c r="W2093" s="82" t="s">
        <v>6190</v>
      </c>
      <c r="X2093" s="77"/>
      <c r="Y2093" s="77"/>
      <c r="Z2093" s="77"/>
      <c r="AA2093" s="77"/>
      <c r="AB2093" s="77"/>
      <c r="AC2093" s="82" t="s">
        <v>8233</v>
      </c>
      <c r="AD2093" s="77" t="s">
        <v>8278</v>
      </c>
      <c r="AE2093" s="80" t="str">
        <f>HYPERLINK("https://twitter.com/alemartuchelli/status/1677368449071210501")</f>
        <v>https://twitter.com/alemartuchelli/status/1677368449071210501</v>
      </c>
      <c r="AF2093" s="79">
        <v>45114.726574074077</v>
      </c>
      <c r="AG2093" s="85">
        <v>45114</v>
      </c>
      <c r="AH2093" s="82" t="s">
        <v>10177</v>
      </c>
      <c r="AI2093" s="77"/>
      <c r="AJ2093" s="77"/>
      <c r="AK2093" s="77"/>
      <c r="AL2093" s="77"/>
      <c r="AM2093" s="77"/>
      <c r="AN2093" s="77"/>
      <c r="AO2093" s="77"/>
      <c r="AP2093" s="77"/>
      <c r="AQ2093" s="77"/>
      <c r="AR2093" s="77"/>
      <c r="AS2093" s="77"/>
      <c r="AT2093" s="77"/>
      <c r="AU2093" s="77"/>
      <c r="AV2093" s="80" t="str">
        <f>HYPERLINK("https://pbs.twimg.com/profile_images/1637894045581168652/kvX9cMLK_normal.jpg")</f>
        <v>https://pbs.twimg.com/profile_images/1637894045581168652/kvX9cMLK_normal.jpg</v>
      </c>
      <c r="AW2093" s="82" t="s">
        <v>15178</v>
      </c>
      <c r="AX2093" s="82" t="s">
        <v>15178</v>
      </c>
      <c r="AY2093" s="77"/>
      <c r="AZ2093" s="82" t="s">
        <v>17385</v>
      </c>
      <c r="BA2093" s="82" t="s">
        <v>17385</v>
      </c>
      <c r="BB2093" s="82" t="s">
        <v>17385</v>
      </c>
      <c r="BC2093" s="82" t="s">
        <v>15178</v>
      </c>
      <c r="BD2093" s="77">
        <v>30299516</v>
      </c>
      <c r="BE2093" s="77"/>
      <c r="BF2093" s="77"/>
      <c r="BG2093" s="77"/>
      <c r="BH2093" s="77"/>
      <c r="BI2093" s="77"/>
    </row>
    <row r="2094" spans="1:61" x14ac:dyDescent="0.25">
      <c r="A2094" s="62" t="s">
        <v>579</v>
      </c>
      <c r="B2094" s="62" t="s">
        <v>579</v>
      </c>
      <c r="C2094" s="63"/>
      <c r="D2094" s="64"/>
      <c r="E2094" s="65"/>
      <c r="F2094" s="66"/>
      <c r="G2094" s="63"/>
      <c r="H2094" s="67"/>
      <c r="I2094" s="68"/>
      <c r="J2094" s="68"/>
      <c r="K2094" s="32"/>
      <c r="L2094" s="75">
        <v>2094</v>
      </c>
      <c r="M2094" s="75"/>
      <c r="N2094" s="70"/>
      <c r="O2094" s="77" t="s">
        <v>179</v>
      </c>
      <c r="P2094" s="79">
        <v>45085.876643518517</v>
      </c>
      <c r="Q2094" s="77" t="s">
        <v>2873</v>
      </c>
      <c r="R2094" s="77">
        <v>0</v>
      </c>
      <c r="S2094" s="77">
        <v>0</v>
      </c>
      <c r="T2094" s="77">
        <v>0</v>
      </c>
      <c r="U2094" s="77">
        <v>0</v>
      </c>
      <c r="V2094" s="77">
        <v>26</v>
      </c>
      <c r="W2094" s="82" t="s">
        <v>6191</v>
      </c>
      <c r="X2094" s="77"/>
      <c r="Y2094" s="77"/>
      <c r="Z2094" s="77"/>
      <c r="AA2094" s="77"/>
      <c r="AB2094" s="77"/>
      <c r="AC2094" s="82" t="s">
        <v>8233</v>
      </c>
      <c r="AD2094" s="77" t="s">
        <v>8278</v>
      </c>
      <c r="AE2094" s="80" t="str">
        <f>HYPERLINK("https://twitter.com/alemartuchelli/status/1666913583567978504")</f>
        <v>https://twitter.com/alemartuchelli/status/1666913583567978504</v>
      </c>
      <c r="AF2094" s="79">
        <v>45085.876643518517</v>
      </c>
      <c r="AG2094" s="85">
        <v>45085</v>
      </c>
      <c r="AH2094" s="82" t="s">
        <v>10178</v>
      </c>
      <c r="AI2094" s="77"/>
      <c r="AJ2094" s="77"/>
      <c r="AK2094" s="77"/>
      <c r="AL2094" s="77"/>
      <c r="AM2094" s="77"/>
      <c r="AN2094" s="77"/>
      <c r="AO2094" s="77"/>
      <c r="AP2094" s="77"/>
      <c r="AQ2094" s="77"/>
      <c r="AR2094" s="77"/>
      <c r="AS2094" s="77"/>
      <c r="AT2094" s="77"/>
      <c r="AU2094" s="77"/>
      <c r="AV2094" s="80" t="str">
        <f>HYPERLINK("https://pbs.twimg.com/profile_images/1637894045581168652/kvX9cMLK_normal.jpg")</f>
        <v>https://pbs.twimg.com/profile_images/1637894045581168652/kvX9cMLK_normal.jpg</v>
      </c>
      <c r="AW2094" s="82" t="s">
        <v>15179</v>
      </c>
      <c r="AX2094" s="82" t="s">
        <v>15179</v>
      </c>
      <c r="AY2094" s="77"/>
      <c r="AZ2094" s="82" t="s">
        <v>17385</v>
      </c>
      <c r="BA2094" s="82" t="s">
        <v>17385</v>
      </c>
      <c r="BB2094" s="82" t="s">
        <v>17385</v>
      </c>
      <c r="BC2094" s="82" t="s">
        <v>15179</v>
      </c>
      <c r="BD2094" s="77">
        <v>30299516</v>
      </c>
      <c r="BE2094" s="77"/>
      <c r="BF2094" s="77"/>
      <c r="BG2094" s="77"/>
      <c r="BH2094" s="77"/>
      <c r="BI2094" s="77"/>
    </row>
    <row r="2095" spans="1:61" x14ac:dyDescent="0.25">
      <c r="A2095" s="62" t="s">
        <v>579</v>
      </c>
      <c r="B2095" s="62" t="s">
        <v>579</v>
      </c>
      <c r="C2095" s="63"/>
      <c r="D2095" s="64"/>
      <c r="E2095" s="65"/>
      <c r="F2095" s="66"/>
      <c r="G2095" s="63"/>
      <c r="H2095" s="67"/>
      <c r="I2095" s="68"/>
      <c r="J2095" s="68"/>
      <c r="K2095" s="32"/>
      <c r="L2095" s="75">
        <v>2095</v>
      </c>
      <c r="M2095" s="75"/>
      <c r="N2095" s="70"/>
      <c r="O2095" s="77" t="s">
        <v>179</v>
      </c>
      <c r="P2095" s="79">
        <v>45049.599247685182</v>
      </c>
      <c r="Q2095" s="77" t="s">
        <v>2874</v>
      </c>
      <c r="R2095" s="77">
        <v>0</v>
      </c>
      <c r="S2095" s="77">
        <v>0</v>
      </c>
      <c r="T2095" s="77">
        <v>0</v>
      </c>
      <c r="U2095" s="77">
        <v>0</v>
      </c>
      <c r="V2095" s="77">
        <v>130</v>
      </c>
      <c r="W2095" s="82" t="s">
        <v>6192</v>
      </c>
      <c r="X2095" s="77"/>
      <c r="Y2095" s="77"/>
      <c r="Z2095" s="77"/>
      <c r="AA2095" s="77"/>
      <c r="AB2095" s="77"/>
      <c r="AC2095" s="82" t="s">
        <v>8233</v>
      </c>
      <c r="AD2095" s="77" t="s">
        <v>8278</v>
      </c>
      <c r="AE2095" s="80" t="str">
        <f>HYPERLINK("https://twitter.com/alemartuchelli/status/1653767095383891968")</f>
        <v>https://twitter.com/alemartuchelli/status/1653767095383891968</v>
      </c>
      <c r="AF2095" s="79">
        <v>45049.599247685182</v>
      </c>
      <c r="AG2095" s="85">
        <v>45049</v>
      </c>
      <c r="AH2095" s="82" t="s">
        <v>10179</v>
      </c>
      <c r="AI2095" s="77"/>
      <c r="AJ2095" s="77"/>
      <c r="AK2095" s="77"/>
      <c r="AL2095" s="77"/>
      <c r="AM2095" s="77"/>
      <c r="AN2095" s="77"/>
      <c r="AO2095" s="77"/>
      <c r="AP2095" s="77"/>
      <c r="AQ2095" s="77"/>
      <c r="AR2095" s="77"/>
      <c r="AS2095" s="77"/>
      <c r="AT2095" s="77"/>
      <c r="AU2095" s="77"/>
      <c r="AV2095" s="80" t="str">
        <f>HYPERLINK("https://pbs.twimg.com/profile_images/1637894045581168652/kvX9cMLK_normal.jpg")</f>
        <v>https://pbs.twimg.com/profile_images/1637894045581168652/kvX9cMLK_normal.jpg</v>
      </c>
      <c r="AW2095" s="82" t="s">
        <v>15180</v>
      </c>
      <c r="AX2095" s="82" t="s">
        <v>15180</v>
      </c>
      <c r="AY2095" s="77"/>
      <c r="AZ2095" s="82" t="s">
        <v>17385</v>
      </c>
      <c r="BA2095" s="82" t="s">
        <v>17385</v>
      </c>
      <c r="BB2095" s="82" t="s">
        <v>17385</v>
      </c>
      <c r="BC2095" s="82" t="s">
        <v>15180</v>
      </c>
      <c r="BD2095" s="77">
        <v>30299516</v>
      </c>
      <c r="BE2095" s="77"/>
      <c r="BF2095" s="77"/>
      <c r="BG2095" s="77"/>
      <c r="BH2095" s="77"/>
      <c r="BI2095" s="77"/>
    </row>
    <row r="2096" spans="1:61" x14ac:dyDescent="0.25">
      <c r="A2096" s="62" t="s">
        <v>580</v>
      </c>
      <c r="B2096" s="62" t="s">
        <v>580</v>
      </c>
      <c r="C2096" s="63"/>
      <c r="D2096" s="64"/>
      <c r="E2096" s="65"/>
      <c r="F2096" s="66"/>
      <c r="G2096" s="63"/>
      <c r="H2096" s="67"/>
      <c r="I2096" s="68"/>
      <c r="J2096" s="68"/>
      <c r="K2096" s="32"/>
      <c r="L2096" s="75">
        <v>2096</v>
      </c>
      <c r="M2096" s="75"/>
      <c r="N2096" s="70"/>
      <c r="O2096" s="77" t="s">
        <v>179</v>
      </c>
      <c r="P2096" s="79">
        <v>45184.014120370368</v>
      </c>
      <c r="Q2096" s="77" t="s">
        <v>2875</v>
      </c>
      <c r="R2096" s="77">
        <v>1</v>
      </c>
      <c r="S2096" s="77">
        <v>2</v>
      </c>
      <c r="T2096" s="77">
        <v>0</v>
      </c>
      <c r="U2096" s="77">
        <v>0</v>
      </c>
      <c r="V2096" s="77">
        <v>438</v>
      </c>
      <c r="W2096" s="82" t="s">
        <v>6193</v>
      </c>
      <c r="X2096" s="80" t="str">
        <f>HYPERLINK("https://www.falkcapital.com.br/mercado/acoes?utm_source=twitter&amp;utm_medium=falkcapital&amp;utm_campaign=fechamentodemercado")</f>
        <v>https://www.falkcapital.com.br/mercado/acoes?utm_source=twitter&amp;utm_medium=falkcapital&amp;utm_campaign=fechamentodemercado</v>
      </c>
      <c r="Y2096" s="77" t="s">
        <v>7053</v>
      </c>
      <c r="Z2096" s="77"/>
      <c r="AA2096" s="77"/>
      <c r="AB2096" s="77"/>
      <c r="AC2096" s="82" t="s">
        <v>580</v>
      </c>
      <c r="AD2096" s="77" t="s">
        <v>8278</v>
      </c>
      <c r="AE2096" s="80" t="str">
        <f>HYPERLINK("https://twitter.com/falkcapital/status/1702477411575578823")</f>
        <v>https://twitter.com/falkcapital/status/1702477411575578823</v>
      </c>
      <c r="AF2096" s="79">
        <v>45184.014120370368</v>
      </c>
      <c r="AG2096" s="85">
        <v>45184</v>
      </c>
      <c r="AH2096" s="82" t="s">
        <v>10180</v>
      </c>
      <c r="AI2096" s="77" t="b">
        <v>0</v>
      </c>
      <c r="AJ2096" s="77"/>
      <c r="AK2096" s="77"/>
      <c r="AL2096" s="77"/>
      <c r="AM2096" s="77"/>
      <c r="AN2096" s="77"/>
      <c r="AO2096" s="77"/>
      <c r="AP2096" s="77"/>
      <c r="AQ2096" s="77"/>
      <c r="AR2096" s="77"/>
      <c r="AS2096" s="77"/>
      <c r="AT2096" s="77"/>
      <c r="AU2096" s="77"/>
      <c r="AV2096" s="80" t="str">
        <f>HYPERLINK("https://pbs.twimg.com/profile_images/1623099129726484485/efR1z8CS_normal.png")</f>
        <v>https://pbs.twimg.com/profile_images/1623099129726484485/efR1z8CS_normal.png</v>
      </c>
      <c r="AW2096" s="82" t="s">
        <v>15181</v>
      </c>
      <c r="AX2096" s="82" t="s">
        <v>15181</v>
      </c>
      <c r="AY2096" s="77"/>
      <c r="AZ2096" s="82" t="s">
        <v>17385</v>
      </c>
      <c r="BA2096" s="82" t="s">
        <v>17385</v>
      </c>
      <c r="BB2096" s="82" t="s">
        <v>17385</v>
      </c>
      <c r="BC2096" s="82" t="s">
        <v>15181</v>
      </c>
      <c r="BD2096" s="82" t="s">
        <v>17628</v>
      </c>
      <c r="BE2096" s="77"/>
      <c r="BF2096" s="77"/>
      <c r="BG2096" s="77"/>
      <c r="BH2096" s="77"/>
      <c r="BI2096" s="77"/>
    </row>
    <row r="2097" spans="1:61" x14ac:dyDescent="0.25">
      <c r="A2097" s="62" t="s">
        <v>580</v>
      </c>
      <c r="B2097" s="62" t="s">
        <v>580</v>
      </c>
      <c r="C2097" s="63"/>
      <c r="D2097" s="64"/>
      <c r="E2097" s="65"/>
      <c r="F2097" s="66"/>
      <c r="G2097" s="63"/>
      <c r="H2097" s="67"/>
      <c r="I2097" s="68"/>
      <c r="J2097" s="68"/>
      <c r="K2097" s="32"/>
      <c r="L2097" s="75">
        <v>2097</v>
      </c>
      <c r="M2097" s="75"/>
      <c r="N2097" s="70"/>
      <c r="O2097" s="77" t="s">
        <v>179</v>
      </c>
      <c r="P2097" s="79">
        <v>45183.69804398148</v>
      </c>
      <c r="Q2097" s="77" t="s">
        <v>2876</v>
      </c>
      <c r="R2097" s="77">
        <v>1</v>
      </c>
      <c r="S2097" s="77">
        <v>3</v>
      </c>
      <c r="T2097" s="77">
        <v>0</v>
      </c>
      <c r="U2097" s="77">
        <v>0</v>
      </c>
      <c r="V2097" s="77">
        <v>474</v>
      </c>
      <c r="W2097" s="82" t="s">
        <v>5324</v>
      </c>
      <c r="X2097" s="80" t="str">
        <f>HYPERLINK("https://www.falkcapital.com.br/mercado/acoes?utm_source=twitter&amp;utm_medium=falkalertas&amp;utm_campaign=mostrentedtc")</f>
        <v>https://www.falkcapital.com.br/mercado/acoes?utm_source=twitter&amp;utm_medium=falkalertas&amp;utm_campaign=mostrentedtc</v>
      </c>
      <c r="Y2097" s="77" t="s">
        <v>7053</v>
      </c>
      <c r="Z2097" s="77"/>
      <c r="AA2097" s="77"/>
      <c r="AB2097" s="77"/>
      <c r="AC2097" s="82" t="s">
        <v>580</v>
      </c>
      <c r="AD2097" s="77" t="s">
        <v>8278</v>
      </c>
      <c r="AE2097" s="80" t="str">
        <f>HYPERLINK("https://twitter.com/falkcapital/status/1702362870753685746")</f>
        <v>https://twitter.com/falkcapital/status/1702362870753685746</v>
      </c>
      <c r="AF2097" s="79">
        <v>45183.69804398148</v>
      </c>
      <c r="AG2097" s="85">
        <v>45183</v>
      </c>
      <c r="AH2097" s="82" t="s">
        <v>9012</v>
      </c>
      <c r="AI2097" s="77" t="b">
        <v>0</v>
      </c>
      <c r="AJ2097" s="77"/>
      <c r="AK2097" s="77"/>
      <c r="AL2097" s="77"/>
      <c r="AM2097" s="77"/>
      <c r="AN2097" s="77"/>
      <c r="AO2097" s="77"/>
      <c r="AP2097" s="77"/>
      <c r="AQ2097" s="77"/>
      <c r="AR2097" s="77"/>
      <c r="AS2097" s="77"/>
      <c r="AT2097" s="77"/>
      <c r="AU2097" s="77"/>
      <c r="AV2097" s="80" t="str">
        <f>HYPERLINK("https://pbs.twimg.com/profile_images/1623099129726484485/efR1z8CS_normal.png")</f>
        <v>https://pbs.twimg.com/profile_images/1623099129726484485/efR1z8CS_normal.png</v>
      </c>
      <c r="AW2097" s="82" t="s">
        <v>15182</v>
      </c>
      <c r="AX2097" s="82" t="s">
        <v>15182</v>
      </c>
      <c r="AY2097" s="77"/>
      <c r="AZ2097" s="82" t="s">
        <v>17385</v>
      </c>
      <c r="BA2097" s="82" t="s">
        <v>17385</v>
      </c>
      <c r="BB2097" s="82" t="s">
        <v>17385</v>
      </c>
      <c r="BC2097" s="82" t="s">
        <v>15182</v>
      </c>
      <c r="BD2097" s="82" t="s">
        <v>17628</v>
      </c>
      <c r="BE2097" s="77"/>
      <c r="BF2097" s="77"/>
      <c r="BG2097" s="77"/>
      <c r="BH2097" s="77"/>
      <c r="BI2097" s="77"/>
    </row>
    <row r="2098" spans="1:61" x14ac:dyDescent="0.25">
      <c r="A2098" s="62" t="s">
        <v>580</v>
      </c>
      <c r="B2098" s="62" t="s">
        <v>580</v>
      </c>
      <c r="C2098" s="63"/>
      <c r="D2098" s="64"/>
      <c r="E2098" s="65"/>
      <c r="F2098" s="66"/>
      <c r="G2098" s="63"/>
      <c r="H2098" s="67"/>
      <c r="I2098" s="68"/>
      <c r="J2098" s="68"/>
      <c r="K2098" s="32"/>
      <c r="L2098" s="75">
        <v>2098</v>
      </c>
      <c r="M2098" s="75"/>
      <c r="N2098" s="70"/>
      <c r="O2098" s="77" t="s">
        <v>179</v>
      </c>
      <c r="P2098" s="79">
        <v>45176.059351851851</v>
      </c>
      <c r="Q2098" s="77" t="s">
        <v>2877</v>
      </c>
      <c r="R2098" s="77">
        <v>1</v>
      </c>
      <c r="S2098" s="77">
        <v>2</v>
      </c>
      <c r="T2098" s="77">
        <v>0</v>
      </c>
      <c r="U2098" s="77">
        <v>0</v>
      </c>
      <c r="V2098" s="77">
        <v>69</v>
      </c>
      <c r="W2098" s="82" t="s">
        <v>6194</v>
      </c>
      <c r="X2098" s="77"/>
      <c r="Y2098" s="77"/>
      <c r="Z2098" s="77"/>
      <c r="AA2098" s="77" t="s">
        <v>8019</v>
      </c>
      <c r="AB2098" s="77" t="s">
        <v>8225</v>
      </c>
      <c r="AC2098" s="82" t="s">
        <v>8232</v>
      </c>
      <c r="AD2098" s="77" t="s">
        <v>8278</v>
      </c>
      <c r="AE2098" s="80" t="str">
        <f>HYPERLINK("https://twitter.com/falkcapital/status/1699594701949510044")</f>
        <v>https://twitter.com/falkcapital/status/1699594701949510044</v>
      </c>
      <c r="AF2098" s="79">
        <v>45176.059351851851</v>
      </c>
      <c r="AG2098" s="85">
        <v>45176</v>
      </c>
      <c r="AH2098" s="82" t="s">
        <v>10181</v>
      </c>
      <c r="AI2098" s="77" t="b">
        <v>0</v>
      </c>
      <c r="AJ2098" s="77"/>
      <c r="AK2098" s="77"/>
      <c r="AL2098" s="77"/>
      <c r="AM2098" s="77"/>
      <c r="AN2098" s="77"/>
      <c r="AO2098" s="77"/>
      <c r="AP2098" s="77"/>
      <c r="AQ2098" s="77" t="s">
        <v>12904</v>
      </c>
      <c r="AR2098" s="77"/>
      <c r="AS2098" s="77"/>
      <c r="AT2098" s="77"/>
      <c r="AU2098" s="77"/>
      <c r="AV2098" s="80" t="str">
        <f>HYPERLINK("https://pbs.twimg.com/media/F5YsEyUXAAAJQQU.jpg")</f>
        <v>https://pbs.twimg.com/media/F5YsEyUXAAAJQQU.jpg</v>
      </c>
      <c r="AW2098" s="82" t="s">
        <v>15183</v>
      </c>
      <c r="AX2098" s="82" t="s">
        <v>15183</v>
      </c>
      <c r="AY2098" s="77"/>
      <c r="AZ2098" s="82" t="s">
        <v>17385</v>
      </c>
      <c r="BA2098" s="82" t="s">
        <v>17385</v>
      </c>
      <c r="BB2098" s="82" t="s">
        <v>17385</v>
      </c>
      <c r="BC2098" s="82" t="s">
        <v>15183</v>
      </c>
      <c r="BD2098" s="82" t="s">
        <v>17628</v>
      </c>
      <c r="BE2098" s="77"/>
      <c r="BF2098" s="77"/>
      <c r="BG2098" s="77"/>
      <c r="BH2098" s="77"/>
      <c r="BI2098" s="77"/>
    </row>
    <row r="2099" spans="1:61" x14ac:dyDescent="0.25">
      <c r="A2099" s="62" t="s">
        <v>580</v>
      </c>
      <c r="B2099" s="62" t="s">
        <v>580</v>
      </c>
      <c r="C2099" s="63"/>
      <c r="D2099" s="64"/>
      <c r="E2099" s="65"/>
      <c r="F2099" s="66"/>
      <c r="G2099" s="63"/>
      <c r="H2099" s="67"/>
      <c r="I2099" s="68"/>
      <c r="J2099" s="68"/>
      <c r="K2099" s="32"/>
      <c r="L2099" s="75">
        <v>2099</v>
      </c>
      <c r="M2099" s="75"/>
      <c r="N2099" s="70"/>
      <c r="O2099" s="77" t="s">
        <v>179</v>
      </c>
      <c r="P2099" s="79">
        <v>45189.981828703705</v>
      </c>
      <c r="Q2099" s="77" t="s">
        <v>2878</v>
      </c>
      <c r="R2099" s="77">
        <v>1</v>
      </c>
      <c r="S2099" s="77">
        <v>2</v>
      </c>
      <c r="T2099" s="77">
        <v>0</v>
      </c>
      <c r="U2099" s="77">
        <v>0</v>
      </c>
      <c r="V2099" s="77">
        <v>339</v>
      </c>
      <c r="W2099" s="82" t="s">
        <v>6195</v>
      </c>
      <c r="X2099" s="80" t="str">
        <f>HYPERLINK("https://www.falkcapital.com.br/mercado/acoes?utm_source=twitter&amp;utm_medium=falkcapital&amp;utm_campaign=fechamentodemercado")</f>
        <v>https://www.falkcapital.com.br/mercado/acoes?utm_source=twitter&amp;utm_medium=falkcapital&amp;utm_campaign=fechamentodemercado</v>
      </c>
      <c r="Y2099" s="77" t="s">
        <v>7053</v>
      </c>
      <c r="Z2099" s="77"/>
      <c r="AA2099" s="77"/>
      <c r="AB2099" s="77"/>
      <c r="AC2099" s="82" t="s">
        <v>580</v>
      </c>
      <c r="AD2099" s="77" t="s">
        <v>8278</v>
      </c>
      <c r="AE2099" s="80" t="str">
        <f>HYPERLINK("https://twitter.com/falkcapital/status/1704640036766199949")</f>
        <v>https://twitter.com/falkcapital/status/1704640036766199949</v>
      </c>
      <c r="AF2099" s="79">
        <v>45189.981828703705</v>
      </c>
      <c r="AG2099" s="85">
        <v>45189</v>
      </c>
      <c r="AH2099" s="82" t="s">
        <v>10182</v>
      </c>
      <c r="AI2099" s="77" t="b">
        <v>0</v>
      </c>
      <c r="AJ2099" s="77"/>
      <c r="AK2099" s="77"/>
      <c r="AL2099" s="77"/>
      <c r="AM2099" s="77"/>
      <c r="AN2099" s="77"/>
      <c r="AO2099" s="77"/>
      <c r="AP2099" s="77"/>
      <c r="AQ2099" s="77"/>
      <c r="AR2099" s="77"/>
      <c r="AS2099" s="77"/>
      <c r="AT2099" s="77"/>
      <c r="AU2099" s="77"/>
      <c r="AV2099" s="80" t="str">
        <f>HYPERLINK("https://pbs.twimg.com/profile_images/1623099129726484485/efR1z8CS_normal.png")</f>
        <v>https://pbs.twimg.com/profile_images/1623099129726484485/efR1z8CS_normal.png</v>
      </c>
      <c r="AW2099" s="82" t="s">
        <v>15184</v>
      </c>
      <c r="AX2099" s="82" t="s">
        <v>15184</v>
      </c>
      <c r="AY2099" s="77"/>
      <c r="AZ2099" s="82" t="s">
        <v>17385</v>
      </c>
      <c r="BA2099" s="82" t="s">
        <v>17385</v>
      </c>
      <c r="BB2099" s="82" t="s">
        <v>17385</v>
      </c>
      <c r="BC2099" s="82" t="s">
        <v>15184</v>
      </c>
      <c r="BD2099" s="82" t="s">
        <v>17628</v>
      </c>
      <c r="BE2099" s="77"/>
      <c r="BF2099" s="77"/>
      <c r="BG2099" s="77"/>
      <c r="BH2099" s="77"/>
      <c r="BI2099" s="77"/>
    </row>
    <row r="2100" spans="1:61" x14ac:dyDescent="0.25">
      <c r="A2100" s="62" t="s">
        <v>580</v>
      </c>
      <c r="B2100" s="62" t="s">
        <v>580</v>
      </c>
      <c r="C2100" s="63"/>
      <c r="D2100" s="64"/>
      <c r="E2100" s="65"/>
      <c r="F2100" s="66"/>
      <c r="G2100" s="63"/>
      <c r="H2100" s="67"/>
      <c r="I2100" s="68"/>
      <c r="J2100" s="68"/>
      <c r="K2100" s="32"/>
      <c r="L2100" s="75">
        <v>2100</v>
      </c>
      <c r="M2100" s="75"/>
      <c r="N2100" s="70"/>
      <c r="O2100" s="77" t="s">
        <v>179</v>
      </c>
      <c r="P2100" s="79">
        <v>45187.698067129626</v>
      </c>
      <c r="Q2100" s="77" t="s">
        <v>2879</v>
      </c>
      <c r="R2100" s="77">
        <v>1</v>
      </c>
      <c r="S2100" s="77">
        <v>3</v>
      </c>
      <c r="T2100" s="77">
        <v>0</v>
      </c>
      <c r="U2100" s="77">
        <v>0</v>
      </c>
      <c r="V2100" s="77">
        <v>287</v>
      </c>
      <c r="W2100" s="82" t="s">
        <v>6196</v>
      </c>
      <c r="X2100" s="80" t="str">
        <f>HYPERLINK("https://www.falkcapital.com.br/mercado/acoes?utm_source=twitter&amp;utm_medium=falkcapital&amp;utm_campaign=mosttermtc")</f>
        <v>https://www.falkcapital.com.br/mercado/acoes?utm_source=twitter&amp;utm_medium=falkcapital&amp;utm_campaign=mosttermtc</v>
      </c>
      <c r="Y2100" s="77" t="s">
        <v>7053</v>
      </c>
      <c r="Z2100" s="77"/>
      <c r="AA2100" s="77"/>
      <c r="AB2100" s="77"/>
      <c r="AC2100" s="82" t="s">
        <v>580</v>
      </c>
      <c r="AD2100" s="77" t="s">
        <v>8278</v>
      </c>
      <c r="AE2100" s="80" t="str">
        <f>HYPERLINK("https://twitter.com/falkcapital/status/1703812428977393790")</f>
        <v>https://twitter.com/falkcapital/status/1703812428977393790</v>
      </c>
      <c r="AF2100" s="79">
        <v>45187.698067129626</v>
      </c>
      <c r="AG2100" s="85">
        <v>45187</v>
      </c>
      <c r="AH2100" s="82" t="s">
        <v>9006</v>
      </c>
      <c r="AI2100" s="77" t="b">
        <v>0</v>
      </c>
      <c r="AJ2100" s="77"/>
      <c r="AK2100" s="77"/>
      <c r="AL2100" s="77"/>
      <c r="AM2100" s="77"/>
      <c r="AN2100" s="77"/>
      <c r="AO2100" s="77"/>
      <c r="AP2100" s="77"/>
      <c r="AQ2100" s="77"/>
      <c r="AR2100" s="77"/>
      <c r="AS2100" s="77"/>
      <c r="AT2100" s="77"/>
      <c r="AU2100" s="77"/>
      <c r="AV2100" s="80" t="str">
        <f>HYPERLINK("https://pbs.twimg.com/profile_images/1623099129726484485/efR1z8CS_normal.png")</f>
        <v>https://pbs.twimg.com/profile_images/1623099129726484485/efR1z8CS_normal.png</v>
      </c>
      <c r="AW2100" s="82" t="s">
        <v>15185</v>
      </c>
      <c r="AX2100" s="82" t="s">
        <v>15185</v>
      </c>
      <c r="AY2100" s="77"/>
      <c r="AZ2100" s="82" t="s">
        <v>17385</v>
      </c>
      <c r="BA2100" s="82" t="s">
        <v>17385</v>
      </c>
      <c r="BB2100" s="82" t="s">
        <v>17385</v>
      </c>
      <c r="BC2100" s="82" t="s">
        <v>15185</v>
      </c>
      <c r="BD2100" s="82" t="s">
        <v>17628</v>
      </c>
      <c r="BE2100" s="77"/>
      <c r="BF2100" s="77"/>
      <c r="BG2100" s="77"/>
      <c r="BH2100" s="77"/>
      <c r="BI2100" s="77"/>
    </row>
    <row r="2101" spans="1:61" x14ac:dyDescent="0.25">
      <c r="A2101" s="62" t="s">
        <v>580</v>
      </c>
      <c r="B2101" s="62" t="s">
        <v>580</v>
      </c>
      <c r="C2101" s="63"/>
      <c r="D2101" s="64"/>
      <c r="E2101" s="65"/>
      <c r="F2101" s="66"/>
      <c r="G2101" s="63"/>
      <c r="H2101" s="67"/>
      <c r="I2101" s="68"/>
      <c r="J2101" s="68"/>
      <c r="K2101" s="32"/>
      <c r="L2101" s="75">
        <v>2101</v>
      </c>
      <c r="M2101" s="75"/>
      <c r="N2101" s="70"/>
      <c r="O2101" s="77" t="s">
        <v>179</v>
      </c>
      <c r="P2101" s="79">
        <v>45190.698055555556</v>
      </c>
      <c r="Q2101" s="77" t="s">
        <v>2880</v>
      </c>
      <c r="R2101" s="77">
        <v>1</v>
      </c>
      <c r="S2101" s="77">
        <v>2</v>
      </c>
      <c r="T2101" s="77">
        <v>0</v>
      </c>
      <c r="U2101" s="77">
        <v>0</v>
      </c>
      <c r="V2101" s="77">
        <v>253</v>
      </c>
      <c r="W2101" s="82" t="s">
        <v>6197</v>
      </c>
      <c r="X2101" s="80" t="str">
        <f>HYPERLINK("https://www.falkcapital.com.br/mercado/acoes?utm_source=twitter&amp;utm_medium=falkcapital&amp;utm_campaign=mostrentedtc")</f>
        <v>https://www.falkcapital.com.br/mercado/acoes?utm_source=twitter&amp;utm_medium=falkcapital&amp;utm_campaign=mostrentedtc</v>
      </c>
      <c r="Y2101" s="77" t="s">
        <v>7053</v>
      </c>
      <c r="Z2101" s="77"/>
      <c r="AA2101" s="77"/>
      <c r="AB2101" s="77"/>
      <c r="AC2101" s="82" t="s">
        <v>580</v>
      </c>
      <c r="AD2101" s="77" t="s">
        <v>8278</v>
      </c>
      <c r="AE2101" s="80" t="str">
        <f>HYPERLINK("https://twitter.com/falkcapital/status/1704899592012079123")</f>
        <v>https://twitter.com/falkcapital/status/1704899592012079123</v>
      </c>
      <c r="AF2101" s="79">
        <v>45190.698055555556</v>
      </c>
      <c r="AG2101" s="85">
        <v>45190</v>
      </c>
      <c r="AH2101" s="82" t="s">
        <v>10183</v>
      </c>
      <c r="AI2101" s="77" t="b">
        <v>0</v>
      </c>
      <c r="AJ2101" s="77"/>
      <c r="AK2101" s="77"/>
      <c r="AL2101" s="77"/>
      <c r="AM2101" s="77"/>
      <c r="AN2101" s="77"/>
      <c r="AO2101" s="77"/>
      <c r="AP2101" s="77"/>
      <c r="AQ2101" s="77"/>
      <c r="AR2101" s="77"/>
      <c r="AS2101" s="77"/>
      <c r="AT2101" s="77"/>
      <c r="AU2101" s="77"/>
      <c r="AV2101" s="80" t="str">
        <f>HYPERLINK("https://pbs.twimg.com/profile_images/1623099129726484485/efR1z8CS_normal.png")</f>
        <v>https://pbs.twimg.com/profile_images/1623099129726484485/efR1z8CS_normal.png</v>
      </c>
      <c r="AW2101" s="82" t="s">
        <v>15186</v>
      </c>
      <c r="AX2101" s="82" t="s">
        <v>15186</v>
      </c>
      <c r="AY2101" s="77"/>
      <c r="AZ2101" s="82" t="s">
        <v>17385</v>
      </c>
      <c r="BA2101" s="82" t="s">
        <v>17385</v>
      </c>
      <c r="BB2101" s="82" t="s">
        <v>17385</v>
      </c>
      <c r="BC2101" s="82" t="s">
        <v>15186</v>
      </c>
      <c r="BD2101" s="82" t="s">
        <v>17628</v>
      </c>
      <c r="BE2101" s="77"/>
      <c r="BF2101" s="77"/>
      <c r="BG2101" s="77"/>
      <c r="BH2101" s="77"/>
      <c r="BI2101" s="77"/>
    </row>
    <row r="2102" spans="1:61" x14ac:dyDescent="0.25">
      <c r="A2102" s="62" t="s">
        <v>580</v>
      </c>
      <c r="B2102" s="62" t="s">
        <v>580</v>
      </c>
      <c r="C2102" s="63"/>
      <c r="D2102" s="64"/>
      <c r="E2102" s="65"/>
      <c r="F2102" s="66"/>
      <c r="G2102" s="63"/>
      <c r="H2102" s="67"/>
      <c r="I2102" s="68"/>
      <c r="J2102" s="68"/>
      <c r="K2102" s="32"/>
      <c r="L2102" s="75">
        <v>2102</v>
      </c>
      <c r="M2102" s="75"/>
      <c r="N2102" s="70"/>
      <c r="O2102" s="77" t="s">
        <v>179</v>
      </c>
      <c r="P2102" s="79">
        <v>45190.698078703703</v>
      </c>
      <c r="Q2102" s="77" t="s">
        <v>2881</v>
      </c>
      <c r="R2102" s="77">
        <v>1</v>
      </c>
      <c r="S2102" s="77">
        <v>2</v>
      </c>
      <c r="T2102" s="77">
        <v>0</v>
      </c>
      <c r="U2102" s="77">
        <v>0</v>
      </c>
      <c r="V2102" s="77">
        <v>178</v>
      </c>
      <c r="W2102" s="82" t="s">
        <v>6198</v>
      </c>
      <c r="X2102" s="80" t="str">
        <f>HYPERLINK("https://www.falkcapital.com.br/mercado/acoes?utm_source=twitter&amp;utm_medium=falkcapital&amp;utm_campaign=mosttermtc")</f>
        <v>https://www.falkcapital.com.br/mercado/acoes?utm_source=twitter&amp;utm_medium=falkcapital&amp;utm_campaign=mosttermtc</v>
      </c>
      <c r="Y2102" s="77" t="s">
        <v>7053</v>
      </c>
      <c r="Z2102" s="77"/>
      <c r="AA2102" s="77"/>
      <c r="AB2102" s="77"/>
      <c r="AC2102" s="82" t="s">
        <v>580</v>
      </c>
      <c r="AD2102" s="77" t="s">
        <v>8278</v>
      </c>
      <c r="AE2102" s="80" t="str">
        <f>HYPERLINK("https://twitter.com/falkcapital/status/1704899598509084688")</f>
        <v>https://twitter.com/falkcapital/status/1704899598509084688</v>
      </c>
      <c r="AF2102" s="79">
        <v>45190.698078703703</v>
      </c>
      <c r="AG2102" s="85">
        <v>45190</v>
      </c>
      <c r="AH2102" s="82" t="s">
        <v>9009</v>
      </c>
      <c r="AI2102" s="77" t="b">
        <v>0</v>
      </c>
      <c r="AJ2102" s="77"/>
      <c r="AK2102" s="77"/>
      <c r="AL2102" s="77"/>
      <c r="AM2102" s="77"/>
      <c r="AN2102" s="77"/>
      <c r="AO2102" s="77"/>
      <c r="AP2102" s="77"/>
      <c r="AQ2102" s="77"/>
      <c r="AR2102" s="77"/>
      <c r="AS2102" s="77"/>
      <c r="AT2102" s="77"/>
      <c r="AU2102" s="77"/>
      <c r="AV2102" s="80" t="str">
        <f>HYPERLINK("https://pbs.twimg.com/profile_images/1623099129726484485/efR1z8CS_normal.png")</f>
        <v>https://pbs.twimg.com/profile_images/1623099129726484485/efR1z8CS_normal.png</v>
      </c>
      <c r="AW2102" s="82" t="s">
        <v>15187</v>
      </c>
      <c r="AX2102" s="82" t="s">
        <v>15187</v>
      </c>
      <c r="AY2102" s="77"/>
      <c r="AZ2102" s="82" t="s">
        <v>17385</v>
      </c>
      <c r="BA2102" s="82" t="s">
        <v>17385</v>
      </c>
      <c r="BB2102" s="82" t="s">
        <v>17385</v>
      </c>
      <c r="BC2102" s="82" t="s">
        <v>15187</v>
      </c>
      <c r="BD2102" s="82" t="s">
        <v>17628</v>
      </c>
      <c r="BE2102" s="77"/>
      <c r="BF2102" s="77"/>
      <c r="BG2102" s="77"/>
      <c r="BH2102" s="77"/>
      <c r="BI2102" s="77"/>
    </row>
    <row r="2103" spans="1:61" x14ac:dyDescent="0.25">
      <c r="A2103" s="62" t="s">
        <v>580</v>
      </c>
      <c r="B2103" s="62" t="s">
        <v>580</v>
      </c>
      <c r="C2103" s="63"/>
      <c r="D2103" s="64"/>
      <c r="E2103" s="65"/>
      <c r="F2103" s="66"/>
      <c r="G2103" s="63"/>
      <c r="H2103" s="67"/>
      <c r="I2103" s="68"/>
      <c r="J2103" s="68"/>
      <c r="K2103" s="32"/>
      <c r="L2103" s="75">
        <v>2103</v>
      </c>
      <c r="M2103" s="75"/>
      <c r="N2103" s="70"/>
      <c r="O2103" s="77" t="s">
        <v>179</v>
      </c>
      <c r="P2103" s="79">
        <v>45189.698055555556</v>
      </c>
      <c r="Q2103" s="77" t="s">
        <v>2882</v>
      </c>
      <c r="R2103" s="77">
        <v>1</v>
      </c>
      <c r="S2103" s="77">
        <v>3</v>
      </c>
      <c r="T2103" s="77">
        <v>0</v>
      </c>
      <c r="U2103" s="77">
        <v>0</v>
      </c>
      <c r="V2103" s="77">
        <v>297</v>
      </c>
      <c r="W2103" s="82" t="s">
        <v>6199</v>
      </c>
      <c r="X2103" s="80" t="str">
        <f>HYPERLINK("https://www.falkcapital.com.br/mercado/acoes?utm_source=twitter&amp;utm_medium=falkcapital&amp;utm_campaign=mostrentedtc")</f>
        <v>https://www.falkcapital.com.br/mercado/acoes?utm_source=twitter&amp;utm_medium=falkcapital&amp;utm_campaign=mostrentedtc</v>
      </c>
      <c r="Y2103" s="77" t="s">
        <v>7053</v>
      </c>
      <c r="Z2103" s="77"/>
      <c r="AA2103" s="77"/>
      <c r="AB2103" s="77"/>
      <c r="AC2103" s="82" t="s">
        <v>580</v>
      </c>
      <c r="AD2103" s="77" t="s">
        <v>8278</v>
      </c>
      <c r="AE2103" s="80" t="str">
        <f>HYPERLINK("https://twitter.com/falkcapital/status/1704537201998954981")</f>
        <v>https://twitter.com/falkcapital/status/1704537201998954981</v>
      </c>
      <c r="AF2103" s="79">
        <v>45189.698055555556</v>
      </c>
      <c r="AG2103" s="85">
        <v>45189</v>
      </c>
      <c r="AH2103" s="82" t="s">
        <v>10183</v>
      </c>
      <c r="AI2103" s="77" t="b">
        <v>0</v>
      </c>
      <c r="AJ2103" s="77"/>
      <c r="AK2103" s="77"/>
      <c r="AL2103" s="77"/>
      <c r="AM2103" s="77"/>
      <c r="AN2103" s="77"/>
      <c r="AO2103" s="77"/>
      <c r="AP2103" s="77"/>
      <c r="AQ2103" s="77"/>
      <c r="AR2103" s="77"/>
      <c r="AS2103" s="77"/>
      <c r="AT2103" s="77"/>
      <c r="AU2103" s="77"/>
      <c r="AV2103" s="80" t="str">
        <f>HYPERLINK("https://pbs.twimg.com/profile_images/1623099129726484485/efR1z8CS_normal.png")</f>
        <v>https://pbs.twimg.com/profile_images/1623099129726484485/efR1z8CS_normal.png</v>
      </c>
      <c r="AW2103" s="82" t="s">
        <v>15188</v>
      </c>
      <c r="AX2103" s="82" t="s">
        <v>15188</v>
      </c>
      <c r="AY2103" s="77"/>
      <c r="AZ2103" s="82" t="s">
        <v>17385</v>
      </c>
      <c r="BA2103" s="82" t="s">
        <v>17385</v>
      </c>
      <c r="BB2103" s="82" t="s">
        <v>17385</v>
      </c>
      <c r="BC2103" s="82" t="s">
        <v>15188</v>
      </c>
      <c r="BD2103" s="82" t="s">
        <v>17628</v>
      </c>
      <c r="BE2103" s="77"/>
      <c r="BF2103" s="77"/>
      <c r="BG2103" s="77"/>
      <c r="BH2103" s="77"/>
      <c r="BI2103" s="77"/>
    </row>
    <row r="2104" spans="1:61" x14ac:dyDescent="0.25">
      <c r="A2104" s="62" t="s">
        <v>580</v>
      </c>
      <c r="B2104" s="62" t="s">
        <v>580</v>
      </c>
      <c r="C2104" s="63"/>
      <c r="D2104" s="64"/>
      <c r="E2104" s="65"/>
      <c r="F2104" s="66"/>
      <c r="G2104" s="63"/>
      <c r="H2104" s="67"/>
      <c r="I2104" s="68"/>
      <c r="J2104" s="68"/>
      <c r="K2104" s="32"/>
      <c r="L2104" s="75">
        <v>2104</v>
      </c>
      <c r="M2104" s="75"/>
      <c r="N2104" s="70"/>
      <c r="O2104" s="77" t="s">
        <v>179</v>
      </c>
      <c r="P2104" s="79">
        <v>45188.69804398148</v>
      </c>
      <c r="Q2104" s="77" t="s">
        <v>2883</v>
      </c>
      <c r="R2104" s="77">
        <v>1</v>
      </c>
      <c r="S2104" s="77">
        <v>2</v>
      </c>
      <c r="T2104" s="77">
        <v>0</v>
      </c>
      <c r="U2104" s="77">
        <v>0</v>
      </c>
      <c r="V2104" s="77">
        <v>299</v>
      </c>
      <c r="W2104" s="82" t="s">
        <v>6200</v>
      </c>
      <c r="X2104" s="80" t="str">
        <f>HYPERLINK("https://www.falkcapital.com.br/mercado/acoes?utm_source=twitter&amp;utm_medium=falkcapital&amp;utm_campaign=mostrentedtc")</f>
        <v>https://www.falkcapital.com.br/mercado/acoes?utm_source=twitter&amp;utm_medium=falkcapital&amp;utm_campaign=mostrentedtc</v>
      </c>
      <c r="Y2104" s="77" t="s">
        <v>7053</v>
      </c>
      <c r="Z2104" s="77"/>
      <c r="AA2104" s="77"/>
      <c r="AB2104" s="77"/>
      <c r="AC2104" s="82" t="s">
        <v>580</v>
      </c>
      <c r="AD2104" s="77" t="s">
        <v>8278</v>
      </c>
      <c r="AE2104" s="80" t="str">
        <f>HYPERLINK("https://twitter.com/falkcapital/status/1704174811428094393")</f>
        <v>https://twitter.com/falkcapital/status/1704174811428094393</v>
      </c>
      <c r="AF2104" s="79">
        <v>45188.69804398148</v>
      </c>
      <c r="AG2104" s="85">
        <v>45188</v>
      </c>
      <c r="AH2104" s="82" t="s">
        <v>9012</v>
      </c>
      <c r="AI2104" s="77" t="b">
        <v>0</v>
      </c>
      <c r="AJ2104" s="77"/>
      <c r="AK2104" s="77"/>
      <c r="AL2104" s="77"/>
      <c r="AM2104" s="77"/>
      <c r="AN2104" s="77"/>
      <c r="AO2104" s="77"/>
      <c r="AP2104" s="77"/>
      <c r="AQ2104" s="77"/>
      <c r="AR2104" s="77"/>
      <c r="AS2104" s="77"/>
      <c r="AT2104" s="77"/>
      <c r="AU2104" s="77"/>
      <c r="AV2104" s="80" t="str">
        <f>HYPERLINK("https://pbs.twimg.com/profile_images/1623099129726484485/efR1z8CS_normal.png")</f>
        <v>https://pbs.twimg.com/profile_images/1623099129726484485/efR1z8CS_normal.png</v>
      </c>
      <c r="AW2104" s="82" t="s">
        <v>15189</v>
      </c>
      <c r="AX2104" s="82" t="s">
        <v>15189</v>
      </c>
      <c r="AY2104" s="77"/>
      <c r="AZ2104" s="82" t="s">
        <v>17385</v>
      </c>
      <c r="BA2104" s="82" t="s">
        <v>17385</v>
      </c>
      <c r="BB2104" s="82" t="s">
        <v>17385</v>
      </c>
      <c r="BC2104" s="82" t="s">
        <v>15189</v>
      </c>
      <c r="BD2104" s="82" t="s">
        <v>17628</v>
      </c>
      <c r="BE2104" s="77"/>
      <c r="BF2104" s="77"/>
      <c r="BG2104" s="77"/>
      <c r="BH2104" s="77"/>
      <c r="BI2104" s="77"/>
    </row>
    <row r="2105" spans="1:61" x14ac:dyDescent="0.25">
      <c r="A2105" s="62" t="s">
        <v>580</v>
      </c>
      <c r="B2105" s="62" t="s">
        <v>580</v>
      </c>
      <c r="C2105" s="63"/>
      <c r="D2105" s="64"/>
      <c r="E2105" s="65"/>
      <c r="F2105" s="66"/>
      <c r="G2105" s="63"/>
      <c r="H2105" s="67"/>
      <c r="I2105" s="68"/>
      <c r="J2105" s="68"/>
      <c r="K2105" s="32"/>
      <c r="L2105" s="75">
        <v>2105</v>
      </c>
      <c r="M2105" s="75"/>
      <c r="N2105" s="70"/>
      <c r="O2105" s="77" t="s">
        <v>179</v>
      </c>
      <c r="P2105" s="79">
        <v>45196.698020833333</v>
      </c>
      <c r="Q2105" s="77" t="s">
        <v>2884</v>
      </c>
      <c r="R2105" s="77">
        <v>1</v>
      </c>
      <c r="S2105" s="77">
        <v>3</v>
      </c>
      <c r="T2105" s="77">
        <v>0</v>
      </c>
      <c r="U2105" s="77">
        <v>0</v>
      </c>
      <c r="V2105" s="77">
        <v>162</v>
      </c>
      <c r="W2105" s="82" t="s">
        <v>6198</v>
      </c>
      <c r="X2105" s="80" t="str">
        <f>HYPERLINK("https://www.falkcapital.com.br/mercado/acoes?utm_source=twitter&amp;utm_medium=falkcapital&amp;utm_campaign=mosttermtc")</f>
        <v>https://www.falkcapital.com.br/mercado/acoes?utm_source=twitter&amp;utm_medium=falkcapital&amp;utm_campaign=mosttermtc</v>
      </c>
      <c r="Y2105" s="77" t="s">
        <v>7053</v>
      </c>
      <c r="Z2105" s="77"/>
      <c r="AA2105" s="77"/>
      <c r="AB2105" s="77"/>
      <c r="AC2105" s="82" t="s">
        <v>580</v>
      </c>
      <c r="AD2105" s="77" t="s">
        <v>8278</v>
      </c>
      <c r="AE2105" s="80" t="str">
        <f>HYPERLINK("https://twitter.com/falkcapital/status/1707073905758732715")</f>
        <v>https://twitter.com/falkcapital/status/1707073905758732715</v>
      </c>
      <c r="AF2105" s="79">
        <v>45196.698020833333</v>
      </c>
      <c r="AG2105" s="85">
        <v>45196</v>
      </c>
      <c r="AH2105" s="82" t="s">
        <v>9010</v>
      </c>
      <c r="AI2105" s="77" t="b">
        <v>0</v>
      </c>
      <c r="AJ2105" s="77"/>
      <c r="AK2105" s="77"/>
      <c r="AL2105" s="77"/>
      <c r="AM2105" s="77"/>
      <c r="AN2105" s="77"/>
      <c r="AO2105" s="77"/>
      <c r="AP2105" s="77"/>
      <c r="AQ2105" s="77"/>
      <c r="AR2105" s="77"/>
      <c r="AS2105" s="77"/>
      <c r="AT2105" s="77"/>
      <c r="AU2105" s="77"/>
      <c r="AV2105" s="80" t="str">
        <f>HYPERLINK("https://pbs.twimg.com/profile_images/1623099129726484485/efR1z8CS_normal.png")</f>
        <v>https://pbs.twimg.com/profile_images/1623099129726484485/efR1z8CS_normal.png</v>
      </c>
      <c r="AW2105" s="82" t="s">
        <v>15190</v>
      </c>
      <c r="AX2105" s="82" t="s">
        <v>15190</v>
      </c>
      <c r="AY2105" s="77"/>
      <c r="AZ2105" s="82" t="s">
        <v>17385</v>
      </c>
      <c r="BA2105" s="82" t="s">
        <v>17385</v>
      </c>
      <c r="BB2105" s="82" t="s">
        <v>17385</v>
      </c>
      <c r="BC2105" s="82" t="s">
        <v>15190</v>
      </c>
      <c r="BD2105" s="82" t="s">
        <v>17628</v>
      </c>
      <c r="BE2105" s="77"/>
      <c r="BF2105" s="77"/>
      <c r="BG2105" s="77"/>
      <c r="BH2105" s="77"/>
      <c r="BI2105" s="77"/>
    </row>
    <row r="2106" spans="1:61" x14ac:dyDescent="0.25">
      <c r="A2106" s="62" t="s">
        <v>580</v>
      </c>
      <c r="B2106" s="62" t="s">
        <v>580</v>
      </c>
      <c r="C2106" s="63"/>
      <c r="D2106" s="64"/>
      <c r="E2106" s="65"/>
      <c r="F2106" s="66"/>
      <c r="G2106" s="63"/>
      <c r="H2106" s="67"/>
      <c r="I2106" s="68"/>
      <c r="J2106" s="68"/>
      <c r="K2106" s="32"/>
      <c r="L2106" s="75">
        <v>2106</v>
      </c>
      <c r="M2106" s="75"/>
      <c r="N2106" s="70"/>
      <c r="O2106" s="77" t="s">
        <v>179</v>
      </c>
      <c r="P2106" s="79">
        <v>45190.979537037034</v>
      </c>
      <c r="Q2106" s="77" t="s">
        <v>2885</v>
      </c>
      <c r="R2106" s="77">
        <v>1</v>
      </c>
      <c r="S2106" s="77">
        <v>2</v>
      </c>
      <c r="T2106" s="77">
        <v>0</v>
      </c>
      <c r="U2106" s="77">
        <v>0</v>
      </c>
      <c r="V2106" s="77">
        <v>228</v>
      </c>
      <c r="W2106" s="82" t="s">
        <v>6201</v>
      </c>
      <c r="X2106" s="80" t="str">
        <f>HYPERLINK("https://www.falkcapital.com.br/mercado/acoes?utm_source=twitter&amp;utm_medium=falkcapital&amp;utm_campaign=fechamentodemercado")</f>
        <v>https://www.falkcapital.com.br/mercado/acoes?utm_source=twitter&amp;utm_medium=falkcapital&amp;utm_campaign=fechamentodemercado</v>
      </c>
      <c r="Y2106" s="77" t="s">
        <v>7053</v>
      </c>
      <c r="Z2106" s="77"/>
      <c r="AA2106" s="77"/>
      <c r="AB2106" s="77"/>
      <c r="AC2106" s="82" t="s">
        <v>580</v>
      </c>
      <c r="AD2106" s="77" t="s">
        <v>8278</v>
      </c>
      <c r="AE2106" s="80" t="str">
        <f>HYPERLINK("https://twitter.com/falkcapital/status/1705001596726255908")</f>
        <v>https://twitter.com/falkcapital/status/1705001596726255908</v>
      </c>
      <c r="AF2106" s="79">
        <v>45190.979537037034</v>
      </c>
      <c r="AG2106" s="85">
        <v>45190</v>
      </c>
      <c r="AH2106" s="82" t="s">
        <v>10184</v>
      </c>
      <c r="AI2106" s="77" t="b">
        <v>0</v>
      </c>
      <c r="AJ2106" s="77"/>
      <c r="AK2106" s="77"/>
      <c r="AL2106" s="77"/>
      <c r="AM2106" s="77"/>
      <c r="AN2106" s="77"/>
      <c r="AO2106" s="77"/>
      <c r="AP2106" s="77"/>
      <c r="AQ2106" s="77"/>
      <c r="AR2106" s="77"/>
      <c r="AS2106" s="77"/>
      <c r="AT2106" s="77"/>
      <c r="AU2106" s="77"/>
      <c r="AV2106" s="80" t="str">
        <f>HYPERLINK("https://pbs.twimg.com/profile_images/1623099129726484485/efR1z8CS_normal.png")</f>
        <v>https://pbs.twimg.com/profile_images/1623099129726484485/efR1z8CS_normal.png</v>
      </c>
      <c r="AW2106" s="82" t="s">
        <v>15191</v>
      </c>
      <c r="AX2106" s="82" t="s">
        <v>15191</v>
      </c>
      <c r="AY2106" s="77"/>
      <c r="AZ2106" s="82" t="s">
        <v>17385</v>
      </c>
      <c r="BA2106" s="82" t="s">
        <v>17385</v>
      </c>
      <c r="BB2106" s="82" t="s">
        <v>17385</v>
      </c>
      <c r="BC2106" s="82" t="s">
        <v>15191</v>
      </c>
      <c r="BD2106" s="82" t="s">
        <v>17628</v>
      </c>
      <c r="BE2106" s="77"/>
      <c r="BF2106" s="77"/>
      <c r="BG2106" s="77"/>
      <c r="BH2106" s="77"/>
      <c r="BI2106" s="77"/>
    </row>
    <row r="2107" spans="1:61" x14ac:dyDescent="0.25">
      <c r="A2107" s="62" t="s">
        <v>580</v>
      </c>
      <c r="B2107" s="62" t="s">
        <v>580</v>
      </c>
      <c r="C2107" s="63"/>
      <c r="D2107" s="64"/>
      <c r="E2107" s="65"/>
      <c r="F2107" s="66"/>
      <c r="G2107" s="63"/>
      <c r="H2107" s="67"/>
      <c r="I2107" s="68"/>
      <c r="J2107" s="68"/>
      <c r="K2107" s="32"/>
      <c r="L2107" s="75">
        <v>2107</v>
      </c>
      <c r="M2107" s="75"/>
      <c r="N2107" s="70"/>
      <c r="O2107" s="77" t="s">
        <v>179</v>
      </c>
      <c r="P2107" s="79">
        <v>45188.980833333335</v>
      </c>
      <c r="Q2107" s="77" t="s">
        <v>2886</v>
      </c>
      <c r="R2107" s="77">
        <v>1</v>
      </c>
      <c r="S2107" s="77">
        <v>3</v>
      </c>
      <c r="T2107" s="77">
        <v>0</v>
      </c>
      <c r="U2107" s="77">
        <v>0</v>
      </c>
      <c r="V2107" s="77">
        <v>491</v>
      </c>
      <c r="W2107" s="82" t="s">
        <v>6202</v>
      </c>
      <c r="X2107" s="80" t="str">
        <f>HYPERLINK("https://www.falkcapital.com.br/mercado/acoes?utm_source=twitter&amp;utm_medium=falkcapital&amp;utm_campaign=fechamentodemercado")</f>
        <v>https://www.falkcapital.com.br/mercado/acoes?utm_source=twitter&amp;utm_medium=falkcapital&amp;utm_campaign=fechamentodemercado</v>
      </c>
      <c r="Y2107" s="77" t="s">
        <v>7053</v>
      </c>
      <c r="Z2107" s="77"/>
      <c r="AA2107" s="77"/>
      <c r="AB2107" s="77"/>
      <c r="AC2107" s="82" t="s">
        <v>580</v>
      </c>
      <c r="AD2107" s="77" t="s">
        <v>8278</v>
      </c>
      <c r="AE2107" s="80" t="str">
        <f>HYPERLINK("https://twitter.com/falkcapital/status/1704277291067437567")</f>
        <v>https://twitter.com/falkcapital/status/1704277291067437567</v>
      </c>
      <c r="AF2107" s="79">
        <v>45188.980833333335</v>
      </c>
      <c r="AG2107" s="85">
        <v>45188</v>
      </c>
      <c r="AH2107" s="82" t="s">
        <v>8992</v>
      </c>
      <c r="AI2107" s="77" t="b">
        <v>0</v>
      </c>
      <c r="AJ2107" s="77"/>
      <c r="AK2107" s="77"/>
      <c r="AL2107" s="77"/>
      <c r="AM2107" s="77"/>
      <c r="AN2107" s="77"/>
      <c r="AO2107" s="77"/>
      <c r="AP2107" s="77"/>
      <c r="AQ2107" s="77"/>
      <c r="AR2107" s="77"/>
      <c r="AS2107" s="77"/>
      <c r="AT2107" s="77"/>
      <c r="AU2107" s="77"/>
      <c r="AV2107" s="80" t="str">
        <f>HYPERLINK("https://pbs.twimg.com/profile_images/1623099129726484485/efR1z8CS_normal.png")</f>
        <v>https://pbs.twimg.com/profile_images/1623099129726484485/efR1z8CS_normal.png</v>
      </c>
      <c r="AW2107" s="82" t="s">
        <v>15192</v>
      </c>
      <c r="AX2107" s="82" t="s">
        <v>15192</v>
      </c>
      <c r="AY2107" s="77"/>
      <c r="AZ2107" s="82" t="s">
        <v>17385</v>
      </c>
      <c r="BA2107" s="82" t="s">
        <v>17385</v>
      </c>
      <c r="BB2107" s="82" t="s">
        <v>17385</v>
      </c>
      <c r="BC2107" s="82" t="s">
        <v>15192</v>
      </c>
      <c r="BD2107" s="82" t="s">
        <v>17628</v>
      </c>
      <c r="BE2107" s="77"/>
      <c r="BF2107" s="77"/>
      <c r="BG2107" s="77"/>
      <c r="BH2107" s="77"/>
      <c r="BI2107" s="77"/>
    </row>
    <row r="2108" spans="1:61" x14ac:dyDescent="0.25">
      <c r="A2108" s="62" t="s">
        <v>580</v>
      </c>
      <c r="B2108" s="62" t="s">
        <v>580</v>
      </c>
      <c r="C2108" s="63"/>
      <c r="D2108" s="64"/>
      <c r="E2108" s="65"/>
      <c r="F2108" s="66"/>
      <c r="G2108" s="63"/>
      <c r="H2108" s="67"/>
      <c r="I2108" s="68"/>
      <c r="J2108" s="68"/>
      <c r="K2108" s="32"/>
      <c r="L2108" s="75">
        <v>2108</v>
      </c>
      <c r="M2108" s="75"/>
      <c r="N2108" s="70"/>
      <c r="O2108" s="77" t="s">
        <v>179</v>
      </c>
      <c r="P2108" s="79">
        <v>45184.98028935185</v>
      </c>
      <c r="Q2108" s="77" t="s">
        <v>2887</v>
      </c>
      <c r="R2108" s="77">
        <v>1</v>
      </c>
      <c r="S2108" s="77">
        <v>2</v>
      </c>
      <c r="T2108" s="77">
        <v>0</v>
      </c>
      <c r="U2108" s="77">
        <v>0</v>
      </c>
      <c r="V2108" s="77">
        <v>337</v>
      </c>
      <c r="W2108" s="82" t="s">
        <v>6203</v>
      </c>
      <c r="X2108" s="80" t="str">
        <f>HYPERLINK("https://www.falkcapital.com.br/mercado/acoes?utm_source=twitter&amp;utm_medium=falkcapital&amp;utm_campaign=fechamentodemercado")</f>
        <v>https://www.falkcapital.com.br/mercado/acoes?utm_source=twitter&amp;utm_medium=falkcapital&amp;utm_campaign=fechamentodemercado</v>
      </c>
      <c r="Y2108" s="77" t="s">
        <v>7053</v>
      </c>
      <c r="Z2108" s="77"/>
      <c r="AA2108" s="77"/>
      <c r="AB2108" s="77"/>
      <c r="AC2108" s="82" t="s">
        <v>580</v>
      </c>
      <c r="AD2108" s="77" t="s">
        <v>8278</v>
      </c>
      <c r="AE2108" s="80" t="str">
        <f>HYPERLINK("https://twitter.com/falkcapital/status/1702827540019081624")</f>
        <v>https://twitter.com/falkcapital/status/1702827540019081624</v>
      </c>
      <c r="AF2108" s="79">
        <v>45184.98028935185</v>
      </c>
      <c r="AG2108" s="85">
        <v>45184</v>
      </c>
      <c r="AH2108" s="82" t="s">
        <v>10185</v>
      </c>
      <c r="AI2108" s="77" t="b">
        <v>0</v>
      </c>
      <c r="AJ2108" s="77"/>
      <c r="AK2108" s="77"/>
      <c r="AL2108" s="77"/>
      <c r="AM2108" s="77"/>
      <c r="AN2108" s="77"/>
      <c r="AO2108" s="77"/>
      <c r="AP2108" s="77"/>
      <c r="AQ2108" s="77"/>
      <c r="AR2108" s="77"/>
      <c r="AS2108" s="77"/>
      <c r="AT2108" s="77"/>
      <c r="AU2108" s="77"/>
      <c r="AV2108" s="80" t="str">
        <f>HYPERLINK("https://pbs.twimg.com/profile_images/1623099129726484485/efR1z8CS_normal.png")</f>
        <v>https://pbs.twimg.com/profile_images/1623099129726484485/efR1z8CS_normal.png</v>
      </c>
      <c r="AW2108" s="82" t="s">
        <v>15193</v>
      </c>
      <c r="AX2108" s="82" t="s">
        <v>15193</v>
      </c>
      <c r="AY2108" s="77"/>
      <c r="AZ2108" s="82" t="s">
        <v>17385</v>
      </c>
      <c r="BA2108" s="82" t="s">
        <v>17385</v>
      </c>
      <c r="BB2108" s="82" t="s">
        <v>17385</v>
      </c>
      <c r="BC2108" s="82" t="s">
        <v>15193</v>
      </c>
      <c r="BD2108" s="82" t="s">
        <v>17628</v>
      </c>
      <c r="BE2108" s="77"/>
      <c r="BF2108" s="77"/>
      <c r="BG2108" s="77"/>
      <c r="BH2108" s="77"/>
      <c r="BI2108" s="77"/>
    </row>
    <row r="2109" spans="1:61" x14ac:dyDescent="0.25">
      <c r="A2109" s="62" t="s">
        <v>580</v>
      </c>
      <c r="B2109" s="62" t="s">
        <v>580</v>
      </c>
      <c r="C2109" s="63"/>
      <c r="D2109" s="64"/>
      <c r="E2109" s="65"/>
      <c r="F2109" s="66"/>
      <c r="G2109" s="63"/>
      <c r="H2109" s="67"/>
      <c r="I2109" s="68"/>
      <c r="J2109" s="68"/>
      <c r="K2109" s="32"/>
      <c r="L2109" s="75">
        <v>2109</v>
      </c>
      <c r="M2109" s="75"/>
      <c r="N2109" s="70"/>
      <c r="O2109" s="77" t="s">
        <v>179</v>
      </c>
      <c r="P2109" s="79">
        <v>45184.699004629627</v>
      </c>
      <c r="Q2109" s="77" t="s">
        <v>2888</v>
      </c>
      <c r="R2109" s="77">
        <v>1</v>
      </c>
      <c r="S2109" s="77">
        <v>2</v>
      </c>
      <c r="T2109" s="77">
        <v>0</v>
      </c>
      <c r="U2109" s="77">
        <v>0</v>
      </c>
      <c r="V2109" s="77">
        <v>189</v>
      </c>
      <c r="W2109" s="82" t="s">
        <v>6204</v>
      </c>
      <c r="X2109" s="80" t="str">
        <f>HYPERLINK("https://www.falkcapital.com.br/mercado/acoes?utm_source=twitter&amp;utm_medium=falkcapital&amp;utm_campaign=mosttermtc")</f>
        <v>https://www.falkcapital.com.br/mercado/acoes?utm_source=twitter&amp;utm_medium=falkcapital&amp;utm_campaign=mosttermtc</v>
      </c>
      <c r="Y2109" s="77" t="s">
        <v>7053</v>
      </c>
      <c r="Z2109" s="77"/>
      <c r="AA2109" s="77"/>
      <c r="AB2109" s="77"/>
      <c r="AC2109" s="82" t="s">
        <v>580</v>
      </c>
      <c r="AD2109" s="77" t="s">
        <v>8278</v>
      </c>
      <c r="AE2109" s="80" t="str">
        <f>HYPERLINK("https://twitter.com/falkcapital/status/1702725606973014463")</f>
        <v>https://twitter.com/falkcapital/status/1702725606973014463</v>
      </c>
      <c r="AF2109" s="79">
        <v>45184.699004629627</v>
      </c>
      <c r="AG2109" s="85">
        <v>45184</v>
      </c>
      <c r="AH2109" s="82" t="s">
        <v>10186</v>
      </c>
      <c r="AI2109" s="77" t="b">
        <v>0</v>
      </c>
      <c r="AJ2109" s="77"/>
      <c r="AK2109" s="77"/>
      <c r="AL2109" s="77"/>
      <c r="AM2109" s="77"/>
      <c r="AN2109" s="77"/>
      <c r="AO2109" s="77"/>
      <c r="AP2109" s="77"/>
      <c r="AQ2109" s="77"/>
      <c r="AR2109" s="77"/>
      <c r="AS2109" s="77"/>
      <c r="AT2109" s="77"/>
      <c r="AU2109" s="77"/>
      <c r="AV2109" s="80" t="str">
        <f>HYPERLINK("https://pbs.twimg.com/profile_images/1623099129726484485/efR1z8CS_normal.png")</f>
        <v>https://pbs.twimg.com/profile_images/1623099129726484485/efR1z8CS_normal.png</v>
      </c>
      <c r="AW2109" s="82" t="s">
        <v>15194</v>
      </c>
      <c r="AX2109" s="82" t="s">
        <v>15194</v>
      </c>
      <c r="AY2109" s="77"/>
      <c r="AZ2109" s="82" t="s">
        <v>17385</v>
      </c>
      <c r="BA2109" s="82" t="s">
        <v>17385</v>
      </c>
      <c r="BB2109" s="82" t="s">
        <v>17385</v>
      </c>
      <c r="BC2109" s="82" t="s">
        <v>15194</v>
      </c>
      <c r="BD2109" s="82" t="s">
        <v>17628</v>
      </c>
      <c r="BE2109" s="77"/>
      <c r="BF2109" s="77"/>
      <c r="BG2109" s="77"/>
      <c r="BH2109" s="77"/>
      <c r="BI2109" s="77"/>
    </row>
    <row r="2110" spans="1:61" x14ac:dyDescent="0.25">
      <c r="A2110" s="62" t="s">
        <v>580</v>
      </c>
      <c r="B2110" s="62" t="s">
        <v>580</v>
      </c>
      <c r="C2110" s="63"/>
      <c r="D2110" s="64"/>
      <c r="E2110" s="65"/>
      <c r="F2110" s="66"/>
      <c r="G2110" s="63"/>
      <c r="H2110" s="67"/>
      <c r="I2110" s="68"/>
      <c r="J2110" s="68"/>
      <c r="K2110" s="32"/>
      <c r="L2110" s="75">
        <v>2110</v>
      </c>
      <c r="M2110" s="75"/>
      <c r="N2110" s="70"/>
      <c r="O2110" s="77" t="s">
        <v>179</v>
      </c>
      <c r="P2110" s="79">
        <v>45184.698078703703</v>
      </c>
      <c r="Q2110" s="77" t="s">
        <v>2889</v>
      </c>
      <c r="R2110" s="77">
        <v>1</v>
      </c>
      <c r="S2110" s="77">
        <v>2</v>
      </c>
      <c r="T2110" s="77">
        <v>0</v>
      </c>
      <c r="U2110" s="77">
        <v>0</v>
      </c>
      <c r="V2110" s="77">
        <v>500</v>
      </c>
      <c r="W2110" s="82" t="s">
        <v>6205</v>
      </c>
      <c r="X2110" s="80" t="str">
        <f>HYPERLINK("https://www.falkcapital.com.br/mercado/acoes?utm_source=twitter&amp;utm_medium=falkcapital&amp;utm_campaign=mostrentedtc")</f>
        <v>https://www.falkcapital.com.br/mercado/acoes?utm_source=twitter&amp;utm_medium=falkcapital&amp;utm_campaign=mostrentedtc</v>
      </c>
      <c r="Y2110" s="77" t="s">
        <v>7053</v>
      </c>
      <c r="Z2110" s="77"/>
      <c r="AA2110" s="77"/>
      <c r="AB2110" s="77"/>
      <c r="AC2110" s="82" t="s">
        <v>580</v>
      </c>
      <c r="AD2110" s="77" t="s">
        <v>8278</v>
      </c>
      <c r="AE2110" s="80" t="str">
        <f>HYPERLINK("https://twitter.com/falkcapital/status/1702725269604254056")</f>
        <v>https://twitter.com/falkcapital/status/1702725269604254056</v>
      </c>
      <c r="AF2110" s="79">
        <v>45184.698078703703</v>
      </c>
      <c r="AG2110" s="85">
        <v>45184</v>
      </c>
      <c r="AH2110" s="82" t="s">
        <v>9009</v>
      </c>
      <c r="AI2110" s="77" t="b">
        <v>0</v>
      </c>
      <c r="AJ2110" s="77"/>
      <c r="AK2110" s="77"/>
      <c r="AL2110" s="77"/>
      <c r="AM2110" s="77"/>
      <c r="AN2110" s="77"/>
      <c r="AO2110" s="77"/>
      <c r="AP2110" s="77"/>
      <c r="AQ2110" s="77"/>
      <c r="AR2110" s="77"/>
      <c r="AS2110" s="77"/>
      <c r="AT2110" s="77"/>
      <c r="AU2110" s="77"/>
      <c r="AV2110" s="80" t="str">
        <f>HYPERLINK("https://pbs.twimg.com/profile_images/1623099129726484485/efR1z8CS_normal.png")</f>
        <v>https://pbs.twimg.com/profile_images/1623099129726484485/efR1z8CS_normal.png</v>
      </c>
      <c r="AW2110" s="82" t="s">
        <v>15195</v>
      </c>
      <c r="AX2110" s="82" t="s">
        <v>15195</v>
      </c>
      <c r="AY2110" s="77"/>
      <c r="AZ2110" s="82" t="s">
        <v>17385</v>
      </c>
      <c r="BA2110" s="82" t="s">
        <v>17385</v>
      </c>
      <c r="BB2110" s="82" t="s">
        <v>17385</v>
      </c>
      <c r="BC2110" s="82" t="s">
        <v>15195</v>
      </c>
      <c r="BD2110" s="82" t="s">
        <v>17628</v>
      </c>
      <c r="BE2110" s="77"/>
      <c r="BF2110" s="77"/>
      <c r="BG2110" s="77"/>
      <c r="BH2110" s="77"/>
      <c r="BI2110" s="77"/>
    </row>
    <row r="2111" spans="1:61" x14ac:dyDescent="0.25">
      <c r="A2111" s="62" t="s">
        <v>580</v>
      </c>
      <c r="B2111" s="62" t="s">
        <v>580</v>
      </c>
      <c r="C2111" s="63"/>
      <c r="D2111" s="64"/>
      <c r="E2111" s="65"/>
      <c r="F2111" s="66"/>
      <c r="G2111" s="63"/>
      <c r="H2111" s="67"/>
      <c r="I2111" s="68"/>
      <c r="J2111" s="68"/>
      <c r="K2111" s="32"/>
      <c r="L2111" s="75">
        <v>2111</v>
      </c>
      <c r="M2111" s="75"/>
      <c r="N2111" s="70"/>
      <c r="O2111" s="77" t="s">
        <v>179</v>
      </c>
      <c r="P2111" s="79">
        <v>45183.066469907404</v>
      </c>
      <c r="Q2111" s="77" t="s">
        <v>2890</v>
      </c>
      <c r="R2111" s="77">
        <v>1</v>
      </c>
      <c r="S2111" s="77">
        <v>2</v>
      </c>
      <c r="T2111" s="77">
        <v>0</v>
      </c>
      <c r="U2111" s="77">
        <v>0</v>
      </c>
      <c r="V2111" s="77">
        <v>250</v>
      </c>
      <c r="W2111" s="82" t="s">
        <v>6206</v>
      </c>
      <c r="X2111" s="80" t="str">
        <f>HYPERLINK("https://www.falkcapital.com.br/mercado/acoes?utm_source=twitter&amp;utm_medium=falkalertas&amp;utm_campaign=fechamentodemercado")</f>
        <v>https://www.falkcapital.com.br/mercado/acoes?utm_source=twitter&amp;utm_medium=falkalertas&amp;utm_campaign=fechamentodemercado</v>
      </c>
      <c r="Y2111" s="77" t="s">
        <v>7053</v>
      </c>
      <c r="Z2111" s="77"/>
      <c r="AA2111" s="77"/>
      <c r="AB2111" s="77"/>
      <c r="AC2111" s="82" t="s">
        <v>580</v>
      </c>
      <c r="AD2111" s="77" t="s">
        <v>8278</v>
      </c>
      <c r="AE2111" s="80" t="str">
        <f>HYPERLINK("https://twitter.com/falkcapital/status/1702133995939488177")</f>
        <v>https://twitter.com/falkcapital/status/1702133995939488177</v>
      </c>
      <c r="AF2111" s="79">
        <v>45183.066469907404</v>
      </c>
      <c r="AG2111" s="85">
        <v>45183</v>
      </c>
      <c r="AH2111" s="82" t="s">
        <v>10187</v>
      </c>
      <c r="AI2111" s="77" t="b">
        <v>0</v>
      </c>
      <c r="AJ2111" s="77"/>
      <c r="AK2111" s="77"/>
      <c r="AL2111" s="77"/>
      <c r="AM2111" s="77"/>
      <c r="AN2111" s="77"/>
      <c r="AO2111" s="77"/>
      <c r="AP2111" s="77"/>
      <c r="AQ2111" s="77"/>
      <c r="AR2111" s="77"/>
      <c r="AS2111" s="77"/>
      <c r="AT2111" s="77"/>
      <c r="AU2111" s="77"/>
      <c r="AV2111" s="80" t="str">
        <f>HYPERLINK("https://pbs.twimg.com/profile_images/1623099129726484485/efR1z8CS_normal.png")</f>
        <v>https://pbs.twimg.com/profile_images/1623099129726484485/efR1z8CS_normal.png</v>
      </c>
      <c r="AW2111" s="82" t="s">
        <v>15196</v>
      </c>
      <c r="AX2111" s="82" t="s">
        <v>15196</v>
      </c>
      <c r="AY2111" s="77"/>
      <c r="AZ2111" s="82" t="s">
        <v>17385</v>
      </c>
      <c r="BA2111" s="82" t="s">
        <v>17385</v>
      </c>
      <c r="BB2111" s="82" t="s">
        <v>17385</v>
      </c>
      <c r="BC2111" s="82" t="s">
        <v>15196</v>
      </c>
      <c r="BD2111" s="82" t="s">
        <v>17628</v>
      </c>
      <c r="BE2111" s="77"/>
      <c r="BF2111" s="77"/>
      <c r="BG2111" s="77"/>
      <c r="BH2111" s="77"/>
      <c r="BI2111" s="77"/>
    </row>
    <row r="2112" spans="1:61" x14ac:dyDescent="0.25">
      <c r="A2112" s="62" t="s">
        <v>580</v>
      </c>
      <c r="B2112" s="62" t="s">
        <v>580</v>
      </c>
      <c r="C2112" s="63"/>
      <c r="D2112" s="64"/>
      <c r="E2112" s="65"/>
      <c r="F2112" s="66"/>
      <c r="G2112" s="63"/>
      <c r="H2112" s="67"/>
      <c r="I2112" s="68"/>
      <c r="J2112" s="68"/>
      <c r="K2112" s="32"/>
      <c r="L2112" s="75">
        <v>2112</v>
      </c>
      <c r="M2112" s="75"/>
      <c r="N2112" s="70"/>
      <c r="O2112" s="77" t="s">
        <v>179</v>
      </c>
      <c r="P2112" s="79">
        <v>45183.066111111111</v>
      </c>
      <c r="Q2112" s="77" t="s">
        <v>2891</v>
      </c>
      <c r="R2112" s="77">
        <v>1</v>
      </c>
      <c r="S2112" s="77">
        <v>2</v>
      </c>
      <c r="T2112" s="77">
        <v>0</v>
      </c>
      <c r="U2112" s="77">
        <v>0</v>
      </c>
      <c r="V2112" s="77">
        <v>120</v>
      </c>
      <c r="W2112" s="82" t="s">
        <v>6207</v>
      </c>
      <c r="X2112" s="80" t="str">
        <f>HYPERLINK("https://www.falkcapital.com.br/mercado/acoes?utm_source=twitter&amp;utm_medium=falkalertas&amp;utm_campaign=fechamentodemercado")</f>
        <v>https://www.falkcapital.com.br/mercado/acoes?utm_source=twitter&amp;utm_medium=falkalertas&amp;utm_campaign=fechamentodemercado</v>
      </c>
      <c r="Y2112" s="77" t="s">
        <v>7053</v>
      </c>
      <c r="Z2112" s="77"/>
      <c r="AA2112" s="77"/>
      <c r="AB2112" s="77"/>
      <c r="AC2112" s="82" t="s">
        <v>580</v>
      </c>
      <c r="AD2112" s="77" t="s">
        <v>8278</v>
      </c>
      <c r="AE2112" s="80" t="str">
        <f>HYPERLINK("https://twitter.com/falkcapital/status/1702133867937673216")</f>
        <v>https://twitter.com/falkcapital/status/1702133867937673216</v>
      </c>
      <c r="AF2112" s="79">
        <v>45183.066111111111</v>
      </c>
      <c r="AG2112" s="85">
        <v>45183</v>
      </c>
      <c r="AH2112" s="82" t="s">
        <v>10188</v>
      </c>
      <c r="AI2112" s="77" t="b">
        <v>0</v>
      </c>
      <c r="AJ2112" s="77"/>
      <c r="AK2112" s="77"/>
      <c r="AL2112" s="77"/>
      <c r="AM2112" s="77"/>
      <c r="AN2112" s="77"/>
      <c r="AO2112" s="77"/>
      <c r="AP2112" s="77"/>
      <c r="AQ2112" s="77"/>
      <c r="AR2112" s="77"/>
      <c r="AS2112" s="77"/>
      <c r="AT2112" s="77"/>
      <c r="AU2112" s="77"/>
      <c r="AV2112" s="80" t="str">
        <f>HYPERLINK("https://pbs.twimg.com/profile_images/1623099129726484485/efR1z8CS_normal.png")</f>
        <v>https://pbs.twimg.com/profile_images/1623099129726484485/efR1z8CS_normal.png</v>
      </c>
      <c r="AW2112" s="82" t="s">
        <v>15197</v>
      </c>
      <c r="AX2112" s="82" t="s">
        <v>15197</v>
      </c>
      <c r="AY2112" s="77"/>
      <c r="AZ2112" s="82" t="s">
        <v>17385</v>
      </c>
      <c r="BA2112" s="82" t="s">
        <v>17385</v>
      </c>
      <c r="BB2112" s="82" t="s">
        <v>17385</v>
      </c>
      <c r="BC2112" s="82" t="s">
        <v>15197</v>
      </c>
      <c r="BD2112" s="82" t="s">
        <v>17628</v>
      </c>
      <c r="BE2112" s="77"/>
      <c r="BF2112" s="77"/>
      <c r="BG2112" s="77"/>
      <c r="BH2112" s="77"/>
      <c r="BI2112" s="77"/>
    </row>
    <row r="2113" spans="1:61" x14ac:dyDescent="0.25">
      <c r="A2113" s="62" t="s">
        <v>580</v>
      </c>
      <c r="B2113" s="62" t="s">
        <v>580</v>
      </c>
      <c r="C2113" s="63"/>
      <c r="D2113" s="64"/>
      <c r="E2113" s="65"/>
      <c r="F2113" s="66"/>
      <c r="G2113" s="63"/>
      <c r="H2113" s="67"/>
      <c r="I2113" s="68"/>
      <c r="J2113" s="68"/>
      <c r="K2113" s="32"/>
      <c r="L2113" s="75">
        <v>2113</v>
      </c>
      <c r="M2113" s="75"/>
      <c r="N2113" s="70"/>
      <c r="O2113" s="77" t="s">
        <v>179</v>
      </c>
      <c r="P2113" s="79">
        <v>45196.980856481481</v>
      </c>
      <c r="Q2113" s="77" t="s">
        <v>2892</v>
      </c>
      <c r="R2113" s="77">
        <v>1</v>
      </c>
      <c r="S2113" s="77">
        <v>2</v>
      </c>
      <c r="T2113" s="77">
        <v>0</v>
      </c>
      <c r="U2113" s="77">
        <v>0</v>
      </c>
      <c r="V2113" s="77">
        <v>111</v>
      </c>
      <c r="W2113" s="82" t="s">
        <v>6208</v>
      </c>
      <c r="X2113" s="80" t="str">
        <f>HYPERLINK("https://www.falkcapital.com.br/mercado/acoes?utm_source=twitter&amp;utm_medium=falkcapital&amp;utm_campaign=fechamentodemercado")</f>
        <v>https://www.falkcapital.com.br/mercado/acoes?utm_source=twitter&amp;utm_medium=falkcapital&amp;utm_campaign=fechamentodemercado</v>
      </c>
      <c r="Y2113" s="77" t="s">
        <v>7053</v>
      </c>
      <c r="Z2113" s="77"/>
      <c r="AA2113" s="77"/>
      <c r="AB2113" s="77"/>
      <c r="AC2113" s="82" t="s">
        <v>580</v>
      </c>
      <c r="AD2113" s="77" t="s">
        <v>8278</v>
      </c>
      <c r="AE2113" s="80" t="str">
        <f>HYPERLINK("https://twitter.com/falkcapital/status/1707176401630069113")</f>
        <v>https://twitter.com/falkcapital/status/1707176401630069113</v>
      </c>
      <c r="AF2113" s="79">
        <v>45196.980856481481</v>
      </c>
      <c r="AG2113" s="85">
        <v>45196</v>
      </c>
      <c r="AH2113" s="82" t="s">
        <v>10189</v>
      </c>
      <c r="AI2113" s="77" t="b">
        <v>0</v>
      </c>
      <c r="AJ2113" s="77"/>
      <c r="AK2113" s="77"/>
      <c r="AL2113" s="77"/>
      <c r="AM2113" s="77"/>
      <c r="AN2113" s="77"/>
      <c r="AO2113" s="77"/>
      <c r="AP2113" s="77"/>
      <c r="AQ2113" s="77"/>
      <c r="AR2113" s="77"/>
      <c r="AS2113" s="77"/>
      <c r="AT2113" s="77"/>
      <c r="AU2113" s="77"/>
      <c r="AV2113" s="80" t="str">
        <f>HYPERLINK("https://pbs.twimg.com/profile_images/1623099129726484485/efR1z8CS_normal.png")</f>
        <v>https://pbs.twimg.com/profile_images/1623099129726484485/efR1z8CS_normal.png</v>
      </c>
      <c r="AW2113" s="82" t="s">
        <v>15198</v>
      </c>
      <c r="AX2113" s="82" t="s">
        <v>15198</v>
      </c>
      <c r="AY2113" s="77"/>
      <c r="AZ2113" s="82" t="s">
        <v>17385</v>
      </c>
      <c r="BA2113" s="82" t="s">
        <v>17385</v>
      </c>
      <c r="BB2113" s="82" t="s">
        <v>17385</v>
      </c>
      <c r="BC2113" s="82" t="s">
        <v>15198</v>
      </c>
      <c r="BD2113" s="82" t="s">
        <v>17628</v>
      </c>
      <c r="BE2113" s="77"/>
      <c r="BF2113" s="77"/>
      <c r="BG2113" s="77"/>
      <c r="BH2113" s="77"/>
      <c r="BI2113" s="77"/>
    </row>
    <row r="2114" spans="1:61" x14ac:dyDescent="0.25">
      <c r="A2114" s="62" t="s">
        <v>580</v>
      </c>
      <c r="B2114" s="62" t="s">
        <v>580</v>
      </c>
      <c r="C2114" s="63"/>
      <c r="D2114" s="64"/>
      <c r="E2114" s="65"/>
      <c r="F2114" s="66"/>
      <c r="G2114" s="63"/>
      <c r="H2114" s="67"/>
      <c r="I2114" s="68"/>
      <c r="J2114" s="68"/>
      <c r="K2114" s="32"/>
      <c r="L2114" s="75">
        <v>2114</v>
      </c>
      <c r="M2114" s="75"/>
      <c r="N2114" s="70"/>
      <c r="O2114" s="77" t="s">
        <v>179</v>
      </c>
      <c r="P2114" s="79">
        <v>45194.979490740741</v>
      </c>
      <c r="Q2114" s="77" t="s">
        <v>2893</v>
      </c>
      <c r="R2114" s="77">
        <v>1</v>
      </c>
      <c r="S2114" s="77">
        <v>2</v>
      </c>
      <c r="T2114" s="77">
        <v>0</v>
      </c>
      <c r="U2114" s="77">
        <v>0</v>
      </c>
      <c r="V2114" s="77">
        <v>242</v>
      </c>
      <c r="W2114" s="82" t="s">
        <v>6209</v>
      </c>
      <c r="X2114" s="80" t="str">
        <f>HYPERLINK("https://www.falkcapital.com.br/mercado/acoes?utm_source=twitter&amp;utm_medium=falkcapital&amp;utm_campaign=fechamentodemercado")</f>
        <v>https://www.falkcapital.com.br/mercado/acoes?utm_source=twitter&amp;utm_medium=falkcapital&amp;utm_campaign=fechamentodemercado</v>
      </c>
      <c r="Y2114" s="77" t="s">
        <v>7053</v>
      </c>
      <c r="Z2114" s="77"/>
      <c r="AA2114" s="77"/>
      <c r="AB2114" s="77"/>
      <c r="AC2114" s="82" t="s">
        <v>580</v>
      </c>
      <c r="AD2114" s="77" t="s">
        <v>8278</v>
      </c>
      <c r="AE2114" s="80" t="str">
        <f>HYPERLINK("https://twitter.com/falkcapital/status/1706451130383802600")</f>
        <v>https://twitter.com/falkcapital/status/1706451130383802600</v>
      </c>
      <c r="AF2114" s="79">
        <v>45194.979490740741</v>
      </c>
      <c r="AG2114" s="85">
        <v>45194</v>
      </c>
      <c r="AH2114" s="82" t="s">
        <v>10190</v>
      </c>
      <c r="AI2114" s="77" t="b">
        <v>0</v>
      </c>
      <c r="AJ2114" s="77"/>
      <c r="AK2114" s="77"/>
      <c r="AL2114" s="77"/>
      <c r="AM2114" s="77"/>
      <c r="AN2114" s="77"/>
      <c r="AO2114" s="77"/>
      <c r="AP2114" s="77"/>
      <c r="AQ2114" s="77"/>
      <c r="AR2114" s="77"/>
      <c r="AS2114" s="77"/>
      <c r="AT2114" s="77"/>
      <c r="AU2114" s="77"/>
      <c r="AV2114" s="80" t="str">
        <f>HYPERLINK("https://pbs.twimg.com/profile_images/1623099129726484485/efR1z8CS_normal.png")</f>
        <v>https://pbs.twimg.com/profile_images/1623099129726484485/efR1z8CS_normal.png</v>
      </c>
      <c r="AW2114" s="82" t="s">
        <v>15199</v>
      </c>
      <c r="AX2114" s="82" t="s">
        <v>15199</v>
      </c>
      <c r="AY2114" s="77"/>
      <c r="AZ2114" s="82" t="s">
        <v>17385</v>
      </c>
      <c r="BA2114" s="82" t="s">
        <v>17385</v>
      </c>
      <c r="BB2114" s="82" t="s">
        <v>17385</v>
      </c>
      <c r="BC2114" s="82" t="s">
        <v>15199</v>
      </c>
      <c r="BD2114" s="82" t="s">
        <v>17628</v>
      </c>
      <c r="BE2114" s="77"/>
      <c r="BF2114" s="77"/>
      <c r="BG2114" s="77"/>
      <c r="BH2114" s="77"/>
      <c r="BI2114" s="77"/>
    </row>
    <row r="2115" spans="1:61" x14ac:dyDescent="0.25">
      <c r="A2115" s="62" t="s">
        <v>580</v>
      </c>
      <c r="B2115" s="62" t="s">
        <v>580</v>
      </c>
      <c r="C2115" s="63"/>
      <c r="D2115" s="64"/>
      <c r="E2115" s="65"/>
      <c r="F2115" s="66"/>
      <c r="G2115" s="63"/>
      <c r="H2115" s="67"/>
      <c r="I2115" s="68"/>
      <c r="J2115" s="68"/>
      <c r="K2115" s="32"/>
      <c r="L2115" s="75">
        <v>2115</v>
      </c>
      <c r="M2115" s="75"/>
      <c r="N2115" s="70"/>
      <c r="O2115" s="77" t="s">
        <v>179</v>
      </c>
      <c r="P2115" s="79">
        <v>45191.979363425926</v>
      </c>
      <c r="Q2115" s="77" t="s">
        <v>2894</v>
      </c>
      <c r="R2115" s="77">
        <v>1</v>
      </c>
      <c r="S2115" s="77">
        <v>2</v>
      </c>
      <c r="T2115" s="77">
        <v>0</v>
      </c>
      <c r="U2115" s="77">
        <v>0</v>
      </c>
      <c r="V2115" s="77">
        <v>308</v>
      </c>
      <c r="W2115" s="82" t="s">
        <v>6210</v>
      </c>
      <c r="X2115" s="80" t="str">
        <f>HYPERLINK("https://www.falkcapital.com.br/mercado/acoes?utm_source=twitter&amp;utm_medium=falkcapital&amp;utm_campaign=fechamentodemercado")</f>
        <v>https://www.falkcapital.com.br/mercado/acoes?utm_source=twitter&amp;utm_medium=falkcapital&amp;utm_campaign=fechamentodemercado</v>
      </c>
      <c r="Y2115" s="77" t="s">
        <v>7053</v>
      </c>
      <c r="Z2115" s="77"/>
      <c r="AA2115" s="77"/>
      <c r="AB2115" s="77"/>
      <c r="AC2115" s="82" t="s">
        <v>580</v>
      </c>
      <c r="AD2115" s="77" t="s">
        <v>8278</v>
      </c>
      <c r="AE2115" s="80" t="str">
        <f>HYPERLINK("https://twitter.com/falkcapital/status/1705363919106187439")</f>
        <v>https://twitter.com/falkcapital/status/1705363919106187439</v>
      </c>
      <c r="AF2115" s="79">
        <v>45191.979363425926</v>
      </c>
      <c r="AG2115" s="85">
        <v>45191</v>
      </c>
      <c r="AH2115" s="82" t="s">
        <v>8995</v>
      </c>
      <c r="AI2115" s="77" t="b">
        <v>0</v>
      </c>
      <c r="AJ2115" s="77"/>
      <c r="AK2115" s="77"/>
      <c r="AL2115" s="77"/>
      <c r="AM2115" s="77"/>
      <c r="AN2115" s="77"/>
      <c r="AO2115" s="77"/>
      <c r="AP2115" s="77"/>
      <c r="AQ2115" s="77"/>
      <c r="AR2115" s="77"/>
      <c r="AS2115" s="77"/>
      <c r="AT2115" s="77"/>
      <c r="AU2115" s="77"/>
      <c r="AV2115" s="80" t="str">
        <f>HYPERLINK("https://pbs.twimg.com/profile_images/1623099129726484485/efR1z8CS_normal.png")</f>
        <v>https://pbs.twimg.com/profile_images/1623099129726484485/efR1z8CS_normal.png</v>
      </c>
      <c r="AW2115" s="82" t="s">
        <v>15200</v>
      </c>
      <c r="AX2115" s="82" t="s">
        <v>15200</v>
      </c>
      <c r="AY2115" s="77"/>
      <c r="AZ2115" s="82" t="s">
        <v>17385</v>
      </c>
      <c r="BA2115" s="82" t="s">
        <v>17385</v>
      </c>
      <c r="BB2115" s="82" t="s">
        <v>17385</v>
      </c>
      <c r="BC2115" s="82" t="s">
        <v>15200</v>
      </c>
      <c r="BD2115" s="82" t="s">
        <v>17628</v>
      </c>
      <c r="BE2115" s="77"/>
      <c r="BF2115" s="77"/>
      <c r="BG2115" s="77"/>
      <c r="BH2115" s="77"/>
      <c r="BI2115" s="77"/>
    </row>
    <row r="2116" spans="1:61" x14ac:dyDescent="0.25">
      <c r="A2116" s="62" t="s">
        <v>580</v>
      </c>
      <c r="B2116" s="62" t="s">
        <v>580</v>
      </c>
      <c r="C2116" s="63"/>
      <c r="D2116" s="64"/>
      <c r="E2116" s="65"/>
      <c r="F2116" s="66"/>
      <c r="G2116" s="63"/>
      <c r="H2116" s="67"/>
      <c r="I2116" s="68"/>
      <c r="J2116" s="68"/>
      <c r="K2116" s="32"/>
      <c r="L2116" s="75">
        <v>2116</v>
      </c>
      <c r="M2116" s="75"/>
      <c r="N2116" s="70"/>
      <c r="O2116" s="77" t="s">
        <v>179</v>
      </c>
      <c r="P2116" s="79">
        <v>45187.979351851849</v>
      </c>
      <c r="Q2116" s="77" t="s">
        <v>2895</v>
      </c>
      <c r="R2116" s="77">
        <v>1</v>
      </c>
      <c r="S2116" s="77">
        <v>2</v>
      </c>
      <c r="T2116" s="77">
        <v>0</v>
      </c>
      <c r="U2116" s="77">
        <v>0</v>
      </c>
      <c r="V2116" s="77">
        <v>529</v>
      </c>
      <c r="W2116" s="82" t="s">
        <v>6211</v>
      </c>
      <c r="X2116" s="80" t="str">
        <f>HYPERLINK("https://www.falkcapital.com.br/mercado/acoes?utm_source=twitter&amp;utm_medium=falkcapital&amp;utm_campaign=fechamentodemercado")</f>
        <v>https://www.falkcapital.com.br/mercado/acoes?utm_source=twitter&amp;utm_medium=falkcapital&amp;utm_campaign=fechamentodemercado</v>
      </c>
      <c r="Y2116" s="77" t="s">
        <v>7053</v>
      </c>
      <c r="Z2116" s="77"/>
      <c r="AA2116" s="77"/>
      <c r="AB2116" s="77"/>
      <c r="AC2116" s="82" t="s">
        <v>580</v>
      </c>
      <c r="AD2116" s="77" t="s">
        <v>8278</v>
      </c>
      <c r="AE2116" s="80" t="str">
        <f>HYPERLINK("https://twitter.com/falkcapital/status/1703914366087680141")</f>
        <v>https://twitter.com/falkcapital/status/1703914366087680141</v>
      </c>
      <c r="AF2116" s="79">
        <v>45187.979351851849</v>
      </c>
      <c r="AG2116" s="85">
        <v>45187</v>
      </c>
      <c r="AH2116" s="82" t="s">
        <v>8982</v>
      </c>
      <c r="AI2116" s="77" t="b">
        <v>0</v>
      </c>
      <c r="AJ2116" s="77"/>
      <c r="AK2116" s="77"/>
      <c r="AL2116" s="77"/>
      <c r="AM2116" s="77"/>
      <c r="AN2116" s="77"/>
      <c r="AO2116" s="77"/>
      <c r="AP2116" s="77"/>
      <c r="AQ2116" s="77"/>
      <c r="AR2116" s="77"/>
      <c r="AS2116" s="77"/>
      <c r="AT2116" s="77"/>
      <c r="AU2116" s="77"/>
      <c r="AV2116" s="80" t="str">
        <f>HYPERLINK("https://pbs.twimg.com/profile_images/1623099129726484485/efR1z8CS_normal.png")</f>
        <v>https://pbs.twimg.com/profile_images/1623099129726484485/efR1z8CS_normal.png</v>
      </c>
      <c r="AW2116" s="82" t="s">
        <v>15201</v>
      </c>
      <c r="AX2116" s="82" t="s">
        <v>15201</v>
      </c>
      <c r="AY2116" s="77"/>
      <c r="AZ2116" s="82" t="s">
        <v>17385</v>
      </c>
      <c r="BA2116" s="82" t="s">
        <v>17385</v>
      </c>
      <c r="BB2116" s="82" t="s">
        <v>17385</v>
      </c>
      <c r="BC2116" s="82" t="s">
        <v>15201</v>
      </c>
      <c r="BD2116" s="82" t="s">
        <v>17628</v>
      </c>
      <c r="BE2116" s="77"/>
      <c r="BF2116" s="77"/>
      <c r="BG2116" s="77"/>
      <c r="BH2116" s="77"/>
      <c r="BI2116" s="77"/>
    </row>
    <row r="2117" spans="1:61" x14ac:dyDescent="0.25">
      <c r="A2117" s="62" t="s">
        <v>581</v>
      </c>
      <c r="B2117" s="62" t="s">
        <v>581</v>
      </c>
      <c r="C2117" s="63"/>
      <c r="D2117" s="64"/>
      <c r="E2117" s="65"/>
      <c r="F2117" s="66"/>
      <c r="G2117" s="63"/>
      <c r="H2117" s="67"/>
      <c r="I2117" s="68"/>
      <c r="J2117" s="68"/>
      <c r="K2117" s="32"/>
      <c r="L2117" s="75">
        <v>2117</v>
      </c>
      <c r="M2117" s="75"/>
      <c r="N2117" s="70"/>
      <c r="O2117" s="77" t="s">
        <v>179</v>
      </c>
      <c r="P2117" s="79">
        <v>45132.8125</v>
      </c>
      <c r="Q2117" s="77" t="s">
        <v>2896</v>
      </c>
      <c r="R2117" s="77">
        <v>0</v>
      </c>
      <c r="S2117" s="77">
        <v>1</v>
      </c>
      <c r="T2117" s="77">
        <v>0</v>
      </c>
      <c r="U2117" s="77">
        <v>0</v>
      </c>
      <c r="V2117" s="77">
        <v>61</v>
      </c>
      <c r="W2117" s="82" t="s">
        <v>6212</v>
      </c>
      <c r="X2117" s="80" t="str">
        <f>HYPERLINK("https://diariodocomercio.com.br/financas/acoes-da-sigma-passam-a-ser-negociadas-na-b3/")</f>
        <v>https://diariodocomercio.com.br/financas/acoes-da-sigma-passam-a-ser-negociadas-na-b3/</v>
      </c>
      <c r="Y2117" s="77" t="s">
        <v>7053</v>
      </c>
      <c r="Z2117" s="77"/>
      <c r="AA2117" s="77"/>
      <c r="AB2117" s="77"/>
      <c r="AC2117" s="82" t="s">
        <v>8232</v>
      </c>
      <c r="AD2117" s="77" t="s">
        <v>8278</v>
      </c>
      <c r="AE2117" s="80" t="str">
        <f>HYPERLINK("https://twitter.com/diario_comercio/status/1683922568544419840")</f>
        <v>https://twitter.com/diario_comercio/status/1683922568544419840</v>
      </c>
      <c r="AF2117" s="79">
        <v>45132.8125</v>
      </c>
      <c r="AG2117" s="85">
        <v>45132</v>
      </c>
      <c r="AH2117" s="82" t="s">
        <v>8630</v>
      </c>
      <c r="AI2117" s="77" t="b">
        <v>0</v>
      </c>
      <c r="AJ2117" s="77"/>
      <c r="AK2117" s="77"/>
      <c r="AL2117" s="77"/>
      <c r="AM2117" s="77"/>
      <c r="AN2117" s="77"/>
      <c r="AO2117" s="77"/>
      <c r="AP2117" s="77"/>
      <c r="AQ2117" s="77"/>
      <c r="AR2117" s="77"/>
      <c r="AS2117" s="77"/>
      <c r="AT2117" s="77"/>
      <c r="AU2117" s="77"/>
      <c r="AV2117" s="80" t="str">
        <f>HYPERLINK("https://pbs.twimg.com/profile_images/1610325557580898306/UZehEg0I_normal.jpg")</f>
        <v>https://pbs.twimg.com/profile_images/1610325557580898306/UZehEg0I_normal.jpg</v>
      </c>
      <c r="AW2117" s="82" t="s">
        <v>15202</v>
      </c>
      <c r="AX2117" s="82" t="s">
        <v>15202</v>
      </c>
      <c r="AY2117" s="77"/>
      <c r="AZ2117" s="82" t="s">
        <v>17385</v>
      </c>
      <c r="BA2117" s="82" t="s">
        <v>17385</v>
      </c>
      <c r="BB2117" s="82" t="s">
        <v>17385</v>
      </c>
      <c r="BC2117" s="82" t="s">
        <v>15202</v>
      </c>
      <c r="BD2117" s="77">
        <v>94388843</v>
      </c>
      <c r="BE2117" s="77"/>
      <c r="BF2117" s="77"/>
      <c r="BG2117" s="77"/>
      <c r="BH2117" s="77"/>
      <c r="BI2117" s="77"/>
    </row>
    <row r="2118" spans="1:61" x14ac:dyDescent="0.25">
      <c r="A2118" s="62" t="s">
        <v>581</v>
      </c>
      <c r="B2118" s="62" t="s">
        <v>581</v>
      </c>
      <c r="C2118" s="63"/>
      <c r="D2118" s="64"/>
      <c r="E2118" s="65"/>
      <c r="F2118" s="66"/>
      <c r="G2118" s="63"/>
      <c r="H2118" s="67"/>
      <c r="I2118" s="68"/>
      <c r="J2118" s="68"/>
      <c r="K2118" s="32"/>
      <c r="L2118" s="75">
        <v>2118</v>
      </c>
      <c r="M2118" s="75"/>
      <c r="N2118" s="70"/>
      <c r="O2118" s="77" t="s">
        <v>179</v>
      </c>
      <c r="P2118" s="79">
        <v>45138.8125</v>
      </c>
      <c r="Q2118" s="77" t="s">
        <v>2897</v>
      </c>
      <c r="R2118" s="77">
        <v>0</v>
      </c>
      <c r="S2118" s="77">
        <v>0</v>
      </c>
      <c r="T2118" s="77">
        <v>0</v>
      </c>
      <c r="U2118" s="77">
        <v>0</v>
      </c>
      <c r="V2118" s="77">
        <v>45</v>
      </c>
      <c r="W2118" s="82" t="s">
        <v>6213</v>
      </c>
      <c r="X2118" s="80" t="str">
        <f>HYPERLINK("https://diariodocomercio.com.br/economia/acoes-da-petrobras-sobem-apos-anuncio-de-nova-politica-de-dividendos/")</f>
        <v>https://diariodocomercio.com.br/economia/acoes-da-petrobras-sobem-apos-anuncio-de-nova-politica-de-dividendos/</v>
      </c>
      <c r="Y2118" s="77" t="s">
        <v>7053</v>
      </c>
      <c r="Z2118" s="77"/>
      <c r="AA2118" s="77"/>
      <c r="AB2118" s="77"/>
      <c r="AC2118" s="82" t="s">
        <v>8232</v>
      </c>
      <c r="AD2118" s="77" t="s">
        <v>8278</v>
      </c>
      <c r="AE2118" s="80" t="str">
        <f>HYPERLINK("https://twitter.com/diario_comercio/status/1686096895066923009")</f>
        <v>https://twitter.com/diario_comercio/status/1686096895066923009</v>
      </c>
      <c r="AF2118" s="79">
        <v>45138.8125</v>
      </c>
      <c r="AG2118" s="85">
        <v>45138</v>
      </c>
      <c r="AH2118" s="82" t="s">
        <v>8630</v>
      </c>
      <c r="AI2118" s="77" t="b">
        <v>0</v>
      </c>
      <c r="AJ2118" s="77"/>
      <c r="AK2118" s="77"/>
      <c r="AL2118" s="77"/>
      <c r="AM2118" s="77"/>
      <c r="AN2118" s="77"/>
      <c r="AO2118" s="77"/>
      <c r="AP2118" s="77"/>
      <c r="AQ2118" s="77"/>
      <c r="AR2118" s="77"/>
      <c r="AS2118" s="77"/>
      <c r="AT2118" s="77"/>
      <c r="AU2118" s="77"/>
      <c r="AV2118" s="80" t="str">
        <f>HYPERLINK("https://pbs.twimg.com/profile_images/1610325557580898306/UZehEg0I_normal.jpg")</f>
        <v>https://pbs.twimg.com/profile_images/1610325557580898306/UZehEg0I_normal.jpg</v>
      </c>
      <c r="AW2118" s="82" t="s">
        <v>15203</v>
      </c>
      <c r="AX2118" s="82" t="s">
        <v>15203</v>
      </c>
      <c r="AY2118" s="77"/>
      <c r="AZ2118" s="82" t="s">
        <v>17385</v>
      </c>
      <c r="BA2118" s="82" t="s">
        <v>17385</v>
      </c>
      <c r="BB2118" s="82" t="s">
        <v>17385</v>
      </c>
      <c r="BC2118" s="82" t="s">
        <v>15203</v>
      </c>
      <c r="BD2118" s="77">
        <v>94388843</v>
      </c>
      <c r="BE2118" s="77"/>
      <c r="BF2118" s="77"/>
      <c r="BG2118" s="77"/>
      <c r="BH2118" s="77"/>
      <c r="BI2118" s="77"/>
    </row>
    <row r="2119" spans="1:61" x14ac:dyDescent="0.25">
      <c r="A2119" s="62" t="s">
        <v>582</v>
      </c>
      <c r="B2119" s="62" t="s">
        <v>582</v>
      </c>
      <c r="C2119" s="63"/>
      <c r="D2119" s="64"/>
      <c r="E2119" s="65"/>
      <c r="F2119" s="66"/>
      <c r="G2119" s="63"/>
      <c r="H2119" s="67"/>
      <c r="I2119" s="68"/>
      <c r="J2119" s="68"/>
      <c r="K2119" s="32"/>
      <c r="L2119" s="75">
        <v>2119</v>
      </c>
      <c r="M2119" s="75"/>
      <c r="N2119" s="70"/>
      <c r="O2119" s="77" t="s">
        <v>179</v>
      </c>
      <c r="P2119" s="79">
        <v>45177.589490740742</v>
      </c>
      <c r="Q2119" s="77" t="s">
        <v>2898</v>
      </c>
      <c r="R2119" s="77">
        <v>2</v>
      </c>
      <c r="S2119" s="77">
        <v>6</v>
      </c>
      <c r="T2119" s="77">
        <v>0</v>
      </c>
      <c r="U2119" s="77">
        <v>1</v>
      </c>
      <c r="V2119" s="77">
        <v>2650</v>
      </c>
      <c r="W2119" s="82" t="s">
        <v>6214</v>
      </c>
      <c r="X2119" s="80" t="str">
        <f>HYPERLINK("https://t.me/marketmakersbrasil")</f>
        <v>https://t.me/marketmakersbrasil</v>
      </c>
      <c r="Y2119" s="77" t="s">
        <v>7071</v>
      </c>
      <c r="Z2119" s="77"/>
      <c r="AA2119" s="77" t="s">
        <v>8020</v>
      </c>
      <c r="AB2119" s="77" t="s">
        <v>8225</v>
      </c>
      <c r="AC2119" s="82" t="s">
        <v>8232</v>
      </c>
      <c r="AD2119" s="77" t="s">
        <v>8278</v>
      </c>
      <c r="AE2119" s="80" t="str">
        <f>HYPERLINK("https://twitter.com/mcmanocall/status/1700149206403445130")</f>
        <v>https://twitter.com/mcmanocall/status/1700149206403445130</v>
      </c>
      <c r="AF2119" s="79">
        <v>45177.589490740742</v>
      </c>
      <c r="AG2119" s="85">
        <v>45177</v>
      </c>
      <c r="AH2119" s="82" t="s">
        <v>10191</v>
      </c>
      <c r="AI2119" s="77" t="b">
        <v>0</v>
      </c>
      <c r="AJ2119" s="77"/>
      <c r="AK2119" s="77"/>
      <c r="AL2119" s="77"/>
      <c r="AM2119" s="77"/>
      <c r="AN2119" s="77"/>
      <c r="AO2119" s="77"/>
      <c r="AP2119" s="77"/>
      <c r="AQ2119" s="77" t="s">
        <v>12905</v>
      </c>
      <c r="AR2119" s="77"/>
      <c r="AS2119" s="77"/>
      <c r="AT2119" s="77"/>
      <c r="AU2119" s="77"/>
      <c r="AV2119" s="80" t="str">
        <f>HYPERLINK("https://pbs.twimg.com/media/F5gkgn5WoAA3ixA.png")</f>
        <v>https://pbs.twimg.com/media/F5gkgn5WoAA3ixA.png</v>
      </c>
      <c r="AW2119" s="82" t="s">
        <v>15204</v>
      </c>
      <c r="AX2119" s="82" t="s">
        <v>15204</v>
      </c>
      <c r="AY2119" s="77"/>
      <c r="AZ2119" s="82" t="s">
        <v>17385</v>
      </c>
      <c r="BA2119" s="82" t="s">
        <v>17385</v>
      </c>
      <c r="BB2119" s="82" t="s">
        <v>17385</v>
      </c>
      <c r="BC2119" s="82" t="s">
        <v>15204</v>
      </c>
      <c r="BD2119" s="82" t="s">
        <v>17629</v>
      </c>
      <c r="BE2119" s="77"/>
      <c r="BF2119" s="77"/>
      <c r="BG2119" s="77"/>
      <c r="BH2119" s="77"/>
      <c r="BI2119" s="77"/>
    </row>
    <row r="2120" spans="1:61" x14ac:dyDescent="0.25">
      <c r="A2120" s="62" t="s">
        <v>583</v>
      </c>
      <c r="B2120" s="62" t="s">
        <v>583</v>
      </c>
      <c r="C2120" s="63"/>
      <c r="D2120" s="64"/>
      <c r="E2120" s="65"/>
      <c r="F2120" s="66"/>
      <c r="G2120" s="63"/>
      <c r="H2120" s="67"/>
      <c r="I2120" s="68"/>
      <c r="J2120" s="68"/>
      <c r="K2120" s="32"/>
      <c r="L2120" s="75">
        <v>2120</v>
      </c>
      <c r="M2120" s="75"/>
      <c r="N2120" s="70"/>
      <c r="O2120" s="77" t="s">
        <v>179</v>
      </c>
      <c r="P2120" s="79">
        <v>45106.723819444444</v>
      </c>
      <c r="Q2120" s="77" t="s">
        <v>2899</v>
      </c>
      <c r="R2120" s="77">
        <v>0</v>
      </c>
      <c r="S2120" s="77">
        <v>1</v>
      </c>
      <c r="T2120" s="77">
        <v>0</v>
      </c>
      <c r="U2120" s="77">
        <v>0</v>
      </c>
      <c r="V2120" s="77">
        <v>54</v>
      </c>
      <c r="W2120" s="82" t="s">
        <v>6215</v>
      </c>
      <c r="X2120" s="77"/>
      <c r="Y2120" s="77"/>
      <c r="Z2120" s="77"/>
      <c r="AA2120" s="77" t="s">
        <v>8021</v>
      </c>
      <c r="AB2120" s="77" t="s">
        <v>8225</v>
      </c>
      <c r="AC2120" s="82" t="s">
        <v>8234</v>
      </c>
      <c r="AD2120" s="77" t="s">
        <v>8278</v>
      </c>
      <c r="AE2120" s="80" t="str">
        <f>HYPERLINK("https://twitter.com/ingridflima87/status/1674468346291531776")</f>
        <v>https://twitter.com/ingridflima87/status/1674468346291531776</v>
      </c>
      <c r="AF2120" s="79">
        <v>45106.723819444444</v>
      </c>
      <c r="AG2120" s="85">
        <v>45106</v>
      </c>
      <c r="AH2120" s="82" t="s">
        <v>10192</v>
      </c>
      <c r="AI2120" s="77" t="b">
        <v>0</v>
      </c>
      <c r="AJ2120" s="77"/>
      <c r="AK2120" s="77"/>
      <c r="AL2120" s="77"/>
      <c r="AM2120" s="77"/>
      <c r="AN2120" s="77"/>
      <c r="AO2120" s="77"/>
      <c r="AP2120" s="77"/>
      <c r="AQ2120" s="77" t="s">
        <v>12906</v>
      </c>
      <c r="AR2120" s="77"/>
      <c r="AS2120" s="77"/>
      <c r="AT2120" s="77"/>
      <c r="AU2120" s="77"/>
      <c r="AV2120" s="80" t="str">
        <f>HYPERLINK("https://pbs.twimg.com/media/FzzoFhBXsBA8qF3.jpg")</f>
        <v>https://pbs.twimg.com/media/FzzoFhBXsBA8qF3.jpg</v>
      </c>
      <c r="AW2120" s="82" t="s">
        <v>15205</v>
      </c>
      <c r="AX2120" s="82" t="s">
        <v>15205</v>
      </c>
      <c r="AY2120" s="77"/>
      <c r="AZ2120" s="82" t="s">
        <v>17385</v>
      </c>
      <c r="BA2120" s="82" t="s">
        <v>17385</v>
      </c>
      <c r="BB2120" s="82" t="s">
        <v>17385</v>
      </c>
      <c r="BC2120" s="82" t="s">
        <v>15205</v>
      </c>
      <c r="BD2120" s="82" t="s">
        <v>17630</v>
      </c>
      <c r="BE2120" s="77"/>
      <c r="BF2120" s="77"/>
      <c r="BG2120" s="77"/>
      <c r="BH2120" s="77"/>
      <c r="BI2120" s="77"/>
    </row>
    <row r="2121" spans="1:61" x14ac:dyDescent="0.25">
      <c r="A2121" s="62" t="s">
        <v>584</v>
      </c>
      <c r="B2121" s="62" t="s">
        <v>584</v>
      </c>
      <c r="C2121" s="63"/>
      <c r="D2121" s="64"/>
      <c r="E2121" s="65"/>
      <c r="F2121" s="66"/>
      <c r="G2121" s="63"/>
      <c r="H2121" s="67"/>
      <c r="I2121" s="68"/>
      <c r="J2121" s="68"/>
      <c r="K2121" s="32"/>
      <c r="L2121" s="75">
        <v>2121</v>
      </c>
      <c r="M2121" s="75"/>
      <c r="N2121" s="70"/>
      <c r="O2121" s="77" t="s">
        <v>179</v>
      </c>
      <c r="P2121" s="79">
        <v>45184.480370370373</v>
      </c>
      <c r="Q2121" s="77" t="s">
        <v>2900</v>
      </c>
      <c r="R2121" s="77">
        <v>0</v>
      </c>
      <c r="S2121" s="77">
        <v>0</v>
      </c>
      <c r="T2121" s="77">
        <v>0</v>
      </c>
      <c r="U2121" s="77">
        <v>0</v>
      </c>
      <c r="V2121" s="77">
        <v>53</v>
      </c>
      <c r="W2121" s="82" t="s">
        <v>6216</v>
      </c>
      <c r="X2121" s="80" t="str">
        <f>HYPERLINK("https://maiseducativa.com/2023/09/15/spv-e-universidade-nova-de-lisboa-promovem-acoes-de-sensibilizacao-junto-dos-novos-alunos/")</f>
        <v>https://maiseducativa.com/2023/09/15/spv-e-universidade-nova-de-lisboa-promovem-acoes-de-sensibilizacao-junto-dos-novos-alunos/</v>
      </c>
      <c r="Y2121" s="77" t="s">
        <v>7134</v>
      </c>
      <c r="Z2121" s="77"/>
      <c r="AA2121" s="77"/>
      <c r="AB2121" s="77"/>
      <c r="AC2121" s="82" t="s">
        <v>8232</v>
      </c>
      <c r="AD2121" s="77" t="s">
        <v>8278</v>
      </c>
      <c r="AE2121" s="80" t="str">
        <f>HYPERLINK("https://twitter.com/mais_educativa/status/1702646376327188833")</f>
        <v>https://twitter.com/mais_educativa/status/1702646376327188833</v>
      </c>
      <c r="AF2121" s="79">
        <v>45184.480370370373</v>
      </c>
      <c r="AG2121" s="85">
        <v>45184</v>
      </c>
      <c r="AH2121" s="82" t="s">
        <v>10193</v>
      </c>
      <c r="AI2121" s="77" t="b">
        <v>0</v>
      </c>
      <c r="AJ2121" s="77"/>
      <c r="AK2121" s="77"/>
      <c r="AL2121" s="77"/>
      <c r="AM2121" s="77"/>
      <c r="AN2121" s="77"/>
      <c r="AO2121" s="77"/>
      <c r="AP2121" s="77"/>
      <c r="AQ2121" s="77"/>
      <c r="AR2121" s="77"/>
      <c r="AS2121" s="77"/>
      <c r="AT2121" s="77"/>
      <c r="AU2121" s="77"/>
      <c r="AV2121" s="80" t="str">
        <f>HYPERLINK("https://pbs.twimg.com/profile_images/1303009388815364096/P8h-whoB_normal.jpg")</f>
        <v>https://pbs.twimg.com/profile_images/1303009388815364096/P8h-whoB_normal.jpg</v>
      </c>
      <c r="AW2121" s="82" t="s">
        <v>15206</v>
      </c>
      <c r="AX2121" s="82" t="s">
        <v>15206</v>
      </c>
      <c r="AY2121" s="77"/>
      <c r="AZ2121" s="82" t="s">
        <v>17385</v>
      </c>
      <c r="BA2121" s="82" t="s">
        <v>17385</v>
      </c>
      <c r="BB2121" s="82" t="s">
        <v>17385</v>
      </c>
      <c r="BC2121" s="82" t="s">
        <v>15206</v>
      </c>
      <c r="BD2121" s="77">
        <v>609260052</v>
      </c>
      <c r="BE2121" s="77"/>
      <c r="BF2121" s="77"/>
      <c r="BG2121" s="77"/>
      <c r="BH2121" s="77"/>
      <c r="BI2121" s="77"/>
    </row>
    <row r="2122" spans="1:61" x14ac:dyDescent="0.25">
      <c r="A2122" s="62" t="s">
        <v>585</v>
      </c>
      <c r="B2122" s="62" t="s">
        <v>585</v>
      </c>
      <c r="C2122" s="63"/>
      <c r="D2122" s="64"/>
      <c r="E2122" s="65"/>
      <c r="F2122" s="66"/>
      <c r="G2122" s="63"/>
      <c r="H2122" s="67"/>
      <c r="I2122" s="68"/>
      <c r="J2122" s="68"/>
      <c r="K2122" s="32"/>
      <c r="L2122" s="75">
        <v>2122</v>
      </c>
      <c r="M2122" s="75"/>
      <c r="N2122" s="70"/>
      <c r="O2122" s="77" t="s">
        <v>179</v>
      </c>
      <c r="P2122" s="79">
        <v>45079.544270833336</v>
      </c>
      <c r="Q2122" s="77" t="s">
        <v>2901</v>
      </c>
      <c r="R2122" s="77">
        <v>1</v>
      </c>
      <c r="S2122" s="77">
        <v>10</v>
      </c>
      <c r="T2122" s="77">
        <v>3</v>
      </c>
      <c r="U2122" s="77">
        <v>0</v>
      </c>
      <c r="V2122" s="77">
        <v>675</v>
      </c>
      <c r="W2122" s="82" t="s">
        <v>6217</v>
      </c>
      <c r="X2122" s="77"/>
      <c r="Y2122" s="77"/>
      <c r="Z2122" s="77"/>
      <c r="AA2122" s="77" t="s">
        <v>8022</v>
      </c>
      <c r="AB2122" s="77" t="s">
        <v>8225</v>
      </c>
      <c r="AC2122" s="82" t="s">
        <v>8232</v>
      </c>
      <c r="AD2122" s="77" t="s">
        <v>8278</v>
      </c>
      <c r="AE2122" s="80" t="str">
        <f>HYPERLINK("https://twitter.com/toninhodocall/status/1664618807975985153")</f>
        <v>https://twitter.com/toninhodocall/status/1664618807975985153</v>
      </c>
      <c r="AF2122" s="79">
        <v>45079.544270833336</v>
      </c>
      <c r="AG2122" s="85">
        <v>45079</v>
      </c>
      <c r="AH2122" s="82" t="s">
        <v>10194</v>
      </c>
      <c r="AI2122" s="77" t="b">
        <v>0</v>
      </c>
      <c r="AJ2122" s="77"/>
      <c r="AK2122" s="77"/>
      <c r="AL2122" s="77"/>
      <c r="AM2122" s="77"/>
      <c r="AN2122" s="77"/>
      <c r="AO2122" s="77"/>
      <c r="AP2122" s="77"/>
      <c r="AQ2122" s="77" t="s">
        <v>12907</v>
      </c>
      <c r="AR2122" s="77"/>
      <c r="AS2122" s="77"/>
      <c r="AT2122" s="77"/>
      <c r="AU2122" s="77"/>
      <c r="AV2122" s="80" t="str">
        <f>HYPERLINK("https://pbs.twimg.com/media/FxnpjK4XwAEDmC3.jpg")</f>
        <v>https://pbs.twimg.com/media/FxnpjK4XwAEDmC3.jpg</v>
      </c>
      <c r="AW2122" s="82" t="s">
        <v>15207</v>
      </c>
      <c r="AX2122" s="82" t="s">
        <v>15207</v>
      </c>
      <c r="AY2122" s="77"/>
      <c r="AZ2122" s="82" t="s">
        <v>17385</v>
      </c>
      <c r="BA2122" s="82" t="s">
        <v>17385</v>
      </c>
      <c r="BB2122" s="82" t="s">
        <v>17385</v>
      </c>
      <c r="BC2122" s="82" t="s">
        <v>15207</v>
      </c>
      <c r="BD2122" s="82" t="s">
        <v>17631</v>
      </c>
      <c r="BE2122" s="77"/>
      <c r="BF2122" s="77"/>
      <c r="BG2122" s="77"/>
      <c r="BH2122" s="77"/>
      <c r="BI2122" s="77"/>
    </row>
    <row r="2123" spans="1:61" x14ac:dyDescent="0.25">
      <c r="A2123" s="62" t="s">
        <v>586</v>
      </c>
      <c r="B2123" s="62" t="s">
        <v>586</v>
      </c>
      <c r="C2123" s="63"/>
      <c r="D2123" s="64"/>
      <c r="E2123" s="65"/>
      <c r="F2123" s="66"/>
      <c r="G2123" s="63"/>
      <c r="H2123" s="67"/>
      <c r="I2123" s="68"/>
      <c r="J2123" s="68"/>
      <c r="K2123" s="32"/>
      <c r="L2123" s="75">
        <v>2123</v>
      </c>
      <c r="M2123" s="75"/>
      <c r="N2123" s="70"/>
      <c r="O2123" s="77" t="s">
        <v>179</v>
      </c>
      <c r="P2123" s="79">
        <v>45185.505983796298</v>
      </c>
      <c r="Q2123" s="77" t="s">
        <v>2902</v>
      </c>
      <c r="R2123" s="77">
        <v>0</v>
      </c>
      <c r="S2123" s="77">
        <v>0</v>
      </c>
      <c r="T2123" s="77">
        <v>0</v>
      </c>
      <c r="U2123" s="77">
        <v>0</v>
      </c>
      <c r="V2123" s="77">
        <v>15</v>
      </c>
      <c r="W2123" s="82" t="s">
        <v>6218</v>
      </c>
      <c r="X2123" s="77"/>
      <c r="Y2123" s="77"/>
      <c r="Z2123" s="77"/>
      <c r="AA2123" s="77" t="s">
        <v>8023</v>
      </c>
      <c r="AB2123" s="77" t="s">
        <v>8225</v>
      </c>
      <c r="AC2123" s="82" t="s">
        <v>8233</v>
      </c>
      <c r="AD2123" s="77" t="s">
        <v>8278</v>
      </c>
      <c r="AE2123" s="80" t="str">
        <f>HYPERLINK("https://twitter.com/jamesatayde/status/1703018048024613048")</f>
        <v>https://twitter.com/jamesatayde/status/1703018048024613048</v>
      </c>
      <c r="AF2123" s="79">
        <v>45185.505983796298</v>
      </c>
      <c r="AG2123" s="85">
        <v>45185</v>
      </c>
      <c r="AH2123" s="82" t="s">
        <v>10195</v>
      </c>
      <c r="AI2123" s="77" t="b">
        <v>0</v>
      </c>
      <c r="AJ2123" s="77"/>
      <c r="AK2123" s="77"/>
      <c r="AL2123" s="77"/>
      <c r="AM2123" s="77"/>
      <c r="AN2123" s="77"/>
      <c r="AO2123" s="77"/>
      <c r="AP2123" s="77"/>
      <c r="AQ2123" s="77" t="s">
        <v>12908</v>
      </c>
      <c r="AR2123" s="77"/>
      <c r="AS2123" s="77"/>
      <c r="AT2123" s="77"/>
      <c r="AU2123" s="77"/>
      <c r="AV2123" s="80" t="str">
        <f>HYPERLINK("https://pbs.twimg.com/media/F6JV4s3WAAA-EPC.jpg")</f>
        <v>https://pbs.twimg.com/media/F6JV4s3WAAA-EPC.jpg</v>
      </c>
      <c r="AW2123" s="82" t="s">
        <v>15208</v>
      </c>
      <c r="AX2123" s="82" t="s">
        <v>15208</v>
      </c>
      <c r="AY2123" s="77"/>
      <c r="AZ2123" s="82" t="s">
        <v>17385</v>
      </c>
      <c r="BA2123" s="82" t="s">
        <v>17385</v>
      </c>
      <c r="BB2123" s="82" t="s">
        <v>17385</v>
      </c>
      <c r="BC2123" s="82" t="s">
        <v>15208</v>
      </c>
      <c r="BD2123" s="82" t="s">
        <v>17632</v>
      </c>
      <c r="BE2123" s="77"/>
      <c r="BF2123" s="77"/>
      <c r="BG2123" s="77"/>
      <c r="BH2123" s="77"/>
      <c r="BI2123" s="77"/>
    </row>
    <row r="2124" spans="1:61" x14ac:dyDescent="0.25">
      <c r="A2124" s="62" t="s">
        <v>587</v>
      </c>
      <c r="B2124" s="62" t="s">
        <v>587</v>
      </c>
      <c r="C2124" s="63"/>
      <c r="D2124" s="64"/>
      <c r="E2124" s="65"/>
      <c r="F2124" s="66"/>
      <c r="G2124" s="63"/>
      <c r="H2124" s="67"/>
      <c r="I2124" s="68"/>
      <c r="J2124" s="68"/>
      <c r="K2124" s="32"/>
      <c r="L2124" s="75">
        <v>2124</v>
      </c>
      <c r="M2124" s="75"/>
      <c r="N2124" s="70"/>
      <c r="O2124" s="77" t="s">
        <v>179</v>
      </c>
      <c r="P2124" s="79">
        <v>45192.010763888888</v>
      </c>
      <c r="Q2124" s="77" t="s">
        <v>2903</v>
      </c>
      <c r="R2124" s="77">
        <v>0</v>
      </c>
      <c r="S2124" s="77">
        <v>0</v>
      </c>
      <c r="T2124" s="77">
        <v>0</v>
      </c>
      <c r="U2124" s="77">
        <v>0</v>
      </c>
      <c r="V2124" s="77">
        <v>32</v>
      </c>
      <c r="W2124" s="82" t="s">
        <v>6219</v>
      </c>
      <c r="X2124" s="77"/>
      <c r="Y2124" s="77"/>
      <c r="Z2124" s="77"/>
      <c r="AA2124" s="77" t="s">
        <v>8024</v>
      </c>
      <c r="AB2124" s="77" t="s">
        <v>8225</v>
      </c>
      <c r="AC2124" s="82" t="s">
        <v>8233</v>
      </c>
      <c r="AD2124" s="77" t="s">
        <v>8280</v>
      </c>
      <c r="AE2124" s="80" t="str">
        <f>HYPERLINK("https://twitter.com/celiobalbi/status/1705375300971086173")</f>
        <v>https://twitter.com/celiobalbi/status/1705375300971086173</v>
      </c>
      <c r="AF2124" s="79">
        <v>45192.010763888888</v>
      </c>
      <c r="AG2124" s="85">
        <v>45192</v>
      </c>
      <c r="AH2124" s="82" t="s">
        <v>10196</v>
      </c>
      <c r="AI2124" s="77" t="b">
        <v>0</v>
      </c>
      <c r="AJ2124" s="77"/>
      <c r="AK2124" s="77"/>
      <c r="AL2124" s="77"/>
      <c r="AM2124" s="77"/>
      <c r="AN2124" s="77"/>
      <c r="AO2124" s="77"/>
      <c r="AP2124" s="77"/>
      <c r="AQ2124" s="77" t="s">
        <v>12909</v>
      </c>
      <c r="AR2124" s="77"/>
      <c r="AS2124" s="77"/>
      <c r="AT2124" s="77"/>
      <c r="AU2124" s="77"/>
      <c r="AV2124" s="80" t="str">
        <f>HYPERLINK("https://pbs.twimg.com/media/F6q1y6AaMAA5F9z.jpg")</f>
        <v>https://pbs.twimg.com/media/F6q1y6AaMAA5F9z.jpg</v>
      </c>
      <c r="AW2124" s="82" t="s">
        <v>15209</v>
      </c>
      <c r="AX2124" s="82" t="s">
        <v>15209</v>
      </c>
      <c r="AY2124" s="77"/>
      <c r="AZ2124" s="82" t="s">
        <v>17385</v>
      </c>
      <c r="BA2124" s="82" t="s">
        <v>17385</v>
      </c>
      <c r="BB2124" s="82" t="s">
        <v>17385</v>
      </c>
      <c r="BC2124" s="82" t="s">
        <v>15209</v>
      </c>
      <c r="BD2124" s="77">
        <v>171600153</v>
      </c>
      <c r="BE2124" s="77"/>
      <c r="BF2124" s="77"/>
      <c r="BG2124" s="77"/>
      <c r="BH2124" s="77"/>
      <c r="BI2124" s="77"/>
    </row>
    <row r="2125" spans="1:61" x14ac:dyDescent="0.25">
      <c r="A2125" s="62" t="s">
        <v>588</v>
      </c>
      <c r="B2125" s="62" t="s">
        <v>588</v>
      </c>
      <c r="C2125" s="63"/>
      <c r="D2125" s="64"/>
      <c r="E2125" s="65"/>
      <c r="F2125" s="66"/>
      <c r="G2125" s="63"/>
      <c r="H2125" s="67"/>
      <c r="I2125" s="68"/>
      <c r="J2125" s="68"/>
      <c r="K2125" s="32"/>
      <c r="L2125" s="75">
        <v>2125</v>
      </c>
      <c r="M2125" s="75"/>
      <c r="N2125" s="70"/>
      <c r="O2125" s="77" t="s">
        <v>179</v>
      </c>
      <c r="P2125" s="79">
        <v>45180.134421296294</v>
      </c>
      <c r="Q2125" s="77" t="s">
        <v>2904</v>
      </c>
      <c r="R2125" s="77">
        <v>311</v>
      </c>
      <c r="S2125" s="77">
        <v>2116</v>
      </c>
      <c r="T2125" s="77">
        <v>56</v>
      </c>
      <c r="U2125" s="77">
        <v>23</v>
      </c>
      <c r="V2125" s="77">
        <v>568557</v>
      </c>
      <c r="W2125" s="77"/>
      <c r="X2125" s="77"/>
      <c r="Y2125" s="77"/>
      <c r="Z2125" s="77"/>
      <c r="AA2125" s="77" t="s">
        <v>8025</v>
      </c>
      <c r="AB2125" s="77" t="s">
        <v>8225</v>
      </c>
      <c r="AC2125" s="82" t="s">
        <v>8233</v>
      </c>
      <c r="AD2125" s="77" t="s">
        <v>8285</v>
      </c>
      <c r="AE2125" s="80" t="str">
        <f>HYPERLINK("https://twitter.com/investmattallen/status/1701071457525133321")</f>
        <v>https://twitter.com/investmattallen/status/1701071457525133321</v>
      </c>
      <c r="AF2125" s="79">
        <v>45180.134421296294</v>
      </c>
      <c r="AG2125" s="85">
        <v>45180</v>
      </c>
      <c r="AH2125" s="82" t="s">
        <v>10197</v>
      </c>
      <c r="AI2125" s="77" t="b">
        <v>0</v>
      </c>
      <c r="AJ2125" s="77"/>
      <c r="AK2125" s="77"/>
      <c r="AL2125" s="77"/>
      <c r="AM2125" s="77"/>
      <c r="AN2125" s="77"/>
      <c r="AO2125" s="77"/>
      <c r="AP2125" s="77"/>
      <c r="AQ2125" s="77" t="s">
        <v>12910</v>
      </c>
      <c r="AR2125" s="77"/>
      <c r="AS2125" s="77"/>
      <c r="AT2125" s="77"/>
      <c r="AU2125" s="77"/>
      <c r="AV2125" s="80" t="str">
        <f>HYPERLINK("https://pbs.twimg.com/media/F5trebRXAAACrJu.jpg")</f>
        <v>https://pbs.twimg.com/media/F5trebRXAAACrJu.jpg</v>
      </c>
      <c r="AW2125" s="82" t="s">
        <v>15210</v>
      </c>
      <c r="AX2125" s="82" t="s">
        <v>15210</v>
      </c>
      <c r="AY2125" s="77"/>
      <c r="AZ2125" s="82" t="s">
        <v>17385</v>
      </c>
      <c r="BA2125" s="82" t="s">
        <v>17385</v>
      </c>
      <c r="BB2125" s="82" t="s">
        <v>17385</v>
      </c>
      <c r="BC2125" s="82" t="s">
        <v>15210</v>
      </c>
      <c r="BD2125" s="77">
        <v>292998364</v>
      </c>
      <c r="BE2125" s="77"/>
      <c r="BF2125" s="77"/>
      <c r="BG2125" s="77"/>
      <c r="BH2125" s="77"/>
      <c r="BI2125" s="77"/>
    </row>
    <row r="2126" spans="1:61" x14ac:dyDescent="0.25">
      <c r="A2126" s="62" t="s">
        <v>589</v>
      </c>
      <c r="B2126" s="62" t="s">
        <v>589</v>
      </c>
      <c r="C2126" s="63"/>
      <c r="D2126" s="64"/>
      <c r="E2126" s="65"/>
      <c r="F2126" s="66"/>
      <c r="G2126" s="63"/>
      <c r="H2126" s="67"/>
      <c r="I2126" s="68"/>
      <c r="J2126" s="68"/>
      <c r="K2126" s="32"/>
      <c r="L2126" s="75">
        <v>2126</v>
      </c>
      <c r="M2126" s="75"/>
      <c r="N2126" s="70"/>
      <c r="O2126" s="77" t="s">
        <v>179</v>
      </c>
      <c r="P2126" s="79">
        <v>45130.534629629627</v>
      </c>
      <c r="Q2126" s="77" t="s">
        <v>2905</v>
      </c>
      <c r="R2126" s="77">
        <v>0</v>
      </c>
      <c r="S2126" s="77">
        <v>1</v>
      </c>
      <c r="T2126" s="77">
        <v>0</v>
      </c>
      <c r="U2126" s="77">
        <v>0</v>
      </c>
      <c r="V2126" s="77">
        <v>7</v>
      </c>
      <c r="W2126" s="82" t="s">
        <v>6220</v>
      </c>
      <c r="X2126" s="77"/>
      <c r="Y2126" s="77"/>
      <c r="Z2126" s="77"/>
      <c r="AA2126" s="77" t="s">
        <v>8026</v>
      </c>
      <c r="AB2126" s="77" t="s">
        <v>8225</v>
      </c>
      <c r="AC2126" s="82" t="s">
        <v>8233</v>
      </c>
      <c r="AD2126" s="77" t="s">
        <v>8278</v>
      </c>
      <c r="AE2126" s="80" t="str">
        <f>HYPERLINK("https://twitter.com/marquinhodapipa/status/1683097096365154304")</f>
        <v>https://twitter.com/marquinhodapipa/status/1683097096365154304</v>
      </c>
      <c r="AF2126" s="79">
        <v>45130.534629629627</v>
      </c>
      <c r="AG2126" s="85">
        <v>45130</v>
      </c>
      <c r="AH2126" s="82" t="s">
        <v>10198</v>
      </c>
      <c r="AI2126" s="77" t="b">
        <v>0</v>
      </c>
      <c r="AJ2126" s="77"/>
      <c r="AK2126" s="77"/>
      <c r="AL2126" s="77"/>
      <c r="AM2126" s="77"/>
      <c r="AN2126" s="77"/>
      <c r="AO2126" s="77"/>
      <c r="AP2126" s="77"/>
      <c r="AQ2126" s="77" t="s">
        <v>12911</v>
      </c>
      <c r="AR2126" s="77"/>
      <c r="AS2126" s="77"/>
      <c r="AT2126" s="77"/>
      <c r="AU2126" s="77"/>
      <c r="AV2126" s="80" t="str">
        <f>HYPERLINK("https://pbs.twimg.com/media/F1uP4sSX0AU3R4r.jpg")</f>
        <v>https://pbs.twimg.com/media/F1uP4sSX0AU3R4r.jpg</v>
      </c>
      <c r="AW2126" s="82" t="s">
        <v>15211</v>
      </c>
      <c r="AX2126" s="82" t="s">
        <v>15211</v>
      </c>
      <c r="AY2126" s="77"/>
      <c r="AZ2126" s="82" t="s">
        <v>17385</v>
      </c>
      <c r="BA2126" s="82" t="s">
        <v>17385</v>
      </c>
      <c r="BB2126" s="82" t="s">
        <v>17385</v>
      </c>
      <c r="BC2126" s="82" t="s">
        <v>15211</v>
      </c>
      <c r="BD2126" s="82" t="s">
        <v>17633</v>
      </c>
      <c r="BE2126" s="77"/>
      <c r="BF2126" s="77"/>
      <c r="BG2126" s="77"/>
      <c r="BH2126" s="77"/>
      <c r="BI2126" s="77"/>
    </row>
    <row r="2127" spans="1:61" x14ac:dyDescent="0.25">
      <c r="A2127" s="62" t="s">
        <v>590</v>
      </c>
      <c r="B2127" s="62" t="s">
        <v>590</v>
      </c>
      <c r="C2127" s="63"/>
      <c r="D2127" s="64"/>
      <c r="E2127" s="65"/>
      <c r="F2127" s="66"/>
      <c r="G2127" s="63"/>
      <c r="H2127" s="67"/>
      <c r="I2127" s="68"/>
      <c r="J2127" s="68"/>
      <c r="K2127" s="32"/>
      <c r="L2127" s="75">
        <v>2127</v>
      </c>
      <c r="M2127" s="75"/>
      <c r="N2127" s="70"/>
      <c r="O2127" s="77" t="s">
        <v>179</v>
      </c>
      <c r="P2127" s="79">
        <v>45047.884062500001</v>
      </c>
      <c r="Q2127" s="77" t="s">
        <v>2906</v>
      </c>
      <c r="R2127" s="77">
        <v>0</v>
      </c>
      <c r="S2127" s="77">
        <v>0</v>
      </c>
      <c r="T2127" s="77">
        <v>0</v>
      </c>
      <c r="U2127" s="77">
        <v>0</v>
      </c>
      <c r="V2127" s="77">
        <v>21</v>
      </c>
      <c r="W2127" s="82" t="s">
        <v>6221</v>
      </c>
      <c r="X2127" s="80" t="str">
        <f>HYPERLINK("https://tinyurl.com/2v5z4kyc")</f>
        <v>https://tinyurl.com/2v5z4kyc</v>
      </c>
      <c r="Y2127" s="77" t="s">
        <v>7068</v>
      </c>
      <c r="Z2127" s="77"/>
      <c r="AA2127" s="77"/>
      <c r="AB2127" s="77"/>
      <c r="AC2127" s="82" t="s">
        <v>8232</v>
      </c>
      <c r="AD2127" s="77" t="s">
        <v>8278</v>
      </c>
      <c r="AE2127" s="80" t="str">
        <f>HYPERLINK("https://twitter.com/onjornal1/status/1653145531235827719")</f>
        <v>https://twitter.com/onjornal1/status/1653145531235827719</v>
      </c>
      <c r="AF2127" s="79">
        <v>45047.884062500001</v>
      </c>
      <c r="AG2127" s="85">
        <v>45047</v>
      </c>
      <c r="AH2127" s="82" t="s">
        <v>10199</v>
      </c>
      <c r="AI2127" s="77" t="b">
        <v>0</v>
      </c>
      <c r="AJ2127" s="77"/>
      <c r="AK2127" s="77"/>
      <c r="AL2127" s="77"/>
      <c r="AM2127" s="77"/>
      <c r="AN2127" s="77"/>
      <c r="AO2127" s="77"/>
      <c r="AP2127" s="77"/>
      <c r="AQ2127" s="77"/>
      <c r="AR2127" s="77"/>
      <c r="AS2127" s="77"/>
      <c r="AT2127" s="77"/>
      <c r="AU2127" s="77"/>
      <c r="AV2127" s="80" t="str">
        <f>HYPERLINK("https://pbs.twimg.com/profile_images/1654237553636065282/s_FbzlFY_normal.jpg")</f>
        <v>https://pbs.twimg.com/profile_images/1654237553636065282/s_FbzlFY_normal.jpg</v>
      </c>
      <c r="AW2127" s="82" t="s">
        <v>15212</v>
      </c>
      <c r="AX2127" s="82" t="s">
        <v>15212</v>
      </c>
      <c r="AY2127" s="77"/>
      <c r="AZ2127" s="82" t="s">
        <v>17385</v>
      </c>
      <c r="BA2127" s="82" t="s">
        <v>17385</v>
      </c>
      <c r="BB2127" s="82" t="s">
        <v>17385</v>
      </c>
      <c r="BC2127" s="82" t="s">
        <v>15212</v>
      </c>
      <c r="BD2127" s="82" t="s">
        <v>17634</v>
      </c>
      <c r="BE2127" s="77"/>
      <c r="BF2127" s="77"/>
      <c r="BG2127" s="77"/>
      <c r="BH2127" s="77"/>
      <c r="BI2127" s="77"/>
    </row>
    <row r="2128" spans="1:61" x14ac:dyDescent="0.25">
      <c r="A2128" s="62" t="s">
        <v>590</v>
      </c>
      <c r="B2128" s="62" t="s">
        <v>590</v>
      </c>
      <c r="C2128" s="63"/>
      <c r="D2128" s="64"/>
      <c r="E2128" s="65"/>
      <c r="F2128" s="66"/>
      <c r="G2128" s="63"/>
      <c r="H2128" s="67"/>
      <c r="I2128" s="68"/>
      <c r="J2128" s="68"/>
      <c r="K2128" s="32"/>
      <c r="L2128" s="75">
        <v>2128</v>
      </c>
      <c r="M2128" s="75"/>
      <c r="N2128" s="70"/>
      <c r="O2128" s="77" t="s">
        <v>179</v>
      </c>
      <c r="P2128" s="79">
        <v>45117.829224537039</v>
      </c>
      <c r="Q2128" s="77" t="s">
        <v>2907</v>
      </c>
      <c r="R2128" s="77">
        <v>0</v>
      </c>
      <c r="S2128" s="77">
        <v>0</v>
      </c>
      <c r="T2128" s="77">
        <v>0</v>
      </c>
      <c r="U2128" s="77">
        <v>0</v>
      </c>
      <c r="V2128" s="77">
        <v>14</v>
      </c>
      <c r="W2128" s="82" t="s">
        <v>6222</v>
      </c>
      <c r="X2128" s="80" t="str">
        <f>HYPERLINK("https://tinyurl.com/y3kzd8hu")</f>
        <v>https://tinyurl.com/y3kzd8hu</v>
      </c>
      <c r="Y2128" s="77" t="s">
        <v>7068</v>
      </c>
      <c r="Z2128" s="77"/>
      <c r="AA2128" s="77" t="s">
        <v>8027</v>
      </c>
      <c r="AB2128" s="77" t="s">
        <v>8225</v>
      </c>
      <c r="AC2128" s="82" t="s">
        <v>8232</v>
      </c>
      <c r="AD2128" s="77" t="s">
        <v>8278</v>
      </c>
      <c r="AE2128" s="80" t="str">
        <f>HYPERLINK("https://twitter.com/onjornal1/status/1678492811878973440")</f>
        <v>https://twitter.com/onjornal1/status/1678492811878973440</v>
      </c>
      <c r="AF2128" s="79">
        <v>45117.829224537039</v>
      </c>
      <c r="AG2128" s="85">
        <v>45117</v>
      </c>
      <c r="AH2128" s="82" t="s">
        <v>10200</v>
      </c>
      <c r="AI2128" s="77" t="b">
        <v>0</v>
      </c>
      <c r="AJ2128" s="77"/>
      <c r="AK2128" s="77"/>
      <c r="AL2128" s="77"/>
      <c r="AM2128" s="77"/>
      <c r="AN2128" s="77"/>
      <c r="AO2128" s="77"/>
      <c r="AP2128" s="77"/>
      <c r="AQ2128" s="77" t="s">
        <v>12912</v>
      </c>
      <c r="AR2128" s="77"/>
      <c r="AS2128" s="77"/>
      <c r="AT2128" s="77"/>
      <c r="AU2128" s="77"/>
      <c r="AV2128" s="80" t="str">
        <f>HYPERLINK("https://pbs.twimg.com/media/F0s0TSQWcBIAgY-.jpg")</f>
        <v>https://pbs.twimg.com/media/F0s0TSQWcBIAgY-.jpg</v>
      </c>
      <c r="AW2128" s="82" t="s">
        <v>15213</v>
      </c>
      <c r="AX2128" s="82" t="s">
        <v>15213</v>
      </c>
      <c r="AY2128" s="77"/>
      <c r="AZ2128" s="82" t="s">
        <v>17385</v>
      </c>
      <c r="BA2128" s="82" t="s">
        <v>17385</v>
      </c>
      <c r="BB2128" s="82" t="s">
        <v>17385</v>
      </c>
      <c r="BC2128" s="82" t="s">
        <v>15213</v>
      </c>
      <c r="BD2128" s="82" t="s">
        <v>17634</v>
      </c>
      <c r="BE2128" s="77"/>
      <c r="BF2128" s="77"/>
      <c r="BG2128" s="77"/>
      <c r="BH2128" s="77"/>
      <c r="BI2128" s="77"/>
    </row>
    <row r="2129" spans="1:61" x14ac:dyDescent="0.25">
      <c r="A2129" s="62" t="s">
        <v>590</v>
      </c>
      <c r="B2129" s="62" t="s">
        <v>590</v>
      </c>
      <c r="C2129" s="63"/>
      <c r="D2129" s="64"/>
      <c r="E2129" s="65"/>
      <c r="F2129" s="66"/>
      <c r="G2129" s="63"/>
      <c r="H2129" s="67"/>
      <c r="I2129" s="68"/>
      <c r="J2129" s="68"/>
      <c r="K2129" s="32"/>
      <c r="L2129" s="75">
        <v>2129</v>
      </c>
      <c r="M2129" s="75"/>
      <c r="N2129" s="70"/>
      <c r="O2129" s="77" t="s">
        <v>179</v>
      </c>
      <c r="P2129" s="79">
        <v>45117.815324074072</v>
      </c>
      <c r="Q2129" s="77" t="s">
        <v>2908</v>
      </c>
      <c r="R2129" s="77">
        <v>0</v>
      </c>
      <c r="S2129" s="77">
        <v>0</v>
      </c>
      <c r="T2129" s="77">
        <v>0</v>
      </c>
      <c r="U2129" s="77">
        <v>0</v>
      </c>
      <c r="V2129" s="77">
        <v>29</v>
      </c>
      <c r="W2129" s="82" t="s">
        <v>6223</v>
      </c>
      <c r="X2129" s="80" t="str">
        <f>HYPERLINK("https://tinyurl.com/mrycpxs6")</f>
        <v>https://tinyurl.com/mrycpxs6</v>
      </c>
      <c r="Y2129" s="77" t="s">
        <v>7068</v>
      </c>
      <c r="Z2129" s="77"/>
      <c r="AA2129" s="77" t="s">
        <v>8028</v>
      </c>
      <c r="AB2129" s="77" t="s">
        <v>8225</v>
      </c>
      <c r="AC2129" s="82" t="s">
        <v>8232</v>
      </c>
      <c r="AD2129" s="77" t="s">
        <v>8278</v>
      </c>
      <c r="AE2129" s="80" t="str">
        <f>HYPERLINK("https://twitter.com/onjornal1/status/1678487772695261192")</f>
        <v>https://twitter.com/onjornal1/status/1678487772695261192</v>
      </c>
      <c r="AF2129" s="79">
        <v>45117.815324074072</v>
      </c>
      <c r="AG2129" s="85">
        <v>45117</v>
      </c>
      <c r="AH2129" s="82" t="s">
        <v>10201</v>
      </c>
      <c r="AI2129" s="77" t="b">
        <v>0</v>
      </c>
      <c r="AJ2129" s="77"/>
      <c r="AK2129" s="77"/>
      <c r="AL2129" s="77"/>
      <c r="AM2129" s="77"/>
      <c r="AN2129" s="77"/>
      <c r="AO2129" s="77"/>
      <c r="AP2129" s="77"/>
      <c r="AQ2129" s="77" t="s">
        <v>12913</v>
      </c>
      <c r="AR2129" s="77"/>
      <c r="AS2129" s="77"/>
      <c r="AT2129" s="77"/>
      <c r="AU2129" s="77"/>
      <c r="AV2129" s="80" t="str">
        <f>HYPERLINK("https://pbs.twimg.com/media/F0svunvWcBc-dab.jpg")</f>
        <v>https://pbs.twimg.com/media/F0svunvWcBc-dab.jpg</v>
      </c>
      <c r="AW2129" s="82" t="s">
        <v>15214</v>
      </c>
      <c r="AX2129" s="82" t="s">
        <v>15214</v>
      </c>
      <c r="AY2129" s="77"/>
      <c r="AZ2129" s="82" t="s">
        <v>17385</v>
      </c>
      <c r="BA2129" s="82" t="s">
        <v>17385</v>
      </c>
      <c r="BB2129" s="82" t="s">
        <v>17385</v>
      </c>
      <c r="BC2129" s="82" t="s">
        <v>15214</v>
      </c>
      <c r="BD2129" s="82" t="s">
        <v>17634</v>
      </c>
      <c r="BE2129" s="77"/>
      <c r="BF2129" s="77"/>
      <c r="BG2129" s="77"/>
      <c r="BH2129" s="77"/>
      <c r="BI2129" s="77"/>
    </row>
    <row r="2130" spans="1:61" x14ac:dyDescent="0.25">
      <c r="A2130" s="62" t="s">
        <v>590</v>
      </c>
      <c r="B2130" s="62" t="s">
        <v>590</v>
      </c>
      <c r="C2130" s="63"/>
      <c r="D2130" s="64"/>
      <c r="E2130" s="65"/>
      <c r="F2130" s="66"/>
      <c r="G2130" s="63"/>
      <c r="H2130" s="67"/>
      <c r="I2130" s="68"/>
      <c r="J2130" s="68"/>
      <c r="K2130" s="32"/>
      <c r="L2130" s="75">
        <v>2130</v>
      </c>
      <c r="M2130" s="75"/>
      <c r="N2130" s="70"/>
      <c r="O2130" s="77" t="s">
        <v>179</v>
      </c>
      <c r="P2130" s="79">
        <v>45122.74895833333</v>
      </c>
      <c r="Q2130" s="77" t="s">
        <v>2909</v>
      </c>
      <c r="R2130" s="77">
        <v>0</v>
      </c>
      <c r="S2130" s="77">
        <v>0</v>
      </c>
      <c r="T2130" s="77">
        <v>0</v>
      </c>
      <c r="U2130" s="77">
        <v>0</v>
      </c>
      <c r="V2130" s="77">
        <v>9</v>
      </c>
      <c r="W2130" s="82" t="s">
        <v>6224</v>
      </c>
      <c r="X2130" s="80" t="str">
        <f>HYPERLINK("https://tinyurl.com/4d6scpr3")</f>
        <v>https://tinyurl.com/4d6scpr3</v>
      </c>
      <c r="Y2130" s="77" t="s">
        <v>7068</v>
      </c>
      <c r="Z2130" s="77"/>
      <c r="AA2130" s="77" t="s">
        <v>8029</v>
      </c>
      <c r="AB2130" s="77" t="s">
        <v>8225</v>
      </c>
      <c r="AC2130" s="82" t="s">
        <v>8232</v>
      </c>
      <c r="AD2130" s="77" t="s">
        <v>8278</v>
      </c>
      <c r="AE2130" s="80" t="str">
        <f>HYPERLINK("https://twitter.com/onjornal1/status/1680275660009361409")</f>
        <v>https://twitter.com/onjornal1/status/1680275660009361409</v>
      </c>
      <c r="AF2130" s="79">
        <v>45122.74895833333</v>
      </c>
      <c r="AG2130" s="85">
        <v>45122</v>
      </c>
      <c r="AH2130" s="82" t="s">
        <v>10202</v>
      </c>
      <c r="AI2130" s="77" t="b">
        <v>0</v>
      </c>
      <c r="AJ2130" s="77"/>
      <c r="AK2130" s="77"/>
      <c r="AL2130" s="77"/>
      <c r="AM2130" s="77"/>
      <c r="AN2130" s="77"/>
      <c r="AO2130" s="77"/>
      <c r="AP2130" s="77"/>
      <c r="AQ2130" s="77" t="s">
        <v>12914</v>
      </c>
      <c r="AR2130" s="77"/>
      <c r="AS2130" s="77"/>
      <c r="AT2130" s="77"/>
      <c r="AU2130" s="77"/>
      <c r="AV2130" s="80" t="str">
        <f>HYPERLINK("https://pbs.twimg.com/media/F1GJze2WwAEHND3.jpg")</f>
        <v>https://pbs.twimg.com/media/F1GJze2WwAEHND3.jpg</v>
      </c>
      <c r="AW2130" s="82" t="s">
        <v>15215</v>
      </c>
      <c r="AX2130" s="82" t="s">
        <v>15215</v>
      </c>
      <c r="AY2130" s="77"/>
      <c r="AZ2130" s="82" t="s">
        <v>17385</v>
      </c>
      <c r="BA2130" s="82" t="s">
        <v>17385</v>
      </c>
      <c r="BB2130" s="82" t="s">
        <v>17385</v>
      </c>
      <c r="BC2130" s="82" t="s">
        <v>15215</v>
      </c>
      <c r="BD2130" s="82" t="s">
        <v>17634</v>
      </c>
      <c r="BE2130" s="77"/>
      <c r="BF2130" s="77"/>
      <c r="BG2130" s="77"/>
      <c r="BH2130" s="77"/>
      <c r="BI2130" s="77"/>
    </row>
    <row r="2131" spans="1:61" x14ac:dyDescent="0.25">
      <c r="A2131" s="62" t="s">
        <v>590</v>
      </c>
      <c r="B2131" s="62" t="s">
        <v>590</v>
      </c>
      <c r="C2131" s="63"/>
      <c r="D2131" s="64"/>
      <c r="E2131" s="65"/>
      <c r="F2131" s="66"/>
      <c r="G2131" s="63"/>
      <c r="H2131" s="67"/>
      <c r="I2131" s="68"/>
      <c r="J2131" s="68"/>
      <c r="K2131" s="32"/>
      <c r="L2131" s="75">
        <v>2131</v>
      </c>
      <c r="M2131" s="75"/>
      <c r="N2131" s="70"/>
      <c r="O2131" s="77" t="s">
        <v>179</v>
      </c>
      <c r="P2131" s="79">
        <v>45113.809918981482</v>
      </c>
      <c r="Q2131" s="77" t="s">
        <v>2910</v>
      </c>
      <c r="R2131" s="77">
        <v>0</v>
      </c>
      <c r="S2131" s="77">
        <v>0</v>
      </c>
      <c r="T2131" s="77">
        <v>0</v>
      </c>
      <c r="U2131" s="77">
        <v>0</v>
      </c>
      <c r="V2131" s="77">
        <v>2</v>
      </c>
      <c r="W2131" s="82" t="s">
        <v>6225</v>
      </c>
      <c r="X2131" s="80" t="str">
        <f>HYPERLINK("https://tinyurl.com/4mrpdypu")</f>
        <v>https://tinyurl.com/4mrpdypu</v>
      </c>
      <c r="Y2131" s="77" t="s">
        <v>7068</v>
      </c>
      <c r="Z2131" s="77"/>
      <c r="AA2131" s="77" t="s">
        <v>8030</v>
      </c>
      <c r="AB2131" s="77" t="s">
        <v>8225</v>
      </c>
      <c r="AC2131" s="82" t="s">
        <v>8232</v>
      </c>
      <c r="AD2131" s="77" t="s">
        <v>8278</v>
      </c>
      <c r="AE2131" s="80" t="str">
        <f>HYPERLINK("https://twitter.com/onjornal1/status/1677036261230477318")</f>
        <v>https://twitter.com/onjornal1/status/1677036261230477318</v>
      </c>
      <c r="AF2131" s="79">
        <v>45113.809918981482</v>
      </c>
      <c r="AG2131" s="85">
        <v>45113</v>
      </c>
      <c r="AH2131" s="82" t="s">
        <v>10203</v>
      </c>
      <c r="AI2131" s="77" t="b">
        <v>0</v>
      </c>
      <c r="AJ2131" s="77"/>
      <c r="AK2131" s="77"/>
      <c r="AL2131" s="77"/>
      <c r="AM2131" s="77"/>
      <c r="AN2131" s="77"/>
      <c r="AO2131" s="77"/>
      <c r="AP2131" s="77"/>
      <c r="AQ2131" s="77" t="s">
        <v>12915</v>
      </c>
      <c r="AR2131" s="77"/>
      <c r="AS2131" s="77"/>
      <c r="AT2131" s="77"/>
      <c r="AU2131" s="77"/>
      <c r="AV2131" s="80" t="str">
        <f>HYPERLINK("https://pbs.twimg.com/media/F0YHlgPXsAELajW.jpg")</f>
        <v>https://pbs.twimg.com/media/F0YHlgPXsAELajW.jpg</v>
      </c>
      <c r="AW2131" s="82" t="s">
        <v>15216</v>
      </c>
      <c r="AX2131" s="82" t="s">
        <v>15216</v>
      </c>
      <c r="AY2131" s="77"/>
      <c r="AZ2131" s="82" t="s">
        <v>17385</v>
      </c>
      <c r="BA2131" s="82" t="s">
        <v>17385</v>
      </c>
      <c r="BB2131" s="82" t="s">
        <v>17385</v>
      </c>
      <c r="BC2131" s="82" t="s">
        <v>15216</v>
      </c>
      <c r="BD2131" s="82" t="s">
        <v>17634</v>
      </c>
      <c r="BE2131" s="77"/>
      <c r="BF2131" s="77"/>
      <c r="BG2131" s="77"/>
      <c r="BH2131" s="77"/>
      <c r="BI2131" s="77"/>
    </row>
    <row r="2132" spans="1:61" x14ac:dyDescent="0.25">
      <c r="A2132" s="62" t="s">
        <v>590</v>
      </c>
      <c r="B2132" s="62" t="s">
        <v>590</v>
      </c>
      <c r="C2132" s="63"/>
      <c r="D2132" s="64"/>
      <c r="E2132" s="65"/>
      <c r="F2132" s="66"/>
      <c r="G2132" s="63"/>
      <c r="H2132" s="67"/>
      <c r="I2132" s="68"/>
      <c r="J2132" s="68"/>
      <c r="K2132" s="32"/>
      <c r="L2132" s="75">
        <v>2132</v>
      </c>
      <c r="M2132" s="75"/>
      <c r="N2132" s="70"/>
      <c r="O2132" s="77" t="s">
        <v>179</v>
      </c>
      <c r="P2132" s="79">
        <v>45089.832719907405</v>
      </c>
      <c r="Q2132" s="77" t="s">
        <v>2911</v>
      </c>
      <c r="R2132" s="77">
        <v>0</v>
      </c>
      <c r="S2132" s="77">
        <v>0</v>
      </c>
      <c r="T2132" s="77">
        <v>0</v>
      </c>
      <c r="U2132" s="77">
        <v>0</v>
      </c>
      <c r="V2132" s="77">
        <v>16</v>
      </c>
      <c r="W2132" s="82" t="s">
        <v>6226</v>
      </c>
      <c r="X2132" s="80" t="str">
        <f>HYPERLINK("https://tinyurl.com/bdh3cspk")</f>
        <v>https://tinyurl.com/bdh3cspk</v>
      </c>
      <c r="Y2132" s="77" t="s">
        <v>7068</v>
      </c>
      <c r="Z2132" s="77"/>
      <c r="AA2132" s="77" t="s">
        <v>8031</v>
      </c>
      <c r="AB2132" s="77" t="s">
        <v>8225</v>
      </c>
      <c r="AC2132" s="82" t="s">
        <v>8235</v>
      </c>
      <c r="AD2132" s="77" t="s">
        <v>8278</v>
      </c>
      <c r="AE2132" s="80" t="str">
        <f>HYPERLINK("https://twitter.com/onjornal1/status/1668347215318769666")</f>
        <v>https://twitter.com/onjornal1/status/1668347215318769666</v>
      </c>
      <c r="AF2132" s="79">
        <v>45089.832719907405</v>
      </c>
      <c r="AG2132" s="85">
        <v>45089</v>
      </c>
      <c r="AH2132" s="82" t="s">
        <v>10204</v>
      </c>
      <c r="AI2132" s="77" t="b">
        <v>0</v>
      </c>
      <c r="AJ2132" s="77"/>
      <c r="AK2132" s="77"/>
      <c r="AL2132" s="77"/>
      <c r="AM2132" s="77"/>
      <c r="AN2132" s="77"/>
      <c r="AO2132" s="77"/>
      <c r="AP2132" s="77"/>
      <c r="AQ2132" s="77" t="s">
        <v>12916</v>
      </c>
      <c r="AR2132" s="77"/>
      <c r="AS2132" s="77"/>
      <c r="AT2132" s="77"/>
      <c r="AU2132" s="77"/>
      <c r="AV2132" s="80" t="str">
        <f>HYPERLINK("https://pbs.twimg.com/media/Fyco85PWYBcfK2t.jpg")</f>
        <v>https://pbs.twimg.com/media/Fyco85PWYBcfK2t.jpg</v>
      </c>
      <c r="AW2132" s="82" t="s">
        <v>15217</v>
      </c>
      <c r="AX2132" s="82" t="s">
        <v>15217</v>
      </c>
      <c r="AY2132" s="77"/>
      <c r="AZ2132" s="82" t="s">
        <v>17385</v>
      </c>
      <c r="BA2132" s="82" t="s">
        <v>17385</v>
      </c>
      <c r="BB2132" s="82" t="s">
        <v>17385</v>
      </c>
      <c r="BC2132" s="82" t="s">
        <v>15217</v>
      </c>
      <c r="BD2132" s="82" t="s">
        <v>17634</v>
      </c>
      <c r="BE2132" s="77"/>
      <c r="BF2132" s="77"/>
      <c r="BG2132" s="77"/>
      <c r="BH2132" s="77"/>
      <c r="BI2132" s="77"/>
    </row>
    <row r="2133" spans="1:61" x14ac:dyDescent="0.25">
      <c r="A2133" s="62" t="s">
        <v>590</v>
      </c>
      <c r="B2133" s="62" t="s">
        <v>590</v>
      </c>
      <c r="C2133" s="63"/>
      <c r="D2133" s="64"/>
      <c r="E2133" s="65"/>
      <c r="F2133" s="66"/>
      <c r="G2133" s="63"/>
      <c r="H2133" s="67"/>
      <c r="I2133" s="68"/>
      <c r="J2133" s="68"/>
      <c r="K2133" s="32"/>
      <c r="L2133" s="75">
        <v>2133</v>
      </c>
      <c r="M2133" s="75"/>
      <c r="N2133" s="70"/>
      <c r="O2133" s="77" t="s">
        <v>179</v>
      </c>
      <c r="P2133" s="79">
        <v>45152.82984953704</v>
      </c>
      <c r="Q2133" s="77" t="s">
        <v>2912</v>
      </c>
      <c r="R2133" s="77">
        <v>0</v>
      </c>
      <c r="S2133" s="77">
        <v>0</v>
      </c>
      <c r="T2133" s="77">
        <v>0</v>
      </c>
      <c r="U2133" s="77">
        <v>0</v>
      </c>
      <c r="V2133" s="77">
        <v>7</v>
      </c>
      <c r="W2133" s="82" t="s">
        <v>6227</v>
      </c>
      <c r="X2133" s="80" t="str">
        <f>HYPERLINK("https://tinyurl.com/2s383jv2")</f>
        <v>https://tinyurl.com/2s383jv2</v>
      </c>
      <c r="Y2133" s="77" t="s">
        <v>7068</v>
      </c>
      <c r="Z2133" s="77"/>
      <c r="AA2133" s="77" t="s">
        <v>8032</v>
      </c>
      <c r="AB2133" s="77" t="s">
        <v>8225</v>
      </c>
      <c r="AC2133" s="82" t="s">
        <v>8232</v>
      </c>
      <c r="AD2133" s="77" t="s">
        <v>8278</v>
      </c>
      <c r="AE2133" s="80" t="str">
        <f>HYPERLINK("https://twitter.com/onjornal1/status/1691176613713522689")</f>
        <v>https://twitter.com/onjornal1/status/1691176613713522689</v>
      </c>
      <c r="AF2133" s="79">
        <v>45152.82984953704</v>
      </c>
      <c r="AG2133" s="85">
        <v>45152</v>
      </c>
      <c r="AH2133" s="82" t="s">
        <v>10205</v>
      </c>
      <c r="AI2133" s="77" t="b">
        <v>0</v>
      </c>
      <c r="AJ2133" s="77"/>
      <c r="AK2133" s="77"/>
      <c r="AL2133" s="77"/>
      <c r="AM2133" s="77"/>
      <c r="AN2133" s="77"/>
      <c r="AO2133" s="77"/>
      <c r="AP2133" s="77"/>
      <c r="AQ2133" s="77" t="s">
        <v>12917</v>
      </c>
      <c r="AR2133" s="77"/>
      <c r="AS2133" s="77"/>
      <c r="AT2133" s="77"/>
      <c r="AU2133" s="77"/>
      <c r="AV2133" s="80" t="str">
        <f>HYPERLINK("https://pbs.twimg.com/media/F3hEBRnWEAANGEo.jpg")</f>
        <v>https://pbs.twimg.com/media/F3hEBRnWEAANGEo.jpg</v>
      </c>
      <c r="AW2133" s="82" t="s">
        <v>15218</v>
      </c>
      <c r="AX2133" s="82" t="s">
        <v>15218</v>
      </c>
      <c r="AY2133" s="77"/>
      <c r="AZ2133" s="82" t="s">
        <v>17385</v>
      </c>
      <c r="BA2133" s="82" t="s">
        <v>17385</v>
      </c>
      <c r="BB2133" s="82" t="s">
        <v>17385</v>
      </c>
      <c r="BC2133" s="82" t="s">
        <v>15218</v>
      </c>
      <c r="BD2133" s="82" t="s">
        <v>17634</v>
      </c>
      <c r="BE2133" s="77"/>
      <c r="BF2133" s="77"/>
      <c r="BG2133" s="77"/>
      <c r="BH2133" s="77"/>
      <c r="BI2133" s="77"/>
    </row>
    <row r="2134" spans="1:61" x14ac:dyDescent="0.25">
      <c r="A2134" s="62" t="s">
        <v>590</v>
      </c>
      <c r="B2134" s="62" t="s">
        <v>590</v>
      </c>
      <c r="C2134" s="63"/>
      <c r="D2134" s="64"/>
      <c r="E2134" s="65"/>
      <c r="F2134" s="66"/>
      <c r="G2134" s="63"/>
      <c r="H2134" s="67"/>
      <c r="I2134" s="68"/>
      <c r="J2134" s="68"/>
      <c r="K2134" s="32"/>
      <c r="L2134" s="75">
        <v>2134</v>
      </c>
      <c r="M2134" s="75"/>
      <c r="N2134" s="70"/>
      <c r="O2134" s="77" t="s">
        <v>179</v>
      </c>
      <c r="P2134" s="79">
        <v>45110.580497685187</v>
      </c>
      <c r="Q2134" s="77" t="s">
        <v>2913</v>
      </c>
      <c r="R2134" s="77">
        <v>0</v>
      </c>
      <c r="S2134" s="77">
        <v>0</v>
      </c>
      <c r="T2134" s="77">
        <v>0</v>
      </c>
      <c r="U2134" s="77">
        <v>0</v>
      </c>
      <c r="V2134" s="77">
        <v>5</v>
      </c>
      <c r="W2134" s="82" t="s">
        <v>6228</v>
      </c>
      <c r="X2134" s="80" t="str">
        <f>HYPERLINK("https://tinyurl.com/5x4apufj")</f>
        <v>https://tinyurl.com/5x4apufj</v>
      </c>
      <c r="Y2134" s="77" t="s">
        <v>7068</v>
      </c>
      <c r="Z2134" s="77"/>
      <c r="AA2134" s="77" t="s">
        <v>8033</v>
      </c>
      <c r="AB2134" s="77" t="s">
        <v>8225</v>
      </c>
      <c r="AC2134" s="82" t="s">
        <v>8232</v>
      </c>
      <c r="AD2134" s="77" t="s">
        <v>8278</v>
      </c>
      <c r="AE2134" s="80" t="str">
        <f>HYPERLINK("https://twitter.com/onjornal1/status/1675865959133851650")</f>
        <v>https://twitter.com/onjornal1/status/1675865959133851650</v>
      </c>
      <c r="AF2134" s="79">
        <v>45110.580497685187</v>
      </c>
      <c r="AG2134" s="85">
        <v>45110</v>
      </c>
      <c r="AH2134" s="82" t="s">
        <v>10206</v>
      </c>
      <c r="AI2134" s="77" t="b">
        <v>0</v>
      </c>
      <c r="AJ2134" s="77"/>
      <c r="AK2134" s="77"/>
      <c r="AL2134" s="77"/>
      <c r="AM2134" s="77"/>
      <c r="AN2134" s="77"/>
      <c r="AO2134" s="77"/>
      <c r="AP2134" s="77"/>
      <c r="AQ2134" s="77" t="s">
        <v>12918</v>
      </c>
      <c r="AR2134" s="77"/>
      <c r="AS2134" s="77"/>
      <c r="AT2134" s="77"/>
      <c r="AU2134" s="77"/>
      <c r="AV2134" s="80" t="str">
        <f>HYPERLINK("https://pbs.twimg.com/media/F0HfND6XwAI2JoJ.jpg")</f>
        <v>https://pbs.twimg.com/media/F0HfND6XwAI2JoJ.jpg</v>
      </c>
      <c r="AW2134" s="82" t="s">
        <v>15219</v>
      </c>
      <c r="AX2134" s="82" t="s">
        <v>15219</v>
      </c>
      <c r="AY2134" s="77"/>
      <c r="AZ2134" s="82" t="s">
        <v>17385</v>
      </c>
      <c r="BA2134" s="82" t="s">
        <v>17385</v>
      </c>
      <c r="BB2134" s="82" t="s">
        <v>17385</v>
      </c>
      <c r="BC2134" s="82" t="s">
        <v>15219</v>
      </c>
      <c r="BD2134" s="82" t="s">
        <v>17634</v>
      </c>
      <c r="BE2134" s="77"/>
      <c r="BF2134" s="77"/>
      <c r="BG2134" s="77"/>
      <c r="BH2134" s="77"/>
      <c r="BI2134" s="77"/>
    </row>
    <row r="2135" spans="1:61" x14ac:dyDescent="0.25">
      <c r="A2135" s="62" t="s">
        <v>590</v>
      </c>
      <c r="B2135" s="62" t="s">
        <v>590</v>
      </c>
      <c r="C2135" s="63"/>
      <c r="D2135" s="64"/>
      <c r="E2135" s="65"/>
      <c r="F2135" s="66"/>
      <c r="G2135" s="63"/>
      <c r="H2135" s="67"/>
      <c r="I2135" s="68"/>
      <c r="J2135" s="68"/>
      <c r="K2135" s="32"/>
      <c r="L2135" s="75">
        <v>2135</v>
      </c>
      <c r="M2135" s="75"/>
      <c r="N2135" s="70"/>
      <c r="O2135" s="77" t="s">
        <v>179</v>
      </c>
      <c r="P2135" s="79">
        <v>45054.795115740744</v>
      </c>
      <c r="Q2135" s="77" t="s">
        <v>2914</v>
      </c>
      <c r="R2135" s="77">
        <v>0</v>
      </c>
      <c r="S2135" s="77">
        <v>0</v>
      </c>
      <c r="T2135" s="77">
        <v>0</v>
      </c>
      <c r="U2135" s="77">
        <v>0</v>
      </c>
      <c r="V2135" s="77">
        <v>19</v>
      </c>
      <c r="W2135" s="82" t="s">
        <v>6229</v>
      </c>
      <c r="X2135" s="80" t="str">
        <f>HYPERLINK("https://tinyurl.com/2z7vpm6x")</f>
        <v>https://tinyurl.com/2z7vpm6x</v>
      </c>
      <c r="Y2135" s="77" t="s">
        <v>7068</v>
      </c>
      <c r="Z2135" s="77"/>
      <c r="AA2135" s="77"/>
      <c r="AB2135" s="77"/>
      <c r="AC2135" s="82" t="s">
        <v>8232</v>
      </c>
      <c r="AD2135" s="77" t="s">
        <v>8278</v>
      </c>
      <c r="AE2135" s="80" t="str">
        <f>HYPERLINK("https://twitter.com/onjornal1/status/1655650013945495552")</f>
        <v>https://twitter.com/onjornal1/status/1655650013945495552</v>
      </c>
      <c r="AF2135" s="79">
        <v>45054.795115740744</v>
      </c>
      <c r="AG2135" s="85">
        <v>45054</v>
      </c>
      <c r="AH2135" s="82" t="s">
        <v>10207</v>
      </c>
      <c r="AI2135" s="77" t="b">
        <v>0</v>
      </c>
      <c r="AJ2135" s="77"/>
      <c r="AK2135" s="77"/>
      <c r="AL2135" s="77"/>
      <c r="AM2135" s="77"/>
      <c r="AN2135" s="77"/>
      <c r="AO2135" s="77"/>
      <c r="AP2135" s="77"/>
      <c r="AQ2135" s="77"/>
      <c r="AR2135" s="77"/>
      <c r="AS2135" s="77"/>
      <c r="AT2135" s="77"/>
      <c r="AU2135" s="77"/>
      <c r="AV2135" s="80" t="str">
        <f>HYPERLINK("https://pbs.twimg.com/profile_images/1654237553636065282/s_FbzlFY_normal.jpg")</f>
        <v>https://pbs.twimg.com/profile_images/1654237553636065282/s_FbzlFY_normal.jpg</v>
      </c>
      <c r="AW2135" s="82" t="s">
        <v>15220</v>
      </c>
      <c r="AX2135" s="82" t="s">
        <v>15220</v>
      </c>
      <c r="AY2135" s="77"/>
      <c r="AZ2135" s="82" t="s">
        <v>17385</v>
      </c>
      <c r="BA2135" s="82" t="s">
        <v>17385</v>
      </c>
      <c r="BB2135" s="82" t="s">
        <v>17385</v>
      </c>
      <c r="BC2135" s="82" t="s">
        <v>15220</v>
      </c>
      <c r="BD2135" s="82" t="s">
        <v>17634</v>
      </c>
      <c r="BE2135" s="77"/>
      <c r="BF2135" s="77"/>
      <c r="BG2135" s="77"/>
      <c r="BH2135" s="77"/>
      <c r="BI2135" s="77"/>
    </row>
    <row r="2136" spans="1:61" x14ac:dyDescent="0.25">
      <c r="A2136" s="62" t="s">
        <v>590</v>
      </c>
      <c r="B2136" s="62" t="s">
        <v>590</v>
      </c>
      <c r="C2136" s="63"/>
      <c r="D2136" s="64"/>
      <c r="E2136" s="65"/>
      <c r="F2136" s="66"/>
      <c r="G2136" s="63"/>
      <c r="H2136" s="67"/>
      <c r="I2136" s="68"/>
      <c r="J2136" s="68"/>
      <c r="K2136" s="32"/>
      <c r="L2136" s="75">
        <v>2136</v>
      </c>
      <c r="M2136" s="75"/>
      <c r="N2136" s="70"/>
      <c r="O2136" s="77" t="s">
        <v>179</v>
      </c>
      <c r="P2136" s="79">
        <v>45152.766516203701</v>
      </c>
      <c r="Q2136" s="77" t="s">
        <v>2915</v>
      </c>
      <c r="R2136" s="77">
        <v>0</v>
      </c>
      <c r="S2136" s="77">
        <v>1</v>
      </c>
      <c r="T2136" s="77">
        <v>0</v>
      </c>
      <c r="U2136" s="77">
        <v>0</v>
      </c>
      <c r="V2136" s="77">
        <v>137</v>
      </c>
      <c r="W2136" s="82" t="s">
        <v>6230</v>
      </c>
      <c r="X2136" s="80" t="str">
        <f>HYPERLINK("https://tinyurl.com/2p9949sf")</f>
        <v>https://tinyurl.com/2p9949sf</v>
      </c>
      <c r="Y2136" s="77" t="s">
        <v>7068</v>
      </c>
      <c r="Z2136" s="77"/>
      <c r="AA2136" s="77" t="s">
        <v>8034</v>
      </c>
      <c r="AB2136" s="77" t="s">
        <v>8225</v>
      </c>
      <c r="AC2136" s="82" t="s">
        <v>8232</v>
      </c>
      <c r="AD2136" s="77" t="s">
        <v>8278</v>
      </c>
      <c r="AE2136" s="80" t="str">
        <f>HYPERLINK("https://twitter.com/onjornal1/status/1691153662557442048")</f>
        <v>https://twitter.com/onjornal1/status/1691153662557442048</v>
      </c>
      <c r="AF2136" s="79">
        <v>45152.766516203701</v>
      </c>
      <c r="AG2136" s="85">
        <v>45152</v>
      </c>
      <c r="AH2136" s="82" t="s">
        <v>10208</v>
      </c>
      <c r="AI2136" s="77" t="b">
        <v>0</v>
      </c>
      <c r="AJ2136" s="77"/>
      <c r="AK2136" s="77"/>
      <c r="AL2136" s="77"/>
      <c r="AM2136" s="77"/>
      <c r="AN2136" s="77"/>
      <c r="AO2136" s="77"/>
      <c r="AP2136" s="77"/>
      <c r="AQ2136" s="77" t="s">
        <v>12919</v>
      </c>
      <c r="AR2136" s="77"/>
      <c r="AS2136" s="77"/>
      <c r="AT2136" s="77"/>
      <c r="AU2136" s="77"/>
      <c r="AV2136" s="80" t="str">
        <f>HYPERLINK("https://pbs.twimg.com/media/F3gvRTNXUAA0Egd.jpg")</f>
        <v>https://pbs.twimg.com/media/F3gvRTNXUAA0Egd.jpg</v>
      </c>
      <c r="AW2136" s="82" t="s">
        <v>15221</v>
      </c>
      <c r="AX2136" s="82" t="s">
        <v>15221</v>
      </c>
      <c r="AY2136" s="77"/>
      <c r="AZ2136" s="82" t="s">
        <v>17385</v>
      </c>
      <c r="BA2136" s="82" t="s">
        <v>17385</v>
      </c>
      <c r="BB2136" s="82" t="s">
        <v>17385</v>
      </c>
      <c r="BC2136" s="82" t="s">
        <v>15221</v>
      </c>
      <c r="BD2136" s="82" t="s">
        <v>17634</v>
      </c>
      <c r="BE2136" s="77"/>
      <c r="BF2136" s="77"/>
      <c r="BG2136" s="77"/>
      <c r="BH2136" s="77"/>
      <c r="BI2136" s="77"/>
    </row>
    <row r="2137" spans="1:61" x14ac:dyDescent="0.25">
      <c r="A2137" s="62" t="s">
        <v>590</v>
      </c>
      <c r="B2137" s="62" t="s">
        <v>590</v>
      </c>
      <c r="C2137" s="63"/>
      <c r="D2137" s="64"/>
      <c r="E2137" s="65"/>
      <c r="F2137" s="66"/>
      <c r="G2137" s="63"/>
      <c r="H2137" s="67"/>
      <c r="I2137" s="68"/>
      <c r="J2137" s="68"/>
      <c r="K2137" s="32"/>
      <c r="L2137" s="75">
        <v>2137</v>
      </c>
      <c r="M2137" s="75"/>
      <c r="N2137" s="70"/>
      <c r="O2137" s="77" t="s">
        <v>179</v>
      </c>
      <c r="P2137" s="79">
        <v>45194.644884259258</v>
      </c>
      <c r="Q2137" s="77" t="s">
        <v>2916</v>
      </c>
      <c r="R2137" s="77">
        <v>0</v>
      </c>
      <c r="S2137" s="77">
        <v>0</v>
      </c>
      <c r="T2137" s="77">
        <v>0</v>
      </c>
      <c r="U2137" s="77">
        <v>0</v>
      </c>
      <c r="V2137" s="77">
        <v>15</v>
      </c>
      <c r="W2137" s="82" t="s">
        <v>6168</v>
      </c>
      <c r="X2137" s="80" t="str">
        <f>HYPERLINK("https://tinyurl.com/ys54ze9p")</f>
        <v>https://tinyurl.com/ys54ze9p</v>
      </c>
      <c r="Y2137" s="77" t="s">
        <v>7068</v>
      </c>
      <c r="Z2137" s="77"/>
      <c r="AA2137" s="77" t="s">
        <v>8035</v>
      </c>
      <c r="AB2137" s="77" t="s">
        <v>8225</v>
      </c>
      <c r="AC2137" s="82" t="s">
        <v>8232</v>
      </c>
      <c r="AD2137" s="77" t="s">
        <v>8278</v>
      </c>
      <c r="AE2137" s="80" t="str">
        <f>HYPERLINK("https://twitter.com/onjornal1/status/1706329873520668692")</f>
        <v>https://twitter.com/onjornal1/status/1706329873520668692</v>
      </c>
      <c r="AF2137" s="79">
        <v>45194.644884259258</v>
      </c>
      <c r="AG2137" s="85">
        <v>45194</v>
      </c>
      <c r="AH2137" s="82" t="s">
        <v>10209</v>
      </c>
      <c r="AI2137" s="77" t="b">
        <v>0</v>
      </c>
      <c r="AJ2137" s="77"/>
      <c r="AK2137" s="77"/>
      <c r="AL2137" s="77"/>
      <c r="AM2137" s="77"/>
      <c r="AN2137" s="77"/>
      <c r="AO2137" s="77"/>
      <c r="AP2137" s="77"/>
      <c r="AQ2137" s="77" t="s">
        <v>12920</v>
      </c>
      <c r="AR2137" s="77"/>
      <c r="AS2137" s="77"/>
      <c r="AT2137" s="77"/>
      <c r="AU2137" s="77"/>
      <c r="AV2137" s="80" t="str">
        <f>HYPERLINK("https://pbs.twimg.com/media/F64Zm_rXQAAFesx.jpg")</f>
        <v>https://pbs.twimg.com/media/F64Zm_rXQAAFesx.jpg</v>
      </c>
      <c r="AW2137" s="82" t="s">
        <v>15222</v>
      </c>
      <c r="AX2137" s="82" t="s">
        <v>15222</v>
      </c>
      <c r="AY2137" s="77"/>
      <c r="AZ2137" s="82" t="s">
        <v>17385</v>
      </c>
      <c r="BA2137" s="82" t="s">
        <v>17385</v>
      </c>
      <c r="BB2137" s="82" t="s">
        <v>17385</v>
      </c>
      <c r="BC2137" s="82" t="s">
        <v>15222</v>
      </c>
      <c r="BD2137" s="82" t="s">
        <v>17634</v>
      </c>
      <c r="BE2137" s="77"/>
      <c r="BF2137" s="77"/>
      <c r="BG2137" s="77"/>
      <c r="BH2137" s="77"/>
      <c r="BI2137" s="77"/>
    </row>
    <row r="2138" spans="1:61" x14ac:dyDescent="0.25">
      <c r="A2138" s="62" t="s">
        <v>591</v>
      </c>
      <c r="B2138" s="62" t="s">
        <v>731</v>
      </c>
      <c r="C2138" s="63"/>
      <c r="D2138" s="64"/>
      <c r="E2138" s="65"/>
      <c r="F2138" s="66"/>
      <c r="G2138" s="63"/>
      <c r="H2138" s="67"/>
      <c r="I2138" s="68"/>
      <c r="J2138" s="68"/>
      <c r="K2138" s="32"/>
      <c r="L2138" s="75">
        <v>2138</v>
      </c>
      <c r="M2138" s="75"/>
      <c r="N2138" s="70"/>
      <c r="O2138" s="77" t="s">
        <v>802</v>
      </c>
      <c r="P2138" s="79">
        <v>45112.482893518521</v>
      </c>
      <c r="Q2138" s="77" t="s">
        <v>2917</v>
      </c>
      <c r="R2138" s="77">
        <v>0</v>
      </c>
      <c r="S2138" s="77">
        <v>1</v>
      </c>
      <c r="T2138" s="77">
        <v>0</v>
      </c>
      <c r="U2138" s="77">
        <v>0</v>
      </c>
      <c r="V2138" s="77">
        <v>4</v>
      </c>
      <c r="W2138" s="82" t="s">
        <v>6231</v>
      </c>
      <c r="X2138" s="80" t="str">
        <f>HYPERLINK("https://youtu.be/nFfBzsii9QA")</f>
        <v>https://youtu.be/nFfBzsii9QA</v>
      </c>
      <c r="Y2138" s="77" t="s">
        <v>7064</v>
      </c>
      <c r="Z2138" s="77" t="s">
        <v>731</v>
      </c>
      <c r="AA2138" s="77"/>
      <c r="AB2138" s="77"/>
      <c r="AC2138" s="82" t="s">
        <v>8232</v>
      </c>
      <c r="AD2138" s="77" t="s">
        <v>8278</v>
      </c>
      <c r="AE2138" s="80" t="str">
        <f>HYPERLINK("https://twitter.com/maykoonayk/status/1676555363687051266")</f>
        <v>https://twitter.com/maykoonayk/status/1676555363687051266</v>
      </c>
      <c r="AF2138" s="79">
        <v>45112.482893518521</v>
      </c>
      <c r="AG2138" s="85">
        <v>45112</v>
      </c>
      <c r="AH2138" s="82" t="s">
        <v>10210</v>
      </c>
      <c r="AI2138" s="77" t="b">
        <v>0</v>
      </c>
      <c r="AJ2138" s="77"/>
      <c r="AK2138" s="77"/>
      <c r="AL2138" s="77"/>
      <c r="AM2138" s="77"/>
      <c r="AN2138" s="77"/>
      <c r="AO2138" s="77"/>
      <c r="AP2138" s="77"/>
      <c r="AQ2138" s="77"/>
      <c r="AR2138" s="77"/>
      <c r="AS2138" s="77"/>
      <c r="AT2138" s="77"/>
      <c r="AU2138" s="77"/>
      <c r="AV2138" s="80" t="str">
        <f>HYPERLINK("https://pbs.twimg.com/profile_images/1674028117390655495/pbt7Cx7z_normal.jpg")</f>
        <v>https://pbs.twimg.com/profile_images/1674028117390655495/pbt7Cx7z_normal.jpg</v>
      </c>
      <c r="AW2138" s="82" t="s">
        <v>15223</v>
      </c>
      <c r="AX2138" s="82" t="s">
        <v>15223</v>
      </c>
      <c r="AY2138" s="77"/>
      <c r="AZ2138" s="82" t="s">
        <v>17385</v>
      </c>
      <c r="BA2138" s="82" t="s">
        <v>17385</v>
      </c>
      <c r="BB2138" s="82" t="s">
        <v>17385</v>
      </c>
      <c r="BC2138" s="82" t="s">
        <v>15223</v>
      </c>
      <c r="BD2138" s="82" t="s">
        <v>17635</v>
      </c>
      <c r="BE2138" s="77"/>
      <c r="BF2138" s="77"/>
      <c r="BG2138" s="77"/>
      <c r="BH2138" s="77"/>
      <c r="BI2138" s="77"/>
    </row>
    <row r="2139" spans="1:61" x14ac:dyDescent="0.25">
      <c r="A2139" s="62" t="s">
        <v>592</v>
      </c>
      <c r="B2139" s="62" t="s">
        <v>592</v>
      </c>
      <c r="C2139" s="63"/>
      <c r="D2139" s="64"/>
      <c r="E2139" s="65"/>
      <c r="F2139" s="66"/>
      <c r="G2139" s="63"/>
      <c r="H2139" s="67"/>
      <c r="I2139" s="68"/>
      <c r="J2139" s="68"/>
      <c r="K2139" s="32"/>
      <c r="L2139" s="75">
        <v>2139</v>
      </c>
      <c r="M2139" s="75"/>
      <c r="N2139" s="70"/>
      <c r="O2139" s="77" t="s">
        <v>179</v>
      </c>
      <c r="P2139" s="79">
        <v>45046.638935185183</v>
      </c>
      <c r="Q2139" s="77" t="s">
        <v>2918</v>
      </c>
      <c r="R2139" s="77">
        <v>0</v>
      </c>
      <c r="S2139" s="77">
        <v>2</v>
      </c>
      <c r="T2139" s="77">
        <v>0</v>
      </c>
      <c r="U2139" s="77">
        <v>0</v>
      </c>
      <c r="V2139" s="77">
        <v>40</v>
      </c>
      <c r="W2139" s="82" t="s">
        <v>6232</v>
      </c>
      <c r="X2139" s="80" t="str">
        <f>HYPERLINK("https://mla.bs/ecab9857")</f>
        <v>https://mla.bs/ecab9857</v>
      </c>
      <c r="Y2139" s="77" t="s">
        <v>7095</v>
      </c>
      <c r="Z2139" s="77"/>
      <c r="AA2139" s="77" t="s">
        <v>8036</v>
      </c>
      <c r="AB2139" s="77" t="s">
        <v>8225</v>
      </c>
      <c r="AC2139" s="82" t="s">
        <v>8235</v>
      </c>
      <c r="AD2139" s="77" t="s">
        <v>8278</v>
      </c>
      <c r="AE2139" s="80" t="str">
        <f>HYPERLINK("https://twitter.com/revistamt1/status/1652694312482664448")</f>
        <v>https://twitter.com/revistamt1/status/1652694312482664448</v>
      </c>
      <c r="AF2139" s="79">
        <v>45046.638935185183</v>
      </c>
      <c r="AG2139" s="85">
        <v>45046</v>
      </c>
      <c r="AH2139" s="82" t="s">
        <v>10211</v>
      </c>
      <c r="AI2139" s="77" t="b">
        <v>0</v>
      </c>
      <c r="AJ2139" s="77"/>
      <c r="AK2139" s="77"/>
      <c r="AL2139" s="77"/>
      <c r="AM2139" s="77"/>
      <c r="AN2139" s="77"/>
      <c r="AO2139" s="77"/>
      <c r="AP2139" s="77"/>
      <c r="AQ2139" s="77" t="s">
        <v>12921</v>
      </c>
      <c r="AR2139" s="77"/>
      <c r="AS2139" s="77"/>
      <c r="AT2139" s="77"/>
      <c r="AU2139" s="77"/>
      <c r="AV2139" s="80" t="str">
        <f>HYPERLINK("https://pbs.twimg.com/media/Fu-MuA5XwAUJ6Ax.jpg")</f>
        <v>https://pbs.twimg.com/media/Fu-MuA5XwAUJ6Ax.jpg</v>
      </c>
      <c r="AW2139" s="82" t="s">
        <v>15224</v>
      </c>
      <c r="AX2139" s="82" t="s">
        <v>15224</v>
      </c>
      <c r="AY2139" s="77"/>
      <c r="AZ2139" s="82" t="s">
        <v>17385</v>
      </c>
      <c r="BA2139" s="82" t="s">
        <v>17385</v>
      </c>
      <c r="BB2139" s="82" t="s">
        <v>17385</v>
      </c>
      <c r="BC2139" s="82" t="s">
        <v>15224</v>
      </c>
      <c r="BD2139" s="82" t="s">
        <v>17636</v>
      </c>
      <c r="BE2139" s="77"/>
      <c r="BF2139" s="77"/>
      <c r="BG2139" s="77"/>
      <c r="BH2139" s="77"/>
      <c r="BI2139" s="77"/>
    </row>
    <row r="2140" spans="1:61" x14ac:dyDescent="0.25">
      <c r="A2140" s="62" t="s">
        <v>592</v>
      </c>
      <c r="B2140" s="62" t="s">
        <v>592</v>
      </c>
      <c r="C2140" s="63"/>
      <c r="D2140" s="64"/>
      <c r="E2140" s="65"/>
      <c r="F2140" s="66"/>
      <c r="G2140" s="63"/>
      <c r="H2140" s="67"/>
      <c r="I2140" s="68"/>
      <c r="J2140" s="68"/>
      <c r="K2140" s="32"/>
      <c r="L2140" s="75">
        <v>2140</v>
      </c>
      <c r="M2140" s="75"/>
      <c r="N2140" s="70"/>
      <c r="O2140" s="77" t="s">
        <v>179</v>
      </c>
      <c r="P2140" s="79">
        <v>45192.520833333336</v>
      </c>
      <c r="Q2140" s="77" t="s">
        <v>2919</v>
      </c>
      <c r="R2140" s="77">
        <v>1</v>
      </c>
      <c r="S2140" s="77">
        <v>1</v>
      </c>
      <c r="T2140" s="77">
        <v>0</v>
      </c>
      <c r="U2140" s="77">
        <v>0</v>
      </c>
      <c r="V2140" s="77">
        <v>51</v>
      </c>
      <c r="W2140" s="82" t="s">
        <v>6233</v>
      </c>
      <c r="X2140" s="80" t="str">
        <f>HYPERLINK("https://mla.bs/4d0a29bf")</f>
        <v>https://mla.bs/4d0a29bf</v>
      </c>
      <c r="Y2140" s="77" t="s">
        <v>7095</v>
      </c>
      <c r="Z2140" s="77"/>
      <c r="AA2140" s="77" t="s">
        <v>8037</v>
      </c>
      <c r="AB2140" s="77" t="s">
        <v>8225</v>
      </c>
      <c r="AC2140" s="82" t="s">
        <v>8232</v>
      </c>
      <c r="AD2140" s="77" t="s">
        <v>8278</v>
      </c>
      <c r="AE2140" s="80" t="str">
        <f>HYPERLINK("https://twitter.com/revistamt1/status/1705560143851581465")</f>
        <v>https://twitter.com/revistamt1/status/1705560143851581465</v>
      </c>
      <c r="AF2140" s="79">
        <v>45192.520833333336</v>
      </c>
      <c r="AG2140" s="85">
        <v>45192</v>
      </c>
      <c r="AH2140" s="82" t="s">
        <v>10212</v>
      </c>
      <c r="AI2140" s="77" t="b">
        <v>0</v>
      </c>
      <c r="AJ2140" s="77"/>
      <c r="AK2140" s="77"/>
      <c r="AL2140" s="77"/>
      <c r="AM2140" s="77"/>
      <c r="AN2140" s="77"/>
      <c r="AO2140" s="77"/>
      <c r="AP2140" s="77"/>
      <c r="AQ2140" s="77" t="s">
        <v>12922</v>
      </c>
      <c r="AR2140" s="77"/>
      <c r="AS2140" s="77"/>
      <c r="AT2140" s="77"/>
      <c r="AU2140" s="77"/>
      <c r="AV2140" s="80" t="str">
        <f>HYPERLINK("https://pbs.twimg.com/media/F6tZmblXMAA2fbK.jpg")</f>
        <v>https://pbs.twimg.com/media/F6tZmblXMAA2fbK.jpg</v>
      </c>
      <c r="AW2140" s="82" t="s">
        <v>15225</v>
      </c>
      <c r="AX2140" s="82" t="s">
        <v>15225</v>
      </c>
      <c r="AY2140" s="77"/>
      <c r="AZ2140" s="82" t="s">
        <v>17385</v>
      </c>
      <c r="BA2140" s="82" t="s">
        <v>17385</v>
      </c>
      <c r="BB2140" s="82" t="s">
        <v>17385</v>
      </c>
      <c r="BC2140" s="82" t="s">
        <v>15225</v>
      </c>
      <c r="BD2140" s="82" t="s">
        <v>17636</v>
      </c>
      <c r="BE2140" s="77"/>
      <c r="BF2140" s="77"/>
      <c r="BG2140" s="77"/>
      <c r="BH2140" s="77"/>
      <c r="BI2140" s="77"/>
    </row>
    <row r="2141" spans="1:61" x14ac:dyDescent="0.25">
      <c r="A2141" s="62" t="s">
        <v>593</v>
      </c>
      <c r="B2141" s="62" t="s">
        <v>592</v>
      </c>
      <c r="C2141" s="63"/>
      <c r="D2141" s="64"/>
      <c r="E2141" s="65"/>
      <c r="F2141" s="66"/>
      <c r="G2141" s="63"/>
      <c r="H2141" s="67"/>
      <c r="I2141" s="68"/>
      <c r="J2141" s="68"/>
      <c r="K2141" s="32"/>
      <c r="L2141" s="75">
        <v>2141</v>
      </c>
      <c r="M2141" s="75"/>
      <c r="N2141" s="70"/>
      <c r="O2141" s="77" t="s">
        <v>803</v>
      </c>
      <c r="P2141" s="79">
        <v>45192.981076388889</v>
      </c>
      <c r="Q2141" s="77" t="s">
        <v>2920</v>
      </c>
      <c r="R2141" s="77">
        <v>1</v>
      </c>
      <c r="S2141" s="77">
        <v>0</v>
      </c>
      <c r="T2141" s="77">
        <v>0</v>
      </c>
      <c r="U2141" s="77">
        <v>0</v>
      </c>
      <c r="V2141" s="77"/>
      <c r="W2141" s="77"/>
      <c r="X2141" s="77"/>
      <c r="Y2141" s="77"/>
      <c r="Z2141" s="77" t="s">
        <v>592</v>
      </c>
      <c r="AA2141" s="77"/>
      <c r="AB2141" s="77"/>
      <c r="AC2141" s="82" t="s">
        <v>8232</v>
      </c>
      <c r="AD2141" s="77" t="s">
        <v>8278</v>
      </c>
      <c r="AE2141" s="80" t="str">
        <f>HYPERLINK("https://twitter.com/sobratema/status/1705726928303370560")</f>
        <v>https://twitter.com/sobratema/status/1705726928303370560</v>
      </c>
      <c r="AF2141" s="79">
        <v>45192.981076388889</v>
      </c>
      <c r="AG2141" s="85">
        <v>45192</v>
      </c>
      <c r="AH2141" s="82" t="s">
        <v>10213</v>
      </c>
      <c r="AI2141" s="77"/>
      <c r="AJ2141" s="77"/>
      <c r="AK2141" s="77"/>
      <c r="AL2141" s="77"/>
      <c r="AM2141" s="77"/>
      <c r="AN2141" s="77"/>
      <c r="AO2141" s="77"/>
      <c r="AP2141" s="77"/>
      <c r="AQ2141" s="77"/>
      <c r="AR2141" s="77"/>
      <c r="AS2141" s="77"/>
      <c r="AT2141" s="77"/>
      <c r="AU2141" s="77"/>
      <c r="AV2141" s="80" t="str">
        <f>HYPERLINK("https://pbs.twimg.com/profile_images/1494316235667955719/cBYv_mKZ_normal.jpg")</f>
        <v>https://pbs.twimg.com/profile_images/1494316235667955719/cBYv_mKZ_normal.jpg</v>
      </c>
      <c r="AW2141" s="82" t="s">
        <v>15226</v>
      </c>
      <c r="AX2141" s="82" t="s">
        <v>15226</v>
      </c>
      <c r="AY2141" s="77"/>
      <c r="AZ2141" s="82" t="s">
        <v>17385</v>
      </c>
      <c r="BA2141" s="82" t="s">
        <v>17385</v>
      </c>
      <c r="BB2141" s="82" t="s">
        <v>15225</v>
      </c>
      <c r="BC2141" s="82" t="s">
        <v>15225</v>
      </c>
      <c r="BD2141" s="77">
        <v>197450348</v>
      </c>
      <c r="BE2141" s="77"/>
      <c r="BF2141" s="77"/>
      <c r="BG2141" s="77"/>
      <c r="BH2141" s="77"/>
      <c r="BI2141" s="77"/>
    </row>
    <row r="2142" spans="1:61" x14ac:dyDescent="0.25">
      <c r="A2142" s="62" t="s">
        <v>594</v>
      </c>
      <c r="B2142" s="62" t="s">
        <v>594</v>
      </c>
      <c r="C2142" s="63"/>
      <c r="D2142" s="64"/>
      <c r="E2142" s="65"/>
      <c r="F2142" s="66"/>
      <c r="G2142" s="63"/>
      <c r="H2142" s="67"/>
      <c r="I2142" s="68"/>
      <c r="J2142" s="68"/>
      <c r="K2142" s="32"/>
      <c r="L2142" s="75">
        <v>2142</v>
      </c>
      <c r="M2142" s="75"/>
      <c r="N2142" s="70"/>
      <c r="O2142" s="77" t="s">
        <v>179</v>
      </c>
      <c r="P2142" s="79">
        <v>45127.753854166665</v>
      </c>
      <c r="Q2142" s="77" t="s">
        <v>2921</v>
      </c>
      <c r="R2142" s="77">
        <v>0</v>
      </c>
      <c r="S2142" s="77">
        <v>0</v>
      </c>
      <c r="T2142" s="77">
        <v>0</v>
      </c>
      <c r="U2142" s="77">
        <v>0</v>
      </c>
      <c r="V2142" s="77">
        <v>62</v>
      </c>
      <c r="W2142" s="82" t="s">
        <v>6234</v>
      </c>
      <c r="X2142" s="77"/>
      <c r="Y2142" s="77"/>
      <c r="Z2142" s="77"/>
      <c r="AA2142" s="77" t="s">
        <v>8038</v>
      </c>
      <c r="AB2142" s="77" t="s">
        <v>8227</v>
      </c>
      <c r="AC2142" s="82" t="s">
        <v>8233</v>
      </c>
      <c r="AD2142" s="77" t="s">
        <v>8278</v>
      </c>
      <c r="AE2142" s="80" t="str">
        <f>HYPERLINK("https://twitter.com/mano_investidor/status/1682089377135054848")</f>
        <v>https://twitter.com/mano_investidor/status/1682089377135054848</v>
      </c>
      <c r="AF2142" s="79">
        <v>45127.753854166665</v>
      </c>
      <c r="AG2142" s="85">
        <v>45127</v>
      </c>
      <c r="AH2142" s="82" t="s">
        <v>10214</v>
      </c>
      <c r="AI2142" s="77" t="b">
        <v>0</v>
      </c>
      <c r="AJ2142" s="77"/>
      <c r="AK2142" s="77"/>
      <c r="AL2142" s="77"/>
      <c r="AM2142" s="77"/>
      <c r="AN2142" s="77"/>
      <c r="AO2142" s="77"/>
      <c r="AP2142" s="77"/>
      <c r="AQ2142" s="77" t="s">
        <v>12923</v>
      </c>
      <c r="AR2142" s="77">
        <v>70666</v>
      </c>
      <c r="AS2142" s="77"/>
      <c r="AT2142" s="77"/>
      <c r="AU2142" s="77"/>
      <c r="AV2142" s="80" t="str">
        <f>HYPERLINK("https://pbs.twimg.com/ext_tw_video_thumb/1682089242883661834/pu/img/dBUuLfkKvgJii2fQ.jpg")</f>
        <v>https://pbs.twimg.com/ext_tw_video_thumb/1682089242883661834/pu/img/dBUuLfkKvgJii2fQ.jpg</v>
      </c>
      <c r="AW2142" s="82" t="s">
        <v>15227</v>
      </c>
      <c r="AX2142" s="82" t="s">
        <v>15227</v>
      </c>
      <c r="AY2142" s="77"/>
      <c r="AZ2142" s="82" t="s">
        <v>17385</v>
      </c>
      <c r="BA2142" s="82" t="s">
        <v>17385</v>
      </c>
      <c r="BB2142" s="82" t="s">
        <v>17385</v>
      </c>
      <c r="BC2142" s="82" t="s">
        <v>15227</v>
      </c>
      <c r="BD2142" s="82" t="s">
        <v>17637</v>
      </c>
      <c r="BE2142" s="77"/>
      <c r="BF2142" s="77"/>
      <c r="BG2142" s="77"/>
      <c r="BH2142" s="77"/>
      <c r="BI2142" s="77"/>
    </row>
    <row r="2143" spans="1:61" x14ac:dyDescent="0.25">
      <c r="A2143" s="62" t="s">
        <v>595</v>
      </c>
      <c r="B2143" s="62" t="s">
        <v>595</v>
      </c>
      <c r="C2143" s="63"/>
      <c r="D2143" s="64"/>
      <c r="E2143" s="65"/>
      <c r="F2143" s="66"/>
      <c r="G2143" s="63"/>
      <c r="H2143" s="67"/>
      <c r="I2143" s="68"/>
      <c r="J2143" s="68"/>
      <c r="K2143" s="32"/>
      <c r="L2143" s="75">
        <v>2143</v>
      </c>
      <c r="M2143" s="75"/>
      <c r="N2143" s="70"/>
      <c r="O2143" s="77" t="s">
        <v>800</v>
      </c>
      <c r="P2143" s="79">
        <v>45106.59946759259</v>
      </c>
      <c r="Q2143" s="77" t="s">
        <v>2922</v>
      </c>
      <c r="R2143" s="77">
        <v>0</v>
      </c>
      <c r="S2143" s="77">
        <v>0</v>
      </c>
      <c r="T2143" s="77">
        <v>0</v>
      </c>
      <c r="U2143" s="77">
        <v>0</v>
      </c>
      <c r="V2143" s="77">
        <v>5</v>
      </c>
      <c r="W2143" s="82" t="s">
        <v>6235</v>
      </c>
      <c r="X2143" s="77"/>
      <c r="Y2143" s="77"/>
      <c r="Z2143" s="77"/>
      <c r="AA2143" s="77"/>
      <c r="AB2143" s="77"/>
      <c r="AC2143" s="82" t="s">
        <v>8232</v>
      </c>
      <c r="AD2143" s="77" t="s">
        <v>8278</v>
      </c>
      <c r="AE2143" s="80" t="str">
        <f>HYPERLINK("https://twitter.com/bravacapital/status/1674423281829691394")</f>
        <v>https://twitter.com/bravacapital/status/1674423281829691394</v>
      </c>
      <c r="AF2143" s="79">
        <v>45106.59946759259</v>
      </c>
      <c r="AG2143" s="85">
        <v>45106</v>
      </c>
      <c r="AH2143" s="82" t="s">
        <v>10215</v>
      </c>
      <c r="AI2143" s="77"/>
      <c r="AJ2143" s="77"/>
      <c r="AK2143" s="77"/>
      <c r="AL2143" s="77"/>
      <c r="AM2143" s="77"/>
      <c r="AN2143" s="77"/>
      <c r="AO2143" s="77"/>
      <c r="AP2143" s="77"/>
      <c r="AQ2143" s="77"/>
      <c r="AR2143" s="77"/>
      <c r="AS2143" s="77"/>
      <c r="AT2143" s="77"/>
      <c r="AU2143" s="77"/>
      <c r="AV2143" s="80" t="str">
        <f>HYPERLINK("https://pbs.twimg.com/profile_images/1298975014939774977/iMbZTqwR_normal.jpg")</f>
        <v>https://pbs.twimg.com/profile_images/1298975014939774977/iMbZTqwR_normal.jpg</v>
      </c>
      <c r="AW2143" s="82" t="s">
        <v>15228</v>
      </c>
      <c r="AX2143" s="82" t="s">
        <v>17202</v>
      </c>
      <c r="AY2143" s="82" t="s">
        <v>17368</v>
      </c>
      <c r="AZ2143" s="82" t="s">
        <v>17202</v>
      </c>
      <c r="BA2143" s="82" t="s">
        <v>17385</v>
      </c>
      <c r="BB2143" s="82" t="s">
        <v>17385</v>
      </c>
      <c r="BC2143" s="82" t="s">
        <v>17202</v>
      </c>
      <c r="BD2143" s="77">
        <v>209578308</v>
      </c>
      <c r="BE2143" s="77"/>
      <c r="BF2143" s="77"/>
      <c r="BG2143" s="77"/>
      <c r="BH2143" s="77"/>
      <c r="BI2143" s="77"/>
    </row>
    <row r="2144" spans="1:61" x14ac:dyDescent="0.25">
      <c r="A2144" s="62" t="s">
        <v>595</v>
      </c>
      <c r="B2144" s="62" t="s">
        <v>595</v>
      </c>
      <c r="C2144" s="63"/>
      <c r="D2144" s="64"/>
      <c r="E2144" s="65"/>
      <c r="F2144" s="66"/>
      <c r="G2144" s="63"/>
      <c r="H2144" s="67"/>
      <c r="I2144" s="68"/>
      <c r="J2144" s="68"/>
      <c r="K2144" s="32"/>
      <c r="L2144" s="75">
        <v>2144</v>
      </c>
      <c r="M2144" s="75"/>
      <c r="N2144" s="70"/>
      <c r="O2144" s="77" t="s">
        <v>800</v>
      </c>
      <c r="P2144" s="79">
        <v>45104.758379629631</v>
      </c>
      <c r="Q2144" s="77" t="s">
        <v>2923</v>
      </c>
      <c r="R2144" s="77">
        <v>0</v>
      </c>
      <c r="S2144" s="77">
        <v>0</v>
      </c>
      <c r="T2144" s="77">
        <v>0</v>
      </c>
      <c r="U2144" s="77">
        <v>0</v>
      </c>
      <c r="V2144" s="77">
        <v>8</v>
      </c>
      <c r="W2144" s="82" t="s">
        <v>6236</v>
      </c>
      <c r="X2144" s="77"/>
      <c r="Y2144" s="77"/>
      <c r="Z2144" s="77"/>
      <c r="AA2144" s="77"/>
      <c r="AB2144" s="77"/>
      <c r="AC2144" s="82" t="s">
        <v>8232</v>
      </c>
      <c r="AD2144" s="77" t="s">
        <v>8282</v>
      </c>
      <c r="AE2144" s="80" t="str">
        <f>HYPERLINK("https://twitter.com/bravacapital/status/1673756094831706112")</f>
        <v>https://twitter.com/bravacapital/status/1673756094831706112</v>
      </c>
      <c r="AF2144" s="79">
        <v>45104.758379629631</v>
      </c>
      <c r="AG2144" s="85">
        <v>45104</v>
      </c>
      <c r="AH2144" s="82" t="s">
        <v>10216</v>
      </c>
      <c r="AI2144" s="77"/>
      <c r="AJ2144" s="77"/>
      <c r="AK2144" s="77"/>
      <c r="AL2144" s="77"/>
      <c r="AM2144" s="77"/>
      <c r="AN2144" s="77"/>
      <c r="AO2144" s="77"/>
      <c r="AP2144" s="77"/>
      <c r="AQ2144" s="77"/>
      <c r="AR2144" s="77"/>
      <c r="AS2144" s="77"/>
      <c r="AT2144" s="77"/>
      <c r="AU2144" s="77"/>
      <c r="AV2144" s="80" t="str">
        <f>HYPERLINK("https://pbs.twimg.com/profile_images/1298975014939774977/iMbZTqwR_normal.jpg")</f>
        <v>https://pbs.twimg.com/profile_images/1298975014939774977/iMbZTqwR_normal.jpg</v>
      </c>
      <c r="AW2144" s="82" t="s">
        <v>15229</v>
      </c>
      <c r="AX2144" s="82" t="s">
        <v>17203</v>
      </c>
      <c r="AY2144" s="82" t="s">
        <v>17368</v>
      </c>
      <c r="AZ2144" s="82" t="s">
        <v>17420</v>
      </c>
      <c r="BA2144" s="82" t="s">
        <v>17385</v>
      </c>
      <c r="BB2144" s="82" t="s">
        <v>17385</v>
      </c>
      <c r="BC2144" s="82" t="s">
        <v>17420</v>
      </c>
      <c r="BD2144" s="77">
        <v>209578308</v>
      </c>
      <c r="BE2144" s="77"/>
      <c r="BF2144" s="77"/>
      <c r="BG2144" s="77"/>
      <c r="BH2144" s="77"/>
      <c r="BI2144" s="77"/>
    </row>
    <row r="2145" spans="1:61" x14ac:dyDescent="0.25">
      <c r="A2145" s="62" t="s">
        <v>595</v>
      </c>
      <c r="B2145" s="62" t="s">
        <v>595</v>
      </c>
      <c r="C2145" s="63"/>
      <c r="D2145" s="64"/>
      <c r="E2145" s="65"/>
      <c r="F2145" s="66"/>
      <c r="G2145" s="63"/>
      <c r="H2145" s="67"/>
      <c r="I2145" s="68"/>
      <c r="J2145" s="68"/>
      <c r="K2145" s="32"/>
      <c r="L2145" s="75">
        <v>2145</v>
      </c>
      <c r="M2145" s="75"/>
      <c r="N2145" s="70"/>
      <c r="O2145" s="77" t="s">
        <v>800</v>
      </c>
      <c r="P2145" s="79">
        <v>45111.761990740742</v>
      </c>
      <c r="Q2145" s="77" t="s">
        <v>2924</v>
      </c>
      <c r="R2145" s="77">
        <v>0</v>
      </c>
      <c r="S2145" s="77">
        <v>0</v>
      </c>
      <c r="T2145" s="77">
        <v>0</v>
      </c>
      <c r="U2145" s="77">
        <v>0</v>
      </c>
      <c r="V2145" s="77">
        <v>7</v>
      </c>
      <c r="W2145" s="82" t="s">
        <v>6237</v>
      </c>
      <c r="X2145" s="80" t="str">
        <f>HYPERLINK("https://bravacapital.com/blog/como-acertar-o-timing-para-comprar-ou-vender-acoes-sera-que-isso-e-possivel/")</f>
        <v>https://bravacapital.com/blog/como-acertar-o-timing-para-comprar-ou-vender-acoes-sera-que-isso-e-possivel/</v>
      </c>
      <c r="Y2145" s="77" t="s">
        <v>7135</v>
      </c>
      <c r="Z2145" s="77"/>
      <c r="AA2145" s="77"/>
      <c r="AB2145" s="77"/>
      <c r="AC2145" s="82" t="s">
        <v>8232</v>
      </c>
      <c r="AD2145" s="77" t="s">
        <v>8278</v>
      </c>
      <c r="AE2145" s="80" t="str">
        <f>HYPERLINK("https://twitter.com/bravacapital/status/1676294118010396687")</f>
        <v>https://twitter.com/bravacapital/status/1676294118010396687</v>
      </c>
      <c r="AF2145" s="79">
        <v>45111.761990740742</v>
      </c>
      <c r="AG2145" s="85">
        <v>45111</v>
      </c>
      <c r="AH2145" s="82" t="s">
        <v>10217</v>
      </c>
      <c r="AI2145" s="77" t="b">
        <v>0</v>
      </c>
      <c r="AJ2145" s="77"/>
      <c r="AK2145" s="77"/>
      <c r="AL2145" s="77"/>
      <c r="AM2145" s="77"/>
      <c r="AN2145" s="77"/>
      <c r="AO2145" s="77"/>
      <c r="AP2145" s="77"/>
      <c r="AQ2145" s="77"/>
      <c r="AR2145" s="77"/>
      <c r="AS2145" s="77"/>
      <c r="AT2145" s="77"/>
      <c r="AU2145" s="77"/>
      <c r="AV2145" s="80" t="str">
        <f>HYPERLINK("https://pbs.twimg.com/profile_images/1298975014939774977/iMbZTqwR_normal.jpg")</f>
        <v>https://pbs.twimg.com/profile_images/1298975014939774977/iMbZTqwR_normal.jpg</v>
      </c>
      <c r="AW2145" s="82" t="s">
        <v>15230</v>
      </c>
      <c r="AX2145" s="82" t="s">
        <v>17204</v>
      </c>
      <c r="AY2145" s="82" t="s">
        <v>17368</v>
      </c>
      <c r="AZ2145" s="82" t="s">
        <v>17204</v>
      </c>
      <c r="BA2145" s="82" t="s">
        <v>17385</v>
      </c>
      <c r="BB2145" s="82" t="s">
        <v>17385</v>
      </c>
      <c r="BC2145" s="82" t="s">
        <v>17204</v>
      </c>
      <c r="BD2145" s="77">
        <v>209578308</v>
      </c>
      <c r="BE2145" s="77"/>
      <c r="BF2145" s="77"/>
      <c r="BG2145" s="77"/>
      <c r="BH2145" s="77"/>
      <c r="BI2145" s="77"/>
    </row>
    <row r="2146" spans="1:61" x14ac:dyDescent="0.25">
      <c r="A2146" s="62" t="s">
        <v>596</v>
      </c>
      <c r="B2146" s="62" t="s">
        <v>596</v>
      </c>
      <c r="C2146" s="63"/>
      <c r="D2146" s="64"/>
      <c r="E2146" s="65"/>
      <c r="F2146" s="66"/>
      <c r="G2146" s="63"/>
      <c r="H2146" s="67"/>
      <c r="I2146" s="68"/>
      <c r="J2146" s="68"/>
      <c r="K2146" s="32"/>
      <c r="L2146" s="75">
        <v>2146</v>
      </c>
      <c r="M2146" s="75"/>
      <c r="N2146" s="70"/>
      <c r="O2146" s="77" t="s">
        <v>179</v>
      </c>
      <c r="P2146" s="79">
        <v>43787.764398148145</v>
      </c>
      <c r="Q2146" s="77" t="s">
        <v>2925</v>
      </c>
      <c r="R2146" s="77">
        <v>1</v>
      </c>
      <c r="S2146" s="77">
        <v>0</v>
      </c>
      <c r="T2146" s="77">
        <v>0</v>
      </c>
      <c r="U2146" s="77">
        <v>0</v>
      </c>
      <c r="V2146" s="77"/>
      <c r="W2146" s="82" t="s">
        <v>4887</v>
      </c>
      <c r="X2146" s="80" t="str">
        <f>HYPERLINK("https://www.economiadepalito.com/2019/11/cenario-atual-os-riscos-ocultos.html")</f>
        <v>https://www.economiadepalito.com/2019/11/cenario-atual-os-riscos-ocultos.html</v>
      </c>
      <c r="Y2146" s="77" t="s">
        <v>7061</v>
      </c>
      <c r="Z2146" s="77"/>
      <c r="AA2146" s="77"/>
      <c r="AB2146" s="77"/>
      <c r="AC2146" s="82" t="s">
        <v>8234</v>
      </c>
      <c r="AD2146" s="77" t="s">
        <v>8278</v>
      </c>
      <c r="AE2146" s="80" t="str">
        <f>HYPERLINK("https://twitter.com/cleudo_lima/status/1196493457663123468")</f>
        <v>https://twitter.com/cleudo_lima/status/1196493457663123468</v>
      </c>
      <c r="AF2146" s="79">
        <v>43787.764398148145</v>
      </c>
      <c r="AG2146" s="85">
        <v>43787</v>
      </c>
      <c r="AH2146" s="82" t="s">
        <v>10218</v>
      </c>
      <c r="AI2146" s="77" t="b">
        <v>0</v>
      </c>
      <c r="AJ2146" s="77"/>
      <c r="AK2146" s="77"/>
      <c r="AL2146" s="77"/>
      <c r="AM2146" s="77"/>
      <c r="AN2146" s="77"/>
      <c r="AO2146" s="77"/>
      <c r="AP2146" s="77"/>
      <c r="AQ2146" s="77"/>
      <c r="AR2146" s="77"/>
      <c r="AS2146" s="77"/>
      <c r="AT2146" s="77"/>
      <c r="AU2146" s="77"/>
      <c r="AV2146" s="80" t="str">
        <f>HYPERLINK("https://pbs.twimg.com/profile_images/1685248227619082240/AnFu60oQ_normal.jpg")</f>
        <v>https://pbs.twimg.com/profile_images/1685248227619082240/AnFu60oQ_normal.jpg</v>
      </c>
      <c r="AW2146" s="82" t="s">
        <v>15231</v>
      </c>
      <c r="AX2146" s="82" t="s">
        <v>15231</v>
      </c>
      <c r="AY2146" s="77"/>
      <c r="AZ2146" s="82" t="s">
        <v>17385</v>
      </c>
      <c r="BA2146" s="82" t="s">
        <v>17385</v>
      </c>
      <c r="BB2146" s="82" t="s">
        <v>17385</v>
      </c>
      <c r="BC2146" s="82" t="s">
        <v>15231</v>
      </c>
      <c r="BD2146" s="77">
        <v>564094567</v>
      </c>
      <c r="BE2146" s="77"/>
      <c r="BF2146" s="77"/>
      <c r="BG2146" s="77"/>
      <c r="BH2146" s="77"/>
      <c r="BI2146" s="77"/>
    </row>
    <row r="2147" spans="1:61" x14ac:dyDescent="0.25">
      <c r="A2147" s="62" t="s">
        <v>597</v>
      </c>
      <c r="B2147" s="62" t="s">
        <v>791</v>
      </c>
      <c r="C2147" s="63"/>
      <c r="D2147" s="64"/>
      <c r="E2147" s="65"/>
      <c r="F2147" s="66"/>
      <c r="G2147" s="63"/>
      <c r="H2147" s="67"/>
      <c r="I2147" s="68"/>
      <c r="J2147" s="68"/>
      <c r="K2147" s="32"/>
      <c r="L2147" s="75">
        <v>2147</v>
      </c>
      <c r="M2147" s="75"/>
      <c r="N2147" s="70"/>
      <c r="O2147" s="77" t="s">
        <v>802</v>
      </c>
      <c r="P2147" s="79">
        <v>45152.8830787037</v>
      </c>
      <c r="Q2147" s="77" t="s">
        <v>2926</v>
      </c>
      <c r="R2147" s="77">
        <v>0</v>
      </c>
      <c r="S2147" s="77">
        <v>0</v>
      </c>
      <c r="T2147" s="77">
        <v>0</v>
      </c>
      <c r="U2147" s="77">
        <v>0</v>
      </c>
      <c r="V2147" s="77">
        <v>33</v>
      </c>
      <c r="W2147" s="82" t="s">
        <v>6238</v>
      </c>
      <c r="X2147" s="80" t="str">
        <f>HYPERLINK("https://youtube.com/shorts/LintQwcCHpo?feature=share")</f>
        <v>https://youtube.com/shorts/LintQwcCHpo?feature=share</v>
      </c>
      <c r="Y2147" s="77" t="s">
        <v>7065</v>
      </c>
      <c r="Z2147" s="77" t="s">
        <v>791</v>
      </c>
      <c r="AA2147" s="77"/>
      <c r="AB2147" s="77"/>
      <c r="AC2147" s="82" t="s">
        <v>8233</v>
      </c>
      <c r="AD2147" s="77" t="s">
        <v>8278</v>
      </c>
      <c r="AE2147" s="80" t="str">
        <f>HYPERLINK("https://twitter.com/hiltonboss90841/status/1691195902659022849")</f>
        <v>https://twitter.com/hiltonboss90841/status/1691195902659022849</v>
      </c>
      <c r="AF2147" s="79">
        <v>45152.8830787037</v>
      </c>
      <c r="AG2147" s="85">
        <v>45152</v>
      </c>
      <c r="AH2147" s="82" t="s">
        <v>10219</v>
      </c>
      <c r="AI2147" s="77" t="b">
        <v>0</v>
      </c>
      <c r="AJ2147" s="77"/>
      <c r="AK2147" s="77"/>
      <c r="AL2147" s="77"/>
      <c r="AM2147" s="77"/>
      <c r="AN2147" s="77"/>
      <c r="AO2147" s="77"/>
      <c r="AP2147" s="77"/>
      <c r="AQ2147" s="77"/>
      <c r="AR2147" s="77"/>
      <c r="AS2147" s="77"/>
      <c r="AT2147" s="77"/>
      <c r="AU2147" s="77"/>
      <c r="AV2147" s="80" t="str">
        <f>HYPERLINK("https://pbs.twimg.com/profile_images/1656338467096330241/us9nGBbn_normal.jpg")</f>
        <v>https://pbs.twimg.com/profile_images/1656338467096330241/us9nGBbn_normal.jpg</v>
      </c>
      <c r="AW2147" s="82" t="s">
        <v>15232</v>
      </c>
      <c r="AX2147" s="82" t="s">
        <v>15232</v>
      </c>
      <c r="AY2147" s="77"/>
      <c r="AZ2147" s="82" t="s">
        <v>17385</v>
      </c>
      <c r="BA2147" s="82" t="s">
        <v>17385</v>
      </c>
      <c r="BB2147" s="82" t="s">
        <v>17385</v>
      </c>
      <c r="BC2147" s="82" t="s">
        <v>15232</v>
      </c>
      <c r="BD2147" s="82" t="s">
        <v>17638</v>
      </c>
      <c r="BE2147" s="77"/>
      <c r="BF2147" s="77"/>
      <c r="BG2147" s="77"/>
      <c r="BH2147" s="77"/>
      <c r="BI2147" s="77"/>
    </row>
    <row r="2148" spans="1:61" x14ac:dyDescent="0.25">
      <c r="A2148" s="62" t="s">
        <v>598</v>
      </c>
      <c r="B2148" s="62" t="s">
        <v>598</v>
      </c>
      <c r="C2148" s="63"/>
      <c r="D2148" s="64"/>
      <c r="E2148" s="65"/>
      <c r="F2148" s="66"/>
      <c r="G2148" s="63"/>
      <c r="H2148" s="67"/>
      <c r="I2148" s="68"/>
      <c r="J2148" s="68"/>
      <c r="K2148" s="32"/>
      <c r="L2148" s="75">
        <v>2148</v>
      </c>
      <c r="M2148" s="75"/>
      <c r="N2148" s="70"/>
      <c r="O2148" s="77" t="s">
        <v>179</v>
      </c>
      <c r="P2148" s="79">
        <v>45116.990324074075</v>
      </c>
      <c r="Q2148" s="77" t="s">
        <v>2927</v>
      </c>
      <c r="R2148" s="77">
        <v>0</v>
      </c>
      <c r="S2148" s="77">
        <v>0</v>
      </c>
      <c r="T2148" s="77">
        <v>0</v>
      </c>
      <c r="U2148" s="77">
        <v>0</v>
      </c>
      <c r="V2148" s="77">
        <v>125</v>
      </c>
      <c r="W2148" s="82" t="s">
        <v>6239</v>
      </c>
      <c r="X2148" s="80" t="str">
        <f>HYPERLINK("https://pst.cr/PG8G5")</f>
        <v>https://pst.cr/PG8G5</v>
      </c>
      <c r="Y2148" s="77" t="s">
        <v>7076</v>
      </c>
      <c r="Z2148" s="77"/>
      <c r="AA2148" s="77"/>
      <c r="AB2148" s="77"/>
      <c r="AC2148" s="82" t="s">
        <v>8249</v>
      </c>
      <c r="AD2148" s="77" t="s">
        <v>8278</v>
      </c>
      <c r="AE2148" s="80" t="str">
        <f>HYPERLINK("https://twitter.com/clickpetroleoeg/status/1678188801372323840")</f>
        <v>https://twitter.com/clickpetroleoeg/status/1678188801372323840</v>
      </c>
      <c r="AF2148" s="79">
        <v>45116.990324074075</v>
      </c>
      <c r="AG2148" s="85">
        <v>45116</v>
      </c>
      <c r="AH2148" s="82" t="s">
        <v>10220</v>
      </c>
      <c r="AI2148" s="77" t="b">
        <v>0</v>
      </c>
      <c r="AJ2148" s="77"/>
      <c r="AK2148" s="77"/>
      <c r="AL2148" s="77"/>
      <c r="AM2148" s="77"/>
      <c r="AN2148" s="77"/>
      <c r="AO2148" s="77"/>
      <c r="AP2148" s="77"/>
      <c r="AQ2148" s="77"/>
      <c r="AR2148" s="77"/>
      <c r="AS2148" s="77"/>
      <c r="AT2148" s="77"/>
      <c r="AU2148" s="77"/>
      <c r="AV2148" s="80" t="str">
        <f>HYPERLINK("https://pbs.twimg.com/profile_images/1401606933942001665/v-OF79Eu_normal.jpg")</f>
        <v>https://pbs.twimg.com/profile_images/1401606933942001665/v-OF79Eu_normal.jpg</v>
      </c>
      <c r="AW2148" s="82" t="s">
        <v>15233</v>
      </c>
      <c r="AX2148" s="82" t="s">
        <v>15233</v>
      </c>
      <c r="AY2148" s="77"/>
      <c r="AZ2148" s="82" t="s">
        <v>17385</v>
      </c>
      <c r="BA2148" s="82" t="s">
        <v>17385</v>
      </c>
      <c r="BB2148" s="82" t="s">
        <v>17385</v>
      </c>
      <c r="BC2148" s="82" t="s">
        <v>15233</v>
      </c>
      <c r="BD2148" s="77">
        <v>3393519442</v>
      </c>
      <c r="BE2148" s="77"/>
      <c r="BF2148" s="77"/>
      <c r="BG2148" s="77"/>
      <c r="BH2148" s="77"/>
      <c r="BI2148" s="77"/>
    </row>
    <row r="2149" spans="1:61" x14ac:dyDescent="0.25">
      <c r="A2149" s="62" t="s">
        <v>599</v>
      </c>
      <c r="B2149" s="62" t="s">
        <v>599</v>
      </c>
      <c r="C2149" s="63"/>
      <c r="D2149" s="64"/>
      <c r="E2149" s="65"/>
      <c r="F2149" s="66"/>
      <c r="G2149" s="63"/>
      <c r="H2149" s="67"/>
      <c r="I2149" s="68"/>
      <c r="J2149" s="68"/>
      <c r="K2149" s="32"/>
      <c r="L2149" s="75">
        <v>2149</v>
      </c>
      <c r="M2149" s="75"/>
      <c r="N2149" s="70"/>
      <c r="O2149" s="77" t="s">
        <v>179</v>
      </c>
      <c r="P2149" s="79">
        <v>45111.531006944446</v>
      </c>
      <c r="Q2149" s="77" t="s">
        <v>2928</v>
      </c>
      <c r="R2149" s="77">
        <v>0</v>
      </c>
      <c r="S2149" s="77">
        <v>0</v>
      </c>
      <c r="T2149" s="77">
        <v>0</v>
      </c>
      <c r="U2149" s="77">
        <v>0</v>
      </c>
      <c r="V2149" s="77">
        <v>47</v>
      </c>
      <c r="W2149" s="82" t="s">
        <v>6240</v>
      </c>
      <c r="X2149" s="80" t="str">
        <f>HYPERLINK("https://oespecialista.com.br/carteira-top-dez-acoes-bancos-safra/")</f>
        <v>https://oespecialista.com.br/carteira-top-dez-acoes-bancos-safra/</v>
      </c>
      <c r="Y2149" s="77" t="s">
        <v>7053</v>
      </c>
      <c r="Z2149" s="77"/>
      <c r="AA2149" s="77"/>
      <c r="AB2149" s="77"/>
      <c r="AC2149" s="82" t="s">
        <v>8232</v>
      </c>
      <c r="AD2149" s="77" t="s">
        <v>8278</v>
      </c>
      <c r="AE2149" s="80" t="str">
        <f>HYPERLINK("https://twitter.com/glaucojarzinski/status/1676210414428758017")</f>
        <v>https://twitter.com/glaucojarzinski/status/1676210414428758017</v>
      </c>
      <c r="AF2149" s="79">
        <v>45111.531006944446</v>
      </c>
      <c r="AG2149" s="85">
        <v>45111</v>
      </c>
      <c r="AH2149" s="82" t="s">
        <v>10221</v>
      </c>
      <c r="AI2149" s="77" t="b">
        <v>0</v>
      </c>
      <c r="AJ2149" s="77"/>
      <c r="AK2149" s="77"/>
      <c r="AL2149" s="77"/>
      <c r="AM2149" s="77"/>
      <c r="AN2149" s="77"/>
      <c r="AO2149" s="77"/>
      <c r="AP2149" s="77"/>
      <c r="AQ2149" s="77"/>
      <c r="AR2149" s="77"/>
      <c r="AS2149" s="77"/>
      <c r="AT2149" s="77"/>
      <c r="AU2149" s="77"/>
      <c r="AV2149" s="80" t="str">
        <f>HYPERLINK("https://pbs.twimg.com/profile_images/1601221671033229317/vdk9I2tD_normal.jpg")</f>
        <v>https://pbs.twimg.com/profile_images/1601221671033229317/vdk9I2tD_normal.jpg</v>
      </c>
      <c r="AW2149" s="82" t="s">
        <v>15234</v>
      </c>
      <c r="AX2149" s="82" t="s">
        <v>15234</v>
      </c>
      <c r="AY2149" s="77"/>
      <c r="AZ2149" s="82" t="s">
        <v>17385</v>
      </c>
      <c r="BA2149" s="82" t="s">
        <v>17385</v>
      </c>
      <c r="BB2149" s="82" t="s">
        <v>17385</v>
      </c>
      <c r="BC2149" s="82" t="s">
        <v>15234</v>
      </c>
      <c r="BD2149" s="77">
        <v>93754487</v>
      </c>
      <c r="BE2149" s="77"/>
      <c r="BF2149" s="77"/>
      <c r="BG2149" s="77"/>
      <c r="BH2149" s="77"/>
      <c r="BI2149" s="77"/>
    </row>
    <row r="2150" spans="1:61" x14ac:dyDescent="0.25">
      <c r="A2150" s="62" t="s">
        <v>599</v>
      </c>
      <c r="B2150" s="62" t="s">
        <v>599</v>
      </c>
      <c r="C2150" s="63"/>
      <c r="D2150" s="64"/>
      <c r="E2150" s="65"/>
      <c r="F2150" s="66"/>
      <c r="G2150" s="63"/>
      <c r="H2150" s="67"/>
      <c r="I2150" s="68"/>
      <c r="J2150" s="68"/>
      <c r="K2150" s="32"/>
      <c r="L2150" s="75">
        <v>2150</v>
      </c>
      <c r="M2150" s="75"/>
      <c r="N2150" s="70"/>
      <c r="O2150" s="77" t="s">
        <v>179</v>
      </c>
      <c r="P2150" s="79">
        <v>45131.533796296295</v>
      </c>
      <c r="Q2150" s="77" t="s">
        <v>2929</v>
      </c>
      <c r="R2150" s="77">
        <v>0</v>
      </c>
      <c r="S2150" s="77">
        <v>0</v>
      </c>
      <c r="T2150" s="77">
        <v>0</v>
      </c>
      <c r="U2150" s="77">
        <v>0</v>
      </c>
      <c r="V2150" s="77">
        <v>11</v>
      </c>
      <c r="W2150" s="82" t="s">
        <v>6241</v>
      </c>
      <c r="X2150" s="80" t="str">
        <f>HYPERLINK("https://oespecialista.com.br/carteira-sugerida-small-caps-safra/")</f>
        <v>https://oespecialista.com.br/carteira-sugerida-small-caps-safra/</v>
      </c>
      <c r="Y2150" s="77" t="s">
        <v>7053</v>
      </c>
      <c r="Z2150" s="77"/>
      <c r="AA2150" s="77"/>
      <c r="AB2150" s="77"/>
      <c r="AC2150" s="82" t="s">
        <v>8232</v>
      </c>
      <c r="AD2150" s="77" t="s">
        <v>8278</v>
      </c>
      <c r="AE2150" s="80" t="str">
        <f>HYPERLINK("https://twitter.com/glaucojarzinski/status/1683459179732770817")</f>
        <v>https://twitter.com/glaucojarzinski/status/1683459179732770817</v>
      </c>
      <c r="AF2150" s="79">
        <v>45131.533796296295</v>
      </c>
      <c r="AG2150" s="85">
        <v>45131</v>
      </c>
      <c r="AH2150" s="82" t="s">
        <v>10222</v>
      </c>
      <c r="AI2150" s="77" t="b">
        <v>0</v>
      </c>
      <c r="AJ2150" s="77"/>
      <c r="AK2150" s="77"/>
      <c r="AL2150" s="77"/>
      <c r="AM2150" s="77"/>
      <c r="AN2150" s="77"/>
      <c r="AO2150" s="77"/>
      <c r="AP2150" s="77"/>
      <c r="AQ2150" s="77"/>
      <c r="AR2150" s="77"/>
      <c r="AS2150" s="77"/>
      <c r="AT2150" s="77"/>
      <c r="AU2150" s="77"/>
      <c r="AV2150" s="80" t="str">
        <f>HYPERLINK("https://pbs.twimg.com/profile_images/1601221671033229317/vdk9I2tD_normal.jpg")</f>
        <v>https://pbs.twimg.com/profile_images/1601221671033229317/vdk9I2tD_normal.jpg</v>
      </c>
      <c r="AW2150" s="82" t="s">
        <v>15235</v>
      </c>
      <c r="AX2150" s="82" t="s">
        <v>15235</v>
      </c>
      <c r="AY2150" s="77"/>
      <c r="AZ2150" s="82" t="s">
        <v>17385</v>
      </c>
      <c r="BA2150" s="82" t="s">
        <v>17385</v>
      </c>
      <c r="BB2150" s="82" t="s">
        <v>17385</v>
      </c>
      <c r="BC2150" s="82" t="s">
        <v>15235</v>
      </c>
      <c r="BD2150" s="77">
        <v>93754487</v>
      </c>
      <c r="BE2150" s="77"/>
      <c r="BF2150" s="77"/>
      <c r="BG2150" s="77"/>
      <c r="BH2150" s="77"/>
      <c r="BI2150" s="77"/>
    </row>
    <row r="2151" spans="1:61" x14ac:dyDescent="0.25">
      <c r="A2151" s="62" t="s">
        <v>600</v>
      </c>
      <c r="B2151" s="62" t="s">
        <v>600</v>
      </c>
      <c r="C2151" s="63"/>
      <c r="D2151" s="64"/>
      <c r="E2151" s="65"/>
      <c r="F2151" s="66"/>
      <c r="G2151" s="63"/>
      <c r="H2151" s="67"/>
      <c r="I2151" s="68"/>
      <c r="J2151" s="68"/>
      <c r="K2151" s="32"/>
      <c r="L2151" s="75">
        <v>2151</v>
      </c>
      <c r="M2151" s="75"/>
      <c r="N2151" s="70"/>
      <c r="O2151" s="77" t="s">
        <v>179</v>
      </c>
      <c r="P2151" s="79">
        <v>45075.031643518516</v>
      </c>
      <c r="Q2151" s="77" t="s">
        <v>2930</v>
      </c>
      <c r="R2151" s="77">
        <v>0</v>
      </c>
      <c r="S2151" s="77">
        <v>0</v>
      </c>
      <c r="T2151" s="77">
        <v>0</v>
      </c>
      <c r="U2151" s="77">
        <v>0</v>
      </c>
      <c r="V2151" s="77">
        <v>8</v>
      </c>
      <c r="W2151" s="82" t="s">
        <v>6242</v>
      </c>
      <c r="X2151" s="80" t="str">
        <f>HYPERLINK("https://m.youtube.com/watch?v=1lKkvtBdSdo&amp;pp=ygUjbWFyY2lvIHRlaXhlaXJhIHNhdGFuaXNtbyBuYSBtdXNpY2E%3D")</f>
        <v>https://m.youtube.com/watch?v=1lKkvtBdSdo&amp;pp=ygUjbWFyY2lvIHRlaXhlaXJhIHNhdGFuaXNtbyBuYSBtdXNpY2E%3D</v>
      </c>
      <c r="Y2151" s="77" t="s">
        <v>7065</v>
      </c>
      <c r="Z2151" s="77"/>
      <c r="AA2151" s="77"/>
      <c r="AB2151" s="77"/>
      <c r="AC2151" s="82" t="s">
        <v>8232</v>
      </c>
      <c r="AD2151" s="77" t="s">
        <v>8278</v>
      </c>
      <c r="AE2151" s="80" t="str">
        <f>HYPERLINK("https://twitter.com/light_love7/status/1662983486733529088")</f>
        <v>https://twitter.com/light_love7/status/1662983486733529088</v>
      </c>
      <c r="AF2151" s="79">
        <v>45075.031643518516</v>
      </c>
      <c r="AG2151" s="85">
        <v>45075</v>
      </c>
      <c r="AH2151" s="82" t="s">
        <v>10223</v>
      </c>
      <c r="AI2151" s="77" t="b">
        <v>0</v>
      </c>
      <c r="AJ2151" s="77"/>
      <c r="AK2151" s="77"/>
      <c r="AL2151" s="77"/>
      <c r="AM2151" s="77"/>
      <c r="AN2151" s="77"/>
      <c r="AO2151" s="77"/>
      <c r="AP2151" s="77"/>
      <c r="AQ2151" s="77"/>
      <c r="AR2151" s="77"/>
      <c r="AS2151" s="77"/>
      <c r="AT2151" s="77"/>
      <c r="AU2151" s="77"/>
      <c r="AV2151" s="80" t="str">
        <f>HYPERLINK("https://pbs.twimg.com/profile_images/1686121878614667264/5PiuurOe_normal.jpg")</f>
        <v>https://pbs.twimg.com/profile_images/1686121878614667264/5PiuurOe_normal.jpg</v>
      </c>
      <c r="AW2151" s="82" t="s">
        <v>15236</v>
      </c>
      <c r="AX2151" s="82" t="s">
        <v>15236</v>
      </c>
      <c r="AY2151" s="77"/>
      <c r="AZ2151" s="82" t="s">
        <v>17385</v>
      </c>
      <c r="BA2151" s="82" t="s">
        <v>17385</v>
      </c>
      <c r="BB2151" s="82" t="s">
        <v>17385</v>
      </c>
      <c r="BC2151" s="82" t="s">
        <v>15236</v>
      </c>
      <c r="BD2151" s="82" t="s">
        <v>17639</v>
      </c>
      <c r="BE2151" s="77"/>
      <c r="BF2151" s="77"/>
      <c r="BG2151" s="77"/>
      <c r="BH2151" s="77"/>
      <c r="BI2151" s="77"/>
    </row>
    <row r="2152" spans="1:61" x14ac:dyDescent="0.25">
      <c r="A2152" s="62" t="s">
        <v>601</v>
      </c>
      <c r="B2152" s="62" t="s">
        <v>601</v>
      </c>
      <c r="C2152" s="63"/>
      <c r="D2152" s="64"/>
      <c r="E2152" s="65"/>
      <c r="F2152" s="66"/>
      <c r="G2152" s="63"/>
      <c r="H2152" s="67"/>
      <c r="I2152" s="68"/>
      <c r="J2152" s="68"/>
      <c r="K2152" s="32"/>
      <c r="L2152" s="75">
        <v>2152</v>
      </c>
      <c r="M2152" s="75"/>
      <c r="N2152" s="70"/>
      <c r="O2152" s="77" t="s">
        <v>179</v>
      </c>
      <c r="P2152" s="79">
        <v>45152.732766203706</v>
      </c>
      <c r="Q2152" s="77" t="s">
        <v>2931</v>
      </c>
      <c r="R2152" s="77">
        <v>0</v>
      </c>
      <c r="S2152" s="77">
        <v>0</v>
      </c>
      <c r="T2152" s="77">
        <v>0</v>
      </c>
      <c r="U2152" s="77">
        <v>0</v>
      </c>
      <c r="V2152" s="77">
        <v>30</v>
      </c>
      <c r="W2152" s="82" t="s">
        <v>6243</v>
      </c>
      <c r="X2152" s="77"/>
      <c r="Y2152" s="77"/>
      <c r="Z2152" s="77"/>
      <c r="AA2152" s="77" t="s">
        <v>8039</v>
      </c>
      <c r="AB2152" s="77" t="s">
        <v>8227</v>
      </c>
      <c r="AC2152" s="82" t="s">
        <v>8234</v>
      </c>
      <c r="AD2152" s="77" t="s">
        <v>8278</v>
      </c>
      <c r="AE2152" s="80" t="str">
        <f>HYPERLINK("https://twitter.com/factutrade/status/1691141429920149514")</f>
        <v>https://twitter.com/factutrade/status/1691141429920149514</v>
      </c>
      <c r="AF2152" s="79">
        <v>45152.732766203706</v>
      </c>
      <c r="AG2152" s="85">
        <v>45152</v>
      </c>
      <c r="AH2152" s="82" t="s">
        <v>10224</v>
      </c>
      <c r="AI2152" s="77" t="b">
        <v>0</v>
      </c>
      <c r="AJ2152" s="77" t="s">
        <v>11994</v>
      </c>
      <c r="AK2152" s="77" t="s">
        <v>12007</v>
      </c>
      <c r="AL2152" s="77" t="s">
        <v>12010</v>
      </c>
      <c r="AM2152" s="77" t="s">
        <v>12014</v>
      </c>
      <c r="AN2152" s="77" t="s">
        <v>12026</v>
      </c>
      <c r="AO2152" s="77" t="s">
        <v>12040</v>
      </c>
      <c r="AP2152" s="77" t="s">
        <v>12051</v>
      </c>
      <c r="AQ2152" s="77" t="s">
        <v>12924</v>
      </c>
      <c r="AR2152" s="77">
        <v>17800</v>
      </c>
      <c r="AS2152" s="77"/>
      <c r="AT2152" s="77"/>
      <c r="AU2152" s="77"/>
      <c r="AV2152" s="80" t="str">
        <f>HYPERLINK("https://pbs.twimg.com/ext_tw_video_thumb/1691141379097837568/pu/img/tlfRbHO7clZ-Frcq.jpg")</f>
        <v>https://pbs.twimg.com/ext_tw_video_thumb/1691141379097837568/pu/img/tlfRbHO7clZ-Frcq.jpg</v>
      </c>
      <c r="AW2152" s="82" t="s">
        <v>15237</v>
      </c>
      <c r="AX2152" s="82" t="s">
        <v>15237</v>
      </c>
      <c r="AY2152" s="77"/>
      <c r="AZ2152" s="82" t="s">
        <v>17385</v>
      </c>
      <c r="BA2152" s="82" t="s">
        <v>17385</v>
      </c>
      <c r="BB2152" s="82" t="s">
        <v>17385</v>
      </c>
      <c r="BC2152" s="82" t="s">
        <v>15237</v>
      </c>
      <c r="BD2152" s="77">
        <v>71351432</v>
      </c>
      <c r="BE2152" s="77"/>
      <c r="BF2152" s="77"/>
      <c r="BG2152" s="77"/>
      <c r="BH2152" s="77"/>
      <c r="BI2152" s="77"/>
    </row>
    <row r="2153" spans="1:61" x14ac:dyDescent="0.25">
      <c r="A2153" s="62" t="s">
        <v>602</v>
      </c>
      <c r="B2153" s="62" t="s">
        <v>602</v>
      </c>
      <c r="C2153" s="63"/>
      <c r="D2153" s="64"/>
      <c r="E2153" s="65"/>
      <c r="F2153" s="66"/>
      <c r="G2153" s="63"/>
      <c r="H2153" s="67"/>
      <c r="I2153" s="68"/>
      <c r="J2153" s="68"/>
      <c r="K2153" s="32"/>
      <c r="L2153" s="75">
        <v>2153</v>
      </c>
      <c r="M2153" s="75"/>
      <c r="N2153" s="70"/>
      <c r="O2153" s="77" t="s">
        <v>179</v>
      </c>
      <c r="P2153" s="79">
        <v>45165.909421296295</v>
      </c>
      <c r="Q2153" s="77" t="s">
        <v>2932</v>
      </c>
      <c r="R2153" s="77">
        <v>0</v>
      </c>
      <c r="S2153" s="77">
        <v>0</v>
      </c>
      <c r="T2153" s="77">
        <v>0</v>
      </c>
      <c r="U2153" s="77">
        <v>0</v>
      </c>
      <c r="V2153" s="77">
        <v>37</v>
      </c>
      <c r="W2153" s="82" t="s">
        <v>6244</v>
      </c>
      <c r="X2153" s="77"/>
      <c r="Y2153" s="77"/>
      <c r="Z2153" s="77"/>
      <c r="AA2153" s="77" t="s">
        <v>8040</v>
      </c>
      <c r="AB2153" s="77" t="s">
        <v>8225</v>
      </c>
      <c r="AC2153" s="82" t="s">
        <v>8233</v>
      </c>
      <c r="AD2153" s="77" t="s">
        <v>8278</v>
      </c>
      <c r="AE2153" s="80" t="str">
        <f>HYPERLINK("https://twitter.com/amanciomatheus1/status/1695916489507778987")</f>
        <v>https://twitter.com/amanciomatheus1/status/1695916489507778987</v>
      </c>
      <c r="AF2153" s="79">
        <v>45165.909421296295</v>
      </c>
      <c r="AG2153" s="85">
        <v>45165</v>
      </c>
      <c r="AH2153" s="82" t="s">
        <v>10225</v>
      </c>
      <c r="AI2153" s="77" t="b">
        <v>0</v>
      </c>
      <c r="AJ2153" s="77"/>
      <c r="AK2153" s="77"/>
      <c r="AL2153" s="77"/>
      <c r="AM2153" s="77"/>
      <c r="AN2153" s="77"/>
      <c r="AO2153" s="77"/>
      <c r="AP2153" s="77"/>
      <c r="AQ2153" s="77" t="s">
        <v>12925</v>
      </c>
      <c r="AR2153" s="77"/>
      <c r="AS2153" s="77"/>
      <c r="AT2153" s="77"/>
      <c r="AU2153" s="77"/>
      <c r="AV2153" s="80" t="str">
        <f>HYPERLINK("https://pbs.twimg.com/media/F4kbDluW8AAyfEH.jpg")</f>
        <v>https://pbs.twimg.com/media/F4kbDluW8AAyfEH.jpg</v>
      </c>
      <c r="AW2153" s="82" t="s">
        <v>15238</v>
      </c>
      <c r="AX2153" s="82" t="s">
        <v>15238</v>
      </c>
      <c r="AY2153" s="77"/>
      <c r="AZ2153" s="82" t="s">
        <v>17385</v>
      </c>
      <c r="BA2153" s="82" t="s">
        <v>17385</v>
      </c>
      <c r="BB2153" s="82" t="s">
        <v>17385</v>
      </c>
      <c r="BC2153" s="82" t="s">
        <v>15238</v>
      </c>
      <c r="BD2153" s="77">
        <v>239241856</v>
      </c>
      <c r="BE2153" s="77"/>
      <c r="BF2153" s="77"/>
      <c r="BG2153" s="77"/>
      <c r="BH2153" s="77"/>
      <c r="BI2153" s="77"/>
    </row>
    <row r="2154" spans="1:61" x14ac:dyDescent="0.25">
      <c r="A2154" s="62" t="s">
        <v>602</v>
      </c>
      <c r="B2154" s="62" t="s">
        <v>602</v>
      </c>
      <c r="C2154" s="63"/>
      <c r="D2154" s="64"/>
      <c r="E2154" s="65"/>
      <c r="F2154" s="66"/>
      <c r="G2154" s="63"/>
      <c r="H2154" s="67"/>
      <c r="I2154" s="68"/>
      <c r="J2154" s="68"/>
      <c r="K2154" s="32"/>
      <c r="L2154" s="75">
        <v>2154</v>
      </c>
      <c r="M2154" s="75"/>
      <c r="N2154" s="70"/>
      <c r="O2154" s="77" t="s">
        <v>179</v>
      </c>
      <c r="P2154" s="79">
        <v>45197.021203703705</v>
      </c>
      <c r="Q2154" s="77" t="s">
        <v>2933</v>
      </c>
      <c r="R2154" s="77">
        <v>0</v>
      </c>
      <c r="S2154" s="77">
        <v>1</v>
      </c>
      <c r="T2154" s="77">
        <v>0</v>
      </c>
      <c r="U2154" s="77">
        <v>0</v>
      </c>
      <c r="V2154" s="77">
        <v>155</v>
      </c>
      <c r="W2154" s="82" t="s">
        <v>6245</v>
      </c>
      <c r="X2154" s="77"/>
      <c r="Y2154" s="77"/>
      <c r="Z2154" s="77"/>
      <c r="AA2154" s="77" t="s">
        <v>8041</v>
      </c>
      <c r="AB2154" s="77" t="s">
        <v>8226</v>
      </c>
      <c r="AC2154" s="82" t="s">
        <v>8232</v>
      </c>
      <c r="AD2154" s="77" t="s">
        <v>8278</v>
      </c>
      <c r="AE2154" s="80" t="str">
        <f>HYPERLINK("https://twitter.com/amanciomatheus1/status/1707191023800070424")</f>
        <v>https://twitter.com/amanciomatheus1/status/1707191023800070424</v>
      </c>
      <c r="AF2154" s="79">
        <v>45197.021203703705</v>
      </c>
      <c r="AG2154" s="85">
        <v>45197</v>
      </c>
      <c r="AH2154" s="82" t="s">
        <v>10226</v>
      </c>
      <c r="AI2154" s="77" t="b">
        <v>0</v>
      </c>
      <c r="AJ2154" s="77"/>
      <c r="AK2154" s="77"/>
      <c r="AL2154" s="77"/>
      <c r="AM2154" s="77"/>
      <c r="AN2154" s="77"/>
      <c r="AO2154" s="77"/>
      <c r="AP2154" s="77"/>
      <c r="AQ2154" s="77" t="s">
        <v>12926</v>
      </c>
      <c r="AR2154" s="77"/>
      <c r="AS2154" s="77"/>
      <c r="AT2154" s="77"/>
      <c r="AU2154" s="77"/>
      <c r="AV2154" s="80" t="str">
        <f>HYPERLINK("https://pbs.twimg.com/media/F7EoRyOW4AAJVC-.png")</f>
        <v>https://pbs.twimg.com/media/F7EoRyOW4AAJVC-.png</v>
      </c>
      <c r="AW2154" s="82" t="s">
        <v>15239</v>
      </c>
      <c r="AX2154" s="82" t="s">
        <v>15239</v>
      </c>
      <c r="AY2154" s="77"/>
      <c r="AZ2154" s="82" t="s">
        <v>17385</v>
      </c>
      <c r="BA2154" s="82" t="s">
        <v>17385</v>
      </c>
      <c r="BB2154" s="82" t="s">
        <v>17385</v>
      </c>
      <c r="BC2154" s="82" t="s">
        <v>15239</v>
      </c>
      <c r="BD2154" s="77">
        <v>239241856</v>
      </c>
      <c r="BE2154" s="77"/>
      <c r="BF2154" s="77"/>
      <c r="BG2154" s="77"/>
      <c r="BH2154" s="77"/>
      <c r="BI2154" s="77"/>
    </row>
    <row r="2155" spans="1:61" x14ac:dyDescent="0.25">
      <c r="A2155" s="62" t="s">
        <v>602</v>
      </c>
      <c r="B2155" s="62" t="s">
        <v>602</v>
      </c>
      <c r="C2155" s="63"/>
      <c r="D2155" s="64"/>
      <c r="E2155" s="65"/>
      <c r="F2155" s="66"/>
      <c r="G2155" s="63"/>
      <c r="H2155" s="67"/>
      <c r="I2155" s="68"/>
      <c r="J2155" s="68"/>
      <c r="K2155" s="32"/>
      <c r="L2155" s="75">
        <v>2155</v>
      </c>
      <c r="M2155" s="75"/>
      <c r="N2155" s="70"/>
      <c r="O2155" s="77" t="s">
        <v>179</v>
      </c>
      <c r="P2155" s="79">
        <v>45196.986643518518</v>
      </c>
      <c r="Q2155" s="77" t="s">
        <v>2934</v>
      </c>
      <c r="R2155" s="77">
        <v>0</v>
      </c>
      <c r="S2155" s="77">
        <v>0</v>
      </c>
      <c r="T2155" s="77">
        <v>0</v>
      </c>
      <c r="U2155" s="77">
        <v>0</v>
      </c>
      <c r="V2155" s="77">
        <v>41</v>
      </c>
      <c r="W2155" s="82" t="s">
        <v>6246</v>
      </c>
      <c r="X2155" s="77"/>
      <c r="Y2155" s="77"/>
      <c r="Z2155" s="77"/>
      <c r="AA2155" s="77" t="s">
        <v>8042</v>
      </c>
      <c r="AB2155" s="77" t="s">
        <v>8226</v>
      </c>
      <c r="AC2155" s="82" t="s">
        <v>8232</v>
      </c>
      <c r="AD2155" s="77" t="s">
        <v>8278</v>
      </c>
      <c r="AE2155" s="80" t="str">
        <f>HYPERLINK("https://twitter.com/amanciomatheus1/status/1707178498509451588")</f>
        <v>https://twitter.com/amanciomatheus1/status/1707178498509451588</v>
      </c>
      <c r="AF2155" s="79">
        <v>45196.986643518518</v>
      </c>
      <c r="AG2155" s="85">
        <v>45196</v>
      </c>
      <c r="AH2155" s="82" t="s">
        <v>10227</v>
      </c>
      <c r="AI2155" s="77" t="b">
        <v>0</v>
      </c>
      <c r="AJ2155" s="77"/>
      <c r="AK2155" s="77"/>
      <c r="AL2155" s="77"/>
      <c r="AM2155" s="77"/>
      <c r="AN2155" s="77"/>
      <c r="AO2155" s="77"/>
      <c r="AP2155" s="77"/>
      <c r="AQ2155" s="77" t="s">
        <v>12927</v>
      </c>
      <c r="AR2155" s="77"/>
      <c r="AS2155" s="77"/>
      <c r="AT2155" s="77"/>
      <c r="AU2155" s="77"/>
      <c r="AV2155" s="80" t="str">
        <f>HYPERLINK("https://pbs.twimg.com/media/F7EdVxbXsAAan8a.png")</f>
        <v>https://pbs.twimg.com/media/F7EdVxbXsAAan8a.png</v>
      </c>
      <c r="AW2155" s="82" t="s">
        <v>15240</v>
      </c>
      <c r="AX2155" s="82" t="s">
        <v>15240</v>
      </c>
      <c r="AY2155" s="77"/>
      <c r="AZ2155" s="82" t="s">
        <v>17385</v>
      </c>
      <c r="BA2155" s="82" t="s">
        <v>17385</v>
      </c>
      <c r="BB2155" s="82" t="s">
        <v>17385</v>
      </c>
      <c r="BC2155" s="82" t="s">
        <v>15240</v>
      </c>
      <c r="BD2155" s="77">
        <v>239241856</v>
      </c>
      <c r="BE2155" s="77"/>
      <c r="BF2155" s="77"/>
      <c r="BG2155" s="77"/>
      <c r="BH2155" s="77"/>
      <c r="BI2155" s="77"/>
    </row>
    <row r="2156" spans="1:61" x14ac:dyDescent="0.25">
      <c r="A2156" s="62" t="s">
        <v>602</v>
      </c>
      <c r="B2156" s="62" t="s">
        <v>602</v>
      </c>
      <c r="C2156" s="63"/>
      <c r="D2156" s="64"/>
      <c r="E2156" s="65"/>
      <c r="F2156" s="66"/>
      <c r="G2156" s="63"/>
      <c r="H2156" s="67"/>
      <c r="I2156" s="68"/>
      <c r="J2156" s="68"/>
      <c r="K2156" s="32"/>
      <c r="L2156" s="75">
        <v>2156</v>
      </c>
      <c r="M2156" s="75"/>
      <c r="N2156" s="70"/>
      <c r="O2156" s="77" t="s">
        <v>179</v>
      </c>
      <c r="P2156" s="79">
        <v>45197.66574074074</v>
      </c>
      <c r="Q2156" s="77" t="s">
        <v>2935</v>
      </c>
      <c r="R2156" s="77">
        <v>0</v>
      </c>
      <c r="S2156" s="77">
        <v>0</v>
      </c>
      <c r="T2156" s="77">
        <v>0</v>
      </c>
      <c r="U2156" s="77">
        <v>0</v>
      </c>
      <c r="V2156" s="77">
        <v>4</v>
      </c>
      <c r="W2156" s="82" t="s">
        <v>6247</v>
      </c>
      <c r="X2156" s="77"/>
      <c r="Y2156" s="77"/>
      <c r="Z2156" s="77"/>
      <c r="AA2156" s="77" t="s">
        <v>8043</v>
      </c>
      <c r="AB2156" s="77" t="s">
        <v>8225</v>
      </c>
      <c r="AC2156" s="82" t="s">
        <v>8233</v>
      </c>
      <c r="AD2156" s="77" t="s">
        <v>8278</v>
      </c>
      <c r="AE2156" s="80" t="str">
        <f>HYPERLINK("https://twitter.com/amanciomatheus1/status/1707424592841539590")</f>
        <v>https://twitter.com/amanciomatheus1/status/1707424592841539590</v>
      </c>
      <c r="AF2156" s="79">
        <v>45197.66574074074</v>
      </c>
      <c r="AG2156" s="85">
        <v>45197</v>
      </c>
      <c r="AH2156" s="82" t="s">
        <v>10228</v>
      </c>
      <c r="AI2156" s="77" t="b">
        <v>0</v>
      </c>
      <c r="AJ2156" s="77"/>
      <c r="AK2156" s="77"/>
      <c r="AL2156" s="77"/>
      <c r="AM2156" s="77"/>
      <c r="AN2156" s="77"/>
      <c r="AO2156" s="77"/>
      <c r="AP2156" s="77"/>
      <c r="AQ2156" s="77" t="s">
        <v>12928</v>
      </c>
      <c r="AR2156" s="77"/>
      <c r="AS2156" s="77"/>
      <c r="AT2156" s="77"/>
      <c r="AU2156" s="77"/>
      <c r="AV2156" s="80" t="str">
        <f>HYPERLINK("https://pbs.twimg.com/media/F7H9nWPXUAACADE.jpg")</f>
        <v>https://pbs.twimg.com/media/F7H9nWPXUAACADE.jpg</v>
      </c>
      <c r="AW2156" s="82" t="s">
        <v>15241</v>
      </c>
      <c r="AX2156" s="82" t="s">
        <v>15241</v>
      </c>
      <c r="AY2156" s="77"/>
      <c r="AZ2156" s="82" t="s">
        <v>17385</v>
      </c>
      <c r="BA2156" s="82" t="s">
        <v>17385</v>
      </c>
      <c r="BB2156" s="82" t="s">
        <v>17385</v>
      </c>
      <c r="BC2156" s="82" t="s">
        <v>15241</v>
      </c>
      <c r="BD2156" s="77">
        <v>239241856</v>
      </c>
      <c r="BE2156" s="77"/>
      <c r="BF2156" s="77"/>
      <c r="BG2156" s="77"/>
      <c r="BH2156" s="77"/>
      <c r="BI2156" s="77"/>
    </row>
    <row r="2157" spans="1:61" x14ac:dyDescent="0.25">
      <c r="A2157" s="62" t="s">
        <v>603</v>
      </c>
      <c r="B2157" s="62" t="s">
        <v>603</v>
      </c>
      <c r="C2157" s="63"/>
      <c r="D2157" s="64"/>
      <c r="E2157" s="65"/>
      <c r="F2157" s="66"/>
      <c r="G2157" s="63"/>
      <c r="H2157" s="67"/>
      <c r="I2157" s="68"/>
      <c r="J2157" s="68"/>
      <c r="K2157" s="32"/>
      <c r="L2157" s="75">
        <v>2157</v>
      </c>
      <c r="M2157" s="75"/>
      <c r="N2157" s="70"/>
      <c r="O2157" s="77" t="s">
        <v>179</v>
      </c>
      <c r="P2157" s="79">
        <v>45098.048946759256</v>
      </c>
      <c r="Q2157" s="77" t="s">
        <v>2936</v>
      </c>
      <c r="R2157" s="77">
        <v>0</v>
      </c>
      <c r="S2157" s="77">
        <v>0</v>
      </c>
      <c r="T2157" s="77">
        <v>0</v>
      </c>
      <c r="U2157" s="77">
        <v>0</v>
      </c>
      <c r="V2157" s="77">
        <v>1</v>
      </c>
      <c r="W2157" s="82" t="s">
        <v>6248</v>
      </c>
      <c r="X2157" s="80" t="str">
        <f>HYPERLINK("http://brasilparticipativo.presidencia.gov.br/processes/prog")</f>
        <v>http://brasilparticipativo.presidencia.gov.br/processes/prog</v>
      </c>
      <c r="Y2157" s="77" t="s">
        <v>7104</v>
      </c>
      <c r="Z2157" s="77"/>
      <c r="AA2157" s="77"/>
      <c r="AB2157" s="77"/>
      <c r="AC2157" s="82" t="s">
        <v>8234</v>
      </c>
      <c r="AD2157" s="77" t="s">
        <v>8278</v>
      </c>
      <c r="AE2157" s="80" t="str">
        <f>HYPERLINK("https://twitter.com/damiosoaresnun/status/1671324677300469762")</f>
        <v>https://twitter.com/damiosoaresnun/status/1671324677300469762</v>
      </c>
      <c r="AF2157" s="79">
        <v>45098.048946759256</v>
      </c>
      <c r="AG2157" s="85">
        <v>45098</v>
      </c>
      <c r="AH2157" s="82" t="s">
        <v>10229</v>
      </c>
      <c r="AI2157" s="77" t="b">
        <v>0</v>
      </c>
      <c r="AJ2157" s="77"/>
      <c r="AK2157" s="77"/>
      <c r="AL2157" s="77"/>
      <c r="AM2157" s="77"/>
      <c r="AN2157" s="77"/>
      <c r="AO2157" s="77"/>
      <c r="AP2157" s="77"/>
      <c r="AQ2157" s="77"/>
      <c r="AR2157" s="77"/>
      <c r="AS2157" s="77"/>
      <c r="AT2157" s="77"/>
      <c r="AU2157" s="77"/>
      <c r="AV2157" s="80" t="str">
        <f>HYPERLINK("https://pbs.twimg.com/profile_images/1629892329719963655/GkkwKwEJ_normal.png")</f>
        <v>https://pbs.twimg.com/profile_images/1629892329719963655/GkkwKwEJ_normal.png</v>
      </c>
      <c r="AW2157" s="82" t="s">
        <v>15242</v>
      </c>
      <c r="AX2157" s="82" t="s">
        <v>15242</v>
      </c>
      <c r="AY2157" s="77"/>
      <c r="AZ2157" s="82" t="s">
        <v>17385</v>
      </c>
      <c r="BA2157" s="82" t="s">
        <v>17385</v>
      </c>
      <c r="BB2157" s="82" t="s">
        <v>17385</v>
      </c>
      <c r="BC2157" s="82" t="s">
        <v>15242</v>
      </c>
      <c r="BD2157" s="82" t="s">
        <v>17640</v>
      </c>
      <c r="BE2157" s="77"/>
      <c r="BF2157" s="77"/>
      <c r="BG2157" s="77"/>
      <c r="BH2157" s="77"/>
      <c r="BI2157" s="77"/>
    </row>
    <row r="2158" spans="1:61" x14ac:dyDescent="0.25">
      <c r="A2158" s="62" t="s">
        <v>604</v>
      </c>
      <c r="B2158" s="62" t="s">
        <v>604</v>
      </c>
      <c r="C2158" s="63"/>
      <c r="D2158" s="64"/>
      <c r="E2158" s="65"/>
      <c r="F2158" s="66"/>
      <c r="G2158" s="63"/>
      <c r="H2158" s="67"/>
      <c r="I2158" s="68"/>
      <c r="J2158" s="68"/>
      <c r="K2158" s="32"/>
      <c r="L2158" s="75">
        <v>2158</v>
      </c>
      <c r="M2158" s="75"/>
      <c r="N2158" s="70"/>
      <c r="O2158" s="77" t="s">
        <v>179</v>
      </c>
      <c r="P2158" s="79">
        <v>45137.58394675926</v>
      </c>
      <c r="Q2158" s="77" t="s">
        <v>2937</v>
      </c>
      <c r="R2158" s="77">
        <v>0</v>
      </c>
      <c r="S2158" s="77">
        <v>0</v>
      </c>
      <c r="T2158" s="77">
        <v>0</v>
      </c>
      <c r="U2158" s="77">
        <v>0</v>
      </c>
      <c r="V2158" s="77">
        <v>72</v>
      </c>
      <c r="W2158" s="82" t="s">
        <v>6249</v>
      </c>
      <c r="X2158" s="80" t="str">
        <f>HYPERLINK("https://www.moneytimes.com.br/novo-cambio-na-argentina-fiagro-paga-dividendos-de-r235-boi-favorito-do-jp-morgan-no-2t23-e-mais-veja-5-temas-no-agro-times/")</f>
        <v>https://www.moneytimes.com.br/novo-cambio-na-argentina-fiagro-paga-dividendos-de-r235-boi-favorito-do-jp-morgan-no-2t23-e-mais-veja-5-temas-no-agro-times/</v>
      </c>
      <c r="Y2158" s="77" t="s">
        <v>7053</v>
      </c>
      <c r="Z2158" s="77"/>
      <c r="AA2158" s="77"/>
      <c r="AB2158" s="77"/>
      <c r="AC2158" s="82" t="s">
        <v>8255</v>
      </c>
      <c r="AD2158" s="77" t="s">
        <v>8278</v>
      </c>
      <c r="AE2158" s="80" t="str">
        <f>HYPERLINK("https://twitter.com/leiaagrotimes/status/1685651682133168128")</f>
        <v>https://twitter.com/leiaagrotimes/status/1685651682133168128</v>
      </c>
      <c r="AF2158" s="79">
        <v>45137.58394675926</v>
      </c>
      <c r="AG2158" s="85">
        <v>45137</v>
      </c>
      <c r="AH2158" s="82" t="s">
        <v>10230</v>
      </c>
      <c r="AI2158" s="77" t="b">
        <v>0</v>
      </c>
      <c r="AJ2158" s="77"/>
      <c r="AK2158" s="77"/>
      <c r="AL2158" s="77"/>
      <c r="AM2158" s="77"/>
      <c r="AN2158" s="77"/>
      <c r="AO2158" s="77"/>
      <c r="AP2158" s="77"/>
      <c r="AQ2158" s="77"/>
      <c r="AR2158" s="77"/>
      <c r="AS2158" s="77"/>
      <c r="AT2158" s="77"/>
      <c r="AU2158" s="77"/>
      <c r="AV2158" s="80" t="str">
        <f>HYPERLINK("https://pbs.twimg.com/profile_images/1365395023072817162/ZI8fAPrO_normal.jpg")</f>
        <v>https://pbs.twimg.com/profile_images/1365395023072817162/ZI8fAPrO_normal.jpg</v>
      </c>
      <c r="AW2158" s="82" t="s">
        <v>15243</v>
      </c>
      <c r="AX2158" s="82" t="s">
        <v>15243</v>
      </c>
      <c r="AY2158" s="77"/>
      <c r="AZ2158" s="82" t="s">
        <v>17385</v>
      </c>
      <c r="BA2158" s="82" t="s">
        <v>17385</v>
      </c>
      <c r="BB2158" s="82" t="s">
        <v>17385</v>
      </c>
      <c r="BC2158" s="82" t="s">
        <v>15243</v>
      </c>
      <c r="BD2158" s="82" t="s">
        <v>17641</v>
      </c>
      <c r="BE2158" s="77"/>
      <c r="BF2158" s="77"/>
      <c r="BG2158" s="77"/>
      <c r="BH2158" s="77"/>
      <c r="BI2158" s="77"/>
    </row>
    <row r="2159" spans="1:61" x14ac:dyDescent="0.25">
      <c r="A2159" s="62" t="s">
        <v>604</v>
      </c>
      <c r="B2159" s="62" t="s">
        <v>604</v>
      </c>
      <c r="C2159" s="63"/>
      <c r="D2159" s="64"/>
      <c r="E2159" s="65"/>
      <c r="F2159" s="66"/>
      <c r="G2159" s="63"/>
      <c r="H2159" s="67"/>
      <c r="I2159" s="68"/>
      <c r="J2159" s="68"/>
      <c r="K2159" s="32"/>
      <c r="L2159" s="75">
        <v>2159</v>
      </c>
      <c r="M2159" s="75"/>
      <c r="N2159" s="70"/>
      <c r="O2159" s="77" t="s">
        <v>179</v>
      </c>
      <c r="P2159" s="79">
        <v>45121.597500000003</v>
      </c>
      <c r="Q2159" s="77" t="s">
        <v>2938</v>
      </c>
      <c r="R2159" s="77">
        <v>0</v>
      </c>
      <c r="S2159" s="77">
        <v>0</v>
      </c>
      <c r="T2159" s="77">
        <v>0</v>
      </c>
      <c r="U2159" s="77">
        <v>0</v>
      </c>
      <c r="V2159" s="77">
        <v>41</v>
      </c>
      <c r="W2159" s="82" t="s">
        <v>6250</v>
      </c>
      <c r="X2159" s="80" t="str">
        <f>HYPERLINK("https://www.moneytimes.com.br/brf-brfs3-cai-quase-5-apos-oferta-de-acoes-movimentar-r-54-bilhoes/")</f>
        <v>https://www.moneytimes.com.br/brf-brfs3-cai-quase-5-apos-oferta-de-acoes-movimentar-r-54-bilhoes/</v>
      </c>
      <c r="Y2159" s="77" t="s">
        <v>7053</v>
      </c>
      <c r="Z2159" s="77"/>
      <c r="AA2159" s="77"/>
      <c r="AB2159" s="77"/>
      <c r="AC2159" s="82" t="s">
        <v>8255</v>
      </c>
      <c r="AD2159" s="77" t="s">
        <v>8278</v>
      </c>
      <c r="AE2159" s="80" t="str">
        <f>HYPERLINK("https://twitter.com/leiaagrotimes/status/1679858387566116864")</f>
        <v>https://twitter.com/leiaagrotimes/status/1679858387566116864</v>
      </c>
      <c r="AF2159" s="79">
        <v>45121.597500000003</v>
      </c>
      <c r="AG2159" s="85">
        <v>45121</v>
      </c>
      <c r="AH2159" s="82" t="s">
        <v>10231</v>
      </c>
      <c r="AI2159" s="77" t="b">
        <v>0</v>
      </c>
      <c r="AJ2159" s="77"/>
      <c r="AK2159" s="77"/>
      <c r="AL2159" s="77"/>
      <c r="AM2159" s="77"/>
      <c r="AN2159" s="77"/>
      <c r="AO2159" s="77"/>
      <c r="AP2159" s="77"/>
      <c r="AQ2159" s="77"/>
      <c r="AR2159" s="77"/>
      <c r="AS2159" s="77"/>
      <c r="AT2159" s="77"/>
      <c r="AU2159" s="77"/>
      <c r="AV2159" s="80" t="str">
        <f>HYPERLINK("https://pbs.twimg.com/profile_images/1365395023072817162/ZI8fAPrO_normal.jpg")</f>
        <v>https://pbs.twimg.com/profile_images/1365395023072817162/ZI8fAPrO_normal.jpg</v>
      </c>
      <c r="AW2159" s="82" t="s">
        <v>15244</v>
      </c>
      <c r="AX2159" s="82" t="s">
        <v>15244</v>
      </c>
      <c r="AY2159" s="77"/>
      <c r="AZ2159" s="82" t="s">
        <v>17385</v>
      </c>
      <c r="BA2159" s="82" t="s">
        <v>17385</v>
      </c>
      <c r="BB2159" s="82" t="s">
        <v>17385</v>
      </c>
      <c r="BC2159" s="82" t="s">
        <v>15244</v>
      </c>
      <c r="BD2159" s="82" t="s">
        <v>17641</v>
      </c>
      <c r="BE2159" s="77"/>
      <c r="BF2159" s="77"/>
      <c r="BG2159" s="77"/>
      <c r="BH2159" s="77"/>
      <c r="BI2159" s="77"/>
    </row>
    <row r="2160" spans="1:61" x14ac:dyDescent="0.25">
      <c r="A2160" s="62" t="s">
        <v>604</v>
      </c>
      <c r="B2160" s="62" t="s">
        <v>604</v>
      </c>
      <c r="C2160" s="63"/>
      <c r="D2160" s="64"/>
      <c r="E2160" s="65"/>
      <c r="F2160" s="66"/>
      <c r="G2160" s="63"/>
      <c r="H2160" s="67"/>
      <c r="I2160" s="68"/>
      <c r="J2160" s="68"/>
      <c r="K2160" s="32"/>
      <c r="L2160" s="75">
        <v>2160</v>
      </c>
      <c r="M2160" s="75"/>
      <c r="N2160" s="70"/>
      <c r="O2160" s="77" t="s">
        <v>179</v>
      </c>
      <c r="P2160" s="79">
        <v>45121.484918981485</v>
      </c>
      <c r="Q2160" s="77" t="s">
        <v>2939</v>
      </c>
      <c r="R2160" s="77">
        <v>0</v>
      </c>
      <c r="S2160" s="77">
        <v>2</v>
      </c>
      <c r="T2160" s="77">
        <v>0</v>
      </c>
      <c r="U2160" s="77">
        <v>0</v>
      </c>
      <c r="V2160" s="77">
        <v>71</v>
      </c>
      <c r="W2160" s="82" t="s">
        <v>6251</v>
      </c>
      <c r="X2160" s="80" t="str">
        <f>HYPERLINK("https://www.moneytimes.com.br/brf-brfs3-faz-oferta-de-acoes-a-r-9-por-papel-e-levanta-r-54-bilhoes/")</f>
        <v>https://www.moneytimes.com.br/brf-brfs3-faz-oferta-de-acoes-a-r-9-por-papel-e-levanta-r-54-bilhoes/</v>
      </c>
      <c r="Y2160" s="77" t="s">
        <v>7053</v>
      </c>
      <c r="Z2160" s="77"/>
      <c r="AA2160" s="77"/>
      <c r="AB2160" s="77"/>
      <c r="AC2160" s="82" t="s">
        <v>8255</v>
      </c>
      <c r="AD2160" s="77" t="s">
        <v>8278</v>
      </c>
      <c r="AE2160" s="80" t="str">
        <f>HYPERLINK("https://twitter.com/leiaagrotimes/status/1679817591500447747")</f>
        <v>https://twitter.com/leiaagrotimes/status/1679817591500447747</v>
      </c>
      <c r="AF2160" s="79">
        <v>45121.484918981485</v>
      </c>
      <c r="AG2160" s="85">
        <v>45121</v>
      </c>
      <c r="AH2160" s="82" t="s">
        <v>10232</v>
      </c>
      <c r="AI2160" s="77" t="b">
        <v>0</v>
      </c>
      <c r="AJ2160" s="77"/>
      <c r="AK2160" s="77"/>
      <c r="AL2160" s="77"/>
      <c r="AM2160" s="77"/>
      <c r="AN2160" s="77"/>
      <c r="AO2160" s="77"/>
      <c r="AP2160" s="77"/>
      <c r="AQ2160" s="77"/>
      <c r="AR2160" s="77"/>
      <c r="AS2160" s="77"/>
      <c r="AT2160" s="77"/>
      <c r="AU2160" s="77"/>
      <c r="AV2160" s="80" t="str">
        <f>HYPERLINK("https://pbs.twimg.com/profile_images/1365395023072817162/ZI8fAPrO_normal.jpg")</f>
        <v>https://pbs.twimg.com/profile_images/1365395023072817162/ZI8fAPrO_normal.jpg</v>
      </c>
      <c r="AW2160" s="82" t="s">
        <v>15245</v>
      </c>
      <c r="AX2160" s="82" t="s">
        <v>15245</v>
      </c>
      <c r="AY2160" s="77"/>
      <c r="AZ2160" s="82" t="s">
        <v>17385</v>
      </c>
      <c r="BA2160" s="82" t="s">
        <v>17385</v>
      </c>
      <c r="BB2160" s="82" t="s">
        <v>17385</v>
      </c>
      <c r="BC2160" s="82" t="s">
        <v>15245</v>
      </c>
      <c r="BD2160" s="82" t="s">
        <v>17641</v>
      </c>
      <c r="BE2160" s="77"/>
      <c r="BF2160" s="77"/>
      <c r="BG2160" s="77"/>
      <c r="BH2160" s="77"/>
      <c r="BI2160" s="77"/>
    </row>
    <row r="2161" spans="1:61" x14ac:dyDescent="0.25">
      <c r="A2161" s="62" t="s">
        <v>604</v>
      </c>
      <c r="B2161" s="62" t="s">
        <v>604</v>
      </c>
      <c r="C2161" s="63"/>
      <c r="D2161" s="64"/>
      <c r="E2161" s="65"/>
      <c r="F2161" s="66"/>
      <c r="G2161" s="63"/>
      <c r="H2161" s="67"/>
      <c r="I2161" s="68"/>
      <c r="J2161" s="68"/>
      <c r="K2161" s="32"/>
      <c r="L2161" s="75">
        <v>2161</v>
      </c>
      <c r="M2161" s="75"/>
      <c r="N2161" s="70"/>
      <c r="O2161" s="77" t="s">
        <v>179</v>
      </c>
      <c r="P2161" s="79">
        <v>45074.626030092593</v>
      </c>
      <c r="Q2161" s="77" t="s">
        <v>2940</v>
      </c>
      <c r="R2161" s="77">
        <v>0</v>
      </c>
      <c r="S2161" s="77">
        <v>1</v>
      </c>
      <c r="T2161" s="77">
        <v>0</v>
      </c>
      <c r="U2161" s="77">
        <v>0</v>
      </c>
      <c r="V2161" s="77">
        <v>105</v>
      </c>
      <c r="W2161" s="82" t="s">
        <v>6251</v>
      </c>
      <c r="X2161" s="80" t="str">
        <f>HYPERLINK("https://www.moneytimes.com.br/diamante-da-raizen-raiz4-acao-tomba-19-em-3-meses-renda-fixa-sem-ir-negocio-da-china-para-o-boi-e-mais-veja-5-assuntos-no-agro-times/")</f>
        <v>https://www.moneytimes.com.br/diamante-da-raizen-raiz4-acao-tomba-19-em-3-meses-renda-fixa-sem-ir-negocio-da-china-para-o-boi-e-mais-veja-5-assuntos-no-agro-times/</v>
      </c>
      <c r="Y2161" s="77" t="s">
        <v>7053</v>
      </c>
      <c r="Z2161" s="77"/>
      <c r="AA2161" s="77"/>
      <c r="AB2161" s="77"/>
      <c r="AC2161" s="82" t="s">
        <v>8255</v>
      </c>
      <c r="AD2161" s="77" t="s">
        <v>8278</v>
      </c>
      <c r="AE2161" s="80" t="str">
        <f>HYPERLINK("https://twitter.com/leiaagrotimes/status/1662836495802138624")</f>
        <v>https://twitter.com/leiaagrotimes/status/1662836495802138624</v>
      </c>
      <c r="AF2161" s="79">
        <v>45074.626030092593</v>
      </c>
      <c r="AG2161" s="85">
        <v>45074</v>
      </c>
      <c r="AH2161" s="82" t="s">
        <v>10233</v>
      </c>
      <c r="AI2161" s="77" t="b">
        <v>0</v>
      </c>
      <c r="AJ2161" s="77"/>
      <c r="AK2161" s="77"/>
      <c r="AL2161" s="77"/>
      <c r="AM2161" s="77"/>
      <c r="AN2161" s="77"/>
      <c r="AO2161" s="77"/>
      <c r="AP2161" s="77"/>
      <c r="AQ2161" s="77"/>
      <c r="AR2161" s="77"/>
      <c r="AS2161" s="77"/>
      <c r="AT2161" s="77"/>
      <c r="AU2161" s="77"/>
      <c r="AV2161" s="80" t="str">
        <f>HYPERLINK("https://pbs.twimg.com/profile_images/1365395023072817162/ZI8fAPrO_normal.jpg")</f>
        <v>https://pbs.twimg.com/profile_images/1365395023072817162/ZI8fAPrO_normal.jpg</v>
      </c>
      <c r="AW2161" s="82" t="s">
        <v>15246</v>
      </c>
      <c r="AX2161" s="82" t="s">
        <v>15246</v>
      </c>
      <c r="AY2161" s="77"/>
      <c r="AZ2161" s="82" t="s">
        <v>17385</v>
      </c>
      <c r="BA2161" s="82" t="s">
        <v>17385</v>
      </c>
      <c r="BB2161" s="82" t="s">
        <v>17385</v>
      </c>
      <c r="BC2161" s="82" t="s">
        <v>15246</v>
      </c>
      <c r="BD2161" s="82" t="s">
        <v>17641</v>
      </c>
      <c r="BE2161" s="77"/>
      <c r="BF2161" s="77"/>
      <c r="BG2161" s="77"/>
      <c r="BH2161" s="77"/>
      <c r="BI2161" s="77"/>
    </row>
    <row r="2162" spans="1:61" x14ac:dyDescent="0.25">
      <c r="A2162" s="62" t="s">
        <v>604</v>
      </c>
      <c r="B2162" s="62" t="s">
        <v>604</v>
      </c>
      <c r="C2162" s="63"/>
      <c r="D2162" s="64"/>
      <c r="E2162" s="65"/>
      <c r="F2162" s="66"/>
      <c r="G2162" s="63"/>
      <c r="H2162" s="67"/>
      <c r="I2162" s="68"/>
      <c r="J2162" s="68"/>
      <c r="K2162" s="32"/>
      <c r="L2162" s="75">
        <v>2162</v>
      </c>
      <c r="M2162" s="75"/>
      <c r="N2162" s="70"/>
      <c r="O2162" s="77" t="s">
        <v>179</v>
      </c>
      <c r="P2162" s="79">
        <v>45073.584131944444</v>
      </c>
      <c r="Q2162" s="77" t="s">
        <v>2941</v>
      </c>
      <c r="R2162" s="77">
        <v>1</v>
      </c>
      <c r="S2162" s="77">
        <v>1</v>
      </c>
      <c r="T2162" s="77">
        <v>0</v>
      </c>
      <c r="U2162" s="77">
        <v>0</v>
      </c>
      <c r="V2162" s="77">
        <v>81</v>
      </c>
      <c r="W2162" s="82" t="s">
        <v>6252</v>
      </c>
      <c r="X2162" s="80" t="str">
        <f>HYPERLINK("https://www.moneytimes.com.br/rabobank-2023-indica-transicao-no-mercado-dos-fertilizantes-quais-acoes-do-agro-podem-ser-impactadas/")</f>
        <v>https://www.moneytimes.com.br/rabobank-2023-indica-transicao-no-mercado-dos-fertilizantes-quais-acoes-do-agro-podem-ser-impactadas/</v>
      </c>
      <c r="Y2162" s="77" t="s">
        <v>7053</v>
      </c>
      <c r="Z2162" s="77"/>
      <c r="AA2162" s="77"/>
      <c r="AB2162" s="77"/>
      <c r="AC2162" s="82" t="s">
        <v>8255</v>
      </c>
      <c r="AD2162" s="77" t="s">
        <v>8278</v>
      </c>
      <c r="AE2162" s="80" t="str">
        <f>HYPERLINK("https://twitter.com/leiaagrotimes/status/1662458926548262917")</f>
        <v>https://twitter.com/leiaagrotimes/status/1662458926548262917</v>
      </c>
      <c r="AF2162" s="79">
        <v>45073.584131944444</v>
      </c>
      <c r="AG2162" s="85">
        <v>45073</v>
      </c>
      <c r="AH2162" s="82" t="s">
        <v>9757</v>
      </c>
      <c r="AI2162" s="77" t="b">
        <v>0</v>
      </c>
      <c r="AJ2162" s="77"/>
      <c r="AK2162" s="77"/>
      <c r="AL2162" s="77"/>
      <c r="AM2162" s="77"/>
      <c r="AN2162" s="77"/>
      <c r="AO2162" s="77"/>
      <c r="AP2162" s="77"/>
      <c r="AQ2162" s="77"/>
      <c r="AR2162" s="77"/>
      <c r="AS2162" s="77"/>
      <c r="AT2162" s="77"/>
      <c r="AU2162" s="77"/>
      <c r="AV2162" s="80" t="str">
        <f>HYPERLINK("https://pbs.twimg.com/profile_images/1365395023072817162/ZI8fAPrO_normal.jpg")</f>
        <v>https://pbs.twimg.com/profile_images/1365395023072817162/ZI8fAPrO_normal.jpg</v>
      </c>
      <c r="AW2162" s="82" t="s">
        <v>15247</v>
      </c>
      <c r="AX2162" s="82" t="s">
        <v>15247</v>
      </c>
      <c r="AY2162" s="77"/>
      <c r="AZ2162" s="82" t="s">
        <v>17385</v>
      </c>
      <c r="BA2162" s="82" t="s">
        <v>17385</v>
      </c>
      <c r="BB2162" s="82" t="s">
        <v>17385</v>
      </c>
      <c r="BC2162" s="82" t="s">
        <v>15247</v>
      </c>
      <c r="BD2162" s="82" t="s">
        <v>17641</v>
      </c>
      <c r="BE2162" s="77"/>
      <c r="BF2162" s="77"/>
      <c r="BG2162" s="77"/>
      <c r="BH2162" s="77"/>
      <c r="BI2162" s="77"/>
    </row>
    <row r="2163" spans="1:61" x14ac:dyDescent="0.25">
      <c r="A2163" s="62" t="s">
        <v>604</v>
      </c>
      <c r="B2163" s="62" t="s">
        <v>604</v>
      </c>
      <c r="C2163" s="63"/>
      <c r="D2163" s="64"/>
      <c r="E2163" s="65"/>
      <c r="F2163" s="66"/>
      <c r="G2163" s="63"/>
      <c r="H2163" s="67"/>
      <c r="I2163" s="68"/>
      <c r="J2163" s="68"/>
      <c r="K2163" s="32"/>
      <c r="L2163" s="75">
        <v>2163</v>
      </c>
      <c r="M2163" s="75"/>
      <c r="N2163" s="70"/>
      <c r="O2163" s="77" t="s">
        <v>179</v>
      </c>
      <c r="P2163" s="79">
        <v>45062.661597222221</v>
      </c>
      <c r="Q2163" s="77" t="s">
        <v>2942</v>
      </c>
      <c r="R2163" s="77">
        <v>0</v>
      </c>
      <c r="S2163" s="77">
        <v>0</v>
      </c>
      <c r="T2163" s="77">
        <v>0</v>
      </c>
      <c r="U2163" s="77">
        <v>0</v>
      </c>
      <c r="V2163" s="77">
        <v>77</v>
      </c>
      <c r="W2163" s="82" t="s">
        <v>6253</v>
      </c>
      <c r="X2163" s="80" t="str">
        <f>HYPERLINK("https://www.moneytimes.com.br/brf-brfs3-acoes-despencam-apos-resultados-do-1t23-o-que-preocupa-mercado/")</f>
        <v>https://www.moneytimes.com.br/brf-brfs3-acoes-despencam-apos-resultados-do-1t23-o-que-preocupa-mercado/</v>
      </c>
      <c r="Y2163" s="77" t="s">
        <v>7053</v>
      </c>
      <c r="Z2163" s="77"/>
      <c r="AA2163" s="77"/>
      <c r="AB2163" s="77"/>
      <c r="AC2163" s="82" t="s">
        <v>8255</v>
      </c>
      <c r="AD2163" s="77" t="s">
        <v>8278</v>
      </c>
      <c r="AE2163" s="80" t="str">
        <f>HYPERLINK("https://twitter.com/leiaagrotimes/status/1658500731396141056")</f>
        <v>https://twitter.com/leiaagrotimes/status/1658500731396141056</v>
      </c>
      <c r="AF2163" s="79">
        <v>45062.661597222221</v>
      </c>
      <c r="AG2163" s="85">
        <v>45062</v>
      </c>
      <c r="AH2163" s="82" t="s">
        <v>10234</v>
      </c>
      <c r="AI2163" s="77" t="b">
        <v>0</v>
      </c>
      <c r="AJ2163" s="77"/>
      <c r="AK2163" s="77"/>
      <c r="AL2163" s="77"/>
      <c r="AM2163" s="77"/>
      <c r="AN2163" s="77"/>
      <c r="AO2163" s="77"/>
      <c r="AP2163" s="77"/>
      <c r="AQ2163" s="77"/>
      <c r="AR2163" s="77"/>
      <c r="AS2163" s="77"/>
      <c r="AT2163" s="77"/>
      <c r="AU2163" s="77"/>
      <c r="AV2163" s="80" t="str">
        <f>HYPERLINK("https://pbs.twimg.com/profile_images/1365395023072817162/ZI8fAPrO_normal.jpg")</f>
        <v>https://pbs.twimg.com/profile_images/1365395023072817162/ZI8fAPrO_normal.jpg</v>
      </c>
      <c r="AW2163" s="82" t="s">
        <v>15248</v>
      </c>
      <c r="AX2163" s="82" t="s">
        <v>15248</v>
      </c>
      <c r="AY2163" s="77"/>
      <c r="AZ2163" s="82" t="s">
        <v>17385</v>
      </c>
      <c r="BA2163" s="82" t="s">
        <v>17385</v>
      </c>
      <c r="BB2163" s="82" t="s">
        <v>17385</v>
      </c>
      <c r="BC2163" s="82" t="s">
        <v>15248</v>
      </c>
      <c r="BD2163" s="82" t="s">
        <v>17641</v>
      </c>
      <c r="BE2163" s="77"/>
      <c r="BF2163" s="77"/>
      <c r="BG2163" s="77"/>
      <c r="BH2163" s="77"/>
      <c r="BI2163" s="77"/>
    </row>
    <row r="2164" spans="1:61" x14ac:dyDescent="0.25">
      <c r="A2164" s="62" t="s">
        <v>604</v>
      </c>
      <c r="B2164" s="62" t="s">
        <v>604</v>
      </c>
      <c r="C2164" s="63"/>
      <c r="D2164" s="64"/>
      <c r="E2164" s="65"/>
      <c r="F2164" s="66"/>
      <c r="G2164" s="63"/>
      <c r="H2164" s="67"/>
      <c r="I2164" s="68"/>
      <c r="J2164" s="68"/>
      <c r="K2164" s="32"/>
      <c r="L2164" s="75">
        <v>2164</v>
      </c>
      <c r="M2164" s="75"/>
      <c r="N2164" s="70"/>
      <c r="O2164" s="77" t="s">
        <v>179</v>
      </c>
      <c r="P2164" s="79">
        <v>45062.631203703706</v>
      </c>
      <c r="Q2164" s="77" t="s">
        <v>2943</v>
      </c>
      <c r="R2164" s="77">
        <v>0</v>
      </c>
      <c r="S2164" s="77">
        <v>0</v>
      </c>
      <c r="T2164" s="77">
        <v>0</v>
      </c>
      <c r="U2164" s="77">
        <v>0</v>
      </c>
      <c r="V2164" s="77">
        <v>155</v>
      </c>
      <c r="W2164" s="82" t="s">
        <v>6253</v>
      </c>
      <c r="X2164" s="80" t="str">
        <f>HYPERLINK("https://www.moneytimes.com.br/marfrig-mrfg3-fonte-de-dividendos-secou-e-acoes-afundam-o-que-fazer-agora/")</f>
        <v>https://www.moneytimes.com.br/marfrig-mrfg3-fonte-de-dividendos-secou-e-acoes-afundam-o-que-fazer-agora/</v>
      </c>
      <c r="Y2164" s="77" t="s">
        <v>7053</v>
      </c>
      <c r="Z2164" s="77"/>
      <c r="AA2164" s="77"/>
      <c r="AB2164" s="77"/>
      <c r="AC2164" s="82" t="s">
        <v>8255</v>
      </c>
      <c r="AD2164" s="77" t="s">
        <v>8278</v>
      </c>
      <c r="AE2164" s="80" t="str">
        <f>HYPERLINK("https://twitter.com/leiaagrotimes/status/1658489717913161731")</f>
        <v>https://twitter.com/leiaagrotimes/status/1658489717913161731</v>
      </c>
      <c r="AF2164" s="79">
        <v>45062.631203703706</v>
      </c>
      <c r="AG2164" s="85">
        <v>45062</v>
      </c>
      <c r="AH2164" s="82" t="s">
        <v>10235</v>
      </c>
      <c r="AI2164" s="77" t="b">
        <v>0</v>
      </c>
      <c r="AJ2164" s="77"/>
      <c r="AK2164" s="77"/>
      <c r="AL2164" s="77"/>
      <c r="AM2164" s="77"/>
      <c r="AN2164" s="77"/>
      <c r="AO2164" s="77"/>
      <c r="AP2164" s="77"/>
      <c r="AQ2164" s="77"/>
      <c r="AR2164" s="77"/>
      <c r="AS2164" s="77"/>
      <c r="AT2164" s="77"/>
      <c r="AU2164" s="77"/>
      <c r="AV2164" s="80" t="str">
        <f>HYPERLINK("https://pbs.twimg.com/profile_images/1365395023072817162/ZI8fAPrO_normal.jpg")</f>
        <v>https://pbs.twimg.com/profile_images/1365395023072817162/ZI8fAPrO_normal.jpg</v>
      </c>
      <c r="AW2164" s="82" t="s">
        <v>15249</v>
      </c>
      <c r="AX2164" s="82" t="s">
        <v>15249</v>
      </c>
      <c r="AY2164" s="77"/>
      <c r="AZ2164" s="82" t="s">
        <v>17385</v>
      </c>
      <c r="BA2164" s="82" t="s">
        <v>17385</v>
      </c>
      <c r="BB2164" s="82" t="s">
        <v>17385</v>
      </c>
      <c r="BC2164" s="82" t="s">
        <v>15249</v>
      </c>
      <c r="BD2164" s="82" t="s">
        <v>17641</v>
      </c>
      <c r="BE2164" s="77"/>
      <c r="BF2164" s="77"/>
      <c r="BG2164" s="77"/>
      <c r="BH2164" s="77"/>
      <c r="BI2164" s="77"/>
    </row>
    <row r="2165" spans="1:61" x14ac:dyDescent="0.25">
      <c r="A2165" s="62" t="s">
        <v>604</v>
      </c>
      <c r="B2165" s="62" t="s">
        <v>604</v>
      </c>
      <c r="C2165" s="63"/>
      <c r="D2165" s="64"/>
      <c r="E2165" s="65"/>
      <c r="F2165" s="66"/>
      <c r="G2165" s="63"/>
      <c r="H2165" s="67"/>
      <c r="I2165" s="68"/>
      <c r="J2165" s="68"/>
      <c r="K2165" s="32"/>
      <c r="L2165" s="75">
        <v>2165</v>
      </c>
      <c r="M2165" s="75"/>
      <c r="N2165" s="70"/>
      <c r="O2165" s="77" t="s">
        <v>179</v>
      </c>
      <c r="P2165" s="79">
        <v>45062.616041666668</v>
      </c>
      <c r="Q2165" s="77" t="s">
        <v>2944</v>
      </c>
      <c r="R2165" s="77">
        <v>0</v>
      </c>
      <c r="S2165" s="77">
        <v>0</v>
      </c>
      <c r="T2165" s="77">
        <v>0</v>
      </c>
      <c r="U2165" s="77">
        <v>0</v>
      </c>
      <c r="V2165" s="77">
        <v>96</v>
      </c>
      <c r="W2165" s="82" t="s">
        <v>6253</v>
      </c>
      <c r="X2165" s="80" t="str">
        <f>HYPERLINK("https://www.moneytimes.com.br/slc-agricola-slce3-xp-ve-resultados-acima-do-esperado-mesmo-com-queda-de-28-no-lucro-ainda-e-compra/")</f>
        <v>https://www.moneytimes.com.br/slc-agricola-slce3-xp-ve-resultados-acima-do-esperado-mesmo-com-queda-de-28-no-lucro-ainda-e-compra/</v>
      </c>
      <c r="Y2165" s="77" t="s">
        <v>7053</v>
      </c>
      <c r="Z2165" s="77"/>
      <c r="AA2165" s="77"/>
      <c r="AB2165" s="77"/>
      <c r="AC2165" s="82" t="s">
        <v>8255</v>
      </c>
      <c r="AD2165" s="77" t="s">
        <v>8278</v>
      </c>
      <c r="AE2165" s="80" t="str">
        <f>HYPERLINK("https://twitter.com/leiaagrotimes/status/1658484220883505162")</f>
        <v>https://twitter.com/leiaagrotimes/status/1658484220883505162</v>
      </c>
      <c r="AF2165" s="79">
        <v>45062.616041666668</v>
      </c>
      <c r="AG2165" s="85">
        <v>45062</v>
      </c>
      <c r="AH2165" s="82" t="s">
        <v>10236</v>
      </c>
      <c r="AI2165" s="77" t="b">
        <v>0</v>
      </c>
      <c r="AJ2165" s="77"/>
      <c r="AK2165" s="77"/>
      <c r="AL2165" s="77"/>
      <c r="AM2165" s="77"/>
      <c r="AN2165" s="77"/>
      <c r="AO2165" s="77"/>
      <c r="AP2165" s="77"/>
      <c r="AQ2165" s="77"/>
      <c r="AR2165" s="77"/>
      <c r="AS2165" s="77"/>
      <c r="AT2165" s="77"/>
      <c r="AU2165" s="77"/>
      <c r="AV2165" s="80" t="str">
        <f>HYPERLINK("https://pbs.twimg.com/profile_images/1365395023072817162/ZI8fAPrO_normal.jpg")</f>
        <v>https://pbs.twimg.com/profile_images/1365395023072817162/ZI8fAPrO_normal.jpg</v>
      </c>
      <c r="AW2165" s="82" t="s">
        <v>15250</v>
      </c>
      <c r="AX2165" s="82" t="s">
        <v>15250</v>
      </c>
      <c r="AY2165" s="77"/>
      <c r="AZ2165" s="82" t="s">
        <v>17385</v>
      </c>
      <c r="BA2165" s="82" t="s">
        <v>17385</v>
      </c>
      <c r="BB2165" s="82" t="s">
        <v>17385</v>
      </c>
      <c r="BC2165" s="82" t="s">
        <v>15250</v>
      </c>
      <c r="BD2165" s="82" t="s">
        <v>17641</v>
      </c>
      <c r="BE2165" s="77"/>
      <c r="BF2165" s="77"/>
      <c r="BG2165" s="77"/>
      <c r="BH2165" s="77"/>
      <c r="BI2165" s="77"/>
    </row>
    <row r="2166" spans="1:61" x14ac:dyDescent="0.25">
      <c r="A2166" s="62" t="s">
        <v>604</v>
      </c>
      <c r="B2166" s="62" t="s">
        <v>604</v>
      </c>
      <c r="C2166" s="63"/>
      <c r="D2166" s="64"/>
      <c r="E2166" s="65"/>
      <c r="F2166" s="66"/>
      <c r="G2166" s="63"/>
      <c r="H2166" s="67"/>
      <c r="I2166" s="68"/>
      <c r="J2166" s="68"/>
      <c r="K2166" s="32"/>
      <c r="L2166" s="75">
        <v>2166</v>
      </c>
      <c r="M2166" s="75"/>
      <c r="N2166" s="70"/>
      <c r="O2166" s="77" t="s">
        <v>179</v>
      </c>
      <c r="P2166" s="79">
        <v>45062.564733796295</v>
      </c>
      <c r="Q2166" s="77" t="s">
        <v>2945</v>
      </c>
      <c r="R2166" s="77">
        <v>0</v>
      </c>
      <c r="S2166" s="77">
        <v>0</v>
      </c>
      <c r="T2166" s="77">
        <v>0</v>
      </c>
      <c r="U2166" s="77">
        <v>0</v>
      </c>
      <c r="V2166" s="77">
        <v>58</v>
      </c>
      <c r="W2166" s="82" t="s">
        <v>6251</v>
      </c>
      <c r="X2166" s="80" t="str">
        <f>HYPERLINK("https://www.moneytimes.com.br/brf-brfs3-anuncia-permissao-para-exportar-frango-e-suinos-de-mato-grosso-a-china/")</f>
        <v>https://www.moneytimes.com.br/brf-brfs3-anuncia-permissao-para-exportar-frango-e-suinos-de-mato-grosso-a-china/</v>
      </c>
      <c r="Y2166" s="77" t="s">
        <v>7053</v>
      </c>
      <c r="Z2166" s="77"/>
      <c r="AA2166" s="77"/>
      <c r="AB2166" s="77"/>
      <c r="AC2166" s="82" t="s">
        <v>8255</v>
      </c>
      <c r="AD2166" s="77" t="s">
        <v>8278</v>
      </c>
      <c r="AE2166" s="80" t="str">
        <f>HYPERLINK("https://twitter.com/leiaagrotimes/status/1658465627772788736")</f>
        <v>https://twitter.com/leiaagrotimes/status/1658465627772788736</v>
      </c>
      <c r="AF2166" s="79">
        <v>45062.564733796295</v>
      </c>
      <c r="AG2166" s="85">
        <v>45062</v>
      </c>
      <c r="AH2166" s="82" t="s">
        <v>10237</v>
      </c>
      <c r="AI2166" s="77" t="b">
        <v>0</v>
      </c>
      <c r="AJ2166" s="77"/>
      <c r="AK2166" s="77"/>
      <c r="AL2166" s="77"/>
      <c r="AM2166" s="77"/>
      <c r="AN2166" s="77"/>
      <c r="AO2166" s="77"/>
      <c r="AP2166" s="77"/>
      <c r="AQ2166" s="77"/>
      <c r="AR2166" s="77"/>
      <c r="AS2166" s="77"/>
      <c r="AT2166" s="77"/>
      <c r="AU2166" s="77"/>
      <c r="AV2166" s="80" t="str">
        <f>HYPERLINK("https://pbs.twimg.com/profile_images/1365395023072817162/ZI8fAPrO_normal.jpg")</f>
        <v>https://pbs.twimg.com/profile_images/1365395023072817162/ZI8fAPrO_normal.jpg</v>
      </c>
      <c r="AW2166" s="82" t="s">
        <v>15251</v>
      </c>
      <c r="AX2166" s="82" t="s">
        <v>15251</v>
      </c>
      <c r="AY2166" s="77"/>
      <c r="AZ2166" s="82" t="s">
        <v>17385</v>
      </c>
      <c r="BA2166" s="82" t="s">
        <v>17385</v>
      </c>
      <c r="BB2166" s="82" t="s">
        <v>17385</v>
      </c>
      <c r="BC2166" s="82" t="s">
        <v>15251</v>
      </c>
      <c r="BD2166" s="82" t="s">
        <v>17641</v>
      </c>
      <c r="BE2166" s="77"/>
      <c r="BF2166" s="77"/>
      <c r="BG2166" s="77"/>
      <c r="BH2166" s="77"/>
      <c r="BI2166" s="77"/>
    </row>
    <row r="2167" spans="1:61" x14ac:dyDescent="0.25">
      <c r="A2167" s="62" t="s">
        <v>604</v>
      </c>
      <c r="B2167" s="62" t="s">
        <v>604</v>
      </c>
      <c r="C2167" s="63"/>
      <c r="D2167" s="64"/>
      <c r="E2167" s="65"/>
      <c r="F2167" s="66"/>
      <c r="G2167" s="63"/>
      <c r="H2167" s="67"/>
      <c r="I2167" s="68"/>
      <c r="J2167" s="68"/>
      <c r="K2167" s="32"/>
      <c r="L2167" s="75">
        <v>2167</v>
      </c>
      <c r="M2167" s="75"/>
      <c r="N2167" s="70"/>
      <c r="O2167" s="77" t="s">
        <v>179</v>
      </c>
      <c r="P2167" s="79">
        <v>45152.936747685184</v>
      </c>
      <c r="Q2167" s="77" t="s">
        <v>2946</v>
      </c>
      <c r="R2167" s="77">
        <v>0</v>
      </c>
      <c r="S2167" s="77">
        <v>1</v>
      </c>
      <c r="T2167" s="77">
        <v>0</v>
      </c>
      <c r="U2167" s="77">
        <v>0</v>
      </c>
      <c r="V2167" s="77">
        <v>267</v>
      </c>
      <c r="W2167" s="82" t="s">
        <v>6254</v>
      </c>
      <c r="X2167" s="80" t="str">
        <f>HYPERLINK("https://www.moneytimes.com.br/3tentos-tten3-mostra-lucro-de-r-769-milhoes-no-2t23-queda-de-365/")</f>
        <v>https://www.moneytimes.com.br/3tentos-tten3-mostra-lucro-de-r-769-milhoes-no-2t23-queda-de-365/</v>
      </c>
      <c r="Y2167" s="77" t="s">
        <v>7053</v>
      </c>
      <c r="Z2167" s="77"/>
      <c r="AA2167" s="77"/>
      <c r="AB2167" s="77"/>
      <c r="AC2167" s="82" t="s">
        <v>8255</v>
      </c>
      <c r="AD2167" s="77" t="s">
        <v>8278</v>
      </c>
      <c r="AE2167" s="80" t="str">
        <f>HYPERLINK("https://twitter.com/leiaagrotimes/status/1691215351793496064")</f>
        <v>https://twitter.com/leiaagrotimes/status/1691215351793496064</v>
      </c>
      <c r="AF2167" s="79">
        <v>45152.936747685184</v>
      </c>
      <c r="AG2167" s="85">
        <v>45152</v>
      </c>
      <c r="AH2167" s="82" t="s">
        <v>10238</v>
      </c>
      <c r="AI2167" s="77" t="b">
        <v>0</v>
      </c>
      <c r="AJ2167" s="77"/>
      <c r="AK2167" s="77"/>
      <c r="AL2167" s="77"/>
      <c r="AM2167" s="77"/>
      <c r="AN2167" s="77"/>
      <c r="AO2167" s="77"/>
      <c r="AP2167" s="77"/>
      <c r="AQ2167" s="77"/>
      <c r="AR2167" s="77"/>
      <c r="AS2167" s="77"/>
      <c r="AT2167" s="77"/>
      <c r="AU2167" s="77"/>
      <c r="AV2167" s="80" t="str">
        <f>HYPERLINK("https://pbs.twimg.com/profile_images/1365395023072817162/ZI8fAPrO_normal.jpg")</f>
        <v>https://pbs.twimg.com/profile_images/1365395023072817162/ZI8fAPrO_normal.jpg</v>
      </c>
      <c r="AW2167" s="82" t="s">
        <v>15252</v>
      </c>
      <c r="AX2167" s="82" t="s">
        <v>15252</v>
      </c>
      <c r="AY2167" s="77"/>
      <c r="AZ2167" s="82" t="s">
        <v>17385</v>
      </c>
      <c r="BA2167" s="82" t="s">
        <v>17385</v>
      </c>
      <c r="BB2167" s="82" t="s">
        <v>17385</v>
      </c>
      <c r="BC2167" s="82" t="s">
        <v>15252</v>
      </c>
      <c r="BD2167" s="82" t="s">
        <v>17641</v>
      </c>
      <c r="BE2167" s="77"/>
      <c r="BF2167" s="77"/>
      <c r="BG2167" s="77"/>
      <c r="BH2167" s="77"/>
      <c r="BI2167" s="77"/>
    </row>
    <row r="2168" spans="1:61" x14ac:dyDescent="0.25">
      <c r="A2168" s="62" t="s">
        <v>604</v>
      </c>
      <c r="B2168" s="62" t="s">
        <v>604</v>
      </c>
      <c r="C2168" s="63"/>
      <c r="D2168" s="64"/>
      <c r="E2168" s="65"/>
      <c r="F2168" s="66"/>
      <c r="G2168" s="63"/>
      <c r="H2168" s="67"/>
      <c r="I2168" s="68"/>
      <c r="J2168" s="68"/>
      <c r="K2168" s="32"/>
      <c r="L2168" s="75">
        <v>2168</v>
      </c>
      <c r="M2168" s="75"/>
      <c r="N2168" s="70"/>
      <c r="O2168" s="77" t="s">
        <v>179</v>
      </c>
      <c r="P2168" s="79">
        <v>45152.884016203701</v>
      </c>
      <c r="Q2168" s="77" t="s">
        <v>2947</v>
      </c>
      <c r="R2168" s="77">
        <v>0</v>
      </c>
      <c r="S2168" s="77">
        <v>1</v>
      </c>
      <c r="T2168" s="77">
        <v>0</v>
      </c>
      <c r="U2168" s="77">
        <v>0</v>
      </c>
      <c r="V2168" s="77">
        <v>172</v>
      </c>
      <c r="W2168" s="82" t="s">
        <v>6255</v>
      </c>
      <c r="X2168" s="80" t="str">
        <f>HYPERLINK("https://www.moneytimes.com.br/jbs-jbss3-tem-prejuizo-de-r-1981-milhoes-no-2t23/")</f>
        <v>https://www.moneytimes.com.br/jbs-jbss3-tem-prejuizo-de-r-1981-milhoes-no-2t23/</v>
      </c>
      <c r="Y2168" s="77" t="s">
        <v>7053</v>
      </c>
      <c r="Z2168" s="77"/>
      <c r="AA2168" s="77"/>
      <c r="AB2168" s="77"/>
      <c r="AC2168" s="82" t="s">
        <v>8255</v>
      </c>
      <c r="AD2168" s="77" t="s">
        <v>8278</v>
      </c>
      <c r="AE2168" s="80" t="str">
        <f>HYPERLINK("https://twitter.com/leiaagrotimes/status/1691196241328087040")</f>
        <v>https://twitter.com/leiaagrotimes/status/1691196241328087040</v>
      </c>
      <c r="AF2168" s="79">
        <v>45152.884016203701</v>
      </c>
      <c r="AG2168" s="85">
        <v>45152</v>
      </c>
      <c r="AH2168" s="82" t="s">
        <v>10239</v>
      </c>
      <c r="AI2168" s="77" t="b">
        <v>0</v>
      </c>
      <c r="AJ2168" s="77"/>
      <c r="AK2168" s="77"/>
      <c r="AL2168" s="77"/>
      <c r="AM2168" s="77"/>
      <c r="AN2168" s="77"/>
      <c r="AO2168" s="77"/>
      <c r="AP2168" s="77"/>
      <c r="AQ2168" s="77"/>
      <c r="AR2168" s="77"/>
      <c r="AS2168" s="77"/>
      <c r="AT2168" s="77"/>
      <c r="AU2168" s="77"/>
      <c r="AV2168" s="80" t="str">
        <f>HYPERLINK("https://pbs.twimg.com/profile_images/1365395023072817162/ZI8fAPrO_normal.jpg")</f>
        <v>https://pbs.twimg.com/profile_images/1365395023072817162/ZI8fAPrO_normal.jpg</v>
      </c>
      <c r="AW2168" s="82" t="s">
        <v>15253</v>
      </c>
      <c r="AX2168" s="82" t="s">
        <v>15253</v>
      </c>
      <c r="AY2168" s="77"/>
      <c r="AZ2168" s="82" t="s">
        <v>17385</v>
      </c>
      <c r="BA2168" s="82" t="s">
        <v>17385</v>
      </c>
      <c r="BB2168" s="82" t="s">
        <v>17385</v>
      </c>
      <c r="BC2168" s="82" t="s">
        <v>15253</v>
      </c>
      <c r="BD2168" s="82" t="s">
        <v>17641</v>
      </c>
      <c r="BE2168" s="77"/>
      <c r="BF2168" s="77"/>
      <c r="BG2168" s="77"/>
      <c r="BH2168" s="77"/>
      <c r="BI2168" s="77"/>
    </row>
    <row r="2169" spans="1:61" x14ac:dyDescent="0.25">
      <c r="A2169" s="62" t="s">
        <v>604</v>
      </c>
      <c r="B2169" s="62" t="s">
        <v>604</v>
      </c>
      <c r="C2169" s="63"/>
      <c r="D2169" s="64"/>
      <c r="E2169" s="65"/>
      <c r="F2169" s="66"/>
      <c r="G2169" s="63"/>
      <c r="H2169" s="67"/>
      <c r="I2169" s="68"/>
      <c r="J2169" s="68"/>
      <c r="K2169" s="32"/>
      <c r="L2169" s="75">
        <v>2169</v>
      </c>
      <c r="M2169" s="75"/>
      <c r="N2169" s="70"/>
      <c r="O2169" s="77" t="s">
        <v>179</v>
      </c>
      <c r="P2169" s="79">
        <v>45151.623437499999</v>
      </c>
      <c r="Q2169" s="77" t="s">
        <v>2948</v>
      </c>
      <c r="R2169" s="77">
        <v>0</v>
      </c>
      <c r="S2169" s="77">
        <v>1</v>
      </c>
      <c r="T2169" s="77">
        <v>0</v>
      </c>
      <c r="U2169" s="77">
        <v>0</v>
      </c>
      <c r="V2169" s="77">
        <v>100</v>
      </c>
      <c r="W2169" s="82" t="s">
        <v>6256</v>
      </c>
      <c r="X2169" s="80" t="str">
        <f>HYPERLINK("https://www.moneytimes.com.br/empiricus-investimentos-indica-frigorifico-na-semana-veja-5-acoes-para-superar-o-ibovespa/")</f>
        <v>https://www.moneytimes.com.br/empiricus-investimentos-indica-frigorifico-na-semana-veja-5-acoes-para-superar-o-ibovespa/</v>
      </c>
      <c r="Y2169" s="77" t="s">
        <v>7053</v>
      </c>
      <c r="Z2169" s="77"/>
      <c r="AA2169" s="77"/>
      <c r="AB2169" s="77"/>
      <c r="AC2169" s="82" t="s">
        <v>8255</v>
      </c>
      <c r="AD2169" s="77" t="s">
        <v>8278</v>
      </c>
      <c r="AE2169" s="80" t="str">
        <f>HYPERLINK("https://twitter.com/leiaagrotimes/status/1690739424299003904")</f>
        <v>https://twitter.com/leiaagrotimes/status/1690739424299003904</v>
      </c>
      <c r="AF2169" s="79">
        <v>45151.623437499999</v>
      </c>
      <c r="AG2169" s="85">
        <v>45151</v>
      </c>
      <c r="AH2169" s="82" t="s">
        <v>10240</v>
      </c>
      <c r="AI2169" s="77" t="b">
        <v>0</v>
      </c>
      <c r="AJ2169" s="77"/>
      <c r="AK2169" s="77"/>
      <c r="AL2169" s="77"/>
      <c r="AM2169" s="77"/>
      <c r="AN2169" s="77"/>
      <c r="AO2169" s="77"/>
      <c r="AP2169" s="77"/>
      <c r="AQ2169" s="77"/>
      <c r="AR2169" s="77"/>
      <c r="AS2169" s="77"/>
      <c r="AT2169" s="77"/>
      <c r="AU2169" s="77"/>
      <c r="AV2169" s="80" t="str">
        <f>HYPERLINK("https://pbs.twimg.com/profile_images/1365395023072817162/ZI8fAPrO_normal.jpg")</f>
        <v>https://pbs.twimg.com/profile_images/1365395023072817162/ZI8fAPrO_normal.jpg</v>
      </c>
      <c r="AW2169" s="82" t="s">
        <v>15254</v>
      </c>
      <c r="AX2169" s="82" t="s">
        <v>15254</v>
      </c>
      <c r="AY2169" s="77"/>
      <c r="AZ2169" s="82" t="s">
        <v>17385</v>
      </c>
      <c r="BA2169" s="82" t="s">
        <v>17385</v>
      </c>
      <c r="BB2169" s="82" t="s">
        <v>17385</v>
      </c>
      <c r="BC2169" s="82" t="s">
        <v>15254</v>
      </c>
      <c r="BD2169" s="82" t="s">
        <v>17641</v>
      </c>
      <c r="BE2169" s="77"/>
      <c r="BF2169" s="77"/>
      <c r="BG2169" s="77"/>
      <c r="BH2169" s="77"/>
      <c r="BI2169" s="77"/>
    </row>
    <row r="2170" spans="1:61" x14ac:dyDescent="0.25">
      <c r="A2170" s="62" t="s">
        <v>604</v>
      </c>
      <c r="B2170" s="62" t="s">
        <v>604</v>
      </c>
      <c r="C2170" s="63"/>
      <c r="D2170" s="64"/>
      <c r="E2170" s="65"/>
      <c r="F2170" s="66"/>
      <c r="G2170" s="63"/>
      <c r="H2170" s="67"/>
      <c r="I2170" s="68"/>
      <c r="J2170" s="68"/>
      <c r="K2170" s="32"/>
      <c r="L2170" s="75">
        <v>2170</v>
      </c>
      <c r="M2170" s="75"/>
      <c r="N2170" s="70"/>
      <c r="O2170" s="77" t="s">
        <v>179</v>
      </c>
      <c r="P2170" s="79">
        <v>45151.584120370368</v>
      </c>
      <c r="Q2170" s="77" t="s">
        <v>2949</v>
      </c>
      <c r="R2170" s="77">
        <v>0</v>
      </c>
      <c r="S2170" s="77">
        <v>0</v>
      </c>
      <c r="T2170" s="77">
        <v>0</v>
      </c>
      <c r="U2170" s="77">
        <v>0</v>
      </c>
      <c r="V2170" s="77">
        <v>129</v>
      </c>
      <c r="W2170" s="82" t="s">
        <v>6257</v>
      </c>
      <c r="X2170" s="80" t="str">
        <f>HYPERLINK("https://www.moneytimes.com.br/lca-e-lci-pagam-mais-de-11-ao-ano-e-sem-ir-minerva-beef3-paga-bolada-top-pick-do-santander-sanb11-e-mais-veja-5-temas-no-agro-times/")</f>
        <v>https://www.moneytimes.com.br/lca-e-lci-pagam-mais-de-11-ao-ano-e-sem-ir-minerva-beef3-paga-bolada-top-pick-do-santander-sanb11-e-mais-veja-5-temas-no-agro-times/</v>
      </c>
      <c r="Y2170" s="77" t="s">
        <v>7053</v>
      </c>
      <c r="Z2170" s="77"/>
      <c r="AA2170" s="77"/>
      <c r="AB2170" s="77"/>
      <c r="AC2170" s="82" t="s">
        <v>8255</v>
      </c>
      <c r="AD2170" s="77" t="s">
        <v>8278</v>
      </c>
      <c r="AE2170" s="80" t="str">
        <f>HYPERLINK("https://twitter.com/leiaagrotimes/status/1690725173744316416")</f>
        <v>https://twitter.com/leiaagrotimes/status/1690725173744316416</v>
      </c>
      <c r="AF2170" s="79">
        <v>45151.584120370368</v>
      </c>
      <c r="AG2170" s="85">
        <v>45151</v>
      </c>
      <c r="AH2170" s="82" t="s">
        <v>9287</v>
      </c>
      <c r="AI2170" s="77" t="b">
        <v>0</v>
      </c>
      <c r="AJ2170" s="77"/>
      <c r="AK2170" s="77"/>
      <c r="AL2170" s="77"/>
      <c r="AM2170" s="77"/>
      <c r="AN2170" s="77"/>
      <c r="AO2170" s="77"/>
      <c r="AP2170" s="77"/>
      <c r="AQ2170" s="77"/>
      <c r="AR2170" s="77"/>
      <c r="AS2170" s="77"/>
      <c r="AT2170" s="77"/>
      <c r="AU2170" s="77"/>
      <c r="AV2170" s="80" t="str">
        <f>HYPERLINK("https://pbs.twimg.com/profile_images/1365395023072817162/ZI8fAPrO_normal.jpg")</f>
        <v>https://pbs.twimg.com/profile_images/1365395023072817162/ZI8fAPrO_normal.jpg</v>
      </c>
      <c r="AW2170" s="82" t="s">
        <v>15255</v>
      </c>
      <c r="AX2170" s="82" t="s">
        <v>15255</v>
      </c>
      <c r="AY2170" s="77"/>
      <c r="AZ2170" s="82" t="s">
        <v>17385</v>
      </c>
      <c r="BA2170" s="82" t="s">
        <v>17385</v>
      </c>
      <c r="BB2170" s="82" t="s">
        <v>17385</v>
      </c>
      <c r="BC2170" s="82" t="s">
        <v>15255</v>
      </c>
      <c r="BD2170" s="82" t="s">
        <v>17641</v>
      </c>
      <c r="BE2170" s="77"/>
      <c r="BF2170" s="77"/>
      <c r="BG2170" s="77"/>
      <c r="BH2170" s="77"/>
      <c r="BI2170" s="77"/>
    </row>
    <row r="2171" spans="1:61" x14ac:dyDescent="0.25">
      <c r="A2171" s="62" t="s">
        <v>604</v>
      </c>
      <c r="B2171" s="62" t="s">
        <v>604</v>
      </c>
      <c r="C2171" s="63"/>
      <c r="D2171" s="64"/>
      <c r="E2171" s="65"/>
      <c r="F2171" s="66"/>
      <c r="G2171" s="63"/>
      <c r="H2171" s="67"/>
      <c r="I2171" s="68"/>
      <c r="J2171" s="68"/>
      <c r="K2171" s="32"/>
      <c r="L2171" s="75">
        <v>2171</v>
      </c>
      <c r="M2171" s="75"/>
      <c r="N2171" s="70"/>
      <c r="O2171" s="77" t="s">
        <v>179</v>
      </c>
      <c r="P2171" s="79">
        <v>45148.823275462964</v>
      </c>
      <c r="Q2171" s="77" t="s">
        <v>2950</v>
      </c>
      <c r="R2171" s="77">
        <v>0</v>
      </c>
      <c r="S2171" s="77">
        <v>1</v>
      </c>
      <c r="T2171" s="77">
        <v>0</v>
      </c>
      <c r="U2171" s="77">
        <v>0</v>
      </c>
      <c r="V2171" s="77">
        <v>69</v>
      </c>
      <c r="W2171" s="82" t="s">
        <v>6258</v>
      </c>
      <c r="X2171" s="80" t="str">
        <f>HYPERLINK("https://www.moneytimes.com.br/minerva-beef3-ceo-esta-otimista-com-mercado-da-china-a-medida-que-suinos-e-aves-perdem-espaco/")</f>
        <v>https://www.moneytimes.com.br/minerva-beef3-ceo-esta-otimista-com-mercado-da-china-a-medida-que-suinos-e-aves-perdem-espaco/</v>
      </c>
      <c r="Y2171" s="77" t="s">
        <v>7053</v>
      </c>
      <c r="Z2171" s="77"/>
      <c r="AA2171" s="77"/>
      <c r="AB2171" s="77"/>
      <c r="AC2171" s="82" t="s">
        <v>8255</v>
      </c>
      <c r="AD2171" s="77" t="s">
        <v>8278</v>
      </c>
      <c r="AE2171" s="80" t="str">
        <f>HYPERLINK("https://twitter.com/leiaagrotimes/status/1689724676237320192")</f>
        <v>https://twitter.com/leiaagrotimes/status/1689724676237320192</v>
      </c>
      <c r="AF2171" s="79">
        <v>45148.823275462964</v>
      </c>
      <c r="AG2171" s="85">
        <v>45148</v>
      </c>
      <c r="AH2171" s="82" t="s">
        <v>10241</v>
      </c>
      <c r="AI2171" s="77" t="b">
        <v>0</v>
      </c>
      <c r="AJ2171" s="77"/>
      <c r="AK2171" s="77"/>
      <c r="AL2171" s="77"/>
      <c r="AM2171" s="77"/>
      <c r="AN2171" s="77"/>
      <c r="AO2171" s="77"/>
      <c r="AP2171" s="77"/>
      <c r="AQ2171" s="77"/>
      <c r="AR2171" s="77"/>
      <c r="AS2171" s="77"/>
      <c r="AT2171" s="77"/>
      <c r="AU2171" s="77"/>
      <c r="AV2171" s="80" t="str">
        <f>HYPERLINK("https://pbs.twimg.com/profile_images/1365395023072817162/ZI8fAPrO_normal.jpg")</f>
        <v>https://pbs.twimg.com/profile_images/1365395023072817162/ZI8fAPrO_normal.jpg</v>
      </c>
      <c r="AW2171" s="82" t="s">
        <v>15256</v>
      </c>
      <c r="AX2171" s="82" t="s">
        <v>15256</v>
      </c>
      <c r="AY2171" s="77"/>
      <c r="AZ2171" s="82" t="s">
        <v>17385</v>
      </c>
      <c r="BA2171" s="82" t="s">
        <v>17385</v>
      </c>
      <c r="BB2171" s="82" t="s">
        <v>17385</v>
      </c>
      <c r="BC2171" s="82" t="s">
        <v>15256</v>
      </c>
      <c r="BD2171" s="82" t="s">
        <v>17641</v>
      </c>
      <c r="BE2171" s="77"/>
      <c r="BF2171" s="77"/>
      <c r="BG2171" s="77"/>
      <c r="BH2171" s="77"/>
      <c r="BI2171" s="77"/>
    </row>
    <row r="2172" spans="1:61" x14ac:dyDescent="0.25">
      <c r="A2172" s="62" t="s">
        <v>604</v>
      </c>
      <c r="B2172" s="62" t="s">
        <v>604</v>
      </c>
      <c r="C2172" s="63"/>
      <c r="D2172" s="64"/>
      <c r="E2172" s="65"/>
      <c r="F2172" s="66"/>
      <c r="G2172" s="63"/>
      <c r="H2172" s="67"/>
      <c r="I2172" s="68"/>
      <c r="J2172" s="68"/>
      <c r="K2172" s="32"/>
      <c r="L2172" s="75">
        <v>2172</v>
      </c>
      <c r="M2172" s="75"/>
      <c r="N2172" s="70"/>
      <c r="O2172" s="77" t="s">
        <v>179</v>
      </c>
      <c r="P2172" s="79">
        <v>45139.53056712963</v>
      </c>
      <c r="Q2172" s="77" t="s">
        <v>2951</v>
      </c>
      <c r="R2172" s="77">
        <v>0</v>
      </c>
      <c r="S2172" s="77">
        <v>2</v>
      </c>
      <c r="T2172" s="77">
        <v>0</v>
      </c>
      <c r="U2172" s="77">
        <v>0</v>
      </c>
      <c r="V2172" s="77">
        <v>211</v>
      </c>
      <c r="W2172" s="82" t="s">
        <v>6259</v>
      </c>
      <c r="X2172" s="80" t="str">
        <f>HYPERLINK("https://www.moneytimes.com.br/agrogalaxy-agxy3-cfo-renuncia-ao-cargo-a-duas-semanas-dos-resultados-do-2t23/")</f>
        <v>https://www.moneytimes.com.br/agrogalaxy-agxy3-cfo-renuncia-ao-cargo-a-duas-semanas-dos-resultados-do-2t23/</v>
      </c>
      <c r="Y2172" s="77" t="s">
        <v>7053</v>
      </c>
      <c r="Z2172" s="77"/>
      <c r="AA2172" s="77"/>
      <c r="AB2172" s="77"/>
      <c r="AC2172" s="82" t="s">
        <v>8255</v>
      </c>
      <c r="AD2172" s="77" t="s">
        <v>8278</v>
      </c>
      <c r="AE2172" s="80" t="str">
        <f>HYPERLINK("https://twitter.com/leiaagrotimes/status/1686357112337711104")</f>
        <v>https://twitter.com/leiaagrotimes/status/1686357112337711104</v>
      </c>
      <c r="AF2172" s="79">
        <v>45139.53056712963</v>
      </c>
      <c r="AG2172" s="85">
        <v>45139</v>
      </c>
      <c r="AH2172" s="82" t="s">
        <v>10242</v>
      </c>
      <c r="AI2172" s="77" t="b">
        <v>0</v>
      </c>
      <c r="AJ2172" s="77"/>
      <c r="AK2172" s="77"/>
      <c r="AL2172" s="77"/>
      <c r="AM2172" s="77"/>
      <c r="AN2172" s="77"/>
      <c r="AO2172" s="77"/>
      <c r="AP2172" s="77"/>
      <c r="AQ2172" s="77"/>
      <c r="AR2172" s="77"/>
      <c r="AS2172" s="77"/>
      <c r="AT2172" s="77"/>
      <c r="AU2172" s="77"/>
      <c r="AV2172" s="80" t="str">
        <f>HYPERLINK("https://pbs.twimg.com/profile_images/1365395023072817162/ZI8fAPrO_normal.jpg")</f>
        <v>https://pbs.twimg.com/profile_images/1365395023072817162/ZI8fAPrO_normal.jpg</v>
      </c>
      <c r="AW2172" s="82" t="s">
        <v>15257</v>
      </c>
      <c r="AX2172" s="82" t="s">
        <v>15257</v>
      </c>
      <c r="AY2172" s="77"/>
      <c r="AZ2172" s="82" t="s">
        <v>17385</v>
      </c>
      <c r="BA2172" s="82" t="s">
        <v>17385</v>
      </c>
      <c r="BB2172" s="82" t="s">
        <v>17385</v>
      </c>
      <c r="BC2172" s="82" t="s">
        <v>15257</v>
      </c>
      <c r="BD2172" s="82" t="s">
        <v>17641</v>
      </c>
      <c r="BE2172" s="77"/>
      <c r="BF2172" s="77"/>
      <c r="BG2172" s="77"/>
      <c r="BH2172" s="77"/>
      <c r="BI2172" s="77"/>
    </row>
    <row r="2173" spans="1:61" x14ac:dyDescent="0.25">
      <c r="A2173" s="62" t="s">
        <v>604</v>
      </c>
      <c r="B2173" s="62" t="s">
        <v>604</v>
      </c>
      <c r="C2173" s="63"/>
      <c r="D2173" s="64"/>
      <c r="E2173" s="65"/>
      <c r="F2173" s="66"/>
      <c r="G2173" s="63"/>
      <c r="H2173" s="67"/>
      <c r="I2173" s="68"/>
      <c r="J2173" s="68"/>
      <c r="K2173" s="32"/>
      <c r="L2173" s="75">
        <v>2173</v>
      </c>
      <c r="M2173" s="75"/>
      <c r="N2173" s="70"/>
      <c r="O2173" s="77" t="s">
        <v>179</v>
      </c>
      <c r="P2173" s="79">
        <v>45139.486990740741</v>
      </c>
      <c r="Q2173" s="77" t="s">
        <v>2952</v>
      </c>
      <c r="R2173" s="77">
        <v>1</v>
      </c>
      <c r="S2173" s="77">
        <v>1</v>
      </c>
      <c r="T2173" s="77">
        <v>0</v>
      </c>
      <c r="U2173" s="77">
        <v>0</v>
      </c>
      <c r="V2173" s="77">
        <v>150</v>
      </c>
      <c r="W2173" s="82" t="s">
        <v>6255</v>
      </c>
      <c r="X2173" s="80" t="str">
        <f>HYPERLINK("https://www.moneytimes.com.br/klabin-klbn11-lucra-r-971-milhoes-no-2t23-e-surpreende-apostas-do-mercado/")</f>
        <v>https://www.moneytimes.com.br/klabin-klbn11-lucra-r-971-milhoes-no-2t23-e-surpreende-apostas-do-mercado/</v>
      </c>
      <c r="Y2173" s="77" t="s">
        <v>7053</v>
      </c>
      <c r="Z2173" s="77"/>
      <c r="AA2173" s="77"/>
      <c r="AB2173" s="77"/>
      <c r="AC2173" s="82" t="s">
        <v>8255</v>
      </c>
      <c r="AD2173" s="77" t="s">
        <v>8278</v>
      </c>
      <c r="AE2173" s="80" t="str">
        <f>HYPERLINK("https://twitter.com/leiaagrotimes/status/1686341321001246720")</f>
        <v>https://twitter.com/leiaagrotimes/status/1686341321001246720</v>
      </c>
      <c r="AF2173" s="79">
        <v>45139.486990740741</v>
      </c>
      <c r="AG2173" s="85">
        <v>45139</v>
      </c>
      <c r="AH2173" s="82" t="s">
        <v>10243</v>
      </c>
      <c r="AI2173" s="77" t="b">
        <v>0</v>
      </c>
      <c r="AJ2173" s="77"/>
      <c r="AK2173" s="77"/>
      <c r="AL2173" s="77"/>
      <c r="AM2173" s="77"/>
      <c r="AN2173" s="77"/>
      <c r="AO2173" s="77"/>
      <c r="AP2173" s="77"/>
      <c r="AQ2173" s="77"/>
      <c r="AR2173" s="77"/>
      <c r="AS2173" s="77"/>
      <c r="AT2173" s="77"/>
      <c r="AU2173" s="77"/>
      <c r="AV2173" s="80" t="str">
        <f>HYPERLINK("https://pbs.twimg.com/profile_images/1365395023072817162/ZI8fAPrO_normal.jpg")</f>
        <v>https://pbs.twimg.com/profile_images/1365395023072817162/ZI8fAPrO_normal.jpg</v>
      </c>
      <c r="AW2173" s="82" t="s">
        <v>15258</v>
      </c>
      <c r="AX2173" s="82" t="s">
        <v>15258</v>
      </c>
      <c r="AY2173" s="77"/>
      <c r="AZ2173" s="82" t="s">
        <v>17385</v>
      </c>
      <c r="BA2173" s="82" t="s">
        <v>17385</v>
      </c>
      <c r="BB2173" s="82" t="s">
        <v>17385</v>
      </c>
      <c r="BC2173" s="82" t="s">
        <v>15258</v>
      </c>
      <c r="BD2173" s="82" t="s">
        <v>17641</v>
      </c>
      <c r="BE2173" s="77"/>
      <c r="BF2173" s="77"/>
      <c r="BG2173" s="77"/>
      <c r="BH2173" s="77"/>
      <c r="BI2173" s="77"/>
    </row>
    <row r="2174" spans="1:61" x14ac:dyDescent="0.25">
      <c r="A2174" s="62" t="s">
        <v>604</v>
      </c>
      <c r="B2174" s="62" t="s">
        <v>604</v>
      </c>
      <c r="C2174" s="63"/>
      <c r="D2174" s="64"/>
      <c r="E2174" s="65"/>
      <c r="F2174" s="66"/>
      <c r="G2174" s="63"/>
      <c r="H2174" s="67"/>
      <c r="I2174" s="68"/>
      <c r="J2174" s="68"/>
      <c r="K2174" s="32"/>
      <c r="L2174" s="75">
        <v>2174</v>
      </c>
      <c r="M2174" s="75"/>
      <c r="N2174" s="70"/>
      <c r="O2174" s="77" t="s">
        <v>179</v>
      </c>
      <c r="P2174" s="79">
        <v>45139.458935185183</v>
      </c>
      <c r="Q2174" s="77" t="s">
        <v>2953</v>
      </c>
      <c r="R2174" s="77">
        <v>0</v>
      </c>
      <c r="S2174" s="77">
        <v>0</v>
      </c>
      <c r="T2174" s="77">
        <v>0</v>
      </c>
      <c r="U2174" s="77">
        <v>0</v>
      </c>
      <c r="V2174" s="77">
        <v>39</v>
      </c>
      <c r="W2174" s="82" t="s">
        <v>6255</v>
      </c>
      <c r="X2174" s="80" t="str">
        <f>HYPERLINK("https://www.moneytimes.com.br/bba-traca-2t23-dos-frigorificos-e-recomenda-compra-de-apenas-duas-acoes-saiba-em-quais-bois-apostar/")</f>
        <v>https://www.moneytimes.com.br/bba-traca-2t23-dos-frigorificos-e-recomenda-compra-de-apenas-duas-acoes-saiba-em-quais-bois-apostar/</v>
      </c>
      <c r="Y2174" s="77" t="s">
        <v>7053</v>
      </c>
      <c r="Z2174" s="77"/>
      <c r="AA2174" s="77"/>
      <c r="AB2174" s="77"/>
      <c r="AC2174" s="82" t="s">
        <v>8255</v>
      </c>
      <c r="AD2174" s="77" t="s">
        <v>8278</v>
      </c>
      <c r="AE2174" s="80" t="str">
        <f>HYPERLINK("https://twitter.com/leiaagrotimes/status/1686331155040120832")</f>
        <v>https://twitter.com/leiaagrotimes/status/1686331155040120832</v>
      </c>
      <c r="AF2174" s="79">
        <v>45139.458935185183</v>
      </c>
      <c r="AG2174" s="85">
        <v>45139</v>
      </c>
      <c r="AH2174" s="82" t="s">
        <v>10244</v>
      </c>
      <c r="AI2174" s="77" t="b">
        <v>0</v>
      </c>
      <c r="AJ2174" s="77"/>
      <c r="AK2174" s="77"/>
      <c r="AL2174" s="77"/>
      <c r="AM2174" s="77"/>
      <c r="AN2174" s="77"/>
      <c r="AO2174" s="77"/>
      <c r="AP2174" s="77"/>
      <c r="AQ2174" s="77"/>
      <c r="AR2174" s="77"/>
      <c r="AS2174" s="77"/>
      <c r="AT2174" s="77"/>
      <c r="AU2174" s="77"/>
      <c r="AV2174" s="80" t="str">
        <f>HYPERLINK("https://pbs.twimg.com/profile_images/1365395023072817162/ZI8fAPrO_normal.jpg")</f>
        <v>https://pbs.twimg.com/profile_images/1365395023072817162/ZI8fAPrO_normal.jpg</v>
      </c>
      <c r="AW2174" s="82" t="s">
        <v>15259</v>
      </c>
      <c r="AX2174" s="82" t="s">
        <v>15259</v>
      </c>
      <c r="AY2174" s="77"/>
      <c r="AZ2174" s="82" t="s">
        <v>17385</v>
      </c>
      <c r="BA2174" s="82" t="s">
        <v>17385</v>
      </c>
      <c r="BB2174" s="82" t="s">
        <v>17385</v>
      </c>
      <c r="BC2174" s="82" t="s">
        <v>15259</v>
      </c>
      <c r="BD2174" s="82" t="s">
        <v>17641</v>
      </c>
      <c r="BE2174" s="77"/>
      <c r="BF2174" s="77"/>
      <c r="BG2174" s="77"/>
      <c r="BH2174" s="77"/>
      <c r="BI2174" s="77"/>
    </row>
    <row r="2175" spans="1:61" x14ac:dyDescent="0.25">
      <c r="A2175" s="62" t="s">
        <v>604</v>
      </c>
      <c r="B2175" s="62" t="s">
        <v>604</v>
      </c>
      <c r="C2175" s="63"/>
      <c r="D2175" s="64"/>
      <c r="E2175" s="65"/>
      <c r="F2175" s="66"/>
      <c r="G2175" s="63"/>
      <c r="H2175" s="67"/>
      <c r="I2175" s="68"/>
      <c r="J2175" s="68"/>
      <c r="K2175" s="32"/>
      <c r="L2175" s="75">
        <v>2175</v>
      </c>
      <c r="M2175" s="75"/>
      <c r="N2175" s="70"/>
      <c r="O2175" s="77" t="s">
        <v>179</v>
      </c>
      <c r="P2175" s="79">
        <v>45139.396643518521</v>
      </c>
      <c r="Q2175" s="77" t="s">
        <v>2954</v>
      </c>
      <c r="R2175" s="77">
        <v>0</v>
      </c>
      <c r="S2175" s="77">
        <v>1</v>
      </c>
      <c r="T2175" s="77">
        <v>0</v>
      </c>
      <c r="U2175" s="77">
        <v>0</v>
      </c>
      <c r="V2175" s="77">
        <v>148</v>
      </c>
      <c r="W2175" s="82" t="s">
        <v>6260</v>
      </c>
      <c r="X2175" s="80" t="str">
        <f>HYPERLINK("https://www.moneytimes.com.br/suzano-suzb3-ou-klabin-klab11-genial-destaca-5-pontos-para-cada-acao-e-escolhe-top-pick/")</f>
        <v>https://www.moneytimes.com.br/suzano-suzb3-ou-klabin-klab11-genial-destaca-5-pontos-para-cada-acao-e-escolhe-top-pick/</v>
      </c>
      <c r="Y2175" s="77" t="s">
        <v>7053</v>
      </c>
      <c r="Z2175" s="77"/>
      <c r="AA2175" s="77"/>
      <c r="AB2175" s="77"/>
      <c r="AC2175" s="82" t="s">
        <v>8255</v>
      </c>
      <c r="AD2175" s="77" t="s">
        <v>8278</v>
      </c>
      <c r="AE2175" s="80" t="str">
        <f>HYPERLINK("https://twitter.com/leiaagrotimes/status/1686308582424268800")</f>
        <v>https://twitter.com/leiaagrotimes/status/1686308582424268800</v>
      </c>
      <c r="AF2175" s="79">
        <v>45139.396643518521</v>
      </c>
      <c r="AG2175" s="85">
        <v>45139</v>
      </c>
      <c r="AH2175" s="82" t="s">
        <v>10245</v>
      </c>
      <c r="AI2175" s="77" t="b">
        <v>0</v>
      </c>
      <c r="AJ2175" s="77"/>
      <c r="AK2175" s="77"/>
      <c r="AL2175" s="77"/>
      <c r="AM2175" s="77"/>
      <c r="AN2175" s="77"/>
      <c r="AO2175" s="77"/>
      <c r="AP2175" s="77"/>
      <c r="AQ2175" s="77"/>
      <c r="AR2175" s="77"/>
      <c r="AS2175" s="77"/>
      <c r="AT2175" s="77"/>
      <c r="AU2175" s="77"/>
      <c r="AV2175" s="80" t="str">
        <f>HYPERLINK("https://pbs.twimg.com/profile_images/1365395023072817162/ZI8fAPrO_normal.jpg")</f>
        <v>https://pbs.twimg.com/profile_images/1365395023072817162/ZI8fAPrO_normal.jpg</v>
      </c>
      <c r="AW2175" s="82" t="s">
        <v>15260</v>
      </c>
      <c r="AX2175" s="82" t="s">
        <v>15260</v>
      </c>
      <c r="AY2175" s="77"/>
      <c r="AZ2175" s="82" t="s">
        <v>17385</v>
      </c>
      <c r="BA2175" s="82" t="s">
        <v>17385</v>
      </c>
      <c r="BB2175" s="82" t="s">
        <v>17385</v>
      </c>
      <c r="BC2175" s="82" t="s">
        <v>15260</v>
      </c>
      <c r="BD2175" s="82" t="s">
        <v>17641</v>
      </c>
      <c r="BE2175" s="77"/>
      <c r="BF2175" s="77"/>
      <c r="BG2175" s="77"/>
      <c r="BH2175" s="77"/>
      <c r="BI2175" s="77"/>
    </row>
    <row r="2176" spans="1:61" x14ac:dyDescent="0.25">
      <c r="A2176" s="62" t="s">
        <v>604</v>
      </c>
      <c r="B2176" s="62" t="s">
        <v>604</v>
      </c>
      <c r="C2176" s="63"/>
      <c r="D2176" s="64"/>
      <c r="E2176" s="65"/>
      <c r="F2176" s="66"/>
      <c r="G2176" s="63"/>
      <c r="H2176" s="67"/>
      <c r="I2176" s="68"/>
      <c r="J2176" s="68"/>
      <c r="K2176" s="32"/>
      <c r="L2176" s="75">
        <v>2176</v>
      </c>
      <c r="M2176" s="75"/>
      <c r="N2176" s="70"/>
      <c r="O2176" s="77" t="s">
        <v>179</v>
      </c>
      <c r="P2176" s="79">
        <v>45119.576238425929</v>
      </c>
      <c r="Q2176" s="77" t="s">
        <v>2955</v>
      </c>
      <c r="R2176" s="77">
        <v>0</v>
      </c>
      <c r="S2176" s="77">
        <v>0</v>
      </c>
      <c r="T2176" s="77">
        <v>0</v>
      </c>
      <c r="U2176" s="77">
        <v>0</v>
      </c>
      <c r="V2176" s="77">
        <v>44</v>
      </c>
      <c r="W2176" s="82" t="s">
        <v>6261</v>
      </c>
      <c r="X2176" s="80" t="str">
        <f>HYPERLINK("https://www.moneytimes.com.br/jbs-jbss3-dispara-quase-9-apos-proposta-de-dupla-listagem/")</f>
        <v>https://www.moneytimes.com.br/jbs-jbss3-dispara-quase-9-apos-proposta-de-dupla-listagem/</v>
      </c>
      <c r="Y2176" s="77" t="s">
        <v>7053</v>
      </c>
      <c r="Z2176" s="77"/>
      <c r="AA2176" s="77"/>
      <c r="AB2176" s="77"/>
      <c r="AC2176" s="82" t="s">
        <v>8255</v>
      </c>
      <c r="AD2176" s="77" t="s">
        <v>8278</v>
      </c>
      <c r="AE2176" s="80" t="str">
        <f>HYPERLINK("https://twitter.com/leiaagrotimes/status/1679125907900973062")</f>
        <v>https://twitter.com/leiaagrotimes/status/1679125907900973062</v>
      </c>
      <c r="AF2176" s="79">
        <v>45119.576238425929</v>
      </c>
      <c r="AG2176" s="85">
        <v>45119</v>
      </c>
      <c r="AH2176" s="82" t="s">
        <v>10246</v>
      </c>
      <c r="AI2176" s="77" t="b">
        <v>0</v>
      </c>
      <c r="AJ2176" s="77"/>
      <c r="AK2176" s="77"/>
      <c r="AL2176" s="77"/>
      <c r="AM2176" s="77"/>
      <c r="AN2176" s="77"/>
      <c r="AO2176" s="77"/>
      <c r="AP2176" s="77"/>
      <c r="AQ2176" s="77"/>
      <c r="AR2176" s="77"/>
      <c r="AS2176" s="77"/>
      <c r="AT2176" s="77"/>
      <c r="AU2176" s="77"/>
      <c r="AV2176" s="80" t="str">
        <f>HYPERLINK("https://pbs.twimg.com/profile_images/1365395023072817162/ZI8fAPrO_normal.jpg")</f>
        <v>https://pbs.twimg.com/profile_images/1365395023072817162/ZI8fAPrO_normal.jpg</v>
      </c>
      <c r="AW2176" s="82" t="s">
        <v>15261</v>
      </c>
      <c r="AX2176" s="82" t="s">
        <v>15261</v>
      </c>
      <c r="AY2176" s="77"/>
      <c r="AZ2176" s="82" t="s">
        <v>17385</v>
      </c>
      <c r="BA2176" s="82" t="s">
        <v>17385</v>
      </c>
      <c r="BB2176" s="82" t="s">
        <v>17385</v>
      </c>
      <c r="BC2176" s="82" t="s">
        <v>15261</v>
      </c>
      <c r="BD2176" s="82" t="s">
        <v>17641</v>
      </c>
      <c r="BE2176" s="77"/>
      <c r="BF2176" s="77"/>
      <c r="BG2176" s="77"/>
      <c r="BH2176" s="77"/>
      <c r="BI2176" s="77"/>
    </row>
    <row r="2177" spans="1:61" x14ac:dyDescent="0.25">
      <c r="A2177" s="62" t="s">
        <v>604</v>
      </c>
      <c r="B2177" s="62" t="s">
        <v>604</v>
      </c>
      <c r="C2177" s="63"/>
      <c r="D2177" s="64"/>
      <c r="E2177" s="65"/>
      <c r="F2177" s="66"/>
      <c r="G2177" s="63"/>
      <c r="H2177" s="67"/>
      <c r="I2177" s="68"/>
      <c r="J2177" s="68"/>
      <c r="K2177" s="32"/>
      <c r="L2177" s="75">
        <v>2177</v>
      </c>
      <c r="M2177" s="75"/>
      <c r="N2177" s="70"/>
      <c r="O2177" s="77" t="s">
        <v>179</v>
      </c>
      <c r="P2177" s="79">
        <v>45119.480810185189</v>
      </c>
      <c r="Q2177" s="77" t="s">
        <v>2956</v>
      </c>
      <c r="R2177" s="77">
        <v>0</v>
      </c>
      <c r="S2177" s="77">
        <v>2</v>
      </c>
      <c r="T2177" s="77">
        <v>0</v>
      </c>
      <c r="U2177" s="77">
        <v>0</v>
      </c>
      <c r="V2177" s="77">
        <v>74</v>
      </c>
      <c r="W2177" s="82" t="s">
        <v>6251</v>
      </c>
      <c r="X2177" s="80" t="str">
        <f>HYPERLINK("https://www.moneytimes.com.br/jbs-jbss3-propoe-dupla-listagem-de-acoes-no-brasil-e-nos-eua-entenda/")</f>
        <v>https://www.moneytimes.com.br/jbs-jbss3-propoe-dupla-listagem-de-acoes-no-brasil-e-nos-eua-entenda/</v>
      </c>
      <c r="Y2177" s="77" t="s">
        <v>7053</v>
      </c>
      <c r="Z2177" s="77"/>
      <c r="AA2177" s="77"/>
      <c r="AB2177" s="77"/>
      <c r="AC2177" s="82" t="s">
        <v>8255</v>
      </c>
      <c r="AD2177" s="77" t="s">
        <v>8278</v>
      </c>
      <c r="AE2177" s="80" t="str">
        <f>HYPERLINK("https://twitter.com/leiaagrotimes/status/1679091325981937664")</f>
        <v>https://twitter.com/leiaagrotimes/status/1679091325981937664</v>
      </c>
      <c r="AF2177" s="79">
        <v>45119.480810185189</v>
      </c>
      <c r="AG2177" s="85">
        <v>45119</v>
      </c>
      <c r="AH2177" s="82" t="s">
        <v>10247</v>
      </c>
      <c r="AI2177" s="77" t="b">
        <v>0</v>
      </c>
      <c r="AJ2177" s="77"/>
      <c r="AK2177" s="77"/>
      <c r="AL2177" s="77"/>
      <c r="AM2177" s="77"/>
      <c r="AN2177" s="77"/>
      <c r="AO2177" s="77"/>
      <c r="AP2177" s="77"/>
      <c r="AQ2177" s="77"/>
      <c r="AR2177" s="77"/>
      <c r="AS2177" s="77"/>
      <c r="AT2177" s="77"/>
      <c r="AU2177" s="77"/>
      <c r="AV2177" s="80" t="str">
        <f>HYPERLINK("https://pbs.twimg.com/profile_images/1365395023072817162/ZI8fAPrO_normal.jpg")</f>
        <v>https://pbs.twimg.com/profile_images/1365395023072817162/ZI8fAPrO_normal.jpg</v>
      </c>
      <c r="AW2177" s="82" t="s">
        <v>15262</v>
      </c>
      <c r="AX2177" s="82" t="s">
        <v>15262</v>
      </c>
      <c r="AY2177" s="77"/>
      <c r="AZ2177" s="82" t="s">
        <v>17385</v>
      </c>
      <c r="BA2177" s="82" t="s">
        <v>17385</v>
      </c>
      <c r="BB2177" s="82" t="s">
        <v>17385</v>
      </c>
      <c r="BC2177" s="82" t="s">
        <v>15262</v>
      </c>
      <c r="BD2177" s="82" t="s">
        <v>17641</v>
      </c>
      <c r="BE2177" s="77"/>
      <c r="BF2177" s="77"/>
      <c r="BG2177" s="77"/>
      <c r="BH2177" s="77"/>
      <c r="BI2177" s="77"/>
    </row>
    <row r="2178" spans="1:61" x14ac:dyDescent="0.25">
      <c r="A2178" s="62" t="s">
        <v>604</v>
      </c>
      <c r="B2178" s="62" t="s">
        <v>604</v>
      </c>
      <c r="C2178" s="63"/>
      <c r="D2178" s="64"/>
      <c r="E2178" s="65"/>
      <c r="F2178" s="66"/>
      <c r="G2178" s="63"/>
      <c r="H2178" s="67"/>
      <c r="I2178" s="68"/>
      <c r="J2178" s="68"/>
      <c r="K2178" s="32"/>
      <c r="L2178" s="75">
        <v>2178</v>
      </c>
      <c r="M2178" s="75"/>
      <c r="N2178" s="70"/>
      <c r="O2178" s="77" t="s">
        <v>179</v>
      </c>
      <c r="P2178" s="79">
        <v>45110.66846064815</v>
      </c>
      <c r="Q2178" s="77" t="s">
        <v>2957</v>
      </c>
      <c r="R2178" s="77">
        <v>0</v>
      </c>
      <c r="S2178" s="77">
        <v>0</v>
      </c>
      <c r="T2178" s="77">
        <v>0</v>
      </c>
      <c r="U2178" s="77">
        <v>0</v>
      </c>
      <c r="V2178" s="77">
        <v>83</v>
      </c>
      <c r="W2178" s="82" t="s">
        <v>6251</v>
      </c>
      <c r="X2178" s="80" t="str">
        <f>HYPERLINK("https://www.moneytimes.com.br/m-dias-branco-mdia3-por-que-janela-de-oportunidade-esta-se-fechando-na-visao-da-xp-vale-apostar-na-tese/")</f>
        <v>https://www.moneytimes.com.br/m-dias-branco-mdia3-por-que-janela-de-oportunidade-esta-se-fechando-na-visao-da-xp-vale-apostar-na-tese/</v>
      </c>
      <c r="Y2178" s="77" t="s">
        <v>7053</v>
      </c>
      <c r="Z2178" s="77"/>
      <c r="AA2178" s="77"/>
      <c r="AB2178" s="77"/>
      <c r="AC2178" s="82" t="s">
        <v>8255</v>
      </c>
      <c r="AD2178" s="77" t="s">
        <v>8278</v>
      </c>
      <c r="AE2178" s="80" t="str">
        <f>HYPERLINK("https://twitter.com/leiaagrotimes/status/1675897834535542785")</f>
        <v>https://twitter.com/leiaagrotimes/status/1675897834535542785</v>
      </c>
      <c r="AF2178" s="79">
        <v>45110.66846064815</v>
      </c>
      <c r="AG2178" s="85">
        <v>45110</v>
      </c>
      <c r="AH2178" s="82" t="s">
        <v>10248</v>
      </c>
      <c r="AI2178" s="77" t="b">
        <v>0</v>
      </c>
      <c r="AJ2178" s="77"/>
      <c r="AK2178" s="77"/>
      <c r="AL2178" s="77"/>
      <c r="AM2178" s="77"/>
      <c r="AN2178" s="77"/>
      <c r="AO2178" s="77"/>
      <c r="AP2178" s="77"/>
      <c r="AQ2178" s="77"/>
      <c r="AR2178" s="77"/>
      <c r="AS2178" s="77"/>
      <c r="AT2178" s="77"/>
      <c r="AU2178" s="77"/>
      <c r="AV2178" s="80" t="str">
        <f>HYPERLINK("https://pbs.twimg.com/profile_images/1365395023072817162/ZI8fAPrO_normal.jpg")</f>
        <v>https://pbs.twimg.com/profile_images/1365395023072817162/ZI8fAPrO_normal.jpg</v>
      </c>
      <c r="AW2178" s="82" t="s">
        <v>15263</v>
      </c>
      <c r="AX2178" s="82" t="s">
        <v>15263</v>
      </c>
      <c r="AY2178" s="77"/>
      <c r="AZ2178" s="82" t="s">
        <v>17385</v>
      </c>
      <c r="BA2178" s="82" t="s">
        <v>17385</v>
      </c>
      <c r="BB2178" s="82" t="s">
        <v>17385</v>
      </c>
      <c r="BC2178" s="82" t="s">
        <v>15263</v>
      </c>
      <c r="BD2178" s="82" t="s">
        <v>17641</v>
      </c>
      <c r="BE2178" s="77"/>
      <c r="BF2178" s="77"/>
      <c r="BG2178" s="77"/>
      <c r="BH2178" s="77"/>
      <c r="BI2178" s="77"/>
    </row>
    <row r="2179" spans="1:61" x14ac:dyDescent="0.25">
      <c r="A2179" s="62" t="s">
        <v>604</v>
      </c>
      <c r="B2179" s="62" t="s">
        <v>604</v>
      </c>
      <c r="C2179" s="63"/>
      <c r="D2179" s="64"/>
      <c r="E2179" s="65"/>
      <c r="F2179" s="66"/>
      <c r="G2179" s="63"/>
      <c r="H2179" s="67"/>
      <c r="I2179" s="68"/>
      <c r="J2179" s="68"/>
      <c r="K2179" s="32"/>
      <c r="L2179" s="75">
        <v>2179</v>
      </c>
      <c r="M2179" s="75"/>
      <c r="N2179" s="70"/>
      <c r="O2179" s="77" t="s">
        <v>179</v>
      </c>
      <c r="P2179" s="79">
        <v>45110.443368055552</v>
      </c>
      <c r="Q2179" s="77" t="s">
        <v>2958</v>
      </c>
      <c r="R2179" s="77">
        <v>0</v>
      </c>
      <c r="S2179" s="77">
        <v>0</v>
      </c>
      <c r="T2179" s="77">
        <v>0</v>
      </c>
      <c r="U2179" s="77">
        <v>0</v>
      </c>
      <c r="V2179" s="77">
        <v>145</v>
      </c>
      <c r="W2179" s="82" t="s">
        <v>6262</v>
      </c>
      <c r="X2179" s="80" t="str">
        <f>HYPERLINK("https://www.moneytimes.com.br/swing-trade-suzano-suzb3-pode-subir-ate-8-hoje-e-fazer-voce-comecar-julho-com-tudo/")</f>
        <v>https://www.moneytimes.com.br/swing-trade-suzano-suzb3-pode-subir-ate-8-hoje-e-fazer-voce-comecar-julho-com-tudo/</v>
      </c>
      <c r="Y2179" s="77" t="s">
        <v>7053</v>
      </c>
      <c r="Z2179" s="77"/>
      <c r="AA2179" s="77"/>
      <c r="AB2179" s="77"/>
      <c r="AC2179" s="82" t="s">
        <v>8255</v>
      </c>
      <c r="AD2179" s="77" t="s">
        <v>8278</v>
      </c>
      <c r="AE2179" s="80" t="str">
        <f>HYPERLINK("https://twitter.com/leiaagrotimes/status/1675816263371706369")</f>
        <v>https://twitter.com/leiaagrotimes/status/1675816263371706369</v>
      </c>
      <c r="AF2179" s="79">
        <v>45110.443368055552</v>
      </c>
      <c r="AG2179" s="85">
        <v>45110</v>
      </c>
      <c r="AH2179" s="82" t="s">
        <v>10249</v>
      </c>
      <c r="AI2179" s="77" t="b">
        <v>0</v>
      </c>
      <c r="AJ2179" s="77"/>
      <c r="AK2179" s="77"/>
      <c r="AL2179" s="77"/>
      <c r="AM2179" s="77"/>
      <c r="AN2179" s="77"/>
      <c r="AO2179" s="77"/>
      <c r="AP2179" s="77"/>
      <c r="AQ2179" s="77"/>
      <c r="AR2179" s="77"/>
      <c r="AS2179" s="77"/>
      <c r="AT2179" s="77"/>
      <c r="AU2179" s="77"/>
      <c r="AV2179" s="80" t="str">
        <f>HYPERLINK("https://pbs.twimg.com/profile_images/1365395023072817162/ZI8fAPrO_normal.jpg")</f>
        <v>https://pbs.twimg.com/profile_images/1365395023072817162/ZI8fAPrO_normal.jpg</v>
      </c>
      <c r="AW2179" s="82" t="s">
        <v>15264</v>
      </c>
      <c r="AX2179" s="82" t="s">
        <v>15264</v>
      </c>
      <c r="AY2179" s="77"/>
      <c r="AZ2179" s="82" t="s">
        <v>17385</v>
      </c>
      <c r="BA2179" s="82" t="s">
        <v>17385</v>
      </c>
      <c r="BB2179" s="82" t="s">
        <v>17385</v>
      </c>
      <c r="BC2179" s="82" t="s">
        <v>15264</v>
      </c>
      <c r="BD2179" s="82" t="s">
        <v>17641</v>
      </c>
      <c r="BE2179" s="77"/>
      <c r="BF2179" s="77"/>
      <c r="BG2179" s="77"/>
      <c r="BH2179" s="77"/>
      <c r="BI2179" s="77"/>
    </row>
    <row r="2180" spans="1:61" x14ac:dyDescent="0.25">
      <c r="A2180" s="62" t="s">
        <v>604</v>
      </c>
      <c r="B2180" s="62" t="s">
        <v>604</v>
      </c>
      <c r="C2180" s="63"/>
      <c r="D2180" s="64"/>
      <c r="E2180" s="65"/>
      <c r="F2180" s="66"/>
      <c r="G2180" s="63"/>
      <c r="H2180" s="67"/>
      <c r="I2180" s="68"/>
      <c r="J2180" s="68"/>
      <c r="K2180" s="32"/>
      <c r="L2180" s="75">
        <v>2180</v>
      </c>
      <c r="M2180" s="75"/>
      <c r="N2180" s="70"/>
      <c r="O2180" s="77" t="s">
        <v>179</v>
      </c>
      <c r="P2180" s="79">
        <v>45097.534826388888</v>
      </c>
      <c r="Q2180" s="77" t="s">
        <v>2959</v>
      </c>
      <c r="R2180" s="77">
        <v>0</v>
      </c>
      <c r="S2180" s="77">
        <v>0</v>
      </c>
      <c r="T2180" s="77">
        <v>0</v>
      </c>
      <c r="U2180" s="77">
        <v>0</v>
      </c>
      <c r="V2180" s="77">
        <v>82</v>
      </c>
      <c r="W2180" s="82" t="s">
        <v>6263</v>
      </c>
      <c r="X2180" s="80" t="str">
        <f>HYPERLINK("https://www.moneytimes.com.br/swing-trade-acao-da-brasilagro-agro3-pode-render-ate-125-hoje-20-veja-como/")</f>
        <v>https://www.moneytimes.com.br/swing-trade-acao-da-brasilagro-agro3-pode-render-ate-125-hoje-20-veja-como/</v>
      </c>
      <c r="Y2180" s="77" t="s">
        <v>7053</v>
      </c>
      <c r="Z2180" s="77"/>
      <c r="AA2180" s="77"/>
      <c r="AB2180" s="77"/>
      <c r="AC2180" s="82" t="s">
        <v>8255</v>
      </c>
      <c r="AD2180" s="77" t="s">
        <v>8278</v>
      </c>
      <c r="AE2180" s="80" t="str">
        <f>HYPERLINK("https://twitter.com/leiaagrotimes/status/1671138366090272768")</f>
        <v>https://twitter.com/leiaagrotimes/status/1671138366090272768</v>
      </c>
      <c r="AF2180" s="79">
        <v>45097.534826388888</v>
      </c>
      <c r="AG2180" s="85">
        <v>45097</v>
      </c>
      <c r="AH2180" s="82" t="s">
        <v>10250</v>
      </c>
      <c r="AI2180" s="77" t="b">
        <v>0</v>
      </c>
      <c r="AJ2180" s="77"/>
      <c r="AK2180" s="77"/>
      <c r="AL2180" s="77"/>
      <c r="AM2180" s="77"/>
      <c r="AN2180" s="77"/>
      <c r="AO2180" s="77"/>
      <c r="AP2180" s="77"/>
      <c r="AQ2180" s="77"/>
      <c r="AR2180" s="77"/>
      <c r="AS2180" s="77"/>
      <c r="AT2180" s="77"/>
      <c r="AU2180" s="77"/>
      <c r="AV2180" s="80" t="str">
        <f>HYPERLINK("https://pbs.twimg.com/profile_images/1365395023072817162/ZI8fAPrO_normal.jpg")</f>
        <v>https://pbs.twimg.com/profile_images/1365395023072817162/ZI8fAPrO_normal.jpg</v>
      </c>
      <c r="AW2180" s="82" t="s">
        <v>15265</v>
      </c>
      <c r="AX2180" s="82" t="s">
        <v>15265</v>
      </c>
      <c r="AY2180" s="77"/>
      <c r="AZ2180" s="82" t="s">
        <v>17385</v>
      </c>
      <c r="BA2180" s="82" t="s">
        <v>17385</v>
      </c>
      <c r="BB2180" s="82" t="s">
        <v>17385</v>
      </c>
      <c r="BC2180" s="82" t="s">
        <v>15265</v>
      </c>
      <c r="BD2180" s="82" t="s">
        <v>17641</v>
      </c>
      <c r="BE2180" s="77"/>
      <c r="BF2180" s="77"/>
      <c r="BG2180" s="77"/>
      <c r="BH2180" s="77"/>
      <c r="BI2180" s="77"/>
    </row>
    <row r="2181" spans="1:61" x14ac:dyDescent="0.25">
      <c r="A2181" s="62" t="s">
        <v>604</v>
      </c>
      <c r="B2181" s="62" t="s">
        <v>604</v>
      </c>
      <c r="C2181" s="63"/>
      <c r="D2181" s="64"/>
      <c r="E2181" s="65"/>
      <c r="F2181" s="66"/>
      <c r="G2181" s="63"/>
      <c r="H2181" s="67"/>
      <c r="I2181" s="68"/>
      <c r="J2181" s="68"/>
      <c r="K2181" s="32"/>
      <c r="L2181" s="75">
        <v>2181</v>
      </c>
      <c r="M2181" s="75"/>
      <c r="N2181" s="70"/>
      <c r="O2181" s="77" t="s">
        <v>179</v>
      </c>
      <c r="P2181" s="79">
        <v>45096.886805555558</v>
      </c>
      <c r="Q2181" s="77" t="s">
        <v>2960</v>
      </c>
      <c r="R2181" s="77">
        <v>0</v>
      </c>
      <c r="S2181" s="77">
        <v>0</v>
      </c>
      <c r="T2181" s="77">
        <v>0</v>
      </c>
      <c r="U2181" s="77">
        <v>0</v>
      </c>
      <c r="V2181" s="77">
        <v>83</v>
      </c>
      <c r="W2181" s="82" t="s">
        <v>6251</v>
      </c>
      <c r="X2181" s="80" t="str">
        <f>HYPERLINK("https://www.moneytimes.com.br/jbs-jbss3-pagara-mais-de-r-2-bilhoes-em-dividendos-veja-condicoes-para-receber-parte-da-bolada/")</f>
        <v>https://www.moneytimes.com.br/jbs-jbss3-pagara-mais-de-r-2-bilhoes-em-dividendos-veja-condicoes-para-receber-parte-da-bolada/</v>
      </c>
      <c r="Y2181" s="77" t="s">
        <v>7053</v>
      </c>
      <c r="Z2181" s="77"/>
      <c r="AA2181" s="77"/>
      <c r="AB2181" s="77"/>
      <c r="AC2181" s="82" t="s">
        <v>8255</v>
      </c>
      <c r="AD2181" s="77" t="s">
        <v>8278</v>
      </c>
      <c r="AE2181" s="80" t="str">
        <f>HYPERLINK("https://twitter.com/leiaagrotimes/status/1670903533477019649")</f>
        <v>https://twitter.com/leiaagrotimes/status/1670903533477019649</v>
      </c>
      <c r="AF2181" s="79">
        <v>45096.886805555558</v>
      </c>
      <c r="AG2181" s="85">
        <v>45096</v>
      </c>
      <c r="AH2181" s="82" t="s">
        <v>9914</v>
      </c>
      <c r="AI2181" s="77" t="b">
        <v>0</v>
      </c>
      <c r="AJ2181" s="77"/>
      <c r="AK2181" s="77"/>
      <c r="AL2181" s="77"/>
      <c r="AM2181" s="77"/>
      <c r="AN2181" s="77"/>
      <c r="AO2181" s="77"/>
      <c r="AP2181" s="77"/>
      <c r="AQ2181" s="77"/>
      <c r="AR2181" s="77"/>
      <c r="AS2181" s="77"/>
      <c r="AT2181" s="77"/>
      <c r="AU2181" s="77"/>
      <c r="AV2181" s="80" t="str">
        <f>HYPERLINK("https://pbs.twimg.com/profile_images/1365395023072817162/ZI8fAPrO_normal.jpg")</f>
        <v>https://pbs.twimg.com/profile_images/1365395023072817162/ZI8fAPrO_normal.jpg</v>
      </c>
      <c r="AW2181" s="82" t="s">
        <v>15266</v>
      </c>
      <c r="AX2181" s="82" t="s">
        <v>15266</v>
      </c>
      <c r="AY2181" s="77"/>
      <c r="AZ2181" s="82" t="s">
        <v>17385</v>
      </c>
      <c r="BA2181" s="82" t="s">
        <v>17385</v>
      </c>
      <c r="BB2181" s="82" t="s">
        <v>17385</v>
      </c>
      <c r="BC2181" s="82" t="s">
        <v>15266</v>
      </c>
      <c r="BD2181" s="82" t="s">
        <v>17641</v>
      </c>
      <c r="BE2181" s="77"/>
      <c r="BF2181" s="77"/>
      <c r="BG2181" s="77"/>
      <c r="BH2181" s="77"/>
      <c r="BI2181" s="77"/>
    </row>
    <row r="2182" spans="1:61" x14ac:dyDescent="0.25">
      <c r="A2182" s="62" t="s">
        <v>604</v>
      </c>
      <c r="B2182" s="62" t="s">
        <v>604</v>
      </c>
      <c r="C2182" s="63"/>
      <c r="D2182" s="64"/>
      <c r="E2182" s="65"/>
      <c r="F2182" s="66"/>
      <c r="G2182" s="63"/>
      <c r="H2182" s="67"/>
      <c r="I2182" s="68"/>
      <c r="J2182" s="68"/>
      <c r="K2182" s="32"/>
      <c r="L2182" s="75">
        <v>2182</v>
      </c>
      <c r="M2182" s="75"/>
      <c r="N2182" s="70"/>
      <c r="O2182" s="77" t="s">
        <v>179</v>
      </c>
      <c r="P2182" s="79">
        <v>45096.805312500001</v>
      </c>
      <c r="Q2182" s="77" t="s">
        <v>2961</v>
      </c>
      <c r="R2182" s="77">
        <v>0</v>
      </c>
      <c r="S2182" s="77">
        <v>0</v>
      </c>
      <c r="T2182" s="77">
        <v>0</v>
      </c>
      <c r="U2182" s="77">
        <v>0</v>
      </c>
      <c r="V2182" s="77">
        <v>116</v>
      </c>
      <c r="W2182" s="82" t="s">
        <v>6264</v>
      </c>
      <c r="X2182" s="80" t="str">
        <f>HYPERLINK("https://www.moneytimes.com.br/suzano-suzb3-ou-klabin-klbn11-com-fator-china-bancao-sugere-uma-acao-para-comprar-e-outra-para-vender/")</f>
        <v>https://www.moneytimes.com.br/suzano-suzb3-ou-klabin-klbn11-com-fator-china-bancao-sugere-uma-acao-para-comprar-e-outra-para-vender/</v>
      </c>
      <c r="Y2182" s="77" t="s">
        <v>7053</v>
      </c>
      <c r="Z2182" s="77"/>
      <c r="AA2182" s="77"/>
      <c r="AB2182" s="77"/>
      <c r="AC2182" s="82" t="s">
        <v>8255</v>
      </c>
      <c r="AD2182" s="77" t="s">
        <v>8278</v>
      </c>
      <c r="AE2182" s="80" t="str">
        <f>HYPERLINK("https://twitter.com/leiaagrotimes/status/1670874001143463936")</f>
        <v>https://twitter.com/leiaagrotimes/status/1670874001143463936</v>
      </c>
      <c r="AF2182" s="79">
        <v>45096.805312500001</v>
      </c>
      <c r="AG2182" s="85">
        <v>45096</v>
      </c>
      <c r="AH2182" s="82" t="s">
        <v>10251</v>
      </c>
      <c r="AI2182" s="77" t="b">
        <v>0</v>
      </c>
      <c r="AJ2182" s="77"/>
      <c r="AK2182" s="77"/>
      <c r="AL2182" s="77"/>
      <c r="AM2182" s="77"/>
      <c r="AN2182" s="77"/>
      <c r="AO2182" s="77"/>
      <c r="AP2182" s="77"/>
      <c r="AQ2182" s="77"/>
      <c r="AR2182" s="77"/>
      <c r="AS2182" s="77"/>
      <c r="AT2182" s="77"/>
      <c r="AU2182" s="77"/>
      <c r="AV2182" s="80" t="str">
        <f>HYPERLINK("https://pbs.twimg.com/profile_images/1365395023072817162/ZI8fAPrO_normal.jpg")</f>
        <v>https://pbs.twimg.com/profile_images/1365395023072817162/ZI8fAPrO_normal.jpg</v>
      </c>
      <c r="AW2182" s="82" t="s">
        <v>15267</v>
      </c>
      <c r="AX2182" s="82" t="s">
        <v>15267</v>
      </c>
      <c r="AY2182" s="77"/>
      <c r="AZ2182" s="82" t="s">
        <v>17385</v>
      </c>
      <c r="BA2182" s="82" t="s">
        <v>17385</v>
      </c>
      <c r="BB2182" s="82" t="s">
        <v>17385</v>
      </c>
      <c r="BC2182" s="82" t="s">
        <v>15267</v>
      </c>
      <c r="BD2182" s="82" t="s">
        <v>17641</v>
      </c>
      <c r="BE2182" s="77"/>
      <c r="BF2182" s="77"/>
      <c r="BG2182" s="77"/>
      <c r="BH2182" s="77"/>
      <c r="BI2182" s="77"/>
    </row>
    <row r="2183" spans="1:61" x14ac:dyDescent="0.25">
      <c r="A2183" s="62" t="s">
        <v>604</v>
      </c>
      <c r="B2183" s="62" t="s">
        <v>604</v>
      </c>
      <c r="C2183" s="63"/>
      <c r="D2183" s="64"/>
      <c r="E2183" s="65"/>
      <c r="F2183" s="66"/>
      <c r="G2183" s="63"/>
      <c r="H2183" s="67"/>
      <c r="I2183" s="68"/>
      <c r="J2183" s="68"/>
      <c r="K2183" s="32"/>
      <c r="L2183" s="75">
        <v>2183</v>
      </c>
      <c r="M2183" s="75"/>
      <c r="N2183" s="70"/>
      <c r="O2183" s="77" t="s">
        <v>179</v>
      </c>
      <c r="P2183" s="79">
        <v>45071.740949074076</v>
      </c>
      <c r="Q2183" s="77" t="s">
        <v>2962</v>
      </c>
      <c r="R2183" s="77">
        <v>0</v>
      </c>
      <c r="S2183" s="77">
        <v>0</v>
      </c>
      <c r="T2183" s="77">
        <v>0</v>
      </c>
      <c r="U2183" s="77">
        <v>0</v>
      </c>
      <c r="V2183" s="77">
        <v>59</v>
      </c>
      <c r="W2183" s="82" t="s">
        <v>6259</v>
      </c>
      <c r="X2183" s="80" t="str">
        <f>HYPERLINK("https://www.moneytimes.com.br/acao-do-agronegocio-esta-perdendo-suporte-itau-recomenda-venda-a-descoberto/")</f>
        <v>https://www.moneytimes.com.br/acao-do-agronegocio-esta-perdendo-suporte-itau-recomenda-venda-a-descoberto/</v>
      </c>
      <c r="Y2183" s="77" t="s">
        <v>7053</v>
      </c>
      <c r="Z2183" s="77"/>
      <c r="AA2183" s="77"/>
      <c r="AB2183" s="77"/>
      <c r="AC2183" s="82" t="s">
        <v>8255</v>
      </c>
      <c r="AD2183" s="77" t="s">
        <v>8278</v>
      </c>
      <c r="AE2183" s="80" t="str">
        <f>HYPERLINK("https://twitter.com/leiaagrotimes/status/1661790979936976908")</f>
        <v>https://twitter.com/leiaagrotimes/status/1661790979936976908</v>
      </c>
      <c r="AF2183" s="79">
        <v>45071.740949074076</v>
      </c>
      <c r="AG2183" s="85">
        <v>45071</v>
      </c>
      <c r="AH2183" s="82" t="s">
        <v>10252</v>
      </c>
      <c r="AI2183" s="77" t="b">
        <v>0</v>
      </c>
      <c r="AJ2183" s="77"/>
      <c r="AK2183" s="77"/>
      <c r="AL2183" s="77"/>
      <c r="AM2183" s="77"/>
      <c r="AN2183" s="77"/>
      <c r="AO2183" s="77"/>
      <c r="AP2183" s="77"/>
      <c r="AQ2183" s="77"/>
      <c r="AR2183" s="77"/>
      <c r="AS2183" s="77"/>
      <c r="AT2183" s="77"/>
      <c r="AU2183" s="77"/>
      <c r="AV2183" s="80" t="str">
        <f>HYPERLINK("https://pbs.twimg.com/profile_images/1365395023072817162/ZI8fAPrO_normal.jpg")</f>
        <v>https://pbs.twimg.com/profile_images/1365395023072817162/ZI8fAPrO_normal.jpg</v>
      </c>
      <c r="AW2183" s="82" t="s">
        <v>15268</v>
      </c>
      <c r="AX2183" s="82" t="s">
        <v>15268</v>
      </c>
      <c r="AY2183" s="77"/>
      <c r="AZ2183" s="82" t="s">
        <v>17385</v>
      </c>
      <c r="BA2183" s="82" t="s">
        <v>17385</v>
      </c>
      <c r="BB2183" s="82" t="s">
        <v>17385</v>
      </c>
      <c r="BC2183" s="82" t="s">
        <v>15268</v>
      </c>
      <c r="BD2183" s="82" t="s">
        <v>17641</v>
      </c>
      <c r="BE2183" s="77"/>
      <c r="BF2183" s="77"/>
      <c r="BG2183" s="77"/>
      <c r="BH2183" s="77"/>
      <c r="BI2183" s="77"/>
    </row>
    <row r="2184" spans="1:61" x14ac:dyDescent="0.25">
      <c r="A2184" s="62" t="s">
        <v>604</v>
      </c>
      <c r="B2184" s="62" t="s">
        <v>604</v>
      </c>
      <c r="C2184" s="63"/>
      <c r="D2184" s="64"/>
      <c r="E2184" s="65"/>
      <c r="F2184" s="66"/>
      <c r="G2184" s="63"/>
      <c r="H2184" s="67"/>
      <c r="I2184" s="68"/>
      <c r="J2184" s="68"/>
      <c r="K2184" s="32"/>
      <c r="L2184" s="75">
        <v>2184</v>
      </c>
      <c r="M2184" s="75"/>
      <c r="N2184" s="70"/>
      <c r="O2184" s="77" t="s">
        <v>179</v>
      </c>
      <c r="P2184" s="79">
        <v>45070.829988425925</v>
      </c>
      <c r="Q2184" s="77" t="s">
        <v>2963</v>
      </c>
      <c r="R2184" s="77">
        <v>0</v>
      </c>
      <c r="S2184" s="77">
        <v>1</v>
      </c>
      <c r="T2184" s="77">
        <v>0</v>
      </c>
      <c r="U2184" s="77">
        <v>0</v>
      </c>
      <c r="V2184" s="77">
        <v>133</v>
      </c>
      <c r="W2184" s="82" t="s">
        <v>6256</v>
      </c>
      <c r="X2184" s="80" t="str">
        <f>HYPERLINK("https://www.moneytimes.com.br/por-que-raiz4-despenca-em-dia-de-projecoes-do-raizen-day-petr4-pode-estar-por-tras-da-queda-entenda/")</f>
        <v>https://www.moneytimes.com.br/por-que-raiz4-despenca-em-dia-de-projecoes-do-raizen-day-petr4-pode-estar-por-tras-da-queda-entenda/</v>
      </c>
      <c r="Y2184" s="77" t="s">
        <v>7053</v>
      </c>
      <c r="Z2184" s="77"/>
      <c r="AA2184" s="77"/>
      <c r="AB2184" s="77"/>
      <c r="AC2184" s="82" t="s">
        <v>8255</v>
      </c>
      <c r="AD2184" s="77" t="s">
        <v>8278</v>
      </c>
      <c r="AE2184" s="80" t="str">
        <f>HYPERLINK("https://twitter.com/leiaagrotimes/status/1661460857392447490")</f>
        <v>https://twitter.com/leiaagrotimes/status/1661460857392447490</v>
      </c>
      <c r="AF2184" s="79">
        <v>45070.829988425925</v>
      </c>
      <c r="AG2184" s="85">
        <v>45070</v>
      </c>
      <c r="AH2184" s="82" t="s">
        <v>10253</v>
      </c>
      <c r="AI2184" s="77" t="b">
        <v>0</v>
      </c>
      <c r="AJ2184" s="77"/>
      <c r="AK2184" s="77"/>
      <c r="AL2184" s="77"/>
      <c r="AM2184" s="77"/>
      <c r="AN2184" s="77"/>
      <c r="AO2184" s="77"/>
      <c r="AP2184" s="77"/>
      <c r="AQ2184" s="77"/>
      <c r="AR2184" s="77"/>
      <c r="AS2184" s="77"/>
      <c r="AT2184" s="77"/>
      <c r="AU2184" s="77"/>
      <c r="AV2184" s="80" t="str">
        <f>HYPERLINK("https://pbs.twimg.com/profile_images/1365395023072817162/ZI8fAPrO_normal.jpg")</f>
        <v>https://pbs.twimg.com/profile_images/1365395023072817162/ZI8fAPrO_normal.jpg</v>
      </c>
      <c r="AW2184" s="82" t="s">
        <v>15269</v>
      </c>
      <c r="AX2184" s="82" t="s">
        <v>15269</v>
      </c>
      <c r="AY2184" s="77"/>
      <c r="AZ2184" s="82" t="s">
        <v>17385</v>
      </c>
      <c r="BA2184" s="82" t="s">
        <v>17385</v>
      </c>
      <c r="BB2184" s="82" t="s">
        <v>17385</v>
      </c>
      <c r="BC2184" s="82" t="s">
        <v>15269</v>
      </c>
      <c r="BD2184" s="82" t="s">
        <v>17641</v>
      </c>
      <c r="BE2184" s="77"/>
      <c r="BF2184" s="77"/>
      <c r="BG2184" s="77"/>
      <c r="BH2184" s="77"/>
      <c r="BI2184" s="77"/>
    </row>
    <row r="2185" spans="1:61" x14ac:dyDescent="0.25">
      <c r="A2185" s="62" t="s">
        <v>604</v>
      </c>
      <c r="B2185" s="62" t="s">
        <v>604</v>
      </c>
      <c r="C2185" s="63"/>
      <c r="D2185" s="64"/>
      <c r="E2185" s="65"/>
      <c r="F2185" s="66"/>
      <c r="G2185" s="63"/>
      <c r="H2185" s="67"/>
      <c r="I2185" s="68"/>
      <c r="J2185" s="68"/>
      <c r="K2185" s="32"/>
      <c r="L2185" s="75">
        <v>2185</v>
      </c>
      <c r="M2185" s="75"/>
      <c r="N2185" s="70"/>
      <c r="O2185" s="77" t="s">
        <v>179</v>
      </c>
      <c r="P2185" s="79">
        <v>45043.611122685186</v>
      </c>
      <c r="Q2185" s="77" t="s">
        <v>2964</v>
      </c>
      <c r="R2185" s="77">
        <v>0</v>
      </c>
      <c r="S2185" s="77">
        <v>0</v>
      </c>
      <c r="T2185" s="77">
        <v>0</v>
      </c>
      <c r="U2185" s="77">
        <v>0</v>
      </c>
      <c r="V2185" s="77">
        <v>108</v>
      </c>
      <c r="W2185" s="82" t="s">
        <v>6253</v>
      </c>
      <c r="X2185" s="80" t="str">
        <f>HYPERLINK("https://www.moneytimes.com.br/agrogalaxy-agxy3-queda-fertilizantes-resultados-fracos-vale-investir-no-longo-prazo/")</f>
        <v>https://www.moneytimes.com.br/agrogalaxy-agxy3-queda-fertilizantes-resultados-fracos-vale-investir-no-longo-prazo/</v>
      </c>
      <c r="Y2185" s="77" t="s">
        <v>7053</v>
      </c>
      <c r="Z2185" s="77"/>
      <c r="AA2185" s="77"/>
      <c r="AB2185" s="77"/>
      <c r="AC2185" s="82" t="s">
        <v>8255</v>
      </c>
      <c r="AD2185" s="77" t="s">
        <v>8278</v>
      </c>
      <c r="AE2185" s="80" t="str">
        <f>HYPERLINK("https://twitter.com/leiaagrotimes/status/1651597071596548099")</f>
        <v>https://twitter.com/leiaagrotimes/status/1651597071596548099</v>
      </c>
      <c r="AF2185" s="79">
        <v>45043.611122685186</v>
      </c>
      <c r="AG2185" s="85">
        <v>45043</v>
      </c>
      <c r="AH2185" s="82" t="s">
        <v>10254</v>
      </c>
      <c r="AI2185" s="77" t="b">
        <v>0</v>
      </c>
      <c r="AJ2185" s="77"/>
      <c r="AK2185" s="77"/>
      <c r="AL2185" s="77"/>
      <c r="AM2185" s="77"/>
      <c r="AN2185" s="77"/>
      <c r="AO2185" s="77"/>
      <c r="AP2185" s="77"/>
      <c r="AQ2185" s="77"/>
      <c r="AR2185" s="77"/>
      <c r="AS2185" s="77"/>
      <c r="AT2185" s="77"/>
      <c r="AU2185" s="77"/>
      <c r="AV2185" s="80" t="str">
        <f>HYPERLINK("https://pbs.twimg.com/profile_images/1365395023072817162/ZI8fAPrO_normal.jpg")</f>
        <v>https://pbs.twimg.com/profile_images/1365395023072817162/ZI8fAPrO_normal.jpg</v>
      </c>
      <c r="AW2185" s="82" t="s">
        <v>15270</v>
      </c>
      <c r="AX2185" s="82" t="s">
        <v>15270</v>
      </c>
      <c r="AY2185" s="77"/>
      <c r="AZ2185" s="82" t="s">
        <v>17385</v>
      </c>
      <c r="BA2185" s="82" t="s">
        <v>17385</v>
      </c>
      <c r="BB2185" s="82" t="s">
        <v>17385</v>
      </c>
      <c r="BC2185" s="82" t="s">
        <v>15270</v>
      </c>
      <c r="BD2185" s="82" t="s">
        <v>17641</v>
      </c>
      <c r="BE2185" s="77"/>
      <c r="BF2185" s="77"/>
      <c r="BG2185" s="77"/>
      <c r="BH2185" s="77"/>
      <c r="BI2185" s="77"/>
    </row>
    <row r="2186" spans="1:61" x14ac:dyDescent="0.25">
      <c r="A2186" s="62" t="s">
        <v>604</v>
      </c>
      <c r="B2186" s="62" t="s">
        <v>604</v>
      </c>
      <c r="C2186" s="63"/>
      <c r="D2186" s="64"/>
      <c r="E2186" s="65"/>
      <c r="F2186" s="66"/>
      <c r="G2186" s="63"/>
      <c r="H2186" s="67"/>
      <c r="I2186" s="68"/>
      <c r="J2186" s="68"/>
      <c r="K2186" s="32"/>
      <c r="L2186" s="75">
        <v>2186</v>
      </c>
      <c r="M2186" s="75"/>
      <c r="N2186" s="70"/>
      <c r="O2186" s="77" t="s">
        <v>179</v>
      </c>
      <c r="P2186" s="79">
        <v>45043.574016203704</v>
      </c>
      <c r="Q2186" s="77" t="s">
        <v>2965</v>
      </c>
      <c r="R2186" s="77">
        <v>0</v>
      </c>
      <c r="S2186" s="77">
        <v>0</v>
      </c>
      <c r="T2186" s="77">
        <v>0</v>
      </c>
      <c r="U2186" s="77">
        <v>0</v>
      </c>
      <c r="V2186" s="77">
        <v>57</v>
      </c>
      <c r="W2186" s="82" t="s">
        <v>6264</v>
      </c>
      <c r="X2186" s="80" t="str">
        <f>HYPERLINK("https://www.moneytimes.com.br/sao-martinho-smto3-sobe-mais-de-3-bofa-ve-boas-perspectivas-para-acucar-e-etanol/")</f>
        <v>https://www.moneytimes.com.br/sao-martinho-smto3-sobe-mais-de-3-bofa-ve-boas-perspectivas-para-acucar-e-etanol/</v>
      </c>
      <c r="Y2186" s="77" t="s">
        <v>7053</v>
      </c>
      <c r="Z2186" s="77"/>
      <c r="AA2186" s="77"/>
      <c r="AB2186" s="77"/>
      <c r="AC2186" s="82" t="s">
        <v>8255</v>
      </c>
      <c r="AD2186" s="77" t="s">
        <v>8278</v>
      </c>
      <c r="AE2186" s="80" t="str">
        <f>HYPERLINK("https://twitter.com/leiaagrotimes/status/1651583625614245890")</f>
        <v>https://twitter.com/leiaagrotimes/status/1651583625614245890</v>
      </c>
      <c r="AF2186" s="79">
        <v>45043.574016203704</v>
      </c>
      <c r="AG2186" s="85">
        <v>45043</v>
      </c>
      <c r="AH2186" s="82" t="s">
        <v>10255</v>
      </c>
      <c r="AI2186" s="77" t="b">
        <v>0</v>
      </c>
      <c r="AJ2186" s="77"/>
      <c r="AK2186" s="77"/>
      <c r="AL2186" s="77"/>
      <c r="AM2186" s="77"/>
      <c r="AN2186" s="77"/>
      <c r="AO2186" s="77"/>
      <c r="AP2186" s="77"/>
      <c r="AQ2186" s="77"/>
      <c r="AR2186" s="77"/>
      <c r="AS2186" s="77"/>
      <c r="AT2186" s="77"/>
      <c r="AU2186" s="77"/>
      <c r="AV2186" s="80" t="str">
        <f>HYPERLINK("https://pbs.twimg.com/profile_images/1365395023072817162/ZI8fAPrO_normal.jpg")</f>
        <v>https://pbs.twimg.com/profile_images/1365395023072817162/ZI8fAPrO_normal.jpg</v>
      </c>
      <c r="AW2186" s="82" t="s">
        <v>15271</v>
      </c>
      <c r="AX2186" s="82" t="s">
        <v>15271</v>
      </c>
      <c r="AY2186" s="77"/>
      <c r="AZ2186" s="82" t="s">
        <v>17385</v>
      </c>
      <c r="BA2186" s="82" t="s">
        <v>17385</v>
      </c>
      <c r="BB2186" s="82" t="s">
        <v>17385</v>
      </c>
      <c r="BC2186" s="82" t="s">
        <v>15271</v>
      </c>
      <c r="BD2186" s="82" t="s">
        <v>17641</v>
      </c>
      <c r="BE2186" s="77"/>
      <c r="BF2186" s="77"/>
      <c r="BG2186" s="77"/>
      <c r="BH2186" s="77"/>
      <c r="BI2186" s="77"/>
    </row>
    <row r="2187" spans="1:61" x14ac:dyDescent="0.25">
      <c r="A2187" s="62" t="s">
        <v>604</v>
      </c>
      <c r="B2187" s="62" t="s">
        <v>604</v>
      </c>
      <c r="C2187" s="63"/>
      <c r="D2187" s="64"/>
      <c r="E2187" s="65"/>
      <c r="F2187" s="66"/>
      <c r="G2187" s="63"/>
      <c r="H2187" s="67"/>
      <c r="I2187" s="68"/>
      <c r="J2187" s="68"/>
      <c r="K2187" s="32"/>
      <c r="L2187" s="75">
        <v>2187</v>
      </c>
      <c r="M2187" s="75"/>
      <c r="N2187" s="70"/>
      <c r="O2187" s="77" t="s">
        <v>179</v>
      </c>
      <c r="P2187" s="79">
        <v>45160.560324074075</v>
      </c>
      <c r="Q2187" s="77" t="s">
        <v>2966</v>
      </c>
      <c r="R2187" s="77">
        <v>0</v>
      </c>
      <c r="S2187" s="77">
        <v>0</v>
      </c>
      <c r="T2187" s="77">
        <v>0</v>
      </c>
      <c r="U2187" s="77">
        <v>0</v>
      </c>
      <c r="V2187" s="77">
        <v>80</v>
      </c>
      <c r="W2187" s="82" t="s">
        <v>6259</v>
      </c>
      <c r="X2187" s="80" t="str">
        <f>HYPERLINK("https://www.moneytimes.com.br/m-dias-branco-mdia3-cita-recorde-desde-ipo-e-aponta-2-motivos-para-apostar-na-tese/")</f>
        <v>https://www.moneytimes.com.br/m-dias-branco-mdia3-cita-recorde-desde-ipo-e-aponta-2-motivos-para-apostar-na-tese/</v>
      </c>
      <c r="Y2187" s="77" t="s">
        <v>7053</v>
      </c>
      <c r="Z2187" s="77"/>
      <c r="AA2187" s="77"/>
      <c r="AB2187" s="77"/>
      <c r="AC2187" s="82" t="s">
        <v>8255</v>
      </c>
      <c r="AD2187" s="77" t="s">
        <v>8278</v>
      </c>
      <c r="AE2187" s="80" t="str">
        <f>HYPERLINK("https://twitter.com/leiaagrotimes/status/1693978042232685028")</f>
        <v>https://twitter.com/leiaagrotimes/status/1693978042232685028</v>
      </c>
      <c r="AF2187" s="79">
        <v>45160.560324074075</v>
      </c>
      <c r="AG2187" s="85">
        <v>45160</v>
      </c>
      <c r="AH2187" s="82" t="s">
        <v>10256</v>
      </c>
      <c r="AI2187" s="77" t="b">
        <v>0</v>
      </c>
      <c r="AJ2187" s="77"/>
      <c r="AK2187" s="77"/>
      <c r="AL2187" s="77"/>
      <c r="AM2187" s="77"/>
      <c r="AN2187" s="77"/>
      <c r="AO2187" s="77"/>
      <c r="AP2187" s="77"/>
      <c r="AQ2187" s="77"/>
      <c r="AR2187" s="77"/>
      <c r="AS2187" s="77"/>
      <c r="AT2187" s="77"/>
      <c r="AU2187" s="77"/>
      <c r="AV2187" s="80" t="str">
        <f>HYPERLINK("https://pbs.twimg.com/profile_images/1365395023072817162/ZI8fAPrO_normal.jpg")</f>
        <v>https://pbs.twimg.com/profile_images/1365395023072817162/ZI8fAPrO_normal.jpg</v>
      </c>
      <c r="AW2187" s="82" t="s">
        <v>15272</v>
      </c>
      <c r="AX2187" s="82" t="s">
        <v>15272</v>
      </c>
      <c r="AY2187" s="77"/>
      <c r="AZ2187" s="82" t="s">
        <v>17385</v>
      </c>
      <c r="BA2187" s="82" t="s">
        <v>17385</v>
      </c>
      <c r="BB2187" s="82" t="s">
        <v>17385</v>
      </c>
      <c r="BC2187" s="82" t="s">
        <v>15272</v>
      </c>
      <c r="BD2187" s="82" t="s">
        <v>17641</v>
      </c>
      <c r="BE2187" s="77"/>
      <c r="BF2187" s="77"/>
      <c r="BG2187" s="77"/>
      <c r="BH2187" s="77"/>
      <c r="BI2187" s="77"/>
    </row>
    <row r="2188" spans="1:61" x14ac:dyDescent="0.25">
      <c r="A2188" s="62" t="s">
        <v>604</v>
      </c>
      <c r="B2188" s="62" t="s">
        <v>604</v>
      </c>
      <c r="C2188" s="63"/>
      <c r="D2188" s="64"/>
      <c r="E2188" s="65"/>
      <c r="F2188" s="66"/>
      <c r="G2188" s="63"/>
      <c r="H2188" s="67"/>
      <c r="I2188" s="68"/>
      <c r="J2188" s="68"/>
      <c r="K2188" s="32"/>
      <c r="L2188" s="75">
        <v>2188</v>
      </c>
      <c r="M2188" s="75"/>
      <c r="N2188" s="70"/>
      <c r="O2188" s="77" t="s">
        <v>179</v>
      </c>
      <c r="P2188" s="79">
        <v>45159.804583333331</v>
      </c>
      <c r="Q2188" s="77" t="s">
        <v>2967</v>
      </c>
      <c r="R2188" s="77">
        <v>0</v>
      </c>
      <c r="S2188" s="77">
        <v>1</v>
      </c>
      <c r="T2188" s="77">
        <v>0</v>
      </c>
      <c r="U2188" s="77">
        <v>0</v>
      </c>
      <c r="V2188" s="77">
        <v>78</v>
      </c>
      <c r="W2188" s="82" t="s">
        <v>6258</v>
      </c>
      <c r="X2188" s="80" t="str">
        <f>HYPERLINK("https://www.moneytimes.com.br/jbs-jbss3-apos-tempestade-perfeita-no-1s23-xp-corta-estimativas-e-preco-alvo-ainda-e-compra/")</f>
        <v>https://www.moneytimes.com.br/jbs-jbss3-apos-tempestade-perfeita-no-1s23-xp-corta-estimativas-e-preco-alvo-ainda-e-compra/</v>
      </c>
      <c r="Y2188" s="77" t="s">
        <v>7053</v>
      </c>
      <c r="Z2188" s="77"/>
      <c r="AA2188" s="77"/>
      <c r="AB2188" s="77"/>
      <c r="AC2188" s="82" t="s">
        <v>8255</v>
      </c>
      <c r="AD2188" s="77" t="s">
        <v>8278</v>
      </c>
      <c r="AE2188" s="80" t="str">
        <f>HYPERLINK("https://twitter.com/leiaagrotimes/status/1693704171378073931")</f>
        <v>https://twitter.com/leiaagrotimes/status/1693704171378073931</v>
      </c>
      <c r="AF2188" s="79">
        <v>45159.804583333331</v>
      </c>
      <c r="AG2188" s="85">
        <v>45159</v>
      </c>
      <c r="AH2188" s="82" t="s">
        <v>10257</v>
      </c>
      <c r="AI2188" s="77" t="b">
        <v>0</v>
      </c>
      <c r="AJ2188" s="77"/>
      <c r="AK2188" s="77"/>
      <c r="AL2188" s="77"/>
      <c r="AM2188" s="77"/>
      <c r="AN2188" s="77"/>
      <c r="AO2188" s="77"/>
      <c r="AP2188" s="77"/>
      <c r="AQ2188" s="77"/>
      <c r="AR2188" s="77"/>
      <c r="AS2188" s="77"/>
      <c r="AT2188" s="77"/>
      <c r="AU2188" s="77"/>
      <c r="AV2188" s="80" t="str">
        <f>HYPERLINK("https://pbs.twimg.com/profile_images/1365395023072817162/ZI8fAPrO_normal.jpg")</f>
        <v>https://pbs.twimg.com/profile_images/1365395023072817162/ZI8fAPrO_normal.jpg</v>
      </c>
      <c r="AW2188" s="82" t="s">
        <v>15273</v>
      </c>
      <c r="AX2188" s="82" t="s">
        <v>15273</v>
      </c>
      <c r="AY2188" s="77"/>
      <c r="AZ2188" s="82" t="s">
        <v>17385</v>
      </c>
      <c r="BA2188" s="82" t="s">
        <v>17385</v>
      </c>
      <c r="BB2188" s="82" t="s">
        <v>17385</v>
      </c>
      <c r="BC2188" s="82" t="s">
        <v>15273</v>
      </c>
      <c r="BD2188" s="82" t="s">
        <v>17641</v>
      </c>
      <c r="BE2188" s="77"/>
      <c r="BF2188" s="77"/>
      <c r="BG2188" s="77"/>
      <c r="BH2188" s="77"/>
      <c r="BI2188" s="77"/>
    </row>
    <row r="2189" spans="1:61" x14ac:dyDescent="0.25">
      <c r="A2189" s="62" t="s">
        <v>604</v>
      </c>
      <c r="B2189" s="62" t="s">
        <v>604</v>
      </c>
      <c r="C2189" s="63"/>
      <c r="D2189" s="64"/>
      <c r="E2189" s="65"/>
      <c r="F2189" s="66"/>
      <c r="G2189" s="63"/>
      <c r="H2189" s="67"/>
      <c r="I2189" s="68"/>
      <c r="J2189" s="68"/>
      <c r="K2189" s="32"/>
      <c r="L2189" s="75">
        <v>2189</v>
      </c>
      <c r="M2189" s="75"/>
      <c r="N2189" s="70"/>
      <c r="O2189" s="77" t="s">
        <v>179</v>
      </c>
      <c r="P2189" s="79">
        <v>45159.59170138889</v>
      </c>
      <c r="Q2189" s="77" t="s">
        <v>2968</v>
      </c>
      <c r="R2189" s="77">
        <v>0</v>
      </c>
      <c r="S2189" s="77">
        <v>0</v>
      </c>
      <c r="T2189" s="77">
        <v>0</v>
      </c>
      <c r="U2189" s="77">
        <v>0</v>
      </c>
      <c r="V2189" s="77">
        <v>84</v>
      </c>
      <c r="W2189" s="82" t="s">
        <v>6265</v>
      </c>
      <c r="X2189" s="80" t="str">
        <f>HYPERLINK("https://www.moneytimes.com.br/raizen-raiz4-e-a-primeira-empresa-no-mundo-a-receber-certificacao-internacional-para-producao-de-saf/")</f>
        <v>https://www.moneytimes.com.br/raizen-raiz4-e-a-primeira-empresa-no-mundo-a-receber-certificacao-internacional-para-producao-de-saf/</v>
      </c>
      <c r="Y2189" s="77" t="s">
        <v>7053</v>
      </c>
      <c r="Z2189" s="77"/>
      <c r="AA2189" s="77"/>
      <c r="AB2189" s="77"/>
      <c r="AC2189" s="82" t="s">
        <v>8255</v>
      </c>
      <c r="AD2189" s="77" t="s">
        <v>8278</v>
      </c>
      <c r="AE2189" s="80" t="str">
        <f>HYPERLINK("https://twitter.com/leiaagrotimes/status/1693627025121001957")</f>
        <v>https://twitter.com/leiaagrotimes/status/1693627025121001957</v>
      </c>
      <c r="AF2189" s="79">
        <v>45159.59170138889</v>
      </c>
      <c r="AG2189" s="85">
        <v>45159</v>
      </c>
      <c r="AH2189" s="82" t="s">
        <v>10258</v>
      </c>
      <c r="AI2189" s="77" t="b">
        <v>0</v>
      </c>
      <c r="AJ2189" s="77"/>
      <c r="AK2189" s="77"/>
      <c r="AL2189" s="77"/>
      <c r="AM2189" s="77"/>
      <c r="AN2189" s="77"/>
      <c r="AO2189" s="77"/>
      <c r="AP2189" s="77"/>
      <c r="AQ2189" s="77"/>
      <c r="AR2189" s="77"/>
      <c r="AS2189" s="77"/>
      <c r="AT2189" s="77"/>
      <c r="AU2189" s="77"/>
      <c r="AV2189" s="80" t="str">
        <f>HYPERLINK("https://pbs.twimg.com/profile_images/1365395023072817162/ZI8fAPrO_normal.jpg")</f>
        <v>https://pbs.twimg.com/profile_images/1365395023072817162/ZI8fAPrO_normal.jpg</v>
      </c>
      <c r="AW2189" s="82" t="s">
        <v>15274</v>
      </c>
      <c r="AX2189" s="82" t="s">
        <v>15274</v>
      </c>
      <c r="AY2189" s="77"/>
      <c r="AZ2189" s="82" t="s">
        <v>17385</v>
      </c>
      <c r="BA2189" s="82" t="s">
        <v>17385</v>
      </c>
      <c r="BB2189" s="82" t="s">
        <v>17385</v>
      </c>
      <c r="BC2189" s="82" t="s">
        <v>15274</v>
      </c>
      <c r="BD2189" s="82" t="s">
        <v>17641</v>
      </c>
      <c r="BE2189" s="77"/>
      <c r="BF2189" s="77"/>
      <c r="BG2189" s="77"/>
      <c r="BH2189" s="77"/>
      <c r="BI2189" s="77"/>
    </row>
    <row r="2190" spans="1:61" x14ac:dyDescent="0.25">
      <c r="A2190" s="62" t="s">
        <v>604</v>
      </c>
      <c r="B2190" s="62" t="s">
        <v>604</v>
      </c>
      <c r="C2190" s="63"/>
      <c r="D2190" s="64"/>
      <c r="E2190" s="65"/>
      <c r="F2190" s="66"/>
      <c r="G2190" s="63"/>
      <c r="H2190" s="67"/>
      <c r="I2190" s="68"/>
      <c r="J2190" s="68"/>
      <c r="K2190" s="32"/>
      <c r="L2190" s="75">
        <v>2190</v>
      </c>
      <c r="M2190" s="75"/>
      <c r="N2190" s="70"/>
      <c r="O2190" s="77" t="s">
        <v>179</v>
      </c>
      <c r="P2190" s="79">
        <v>45159.566319444442</v>
      </c>
      <c r="Q2190" s="77" t="s">
        <v>2969</v>
      </c>
      <c r="R2190" s="77">
        <v>0</v>
      </c>
      <c r="S2190" s="77">
        <v>0</v>
      </c>
      <c r="T2190" s="77">
        <v>0</v>
      </c>
      <c r="U2190" s="77">
        <v>0</v>
      </c>
      <c r="V2190" s="77">
        <v>78</v>
      </c>
      <c r="W2190" s="82" t="s">
        <v>6266</v>
      </c>
      <c r="X2190" s="80" t="str">
        <f>HYPERLINK("https://www.moneytimes.com.br/megatendencias-europa-e-asia-os-pontos-de-otimismo-e-atencao-para-suzano-suzb3/")</f>
        <v>https://www.moneytimes.com.br/megatendencias-europa-e-asia-os-pontos-de-otimismo-e-atencao-para-suzano-suzb3/</v>
      </c>
      <c r="Y2190" s="77" t="s">
        <v>7053</v>
      </c>
      <c r="Z2190" s="77"/>
      <c r="AA2190" s="77"/>
      <c r="AB2190" s="77"/>
      <c r="AC2190" s="82" t="s">
        <v>8255</v>
      </c>
      <c r="AD2190" s="77" t="s">
        <v>8278</v>
      </c>
      <c r="AE2190" s="80" t="str">
        <f>HYPERLINK("https://twitter.com/leiaagrotimes/status/1693617826706178097")</f>
        <v>https://twitter.com/leiaagrotimes/status/1693617826706178097</v>
      </c>
      <c r="AF2190" s="79">
        <v>45159.566319444442</v>
      </c>
      <c r="AG2190" s="85">
        <v>45159</v>
      </c>
      <c r="AH2190" s="82" t="s">
        <v>10259</v>
      </c>
      <c r="AI2190" s="77" t="b">
        <v>0</v>
      </c>
      <c r="AJ2190" s="77"/>
      <c r="AK2190" s="77"/>
      <c r="AL2190" s="77"/>
      <c r="AM2190" s="77"/>
      <c r="AN2190" s="77"/>
      <c r="AO2190" s="77"/>
      <c r="AP2190" s="77"/>
      <c r="AQ2190" s="77"/>
      <c r="AR2190" s="77"/>
      <c r="AS2190" s="77"/>
      <c r="AT2190" s="77"/>
      <c r="AU2190" s="77"/>
      <c r="AV2190" s="80" t="str">
        <f>HYPERLINK("https://pbs.twimg.com/profile_images/1365395023072817162/ZI8fAPrO_normal.jpg")</f>
        <v>https://pbs.twimg.com/profile_images/1365395023072817162/ZI8fAPrO_normal.jpg</v>
      </c>
      <c r="AW2190" s="82" t="s">
        <v>15275</v>
      </c>
      <c r="AX2190" s="82" t="s">
        <v>15275</v>
      </c>
      <c r="AY2190" s="77"/>
      <c r="AZ2190" s="82" t="s">
        <v>17385</v>
      </c>
      <c r="BA2190" s="82" t="s">
        <v>17385</v>
      </c>
      <c r="BB2190" s="82" t="s">
        <v>17385</v>
      </c>
      <c r="BC2190" s="82" t="s">
        <v>15275</v>
      </c>
      <c r="BD2190" s="82" t="s">
        <v>17641</v>
      </c>
      <c r="BE2190" s="77"/>
      <c r="BF2190" s="77"/>
      <c r="BG2190" s="77"/>
      <c r="BH2190" s="77"/>
      <c r="BI2190" s="77"/>
    </row>
    <row r="2191" spans="1:61" x14ac:dyDescent="0.25">
      <c r="A2191" s="62" t="s">
        <v>604</v>
      </c>
      <c r="B2191" s="62" t="s">
        <v>604</v>
      </c>
      <c r="C2191" s="63"/>
      <c r="D2191" s="64"/>
      <c r="E2191" s="65"/>
      <c r="F2191" s="66"/>
      <c r="G2191" s="63"/>
      <c r="H2191" s="67"/>
      <c r="I2191" s="68"/>
      <c r="J2191" s="68"/>
      <c r="K2191" s="32"/>
      <c r="L2191" s="75">
        <v>2191</v>
      </c>
      <c r="M2191" s="75"/>
      <c r="N2191" s="70"/>
      <c r="O2191" s="77" t="s">
        <v>179</v>
      </c>
      <c r="P2191" s="79">
        <v>45153.741666666669</v>
      </c>
      <c r="Q2191" s="77" t="s">
        <v>2970</v>
      </c>
      <c r="R2191" s="77">
        <v>0</v>
      </c>
      <c r="S2191" s="77">
        <v>1</v>
      </c>
      <c r="T2191" s="77">
        <v>0</v>
      </c>
      <c r="U2191" s="77">
        <v>0</v>
      </c>
      <c r="V2191" s="77">
        <v>77</v>
      </c>
      <c r="W2191" s="82" t="s">
        <v>6267</v>
      </c>
      <c r="X2191" s="80" t="str">
        <f>HYPERLINK("https://www.moneytimes.com.br/raizen-raiz4-deve-superar-fiasco-do-etanol-desconto-nas-acoes-supera-50/")</f>
        <v>https://www.moneytimes.com.br/raizen-raiz4-deve-superar-fiasco-do-etanol-desconto-nas-acoes-supera-50/</v>
      </c>
      <c r="Y2191" s="77" t="s">
        <v>7053</v>
      </c>
      <c r="Z2191" s="77"/>
      <c r="AA2191" s="77"/>
      <c r="AB2191" s="77"/>
      <c r="AC2191" s="82" t="s">
        <v>8255</v>
      </c>
      <c r="AD2191" s="77" t="s">
        <v>8278</v>
      </c>
      <c r="AE2191" s="80" t="str">
        <f>HYPERLINK("https://twitter.com/leiaagrotimes/status/1691507041720737803")</f>
        <v>https://twitter.com/leiaagrotimes/status/1691507041720737803</v>
      </c>
      <c r="AF2191" s="79">
        <v>45153.741666666669</v>
      </c>
      <c r="AG2191" s="85">
        <v>45153</v>
      </c>
      <c r="AH2191" s="82" t="s">
        <v>10260</v>
      </c>
      <c r="AI2191" s="77" t="b">
        <v>0</v>
      </c>
      <c r="AJ2191" s="77"/>
      <c r="AK2191" s="77"/>
      <c r="AL2191" s="77"/>
      <c r="AM2191" s="77"/>
      <c r="AN2191" s="77"/>
      <c r="AO2191" s="77"/>
      <c r="AP2191" s="77"/>
      <c r="AQ2191" s="77"/>
      <c r="AR2191" s="77"/>
      <c r="AS2191" s="77"/>
      <c r="AT2191" s="77"/>
      <c r="AU2191" s="77"/>
      <c r="AV2191" s="80" t="str">
        <f>HYPERLINK("https://pbs.twimg.com/profile_images/1365395023072817162/ZI8fAPrO_normal.jpg")</f>
        <v>https://pbs.twimg.com/profile_images/1365395023072817162/ZI8fAPrO_normal.jpg</v>
      </c>
      <c r="AW2191" s="82" t="s">
        <v>15276</v>
      </c>
      <c r="AX2191" s="82" t="s">
        <v>15276</v>
      </c>
      <c r="AY2191" s="77"/>
      <c r="AZ2191" s="82" t="s">
        <v>17385</v>
      </c>
      <c r="BA2191" s="82" t="s">
        <v>17385</v>
      </c>
      <c r="BB2191" s="82" t="s">
        <v>17385</v>
      </c>
      <c r="BC2191" s="82" t="s">
        <v>15276</v>
      </c>
      <c r="BD2191" s="82" t="s">
        <v>17641</v>
      </c>
      <c r="BE2191" s="77"/>
      <c r="BF2191" s="77"/>
      <c r="BG2191" s="77"/>
      <c r="BH2191" s="77"/>
      <c r="BI2191" s="77"/>
    </row>
    <row r="2192" spans="1:61" x14ac:dyDescent="0.25">
      <c r="A2192" s="62" t="s">
        <v>604</v>
      </c>
      <c r="B2192" s="62" t="s">
        <v>604</v>
      </c>
      <c r="C2192" s="63"/>
      <c r="D2192" s="64"/>
      <c r="E2192" s="65"/>
      <c r="F2192" s="66"/>
      <c r="G2192" s="63"/>
      <c r="H2192" s="67"/>
      <c r="I2192" s="68"/>
      <c r="J2192" s="68"/>
      <c r="K2192" s="32"/>
      <c r="L2192" s="75">
        <v>2192</v>
      </c>
      <c r="M2192" s="75"/>
      <c r="N2192" s="70"/>
      <c r="O2192" s="77" t="s">
        <v>179</v>
      </c>
      <c r="P2192" s="79">
        <v>45153.681585648148</v>
      </c>
      <c r="Q2192" s="77" t="s">
        <v>2971</v>
      </c>
      <c r="R2192" s="77">
        <v>0</v>
      </c>
      <c r="S2192" s="77">
        <v>0</v>
      </c>
      <c r="T2192" s="77">
        <v>0</v>
      </c>
      <c r="U2192" s="77">
        <v>0</v>
      </c>
      <c r="V2192" s="77">
        <v>53</v>
      </c>
      <c r="W2192" s="82" t="s">
        <v>6255</v>
      </c>
      <c r="X2192" s="80" t="str">
        <f>HYPERLINK("https://www.moneytimes.com.br/brf-brfs3-acoes-saltam-apos-prejuizo-bilionario-no-2t23-o-que-explica-a-alta/")</f>
        <v>https://www.moneytimes.com.br/brf-brfs3-acoes-saltam-apos-prejuizo-bilionario-no-2t23-o-que-explica-a-alta/</v>
      </c>
      <c r="Y2192" s="77" t="s">
        <v>7053</v>
      </c>
      <c r="Z2192" s="77"/>
      <c r="AA2192" s="77"/>
      <c r="AB2192" s="77"/>
      <c r="AC2192" s="82" t="s">
        <v>8255</v>
      </c>
      <c r="AD2192" s="77" t="s">
        <v>8278</v>
      </c>
      <c r="AE2192" s="80" t="str">
        <f>HYPERLINK("https://twitter.com/leiaagrotimes/status/1691485270007328771")</f>
        <v>https://twitter.com/leiaagrotimes/status/1691485270007328771</v>
      </c>
      <c r="AF2192" s="79">
        <v>45153.681585648148</v>
      </c>
      <c r="AG2192" s="85">
        <v>45153</v>
      </c>
      <c r="AH2192" s="82" t="s">
        <v>10261</v>
      </c>
      <c r="AI2192" s="77" t="b">
        <v>0</v>
      </c>
      <c r="AJ2192" s="77"/>
      <c r="AK2192" s="77"/>
      <c r="AL2192" s="77"/>
      <c r="AM2192" s="77"/>
      <c r="AN2192" s="77"/>
      <c r="AO2192" s="77"/>
      <c r="AP2192" s="77"/>
      <c r="AQ2192" s="77"/>
      <c r="AR2192" s="77"/>
      <c r="AS2192" s="77"/>
      <c r="AT2192" s="77"/>
      <c r="AU2192" s="77"/>
      <c r="AV2192" s="80" t="str">
        <f>HYPERLINK("https://pbs.twimg.com/profile_images/1365395023072817162/ZI8fAPrO_normal.jpg")</f>
        <v>https://pbs.twimg.com/profile_images/1365395023072817162/ZI8fAPrO_normal.jpg</v>
      </c>
      <c r="AW2192" s="82" t="s">
        <v>15277</v>
      </c>
      <c r="AX2192" s="82" t="s">
        <v>15277</v>
      </c>
      <c r="AY2192" s="77"/>
      <c r="AZ2192" s="82" t="s">
        <v>17385</v>
      </c>
      <c r="BA2192" s="82" t="s">
        <v>17385</v>
      </c>
      <c r="BB2192" s="82" t="s">
        <v>17385</v>
      </c>
      <c r="BC2192" s="82" t="s">
        <v>15277</v>
      </c>
      <c r="BD2192" s="82" t="s">
        <v>17641</v>
      </c>
      <c r="BE2192" s="77"/>
      <c r="BF2192" s="77"/>
      <c r="BG2192" s="77"/>
      <c r="BH2192" s="77"/>
      <c r="BI2192" s="77"/>
    </row>
    <row r="2193" spans="1:61" x14ac:dyDescent="0.25">
      <c r="A2193" s="62" t="s">
        <v>604</v>
      </c>
      <c r="B2193" s="62" t="s">
        <v>604</v>
      </c>
      <c r="C2193" s="63"/>
      <c r="D2193" s="64"/>
      <c r="E2193" s="65"/>
      <c r="F2193" s="66"/>
      <c r="G2193" s="63"/>
      <c r="H2193" s="67"/>
      <c r="I2193" s="68"/>
      <c r="J2193" s="68"/>
      <c r="K2193" s="32"/>
      <c r="L2193" s="75">
        <v>2193</v>
      </c>
      <c r="M2193" s="75"/>
      <c r="N2193" s="70"/>
      <c r="O2193" s="77" t="s">
        <v>179</v>
      </c>
      <c r="P2193" s="79">
        <v>45153.631296296298</v>
      </c>
      <c r="Q2193" s="77" t="s">
        <v>2972</v>
      </c>
      <c r="R2193" s="77">
        <v>0</v>
      </c>
      <c r="S2193" s="77">
        <v>1</v>
      </c>
      <c r="T2193" s="77">
        <v>0</v>
      </c>
      <c r="U2193" s="77">
        <v>0</v>
      </c>
      <c r="V2193" s="77">
        <v>148</v>
      </c>
      <c r="W2193" s="82" t="s">
        <v>6255</v>
      </c>
      <c r="X2193" s="80" t="str">
        <f>HYPERLINK("https://www.moneytimes.com.br/cosan-csan3-para-analistas-raizen-raiz4-dita-ritmo-do-2t23-o-que-fazer-com-as-acoes/")</f>
        <v>https://www.moneytimes.com.br/cosan-csan3-para-analistas-raizen-raiz4-dita-ritmo-do-2t23-o-que-fazer-com-as-acoes/</v>
      </c>
      <c r="Y2193" s="77" t="s">
        <v>7053</v>
      </c>
      <c r="Z2193" s="77"/>
      <c r="AA2193" s="77"/>
      <c r="AB2193" s="77"/>
      <c r="AC2193" s="82" t="s">
        <v>8255</v>
      </c>
      <c r="AD2193" s="77" t="s">
        <v>8278</v>
      </c>
      <c r="AE2193" s="80" t="str">
        <f>HYPERLINK("https://twitter.com/leiaagrotimes/status/1691467047295717377")</f>
        <v>https://twitter.com/leiaagrotimes/status/1691467047295717377</v>
      </c>
      <c r="AF2193" s="79">
        <v>45153.631296296298</v>
      </c>
      <c r="AG2193" s="85">
        <v>45153</v>
      </c>
      <c r="AH2193" s="82" t="s">
        <v>10262</v>
      </c>
      <c r="AI2193" s="77" t="b">
        <v>0</v>
      </c>
      <c r="AJ2193" s="77"/>
      <c r="AK2193" s="77"/>
      <c r="AL2193" s="77"/>
      <c r="AM2193" s="77"/>
      <c r="AN2193" s="77"/>
      <c r="AO2193" s="77"/>
      <c r="AP2193" s="77"/>
      <c r="AQ2193" s="77"/>
      <c r="AR2193" s="77"/>
      <c r="AS2193" s="77"/>
      <c r="AT2193" s="77"/>
      <c r="AU2193" s="77"/>
      <c r="AV2193" s="80" t="str">
        <f>HYPERLINK("https://pbs.twimg.com/profile_images/1365395023072817162/ZI8fAPrO_normal.jpg")</f>
        <v>https://pbs.twimg.com/profile_images/1365395023072817162/ZI8fAPrO_normal.jpg</v>
      </c>
      <c r="AW2193" s="82" t="s">
        <v>15278</v>
      </c>
      <c r="AX2193" s="82" t="s">
        <v>15278</v>
      </c>
      <c r="AY2193" s="77"/>
      <c r="AZ2193" s="82" t="s">
        <v>17385</v>
      </c>
      <c r="BA2193" s="82" t="s">
        <v>17385</v>
      </c>
      <c r="BB2193" s="82" t="s">
        <v>17385</v>
      </c>
      <c r="BC2193" s="82" t="s">
        <v>15278</v>
      </c>
      <c r="BD2193" s="82" t="s">
        <v>17641</v>
      </c>
      <c r="BE2193" s="77"/>
      <c r="BF2193" s="77"/>
      <c r="BG2193" s="77"/>
      <c r="BH2193" s="77"/>
      <c r="BI2193" s="77"/>
    </row>
    <row r="2194" spans="1:61" x14ac:dyDescent="0.25">
      <c r="A2194" s="62" t="s">
        <v>604</v>
      </c>
      <c r="B2194" s="62" t="s">
        <v>604</v>
      </c>
      <c r="C2194" s="63"/>
      <c r="D2194" s="64"/>
      <c r="E2194" s="65"/>
      <c r="F2194" s="66"/>
      <c r="G2194" s="63"/>
      <c r="H2194" s="67"/>
      <c r="I2194" s="68"/>
      <c r="J2194" s="68"/>
      <c r="K2194" s="32"/>
      <c r="L2194" s="75">
        <v>2194</v>
      </c>
      <c r="M2194" s="75"/>
      <c r="N2194" s="70"/>
      <c r="O2194" s="77" t="s">
        <v>179</v>
      </c>
      <c r="P2194" s="79">
        <v>45153.629363425927</v>
      </c>
      <c r="Q2194" s="77" t="s">
        <v>2973</v>
      </c>
      <c r="R2194" s="77">
        <v>0</v>
      </c>
      <c r="S2194" s="77">
        <v>1</v>
      </c>
      <c r="T2194" s="77">
        <v>0</v>
      </c>
      <c r="U2194" s="77">
        <v>0</v>
      </c>
      <c r="V2194" s="77">
        <v>116</v>
      </c>
      <c r="W2194" s="82" t="s">
        <v>6255</v>
      </c>
      <c r="X2194" s="80" t="str">
        <f>HYPERLINK("https://www.moneytimes.com.br/marfrig-mrfg3-tem-resultados-fracos-ja-esperados-no-2t23-vale-investir-agora/")</f>
        <v>https://www.moneytimes.com.br/marfrig-mrfg3-tem-resultados-fracos-ja-esperados-no-2t23-vale-investir-agora/</v>
      </c>
      <c r="Y2194" s="77" t="s">
        <v>7053</v>
      </c>
      <c r="Z2194" s="77"/>
      <c r="AA2194" s="77"/>
      <c r="AB2194" s="77"/>
      <c r="AC2194" s="82" t="s">
        <v>8255</v>
      </c>
      <c r="AD2194" s="77" t="s">
        <v>8278</v>
      </c>
      <c r="AE2194" s="80" t="str">
        <f>HYPERLINK("https://twitter.com/leiaagrotimes/status/1691466346960412673")</f>
        <v>https://twitter.com/leiaagrotimes/status/1691466346960412673</v>
      </c>
      <c r="AF2194" s="79">
        <v>45153.629363425927</v>
      </c>
      <c r="AG2194" s="85">
        <v>45153</v>
      </c>
      <c r="AH2194" s="82" t="s">
        <v>10263</v>
      </c>
      <c r="AI2194" s="77" t="b">
        <v>0</v>
      </c>
      <c r="AJ2194" s="77"/>
      <c r="AK2194" s="77"/>
      <c r="AL2194" s="77"/>
      <c r="AM2194" s="77"/>
      <c r="AN2194" s="77"/>
      <c r="AO2194" s="77"/>
      <c r="AP2194" s="77"/>
      <c r="AQ2194" s="77"/>
      <c r="AR2194" s="77"/>
      <c r="AS2194" s="77"/>
      <c r="AT2194" s="77"/>
      <c r="AU2194" s="77"/>
      <c r="AV2194" s="80" t="str">
        <f>HYPERLINK("https://pbs.twimg.com/profile_images/1365395023072817162/ZI8fAPrO_normal.jpg")</f>
        <v>https://pbs.twimg.com/profile_images/1365395023072817162/ZI8fAPrO_normal.jpg</v>
      </c>
      <c r="AW2194" s="82" t="s">
        <v>15279</v>
      </c>
      <c r="AX2194" s="82" t="s">
        <v>15279</v>
      </c>
      <c r="AY2194" s="77"/>
      <c r="AZ2194" s="82" t="s">
        <v>17385</v>
      </c>
      <c r="BA2194" s="82" t="s">
        <v>17385</v>
      </c>
      <c r="BB2194" s="82" t="s">
        <v>17385</v>
      </c>
      <c r="BC2194" s="82" t="s">
        <v>15279</v>
      </c>
      <c r="BD2194" s="82" t="s">
        <v>17641</v>
      </c>
      <c r="BE2194" s="77"/>
      <c r="BF2194" s="77"/>
      <c r="BG2194" s="77"/>
      <c r="BH2194" s="77"/>
      <c r="BI2194" s="77"/>
    </row>
    <row r="2195" spans="1:61" x14ac:dyDescent="0.25">
      <c r="A2195" s="62" t="s">
        <v>604</v>
      </c>
      <c r="B2195" s="62" t="s">
        <v>604</v>
      </c>
      <c r="C2195" s="63"/>
      <c r="D2195" s="64"/>
      <c r="E2195" s="65"/>
      <c r="F2195" s="66"/>
      <c r="G2195" s="63"/>
      <c r="H2195" s="67"/>
      <c r="I2195" s="68"/>
      <c r="J2195" s="68"/>
      <c r="K2195" s="32"/>
      <c r="L2195" s="75">
        <v>2195</v>
      </c>
      <c r="M2195" s="75"/>
      <c r="N2195" s="70"/>
      <c r="O2195" s="77" t="s">
        <v>179</v>
      </c>
      <c r="P2195" s="79">
        <v>45153.496701388889</v>
      </c>
      <c r="Q2195" s="77" t="s">
        <v>2974</v>
      </c>
      <c r="R2195" s="77">
        <v>0</v>
      </c>
      <c r="S2195" s="77">
        <v>1</v>
      </c>
      <c r="T2195" s="77">
        <v>0</v>
      </c>
      <c r="U2195" s="77">
        <v>0</v>
      </c>
      <c r="V2195" s="77">
        <v>92</v>
      </c>
      <c r="W2195" s="82" t="s">
        <v>6255</v>
      </c>
      <c r="X2195" s="80" t="str">
        <f>HYPERLINK("https://www.moneytimes.com.br/marfrig-mrfg3-registra-prejuizo-de-r-784-milhoes-no-2t23-entenda-motivos/")</f>
        <v>https://www.moneytimes.com.br/marfrig-mrfg3-registra-prejuizo-de-r-784-milhoes-no-2t23-entenda-motivos/</v>
      </c>
      <c r="Y2195" s="77" t="s">
        <v>7053</v>
      </c>
      <c r="Z2195" s="77"/>
      <c r="AA2195" s="77"/>
      <c r="AB2195" s="77"/>
      <c r="AC2195" s="82" t="s">
        <v>8255</v>
      </c>
      <c r="AD2195" s="77" t="s">
        <v>8278</v>
      </c>
      <c r="AE2195" s="80" t="str">
        <f>HYPERLINK("https://twitter.com/leiaagrotimes/status/1691418269754744832")</f>
        <v>https://twitter.com/leiaagrotimes/status/1691418269754744832</v>
      </c>
      <c r="AF2195" s="79">
        <v>45153.496701388889</v>
      </c>
      <c r="AG2195" s="85">
        <v>45153</v>
      </c>
      <c r="AH2195" s="82" t="s">
        <v>10264</v>
      </c>
      <c r="AI2195" s="77" t="b">
        <v>0</v>
      </c>
      <c r="AJ2195" s="77"/>
      <c r="AK2195" s="77"/>
      <c r="AL2195" s="77"/>
      <c r="AM2195" s="77"/>
      <c r="AN2195" s="77"/>
      <c r="AO2195" s="77"/>
      <c r="AP2195" s="77"/>
      <c r="AQ2195" s="77"/>
      <c r="AR2195" s="77"/>
      <c r="AS2195" s="77"/>
      <c r="AT2195" s="77"/>
      <c r="AU2195" s="77"/>
      <c r="AV2195" s="80" t="str">
        <f>HYPERLINK("https://pbs.twimg.com/profile_images/1365395023072817162/ZI8fAPrO_normal.jpg")</f>
        <v>https://pbs.twimg.com/profile_images/1365395023072817162/ZI8fAPrO_normal.jpg</v>
      </c>
      <c r="AW2195" s="82" t="s">
        <v>15280</v>
      </c>
      <c r="AX2195" s="82" t="s">
        <v>15280</v>
      </c>
      <c r="AY2195" s="77"/>
      <c r="AZ2195" s="82" t="s">
        <v>17385</v>
      </c>
      <c r="BA2195" s="82" t="s">
        <v>17385</v>
      </c>
      <c r="BB2195" s="82" t="s">
        <v>17385</v>
      </c>
      <c r="BC2195" s="82" t="s">
        <v>15280</v>
      </c>
      <c r="BD2195" s="82" t="s">
        <v>17641</v>
      </c>
      <c r="BE2195" s="77"/>
      <c r="BF2195" s="77"/>
      <c r="BG2195" s="77"/>
      <c r="BH2195" s="77"/>
      <c r="BI2195" s="77"/>
    </row>
    <row r="2196" spans="1:61" x14ac:dyDescent="0.25">
      <c r="A2196" s="62" t="s">
        <v>604</v>
      </c>
      <c r="B2196" s="62" t="s">
        <v>604</v>
      </c>
      <c r="C2196" s="63"/>
      <c r="D2196" s="64"/>
      <c r="E2196" s="65"/>
      <c r="F2196" s="66"/>
      <c r="G2196" s="63"/>
      <c r="H2196" s="67"/>
      <c r="I2196" s="68"/>
      <c r="J2196" s="68"/>
      <c r="K2196" s="32"/>
      <c r="L2196" s="75">
        <v>2196</v>
      </c>
      <c r="M2196" s="75"/>
      <c r="N2196" s="70"/>
      <c r="O2196" s="77" t="s">
        <v>179</v>
      </c>
      <c r="P2196" s="79">
        <v>45153.475023148145</v>
      </c>
      <c r="Q2196" s="77" t="s">
        <v>2975</v>
      </c>
      <c r="R2196" s="77">
        <v>1</v>
      </c>
      <c r="S2196" s="77">
        <v>2</v>
      </c>
      <c r="T2196" s="77">
        <v>0</v>
      </c>
      <c r="U2196" s="77">
        <v>0</v>
      </c>
      <c r="V2196" s="77">
        <v>158</v>
      </c>
      <c r="W2196" s="82" t="s">
        <v>6255</v>
      </c>
      <c r="X2196" s="80" t="str">
        <f>HYPERLINK("https://www.moneytimes.com.br/cosan-csan3-reverte-prejuizo-e-lucra-r-145-milhoes-no-2t23-bem-abaixo-do-esperado/")</f>
        <v>https://www.moneytimes.com.br/cosan-csan3-reverte-prejuizo-e-lucra-r-145-milhoes-no-2t23-bem-abaixo-do-esperado/</v>
      </c>
      <c r="Y2196" s="77" t="s">
        <v>7053</v>
      </c>
      <c r="Z2196" s="77"/>
      <c r="AA2196" s="77"/>
      <c r="AB2196" s="77"/>
      <c r="AC2196" s="82" t="s">
        <v>8255</v>
      </c>
      <c r="AD2196" s="77" t="s">
        <v>8278</v>
      </c>
      <c r="AE2196" s="80" t="str">
        <f>HYPERLINK("https://twitter.com/leiaagrotimes/status/1691410414142189568")</f>
        <v>https://twitter.com/leiaagrotimes/status/1691410414142189568</v>
      </c>
      <c r="AF2196" s="79">
        <v>45153.475023148145</v>
      </c>
      <c r="AG2196" s="85">
        <v>45153</v>
      </c>
      <c r="AH2196" s="82" t="s">
        <v>10265</v>
      </c>
      <c r="AI2196" s="77" t="b">
        <v>0</v>
      </c>
      <c r="AJ2196" s="77"/>
      <c r="AK2196" s="77"/>
      <c r="AL2196" s="77"/>
      <c r="AM2196" s="77"/>
      <c r="AN2196" s="77"/>
      <c r="AO2196" s="77"/>
      <c r="AP2196" s="77"/>
      <c r="AQ2196" s="77"/>
      <c r="AR2196" s="77"/>
      <c r="AS2196" s="77"/>
      <c r="AT2196" s="77"/>
      <c r="AU2196" s="77"/>
      <c r="AV2196" s="80" t="str">
        <f>HYPERLINK("https://pbs.twimg.com/profile_images/1365395023072817162/ZI8fAPrO_normal.jpg")</f>
        <v>https://pbs.twimg.com/profile_images/1365395023072817162/ZI8fAPrO_normal.jpg</v>
      </c>
      <c r="AW2196" s="82" t="s">
        <v>15281</v>
      </c>
      <c r="AX2196" s="82" t="s">
        <v>15281</v>
      </c>
      <c r="AY2196" s="77"/>
      <c r="AZ2196" s="82" t="s">
        <v>17385</v>
      </c>
      <c r="BA2196" s="82" t="s">
        <v>17385</v>
      </c>
      <c r="BB2196" s="82" t="s">
        <v>17385</v>
      </c>
      <c r="BC2196" s="82" t="s">
        <v>15281</v>
      </c>
      <c r="BD2196" s="82" t="s">
        <v>17641</v>
      </c>
      <c r="BE2196" s="77"/>
      <c r="BF2196" s="77"/>
      <c r="BG2196" s="77"/>
      <c r="BH2196" s="77"/>
      <c r="BI2196" s="77"/>
    </row>
    <row r="2197" spans="1:61" x14ac:dyDescent="0.25">
      <c r="A2197" s="62" t="s">
        <v>604</v>
      </c>
      <c r="B2197" s="62" t="s">
        <v>604</v>
      </c>
      <c r="C2197" s="63"/>
      <c r="D2197" s="64"/>
      <c r="E2197" s="65"/>
      <c r="F2197" s="66"/>
      <c r="G2197" s="63"/>
      <c r="H2197" s="67"/>
      <c r="I2197" s="68"/>
      <c r="J2197" s="68"/>
      <c r="K2197" s="32"/>
      <c r="L2197" s="75">
        <v>2197</v>
      </c>
      <c r="M2197" s="75"/>
      <c r="N2197" s="70"/>
      <c r="O2197" s="77" t="s">
        <v>179</v>
      </c>
      <c r="P2197" s="79">
        <v>45140.532939814817</v>
      </c>
      <c r="Q2197" s="77" t="s">
        <v>2976</v>
      </c>
      <c r="R2197" s="77">
        <v>1</v>
      </c>
      <c r="S2197" s="77">
        <v>1</v>
      </c>
      <c r="T2197" s="77">
        <v>0</v>
      </c>
      <c r="U2197" s="77">
        <v>0</v>
      </c>
      <c r="V2197" s="77">
        <v>74</v>
      </c>
      <c r="W2197" s="82" t="s">
        <v>6268</v>
      </c>
      <c r="X2197" s="80" t="str">
        <f>HYPERLINK("https://www.moneytimes.com.br/brf-brfs3-fecha-joint-venture-com-empresa-de-carne-halal-da-arabia-saudita/")</f>
        <v>https://www.moneytimes.com.br/brf-brfs3-fecha-joint-venture-com-empresa-de-carne-halal-da-arabia-saudita/</v>
      </c>
      <c r="Y2197" s="77" t="s">
        <v>7053</v>
      </c>
      <c r="Z2197" s="77"/>
      <c r="AA2197" s="77"/>
      <c r="AB2197" s="77"/>
      <c r="AC2197" s="82" t="s">
        <v>8255</v>
      </c>
      <c r="AD2197" s="77" t="s">
        <v>8278</v>
      </c>
      <c r="AE2197" s="80" t="str">
        <f>HYPERLINK("https://twitter.com/leiaagrotimes/status/1686720360010387456")</f>
        <v>https://twitter.com/leiaagrotimes/status/1686720360010387456</v>
      </c>
      <c r="AF2197" s="79">
        <v>45140.532939814817</v>
      </c>
      <c r="AG2197" s="85">
        <v>45140</v>
      </c>
      <c r="AH2197" s="82" t="s">
        <v>10266</v>
      </c>
      <c r="AI2197" s="77" t="b">
        <v>0</v>
      </c>
      <c r="AJ2197" s="77"/>
      <c r="AK2197" s="77"/>
      <c r="AL2197" s="77"/>
      <c r="AM2197" s="77"/>
      <c r="AN2197" s="77"/>
      <c r="AO2197" s="77"/>
      <c r="AP2197" s="77"/>
      <c r="AQ2197" s="77"/>
      <c r="AR2197" s="77"/>
      <c r="AS2197" s="77"/>
      <c r="AT2197" s="77"/>
      <c r="AU2197" s="77"/>
      <c r="AV2197" s="80" t="str">
        <f>HYPERLINK("https://pbs.twimg.com/profile_images/1365395023072817162/ZI8fAPrO_normal.jpg")</f>
        <v>https://pbs.twimg.com/profile_images/1365395023072817162/ZI8fAPrO_normal.jpg</v>
      </c>
      <c r="AW2197" s="82" t="s">
        <v>15282</v>
      </c>
      <c r="AX2197" s="82" t="s">
        <v>15282</v>
      </c>
      <c r="AY2197" s="77"/>
      <c r="AZ2197" s="82" t="s">
        <v>17385</v>
      </c>
      <c r="BA2197" s="82" t="s">
        <v>17385</v>
      </c>
      <c r="BB2197" s="82" t="s">
        <v>17385</v>
      </c>
      <c r="BC2197" s="82" t="s">
        <v>15282</v>
      </c>
      <c r="BD2197" s="82" t="s">
        <v>17641</v>
      </c>
      <c r="BE2197" s="77"/>
      <c r="BF2197" s="77"/>
      <c r="BG2197" s="77"/>
      <c r="BH2197" s="77"/>
      <c r="BI2197" s="77"/>
    </row>
    <row r="2198" spans="1:61" x14ac:dyDescent="0.25">
      <c r="A2198" s="62" t="s">
        <v>604</v>
      </c>
      <c r="B2198" s="62" t="s">
        <v>604</v>
      </c>
      <c r="C2198" s="63"/>
      <c r="D2198" s="64"/>
      <c r="E2198" s="65"/>
      <c r="F2198" s="66"/>
      <c r="G2198" s="63"/>
      <c r="H2198" s="67"/>
      <c r="I2198" s="68"/>
      <c r="J2198" s="68"/>
      <c r="K2198" s="32"/>
      <c r="L2198" s="75">
        <v>2198</v>
      </c>
      <c r="M2198" s="75"/>
      <c r="N2198" s="70"/>
      <c r="O2198" s="77" t="s">
        <v>179</v>
      </c>
      <c r="P2198" s="79">
        <v>45123.583622685182</v>
      </c>
      <c r="Q2198" s="77" t="s">
        <v>2977</v>
      </c>
      <c r="R2198" s="77">
        <v>0</v>
      </c>
      <c r="S2198" s="77">
        <v>0</v>
      </c>
      <c r="T2198" s="77">
        <v>0</v>
      </c>
      <c r="U2198" s="77">
        <v>0</v>
      </c>
      <c r="V2198" s="77">
        <v>57</v>
      </c>
      <c r="W2198" s="82" t="s">
        <v>6251</v>
      </c>
      <c r="X2198" s="80" t="str">
        <f>HYPERLINK("https://www.moneytimes.com.br/2-acoes-fora-do-radar-que-podem-decolar-mais-de-100-ate-2024-com-ciclo-de-queda-da-selic/")</f>
        <v>https://www.moneytimes.com.br/2-acoes-fora-do-radar-que-podem-decolar-mais-de-100-ate-2024-com-ciclo-de-queda-da-selic/</v>
      </c>
      <c r="Y2198" s="77" t="s">
        <v>7053</v>
      </c>
      <c r="Z2198" s="77"/>
      <c r="AA2198" s="77"/>
      <c r="AB2198" s="77"/>
      <c r="AC2198" s="82" t="s">
        <v>8255</v>
      </c>
      <c r="AD2198" s="77" t="s">
        <v>8278</v>
      </c>
      <c r="AE2198" s="80" t="str">
        <f>HYPERLINK("https://twitter.com/leiaagrotimes/status/1680578135799091203")</f>
        <v>https://twitter.com/leiaagrotimes/status/1680578135799091203</v>
      </c>
      <c r="AF2198" s="79">
        <v>45123.583622685182</v>
      </c>
      <c r="AG2198" s="85">
        <v>45123</v>
      </c>
      <c r="AH2198" s="82" t="s">
        <v>10267</v>
      </c>
      <c r="AI2198" s="77" t="b">
        <v>0</v>
      </c>
      <c r="AJ2198" s="77"/>
      <c r="AK2198" s="77"/>
      <c r="AL2198" s="77"/>
      <c r="AM2198" s="77"/>
      <c r="AN2198" s="77"/>
      <c r="AO2198" s="77"/>
      <c r="AP2198" s="77"/>
      <c r="AQ2198" s="77"/>
      <c r="AR2198" s="77"/>
      <c r="AS2198" s="77"/>
      <c r="AT2198" s="77"/>
      <c r="AU2198" s="77"/>
      <c r="AV2198" s="80" t="str">
        <f>HYPERLINK("https://pbs.twimg.com/profile_images/1365395023072817162/ZI8fAPrO_normal.jpg")</f>
        <v>https://pbs.twimg.com/profile_images/1365395023072817162/ZI8fAPrO_normal.jpg</v>
      </c>
      <c r="AW2198" s="82" t="s">
        <v>15283</v>
      </c>
      <c r="AX2198" s="82" t="s">
        <v>15283</v>
      </c>
      <c r="AY2198" s="77"/>
      <c r="AZ2198" s="82" t="s">
        <v>17385</v>
      </c>
      <c r="BA2198" s="82" t="s">
        <v>17385</v>
      </c>
      <c r="BB2198" s="82" t="s">
        <v>17385</v>
      </c>
      <c r="BC2198" s="82" t="s">
        <v>15283</v>
      </c>
      <c r="BD2198" s="82" t="s">
        <v>17641</v>
      </c>
      <c r="BE2198" s="77"/>
      <c r="BF2198" s="77"/>
      <c r="BG2198" s="77"/>
      <c r="BH2198" s="77"/>
      <c r="BI2198" s="77"/>
    </row>
    <row r="2199" spans="1:61" x14ac:dyDescent="0.25">
      <c r="A2199" s="62" t="s">
        <v>604</v>
      </c>
      <c r="B2199" s="62" t="s">
        <v>604</v>
      </c>
      <c r="C2199" s="63"/>
      <c r="D2199" s="64"/>
      <c r="E2199" s="65"/>
      <c r="F2199" s="66"/>
      <c r="G2199" s="63"/>
      <c r="H2199" s="67"/>
      <c r="I2199" s="68"/>
      <c r="J2199" s="68"/>
      <c r="K2199" s="32"/>
      <c r="L2199" s="75">
        <v>2199</v>
      </c>
      <c r="M2199" s="75"/>
      <c r="N2199" s="70"/>
      <c r="O2199" s="77" t="s">
        <v>179</v>
      </c>
      <c r="P2199" s="79">
        <v>45123.53875</v>
      </c>
      <c r="Q2199" s="77" t="s">
        <v>2978</v>
      </c>
      <c r="R2199" s="77">
        <v>0</v>
      </c>
      <c r="S2199" s="77">
        <v>1</v>
      </c>
      <c r="T2199" s="77">
        <v>0</v>
      </c>
      <c r="U2199" s="77">
        <v>0</v>
      </c>
      <c r="V2199" s="77">
        <v>84</v>
      </c>
      <c r="W2199" s="82" t="s">
        <v>6251</v>
      </c>
      <c r="X2199" s="80" t="str">
        <f>HYPERLINK("https://www.moneytimes.com.br/jbs-jbss3-acao-pode-quase-dobrar-de-preco-em-busca-do-sonho-americano/")</f>
        <v>https://www.moneytimes.com.br/jbs-jbss3-acao-pode-quase-dobrar-de-preco-em-busca-do-sonho-americano/</v>
      </c>
      <c r="Y2199" s="77" t="s">
        <v>7053</v>
      </c>
      <c r="Z2199" s="77"/>
      <c r="AA2199" s="77"/>
      <c r="AB2199" s="77"/>
      <c r="AC2199" s="82" t="s">
        <v>8255</v>
      </c>
      <c r="AD2199" s="77" t="s">
        <v>8278</v>
      </c>
      <c r="AE2199" s="80" t="str">
        <f>HYPERLINK("https://twitter.com/leiaagrotimes/status/1680561871034757121")</f>
        <v>https://twitter.com/leiaagrotimes/status/1680561871034757121</v>
      </c>
      <c r="AF2199" s="79">
        <v>45123.53875</v>
      </c>
      <c r="AG2199" s="85">
        <v>45123</v>
      </c>
      <c r="AH2199" s="82" t="s">
        <v>10268</v>
      </c>
      <c r="AI2199" s="77" t="b">
        <v>0</v>
      </c>
      <c r="AJ2199" s="77"/>
      <c r="AK2199" s="77"/>
      <c r="AL2199" s="77"/>
      <c r="AM2199" s="77"/>
      <c r="AN2199" s="77"/>
      <c r="AO2199" s="77"/>
      <c r="AP2199" s="77"/>
      <c r="AQ2199" s="77"/>
      <c r="AR2199" s="77"/>
      <c r="AS2199" s="77"/>
      <c r="AT2199" s="77"/>
      <c r="AU2199" s="77"/>
      <c r="AV2199" s="80" t="str">
        <f>HYPERLINK("https://pbs.twimg.com/profile_images/1365395023072817162/ZI8fAPrO_normal.jpg")</f>
        <v>https://pbs.twimg.com/profile_images/1365395023072817162/ZI8fAPrO_normal.jpg</v>
      </c>
      <c r="AW2199" s="82" t="s">
        <v>15284</v>
      </c>
      <c r="AX2199" s="82" t="s">
        <v>15284</v>
      </c>
      <c r="AY2199" s="77"/>
      <c r="AZ2199" s="82" t="s">
        <v>17385</v>
      </c>
      <c r="BA2199" s="82" t="s">
        <v>17385</v>
      </c>
      <c r="BB2199" s="82" t="s">
        <v>17385</v>
      </c>
      <c r="BC2199" s="82" t="s">
        <v>15284</v>
      </c>
      <c r="BD2199" s="82" t="s">
        <v>17641</v>
      </c>
      <c r="BE2199" s="77"/>
      <c r="BF2199" s="77"/>
      <c r="BG2199" s="77"/>
      <c r="BH2199" s="77"/>
      <c r="BI2199" s="77"/>
    </row>
    <row r="2200" spans="1:61" x14ac:dyDescent="0.25">
      <c r="A2200" s="62" t="s">
        <v>604</v>
      </c>
      <c r="B2200" s="62" t="s">
        <v>604</v>
      </c>
      <c r="C2200" s="63"/>
      <c r="D2200" s="64"/>
      <c r="E2200" s="65"/>
      <c r="F2200" s="66"/>
      <c r="G2200" s="63"/>
      <c r="H2200" s="67"/>
      <c r="I2200" s="68"/>
      <c r="J2200" s="68"/>
      <c r="K2200" s="32"/>
      <c r="L2200" s="75">
        <v>2200</v>
      </c>
      <c r="M2200" s="75"/>
      <c r="N2200" s="70"/>
      <c r="O2200" s="77" t="s">
        <v>179</v>
      </c>
      <c r="P2200" s="79">
        <v>45100.579340277778</v>
      </c>
      <c r="Q2200" s="77" t="s">
        <v>2979</v>
      </c>
      <c r="R2200" s="77">
        <v>0</v>
      </c>
      <c r="S2200" s="77">
        <v>0</v>
      </c>
      <c r="T2200" s="77">
        <v>0</v>
      </c>
      <c r="U2200" s="77">
        <v>0</v>
      </c>
      <c r="V2200" s="77">
        <v>57</v>
      </c>
      <c r="W2200" s="82" t="s">
        <v>6251</v>
      </c>
      <c r="X2200" s="80" t="str">
        <f>HYPERLINK("https://www.moneytimes.com.br/slc-agricola-slce3-dispara-nesta-sexta-23-apos-terras-valorizarem-12/")</f>
        <v>https://www.moneytimes.com.br/slc-agricola-slce3-dispara-nesta-sexta-23-apos-terras-valorizarem-12/</v>
      </c>
      <c r="Y2200" s="77" t="s">
        <v>7053</v>
      </c>
      <c r="Z2200" s="77"/>
      <c r="AA2200" s="77"/>
      <c r="AB2200" s="77"/>
      <c r="AC2200" s="82" t="s">
        <v>8255</v>
      </c>
      <c r="AD2200" s="77" t="s">
        <v>8278</v>
      </c>
      <c r="AE2200" s="80" t="str">
        <f>HYPERLINK("https://twitter.com/leiaagrotimes/status/1672241661668106240")</f>
        <v>https://twitter.com/leiaagrotimes/status/1672241661668106240</v>
      </c>
      <c r="AF2200" s="79">
        <v>45100.579340277778</v>
      </c>
      <c r="AG2200" s="85">
        <v>45100</v>
      </c>
      <c r="AH2200" s="82" t="s">
        <v>10269</v>
      </c>
      <c r="AI2200" s="77" t="b">
        <v>0</v>
      </c>
      <c r="AJ2200" s="77"/>
      <c r="AK2200" s="77"/>
      <c r="AL2200" s="77"/>
      <c r="AM2200" s="77"/>
      <c r="AN2200" s="77"/>
      <c r="AO2200" s="77"/>
      <c r="AP2200" s="77"/>
      <c r="AQ2200" s="77"/>
      <c r="AR2200" s="77"/>
      <c r="AS2200" s="77"/>
      <c r="AT2200" s="77"/>
      <c r="AU2200" s="77"/>
      <c r="AV2200" s="80" t="str">
        <f>HYPERLINK("https://pbs.twimg.com/profile_images/1365395023072817162/ZI8fAPrO_normal.jpg")</f>
        <v>https://pbs.twimg.com/profile_images/1365395023072817162/ZI8fAPrO_normal.jpg</v>
      </c>
      <c r="AW2200" s="82" t="s">
        <v>15285</v>
      </c>
      <c r="AX2200" s="82" t="s">
        <v>15285</v>
      </c>
      <c r="AY2200" s="77"/>
      <c r="AZ2200" s="82" t="s">
        <v>17385</v>
      </c>
      <c r="BA2200" s="82" t="s">
        <v>17385</v>
      </c>
      <c r="BB2200" s="82" t="s">
        <v>17385</v>
      </c>
      <c r="BC2200" s="82" t="s">
        <v>15285</v>
      </c>
      <c r="BD2200" s="82" t="s">
        <v>17641</v>
      </c>
      <c r="BE2200" s="77"/>
      <c r="BF2200" s="77"/>
      <c r="BG2200" s="77"/>
      <c r="BH2200" s="77"/>
      <c r="BI2200" s="77"/>
    </row>
    <row r="2201" spans="1:61" x14ac:dyDescent="0.25">
      <c r="A2201" s="62" t="s">
        <v>604</v>
      </c>
      <c r="B2201" s="62" t="s">
        <v>604</v>
      </c>
      <c r="C2201" s="63"/>
      <c r="D2201" s="64"/>
      <c r="E2201" s="65"/>
      <c r="F2201" s="66"/>
      <c r="G2201" s="63"/>
      <c r="H2201" s="67"/>
      <c r="I2201" s="68"/>
      <c r="J2201" s="68"/>
      <c r="K2201" s="32"/>
      <c r="L2201" s="75">
        <v>2201</v>
      </c>
      <c r="M2201" s="75"/>
      <c r="N2201" s="70"/>
      <c r="O2201" s="77" t="s">
        <v>179</v>
      </c>
      <c r="P2201" s="79">
        <v>45099.792696759258</v>
      </c>
      <c r="Q2201" s="77" t="s">
        <v>2980</v>
      </c>
      <c r="R2201" s="77">
        <v>0</v>
      </c>
      <c r="S2201" s="77">
        <v>0</v>
      </c>
      <c r="T2201" s="77">
        <v>0</v>
      </c>
      <c r="U2201" s="77">
        <v>0</v>
      </c>
      <c r="V2201" s="77">
        <v>229</v>
      </c>
      <c r="W2201" s="82" t="s">
        <v>6250</v>
      </c>
      <c r="X2201" s="80" t="str">
        <f>HYPERLINK("https://www.moneytimes.com.br/jbs-jbss3-minerva-beef3-e-marfrig-mrfg3-por-que-acoes-caem-nos-ultimos-dois-dias/")</f>
        <v>https://www.moneytimes.com.br/jbs-jbss3-minerva-beef3-e-marfrig-mrfg3-por-que-acoes-caem-nos-ultimos-dois-dias/</v>
      </c>
      <c r="Y2201" s="77" t="s">
        <v>7053</v>
      </c>
      <c r="Z2201" s="77"/>
      <c r="AA2201" s="77"/>
      <c r="AB2201" s="77"/>
      <c r="AC2201" s="82" t="s">
        <v>8255</v>
      </c>
      <c r="AD2201" s="77" t="s">
        <v>8278</v>
      </c>
      <c r="AE2201" s="80" t="str">
        <f>HYPERLINK("https://twitter.com/leiaagrotimes/status/1671956590709145610")</f>
        <v>https://twitter.com/leiaagrotimes/status/1671956590709145610</v>
      </c>
      <c r="AF2201" s="79">
        <v>45099.792696759258</v>
      </c>
      <c r="AG2201" s="85">
        <v>45099</v>
      </c>
      <c r="AH2201" s="82" t="s">
        <v>10270</v>
      </c>
      <c r="AI2201" s="77" t="b">
        <v>0</v>
      </c>
      <c r="AJ2201" s="77"/>
      <c r="AK2201" s="77"/>
      <c r="AL2201" s="77"/>
      <c r="AM2201" s="77"/>
      <c r="AN2201" s="77"/>
      <c r="AO2201" s="77"/>
      <c r="AP2201" s="77"/>
      <c r="AQ2201" s="77"/>
      <c r="AR2201" s="77"/>
      <c r="AS2201" s="77"/>
      <c r="AT2201" s="77"/>
      <c r="AU2201" s="77"/>
      <c r="AV2201" s="80" t="str">
        <f>HYPERLINK("https://pbs.twimg.com/profile_images/1365395023072817162/ZI8fAPrO_normal.jpg")</f>
        <v>https://pbs.twimg.com/profile_images/1365395023072817162/ZI8fAPrO_normal.jpg</v>
      </c>
      <c r="AW2201" s="82" t="s">
        <v>15286</v>
      </c>
      <c r="AX2201" s="82" t="s">
        <v>15286</v>
      </c>
      <c r="AY2201" s="77"/>
      <c r="AZ2201" s="82" t="s">
        <v>17385</v>
      </c>
      <c r="BA2201" s="82" t="s">
        <v>17385</v>
      </c>
      <c r="BB2201" s="82" t="s">
        <v>17385</v>
      </c>
      <c r="BC2201" s="82" t="s">
        <v>15286</v>
      </c>
      <c r="BD2201" s="82" t="s">
        <v>17641</v>
      </c>
      <c r="BE2201" s="77"/>
      <c r="BF2201" s="77"/>
      <c r="BG2201" s="77"/>
      <c r="BH2201" s="77"/>
      <c r="BI2201" s="77"/>
    </row>
    <row r="2202" spans="1:61" x14ac:dyDescent="0.25">
      <c r="A2202" s="62" t="s">
        <v>604</v>
      </c>
      <c r="B2202" s="62" t="s">
        <v>604</v>
      </c>
      <c r="C2202" s="63"/>
      <c r="D2202" s="64"/>
      <c r="E2202" s="65"/>
      <c r="F2202" s="66"/>
      <c r="G2202" s="63"/>
      <c r="H2202" s="67"/>
      <c r="I2202" s="68"/>
      <c r="J2202" s="68"/>
      <c r="K2202" s="32"/>
      <c r="L2202" s="75">
        <v>2202</v>
      </c>
      <c r="M2202" s="75"/>
      <c r="N2202" s="70"/>
      <c r="O2202" s="77" t="s">
        <v>179</v>
      </c>
      <c r="P2202" s="79">
        <v>45099.657280092593</v>
      </c>
      <c r="Q2202" s="77" t="s">
        <v>2981</v>
      </c>
      <c r="R2202" s="77">
        <v>0</v>
      </c>
      <c r="S2202" s="77">
        <v>1</v>
      </c>
      <c r="T2202" s="77">
        <v>0</v>
      </c>
      <c r="U2202" s="77">
        <v>0</v>
      </c>
      <c r="V2202" s="77">
        <v>93</v>
      </c>
      <c r="W2202" s="82" t="s">
        <v>6258</v>
      </c>
      <c r="X2202" s="80" t="str">
        <f>HYPERLINK("https://www.moneytimes.com.br/minerva-beef3-boi-derrete-na-b3-apos-justica-condenar-frigorifico-por-maus-tratos-entenda/")</f>
        <v>https://www.moneytimes.com.br/minerva-beef3-boi-derrete-na-b3-apos-justica-condenar-frigorifico-por-maus-tratos-entenda/</v>
      </c>
      <c r="Y2202" s="77" t="s">
        <v>7053</v>
      </c>
      <c r="Z2202" s="77"/>
      <c r="AA2202" s="77"/>
      <c r="AB2202" s="77"/>
      <c r="AC2202" s="82" t="s">
        <v>8255</v>
      </c>
      <c r="AD2202" s="77" t="s">
        <v>8278</v>
      </c>
      <c r="AE2202" s="80" t="str">
        <f>HYPERLINK("https://twitter.com/leiaagrotimes/status/1671907518983942145")</f>
        <v>https://twitter.com/leiaagrotimes/status/1671907518983942145</v>
      </c>
      <c r="AF2202" s="79">
        <v>45099.657280092593</v>
      </c>
      <c r="AG2202" s="85">
        <v>45099</v>
      </c>
      <c r="AH2202" s="82" t="s">
        <v>10271</v>
      </c>
      <c r="AI2202" s="77" t="b">
        <v>0</v>
      </c>
      <c r="AJ2202" s="77"/>
      <c r="AK2202" s="77"/>
      <c r="AL2202" s="77"/>
      <c r="AM2202" s="77"/>
      <c r="AN2202" s="77"/>
      <c r="AO2202" s="77"/>
      <c r="AP2202" s="77"/>
      <c r="AQ2202" s="77"/>
      <c r="AR2202" s="77"/>
      <c r="AS2202" s="77"/>
      <c r="AT2202" s="77"/>
      <c r="AU2202" s="77"/>
      <c r="AV2202" s="80" t="str">
        <f>HYPERLINK("https://pbs.twimg.com/profile_images/1365395023072817162/ZI8fAPrO_normal.jpg")</f>
        <v>https://pbs.twimg.com/profile_images/1365395023072817162/ZI8fAPrO_normal.jpg</v>
      </c>
      <c r="AW2202" s="82" t="s">
        <v>15287</v>
      </c>
      <c r="AX2202" s="82" t="s">
        <v>15287</v>
      </c>
      <c r="AY2202" s="77"/>
      <c r="AZ2202" s="82" t="s">
        <v>17385</v>
      </c>
      <c r="BA2202" s="82" t="s">
        <v>17385</v>
      </c>
      <c r="BB2202" s="82" t="s">
        <v>17385</v>
      </c>
      <c r="BC2202" s="82" t="s">
        <v>15287</v>
      </c>
      <c r="BD2202" s="82" t="s">
        <v>17641</v>
      </c>
      <c r="BE2202" s="77"/>
      <c r="BF2202" s="77"/>
      <c r="BG2202" s="77"/>
      <c r="BH2202" s="77"/>
      <c r="BI2202" s="77"/>
    </row>
    <row r="2203" spans="1:61" x14ac:dyDescent="0.25">
      <c r="A2203" s="62" t="s">
        <v>604</v>
      </c>
      <c r="B2203" s="62" t="s">
        <v>604</v>
      </c>
      <c r="C2203" s="63"/>
      <c r="D2203" s="64"/>
      <c r="E2203" s="65"/>
      <c r="F2203" s="66"/>
      <c r="G2203" s="63"/>
      <c r="H2203" s="67"/>
      <c r="I2203" s="68"/>
      <c r="J2203" s="68"/>
      <c r="K2203" s="32"/>
      <c r="L2203" s="75">
        <v>2203</v>
      </c>
      <c r="M2203" s="75"/>
      <c r="N2203" s="70"/>
      <c r="O2203" s="77" t="s">
        <v>179</v>
      </c>
      <c r="P2203" s="79">
        <v>45098.764548611114</v>
      </c>
      <c r="Q2203" s="77" t="s">
        <v>2982</v>
      </c>
      <c r="R2203" s="77">
        <v>0</v>
      </c>
      <c r="S2203" s="77">
        <v>0</v>
      </c>
      <c r="T2203" s="77">
        <v>0</v>
      </c>
      <c r="U2203" s="77">
        <v>0</v>
      </c>
      <c r="V2203" s="77">
        <v>87</v>
      </c>
      <c r="W2203" s="82" t="s">
        <v>6264</v>
      </c>
      <c r="X2203" s="80" t="str">
        <f>HYPERLINK("https://www.moneytimes.com.br/etanol-do-futuro-acao-agro-brasileira-chama-atencao-do-tio-sam/")</f>
        <v>https://www.moneytimes.com.br/etanol-do-futuro-acao-agro-brasileira-chama-atencao-do-tio-sam/</v>
      </c>
      <c r="Y2203" s="77" t="s">
        <v>7053</v>
      </c>
      <c r="Z2203" s="77"/>
      <c r="AA2203" s="77"/>
      <c r="AB2203" s="77"/>
      <c r="AC2203" s="82" t="s">
        <v>8255</v>
      </c>
      <c r="AD2203" s="77" t="s">
        <v>8278</v>
      </c>
      <c r="AE2203" s="80" t="str">
        <f>HYPERLINK("https://twitter.com/leiaagrotimes/status/1671584001683857428")</f>
        <v>https://twitter.com/leiaagrotimes/status/1671584001683857428</v>
      </c>
      <c r="AF2203" s="79">
        <v>45098.764548611114</v>
      </c>
      <c r="AG2203" s="85">
        <v>45098</v>
      </c>
      <c r="AH2203" s="82" t="s">
        <v>10272</v>
      </c>
      <c r="AI2203" s="77" t="b">
        <v>0</v>
      </c>
      <c r="AJ2203" s="77"/>
      <c r="AK2203" s="77"/>
      <c r="AL2203" s="77"/>
      <c r="AM2203" s="77"/>
      <c r="AN2203" s="77"/>
      <c r="AO2203" s="77"/>
      <c r="AP2203" s="77"/>
      <c r="AQ2203" s="77"/>
      <c r="AR2203" s="77"/>
      <c r="AS2203" s="77"/>
      <c r="AT2203" s="77"/>
      <c r="AU2203" s="77"/>
      <c r="AV2203" s="80" t="str">
        <f>HYPERLINK("https://pbs.twimg.com/profile_images/1365395023072817162/ZI8fAPrO_normal.jpg")</f>
        <v>https://pbs.twimg.com/profile_images/1365395023072817162/ZI8fAPrO_normal.jpg</v>
      </c>
      <c r="AW2203" s="82" t="s">
        <v>15288</v>
      </c>
      <c r="AX2203" s="82" t="s">
        <v>15288</v>
      </c>
      <c r="AY2203" s="77"/>
      <c r="AZ2203" s="82" t="s">
        <v>17385</v>
      </c>
      <c r="BA2203" s="82" t="s">
        <v>17385</v>
      </c>
      <c r="BB2203" s="82" t="s">
        <v>17385</v>
      </c>
      <c r="BC2203" s="82" t="s">
        <v>15288</v>
      </c>
      <c r="BD2203" s="82" t="s">
        <v>17641</v>
      </c>
      <c r="BE2203" s="77"/>
      <c r="BF2203" s="77"/>
      <c r="BG2203" s="77"/>
      <c r="BH2203" s="77"/>
      <c r="BI2203" s="77"/>
    </row>
    <row r="2204" spans="1:61" x14ac:dyDescent="0.25">
      <c r="A2204" s="62" t="s">
        <v>604</v>
      </c>
      <c r="B2204" s="62" t="s">
        <v>604</v>
      </c>
      <c r="C2204" s="63"/>
      <c r="D2204" s="64"/>
      <c r="E2204" s="65"/>
      <c r="F2204" s="66"/>
      <c r="G2204" s="63"/>
      <c r="H2204" s="67"/>
      <c r="I2204" s="68"/>
      <c r="J2204" s="68"/>
      <c r="K2204" s="32"/>
      <c r="L2204" s="75">
        <v>2204</v>
      </c>
      <c r="M2204" s="75"/>
      <c r="N2204" s="70"/>
      <c r="O2204" s="77" t="s">
        <v>179</v>
      </c>
      <c r="P2204" s="79">
        <v>45098.576377314814</v>
      </c>
      <c r="Q2204" s="77" t="s">
        <v>2983</v>
      </c>
      <c r="R2204" s="77">
        <v>0</v>
      </c>
      <c r="S2204" s="77">
        <v>1</v>
      </c>
      <c r="T2204" s="77">
        <v>0</v>
      </c>
      <c r="U2204" s="77">
        <v>0</v>
      </c>
      <c r="V2204" s="77">
        <v>111</v>
      </c>
      <c r="W2204" s="82" t="s">
        <v>6251</v>
      </c>
      <c r="X2204" s="80" t="str">
        <f>HYPERLINK("https://www.moneytimes.com.br/suzano-suzb3-acoes-derretem-apos-anuncio-de-r-1-bilhao-em-debentures-para-o-cerrado-entenda/")</f>
        <v>https://www.moneytimes.com.br/suzano-suzb3-acoes-derretem-apos-anuncio-de-r-1-bilhao-em-debentures-para-o-cerrado-entenda/</v>
      </c>
      <c r="Y2204" s="77" t="s">
        <v>7053</v>
      </c>
      <c r="Z2204" s="77"/>
      <c r="AA2204" s="77"/>
      <c r="AB2204" s="77"/>
      <c r="AC2204" s="82" t="s">
        <v>8255</v>
      </c>
      <c r="AD2204" s="77" t="s">
        <v>8278</v>
      </c>
      <c r="AE2204" s="80" t="str">
        <f>HYPERLINK("https://twitter.com/leiaagrotimes/status/1671515812404899848")</f>
        <v>https://twitter.com/leiaagrotimes/status/1671515812404899848</v>
      </c>
      <c r="AF2204" s="79">
        <v>45098.576377314814</v>
      </c>
      <c r="AG2204" s="85">
        <v>45098</v>
      </c>
      <c r="AH2204" s="82" t="s">
        <v>10273</v>
      </c>
      <c r="AI2204" s="77" t="b">
        <v>0</v>
      </c>
      <c r="AJ2204" s="77"/>
      <c r="AK2204" s="77"/>
      <c r="AL2204" s="77"/>
      <c r="AM2204" s="77"/>
      <c r="AN2204" s="77"/>
      <c r="AO2204" s="77"/>
      <c r="AP2204" s="77"/>
      <c r="AQ2204" s="77"/>
      <c r="AR2204" s="77"/>
      <c r="AS2204" s="77"/>
      <c r="AT2204" s="77"/>
      <c r="AU2204" s="77"/>
      <c r="AV2204" s="80" t="str">
        <f>HYPERLINK("https://pbs.twimg.com/profile_images/1365395023072817162/ZI8fAPrO_normal.jpg")</f>
        <v>https://pbs.twimg.com/profile_images/1365395023072817162/ZI8fAPrO_normal.jpg</v>
      </c>
      <c r="AW2204" s="82" t="s">
        <v>15289</v>
      </c>
      <c r="AX2204" s="82" t="s">
        <v>15289</v>
      </c>
      <c r="AY2204" s="77"/>
      <c r="AZ2204" s="82" t="s">
        <v>17385</v>
      </c>
      <c r="BA2204" s="82" t="s">
        <v>17385</v>
      </c>
      <c r="BB2204" s="82" t="s">
        <v>17385</v>
      </c>
      <c r="BC2204" s="82" t="s">
        <v>15289</v>
      </c>
      <c r="BD2204" s="82" t="s">
        <v>17641</v>
      </c>
      <c r="BE2204" s="77"/>
      <c r="BF2204" s="77"/>
      <c r="BG2204" s="77"/>
      <c r="BH2204" s="77"/>
      <c r="BI2204" s="77"/>
    </row>
    <row r="2205" spans="1:61" x14ac:dyDescent="0.25">
      <c r="A2205" s="62" t="s">
        <v>604</v>
      </c>
      <c r="B2205" s="62" t="s">
        <v>604</v>
      </c>
      <c r="C2205" s="63"/>
      <c r="D2205" s="64"/>
      <c r="E2205" s="65"/>
      <c r="F2205" s="66"/>
      <c r="G2205" s="63"/>
      <c r="H2205" s="67"/>
      <c r="I2205" s="68"/>
      <c r="J2205" s="68"/>
      <c r="K2205" s="32"/>
      <c r="L2205" s="75">
        <v>2205</v>
      </c>
      <c r="M2205" s="75"/>
      <c r="N2205" s="70"/>
      <c r="O2205" s="77" t="s">
        <v>179</v>
      </c>
      <c r="P2205" s="79">
        <v>45097.820729166669</v>
      </c>
      <c r="Q2205" s="77" t="s">
        <v>2984</v>
      </c>
      <c r="R2205" s="77">
        <v>0</v>
      </c>
      <c r="S2205" s="77">
        <v>0</v>
      </c>
      <c r="T2205" s="77">
        <v>0</v>
      </c>
      <c r="U2205" s="77">
        <v>0</v>
      </c>
      <c r="V2205" s="77">
        <v>94</v>
      </c>
      <c r="W2205" s="82" t="s">
        <v>6264</v>
      </c>
      <c r="X2205" s="80" t="str">
        <f>HYPERLINK("https://www.moneytimes.com.br/por-que-o-bofa-esta-otimista-com-a-raizen-raiz4-acao-dispara-5/")</f>
        <v>https://www.moneytimes.com.br/por-que-o-bofa-esta-otimista-com-a-raizen-raiz4-acao-dispara-5/</v>
      </c>
      <c r="Y2205" s="77" t="s">
        <v>7053</v>
      </c>
      <c r="Z2205" s="77"/>
      <c r="AA2205" s="77"/>
      <c r="AB2205" s="77"/>
      <c r="AC2205" s="82" t="s">
        <v>8255</v>
      </c>
      <c r="AD2205" s="77" t="s">
        <v>8278</v>
      </c>
      <c r="AE2205" s="80" t="str">
        <f>HYPERLINK("https://twitter.com/leiaagrotimes/status/1671241972302921729")</f>
        <v>https://twitter.com/leiaagrotimes/status/1671241972302921729</v>
      </c>
      <c r="AF2205" s="79">
        <v>45097.820729166669</v>
      </c>
      <c r="AG2205" s="85">
        <v>45097</v>
      </c>
      <c r="AH2205" s="82" t="s">
        <v>10274</v>
      </c>
      <c r="AI2205" s="77" t="b">
        <v>0</v>
      </c>
      <c r="AJ2205" s="77"/>
      <c r="AK2205" s="77"/>
      <c r="AL2205" s="77"/>
      <c r="AM2205" s="77"/>
      <c r="AN2205" s="77"/>
      <c r="AO2205" s="77"/>
      <c r="AP2205" s="77"/>
      <c r="AQ2205" s="77"/>
      <c r="AR2205" s="77"/>
      <c r="AS2205" s="77"/>
      <c r="AT2205" s="77"/>
      <c r="AU2205" s="77"/>
      <c r="AV2205" s="80" t="str">
        <f>HYPERLINK("https://pbs.twimg.com/profile_images/1365395023072817162/ZI8fAPrO_normal.jpg")</f>
        <v>https://pbs.twimg.com/profile_images/1365395023072817162/ZI8fAPrO_normal.jpg</v>
      </c>
      <c r="AW2205" s="82" t="s">
        <v>15290</v>
      </c>
      <c r="AX2205" s="82" t="s">
        <v>15290</v>
      </c>
      <c r="AY2205" s="77"/>
      <c r="AZ2205" s="82" t="s">
        <v>17385</v>
      </c>
      <c r="BA2205" s="82" t="s">
        <v>17385</v>
      </c>
      <c r="BB2205" s="82" t="s">
        <v>17385</v>
      </c>
      <c r="BC2205" s="82" t="s">
        <v>15290</v>
      </c>
      <c r="BD2205" s="82" t="s">
        <v>17641</v>
      </c>
      <c r="BE2205" s="77"/>
      <c r="BF2205" s="77"/>
      <c r="BG2205" s="77"/>
      <c r="BH2205" s="77"/>
      <c r="BI2205" s="77"/>
    </row>
    <row r="2206" spans="1:61" x14ac:dyDescent="0.25">
      <c r="A2206" s="62" t="s">
        <v>604</v>
      </c>
      <c r="B2206" s="62" t="s">
        <v>604</v>
      </c>
      <c r="C2206" s="63"/>
      <c r="D2206" s="64"/>
      <c r="E2206" s="65"/>
      <c r="F2206" s="66"/>
      <c r="G2206" s="63"/>
      <c r="H2206" s="67"/>
      <c r="I2206" s="68"/>
      <c r="J2206" s="68"/>
      <c r="K2206" s="32"/>
      <c r="L2206" s="75">
        <v>2206</v>
      </c>
      <c r="M2206" s="75"/>
      <c r="N2206" s="70"/>
      <c r="O2206" s="77" t="s">
        <v>179</v>
      </c>
      <c r="P2206" s="79">
        <v>45097.810868055552</v>
      </c>
      <c r="Q2206" s="77" t="s">
        <v>2985</v>
      </c>
      <c r="R2206" s="77">
        <v>0</v>
      </c>
      <c r="S2206" s="77">
        <v>2</v>
      </c>
      <c r="T2206" s="77">
        <v>0</v>
      </c>
      <c r="U2206" s="77">
        <v>0</v>
      </c>
      <c r="V2206" s="77">
        <v>100</v>
      </c>
      <c r="W2206" s="82" t="s">
        <v>6256</v>
      </c>
      <c r="X2206" s="80" t="str">
        <f>HYPERLINK("https://www.moneytimes.com.br/cosan-csan3-4-motivos-para-comprar-a-acao-segundo-banco-gringo/")</f>
        <v>https://www.moneytimes.com.br/cosan-csan3-4-motivos-para-comprar-a-acao-segundo-banco-gringo/</v>
      </c>
      <c r="Y2206" s="77" t="s">
        <v>7053</v>
      </c>
      <c r="Z2206" s="77"/>
      <c r="AA2206" s="77"/>
      <c r="AB2206" s="77"/>
      <c r="AC2206" s="82" t="s">
        <v>8255</v>
      </c>
      <c r="AD2206" s="77" t="s">
        <v>8278</v>
      </c>
      <c r="AE2206" s="80" t="str">
        <f>HYPERLINK("https://twitter.com/leiaagrotimes/status/1671238401201250306")</f>
        <v>https://twitter.com/leiaagrotimes/status/1671238401201250306</v>
      </c>
      <c r="AF2206" s="79">
        <v>45097.810868055552</v>
      </c>
      <c r="AG2206" s="85">
        <v>45097</v>
      </c>
      <c r="AH2206" s="82" t="s">
        <v>10275</v>
      </c>
      <c r="AI2206" s="77" t="b">
        <v>0</v>
      </c>
      <c r="AJ2206" s="77"/>
      <c r="AK2206" s="77"/>
      <c r="AL2206" s="77"/>
      <c r="AM2206" s="77"/>
      <c r="AN2206" s="77"/>
      <c r="AO2206" s="77"/>
      <c r="AP2206" s="77"/>
      <c r="AQ2206" s="77"/>
      <c r="AR2206" s="77"/>
      <c r="AS2206" s="77"/>
      <c r="AT2206" s="77"/>
      <c r="AU2206" s="77"/>
      <c r="AV2206" s="80" t="str">
        <f>HYPERLINK("https://pbs.twimg.com/profile_images/1365395023072817162/ZI8fAPrO_normal.jpg")</f>
        <v>https://pbs.twimg.com/profile_images/1365395023072817162/ZI8fAPrO_normal.jpg</v>
      </c>
      <c r="AW2206" s="82" t="s">
        <v>15291</v>
      </c>
      <c r="AX2206" s="82" t="s">
        <v>15291</v>
      </c>
      <c r="AY2206" s="77"/>
      <c r="AZ2206" s="82" t="s">
        <v>17385</v>
      </c>
      <c r="BA2206" s="82" t="s">
        <v>17385</v>
      </c>
      <c r="BB2206" s="82" t="s">
        <v>17385</v>
      </c>
      <c r="BC2206" s="82" t="s">
        <v>15291</v>
      </c>
      <c r="BD2206" s="82" t="s">
        <v>17641</v>
      </c>
      <c r="BE2206" s="77"/>
      <c r="BF2206" s="77"/>
      <c r="BG2206" s="77"/>
      <c r="BH2206" s="77"/>
      <c r="BI2206" s="77"/>
    </row>
    <row r="2207" spans="1:61" x14ac:dyDescent="0.25">
      <c r="A2207" s="62" t="s">
        <v>604</v>
      </c>
      <c r="B2207" s="62" t="s">
        <v>604</v>
      </c>
      <c r="C2207" s="63"/>
      <c r="D2207" s="64"/>
      <c r="E2207" s="65"/>
      <c r="F2207" s="66"/>
      <c r="G2207" s="63"/>
      <c r="H2207" s="67"/>
      <c r="I2207" s="68"/>
      <c r="J2207" s="68"/>
      <c r="K2207" s="32"/>
      <c r="L2207" s="75">
        <v>2207</v>
      </c>
      <c r="M2207" s="75"/>
      <c r="N2207" s="70"/>
      <c r="O2207" s="77" t="s">
        <v>179</v>
      </c>
      <c r="P2207" s="79">
        <v>45097.78402777778</v>
      </c>
      <c r="Q2207" s="77" t="s">
        <v>2986</v>
      </c>
      <c r="R2207" s="77">
        <v>0</v>
      </c>
      <c r="S2207" s="77">
        <v>0</v>
      </c>
      <c r="T2207" s="77">
        <v>0</v>
      </c>
      <c r="U2207" s="77">
        <v>0</v>
      </c>
      <c r="V2207" s="77">
        <v>81</v>
      </c>
      <c r="W2207" s="82" t="s">
        <v>6251</v>
      </c>
      <c r="X2207" s="80" t="str">
        <f>HYPERLINK("https://www.moneytimes.com.br/irani-rani3-por-que-acoes-saltam-mais-de-9-nesta-terca-20/")</f>
        <v>https://www.moneytimes.com.br/irani-rani3-por-que-acoes-saltam-mais-de-9-nesta-terca-20/</v>
      </c>
      <c r="Y2207" s="77" t="s">
        <v>7053</v>
      </c>
      <c r="Z2207" s="77"/>
      <c r="AA2207" s="77"/>
      <c r="AB2207" s="77"/>
      <c r="AC2207" s="82" t="s">
        <v>8255</v>
      </c>
      <c r="AD2207" s="77" t="s">
        <v>8278</v>
      </c>
      <c r="AE2207" s="80" t="str">
        <f>HYPERLINK("https://twitter.com/leiaagrotimes/status/1671228674098462730")</f>
        <v>https://twitter.com/leiaagrotimes/status/1671228674098462730</v>
      </c>
      <c r="AF2207" s="79">
        <v>45097.78402777778</v>
      </c>
      <c r="AG2207" s="85">
        <v>45097</v>
      </c>
      <c r="AH2207" s="82" t="s">
        <v>10276</v>
      </c>
      <c r="AI2207" s="77" t="b">
        <v>0</v>
      </c>
      <c r="AJ2207" s="77"/>
      <c r="AK2207" s="77"/>
      <c r="AL2207" s="77"/>
      <c r="AM2207" s="77"/>
      <c r="AN2207" s="77"/>
      <c r="AO2207" s="77"/>
      <c r="AP2207" s="77"/>
      <c r="AQ2207" s="77"/>
      <c r="AR2207" s="77"/>
      <c r="AS2207" s="77"/>
      <c r="AT2207" s="77"/>
      <c r="AU2207" s="77"/>
      <c r="AV2207" s="80" t="str">
        <f>HYPERLINK("https://pbs.twimg.com/profile_images/1365395023072817162/ZI8fAPrO_normal.jpg")</f>
        <v>https://pbs.twimg.com/profile_images/1365395023072817162/ZI8fAPrO_normal.jpg</v>
      </c>
      <c r="AW2207" s="82" t="s">
        <v>15292</v>
      </c>
      <c r="AX2207" s="82" t="s">
        <v>15292</v>
      </c>
      <c r="AY2207" s="77"/>
      <c r="AZ2207" s="82" t="s">
        <v>17385</v>
      </c>
      <c r="BA2207" s="82" t="s">
        <v>17385</v>
      </c>
      <c r="BB2207" s="82" t="s">
        <v>17385</v>
      </c>
      <c r="BC2207" s="82" t="s">
        <v>15292</v>
      </c>
      <c r="BD2207" s="82" t="s">
        <v>17641</v>
      </c>
      <c r="BE2207" s="77"/>
      <c r="BF2207" s="77"/>
      <c r="BG2207" s="77"/>
      <c r="BH2207" s="77"/>
      <c r="BI2207" s="77"/>
    </row>
    <row r="2208" spans="1:61" x14ac:dyDescent="0.25">
      <c r="A2208" s="62" t="s">
        <v>604</v>
      </c>
      <c r="B2208" s="62" t="s">
        <v>604</v>
      </c>
      <c r="C2208" s="63"/>
      <c r="D2208" s="64"/>
      <c r="E2208" s="65"/>
      <c r="F2208" s="66"/>
      <c r="G2208" s="63"/>
      <c r="H2208" s="67"/>
      <c r="I2208" s="68"/>
      <c r="J2208" s="68"/>
      <c r="K2208" s="32"/>
      <c r="L2208" s="75">
        <v>2208</v>
      </c>
      <c r="M2208" s="75"/>
      <c r="N2208" s="70"/>
      <c r="O2208" s="77" t="s">
        <v>179</v>
      </c>
      <c r="P2208" s="79">
        <v>45097.665254629632</v>
      </c>
      <c r="Q2208" s="77" t="s">
        <v>2987</v>
      </c>
      <c r="R2208" s="77">
        <v>0</v>
      </c>
      <c r="S2208" s="77">
        <v>1</v>
      </c>
      <c r="T2208" s="77">
        <v>0</v>
      </c>
      <c r="U2208" s="77">
        <v>0</v>
      </c>
      <c r="V2208" s="77">
        <v>81</v>
      </c>
      <c r="W2208" s="82" t="s">
        <v>6256</v>
      </c>
      <c r="X2208" s="80" t="str">
        <f>HYPERLINK("https://www.moneytimes.com.br/sao-martinho-smto3-xp-e-banco-diferem-com-teses-amarga-e-doce-apos-lucro-cair-mais-de-30/")</f>
        <v>https://www.moneytimes.com.br/sao-martinho-smto3-xp-e-banco-diferem-com-teses-amarga-e-doce-apos-lucro-cair-mais-de-30/</v>
      </c>
      <c r="Y2208" s="77" t="s">
        <v>7053</v>
      </c>
      <c r="Z2208" s="77"/>
      <c r="AA2208" s="77"/>
      <c r="AB2208" s="77"/>
      <c r="AC2208" s="82" t="s">
        <v>8255</v>
      </c>
      <c r="AD2208" s="77" t="s">
        <v>8278</v>
      </c>
      <c r="AE2208" s="80" t="str">
        <f>HYPERLINK("https://twitter.com/leiaagrotimes/status/1671185630175596548")</f>
        <v>https://twitter.com/leiaagrotimes/status/1671185630175596548</v>
      </c>
      <c r="AF2208" s="79">
        <v>45097.665254629632</v>
      </c>
      <c r="AG2208" s="85">
        <v>45097</v>
      </c>
      <c r="AH2208" s="82" t="s">
        <v>10277</v>
      </c>
      <c r="AI2208" s="77" t="b">
        <v>0</v>
      </c>
      <c r="AJ2208" s="77"/>
      <c r="AK2208" s="77"/>
      <c r="AL2208" s="77"/>
      <c r="AM2208" s="77"/>
      <c r="AN2208" s="77"/>
      <c r="AO2208" s="77"/>
      <c r="AP2208" s="77"/>
      <c r="AQ2208" s="77"/>
      <c r="AR2208" s="77"/>
      <c r="AS2208" s="77"/>
      <c r="AT2208" s="77"/>
      <c r="AU2208" s="77"/>
      <c r="AV2208" s="80" t="str">
        <f>HYPERLINK("https://pbs.twimg.com/profile_images/1365395023072817162/ZI8fAPrO_normal.jpg")</f>
        <v>https://pbs.twimg.com/profile_images/1365395023072817162/ZI8fAPrO_normal.jpg</v>
      </c>
      <c r="AW2208" s="82" t="s">
        <v>15293</v>
      </c>
      <c r="AX2208" s="82" t="s">
        <v>15293</v>
      </c>
      <c r="AY2208" s="77"/>
      <c r="AZ2208" s="82" t="s">
        <v>17385</v>
      </c>
      <c r="BA2208" s="82" t="s">
        <v>17385</v>
      </c>
      <c r="BB2208" s="82" t="s">
        <v>17385</v>
      </c>
      <c r="BC2208" s="82" t="s">
        <v>15293</v>
      </c>
      <c r="BD2208" s="82" t="s">
        <v>17641</v>
      </c>
      <c r="BE2208" s="77"/>
      <c r="BF2208" s="77"/>
      <c r="BG2208" s="77"/>
      <c r="BH2208" s="77"/>
      <c r="BI2208" s="77"/>
    </row>
    <row r="2209" spans="1:61" x14ac:dyDescent="0.25">
      <c r="A2209" s="62" t="s">
        <v>604</v>
      </c>
      <c r="B2209" s="62" t="s">
        <v>604</v>
      </c>
      <c r="C2209" s="63"/>
      <c r="D2209" s="64"/>
      <c r="E2209" s="65"/>
      <c r="F2209" s="66"/>
      <c r="G2209" s="63"/>
      <c r="H2209" s="67"/>
      <c r="I2209" s="68"/>
      <c r="J2209" s="68"/>
      <c r="K2209" s="32"/>
      <c r="L2209" s="75">
        <v>2209</v>
      </c>
      <c r="M2209" s="75"/>
      <c r="N2209" s="70"/>
      <c r="O2209" s="77" t="s">
        <v>179</v>
      </c>
      <c r="P2209" s="79">
        <v>45079.755949074075</v>
      </c>
      <c r="Q2209" s="77" t="s">
        <v>2988</v>
      </c>
      <c r="R2209" s="77">
        <v>0</v>
      </c>
      <c r="S2209" s="77">
        <v>0</v>
      </c>
      <c r="T2209" s="77">
        <v>0</v>
      </c>
      <c r="U2209" s="77">
        <v>0</v>
      </c>
      <c r="V2209" s="77">
        <v>71</v>
      </c>
      <c r="W2209" s="82" t="s">
        <v>6252</v>
      </c>
      <c r="X2209" s="80" t="str">
        <f>HYPERLINK("https://www.moneytimes.com.br/small-caps-btg-renova-60-da-carteira-para-junho-acao-agro-que-pode-disparar-51-e-novidade/")</f>
        <v>https://www.moneytimes.com.br/small-caps-btg-renova-60-da-carteira-para-junho-acao-agro-que-pode-disparar-51-e-novidade/</v>
      </c>
      <c r="Y2209" s="77" t="s">
        <v>7053</v>
      </c>
      <c r="Z2209" s="77"/>
      <c r="AA2209" s="77"/>
      <c r="AB2209" s="77"/>
      <c r="AC2209" s="82" t="s">
        <v>8255</v>
      </c>
      <c r="AD2209" s="77" t="s">
        <v>8278</v>
      </c>
      <c r="AE2209" s="80" t="str">
        <f>HYPERLINK("https://twitter.com/leiaagrotimes/status/1664695516934832133")</f>
        <v>https://twitter.com/leiaagrotimes/status/1664695516934832133</v>
      </c>
      <c r="AF2209" s="79">
        <v>45079.755949074075</v>
      </c>
      <c r="AG2209" s="85">
        <v>45079</v>
      </c>
      <c r="AH2209" s="82" t="s">
        <v>10278</v>
      </c>
      <c r="AI2209" s="77" t="b">
        <v>0</v>
      </c>
      <c r="AJ2209" s="77"/>
      <c r="AK2209" s="77"/>
      <c r="AL2209" s="77"/>
      <c r="AM2209" s="77"/>
      <c r="AN2209" s="77"/>
      <c r="AO2209" s="77"/>
      <c r="AP2209" s="77"/>
      <c r="AQ2209" s="77"/>
      <c r="AR2209" s="77"/>
      <c r="AS2209" s="77"/>
      <c r="AT2209" s="77"/>
      <c r="AU2209" s="77"/>
      <c r="AV2209" s="80" t="str">
        <f>HYPERLINK("https://pbs.twimg.com/profile_images/1365395023072817162/ZI8fAPrO_normal.jpg")</f>
        <v>https://pbs.twimg.com/profile_images/1365395023072817162/ZI8fAPrO_normal.jpg</v>
      </c>
      <c r="AW2209" s="82" t="s">
        <v>15294</v>
      </c>
      <c r="AX2209" s="82" t="s">
        <v>15294</v>
      </c>
      <c r="AY2209" s="77"/>
      <c r="AZ2209" s="82" t="s">
        <v>17385</v>
      </c>
      <c r="BA2209" s="82" t="s">
        <v>17385</v>
      </c>
      <c r="BB2209" s="82" t="s">
        <v>17385</v>
      </c>
      <c r="BC2209" s="82" t="s">
        <v>15294</v>
      </c>
      <c r="BD2209" s="82" t="s">
        <v>17641</v>
      </c>
      <c r="BE2209" s="77"/>
      <c r="BF2209" s="77"/>
      <c r="BG2209" s="77"/>
      <c r="BH2209" s="77"/>
      <c r="BI2209" s="77"/>
    </row>
    <row r="2210" spans="1:61" x14ac:dyDescent="0.25">
      <c r="A2210" s="62" t="s">
        <v>604</v>
      </c>
      <c r="B2210" s="62" t="s">
        <v>604</v>
      </c>
      <c r="C2210" s="63"/>
      <c r="D2210" s="64"/>
      <c r="E2210" s="65"/>
      <c r="F2210" s="66"/>
      <c r="G2210" s="63"/>
      <c r="H2210" s="67"/>
      <c r="I2210" s="68"/>
      <c r="J2210" s="68"/>
      <c r="K2210" s="32"/>
      <c r="L2210" s="75">
        <v>2210</v>
      </c>
      <c r="M2210" s="75"/>
      <c r="N2210" s="70"/>
      <c r="O2210" s="77" t="s">
        <v>179</v>
      </c>
      <c r="P2210" s="79">
        <v>45079.655891203707</v>
      </c>
      <c r="Q2210" s="77" t="s">
        <v>2989</v>
      </c>
      <c r="R2210" s="77">
        <v>0</v>
      </c>
      <c r="S2210" s="77">
        <v>0</v>
      </c>
      <c r="T2210" s="77">
        <v>0</v>
      </c>
      <c r="U2210" s="77">
        <v>0</v>
      </c>
      <c r="V2210" s="77">
        <v>94</v>
      </c>
      <c r="W2210" s="82" t="s">
        <v>6269</v>
      </c>
      <c r="X2210" s="80" t="str">
        <f>HYPERLINK("https://www.moneytimes.com.br/cosan-csan3-entenda-os-fatores-para-a-disparada-nesta-sexta-2-hora-de-comprar/")</f>
        <v>https://www.moneytimes.com.br/cosan-csan3-entenda-os-fatores-para-a-disparada-nesta-sexta-2-hora-de-comprar/</v>
      </c>
      <c r="Y2210" s="77" t="s">
        <v>7053</v>
      </c>
      <c r="Z2210" s="77"/>
      <c r="AA2210" s="77"/>
      <c r="AB2210" s="77"/>
      <c r="AC2210" s="82" t="s">
        <v>8255</v>
      </c>
      <c r="AD2210" s="77" t="s">
        <v>8278</v>
      </c>
      <c r="AE2210" s="80" t="str">
        <f>HYPERLINK("https://twitter.com/leiaagrotimes/status/1664659255952121857")</f>
        <v>https://twitter.com/leiaagrotimes/status/1664659255952121857</v>
      </c>
      <c r="AF2210" s="79">
        <v>45079.655891203707</v>
      </c>
      <c r="AG2210" s="85">
        <v>45079</v>
      </c>
      <c r="AH2210" s="82" t="s">
        <v>10279</v>
      </c>
      <c r="AI2210" s="77" t="b">
        <v>0</v>
      </c>
      <c r="AJ2210" s="77"/>
      <c r="AK2210" s="77"/>
      <c r="AL2210" s="77"/>
      <c r="AM2210" s="77"/>
      <c r="AN2210" s="77"/>
      <c r="AO2210" s="77"/>
      <c r="AP2210" s="77"/>
      <c r="AQ2210" s="77"/>
      <c r="AR2210" s="77"/>
      <c r="AS2210" s="77"/>
      <c r="AT2210" s="77"/>
      <c r="AU2210" s="77"/>
      <c r="AV2210" s="80" t="str">
        <f>HYPERLINK("https://pbs.twimg.com/profile_images/1365395023072817162/ZI8fAPrO_normal.jpg")</f>
        <v>https://pbs.twimg.com/profile_images/1365395023072817162/ZI8fAPrO_normal.jpg</v>
      </c>
      <c r="AW2210" s="82" t="s">
        <v>15295</v>
      </c>
      <c r="AX2210" s="82" t="s">
        <v>15295</v>
      </c>
      <c r="AY2210" s="77"/>
      <c r="AZ2210" s="82" t="s">
        <v>17385</v>
      </c>
      <c r="BA2210" s="82" t="s">
        <v>17385</v>
      </c>
      <c r="BB2210" s="82" t="s">
        <v>17385</v>
      </c>
      <c r="BC2210" s="82" t="s">
        <v>15295</v>
      </c>
      <c r="BD2210" s="82" t="s">
        <v>17641</v>
      </c>
      <c r="BE2210" s="77"/>
      <c r="BF2210" s="77"/>
      <c r="BG2210" s="77"/>
      <c r="BH2210" s="77"/>
      <c r="BI2210" s="77"/>
    </row>
    <row r="2211" spans="1:61" x14ac:dyDescent="0.25">
      <c r="A2211" s="62" t="s">
        <v>604</v>
      </c>
      <c r="B2211" s="62" t="s">
        <v>604</v>
      </c>
      <c r="C2211" s="63"/>
      <c r="D2211" s="64"/>
      <c r="E2211" s="65"/>
      <c r="F2211" s="66"/>
      <c r="G2211" s="63"/>
      <c r="H2211" s="67"/>
      <c r="I2211" s="68"/>
      <c r="J2211" s="68"/>
      <c r="K2211" s="32"/>
      <c r="L2211" s="75">
        <v>2211</v>
      </c>
      <c r="M2211" s="75"/>
      <c r="N2211" s="70"/>
      <c r="O2211" s="77" t="s">
        <v>179</v>
      </c>
      <c r="P2211" s="79">
        <v>45078.803935185184</v>
      </c>
      <c r="Q2211" s="77" t="s">
        <v>2990</v>
      </c>
      <c r="R2211" s="77">
        <v>0</v>
      </c>
      <c r="S2211" s="77">
        <v>1</v>
      </c>
      <c r="T2211" s="77">
        <v>0</v>
      </c>
      <c r="U2211" s="77">
        <v>0</v>
      </c>
      <c r="V2211" s="77">
        <v>33</v>
      </c>
      <c r="W2211" s="82" t="s">
        <v>6256</v>
      </c>
      <c r="X2211" s="80" t="str">
        <f>HYPERLINK("https://www.moneytimes.com.br/previsao-de-clima-seco-faz-soja-e-trigo-abrirem-junho-com-forte-alta-ha-risco-de-quebra/")</f>
        <v>https://www.moneytimes.com.br/previsao-de-clima-seco-faz-soja-e-trigo-abrirem-junho-com-forte-alta-ha-risco-de-quebra/</v>
      </c>
      <c r="Y2211" s="77" t="s">
        <v>7053</v>
      </c>
      <c r="Z2211" s="77"/>
      <c r="AA2211" s="77"/>
      <c r="AB2211" s="77"/>
      <c r="AC2211" s="82" t="s">
        <v>8255</v>
      </c>
      <c r="AD2211" s="77" t="s">
        <v>8278</v>
      </c>
      <c r="AE2211" s="80" t="str">
        <f>HYPERLINK("https://twitter.com/leiaagrotimes/status/1664350517387051011")</f>
        <v>https://twitter.com/leiaagrotimes/status/1664350517387051011</v>
      </c>
      <c r="AF2211" s="79">
        <v>45078.803935185184</v>
      </c>
      <c r="AG2211" s="85">
        <v>45078</v>
      </c>
      <c r="AH2211" s="82" t="s">
        <v>10280</v>
      </c>
      <c r="AI2211" s="77" t="b">
        <v>0</v>
      </c>
      <c r="AJ2211" s="77"/>
      <c r="AK2211" s="77"/>
      <c r="AL2211" s="77"/>
      <c r="AM2211" s="77"/>
      <c r="AN2211" s="77"/>
      <c r="AO2211" s="77"/>
      <c r="AP2211" s="77"/>
      <c r="AQ2211" s="77"/>
      <c r="AR2211" s="77"/>
      <c r="AS2211" s="77"/>
      <c r="AT2211" s="77"/>
      <c r="AU2211" s="77"/>
      <c r="AV2211" s="80" t="str">
        <f>HYPERLINK("https://pbs.twimg.com/profile_images/1365395023072817162/ZI8fAPrO_normal.jpg")</f>
        <v>https://pbs.twimg.com/profile_images/1365395023072817162/ZI8fAPrO_normal.jpg</v>
      </c>
      <c r="AW2211" s="82" t="s">
        <v>15296</v>
      </c>
      <c r="AX2211" s="82" t="s">
        <v>15296</v>
      </c>
      <c r="AY2211" s="77"/>
      <c r="AZ2211" s="82" t="s">
        <v>17385</v>
      </c>
      <c r="BA2211" s="82" t="s">
        <v>17385</v>
      </c>
      <c r="BB2211" s="82" t="s">
        <v>17385</v>
      </c>
      <c r="BC2211" s="82" t="s">
        <v>15296</v>
      </c>
      <c r="BD2211" s="82" t="s">
        <v>17641</v>
      </c>
      <c r="BE2211" s="77"/>
      <c r="BF2211" s="77"/>
      <c r="BG2211" s="77"/>
      <c r="BH2211" s="77"/>
      <c r="BI2211" s="77"/>
    </row>
    <row r="2212" spans="1:61" x14ac:dyDescent="0.25">
      <c r="A2212" s="62" t="s">
        <v>604</v>
      </c>
      <c r="B2212" s="62" t="s">
        <v>604</v>
      </c>
      <c r="C2212" s="63"/>
      <c r="D2212" s="64"/>
      <c r="E2212" s="65"/>
      <c r="F2212" s="66"/>
      <c r="G2212" s="63"/>
      <c r="H2212" s="67"/>
      <c r="I2212" s="68"/>
      <c r="J2212" s="68"/>
      <c r="K2212" s="32"/>
      <c r="L2212" s="75">
        <v>2212</v>
      </c>
      <c r="M2212" s="75"/>
      <c r="N2212" s="70"/>
      <c r="O2212" s="77" t="s">
        <v>179</v>
      </c>
      <c r="P2212" s="79">
        <v>45078.742326388892</v>
      </c>
      <c r="Q2212" s="77" t="s">
        <v>2991</v>
      </c>
      <c r="R2212" s="77">
        <v>0</v>
      </c>
      <c r="S2212" s="77">
        <v>0</v>
      </c>
      <c r="T2212" s="77">
        <v>0</v>
      </c>
      <c r="U2212" s="77">
        <v>0</v>
      </c>
      <c r="V2212" s="77">
        <v>48</v>
      </c>
      <c r="W2212" s="82" t="s">
        <v>6251</v>
      </c>
      <c r="X2212" s="80" t="str">
        <f>HYPERLINK("https://www.moneytimes.com.br/brf-brfs3-apos-promessa-de-bilhoes-bofa-eleva-recomendacao-hora-de-comprar/")</f>
        <v>https://www.moneytimes.com.br/brf-brfs3-apos-promessa-de-bilhoes-bofa-eleva-recomendacao-hora-de-comprar/</v>
      </c>
      <c r="Y2212" s="77" t="s">
        <v>7053</v>
      </c>
      <c r="Z2212" s="77"/>
      <c r="AA2212" s="77"/>
      <c r="AB2212" s="77"/>
      <c r="AC2212" s="82" t="s">
        <v>8255</v>
      </c>
      <c r="AD2212" s="77" t="s">
        <v>8278</v>
      </c>
      <c r="AE2212" s="80" t="str">
        <f>HYPERLINK("https://twitter.com/leiaagrotimes/status/1664328193333927937")</f>
        <v>https://twitter.com/leiaagrotimes/status/1664328193333927937</v>
      </c>
      <c r="AF2212" s="79">
        <v>45078.742326388892</v>
      </c>
      <c r="AG2212" s="85">
        <v>45078</v>
      </c>
      <c r="AH2212" s="82" t="s">
        <v>10281</v>
      </c>
      <c r="AI2212" s="77" t="b">
        <v>0</v>
      </c>
      <c r="AJ2212" s="77"/>
      <c r="AK2212" s="77"/>
      <c r="AL2212" s="77"/>
      <c r="AM2212" s="77"/>
      <c r="AN2212" s="77"/>
      <c r="AO2212" s="77"/>
      <c r="AP2212" s="77"/>
      <c r="AQ2212" s="77"/>
      <c r="AR2212" s="77"/>
      <c r="AS2212" s="77"/>
      <c r="AT2212" s="77"/>
      <c r="AU2212" s="77"/>
      <c r="AV2212" s="80" t="str">
        <f>HYPERLINK("https://pbs.twimg.com/profile_images/1365395023072817162/ZI8fAPrO_normal.jpg")</f>
        <v>https://pbs.twimg.com/profile_images/1365395023072817162/ZI8fAPrO_normal.jpg</v>
      </c>
      <c r="AW2212" s="82" t="s">
        <v>15297</v>
      </c>
      <c r="AX2212" s="82" t="s">
        <v>15297</v>
      </c>
      <c r="AY2212" s="77"/>
      <c r="AZ2212" s="82" t="s">
        <v>17385</v>
      </c>
      <c r="BA2212" s="82" t="s">
        <v>17385</v>
      </c>
      <c r="BB2212" s="82" t="s">
        <v>17385</v>
      </c>
      <c r="BC2212" s="82" t="s">
        <v>15297</v>
      </c>
      <c r="BD2212" s="82" t="s">
        <v>17641</v>
      </c>
      <c r="BE2212" s="77"/>
      <c r="BF2212" s="77"/>
      <c r="BG2212" s="77"/>
      <c r="BH2212" s="77"/>
      <c r="BI2212" s="77"/>
    </row>
    <row r="2213" spans="1:61" x14ac:dyDescent="0.25">
      <c r="A2213" s="62" t="s">
        <v>604</v>
      </c>
      <c r="B2213" s="62" t="s">
        <v>604</v>
      </c>
      <c r="C2213" s="63"/>
      <c r="D2213" s="64"/>
      <c r="E2213" s="65"/>
      <c r="F2213" s="66"/>
      <c r="G2213" s="63"/>
      <c r="H2213" s="67"/>
      <c r="I2213" s="68"/>
      <c r="J2213" s="68"/>
      <c r="K2213" s="32"/>
      <c r="L2213" s="75">
        <v>2213</v>
      </c>
      <c r="M2213" s="75"/>
      <c r="N2213" s="70"/>
      <c r="O2213" s="77" t="s">
        <v>179</v>
      </c>
      <c r="P2213" s="79">
        <v>45061.613912037035</v>
      </c>
      <c r="Q2213" s="77" t="s">
        <v>2992</v>
      </c>
      <c r="R2213" s="77">
        <v>0</v>
      </c>
      <c r="S2213" s="77">
        <v>0</v>
      </c>
      <c r="T2213" s="77">
        <v>0</v>
      </c>
      <c r="U2213" s="77">
        <v>0</v>
      </c>
      <c r="V2213" s="77">
        <v>95</v>
      </c>
      <c r="W2213" s="82" t="s">
        <v>6253</v>
      </c>
      <c r="X2213" s="80" t="str">
        <f>HYPERLINK("https://www.moneytimes.com.br/m-dias-branco-mdia3-dispara-apos-1t23-veja-a-recomendacao-da-empiricus/")</f>
        <v>https://www.moneytimes.com.br/m-dias-branco-mdia3-dispara-apos-1t23-veja-a-recomendacao-da-empiricus/</v>
      </c>
      <c r="Y2213" s="77" t="s">
        <v>7053</v>
      </c>
      <c r="Z2213" s="77"/>
      <c r="AA2213" s="77"/>
      <c r="AB2213" s="77"/>
      <c r="AC2213" s="82" t="s">
        <v>8255</v>
      </c>
      <c r="AD2213" s="77" t="s">
        <v>8278</v>
      </c>
      <c r="AE2213" s="80" t="str">
        <f>HYPERLINK("https://twitter.com/leiaagrotimes/status/1658121064520507394")</f>
        <v>https://twitter.com/leiaagrotimes/status/1658121064520507394</v>
      </c>
      <c r="AF2213" s="79">
        <v>45061.613912037035</v>
      </c>
      <c r="AG2213" s="85">
        <v>45061</v>
      </c>
      <c r="AH2213" s="82" t="s">
        <v>9986</v>
      </c>
      <c r="AI2213" s="77" t="b">
        <v>0</v>
      </c>
      <c r="AJ2213" s="77"/>
      <c r="AK2213" s="77"/>
      <c r="AL2213" s="77"/>
      <c r="AM2213" s="77"/>
      <c r="AN2213" s="77"/>
      <c r="AO2213" s="77"/>
      <c r="AP2213" s="77"/>
      <c r="AQ2213" s="77"/>
      <c r="AR2213" s="77"/>
      <c r="AS2213" s="77"/>
      <c r="AT2213" s="77"/>
      <c r="AU2213" s="77"/>
      <c r="AV2213" s="80" t="str">
        <f>HYPERLINK("https://pbs.twimg.com/profile_images/1365395023072817162/ZI8fAPrO_normal.jpg")</f>
        <v>https://pbs.twimg.com/profile_images/1365395023072817162/ZI8fAPrO_normal.jpg</v>
      </c>
      <c r="AW2213" s="82" t="s">
        <v>15298</v>
      </c>
      <c r="AX2213" s="82" t="s">
        <v>15298</v>
      </c>
      <c r="AY2213" s="77"/>
      <c r="AZ2213" s="82" t="s">
        <v>17385</v>
      </c>
      <c r="BA2213" s="82" t="s">
        <v>17385</v>
      </c>
      <c r="BB2213" s="82" t="s">
        <v>17385</v>
      </c>
      <c r="BC2213" s="82" t="s">
        <v>15298</v>
      </c>
      <c r="BD2213" s="82" t="s">
        <v>17641</v>
      </c>
      <c r="BE2213" s="77"/>
      <c r="BF2213" s="77"/>
      <c r="BG2213" s="77"/>
      <c r="BH2213" s="77"/>
      <c r="BI2213" s="77"/>
    </row>
    <row r="2214" spans="1:61" x14ac:dyDescent="0.25">
      <c r="A2214" s="62" t="s">
        <v>604</v>
      </c>
      <c r="B2214" s="62" t="s">
        <v>604</v>
      </c>
      <c r="C2214" s="63"/>
      <c r="D2214" s="64"/>
      <c r="E2214" s="65"/>
      <c r="F2214" s="66"/>
      <c r="G2214" s="63"/>
      <c r="H2214" s="67"/>
      <c r="I2214" s="68"/>
      <c r="J2214" s="68"/>
      <c r="K2214" s="32"/>
      <c r="L2214" s="75">
        <v>2214</v>
      </c>
      <c r="M2214" s="75"/>
      <c r="N2214" s="70"/>
      <c r="O2214" s="77" t="s">
        <v>179</v>
      </c>
      <c r="P2214" s="79">
        <v>45061.611331018517</v>
      </c>
      <c r="Q2214" s="77" t="s">
        <v>2993</v>
      </c>
      <c r="R2214" s="77">
        <v>0</v>
      </c>
      <c r="S2214" s="77">
        <v>0</v>
      </c>
      <c r="T2214" s="77">
        <v>0</v>
      </c>
      <c r="U2214" s="77">
        <v>0</v>
      </c>
      <c r="V2214" s="77">
        <v>134</v>
      </c>
      <c r="W2214" s="82" t="s">
        <v>6256</v>
      </c>
      <c r="X2214" s="80" t="str">
        <f>HYPERLINK("https://www.moneytimes.com.br/raizen-raiz4-surpresas-negativas-no-1t23-afundam-acoes-entenda/")</f>
        <v>https://www.moneytimes.com.br/raizen-raiz4-surpresas-negativas-no-1t23-afundam-acoes-entenda/</v>
      </c>
      <c r="Y2214" s="77" t="s">
        <v>7053</v>
      </c>
      <c r="Z2214" s="77"/>
      <c r="AA2214" s="77"/>
      <c r="AB2214" s="77"/>
      <c r="AC2214" s="82" t="s">
        <v>8255</v>
      </c>
      <c r="AD2214" s="77" t="s">
        <v>8278</v>
      </c>
      <c r="AE2214" s="80" t="str">
        <f>HYPERLINK("https://twitter.com/leiaagrotimes/status/1658120126275678211")</f>
        <v>https://twitter.com/leiaagrotimes/status/1658120126275678211</v>
      </c>
      <c r="AF2214" s="79">
        <v>45061.611331018517</v>
      </c>
      <c r="AG2214" s="85">
        <v>45061</v>
      </c>
      <c r="AH2214" s="82" t="s">
        <v>10282</v>
      </c>
      <c r="AI2214" s="77" t="b">
        <v>0</v>
      </c>
      <c r="AJ2214" s="77"/>
      <c r="AK2214" s="77"/>
      <c r="AL2214" s="77"/>
      <c r="AM2214" s="77"/>
      <c r="AN2214" s="77"/>
      <c r="AO2214" s="77"/>
      <c r="AP2214" s="77"/>
      <c r="AQ2214" s="77"/>
      <c r="AR2214" s="77"/>
      <c r="AS2214" s="77"/>
      <c r="AT2214" s="77"/>
      <c r="AU2214" s="77"/>
      <c r="AV2214" s="80" t="str">
        <f>HYPERLINK("https://pbs.twimg.com/profile_images/1365395023072817162/ZI8fAPrO_normal.jpg")</f>
        <v>https://pbs.twimg.com/profile_images/1365395023072817162/ZI8fAPrO_normal.jpg</v>
      </c>
      <c r="AW2214" s="82" t="s">
        <v>15299</v>
      </c>
      <c r="AX2214" s="82" t="s">
        <v>15299</v>
      </c>
      <c r="AY2214" s="77"/>
      <c r="AZ2214" s="82" t="s">
        <v>17385</v>
      </c>
      <c r="BA2214" s="82" t="s">
        <v>17385</v>
      </c>
      <c r="BB2214" s="82" t="s">
        <v>17385</v>
      </c>
      <c r="BC2214" s="82" t="s">
        <v>15299</v>
      </c>
      <c r="BD2214" s="82" t="s">
        <v>17641</v>
      </c>
      <c r="BE2214" s="77"/>
      <c r="BF2214" s="77"/>
      <c r="BG2214" s="77"/>
      <c r="BH2214" s="77"/>
      <c r="BI2214" s="77"/>
    </row>
    <row r="2215" spans="1:61" x14ac:dyDescent="0.25">
      <c r="A2215" s="62" t="s">
        <v>604</v>
      </c>
      <c r="B2215" s="62" t="s">
        <v>604</v>
      </c>
      <c r="C2215" s="63"/>
      <c r="D2215" s="64"/>
      <c r="E2215" s="65"/>
      <c r="F2215" s="66"/>
      <c r="G2215" s="63"/>
      <c r="H2215" s="67"/>
      <c r="I2215" s="68"/>
      <c r="J2215" s="68"/>
      <c r="K2215" s="32"/>
      <c r="L2215" s="75">
        <v>2215</v>
      </c>
      <c r="M2215" s="75"/>
      <c r="N2215" s="70"/>
      <c r="O2215" s="77" t="s">
        <v>179</v>
      </c>
      <c r="P2215" s="79">
        <v>45060.626157407409</v>
      </c>
      <c r="Q2215" s="77" t="s">
        <v>2994</v>
      </c>
      <c r="R2215" s="77">
        <v>0</v>
      </c>
      <c r="S2215" s="77">
        <v>1</v>
      </c>
      <c r="T2215" s="77">
        <v>0</v>
      </c>
      <c r="U2215" s="77">
        <v>0</v>
      </c>
      <c r="V2215" s="77">
        <v>189</v>
      </c>
      <c r="W2215" s="82" t="s">
        <v>6256</v>
      </c>
      <c r="X2215" s="80" t="str">
        <f>HYPERLINK("https://www.moneytimes.com.br/sao-martinho-smto3-desbanca-minerva-beef3-boi-gordo-e-acao-que-pode-crescer-100-veja-5-assuntos-no-agro-times/")</f>
        <v>https://www.moneytimes.com.br/sao-martinho-smto3-desbanca-minerva-beef3-boi-gordo-e-acao-que-pode-crescer-100-veja-5-assuntos-no-agro-times/</v>
      </c>
      <c r="Y2215" s="77" t="s">
        <v>7053</v>
      </c>
      <c r="Z2215" s="77"/>
      <c r="AA2215" s="77"/>
      <c r="AB2215" s="77"/>
      <c r="AC2215" s="82" t="s">
        <v>8255</v>
      </c>
      <c r="AD2215" s="77" t="s">
        <v>8278</v>
      </c>
      <c r="AE2215" s="80" t="str">
        <f>HYPERLINK("https://twitter.com/leiaagrotimes/status/1657763114664833024")</f>
        <v>https://twitter.com/leiaagrotimes/status/1657763114664833024</v>
      </c>
      <c r="AF2215" s="79">
        <v>45060.626157407409</v>
      </c>
      <c r="AG2215" s="85">
        <v>45060</v>
      </c>
      <c r="AH2215" s="82" t="s">
        <v>10283</v>
      </c>
      <c r="AI2215" s="77" t="b">
        <v>0</v>
      </c>
      <c r="AJ2215" s="77"/>
      <c r="AK2215" s="77"/>
      <c r="AL2215" s="77"/>
      <c r="AM2215" s="77"/>
      <c r="AN2215" s="77"/>
      <c r="AO2215" s="77"/>
      <c r="AP2215" s="77"/>
      <c r="AQ2215" s="77"/>
      <c r="AR2215" s="77"/>
      <c r="AS2215" s="77"/>
      <c r="AT2215" s="77"/>
      <c r="AU2215" s="77"/>
      <c r="AV2215" s="80" t="str">
        <f>HYPERLINK("https://pbs.twimg.com/profile_images/1365395023072817162/ZI8fAPrO_normal.jpg")</f>
        <v>https://pbs.twimg.com/profile_images/1365395023072817162/ZI8fAPrO_normal.jpg</v>
      </c>
      <c r="AW2215" s="82" t="s">
        <v>15300</v>
      </c>
      <c r="AX2215" s="82" t="s">
        <v>15300</v>
      </c>
      <c r="AY2215" s="77"/>
      <c r="AZ2215" s="82" t="s">
        <v>17385</v>
      </c>
      <c r="BA2215" s="82" t="s">
        <v>17385</v>
      </c>
      <c r="BB2215" s="82" t="s">
        <v>17385</v>
      </c>
      <c r="BC2215" s="82" t="s">
        <v>15300</v>
      </c>
      <c r="BD2215" s="82" t="s">
        <v>17641</v>
      </c>
      <c r="BE2215" s="77"/>
      <c r="BF2215" s="77"/>
      <c r="BG2215" s="77"/>
      <c r="BH2215" s="77"/>
      <c r="BI2215" s="77"/>
    </row>
    <row r="2216" spans="1:61" x14ac:dyDescent="0.25">
      <c r="A2216" s="62" t="s">
        <v>604</v>
      </c>
      <c r="B2216" s="62" t="s">
        <v>604</v>
      </c>
      <c r="C2216" s="63"/>
      <c r="D2216" s="64"/>
      <c r="E2216" s="65"/>
      <c r="F2216" s="66"/>
      <c r="G2216" s="63"/>
      <c r="H2216" s="67"/>
      <c r="I2216" s="68"/>
      <c r="J2216" s="68"/>
      <c r="K2216" s="32"/>
      <c r="L2216" s="75">
        <v>2216</v>
      </c>
      <c r="M2216" s="75"/>
      <c r="N2216" s="70"/>
      <c r="O2216" s="77" t="s">
        <v>179</v>
      </c>
      <c r="P2216" s="79">
        <v>45059.682060185187</v>
      </c>
      <c r="Q2216" s="77" t="s">
        <v>2995</v>
      </c>
      <c r="R2216" s="77">
        <v>0</v>
      </c>
      <c r="S2216" s="77">
        <v>1</v>
      </c>
      <c r="T2216" s="77">
        <v>0</v>
      </c>
      <c r="U2216" s="77">
        <v>0</v>
      </c>
      <c r="V2216" s="77">
        <v>138</v>
      </c>
      <c r="W2216" s="82" t="s">
        <v>6256</v>
      </c>
      <c r="X2216" s="80" t="str">
        <f>HYPERLINK("https://www.moneytimes.com.br/raizen-raiz4-projeta-queda-de-ate-117-no-ebitda-ajustado-no-ano-safra-2023-2024/")</f>
        <v>https://www.moneytimes.com.br/raizen-raiz4-projeta-queda-de-ate-117-no-ebitda-ajustado-no-ano-safra-2023-2024/</v>
      </c>
      <c r="Y2216" s="77" t="s">
        <v>7053</v>
      </c>
      <c r="Z2216" s="77"/>
      <c r="AA2216" s="77"/>
      <c r="AB2216" s="77"/>
      <c r="AC2216" s="82" t="s">
        <v>8255</v>
      </c>
      <c r="AD2216" s="77" t="s">
        <v>8278</v>
      </c>
      <c r="AE2216" s="80" t="str">
        <f>HYPERLINK("https://twitter.com/leiaagrotimes/status/1657420981785296898")</f>
        <v>https://twitter.com/leiaagrotimes/status/1657420981785296898</v>
      </c>
      <c r="AF2216" s="79">
        <v>45059.682060185187</v>
      </c>
      <c r="AG2216" s="85">
        <v>45059</v>
      </c>
      <c r="AH2216" s="82" t="s">
        <v>10284</v>
      </c>
      <c r="AI2216" s="77" t="b">
        <v>0</v>
      </c>
      <c r="AJ2216" s="77"/>
      <c r="AK2216" s="77"/>
      <c r="AL2216" s="77"/>
      <c r="AM2216" s="77"/>
      <c r="AN2216" s="77"/>
      <c r="AO2216" s="77"/>
      <c r="AP2216" s="77"/>
      <c r="AQ2216" s="77"/>
      <c r="AR2216" s="77"/>
      <c r="AS2216" s="77"/>
      <c r="AT2216" s="77"/>
      <c r="AU2216" s="77"/>
      <c r="AV2216" s="80" t="str">
        <f>HYPERLINK("https://pbs.twimg.com/profile_images/1365395023072817162/ZI8fAPrO_normal.jpg")</f>
        <v>https://pbs.twimg.com/profile_images/1365395023072817162/ZI8fAPrO_normal.jpg</v>
      </c>
      <c r="AW2216" s="82" t="s">
        <v>15301</v>
      </c>
      <c r="AX2216" s="82" t="s">
        <v>15301</v>
      </c>
      <c r="AY2216" s="77"/>
      <c r="AZ2216" s="82" t="s">
        <v>17385</v>
      </c>
      <c r="BA2216" s="82" t="s">
        <v>17385</v>
      </c>
      <c r="BB2216" s="82" t="s">
        <v>17385</v>
      </c>
      <c r="BC2216" s="82" t="s">
        <v>15301</v>
      </c>
      <c r="BD2216" s="82" t="s">
        <v>17641</v>
      </c>
      <c r="BE2216" s="77"/>
      <c r="BF2216" s="77"/>
      <c r="BG2216" s="77"/>
      <c r="BH2216" s="77"/>
      <c r="BI2216" s="77"/>
    </row>
    <row r="2217" spans="1:61" x14ac:dyDescent="0.25">
      <c r="A2217" s="62" t="s">
        <v>604</v>
      </c>
      <c r="B2217" s="62" t="s">
        <v>604</v>
      </c>
      <c r="C2217" s="63"/>
      <c r="D2217" s="64"/>
      <c r="E2217" s="65"/>
      <c r="F2217" s="66"/>
      <c r="G2217" s="63"/>
      <c r="H2217" s="67"/>
      <c r="I2217" s="68"/>
      <c r="J2217" s="68"/>
      <c r="K2217" s="32"/>
      <c r="L2217" s="75">
        <v>2217</v>
      </c>
      <c r="M2217" s="75"/>
      <c r="N2217" s="70"/>
      <c r="O2217" s="77" t="s">
        <v>179</v>
      </c>
      <c r="P2217" s="79">
        <v>45058.57371527778</v>
      </c>
      <c r="Q2217" s="77" t="s">
        <v>2996</v>
      </c>
      <c r="R2217" s="77">
        <v>0</v>
      </c>
      <c r="S2217" s="77">
        <v>0</v>
      </c>
      <c r="T2217" s="77">
        <v>0</v>
      </c>
      <c r="U2217" s="77">
        <v>0</v>
      </c>
      <c r="V2217" s="77">
        <v>117</v>
      </c>
      <c r="W2217" s="82" t="s">
        <v>6251</v>
      </c>
      <c r="X2217" s="80" t="str">
        <f>HYPERLINK("https://www.moneytimes.com.br/jbs-jbss3-ebitda-ajustado-do-1t23-fica-48-abaixo-da-previsao-do-btg-que-nao-ve-brincadeira-acoes-despencam-9/")</f>
        <v>https://www.moneytimes.com.br/jbs-jbss3-ebitda-ajustado-do-1t23-fica-48-abaixo-da-previsao-do-btg-que-nao-ve-brincadeira-acoes-despencam-9/</v>
      </c>
      <c r="Y2217" s="77" t="s">
        <v>7053</v>
      </c>
      <c r="Z2217" s="77"/>
      <c r="AA2217" s="77"/>
      <c r="AB2217" s="77"/>
      <c r="AC2217" s="82" t="s">
        <v>8255</v>
      </c>
      <c r="AD2217" s="77" t="s">
        <v>8278</v>
      </c>
      <c r="AE2217" s="80" t="str">
        <f>HYPERLINK("https://twitter.com/leiaagrotimes/status/1657019331400613894")</f>
        <v>https://twitter.com/leiaagrotimes/status/1657019331400613894</v>
      </c>
      <c r="AF2217" s="79">
        <v>45058.57371527778</v>
      </c>
      <c r="AG2217" s="85">
        <v>45058</v>
      </c>
      <c r="AH2217" s="82" t="s">
        <v>10285</v>
      </c>
      <c r="AI2217" s="77" t="b">
        <v>0</v>
      </c>
      <c r="AJ2217" s="77"/>
      <c r="AK2217" s="77"/>
      <c r="AL2217" s="77"/>
      <c r="AM2217" s="77"/>
      <c r="AN2217" s="77"/>
      <c r="AO2217" s="77"/>
      <c r="AP2217" s="77"/>
      <c r="AQ2217" s="77"/>
      <c r="AR2217" s="77"/>
      <c r="AS2217" s="77"/>
      <c r="AT2217" s="77"/>
      <c r="AU2217" s="77"/>
      <c r="AV2217" s="80" t="str">
        <f>HYPERLINK("https://pbs.twimg.com/profile_images/1365395023072817162/ZI8fAPrO_normal.jpg")</f>
        <v>https://pbs.twimg.com/profile_images/1365395023072817162/ZI8fAPrO_normal.jpg</v>
      </c>
      <c r="AW2217" s="82" t="s">
        <v>15302</v>
      </c>
      <c r="AX2217" s="82" t="s">
        <v>15302</v>
      </c>
      <c r="AY2217" s="77"/>
      <c r="AZ2217" s="82" t="s">
        <v>17385</v>
      </c>
      <c r="BA2217" s="82" t="s">
        <v>17385</v>
      </c>
      <c r="BB2217" s="82" t="s">
        <v>17385</v>
      </c>
      <c r="BC2217" s="82" t="s">
        <v>15302</v>
      </c>
      <c r="BD2217" s="82" t="s">
        <v>17641</v>
      </c>
      <c r="BE2217" s="77"/>
      <c r="BF2217" s="77"/>
      <c r="BG2217" s="77"/>
      <c r="BH2217" s="77"/>
      <c r="BI2217" s="77"/>
    </row>
    <row r="2218" spans="1:61" x14ac:dyDescent="0.25">
      <c r="A2218" s="62" t="s">
        <v>604</v>
      </c>
      <c r="B2218" s="62" t="s">
        <v>604</v>
      </c>
      <c r="C2218" s="63"/>
      <c r="D2218" s="64"/>
      <c r="E2218" s="65"/>
      <c r="F2218" s="66"/>
      <c r="G2218" s="63"/>
      <c r="H2218" s="67"/>
      <c r="I2218" s="68"/>
      <c r="J2218" s="68"/>
      <c r="K2218" s="32"/>
      <c r="L2218" s="75">
        <v>2218</v>
      </c>
      <c r="M2218" s="75"/>
      <c r="N2218" s="70"/>
      <c r="O2218" s="77" t="s">
        <v>179</v>
      </c>
      <c r="P2218" s="79">
        <v>45058.446250000001</v>
      </c>
      <c r="Q2218" s="77" t="s">
        <v>2997</v>
      </c>
      <c r="R2218" s="77">
        <v>0</v>
      </c>
      <c r="S2218" s="77">
        <v>2</v>
      </c>
      <c r="T2218" s="77">
        <v>0</v>
      </c>
      <c r="U2218" s="77">
        <v>0</v>
      </c>
      <c r="V2218" s="77">
        <v>187</v>
      </c>
      <c r="W2218" s="82" t="s">
        <v>6253</v>
      </c>
      <c r="X2218" s="80" t="str">
        <f>HYPERLINK("https://www.moneytimes.com.br/agrogalaxy-agxy3-mais-que-dobra-prejuizo-a-r-966-milhoes-no-1t23/")</f>
        <v>https://www.moneytimes.com.br/agrogalaxy-agxy3-mais-que-dobra-prejuizo-a-r-966-milhoes-no-1t23/</v>
      </c>
      <c r="Y2218" s="77" t="s">
        <v>7053</v>
      </c>
      <c r="Z2218" s="77"/>
      <c r="AA2218" s="77"/>
      <c r="AB2218" s="77"/>
      <c r="AC2218" s="82" t="s">
        <v>8255</v>
      </c>
      <c r="AD2218" s="77" t="s">
        <v>8278</v>
      </c>
      <c r="AE2218" s="80" t="str">
        <f>HYPERLINK("https://twitter.com/leiaagrotimes/status/1656973139551694848")</f>
        <v>https://twitter.com/leiaagrotimes/status/1656973139551694848</v>
      </c>
      <c r="AF2218" s="79">
        <v>45058.446250000001</v>
      </c>
      <c r="AG2218" s="85">
        <v>45058</v>
      </c>
      <c r="AH2218" s="82" t="s">
        <v>10286</v>
      </c>
      <c r="AI2218" s="77" t="b">
        <v>0</v>
      </c>
      <c r="AJ2218" s="77"/>
      <c r="AK2218" s="77"/>
      <c r="AL2218" s="77"/>
      <c r="AM2218" s="77"/>
      <c r="AN2218" s="77"/>
      <c r="AO2218" s="77"/>
      <c r="AP2218" s="77"/>
      <c r="AQ2218" s="77"/>
      <c r="AR2218" s="77"/>
      <c r="AS2218" s="77"/>
      <c r="AT2218" s="77"/>
      <c r="AU2218" s="77"/>
      <c r="AV2218" s="80" t="str">
        <f>HYPERLINK("https://pbs.twimg.com/profile_images/1365395023072817162/ZI8fAPrO_normal.jpg")</f>
        <v>https://pbs.twimg.com/profile_images/1365395023072817162/ZI8fAPrO_normal.jpg</v>
      </c>
      <c r="AW2218" s="82" t="s">
        <v>15303</v>
      </c>
      <c r="AX2218" s="82" t="s">
        <v>15303</v>
      </c>
      <c r="AY2218" s="77"/>
      <c r="AZ2218" s="82" t="s">
        <v>17385</v>
      </c>
      <c r="BA2218" s="82" t="s">
        <v>17385</v>
      </c>
      <c r="BB2218" s="82" t="s">
        <v>17385</v>
      </c>
      <c r="BC2218" s="82" t="s">
        <v>15303</v>
      </c>
      <c r="BD2218" s="82" t="s">
        <v>17641</v>
      </c>
      <c r="BE2218" s="77"/>
      <c r="BF2218" s="77"/>
      <c r="BG2218" s="77"/>
      <c r="BH2218" s="77"/>
      <c r="BI2218" s="77"/>
    </row>
    <row r="2219" spans="1:61" x14ac:dyDescent="0.25">
      <c r="A2219" s="62" t="s">
        <v>604</v>
      </c>
      <c r="B2219" s="62" t="s">
        <v>604</v>
      </c>
      <c r="C2219" s="63"/>
      <c r="D2219" s="64"/>
      <c r="E2219" s="65"/>
      <c r="F2219" s="66"/>
      <c r="G2219" s="63"/>
      <c r="H2219" s="67"/>
      <c r="I2219" s="68"/>
      <c r="J2219" s="68"/>
      <c r="K2219" s="32"/>
      <c r="L2219" s="75">
        <v>2219</v>
      </c>
      <c r="M2219" s="75"/>
      <c r="N2219" s="70"/>
      <c r="O2219" s="77" t="s">
        <v>179</v>
      </c>
      <c r="P2219" s="79">
        <v>45166.456655092596</v>
      </c>
      <c r="Q2219" s="77" t="s">
        <v>2998</v>
      </c>
      <c r="R2219" s="77">
        <v>0</v>
      </c>
      <c r="S2219" s="77">
        <v>0</v>
      </c>
      <c r="T2219" s="77">
        <v>0</v>
      </c>
      <c r="U2219" s="77">
        <v>0</v>
      </c>
      <c r="V2219" s="77">
        <v>139</v>
      </c>
      <c r="W2219" s="82" t="s">
        <v>6251</v>
      </c>
      <c r="X2219" s="80" t="str">
        <f>HYPERLINK("https://www.moneytimes.com.br/swing-trade-slc-agricola-slce3-pode-render-quase-7-nesta-segunda-28-veja-como/")</f>
        <v>https://www.moneytimes.com.br/swing-trade-slc-agricola-slce3-pode-render-quase-7-nesta-segunda-28-veja-como/</v>
      </c>
      <c r="Y2219" s="77" t="s">
        <v>7053</v>
      </c>
      <c r="Z2219" s="77"/>
      <c r="AA2219" s="77"/>
      <c r="AB2219" s="77"/>
      <c r="AC2219" s="82" t="s">
        <v>8255</v>
      </c>
      <c r="AD2219" s="77" t="s">
        <v>8278</v>
      </c>
      <c r="AE2219" s="80" t="str">
        <f>HYPERLINK("https://twitter.com/leiaagrotimes/status/1696114802794361313")</f>
        <v>https://twitter.com/leiaagrotimes/status/1696114802794361313</v>
      </c>
      <c r="AF2219" s="79">
        <v>45166.456655092596</v>
      </c>
      <c r="AG2219" s="85">
        <v>45166</v>
      </c>
      <c r="AH2219" s="82" t="s">
        <v>10287</v>
      </c>
      <c r="AI2219" s="77" t="b">
        <v>0</v>
      </c>
      <c r="AJ2219" s="77"/>
      <c r="AK2219" s="77"/>
      <c r="AL2219" s="77"/>
      <c r="AM2219" s="77"/>
      <c r="AN2219" s="77"/>
      <c r="AO2219" s="77"/>
      <c r="AP2219" s="77"/>
      <c r="AQ2219" s="77"/>
      <c r="AR2219" s="77"/>
      <c r="AS2219" s="77"/>
      <c r="AT2219" s="77"/>
      <c r="AU2219" s="77"/>
      <c r="AV2219" s="80" t="str">
        <f>HYPERLINK("https://pbs.twimg.com/profile_images/1365395023072817162/ZI8fAPrO_normal.jpg")</f>
        <v>https://pbs.twimg.com/profile_images/1365395023072817162/ZI8fAPrO_normal.jpg</v>
      </c>
      <c r="AW2219" s="82" t="s">
        <v>15304</v>
      </c>
      <c r="AX2219" s="82" t="s">
        <v>15304</v>
      </c>
      <c r="AY2219" s="77"/>
      <c r="AZ2219" s="82" t="s">
        <v>17385</v>
      </c>
      <c r="BA2219" s="82" t="s">
        <v>17385</v>
      </c>
      <c r="BB2219" s="82" t="s">
        <v>17385</v>
      </c>
      <c r="BC2219" s="82" t="s">
        <v>15304</v>
      </c>
      <c r="BD2219" s="82" t="s">
        <v>17641</v>
      </c>
      <c r="BE2219" s="77"/>
      <c r="BF2219" s="77"/>
      <c r="BG2219" s="77"/>
      <c r="BH2219" s="77"/>
      <c r="BI2219" s="77"/>
    </row>
    <row r="2220" spans="1:61" x14ac:dyDescent="0.25">
      <c r="A2220" s="62" t="s">
        <v>604</v>
      </c>
      <c r="B2220" s="62" t="s">
        <v>604</v>
      </c>
      <c r="C2220" s="63"/>
      <c r="D2220" s="64"/>
      <c r="E2220" s="65"/>
      <c r="F2220" s="66"/>
      <c r="G2220" s="63"/>
      <c r="H2220" s="67"/>
      <c r="I2220" s="68"/>
      <c r="J2220" s="68"/>
      <c r="K2220" s="32"/>
      <c r="L2220" s="75">
        <v>2220</v>
      </c>
      <c r="M2220" s="75"/>
      <c r="N2220" s="70"/>
      <c r="O2220" s="77" t="s">
        <v>179</v>
      </c>
      <c r="P2220" s="79">
        <v>45160.816388888888</v>
      </c>
      <c r="Q2220" s="77" t="s">
        <v>2999</v>
      </c>
      <c r="R2220" s="77">
        <v>0</v>
      </c>
      <c r="S2220" s="77">
        <v>1</v>
      </c>
      <c r="T2220" s="77">
        <v>0</v>
      </c>
      <c r="U2220" s="77">
        <v>0</v>
      </c>
      <c r="V2220" s="77">
        <v>85</v>
      </c>
      <c r="W2220" s="82" t="s">
        <v>6270</v>
      </c>
      <c r="X2220" s="80" t="str">
        <f>HYPERLINK("https://www.moneytimes.com.br/raizen-raiz4-diz-estar-pronta-para-atender-demanda-de-etanol-para-producao-de-saf/")</f>
        <v>https://www.moneytimes.com.br/raizen-raiz4-diz-estar-pronta-para-atender-demanda-de-etanol-para-producao-de-saf/</v>
      </c>
      <c r="Y2220" s="77" t="s">
        <v>7053</v>
      </c>
      <c r="Z2220" s="77"/>
      <c r="AA2220" s="77"/>
      <c r="AB2220" s="77"/>
      <c r="AC2220" s="82" t="s">
        <v>8255</v>
      </c>
      <c r="AD2220" s="77" t="s">
        <v>8278</v>
      </c>
      <c r="AE2220" s="80" t="str">
        <f>HYPERLINK("https://twitter.com/leiaagrotimes/status/1694070836309655995")</f>
        <v>https://twitter.com/leiaagrotimes/status/1694070836309655995</v>
      </c>
      <c r="AF2220" s="79">
        <v>45160.816388888888</v>
      </c>
      <c r="AG2220" s="85">
        <v>45160</v>
      </c>
      <c r="AH2220" s="82" t="s">
        <v>10288</v>
      </c>
      <c r="AI2220" s="77" t="b">
        <v>0</v>
      </c>
      <c r="AJ2220" s="77"/>
      <c r="AK2220" s="77"/>
      <c r="AL2220" s="77"/>
      <c r="AM2220" s="77"/>
      <c r="AN2220" s="77"/>
      <c r="AO2220" s="77"/>
      <c r="AP2220" s="77"/>
      <c r="AQ2220" s="77"/>
      <c r="AR2220" s="77"/>
      <c r="AS2220" s="77"/>
      <c r="AT2220" s="77"/>
      <c r="AU2220" s="77"/>
      <c r="AV2220" s="80" t="str">
        <f>HYPERLINK("https://pbs.twimg.com/profile_images/1365395023072817162/ZI8fAPrO_normal.jpg")</f>
        <v>https://pbs.twimg.com/profile_images/1365395023072817162/ZI8fAPrO_normal.jpg</v>
      </c>
      <c r="AW2220" s="82" t="s">
        <v>15305</v>
      </c>
      <c r="AX2220" s="82" t="s">
        <v>15305</v>
      </c>
      <c r="AY2220" s="77"/>
      <c r="AZ2220" s="82" t="s">
        <v>17385</v>
      </c>
      <c r="BA2220" s="82" t="s">
        <v>17385</v>
      </c>
      <c r="BB2220" s="82" t="s">
        <v>17385</v>
      </c>
      <c r="BC2220" s="82" t="s">
        <v>15305</v>
      </c>
      <c r="BD2220" s="82" t="s">
        <v>17641</v>
      </c>
      <c r="BE2220" s="77"/>
      <c r="BF2220" s="77"/>
      <c r="BG2220" s="77"/>
      <c r="BH2220" s="77"/>
      <c r="BI2220" s="77"/>
    </row>
    <row r="2221" spans="1:61" x14ac:dyDescent="0.25">
      <c r="A2221" s="62" t="s">
        <v>604</v>
      </c>
      <c r="B2221" s="62" t="s">
        <v>604</v>
      </c>
      <c r="C2221" s="63"/>
      <c r="D2221" s="64"/>
      <c r="E2221" s="65"/>
      <c r="F2221" s="66"/>
      <c r="G2221" s="63"/>
      <c r="H2221" s="67"/>
      <c r="I2221" s="68"/>
      <c r="J2221" s="68"/>
      <c r="K2221" s="32"/>
      <c r="L2221" s="75">
        <v>2221</v>
      </c>
      <c r="M2221" s="75"/>
      <c r="N2221" s="70"/>
      <c r="O2221" s="77" t="s">
        <v>179</v>
      </c>
      <c r="P2221" s="79">
        <v>45160.675671296296</v>
      </c>
      <c r="Q2221" s="77" t="s">
        <v>3000</v>
      </c>
      <c r="R2221" s="77">
        <v>0</v>
      </c>
      <c r="S2221" s="77">
        <v>2</v>
      </c>
      <c r="T2221" s="77">
        <v>0</v>
      </c>
      <c r="U2221" s="77">
        <v>0</v>
      </c>
      <c r="V2221" s="77">
        <v>97</v>
      </c>
      <c r="W2221" s="82" t="s">
        <v>6251</v>
      </c>
      <c r="X2221" s="80" t="str">
        <f>HYPERLINK("https://www.moneytimes.com.br/por-que-minerva-beef3-salta-nesta-terca-22-enquanto-frigorificos-derretem-na-bolsa/")</f>
        <v>https://www.moneytimes.com.br/por-que-minerva-beef3-salta-nesta-terca-22-enquanto-frigorificos-derretem-na-bolsa/</v>
      </c>
      <c r="Y2221" s="77" t="s">
        <v>7053</v>
      </c>
      <c r="Z2221" s="77"/>
      <c r="AA2221" s="77"/>
      <c r="AB2221" s="77"/>
      <c r="AC2221" s="82" t="s">
        <v>8255</v>
      </c>
      <c r="AD2221" s="77" t="s">
        <v>8278</v>
      </c>
      <c r="AE2221" s="80" t="str">
        <f>HYPERLINK("https://twitter.com/leiaagrotimes/status/1694019841143738437")</f>
        <v>https://twitter.com/leiaagrotimes/status/1694019841143738437</v>
      </c>
      <c r="AF2221" s="79">
        <v>45160.675671296296</v>
      </c>
      <c r="AG2221" s="85">
        <v>45160</v>
      </c>
      <c r="AH2221" s="82" t="s">
        <v>10289</v>
      </c>
      <c r="AI2221" s="77" t="b">
        <v>0</v>
      </c>
      <c r="AJ2221" s="77"/>
      <c r="AK2221" s="77"/>
      <c r="AL2221" s="77"/>
      <c r="AM2221" s="77"/>
      <c r="AN2221" s="77"/>
      <c r="AO2221" s="77"/>
      <c r="AP2221" s="77"/>
      <c r="AQ2221" s="77"/>
      <c r="AR2221" s="77"/>
      <c r="AS2221" s="77"/>
      <c r="AT2221" s="77"/>
      <c r="AU2221" s="77"/>
      <c r="AV2221" s="80" t="str">
        <f>HYPERLINK("https://pbs.twimg.com/profile_images/1365395023072817162/ZI8fAPrO_normal.jpg")</f>
        <v>https://pbs.twimg.com/profile_images/1365395023072817162/ZI8fAPrO_normal.jpg</v>
      </c>
      <c r="AW2221" s="82" t="s">
        <v>15306</v>
      </c>
      <c r="AX2221" s="82" t="s">
        <v>15306</v>
      </c>
      <c r="AY2221" s="77"/>
      <c r="AZ2221" s="82" t="s">
        <v>17385</v>
      </c>
      <c r="BA2221" s="82" t="s">
        <v>17385</v>
      </c>
      <c r="BB2221" s="82" t="s">
        <v>17385</v>
      </c>
      <c r="BC2221" s="82" t="s">
        <v>15306</v>
      </c>
      <c r="BD2221" s="82" t="s">
        <v>17641</v>
      </c>
      <c r="BE2221" s="77"/>
      <c r="BF2221" s="77"/>
      <c r="BG2221" s="77"/>
      <c r="BH2221" s="77"/>
      <c r="BI2221" s="77"/>
    </row>
    <row r="2222" spans="1:61" x14ac:dyDescent="0.25">
      <c r="A2222" s="62" t="s">
        <v>604</v>
      </c>
      <c r="B2222" s="62" t="s">
        <v>604</v>
      </c>
      <c r="C2222" s="63"/>
      <c r="D2222" s="64"/>
      <c r="E2222" s="65"/>
      <c r="F2222" s="66"/>
      <c r="G2222" s="63"/>
      <c r="H2222" s="67"/>
      <c r="I2222" s="68"/>
      <c r="J2222" s="68"/>
      <c r="K2222" s="32"/>
      <c r="L2222" s="75">
        <v>2222</v>
      </c>
      <c r="M2222" s="75"/>
      <c r="N2222" s="70"/>
      <c r="O2222" s="77" t="s">
        <v>179</v>
      </c>
      <c r="P2222" s="79">
        <v>45160.659467592595</v>
      </c>
      <c r="Q2222" s="77" t="s">
        <v>3001</v>
      </c>
      <c r="R2222" s="77">
        <v>0</v>
      </c>
      <c r="S2222" s="77">
        <v>2</v>
      </c>
      <c r="T2222" s="77">
        <v>0</v>
      </c>
      <c r="U2222" s="77">
        <v>0</v>
      </c>
      <c r="V2222" s="77">
        <v>114</v>
      </c>
      <c r="W2222" s="82" t="s">
        <v>6251</v>
      </c>
      <c r="X2222" s="80" t="str">
        <f>HYPERLINK("https://www.moneytimes.com.br/minerva-beef3-ou-jbs-jbss3-xp-elege-top-pick-entre-frigorificos-apos-boi-saltar-do-penhasco/")</f>
        <v>https://www.moneytimes.com.br/minerva-beef3-ou-jbs-jbss3-xp-elege-top-pick-entre-frigorificos-apos-boi-saltar-do-penhasco/</v>
      </c>
      <c r="Y2222" s="77" t="s">
        <v>7053</v>
      </c>
      <c r="Z2222" s="77"/>
      <c r="AA2222" s="77"/>
      <c r="AB2222" s="77"/>
      <c r="AC2222" s="82" t="s">
        <v>8255</v>
      </c>
      <c r="AD2222" s="77" t="s">
        <v>8278</v>
      </c>
      <c r="AE2222" s="80" t="str">
        <f>HYPERLINK("https://twitter.com/leiaagrotimes/status/1694013968677822489")</f>
        <v>https://twitter.com/leiaagrotimes/status/1694013968677822489</v>
      </c>
      <c r="AF2222" s="79">
        <v>45160.659467592595</v>
      </c>
      <c r="AG2222" s="85">
        <v>45160</v>
      </c>
      <c r="AH2222" s="82" t="s">
        <v>10290</v>
      </c>
      <c r="AI2222" s="77" t="b">
        <v>0</v>
      </c>
      <c r="AJ2222" s="77"/>
      <c r="AK2222" s="77"/>
      <c r="AL2222" s="77"/>
      <c r="AM2222" s="77"/>
      <c r="AN2222" s="77"/>
      <c r="AO2222" s="77"/>
      <c r="AP2222" s="77"/>
      <c r="AQ2222" s="77"/>
      <c r="AR2222" s="77"/>
      <c r="AS2222" s="77"/>
      <c r="AT2222" s="77"/>
      <c r="AU2222" s="77"/>
      <c r="AV2222" s="80" t="str">
        <f>HYPERLINK("https://pbs.twimg.com/profile_images/1365395023072817162/ZI8fAPrO_normal.jpg")</f>
        <v>https://pbs.twimg.com/profile_images/1365395023072817162/ZI8fAPrO_normal.jpg</v>
      </c>
      <c r="AW2222" s="82" t="s">
        <v>15307</v>
      </c>
      <c r="AX2222" s="82" t="s">
        <v>15307</v>
      </c>
      <c r="AY2222" s="77"/>
      <c r="AZ2222" s="82" t="s">
        <v>17385</v>
      </c>
      <c r="BA2222" s="82" t="s">
        <v>17385</v>
      </c>
      <c r="BB2222" s="82" t="s">
        <v>17385</v>
      </c>
      <c r="BC2222" s="82" t="s">
        <v>15307</v>
      </c>
      <c r="BD2222" s="82" t="s">
        <v>17641</v>
      </c>
      <c r="BE2222" s="77"/>
      <c r="BF2222" s="77"/>
      <c r="BG2222" s="77"/>
      <c r="BH2222" s="77"/>
      <c r="BI2222" s="77"/>
    </row>
    <row r="2223" spans="1:61" x14ac:dyDescent="0.25">
      <c r="A2223" s="62" t="s">
        <v>604</v>
      </c>
      <c r="B2223" s="62" t="s">
        <v>604</v>
      </c>
      <c r="C2223" s="63"/>
      <c r="D2223" s="64"/>
      <c r="E2223" s="65"/>
      <c r="F2223" s="66"/>
      <c r="G2223" s="63"/>
      <c r="H2223" s="67"/>
      <c r="I2223" s="68"/>
      <c r="J2223" s="68"/>
      <c r="K2223" s="32"/>
      <c r="L2223" s="75">
        <v>2223</v>
      </c>
      <c r="M2223" s="75"/>
      <c r="N2223" s="70"/>
      <c r="O2223" s="77" t="s">
        <v>179</v>
      </c>
      <c r="P2223" s="79">
        <v>45158.584131944444</v>
      </c>
      <c r="Q2223" s="77" t="s">
        <v>3002</v>
      </c>
      <c r="R2223" s="77">
        <v>0</v>
      </c>
      <c r="S2223" s="77">
        <v>1</v>
      </c>
      <c r="T2223" s="77">
        <v>0</v>
      </c>
      <c r="U2223" s="77">
        <v>0</v>
      </c>
      <c r="V2223" s="77">
        <v>264</v>
      </c>
      <c r="W2223" s="82" t="s">
        <v>6259</v>
      </c>
      <c r="X2223" s="80" t="str">
        <f>HYPERLINK("https://www.moneytimes.com.br/raizen-raiz-com-desconto-dividendos-para-slc-slce3-e-boa-safra-soja3-novo-pac-e-mais-veja-5-temas-no-agro-times/")</f>
        <v>https://www.moneytimes.com.br/raizen-raiz-com-desconto-dividendos-para-slc-slce3-e-boa-safra-soja3-novo-pac-e-mais-veja-5-temas-no-agro-times/</v>
      </c>
      <c r="Y2223" s="77" t="s">
        <v>7053</v>
      </c>
      <c r="Z2223" s="77"/>
      <c r="AA2223" s="77"/>
      <c r="AB2223" s="77"/>
      <c r="AC2223" s="82" t="s">
        <v>8255</v>
      </c>
      <c r="AD2223" s="77" t="s">
        <v>8278</v>
      </c>
      <c r="AE2223" s="80" t="str">
        <f>HYPERLINK("https://twitter.com/leiaagrotimes/status/1693261894952407431")</f>
        <v>https://twitter.com/leiaagrotimes/status/1693261894952407431</v>
      </c>
      <c r="AF2223" s="79">
        <v>45158.584131944444</v>
      </c>
      <c r="AG2223" s="85">
        <v>45158</v>
      </c>
      <c r="AH2223" s="82" t="s">
        <v>9757</v>
      </c>
      <c r="AI2223" s="77" t="b">
        <v>0</v>
      </c>
      <c r="AJ2223" s="77"/>
      <c r="AK2223" s="77"/>
      <c r="AL2223" s="77"/>
      <c r="AM2223" s="77"/>
      <c r="AN2223" s="77"/>
      <c r="AO2223" s="77"/>
      <c r="AP2223" s="77"/>
      <c r="AQ2223" s="77"/>
      <c r="AR2223" s="77"/>
      <c r="AS2223" s="77"/>
      <c r="AT2223" s="77"/>
      <c r="AU2223" s="77"/>
      <c r="AV2223" s="80" t="str">
        <f>HYPERLINK("https://pbs.twimg.com/profile_images/1365395023072817162/ZI8fAPrO_normal.jpg")</f>
        <v>https://pbs.twimg.com/profile_images/1365395023072817162/ZI8fAPrO_normal.jpg</v>
      </c>
      <c r="AW2223" s="82" t="s">
        <v>15308</v>
      </c>
      <c r="AX2223" s="82" t="s">
        <v>15308</v>
      </c>
      <c r="AY2223" s="77"/>
      <c r="AZ2223" s="82" t="s">
        <v>17385</v>
      </c>
      <c r="BA2223" s="82" t="s">
        <v>17385</v>
      </c>
      <c r="BB2223" s="82" t="s">
        <v>17385</v>
      </c>
      <c r="BC2223" s="82" t="s">
        <v>15308</v>
      </c>
      <c r="BD2223" s="82" t="s">
        <v>17641</v>
      </c>
      <c r="BE2223" s="77"/>
      <c r="BF2223" s="77"/>
      <c r="BG2223" s="77"/>
      <c r="BH2223" s="77"/>
      <c r="BI2223" s="77"/>
    </row>
    <row r="2224" spans="1:61" x14ac:dyDescent="0.25">
      <c r="A2224" s="62" t="s">
        <v>604</v>
      </c>
      <c r="B2224" s="62" t="s">
        <v>604</v>
      </c>
      <c r="C2224" s="63"/>
      <c r="D2224" s="64"/>
      <c r="E2224" s="65"/>
      <c r="F2224" s="66"/>
      <c r="G2224" s="63"/>
      <c r="H2224" s="67"/>
      <c r="I2224" s="68"/>
      <c r="J2224" s="68"/>
      <c r="K2224" s="32"/>
      <c r="L2224" s="75">
        <v>2224</v>
      </c>
      <c r="M2224" s="75"/>
      <c r="N2224" s="70"/>
      <c r="O2224" s="77" t="s">
        <v>179</v>
      </c>
      <c r="P2224" s="79">
        <v>45157.542245370372</v>
      </c>
      <c r="Q2224" s="77" t="s">
        <v>3003</v>
      </c>
      <c r="R2224" s="77">
        <v>0</v>
      </c>
      <c r="S2224" s="77">
        <v>0</v>
      </c>
      <c r="T2224" s="77">
        <v>0</v>
      </c>
      <c r="U2224" s="77">
        <v>0</v>
      </c>
      <c r="V2224" s="77">
        <v>54</v>
      </c>
      <c r="W2224" s="82" t="s">
        <v>6259</v>
      </c>
      <c r="X2224" s="80" t="str">
        <f>HYPERLINK("https://www.moneytimes.com.br/graos-petroleo-acucar-e-mais-as-commodities-mais-relevantes-para-as-empresas-do-agro/")</f>
        <v>https://www.moneytimes.com.br/graos-petroleo-acucar-e-mais-as-commodities-mais-relevantes-para-as-empresas-do-agro/</v>
      </c>
      <c r="Y2224" s="77" t="s">
        <v>7053</v>
      </c>
      <c r="Z2224" s="77"/>
      <c r="AA2224" s="77"/>
      <c r="AB2224" s="77"/>
      <c r="AC2224" s="82" t="s">
        <v>8255</v>
      </c>
      <c r="AD2224" s="77" t="s">
        <v>8278</v>
      </c>
      <c r="AE2224" s="80" t="str">
        <f>HYPERLINK("https://twitter.com/leiaagrotimes/status/1692884329074962777")</f>
        <v>https://twitter.com/leiaagrotimes/status/1692884329074962777</v>
      </c>
      <c r="AF2224" s="79">
        <v>45157.542245370372</v>
      </c>
      <c r="AG2224" s="85">
        <v>45157</v>
      </c>
      <c r="AH2224" s="82" t="s">
        <v>10291</v>
      </c>
      <c r="AI2224" s="77" t="b">
        <v>0</v>
      </c>
      <c r="AJ2224" s="77"/>
      <c r="AK2224" s="77"/>
      <c r="AL2224" s="77"/>
      <c r="AM2224" s="77"/>
      <c r="AN2224" s="77"/>
      <c r="AO2224" s="77"/>
      <c r="AP2224" s="77"/>
      <c r="AQ2224" s="77"/>
      <c r="AR2224" s="77"/>
      <c r="AS2224" s="77"/>
      <c r="AT2224" s="77"/>
      <c r="AU2224" s="77"/>
      <c r="AV2224" s="80" t="str">
        <f>HYPERLINK("https://pbs.twimg.com/profile_images/1365395023072817162/ZI8fAPrO_normal.jpg")</f>
        <v>https://pbs.twimg.com/profile_images/1365395023072817162/ZI8fAPrO_normal.jpg</v>
      </c>
      <c r="AW2224" s="82" t="s">
        <v>15309</v>
      </c>
      <c r="AX2224" s="82" t="s">
        <v>15309</v>
      </c>
      <c r="AY2224" s="77"/>
      <c r="AZ2224" s="82" t="s">
        <v>17385</v>
      </c>
      <c r="BA2224" s="82" t="s">
        <v>17385</v>
      </c>
      <c r="BB2224" s="82" t="s">
        <v>17385</v>
      </c>
      <c r="BC2224" s="82" t="s">
        <v>15309</v>
      </c>
      <c r="BD2224" s="82" t="s">
        <v>17641</v>
      </c>
      <c r="BE2224" s="77"/>
      <c r="BF2224" s="77"/>
      <c r="BG2224" s="77"/>
      <c r="BH2224" s="77"/>
      <c r="BI2224" s="77"/>
    </row>
    <row r="2225" spans="1:61" x14ac:dyDescent="0.25">
      <c r="A2225" s="62" t="s">
        <v>604</v>
      </c>
      <c r="B2225" s="62" t="s">
        <v>604</v>
      </c>
      <c r="C2225" s="63"/>
      <c r="D2225" s="64"/>
      <c r="E2225" s="65"/>
      <c r="F2225" s="66"/>
      <c r="G2225" s="63"/>
      <c r="H2225" s="67"/>
      <c r="I2225" s="68"/>
      <c r="J2225" s="68"/>
      <c r="K2225" s="32"/>
      <c r="L2225" s="75">
        <v>2225</v>
      </c>
      <c r="M2225" s="75"/>
      <c r="N2225" s="70"/>
      <c r="O2225" s="77" t="s">
        <v>179</v>
      </c>
      <c r="P2225" s="79">
        <v>45152.683807870373</v>
      </c>
      <c r="Q2225" s="77" t="s">
        <v>3004</v>
      </c>
      <c r="R2225" s="77">
        <v>0</v>
      </c>
      <c r="S2225" s="77">
        <v>0</v>
      </c>
      <c r="T2225" s="77">
        <v>0</v>
      </c>
      <c r="U2225" s="77">
        <v>0</v>
      </c>
      <c r="V2225" s="77">
        <v>67</v>
      </c>
      <c r="W2225" s="82" t="s">
        <v>6251</v>
      </c>
      <c r="X2225" s="80" t="str">
        <f>HYPERLINK("https://www.moneytimes.com.br/mdia3-lucro-recua-no-2t23-e-derruba-trigo-da-m-dias-branco-em-mais-de-5-na-bolsa/")</f>
        <v>https://www.moneytimes.com.br/mdia3-lucro-recua-no-2t23-e-derruba-trigo-da-m-dias-branco-em-mais-de-5-na-bolsa/</v>
      </c>
      <c r="Y2225" s="77" t="s">
        <v>7053</v>
      </c>
      <c r="Z2225" s="77"/>
      <c r="AA2225" s="77"/>
      <c r="AB2225" s="77"/>
      <c r="AC2225" s="82" t="s">
        <v>8255</v>
      </c>
      <c r="AD2225" s="77" t="s">
        <v>8278</v>
      </c>
      <c r="AE2225" s="80" t="str">
        <f>HYPERLINK("https://twitter.com/leiaagrotimes/status/1691123688186302474")</f>
        <v>https://twitter.com/leiaagrotimes/status/1691123688186302474</v>
      </c>
      <c r="AF2225" s="79">
        <v>45152.683807870373</v>
      </c>
      <c r="AG2225" s="85">
        <v>45152</v>
      </c>
      <c r="AH2225" s="82" t="s">
        <v>10292</v>
      </c>
      <c r="AI2225" s="77" t="b">
        <v>0</v>
      </c>
      <c r="AJ2225" s="77"/>
      <c r="AK2225" s="77"/>
      <c r="AL2225" s="77"/>
      <c r="AM2225" s="77"/>
      <c r="AN2225" s="77"/>
      <c r="AO2225" s="77"/>
      <c r="AP2225" s="77"/>
      <c r="AQ2225" s="77"/>
      <c r="AR2225" s="77"/>
      <c r="AS2225" s="77"/>
      <c r="AT2225" s="77"/>
      <c r="AU2225" s="77"/>
      <c r="AV2225" s="80" t="str">
        <f>HYPERLINK("https://pbs.twimg.com/profile_images/1365395023072817162/ZI8fAPrO_normal.jpg")</f>
        <v>https://pbs.twimg.com/profile_images/1365395023072817162/ZI8fAPrO_normal.jpg</v>
      </c>
      <c r="AW2225" s="82" t="s">
        <v>15310</v>
      </c>
      <c r="AX2225" s="82" t="s">
        <v>15310</v>
      </c>
      <c r="AY2225" s="77"/>
      <c r="AZ2225" s="82" t="s">
        <v>17385</v>
      </c>
      <c r="BA2225" s="82" t="s">
        <v>17385</v>
      </c>
      <c r="BB2225" s="82" t="s">
        <v>17385</v>
      </c>
      <c r="BC2225" s="82" t="s">
        <v>15310</v>
      </c>
      <c r="BD2225" s="82" t="s">
        <v>17641</v>
      </c>
      <c r="BE2225" s="77"/>
      <c r="BF2225" s="77"/>
      <c r="BG2225" s="77"/>
      <c r="BH2225" s="77"/>
      <c r="BI2225" s="77"/>
    </row>
    <row r="2226" spans="1:61" x14ac:dyDescent="0.25">
      <c r="A2226" s="62" t="s">
        <v>604</v>
      </c>
      <c r="B2226" s="62" t="s">
        <v>604</v>
      </c>
      <c r="C2226" s="63"/>
      <c r="D2226" s="64"/>
      <c r="E2226" s="65"/>
      <c r="F2226" s="66"/>
      <c r="G2226" s="63"/>
      <c r="H2226" s="67"/>
      <c r="I2226" s="68"/>
      <c r="J2226" s="68"/>
      <c r="K2226" s="32"/>
      <c r="L2226" s="75">
        <v>2226</v>
      </c>
      <c r="M2226" s="75"/>
      <c r="N2226" s="70"/>
      <c r="O2226" s="77" t="s">
        <v>179</v>
      </c>
      <c r="P2226" s="79">
        <v>45152.644178240742</v>
      </c>
      <c r="Q2226" s="77" t="s">
        <v>3005</v>
      </c>
      <c r="R2226" s="77">
        <v>0</v>
      </c>
      <c r="S2226" s="77">
        <v>0</v>
      </c>
      <c r="T2226" s="77">
        <v>0</v>
      </c>
      <c r="U2226" s="77">
        <v>0</v>
      </c>
      <c r="V2226" s="77">
        <v>100</v>
      </c>
      <c r="W2226" s="82" t="s">
        <v>6267</v>
      </c>
      <c r="X2226" s="80" t="str">
        <f>HYPERLINK("https://www.moneytimes.com.br/raizen-raiz4-pela-metade-do-preco-bank-of-america-recomenda-investir-na-holding/")</f>
        <v>https://www.moneytimes.com.br/raizen-raiz4-pela-metade-do-preco-bank-of-america-recomenda-investir-na-holding/</v>
      </c>
      <c r="Y2226" s="77" t="s">
        <v>7053</v>
      </c>
      <c r="Z2226" s="77"/>
      <c r="AA2226" s="77"/>
      <c r="AB2226" s="77"/>
      <c r="AC2226" s="82" t="s">
        <v>8255</v>
      </c>
      <c r="AD2226" s="77" t="s">
        <v>8278</v>
      </c>
      <c r="AE2226" s="80" t="str">
        <f>HYPERLINK("https://twitter.com/leiaagrotimes/status/1691109326679928832")</f>
        <v>https://twitter.com/leiaagrotimes/status/1691109326679928832</v>
      </c>
      <c r="AF2226" s="79">
        <v>45152.644178240742</v>
      </c>
      <c r="AG2226" s="85">
        <v>45152</v>
      </c>
      <c r="AH2226" s="82" t="s">
        <v>10293</v>
      </c>
      <c r="AI2226" s="77" t="b">
        <v>0</v>
      </c>
      <c r="AJ2226" s="77"/>
      <c r="AK2226" s="77"/>
      <c r="AL2226" s="77"/>
      <c r="AM2226" s="77"/>
      <c r="AN2226" s="77"/>
      <c r="AO2226" s="77"/>
      <c r="AP2226" s="77"/>
      <c r="AQ2226" s="77"/>
      <c r="AR2226" s="77"/>
      <c r="AS2226" s="77"/>
      <c r="AT2226" s="77"/>
      <c r="AU2226" s="77"/>
      <c r="AV2226" s="80" t="str">
        <f>HYPERLINK("https://pbs.twimg.com/profile_images/1365395023072817162/ZI8fAPrO_normal.jpg")</f>
        <v>https://pbs.twimg.com/profile_images/1365395023072817162/ZI8fAPrO_normal.jpg</v>
      </c>
      <c r="AW2226" s="82" t="s">
        <v>15311</v>
      </c>
      <c r="AX2226" s="82" t="s">
        <v>15311</v>
      </c>
      <c r="AY2226" s="77"/>
      <c r="AZ2226" s="82" t="s">
        <v>17385</v>
      </c>
      <c r="BA2226" s="82" t="s">
        <v>17385</v>
      </c>
      <c r="BB2226" s="82" t="s">
        <v>17385</v>
      </c>
      <c r="BC2226" s="82" t="s">
        <v>15311</v>
      </c>
      <c r="BD2226" s="82" t="s">
        <v>17641</v>
      </c>
      <c r="BE2226" s="77"/>
      <c r="BF2226" s="77"/>
      <c r="BG2226" s="77"/>
      <c r="BH2226" s="77"/>
      <c r="BI2226" s="77"/>
    </row>
    <row r="2227" spans="1:61" x14ac:dyDescent="0.25">
      <c r="A2227" s="62" t="s">
        <v>604</v>
      </c>
      <c r="B2227" s="62" t="s">
        <v>604</v>
      </c>
      <c r="C2227" s="63"/>
      <c r="D2227" s="64"/>
      <c r="E2227" s="65"/>
      <c r="F2227" s="66"/>
      <c r="G2227" s="63"/>
      <c r="H2227" s="67"/>
      <c r="I2227" s="68"/>
      <c r="J2227" s="68"/>
      <c r="K2227" s="32"/>
      <c r="L2227" s="75">
        <v>2227</v>
      </c>
      <c r="M2227" s="75"/>
      <c r="N2227" s="70"/>
      <c r="O2227" s="77" t="s">
        <v>179</v>
      </c>
      <c r="P2227" s="79">
        <v>45148.62877314815</v>
      </c>
      <c r="Q2227" s="77" t="s">
        <v>3006</v>
      </c>
      <c r="R2227" s="77">
        <v>0</v>
      </c>
      <c r="S2227" s="77">
        <v>1</v>
      </c>
      <c r="T2227" s="77">
        <v>0</v>
      </c>
      <c r="U2227" s="77">
        <v>0</v>
      </c>
      <c r="V2227" s="77">
        <v>121</v>
      </c>
      <c r="W2227" s="82" t="s">
        <v>6271</v>
      </c>
      <c r="X2227" s="80" t="str">
        <f>HYPERLINK("https://www.moneytimes.com.br/slc-agricola-slce3-perde-na-b3-apos-lucro-desabar-por-soja-e-algodao-vale-comprar/")</f>
        <v>https://www.moneytimes.com.br/slc-agricola-slce3-perde-na-b3-apos-lucro-desabar-por-soja-e-algodao-vale-comprar/</v>
      </c>
      <c r="Y2227" s="77" t="s">
        <v>7053</v>
      </c>
      <c r="Z2227" s="77"/>
      <c r="AA2227" s="77"/>
      <c r="AB2227" s="77"/>
      <c r="AC2227" s="82" t="s">
        <v>8255</v>
      </c>
      <c r="AD2227" s="77" t="s">
        <v>8278</v>
      </c>
      <c r="AE2227" s="80" t="str">
        <f>HYPERLINK("https://twitter.com/leiaagrotimes/status/1689654192376598528")</f>
        <v>https://twitter.com/leiaagrotimes/status/1689654192376598528</v>
      </c>
      <c r="AF2227" s="79">
        <v>45148.62877314815</v>
      </c>
      <c r="AG2227" s="85">
        <v>45148</v>
      </c>
      <c r="AH2227" s="82" t="s">
        <v>10294</v>
      </c>
      <c r="AI2227" s="77" t="b">
        <v>0</v>
      </c>
      <c r="AJ2227" s="77"/>
      <c r="AK2227" s="77"/>
      <c r="AL2227" s="77"/>
      <c r="AM2227" s="77"/>
      <c r="AN2227" s="77"/>
      <c r="AO2227" s="77"/>
      <c r="AP2227" s="77"/>
      <c r="AQ2227" s="77"/>
      <c r="AR2227" s="77"/>
      <c r="AS2227" s="77"/>
      <c r="AT2227" s="77"/>
      <c r="AU2227" s="77"/>
      <c r="AV2227" s="80" t="str">
        <f>HYPERLINK("https://pbs.twimg.com/profile_images/1365395023072817162/ZI8fAPrO_normal.jpg")</f>
        <v>https://pbs.twimg.com/profile_images/1365395023072817162/ZI8fAPrO_normal.jpg</v>
      </c>
      <c r="AW2227" s="82" t="s">
        <v>15312</v>
      </c>
      <c r="AX2227" s="82" t="s">
        <v>15312</v>
      </c>
      <c r="AY2227" s="77"/>
      <c r="AZ2227" s="82" t="s">
        <v>17385</v>
      </c>
      <c r="BA2227" s="82" t="s">
        <v>17385</v>
      </c>
      <c r="BB2227" s="82" t="s">
        <v>17385</v>
      </c>
      <c r="BC2227" s="82" t="s">
        <v>15312</v>
      </c>
      <c r="BD2227" s="82" t="s">
        <v>17641</v>
      </c>
      <c r="BE2227" s="77"/>
      <c r="BF2227" s="77"/>
      <c r="BG2227" s="77"/>
      <c r="BH2227" s="77"/>
      <c r="BI2227" s="77"/>
    </row>
    <row r="2228" spans="1:61" x14ac:dyDescent="0.25">
      <c r="A2228" s="62" t="s">
        <v>604</v>
      </c>
      <c r="B2228" s="62" t="s">
        <v>604</v>
      </c>
      <c r="C2228" s="63"/>
      <c r="D2228" s="64"/>
      <c r="E2228" s="65"/>
      <c r="F2228" s="66"/>
      <c r="G2228" s="63"/>
      <c r="H2228" s="67"/>
      <c r="I2228" s="68"/>
      <c r="J2228" s="68"/>
      <c r="K2228" s="32"/>
      <c r="L2228" s="75">
        <v>2228</v>
      </c>
      <c r="M2228" s="75"/>
      <c r="N2228" s="70"/>
      <c r="O2228" s="77" t="s">
        <v>179</v>
      </c>
      <c r="P2228" s="79">
        <v>45148.570925925924</v>
      </c>
      <c r="Q2228" s="77" t="s">
        <v>3007</v>
      </c>
      <c r="R2228" s="77">
        <v>0</v>
      </c>
      <c r="S2228" s="77">
        <v>0</v>
      </c>
      <c r="T2228" s="77">
        <v>0</v>
      </c>
      <c r="U2228" s="77">
        <v>0</v>
      </c>
      <c r="V2228" s="77">
        <v>63</v>
      </c>
      <c r="W2228" s="82" t="s">
        <v>6251</v>
      </c>
      <c r="X2228" s="80" t="str">
        <f>HYPERLINK("https://www.moneytimes.com.br/minerva-beef3-acoes-dispara-apos-lucro-sobre-1t23-e-dividendos-bba-projeta-forte-crescimento/")</f>
        <v>https://www.moneytimes.com.br/minerva-beef3-acoes-dispara-apos-lucro-sobre-1t23-e-dividendos-bba-projeta-forte-crescimento/</v>
      </c>
      <c r="Y2228" s="77" t="s">
        <v>7053</v>
      </c>
      <c r="Z2228" s="77"/>
      <c r="AA2228" s="77"/>
      <c r="AB2228" s="77"/>
      <c r="AC2228" s="82" t="s">
        <v>8255</v>
      </c>
      <c r="AD2228" s="77" t="s">
        <v>8278</v>
      </c>
      <c r="AE2228" s="80" t="str">
        <f>HYPERLINK("https://twitter.com/leiaagrotimes/status/1689633230578679808")</f>
        <v>https://twitter.com/leiaagrotimes/status/1689633230578679808</v>
      </c>
      <c r="AF2228" s="79">
        <v>45148.570925925924</v>
      </c>
      <c r="AG2228" s="85">
        <v>45148</v>
      </c>
      <c r="AH2228" s="82" t="s">
        <v>10295</v>
      </c>
      <c r="AI2228" s="77" t="b">
        <v>0</v>
      </c>
      <c r="AJ2228" s="77"/>
      <c r="AK2228" s="77"/>
      <c r="AL2228" s="77"/>
      <c r="AM2228" s="77"/>
      <c r="AN2228" s="77"/>
      <c r="AO2228" s="77"/>
      <c r="AP2228" s="77"/>
      <c r="AQ2228" s="77"/>
      <c r="AR2228" s="77"/>
      <c r="AS2228" s="77"/>
      <c r="AT2228" s="77"/>
      <c r="AU2228" s="77"/>
      <c r="AV2228" s="80" t="str">
        <f>HYPERLINK("https://pbs.twimg.com/profile_images/1365395023072817162/ZI8fAPrO_normal.jpg")</f>
        <v>https://pbs.twimg.com/profile_images/1365395023072817162/ZI8fAPrO_normal.jpg</v>
      </c>
      <c r="AW2228" s="82" t="s">
        <v>15313</v>
      </c>
      <c r="AX2228" s="82" t="s">
        <v>15313</v>
      </c>
      <c r="AY2228" s="77"/>
      <c r="AZ2228" s="82" t="s">
        <v>17385</v>
      </c>
      <c r="BA2228" s="82" t="s">
        <v>17385</v>
      </c>
      <c r="BB2228" s="82" t="s">
        <v>17385</v>
      </c>
      <c r="BC2228" s="82" t="s">
        <v>15313</v>
      </c>
      <c r="BD2228" s="82" t="s">
        <v>17641</v>
      </c>
      <c r="BE2228" s="77"/>
      <c r="BF2228" s="77"/>
      <c r="BG2228" s="77"/>
      <c r="BH2228" s="77"/>
      <c r="BI2228" s="77"/>
    </row>
    <row r="2229" spans="1:61" x14ac:dyDescent="0.25">
      <c r="A2229" s="62" t="s">
        <v>604</v>
      </c>
      <c r="B2229" s="62" t="s">
        <v>604</v>
      </c>
      <c r="C2229" s="63"/>
      <c r="D2229" s="64"/>
      <c r="E2229" s="65"/>
      <c r="F2229" s="66"/>
      <c r="G2229" s="63"/>
      <c r="H2229" s="67"/>
      <c r="I2229" s="68"/>
      <c r="J2229" s="68"/>
      <c r="K2229" s="32"/>
      <c r="L2229" s="75">
        <v>2229</v>
      </c>
      <c r="M2229" s="75"/>
      <c r="N2229" s="70"/>
      <c r="O2229" s="77" t="s">
        <v>179</v>
      </c>
      <c r="P2229" s="79">
        <v>45148.491412037038</v>
      </c>
      <c r="Q2229" s="77" t="s">
        <v>3008</v>
      </c>
      <c r="R2229" s="77">
        <v>0</v>
      </c>
      <c r="S2229" s="77">
        <v>0</v>
      </c>
      <c r="T2229" s="77">
        <v>0</v>
      </c>
      <c r="U2229" s="77">
        <v>0</v>
      </c>
      <c r="V2229" s="77">
        <v>104</v>
      </c>
      <c r="W2229" s="82" t="s">
        <v>6251</v>
      </c>
      <c r="X2229" s="80" t="str">
        <f>HYPERLINK("https://www.moneytimes.com.br/jf-controladora-da-jbs-jbss3-tenta-reduzir-de-r-103-bilhoes-por-corrupcao/")</f>
        <v>https://www.moneytimes.com.br/jf-controladora-da-jbs-jbss3-tenta-reduzir-de-r-103-bilhoes-por-corrupcao/</v>
      </c>
      <c r="Y2229" s="77" t="s">
        <v>7053</v>
      </c>
      <c r="Z2229" s="77"/>
      <c r="AA2229" s="77"/>
      <c r="AB2229" s="77"/>
      <c r="AC2229" s="82" t="s">
        <v>8255</v>
      </c>
      <c r="AD2229" s="77" t="s">
        <v>8278</v>
      </c>
      <c r="AE2229" s="80" t="str">
        <f>HYPERLINK("https://twitter.com/leiaagrotimes/status/1689604415219433472")</f>
        <v>https://twitter.com/leiaagrotimes/status/1689604415219433472</v>
      </c>
      <c r="AF2229" s="79">
        <v>45148.491412037038</v>
      </c>
      <c r="AG2229" s="85">
        <v>45148</v>
      </c>
      <c r="AH2229" s="82" t="s">
        <v>10296</v>
      </c>
      <c r="AI2229" s="77" t="b">
        <v>0</v>
      </c>
      <c r="AJ2229" s="77"/>
      <c r="AK2229" s="77"/>
      <c r="AL2229" s="77"/>
      <c r="AM2229" s="77"/>
      <c r="AN2229" s="77"/>
      <c r="AO2229" s="77"/>
      <c r="AP2229" s="77"/>
      <c r="AQ2229" s="77"/>
      <c r="AR2229" s="77"/>
      <c r="AS2229" s="77"/>
      <c r="AT2229" s="77"/>
      <c r="AU2229" s="77"/>
      <c r="AV2229" s="80" t="str">
        <f>HYPERLINK("https://pbs.twimg.com/profile_images/1365395023072817162/ZI8fAPrO_normal.jpg")</f>
        <v>https://pbs.twimg.com/profile_images/1365395023072817162/ZI8fAPrO_normal.jpg</v>
      </c>
      <c r="AW2229" s="82" t="s">
        <v>15314</v>
      </c>
      <c r="AX2229" s="82" t="s">
        <v>15314</v>
      </c>
      <c r="AY2229" s="77"/>
      <c r="AZ2229" s="82" t="s">
        <v>17385</v>
      </c>
      <c r="BA2229" s="82" t="s">
        <v>17385</v>
      </c>
      <c r="BB2229" s="82" t="s">
        <v>17385</v>
      </c>
      <c r="BC2229" s="82" t="s">
        <v>15314</v>
      </c>
      <c r="BD2229" s="82" t="s">
        <v>17641</v>
      </c>
      <c r="BE2229" s="77"/>
      <c r="BF2229" s="77"/>
      <c r="BG2229" s="77"/>
      <c r="BH2229" s="77"/>
      <c r="BI2229" s="77"/>
    </row>
    <row r="2230" spans="1:61" x14ac:dyDescent="0.25">
      <c r="A2230" s="62" t="s">
        <v>604</v>
      </c>
      <c r="B2230" s="62" t="s">
        <v>604</v>
      </c>
      <c r="C2230" s="63"/>
      <c r="D2230" s="64"/>
      <c r="E2230" s="65"/>
      <c r="F2230" s="66"/>
      <c r="G2230" s="63"/>
      <c r="H2230" s="67"/>
      <c r="I2230" s="68"/>
      <c r="J2230" s="68"/>
      <c r="K2230" s="32"/>
      <c r="L2230" s="75">
        <v>2230</v>
      </c>
      <c r="M2230" s="75"/>
      <c r="N2230" s="70"/>
      <c r="O2230" s="77" t="s">
        <v>179</v>
      </c>
      <c r="P2230" s="79">
        <v>45148.420219907406</v>
      </c>
      <c r="Q2230" s="77" t="s">
        <v>3009</v>
      </c>
      <c r="R2230" s="77">
        <v>0</v>
      </c>
      <c r="S2230" s="77">
        <v>0</v>
      </c>
      <c r="T2230" s="77">
        <v>0</v>
      </c>
      <c r="U2230" s="77">
        <v>0</v>
      </c>
      <c r="V2230" s="77">
        <v>44</v>
      </c>
      <c r="W2230" s="82" t="s">
        <v>6251</v>
      </c>
      <c r="X2230" s="80" t="str">
        <f>HYPERLINK("https://www.moneytimes.com.br/acao-do-agronegocio-fora-do-radar-tem-muito-a-lucrar-com-diesel-barato-no-2t23/")</f>
        <v>https://www.moneytimes.com.br/acao-do-agronegocio-fora-do-radar-tem-muito-a-lucrar-com-diesel-barato-no-2t23/</v>
      </c>
      <c r="Y2230" s="77" t="s">
        <v>7053</v>
      </c>
      <c r="Z2230" s="77"/>
      <c r="AA2230" s="77"/>
      <c r="AB2230" s="77"/>
      <c r="AC2230" s="82" t="s">
        <v>8255</v>
      </c>
      <c r="AD2230" s="77" t="s">
        <v>8278</v>
      </c>
      <c r="AE2230" s="80" t="str">
        <f>HYPERLINK("https://twitter.com/leiaagrotimes/status/1689578617787813889")</f>
        <v>https://twitter.com/leiaagrotimes/status/1689578617787813889</v>
      </c>
      <c r="AF2230" s="79">
        <v>45148.420219907406</v>
      </c>
      <c r="AG2230" s="85">
        <v>45148</v>
      </c>
      <c r="AH2230" s="82" t="s">
        <v>10297</v>
      </c>
      <c r="AI2230" s="77" t="b">
        <v>0</v>
      </c>
      <c r="AJ2230" s="77"/>
      <c r="AK2230" s="77"/>
      <c r="AL2230" s="77"/>
      <c r="AM2230" s="77"/>
      <c r="AN2230" s="77"/>
      <c r="AO2230" s="77"/>
      <c r="AP2230" s="77"/>
      <c r="AQ2230" s="77"/>
      <c r="AR2230" s="77"/>
      <c r="AS2230" s="77"/>
      <c r="AT2230" s="77"/>
      <c r="AU2230" s="77"/>
      <c r="AV2230" s="80" t="str">
        <f>HYPERLINK("https://pbs.twimg.com/profile_images/1365395023072817162/ZI8fAPrO_normal.jpg")</f>
        <v>https://pbs.twimg.com/profile_images/1365395023072817162/ZI8fAPrO_normal.jpg</v>
      </c>
      <c r="AW2230" s="82" t="s">
        <v>15315</v>
      </c>
      <c r="AX2230" s="82" t="s">
        <v>15315</v>
      </c>
      <c r="AY2230" s="77"/>
      <c r="AZ2230" s="82" t="s">
        <v>17385</v>
      </c>
      <c r="BA2230" s="82" t="s">
        <v>17385</v>
      </c>
      <c r="BB2230" s="82" t="s">
        <v>17385</v>
      </c>
      <c r="BC2230" s="82" t="s">
        <v>15315</v>
      </c>
      <c r="BD2230" s="82" t="s">
        <v>17641</v>
      </c>
      <c r="BE2230" s="77"/>
      <c r="BF2230" s="77"/>
      <c r="BG2230" s="77"/>
      <c r="BH2230" s="77"/>
      <c r="BI2230" s="77"/>
    </row>
    <row r="2231" spans="1:61" x14ac:dyDescent="0.25">
      <c r="A2231" s="62" t="s">
        <v>604</v>
      </c>
      <c r="B2231" s="62" t="s">
        <v>604</v>
      </c>
      <c r="C2231" s="63"/>
      <c r="D2231" s="64"/>
      <c r="E2231" s="65"/>
      <c r="F2231" s="66"/>
      <c r="G2231" s="63"/>
      <c r="H2231" s="67"/>
      <c r="I2231" s="68"/>
      <c r="J2231" s="68"/>
      <c r="K2231" s="32"/>
      <c r="L2231" s="75">
        <v>2231</v>
      </c>
      <c r="M2231" s="75"/>
      <c r="N2231" s="70"/>
      <c r="O2231" s="77" t="s">
        <v>179</v>
      </c>
      <c r="P2231" s="79">
        <v>45147.798171296294</v>
      </c>
      <c r="Q2231" s="77" t="s">
        <v>3010</v>
      </c>
      <c r="R2231" s="77">
        <v>0</v>
      </c>
      <c r="S2231" s="77">
        <v>0</v>
      </c>
      <c r="T2231" s="77">
        <v>0</v>
      </c>
      <c r="U2231" s="77">
        <v>0</v>
      </c>
      <c r="V2231" s="77">
        <v>79</v>
      </c>
      <c r="W2231" s="82" t="s">
        <v>6251</v>
      </c>
      <c r="X2231" s="80" t="str">
        <f>HYPERLINK("https://www.moneytimes.com.br/artificialismo-da-petrobras-petr4-e-aumento-na-gasolina-o-que-mexe-com-o-etanol/")</f>
        <v>https://www.moneytimes.com.br/artificialismo-da-petrobras-petr4-e-aumento-na-gasolina-o-que-mexe-com-o-etanol/</v>
      </c>
      <c r="Y2231" s="77" t="s">
        <v>7053</v>
      </c>
      <c r="Z2231" s="77"/>
      <c r="AA2231" s="77"/>
      <c r="AB2231" s="77"/>
      <c r="AC2231" s="82" t="s">
        <v>8255</v>
      </c>
      <c r="AD2231" s="77" t="s">
        <v>8278</v>
      </c>
      <c r="AE2231" s="80" t="str">
        <f>HYPERLINK("https://twitter.com/leiaagrotimes/status/1689353192285356032")</f>
        <v>https://twitter.com/leiaagrotimes/status/1689353192285356032</v>
      </c>
      <c r="AF2231" s="79">
        <v>45147.798171296294</v>
      </c>
      <c r="AG2231" s="85">
        <v>45147</v>
      </c>
      <c r="AH2231" s="82" t="s">
        <v>10298</v>
      </c>
      <c r="AI2231" s="77" t="b">
        <v>0</v>
      </c>
      <c r="AJ2231" s="77"/>
      <c r="AK2231" s="77"/>
      <c r="AL2231" s="77"/>
      <c r="AM2231" s="77"/>
      <c r="AN2231" s="77"/>
      <c r="AO2231" s="77"/>
      <c r="AP2231" s="77"/>
      <c r="AQ2231" s="77"/>
      <c r="AR2231" s="77"/>
      <c r="AS2231" s="77"/>
      <c r="AT2231" s="77"/>
      <c r="AU2231" s="77"/>
      <c r="AV2231" s="80" t="str">
        <f>HYPERLINK("https://pbs.twimg.com/profile_images/1365395023072817162/ZI8fAPrO_normal.jpg")</f>
        <v>https://pbs.twimg.com/profile_images/1365395023072817162/ZI8fAPrO_normal.jpg</v>
      </c>
      <c r="AW2231" s="82" t="s">
        <v>15316</v>
      </c>
      <c r="AX2231" s="82" t="s">
        <v>15316</v>
      </c>
      <c r="AY2231" s="77"/>
      <c r="AZ2231" s="82" t="s">
        <v>17385</v>
      </c>
      <c r="BA2231" s="82" t="s">
        <v>17385</v>
      </c>
      <c r="BB2231" s="82" t="s">
        <v>17385</v>
      </c>
      <c r="BC2231" s="82" t="s">
        <v>15316</v>
      </c>
      <c r="BD2231" s="82" t="s">
        <v>17641</v>
      </c>
      <c r="BE2231" s="77"/>
      <c r="BF2231" s="77"/>
      <c r="BG2231" s="77"/>
      <c r="BH2231" s="77"/>
      <c r="BI2231" s="77"/>
    </row>
    <row r="2232" spans="1:61" x14ac:dyDescent="0.25">
      <c r="A2232" s="62" t="s">
        <v>604</v>
      </c>
      <c r="B2232" s="62" t="s">
        <v>604</v>
      </c>
      <c r="C2232" s="63"/>
      <c r="D2232" s="64"/>
      <c r="E2232" s="65"/>
      <c r="F2232" s="66"/>
      <c r="G2232" s="63"/>
      <c r="H2232" s="67"/>
      <c r="I2232" s="68"/>
      <c r="J2232" s="68"/>
      <c r="K2232" s="32"/>
      <c r="L2232" s="75">
        <v>2232</v>
      </c>
      <c r="M2232" s="75"/>
      <c r="N2232" s="70"/>
      <c r="O2232" s="77" t="s">
        <v>179</v>
      </c>
      <c r="P2232" s="79">
        <v>45138.663715277777</v>
      </c>
      <c r="Q2232" s="77" t="s">
        <v>3011</v>
      </c>
      <c r="R2232" s="77">
        <v>0</v>
      </c>
      <c r="S2232" s="77">
        <v>2</v>
      </c>
      <c r="T2232" s="77">
        <v>0</v>
      </c>
      <c r="U2232" s="77">
        <v>0</v>
      </c>
      <c r="V2232" s="77">
        <v>227</v>
      </c>
      <c r="W2232" s="82" t="s">
        <v>6250</v>
      </c>
      <c r="X2232" s="80" t="str">
        <f>HYPERLINK("https://www.moneytimes.com.br/brf-brfs3-marfrig-mrfg3-e-minerva-beef3-sobem-nesta-segunda-31-arabia-saudita-esta-por-tras-da-alta/")</f>
        <v>https://www.moneytimes.com.br/brf-brfs3-marfrig-mrfg3-e-minerva-beef3-sobem-nesta-segunda-31-arabia-saudita-esta-por-tras-da-alta/</v>
      </c>
      <c r="Y2232" s="77" t="s">
        <v>7053</v>
      </c>
      <c r="Z2232" s="77"/>
      <c r="AA2232" s="77"/>
      <c r="AB2232" s="77"/>
      <c r="AC2232" s="82" t="s">
        <v>8255</v>
      </c>
      <c r="AD2232" s="77" t="s">
        <v>8278</v>
      </c>
      <c r="AE2232" s="80" t="str">
        <f>HYPERLINK("https://twitter.com/leiaagrotimes/status/1686042976747687936")</f>
        <v>https://twitter.com/leiaagrotimes/status/1686042976747687936</v>
      </c>
      <c r="AF2232" s="79">
        <v>45138.663715277777</v>
      </c>
      <c r="AG2232" s="85">
        <v>45138</v>
      </c>
      <c r="AH2232" s="82" t="s">
        <v>10299</v>
      </c>
      <c r="AI2232" s="77" t="b">
        <v>0</v>
      </c>
      <c r="AJ2232" s="77"/>
      <c r="AK2232" s="77"/>
      <c r="AL2232" s="77"/>
      <c r="AM2232" s="77"/>
      <c r="AN2232" s="77"/>
      <c r="AO2232" s="77"/>
      <c r="AP2232" s="77"/>
      <c r="AQ2232" s="77"/>
      <c r="AR2232" s="77"/>
      <c r="AS2232" s="77"/>
      <c r="AT2232" s="77"/>
      <c r="AU2232" s="77"/>
      <c r="AV2232" s="80" t="str">
        <f>HYPERLINK("https://pbs.twimg.com/profile_images/1365395023072817162/ZI8fAPrO_normal.jpg")</f>
        <v>https://pbs.twimg.com/profile_images/1365395023072817162/ZI8fAPrO_normal.jpg</v>
      </c>
      <c r="AW2232" s="82" t="s">
        <v>15317</v>
      </c>
      <c r="AX2232" s="82" t="s">
        <v>15317</v>
      </c>
      <c r="AY2232" s="77"/>
      <c r="AZ2232" s="82" t="s">
        <v>17385</v>
      </c>
      <c r="BA2232" s="82" t="s">
        <v>17385</v>
      </c>
      <c r="BB2232" s="82" t="s">
        <v>17385</v>
      </c>
      <c r="BC2232" s="82" t="s">
        <v>15317</v>
      </c>
      <c r="BD2232" s="82" t="s">
        <v>17641</v>
      </c>
      <c r="BE2232" s="77"/>
      <c r="BF2232" s="77"/>
      <c r="BG2232" s="77"/>
      <c r="BH2232" s="77"/>
      <c r="BI2232" s="77"/>
    </row>
    <row r="2233" spans="1:61" x14ac:dyDescent="0.25">
      <c r="A2233" s="62" t="s">
        <v>604</v>
      </c>
      <c r="B2233" s="62" t="s">
        <v>604</v>
      </c>
      <c r="C2233" s="63"/>
      <c r="D2233" s="64"/>
      <c r="E2233" s="65"/>
      <c r="F2233" s="66"/>
      <c r="G2233" s="63"/>
      <c r="H2233" s="67"/>
      <c r="I2233" s="68"/>
      <c r="J2233" s="68"/>
      <c r="K2233" s="32"/>
      <c r="L2233" s="75">
        <v>2233</v>
      </c>
      <c r="M2233" s="75"/>
      <c r="N2233" s="70"/>
      <c r="O2233" s="77" t="s">
        <v>179</v>
      </c>
      <c r="P2233" s="79">
        <v>45138.539293981485</v>
      </c>
      <c r="Q2233" s="77" t="s">
        <v>3012</v>
      </c>
      <c r="R2233" s="77">
        <v>0</v>
      </c>
      <c r="S2233" s="77">
        <v>0</v>
      </c>
      <c r="T2233" s="77">
        <v>0</v>
      </c>
      <c r="U2233" s="77">
        <v>0</v>
      </c>
      <c r="V2233" s="77">
        <v>64</v>
      </c>
      <c r="W2233" s="82" t="s">
        <v>6259</v>
      </c>
      <c r="X2233" s="80" t="str">
        <f>HYPERLINK("https://www.moneytimes.com.br/brasil-e-arabia-saudita-firmam-parceria-bilionaria-para-fortalecer-agronegocio-brasileiro-o-que-muda/")</f>
        <v>https://www.moneytimes.com.br/brasil-e-arabia-saudita-firmam-parceria-bilionaria-para-fortalecer-agronegocio-brasileiro-o-que-muda/</v>
      </c>
      <c r="Y2233" s="77" t="s">
        <v>7053</v>
      </c>
      <c r="Z2233" s="77"/>
      <c r="AA2233" s="77"/>
      <c r="AB2233" s="77"/>
      <c r="AC2233" s="82" t="s">
        <v>8255</v>
      </c>
      <c r="AD2233" s="77" t="s">
        <v>8278</v>
      </c>
      <c r="AE2233" s="80" t="str">
        <f>HYPERLINK("https://twitter.com/leiaagrotimes/status/1685997887371489280")</f>
        <v>https://twitter.com/leiaagrotimes/status/1685997887371489280</v>
      </c>
      <c r="AF2233" s="79">
        <v>45138.539293981485</v>
      </c>
      <c r="AG2233" s="85">
        <v>45138</v>
      </c>
      <c r="AH2233" s="82" t="s">
        <v>10300</v>
      </c>
      <c r="AI2233" s="77" t="b">
        <v>0</v>
      </c>
      <c r="AJ2233" s="77"/>
      <c r="AK2233" s="77"/>
      <c r="AL2233" s="77"/>
      <c r="AM2233" s="77"/>
      <c r="AN2233" s="77"/>
      <c r="AO2233" s="77"/>
      <c r="AP2233" s="77"/>
      <c r="AQ2233" s="77"/>
      <c r="AR2233" s="77"/>
      <c r="AS2233" s="77"/>
      <c r="AT2233" s="77"/>
      <c r="AU2233" s="77"/>
      <c r="AV2233" s="80" t="str">
        <f>HYPERLINK("https://pbs.twimg.com/profile_images/1365395023072817162/ZI8fAPrO_normal.jpg")</f>
        <v>https://pbs.twimg.com/profile_images/1365395023072817162/ZI8fAPrO_normal.jpg</v>
      </c>
      <c r="AW2233" s="82" t="s">
        <v>15318</v>
      </c>
      <c r="AX2233" s="82" t="s">
        <v>15318</v>
      </c>
      <c r="AY2233" s="77"/>
      <c r="AZ2233" s="82" t="s">
        <v>17385</v>
      </c>
      <c r="BA2233" s="82" t="s">
        <v>17385</v>
      </c>
      <c r="BB2233" s="82" t="s">
        <v>17385</v>
      </c>
      <c r="BC2233" s="82" t="s">
        <v>15318</v>
      </c>
      <c r="BD2233" s="82" t="s">
        <v>17641</v>
      </c>
      <c r="BE2233" s="77"/>
      <c r="BF2233" s="77"/>
      <c r="BG2233" s="77"/>
      <c r="BH2233" s="77"/>
      <c r="BI2233" s="77"/>
    </row>
    <row r="2234" spans="1:61" x14ac:dyDescent="0.25">
      <c r="A2234" s="62" t="s">
        <v>604</v>
      </c>
      <c r="B2234" s="62" t="s">
        <v>604</v>
      </c>
      <c r="C2234" s="63"/>
      <c r="D2234" s="64"/>
      <c r="E2234" s="65"/>
      <c r="F2234" s="66"/>
      <c r="G2234" s="63"/>
      <c r="H2234" s="67"/>
      <c r="I2234" s="68"/>
      <c r="J2234" s="68"/>
      <c r="K2234" s="32"/>
      <c r="L2234" s="75">
        <v>2234</v>
      </c>
      <c r="M2234" s="75"/>
      <c r="N2234" s="70"/>
      <c r="O2234" s="77" t="s">
        <v>179</v>
      </c>
      <c r="P2234" s="79">
        <v>45138.488043981481</v>
      </c>
      <c r="Q2234" s="77" t="s">
        <v>3013</v>
      </c>
      <c r="R2234" s="77">
        <v>0</v>
      </c>
      <c r="S2234" s="77">
        <v>2</v>
      </c>
      <c r="T2234" s="77">
        <v>0</v>
      </c>
      <c r="U2234" s="77">
        <v>0</v>
      </c>
      <c r="V2234" s="77">
        <v>91</v>
      </c>
      <c r="W2234" s="82" t="s">
        <v>6261</v>
      </c>
      <c r="X2234" s="80" t="str">
        <f>HYPERLINK("https://www.moneytimes.com.br/irani-rani3-lucra-r-2287-milhoes-no-2t23-alta-de-170/")</f>
        <v>https://www.moneytimes.com.br/irani-rani3-lucra-r-2287-milhoes-no-2t23-alta-de-170/</v>
      </c>
      <c r="Y2234" s="77" t="s">
        <v>7053</v>
      </c>
      <c r="Z2234" s="77"/>
      <c r="AA2234" s="77"/>
      <c r="AB2234" s="77"/>
      <c r="AC2234" s="82" t="s">
        <v>8255</v>
      </c>
      <c r="AD2234" s="77" t="s">
        <v>8278</v>
      </c>
      <c r="AE2234" s="80" t="str">
        <f>HYPERLINK("https://twitter.com/leiaagrotimes/status/1685979313764724736")</f>
        <v>https://twitter.com/leiaagrotimes/status/1685979313764724736</v>
      </c>
      <c r="AF2234" s="79">
        <v>45138.488043981481</v>
      </c>
      <c r="AG2234" s="85">
        <v>45138</v>
      </c>
      <c r="AH2234" s="82" t="s">
        <v>10301</v>
      </c>
      <c r="AI2234" s="77" t="b">
        <v>0</v>
      </c>
      <c r="AJ2234" s="77"/>
      <c r="AK2234" s="77"/>
      <c r="AL2234" s="77"/>
      <c r="AM2234" s="77"/>
      <c r="AN2234" s="77"/>
      <c r="AO2234" s="77"/>
      <c r="AP2234" s="77"/>
      <c r="AQ2234" s="77"/>
      <c r="AR2234" s="77"/>
      <c r="AS2234" s="77"/>
      <c r="AT2234" s="77"/>
      <c r="AU2234" s="77"/>
      <c r="AV2234" s="80" t="str">
        <f>HYPERLINK("https://pbs.twimg.com/profile_images/1365395023072817162/ZI8fAPrO_normal.jpg")</f>
        <v>https://pbs.twimg.com/profile_images/1365395023072817162/ZI8fAPrO_normal.jpg</v>
      </c>
      <c r="AW2234" s="82" t="s">
        <v>15319</v>
      </c>
      <c r="AX2234" s="82" t="s">
        <v>15319</v>
      </c>
      <c r="AY2234" s="77"/>
      <c r="AZ2234" s="82" t="s">
        <v>17385</v>
      </c>
      <c r="BA2234" s="82" t="s">
        <v>17385</v>
      </c>
      <c r="BB2234" s="82" t="s">
        <v>17385</v>
      </c>
      <c r="BC2234" s="82" t="s">
        <v>15319</v>
      </c>
      <c r="BD2234" s="82" t="s">
        <v>17641</v>
      </c>
      <c r="BE2234" s="77"/>
      <c r="BF2234" s="77"/>
      <c r="BG2234" s="77"/>
      <c r="BH2234" s="77"/>
      <c r="BI2234" s="77"/>
    </row>
    <row r="2235" spans="1:61" x14ac:dyDescent="0.25">
      <c r="A2235" s="62" t="s">
        <v>604</v>
      </c>
      <c r="B2235" s="62" t="s">
        <v>604</v>
      </c>
      <c r="C2235" s="63"/>
      <c r="D2235" s="64"/>
      <c r="E2235" s="65"/>
      <c r="F2235" s="66"/>
      <c r="G2235" s="63"/>
      <c r="H2235" s="67"/>
      <c r="I2235" s="68"/>
      <c r="J2235" s="68"/>
      <c r="K2235" s="32"/>
      <c r="L2235" s="75">
        <v>2235</v>
      </c>
      <c r="M2235" s="75"/>
      <c r="N2235" s="70"/>
      <c r="O2235" s="77" t="s">
        <v>179</v>
      </c>
      <c r="P2235" s="79">
        <v>45115.794942129629</v>
      </c>
      <c r="Q2235" s="77" t="s">
        <v>3014</v>
      </c>
      <c r="R2235" s="77">
        <v>0</v>
      </c>
      <c r="S2235" s="77">
        <v>0</v>
      </c>
      <c r="T2235" s="77">
        <v>0</v>
      </c>
      <c r="U2235" s="77">
        <v>0</v>
      </c>
      <c r="V2235" s="77">
        <v>79</v>
      </c>
      <c r="W2235" s="82" t="s">
        <v>6272</v>
      </c>
      <c r="X2235" s="80" t="str">
        <f>HYPERLINK("https://www.moneytimes.com.br/bancao-sobrevive-a-mudanca-de-carteira-do-bb-veja-as-acoes-escaladas-para-bater-o-ibovespa/")</f>
        <v>https://www.moneytimes.com.br/bancao-sobrevive-a-mudanca-de-carteira-do-bb-veja-as-acoes-escaladas-para-bater-o-ibovespa/</v>
      </c>
      <c r="Y2235" s="77" t="s">
        <v>7053</v>
      </c>
      <c r="Z2235" s="77"/>
      <c r="AA2235" s="77"/>
      <c r="AB2235" s="77"/>
      <c r="AC2235" s="82" t="s">
        <v>8255</v>
      </c>
      <c r="AD2235" s="77" t="s">
        <v>8278</v>
      </c>
      <c r="AE2235" s="80" t="str">
        <f>HYPERLINK("https://twitter.com/leiaagrotimes/status/1677755611583328257")</f>
        <v>https://twitter.com/leiaagrotimes/status/1677755611583328257</v>
      </c>
      <c r="AF2235" s="79">
        <v>45115.794942129629</v>
      </c>
      <c r="AG2235" s="85">
        <v>45115</v>
      </c>
      <c r="AH2235" s="82" t="s">
        <v>10302</v>
      </c>
      <c r="AI2235" s="77" t="b">
        <v>0</v>
      </c>
      <c r="AJ2235" s="77"/>
      <c r="AK2235" s="77"/>
      <c r="AL2235" s="77"/>
      <c r="AM2235" s="77"/>
      <c r="AN2235" s="77"/>
      <c r="AO2235" s="77"/>
      <c r="AP2235" s="77"/>
      <c r="AQ2235" s="77"/>
      <c r="AR2235" s="77"/>
      <c r="AS2235" s="77"/>
      <c r="AT2235" s="77"/>
      <c r="AU2235" s="77"/>
      <c r="AV2235" s="80" t="str">
        <f>HYPERLINK("https://pbs.twimg.com/profile_images/1365395023072817162/ZI8fAPrO_normal.jpg")</f>
        <v>https://pbs.twimg.com/profile_images/1365395023072817162/ZI8fAPrO_normal.jpg</v>
      </c>
      <c r="AW2235" s="82" t="s">
        <v>15320</v>
      </c>
      <c r="AX2235" s="82" t="s">
        <v>15320</v>
      </c>
      <c r="AY2235" s="77"/>
      <c r="AZ2235" s="82" t="s">
        <v>17385</v>
      </c>
      <c r="BA2235" s="82" t="s">
        <v>17385</v>
      </c>
      <c r="BB2235" s="82" t="s">
        <v>17385</v>
      </c>
      <c r="BC2235" s="82" t="s">
        <v>15320</v>
      </c>
      <c r="BD2235" s="82" t="s">
        <v>17641</v>
      </c>
      <c r="BE2235" s="77"/>
      <c r="BF2235" s="77"/>
      <c r="BG2235" s="77"/>
      <c r="BH2235" s="77"/>
      <c r="BI2235" s="77"/>
    </row>
    <row r="2236" spans="1:61" x14ac:dyDescent="0.25">
      <c r="A2236" s="62" t="s">
        <v>604</v>
      </c>
      <c r="B2236" s="62" t="s">
        <v>604</v>
      </c>
      <c r="C2236" s="63"/>
      <c r="D2236" s="64"/>
      <c r="E2236" s="65"/>
      <c r="F2236" s="66"/>
      <c r="G2236" s="63"/>
      <c r="H2236" s="67"/>
      <c r="I2236" s="68"/>
      <c r="J2236" s="68"/>
      <c r="K2236" s="32"/>
      <c r="L2236" s="75">
        <v>2236</v>
      </c>
      <c r="M2236" s="75"/>
      <c r="N2236" s="70"/>
      <c r="O2236" s="77" t="s">
        <v>179</v>
      </c>
      <c r="P2236" s="79">
        <v>45115.654999999999</v>
      </c>
      <c r="Q2236" s="77" t="s">
        <v>3015</v>
      </c>
      <c r="R2236" s="77">
        <v>0</v>
      </c>
      <c r="S2236" s="77">
        <v>2</v>
      </c>
      <c r="T2236" s="77">
        <v>0</v>
      </c>
      <c r="U2236" s="77">
        <v>0</v>
      </c>
      <c r="V2236" s="77">
        <v>161</v>
      </c>
      <c r="W2236" s="82" t="s">
        <v>6256</v>
      </c>
      <c r="X2236" s="80" t="str">
        <f>HYPERLINK("https://www.moneytimes.com.br/jall3-xp-se-anima-com-tese-unica-de-acucar-e-etanol-que-pode-crescer-quase-50/")</f>
        <v>https://www.moneytimes.com.br/jall3-xp-se-anima-com-tese-unica-de-acucar-e-etanol-que-pode-crescer-quase-50/</v>
      </c>
      <c r="Y2236" s="77" t="s">
        <v>7053</v>
      </c>
      <c r="Z2236" s="77"/>
      <c r="AA2236" s="77"/>
      <c r="AB2236" s="77"/>
      <c r="AC2236" s="82" t="s">
        <v>8255</v>
      </c>
      <c r="AD2236" s="77" t="s">
        <v>8278</v>
      </c>
      <c r="AE2236" s="80" t="str">
        <f>HYPERLINK("https://twitter.com/leiaagrotimes/status/1677704898438213634")</f>
        <v>https://twitter.com/leiaagrotimes/status/1677704898438213634</v>
      </c>
      <c r="AF2236" s="79">
        <v>45115.654999999999</v>
      </c>
      <c r="AG2236" s="85">
        <v>45115</v>
      </c>
      <c r="AH2236" s="82" t="s">
        <v>10303</v>
      </c>
      <c r="AI2236" s="77" t="b">
        <v>0</v>
      </c>
      <c r="AJ2236" s="77"/>
      <c r="AK2236" s="77"/>
      <c r="AL2236" s="77"/>
      <c r="AM2236" s="77"/>
      <c r="AN2236" s="77"/>
      <c r="AO2236" s="77"/>
      <c r="AP2236" s="77"/>
      <c r="AQ2236" s="77"/>
      <c r="AR2236" s="77"/>
      <c r="AS2236" s="77"/>
      <c r="AT2236" s="77"/>
      <c r="AU2236" s="77"/>
      <c r="AV2236" s="80" t="str">
        <f>HYPERLINK("https://pbs.twimg.com/profile_images/1365395023072817162/ZI8fAPrO_normal.jpg")</f>
        <v>https://pbs.twimg.com/profile_images/1365395023072817162/ZI8fAPrO_normal.jpg</v>
      </c>
      <c r="AW2236" s="82" t="s">
        <v>15321</v>
      </c>
      <c r="AX2236" s="82" t="s">
        <v>15321</v>
      </c>
      <c r="AY2236" s="77"/>
      <c r="AZ2236" s="82" t="s">
        <v>17385</v>
      </c>
      <c r="BA2236" s="82" t="s">
        <v>17385</v>
      </c>
      <c r="BB2236" s="82" t="s">
        <v>17385</v>
      </c>
      <c r="BC2236" s="82" t="s">
        <v>15321</v>
      </c>
      <c r="BD2236" s="82" t="s">
        <v>17641</v>
      </c>
      <c r="BE2236" s="77"/>
      <c r="BF2236" s="77"/>
      <c r="BG2236" s="77"/>
      <c r="BH2236" s="77"/>
      <c r="BI2236" s="77"/>
    </row>
    <row r="2237" spans="1:61" x14ac:dyDescent="0.25">
      <c r="A2237" s="62" t="s">
        <v>604</v>
      </c>
      <c r="B2237" s="62" t="s">
        <v>604</v>
      </c>
      <c r="C2237" s="63"/>
      <c r="D2237" s="64"/>
      <c r="E2237" s="65"/>
      <c r="F2237" s="66"/>
      <c r="G2237" s="63"/>
      <c r="H2237" s="67"/>
      <c r="I2237" s="68"/>
      <c r="J2237" s="68"/>
      <c r="K2237" s="32"/>
      <c r="L2237" s="75">
        <v>2237</v>
      </c>
      <c r="M2237" s="75"/>
      <c r="N2237" s="70"/>
      <c r="O2237" s="77" t="s">
        <v>179</v>
      </c>
      <c r="P2237" s="79">
        <v>45115.59270833333</v>
      </c>
      <c r="Q2237" s="77" t="s">
        <v>3016</v>
      </c>
      <c r="R2237" s="77">
        <v>0</v>
      </c>
      <c r="S2237" s="77">
        <v>0</v>
      </c>
      <c r="T2237" s="77">
        <v>0</v>
      </c>
      <c r="U2237" s="77">
        <v>0</v>
      </c>
      <c r="V2237" s="77">
        <v>118</v>
      </c>
      <c r="W2237" s="82" t="s">
        <v>6273</v>
      </c>
      <c r="X2237" s="80" t="str">
        <f>HYPERLINK("https://www.moneytimes.com.br/empresa-de-celulose-que-saltou-30-em-6-meses-desbanca-minerva-beef3-e-sao-martinho-smto3-confira-as-acoes-do-agro-para-julho/")</f>
        <v>https://www.moneytimes.com.br/empresa-de-celulose-que-saltou-30-em-6-meses-desbanca-minerva-beef3-e-sao-martinho-smto3-confira-as-acoes-do-agro-para-julho/</v>
      </c>
      <c r="Y2237" s="77" t="s">
        <v>7053</v>
      </c>
      <c r="Z2237" s="77"/>
      <c r="AA2237" s="77"/>
      <c r="AB2237" s="77"/>
      <c r="AC2237" s="82" t="s">
        <v>8255</v>
      </c>
      <c r="AD2237" s="77" t="s">
        <v>8278</v>
      </c>
      <c r="AE2237" s="80" t="str">
        <f>HYPERLINK("https://twitter.com/leiaagrotimes/status/1677682324324974596")</f>
        <v>https://twitter.com/leiaagrotimes/status/1677682324324974596</v>
      </c>
      <c r="AF2237" s="79">
        <v>45115.59270833333</v>
      </c>
      <c r="AG2237" s="85">
        <v>45115</v>
      </c>
      <c r="AH2237" s="82" t="s">
        <v>10304</v>
      </c>
      <c r="AI2237" s="77" t="b">
        <v>0</v>
      </c>
      <c r="AJ2237" s="77"/>
      <c r="AK2237" s="77"/>
      <c r="AL2237" s="77"/>
      <c r="AM2237" s="77"/>
      <c r="AN2237" s="77"/>
      <c r="AO2237" s="77"/>
      <c r="AP2237" s="77"/>
      <c r="AQ2237" s="77"/>
      <c r="AR2237" s="77"/>
      <c r="AS2237" s="77"/>
      <c r="AT2237" s="77"/>
      <c r="AU2237" s="77"/>
      <c r="AV2237" s="80" t="str">
        <f>HYPERLINK("https://pbs.twimg.com/profile_images/1365395023072817162/ZI8fAPrO_normal.jpg")</f>
        <v>https://pbs.twimg.com/profile_images/1365395023072817162/ZI8fAPrO_normal.jpg</v>
      </c>
      <c r="AW2237" s="82" t="s">
        <v>15322</v>
      </c>
      <c r="AX2237" s="82" t="s">
        <v>15322</v>
      </c>
      <c r="AY2237" s="77"/>
      <c r="AZ2237" s="82" t="s">
        <v>17385</v>
      </c>
      <c r="BA2237" s="82" t="s">
        <v>17385</v>
      </c>
      <c r="BB2237" s="82" t="s">
        <v>17385</v>
      </c>
      <c r="BC2237" s="82" t="s">
        <v>15322</v>
      </c>
      <c r="BD2237" s="82" t="s">
        <v>17641</v>
      </c>
      <c r="BE2237" s="77"/>
      <c r="BF2237" s="77"/>
      <c r="BG2237" s="77"/>
      <c r="BH2237" s="77"/>
      <c r="BI2237" s="77"/>
    </row>
    <row r="2238" spans="1:61" x14ac:dyDescent="0.25">
      <c r="A2238" s="62" t="s">
        <v>604</v>
      </c>
      <c r="B2238" s="62" t="s">
        <v>604</v>
      </c>
      <c r="C2238" s="63"/>
      <c r="D2238" s="64"/>
      <c r="E2238" s="65"/>
      <c r="F2238" s="66"/>
      <c r="G2238" s="63"/>
      <c r="H2238" s="67"/>
      <c r="I2238" s="68"/>
      <c r="J2238" s="68"/>
      <c r="K2238" s="32"/>
      <c r="L2238" s="75">
        <v>2238</v>
      </c>
      <c r="M2238" s="75"/>
      <c r="N2238" s="70"/>
      <c r="O2238" s="77" t="s">
        <v>179</v>
      </c>
      <c r="P2238" s="79">
        <v>45114.728981481479</v>
      </c>
      <c r="Q2238" s="77" t="s">
        <v>3017</v>
      </c>
      <c r="R2238" s="77">
        <v>0</v>
      </c>
      <c r="S2238" s="77">
        <v>0</v>
      </c>
      <c r="T2238" s="77">
        <v>0</v>
      </c>
      <c r="U2238" s="77">
        <v>0</v>
      </c>
      <c r="V2238" s="77">
        <v>43</v>
      </c>
      <c r="W2238" s="82" t="s">
        <v>6251</v>
      </c>
      <c r="X2238" s="80" t="str">
        <f>HYPERLINK("https://www.moneytimes.com.br/reforma-tributaria-conheca-as-acoes-do-agro-que-serao-impactadas/")</f>
        <v>https://www.moneytimes.com.br/reforma-tributaria-conheca-as-acoes-do-agro-que-serao-impactadas/</v>
      </c>
      <c r="Y2238" s="77" t="s">
        <v>7053</v>
      </c>
      <c r="Z2238" s="77"/>
      <c r="AA2238" s="77"/>
      <c r="AB2238" s="77"/>
      <c r="AC2238" s="82" t="s">
        <v>8255</v>
      </c>
      <c r="AD2238" s="77" t="s">
        <v>8278</v>
      </c>
      <c r="AE2238" s="80" t="str">
        <f>HYPERLINK("https://twitter.com/leiaagrotimes/status/1677369321197035525")</f>
        <v>https://twitter.com/leiaagrotimes/status/1677369321197035525</v>
      </c>
      <c r="AF2238" s="79">
        <v>45114.728981481479</v>
      </c>
      <c r="AG2238" s="85">
        <v>45114</v>
      </c>
      <c r="AH2238" s="82" t="s">
        <v>10305</v>
      </c>
      <c r="AI2238" s="77" t="b">
        <v>0</v>
      </c>
      <c r="AJ2238" s="77"/>
      <c r="AK2238" s="77"/>
      <c r="AL2238" s="77"/>
      <c r="AM2238" s="77"/>
      <c r="AN2238" s="77"/>
      <c r="AO2238" s="77"/>
      <c r="AP2238" s="77"/>
      <c r="AQ2238" s="77"/>
      <c r="AR2238" s="77"/>
      <c r="AS2238" s="77"/>
      <c r="AT2238" s="77"/>
      <c r="AU2238" s="77"/>
      <c r="AV2238" s="80" t="str">
        <f>HYPERLINK("https://pbs.twimg.com/profile_images/1365395023072817162/ZI8fAPrO_normal.jpg")</f>
        <v>https://pbs.twimg.com/profile_images/1365395023072817162/ZI8fAPrO_normal.jpg</v>
      </c>
      <c r="AW2238" s="82" t="s">
        <v>15323</v>
      </c>
      <c r="AX2238" s="82" t="s">
        <v>15323</v>
      </c>
      <c r="AY2238" s="77"/>
      <c r="AZ2238" s="82" t="s">
        <v>17385</v>
      </c>
      <c r="BA2238" s="82" t="s">
        <v>17385</v>
      </c>
      <c r="BB2238" s="82" t="s">
        <v>17385</v>
      </c>
      <c r="BC2238" s="82" t="s">
        <v>15323</v>
      </c>
      <c r="BD2238" s="82" t="s">
        <v>17641</v>
      </c>
      <c r="BE2238" s="77"/>
      <c r="BF2238" s="77"/>
      <c r="BG2238" s="77"/>
      <c r="BH2238" s="77"/>
      <c r="BI2238" s="77"/>
    </row>
    <row r="2239" spans="1:61" x14ac:dyDescent="0.25">
      <c r="A2239" s="62" t="s">
        <v>604</v>
      </c>
      <c r="B2239" s="62" t="s">
        <v>604</v>
      </c>
      <c r="C2239" s="63"/>
      <c r="D2239" s="64"/>
      <c r="E2239" s="65"/>
      <c r="F2239" s="66"/>
      <c r="G2239" s="63"/>
      <c r="H2239" s="67"/>
      <c r="I2239" s="68"/>
      <c r="J2239" s="68"/>
      <c r="K2239" s="32"/>
      <c r="L2239" s="75">
        <v>2239</v>
      </c>
      <c r="M2239" s="75"/>
      <c r="N2239" s="70"/>
      <c r="O2239" s="77" t="s">
        <v>179</v>
      </c>
      <c r="P2239" s="79">
        <v>45109.584143518521</v>
      </c>
      <c r="Q2239" s="77" t="s">
        <v>3018</v>
      </c>
      <c r="R2239" s="77">
        <v>0</v>
      </c>
      <c r="S2239" s="77">
        <v>1</v>
      </c>
      <c r="T2239" s="77">
        <v>0</v>
      </c>
      <c r="U2239" s="77">
        <v>0</v>
      </c>
      <c r="V2239" s="77">
        <v>186</v>
      </c>
      <c r="W2239" s="82" t="s">
        <v>6259</v>
      </c>
      <c r="X2239" s="80" t="str">
        <f>HYPERLINK("https://www.moneytimes.com.br/plano-safra-recorde-clima-derruba-lavouras-e-jbss3-enquanto-china-derrete-boi-da-minerva-beef3-e-mais-veja-5-temas-no-agro-times/")</f>
        <v>https://www.moneytimes.com.br/plano-safra-recorde-clima-derruba-lavouras-e-jbss3-enquanto-china-derrete-boi-da-minerva-beef3-e-mais-veja-5-temas-no-agro-times/</v>
      </c>
      <c r="Y2239" s="77" t="s">
        <v>7053</v>
      </c>
      <c r="Z2239" s="77"/>
      <c r="AA2239" s="77"/>
      <c r="AB2239" s="77"/>
      <c r="AC2239" s="82" t="s">
        <v>8255</v>
      </c>
      <c r="AD2239" s="77" t="s">
        <v>8278</v>
      </c>
      <c r="AE2239" s="80" t="str">
        <f>HYPERLINK("https://twitter.com/leiaagrotimes/status/1675504891396075524")</f>
        <v>https://twitter.com/leiaagrotimes/status/1675504891396075524</v>
      </c>
      <c r="AF2239" s="79">
        <v>45109.584143518521</v>
      </c>
      <c r="AG2239" s="85">
        <v>45109</v>
      </c>
      <c r="AH2239" s="82" t="s">
        <v>10306</v>
      </c>
      <c r="AI2239" s="77" t="b">
        <v>0</v>
      </c>
      <c r="AJ2239" s="77"/>
      <c r="AK2239" s="77"/>
      <c r="AL2239" s="77"/>
      <c r="AM2239" s="77"/>
      <c r="AN2239" s="77"/>
      <c r="AO2239" s="77"/>
      <c r="AP2239" s="77"/>
      <c r="AQ2239" s="77"/>
      <c r="AR2239" s="77"/>
      <c r="AS2239" s="77"/>
      <c r="AT2239" s="77"/>
      <c r="AU2239" s="77"/>
      <c r="AV2239" s="80" t="str">
        <f>HYPERLINK("https://pbs.twimg.com/profile_images/1365395023072817162/ZI8fAPrO_normal.jpg")</f>
        <v>https://pbs.twimg.com/profile_images/1365395023072817162/ZI8fAPrO_normal.jpg</v>
      </c>
      <c r="AW2239" s="82" t="s">
        <v>15324</v>
      </c>
      <c r="AX2239" s="82" t="s">
        <v>15324</v>
      </c>
      <c r="AY2239" s="77"/>
      <c r="AZ2239" s="82" t="s">
        <v>17385</v>
      </c>
      <c r="BA2239" s="82" t="s">
        <v>17385</v>
      </c>
      <c r="BB2239" s="82" t="s">
        <v>17385</v>
      </c>
      <c r="BC2239" s="82" t="s">
        <v>15324</v>
      </c>
      <c r="BD2239" s="82" t="s">
        <v>17641</v>
      </c>
      <c r="BE2239" s="77"/>
      <c r="BF2239" s="77"/>
      <c r="BG2239" s="77"/>
      <c r="BH2239" s="77"/>
      <c r="BI2239" s="77"/>
    </row>
    <row r="2240" spans="1:61" x14ac:dyDescent="0.25">
      <c r="A2240" s="62" t="s">
        <v>604</v>
      </c>
      <c r="B2240" s="62" t="s">
        <v>604</v>
      </c>
      <c r="C2240" s="63"/>
      <c r="D2240" s="64"/>
      <c r="E2240" s="65"/>
      <c r="F2240" s="66"/>
      <c r="G2240" s="63"/>
      <c r="H2240" s="67"/>
      <c r="I2240" s="68"/>
      <c r="J2240" s="68"/>
      <c r="K2240" s="32"/>
      <c r="L2240" s="75">
        <v>2240</v>
      </c>
      <c r="M2240" s="75"/>
      <c r="N2240" s="70"/>
      <c r="O2240" s="77" t="s">
        <v>179</v>
      </c>
      <c r="P2240" s="79">
        <v>45107.632986111108</v>
      </c>
      <c r="Q2240" s="77" t="s">
        <v>3019</v>
      </c>
      <c r="R2240" s="77">
        <v>0</v>
      </c>
      <c r="S2240" s="77">
        <v>0</v>
      </c>
      <c r="T2240" s="77">
        <v>0</v>
      </c>
      <c r="U2240" s="77">
        <v>0</v>
      </c>
      <c r="V2240" s="77">
        <v>55</v>
      </c>
      <c r="W2240" s="82" t="s">
        <v>6251</v>
      </c>
      <c r="X2240" s="80" t="str">
        <f>HYPERLINK("https://www.moneytimes.com.br/brasilagro-agro3-sobe-apos-venda-de-fazenda-na-bahia-por-r-122-milhoes-o-que-fazer-com-as-acoes/")</f>
        <v>https://www.moneytimes.com.br/brasilagro-agro3-sobe-apos-venda-de-fazenda-na-bahia-por-r-122-milhoes-o-que-fazer-com-as-acoes/</v>
      </c>
      <c r="Y2240" s="77" t="s">
        <v>7053</v>
      </c>
      <c r="Z2240" s="77"/>
      <c r="AA2240" s="77"/>
      <c r="AB2240" s="77"/>
      <c r="AC2240" s="82" t="s">
        <v>8255</v>
      </c>
      <c r="AD2240" s="77" t="s">
        <v>8278</v>
      </c>
      <c r="AE2240" s="80" t="str">
        <f>HYPERLINK("https://twitter.com/leiaagrotimes/status/1674797817100111878")</f>
        <v>https://twitter.com/leiaagrotimes/status/1674797817100111878</v>
      </c>
      <c r="AF2240" s="79">
        <v>45107.632986111108</v>
      </c>
      <c r="AG2240" s="85">
        <v>45107</v>
      </c>
      <c r="AH2240" s="82" t="s">
        <v>10307</v>
      </c>
      <c r="AI2240" s="77" t="b">
        <v>0</v>
      </c>
      <c r="AJ2240" s="77"/>
      <c r="AK2240" s="77"/>
      <c r="AL2240" s="77"/>
      <c r="AM2240" s="77"/>
      <c r="AN2240" s="77"/>
      <c r="AO2240" s="77"/>
      <c r="AP2240" s="77"/>
      <c r="AQ2240" s="77"/>
      <c r="AR2240" s="77"/>
      <c r="AS2240" s="77"/>
      <c r="AT2240" s="77"/>
      <c r="AU2240" s="77"/>
      <c r="AV2240" s="80" t="str">
        <f>HYPERLINK("https://pbs.twimg.com/profile_images/1365395023072817162/ZI8fAPrO_normal.jpg")</f>
        <v>https://pbs.twimg.com/profile_images/1365395023072817162/ZI8fAPrO_normal.jpg</v>
      </c>
      <c r="AW2240" s="82" t="s">
        <v>15325</v>
      </c>
      <c r="AX2240" s="82" t="s">
        <v>15325</v>
      </c>
      <c r="AY2240" s="77"/>
      <c r="AZ2240" s="82" t="s">
        <v>17385</v>
      </c>
      <c r="BA2240" s="82" t="s">
        <v>17385</v>
      </c>
      <c r="BB2240" s="82" t="s">
        <v>17385</v>
      </c>
      <c r="BC2240" s="82" t="s">
        <v>15325</v>
      </c>
      <c r="BD2240" s="82" t="s">
        <v>17641</v>
      </c>
      <c r="BE2240" s="77"/>
      <c r="BF2240" s="77"/>
      <c r="BG2240" s="77"/>
      <c r="BH2240" s="77"/>
      <c r="BI2240" s="77"/>
    </row>
    <row r="2241" spans="1:61" x14ac:dyDescent="0.25">
      <c r="A2241" s="62" t="s">
        <v>604</v>
      </c>
      <c r="B2241" s="62" t="s">
        <v>604</v>
      </c>
      <c r="C2241" s="63"/>
      <c r="D2241" s="64"/>
      <c r="E2241" s="65"/>
      <c r="F2241" s="66"/>
      <c r="G2241" s="63"/>
      <c r="H2241" s="67"/>
      <c r="I2241" s="68"/>
      <c r="J2241" s="68"/>
      <c r="K2241" s="32"/>
      <c r="L2241" s="75">
        <v>2241</v>
      </c>
      <c r="M2241" s="75"/>
      <c r="N2241" s="70"/>
      <c r="O2241" s="77" t="s">
        <v>179</v>
      </c>
      <c r="P2241" s="79">
        <v>45107.534548611111</v>
      </c>
      <c r="Q2241" s="77" t="s">
        <v>3020</v>
      </c>
      <c r="R2241" s="77">
        <v>0</v>
      </c>
      <c r="S2241" s="77">
        <v>1</v>
      </c>
      <c r="T2241" s="77">
        <v>0</v>
      </c>
      <c r="U2241" s="77">
        <v>0</v>
      </c>
      <c r="V2241" s="77">
        <v>139</v>
      </c>
      <c r="W2241" s="82" t="s">
        <v>6259</v>
      </c>
      <c r="X2241" s="80" t="str">
        <f>HYPERLINK("https://www.moneytimes.com.br/agrogalaxy-agxy3-anuncia-novo-velho-ceo-welles-pascoal-responsavel-por-ipo-em-2021/")</f>
        <v>https://www.moneytimes.com.br/agrogalaxy-agxy3-anuncia-novo-velho-ceo-welles-pascoal-responsavel-por-ipo-em-2021/</v>
      </c>
      <c r="Y2241" s="77" t="s">
        <v>7053</v>
      </c>
      <c r="Z2241" s="77"/>
      <c r="AA2241" s="77"/>
      <c r="AB2241" s="77"/>
      <c r="AC2241" s="82" t="s">
        <v>8255</v>
      </c>
      <c r="AD2241" s="77" t="s">
        <v>8278</v>
      </c>
      <c r="AE2241" s="80" t="str">
        <f>HYPERLINK("https://twitter.com/leiaagrotimes/status/1674762145798533121")</f>
        <v>https://twitter.com/leiaagrotimes/status/1674762145798533121</v>
      </c>
      <c r="AF2241" s="79">
        <v>45107.534548611111</v>
      </c>
      <c r="AG2241" s="85">
        <v>45107</v>
      </c>
      <c r="AH2241" s="82" t="s">
        <v>10308</v>
      </c>
      <c r="AI2241" s="77" t="b">
        <v>0</v>
      </c>
      <c r="AJ2241" s="77"/>
      <c r="AK2241" s="77"/>
      <c r="AL2241" s="77"/>
      <c r="AM2241" s="77"/>
      <c r="AN2241" s="77"/>
      <c r="AO2241" s="77"/>
      <c r="AP2241" s="77"/>
      <c r="AQ2241" s="77"/>
      <c r="AR2241" s="77"/>
      <c r="AS2241" s="77"/>
      <c r="AT2241" s="77"/>
      <c r="AU2241" s="77"/>
      <c r="AV2241" s="80" t="str">
        <f>HYPERLINK("https://pbs.twimg.com/profile_images/1365395023072817162/ZI8fAPrO_normal.jpg")</f>
        <v>https://pbs.twimg.com/profile_images/1365395023072817162/ZI8fAPrO_normal.jpg</v>
      </c>
      <c r="AW2241" s="82" t="s">
        <v>15326</v>
      </c>
      <c r="AX2241" s="82" t="s">
        <v>15326</v>
      </c>
      <c r="AY2241" s="77"/>
      <c r="AZ2241" s="82" t="s">
        <v>17385</v>
      </c>
      <c r="BA2241" s="82" t="s">
        <v>17385</v>
      </c>
      <c r="BB2241" s="82" t="s">
        <v>17385</v>
      </c>
      <c r="BC2241" s="82" t="s">
        <v>15326</v>
      </c>
      <c r="BD2241" s="82" t="s">
        <v>17641</v>
      </c>
      <c r="BE2241" s="77"/>
      <c r="BF2241" s="77"/>
      <c r="BG2241" s="77"/>
      <c r="BH2241" s="77"/>
      <c r="BI2241" s="77"/>
    </row>
    <row r="2242" spans="1:61" x14ac:dyDescent="0.25">
      <c r="A2242" s="62" t="s">
        <v>604</v>
      </c>
      <c r="B2242" s="62" t="s">
        <v>604</v>
      </c>
      <c r="C2242" s="63"/>
      <c r="D2242" s="64"/>
      <c r="E2242" s="65"/>
      <c r="F2242" s="66"/>
      <c r="G2242" s="63"/>
      <c r="H2242" s="67"/>
      <c r="I2242" s="68"/>
      <c r="J2242" s="68"/>
      <c r="K2242" s="32"/>
      <c r="L2242" s="75">
        <v>2242</v>
      </c>
      <c r="M2242" s="75"/>
      <c r="N2242" s="70"/>
      <c r="O2242" s="77" t="s">
        <v>179</v>
      </c>
      <c r="P2242" s="79">
        <v>45106.63858796296</v>
      </c>
      <c r="Q2242" s="77" t="s">
        <v>3021</v>
      </c>
      <c r="R2242" s="77">
        <v>0</v>
      </c>
      <c r="S2242" s="77">
        <v>1</v>
      </c>
      <c r="T2242" s="77">
        <v>0</v>
      </c>
      <c r="U2242" s="77">
        <v>0</v>
      </c>
      <c r="V2242" s="77">
        <v>107</v>
      </c>
      <c r="W2242" s="82" t="s">
        <v>6256</v>
      </c>
      <c r="X2242" s="80" t="str">
        <f>HYPERLINK("https://www.moneytimes.com.br/jalles-machado-jall3-acao-cai-quase-4-apos-prejuizo-de-r-56-milhoes-no-4t23/")</f>
        <v>https://www.moneytimes.com.br/jalles-machado-jall3-acao-cai-quase-4-apos-prejuizo-de-r-56-milhoes-no-4t23/</v>
      </c>
      <c r="Y2242" s="77" t="s">
        <v>7053</v>
      </c>
      <c r="Z2242" s="77"/>
      <c r="AA2242" s="77"/>
      <c r="AB2242" s="77"/>
      <c r="AC2242" s="82" t="s">
        <v>8255</v>
      </c>
      <c r="AD2242" s="77" t="s">
        <v>8278</v>
      </c>
      <c r="AE2242" s="80" t="str">
        <f>HYPERLINK("https://twitter.com/leiaagrotimes/status/1674437459269283843")</f>
        <v>https://twitter.com/leiaagrotimes/status/1674437459269283843</v>
      </c>
      <c r="AF2242" s="79">
        <v>45106.63858796296</v>
      </c>
      <c r="AG2242" s="85">
        <v>45106</v>
      </c>
      <c r="AH2242" s="82" t="s">
        <v>10309</v>
      </c>
      <c r="AI2242" s="77" t="b">
        <v>0</v>
      </c>
      <c r="AJ2242" s="77"/>
      <c r="AK2242" s="77"/>
      <c r="AL2242" s="77"/>
      <c r="AM2242" s="77"/>
      <c r="AN2242" s="77"/>
      <c r="AO2242" s="77"/>
      <c r="AP2242" s="77"/>
      <c r="AQ2242" s="77"/>
      <c r="AR2242" s="77"/>
      <c r="AS2242" s="77"/>
      <c r="AT2242" s="77"/>
      <c r="AU2242" s="77"/>
      <c r="AV2242" s="80" t="str">
        <f>HYPERLINK("https://pbs.twimg.com/profile_images/1365395023072817162/ZI8fAPrO_normal.jpg")</f>
        <v>https://pbs.twimg.com/profile_images/1365395023072817162/ZI8fAPrO_normal.jpg</v>
      </c>
      <c r="AW2242" s="82" t="s">
        <v>15327</v>
      </c>
      <c r="AX2242" s="82" t="s">
        <v>15327</v>
      </c>
      <c r="AY2242" s="77"/>
      <c r="AZ2242" s="82" t="s">
        <v>17385</v>
      </c>
      <c r="BA2242" s="82" t="s">
        <v>17385</v>
      </c>
      <c r="BB2242" s="82" t="s">
        <v>17385</v>
      </c>
      <c r="BC2242" s="82" t="s">
        <v>15327</v>
      </c>
      <c r="BD2242" s="82" t="s">
        <v>17641</v>
      </c>
      <c r="BE2242" s="77"/>
      <c r="BF2242" s="77"/>
      <c r="BG2242" s="77"/>
      <c r="BH2242" s="77"/>
      <c r="BI2242" s="77"/>
    </row>
    <row r="2243" spans="1:61" x14ac:dyDescent="0.25">
      <c r="A2243" s="62" t="s">
        <v>604</v>
      </c>
      <c r="B2243" s="62" t="s">
        <v>604</v>
      </c>
      <c r="C2243" s="63"/>
      <c r="D2243" s="64"/>
      <c r="E2243" s="65"/>
      <c r="F2243" s="66"/>
      <c r="G2243" s="63"/>
      <c r="H2243" s="67"/>
      <c r="I2243" s="68"/>
      <c r="J2243" s="68"/>
      <c r="K2243" s="32"/>
      <c r="L2243" s="75">
        <v>2243</v>
      </c>
      <c r="M2243" s="75"/>
      <c r="N2243" s="70"/>
      <c r="O2243" s="77" t="s">
        <v>179</v>
      </c>
      <c r="P2243" s="79">
        <v>45084.822210648148</v>
      </c>
      <c r="Q2243" s="77" t="s">
        <v>3022</v>
      </c>
      <c r="R2243" s="77">
        <v>0</v>
      </c>
      <c r="S2243" s="77">
        <v>0</v>
      </c>
      <c r="T2243" s="77">
        <v>0</v>
      </c>
      <c r="U2243" s="77">
        <v>0</v>
      </c>
      <c r="V2243" s="77">
        <v>62</v>
      </c>
      <c r="W2243" s="82" t="s">
        <v>6251</v>
      </c>
      <c r="X2243" s="80" t="str">
        <f>HYPERLINK("https://www.moneytimes.com.br/jbs-jbss3-apos-fundo-do-poco-dividendos-podem-secar-em-ano-de-vacas-magras-entenda/")</f>
        <v>https://www.moneytimes.com.br/jbs-jbss3-apos-fundo-do-poco-dividendos-podem-secar-em-ano-de-vacas-magras-entenda/</v>
      </c>
      <c r="Y2243" s="77" t="s">
        <v>7053</v>
      </c>
      <c r="Z2243" s="77"/>
      <c r="AA2243" s="77"/>
      <c r="AB2243" s="77"/>
      <c r="AC2243" s="82" t="s">
        <v>8255</v>
      </c>
      <c r="AD2243" s="77" t="s">
        <v>8278</v>
      </c>
      <c r="AE2243" s="80" t="str">
        <f>HYPERLINK("https://twitter.com/leiaagrotimes/status/1666531470561669123")</f>
        <v>https://twitter.com/leiaagrotimes/status/1666531470561669123</v>
      </c>
      <c r="AF2243" s="79">
        <v>45084.822210648148</v>
      </c>
      <c r="AG2243" s="85">
        <v>45084</v>
      </c>
      <c r="AH2243" s="82" t="s">
        <v>10310</v>
      </c>
      <c r="AI2243" s="77" t="b">
        <v>0</v>
      </c>
      <c r="AJ2243" s="77"/>
      <c r="AK2243" s="77"/>
      <c r="AL2243" s="77"/>
      <c r="AM2243" s="77"/>
      <c r="AN2243" s="77"/>
      <c r="AO2243" s="77"/>
      <c r="AP2243" s="77"/>
      <c r="AQ2243" s="77"/>
      <c r="AR2243" s="77"/>
      <c r="AS2243" s="77"/>
      <c r="AT2243" s="77"/>
      <c r="AU2243" s="77"/>
      <c r="AV2243" s="80" t="str">
        <f>HYPERLINK("https://pbs.twimg.com/profile_images/1365395023072817162/ZI8fAPrO_normal.jpg")</f>
        <v>https://pbs.twimg.com/profile_images/1365395023072817162/ZI8fAPrO_normal.jpg</v>
      </c>
      <c r="AW2243" s="82" t="s">
        <v>15328</v>
      </c>
      <c r="AX2243" s="82" t="s">
        <v>15328</v>
      </c>
      <c r="AY2243" s="77"/>
      <c r="AZ2243" s="82" t="s">
        <v>17385</v>
      </c>
      <c r="BA2243" s="82" t="s">
        <v>17385</v>
      </c>
      <c r="BB2243" s="82" t="s">
        <v>17385</v>
      </c>
      <c r="BC2243" s="82" t="s">
        <v>15328</v>
      </c>
      <c r="BD2243" s="82" t="s">
        <v>17641</v>
      </c>
      <c r="BE2243" s="77"/>
      <c r="BF2243" s="77"/>
      <c r="BG2243" s="77"/>
      <c r="BH2243" s="77"/>
      <c r="BI2243" s="77"/>
    </row>
    <row r="2244" spans="1:61" x14ac:dyDescent="0.25">
      <c r="A2244" s="62" t="s">
        <v>604</v>
      </c>
      <c r="B2244" s="62" t="s">
        <v>604</v>
      </c>
      <c r="C2244" s="63"/>
      <c r="D2244" s="64"/>
      <c r="E2244" s="65"/>
      <c r="F2244" s="66"/>
      <c r="G2244" s="63"/>
      <c r="H2244" s="67"/>
      <c r="I2244" s="68"/>
      <c r="J2244" s="68"/>
      <c r="K2244" s="32"/>
      <c r="L2244" s="75">
        <v>2244</v>
      </c>
      <c r="M2244" s="75"/>
      <c r="N2244" s="70"/>
      <c r="O2244" s="77" t="s">
        <v>179</v>
      </c>
      <c r="P2244" s="79">
        <v>45070.774259259262</v>
      </c>
      <c r="Q2244" s="77" t="s">
        <v>3023</v>
      </c>
      <c r="R2244" s="77">
        <v>0</v>
      </c>
      <c r="S2244" s="77">
        <v>0</v>
      </c>
      <c r="T2244" s="77">
        <v>0</v>
      </c>
      <c r="U2244" s="77">
        <v>0</v>
      </c>
      <c r="V2244" s="77">
        <v>73</v>
      </c>
      <c r="W2244" s="82" t="s">
        <v>6256</v>
      </c>
      <c r="X2244" s="80" t="str">
        <f>HYPERLINK("https://www.moneytimes.com.br/como-a-raizen-raiz4-agora-vai-buscar-um-retorno-brutal/")</f>
        <v>https://www.moneytimes.com.br/como-a-raizen-raiz4-agora-vai-buscar-um-retorno-brutal/</v>
      </c>
      <c r="Y2244" s="77" t="s">
        <v>7053</v>
      </c>
      <c r="Z2244" s="77"/>
      <c r="AA2244" s="77"/>
      <c r="AB2244" s="77"/>
      <c r="AC2244" s="82" t="s">
        <v>8255</v>
      </c>
      <c r="AD2244" s="77" t="s">
        <v>8278</v>
      </c>
      <c r="AE2244" s="80" t="str">
        <f>HYPERLINK("https://twitter.com/leiaagrotimes/status/1661440663777419265")</f>
        <v>https://twitter.com/leiaagrotimes/status/1661440663777419265</v>
      </c>
      <c r="AF2244" s="79">
        <v>45070.774259259262</v>
      </c>
      <c r="AG2244" s="85">
        <v>45070</v>
      </c>
      <c r="AH2244" s="82" t="s">
        <v>10311</v>
      </c>
      <c r="AI2244" s="77" t="b">
        <v>0</v>
      </c>
      <c r="AJ2244" s="77"/>
      <c r="AK2244" s="77"/>
      <c r="AL2244" s="77"/>
      <c r="AM2244" s="77"/>
      <c r="AN2244" s="77"/>
      <c r="AO2244" s="77"/>
      <c r="AP2244" s="77"/>
      <c r="AQ2244" s="77"/>
      <c r="AR2244" s="77"/>
      <c r="AS2244" s="77"/>
      <c r="AT2244" s="77"/>
      <c r="AU2244" s="77"/>
      <c r="AV2244" s="80" t="str">
        <f>HYPERLINK("https://pbs.twimg.com/profile_images/1365395023072817162/ZI8fAPrO_normal.jpg")</f>
        <v>https://pbs.twimg.com/profile_images/1365395023072817162/ZI8fAPrO_normal.jpg</v>
      </c>
      <c r="AW2244" s="82" t="s">
        <v>15329</v>
      </c>
      <c r="AX2244" s="82" t="s">
        <v>15329</v>
      </c>
      <c r="AY2244" s="77"/>
      <c r="AZ2244" s="82" t="s">
        <v>17385</v>
      </c>
      <c r="BA2244" s="82" t="s">
        <v>17385</v>
      </c>
      <c r="BB2244" s="82" t="s">
        <v>17385</v>
      </c>
      <c r="BC2244" s="82" t="s">
        <v>15329</v>
      </c>
      <c r="BD2244" s="82" t="s">
        <v>17641</v>
      </c>
      <c r="BE2244" s="77"/>
      <c r="BF2244" s="77"/>
      <c r="BG2244" s="77"/>
      <c r="BH2244" s="77"/>
      <c r="BI2244" s="77"/>
    </row>
    <row r="2245" spans="1:61" x14ac:dyDescent="0.25">
      <c r="A2245" s="62" t="s">
        <v>604</v>
      </c>
      <c r="B2245" s="62" t="s">
        <v>604</v>
      </c>
      <c r="C2245" s="63"/>
      <c r="D2245" s="64"/>
      <c r="E2245" s="65"/>
      <c r="F2245" s="66"/>
      <c r="G2245" s="63"/>
      <c r="H2245" s="67"/>
      <c r="I2245" s="68"/>
      <c r="J2245" s="68"/>
      <c r="K2245" s="32"/>
      <c r="L2245" s="75">
        <v>2245</v>
      </c>
      <c r="M2245" s="75"/>
      <c r="N2245" s="70"/>
      <c r="O2245" s="77" t="s">
        <v>179</v>
      </c>
      <c r="P2245" s="79">
        <v>45070.702569444446</v>
      </c>
      <c r="Q2245" s="77" t="s">
        <v>3024</v>
      </c>
      <c r="R2245" s="77">
        <v>0</v>
      </c>
      <c r="S2245" s="77">
        <v>0</v>
      </c>
      <c r="T2245" s="77">
        <v>0</v>
      </c>
      <c r="U2245" s="77">
        <v>0</v>
      </c>
      <c r="V2245" s="77">
        <v>69</v>
      </c>
      <c r="W2245" s="82" t="s">
        <v>6251</v>
      </c>
      <c r="X2245" s="80" t="str">
        <f>HYPERLINK("https://www.moneytimes.com.br/xp-corta-preco-alvo-da-minerva-foods-beef3-entenda-se-e-hora-de-cair-fora/")</f>
        <v>https://www.moneytimes.com.br/xp-corta-preco-alvo-da-minerva-foods-beef3-entenda-se-e-hora-de-cair-fora/</v>
      </c>
      <c r="Y2245" s="77" t="s">
        <v>7053</v>
      </c>
      <c r="Z2245" s="77"/>
      <c r="AA2245" s="77"/>
      <c r="AB2245" s="77"/>
      <c r="AC2245" s="82" t="s">
        <v>8255</v>
      </c>
      <c r="AD2245" s="77" t="s">
        <v>8278</v>
      </c>
      <c r="AE2245" s="80" t="str">
        <f>HYPERLINK("https://twitter.com/leiaagrotimes/status/1661414681775308804")</f>
        <v>https://twitter.com/leiaagrotimes/status/1661414681775308804</v>
      </c>
      <c r="AF2245" s="79">
        <v>45070.702569444446</v>
      </c>
      <c r="AG2245" s="85">
        <v>45070</v>
      </c>
      <c r="AH2245" s="82" t="s">
        <v>10312</v>
      </c>
      <c r="AI2245" s="77" t="b">
        <v>0</v>
      </c>
      <c r="AJ2245" s="77"/>
      <c r="AK2245" s="77"/>
      <c r="AL2245" s="77"/>
      <c r="AM2245" s="77"/>
      <c r="AN2245" s="77"/>
      <c r="AO2245" s="77"/>
      <c r="AP2245" s="77"/>
      <c r="AQ2245" s="77"/>
      <c r="AR2245" s="77"/>
      <c r="AS2245" s="77"/>
      <c r="AT2245" s="77"/>
      <c r="AU2245" s="77"/>
      <c r="AV2245" s="80" t="str">
        <f>HYPERLINK("https://pbs.twimg.com/profile_images/1365395023072817162/ZI8fAPrO_normal.jpg")</f>
        <v>https://pbs.twimg.com/profile_images/1365395023072817162/ZI8fAPrO_normal.jpg</v>
      </c>
      <c r="AW2245" s="82" t="s">
        <v>15330</v>
      </c>
      <c r="AX2245" s="82" t="s">
        <v>15330</v>
      </c>
      <c r="AY2245" s="77"/>
      <c r="AZ2245" s="82" t="s">
        <v>17385</v>
      </c>
      <c r="BA2245" s="82" t="s">
        <v>17385</v>
      </c>
      <c r="BB2245" s="82" t="s">
        <v>17385</v>
      </c>
      <c r="BC2245" s="82" t="s">
        <v>15330</v>
      </c>
      <c r="BD2245" s="82" t="s">
        <v>17641</v>
      </c>
      <c r="BE2245" s="77"/>
      <c r="BF2245" s="77"/>
      <c r="BG2245" s="77"/>
      <c r="BH2245" s="77"/>
      <c r="BI2245" s="77"/>
    </row>
    <row r="2246" spans="1:61" x14ac:dyDescent="0.25">
      <c r="A2246" s="62" t="s">
        <v>604</v>
      </c>
      <c r="B2246" s="62" t="s">
        <v>604</v>
      </c>
      <c r="C2246" s="63"/>
      <c r="D2246" s="64"/>
      <c r="E2246" s="65"/>
      <c r="F2246" s="66"/>
      <c r="G2246" s="63"/>
      <c r="H2246" s="67"/>
      <c r="I2246" s="68"/>
      <c r="J2246" s="68"/>
      <c r="K2246" s="32"/>
      <c r="L2246" s="75">
        <v>2246</v>
      </c>
      <c r="M2246" s="75"/>
      <c r="N2246" s="70"/>
      <c r="O2246" s="77" t="s">
        <v>179</v>
      </c>
      <c r="P2246" s="79">
        <v>45070.667650462965</v>
      </c>
      <c r="Q2246" s="77" t="s">
        <v>3025</v>
      </c>
      <c r="R2246" s="77">
        <v>0</v>
      </c>
      <c r="S2246" s="77">
        <v>0</v>
      </c>
      <c r="T2246" s="77">
        <v>0</v>
      </c>
      <c r="U2246" s="77">
        <v>0</v>
      </c>
      <c r="V2246" s="77">
        <v>79</v>
      </c>
      <c r="W2246" s="82" t="s">
        <v>6256</v>
      </c>
      <c r="X2246" s="80" t="str">
        <f>HYPERLINK("https://www.moneytimes.com.br/raizen-raiz4-vive-ciclo-de-investimentos-mas-geracao-de-caixa-ainda-e-prioridade-maxima-diz-cfo/")</f>
        <v>https://www.moneytimes.com.br/raizen-raiz4-vive-ciclo-de-investimentos-mas-geracao-de-caixa-ainda-e-prioridade-maxima-diz-cfo/</v>
      </c>
      <c r="Y2246" s="77" t="s">
        <v>7053</v>
      </c>
      <c r="Z2246" s="77"/>
      <c r="AA2246" s="77"/>
      <c r="AB2246" s="77"/>
      <c r="AC2246" s="82" t="s">
        <v>8255</v>
      </c>
      <c r="AD2246" s="77" t="s">
        <v>8278</v>
      </c>
      <c r="AE2246" s="80" t="str">
        <f>HYPERLINK("https://twitter.com/leiaagrotimes/status/1661402028315222016")</f>
        <v>https://twitter.com/leiaagrotimes/status/1661402028315222016</v>
      </c>
      <c r="AF2246" s="79">
        <v>45070.667650462965</v>
      </c>
      <c r="AG2246" s="85">
        <v>45070</v>
      </c>
      <c r="AH2246" s="82" t="s">
        <v>10313</v>
      </c>
      <c r="AI2246" s="77" t="b">
        <v>0</v>
      </c>
      <c r="AJ2246" s="77"/>
      <c r="AK2246" s="77"/>
      <c r="AL2246" s="77"/>
      <c r="AM2246" s="77"/>
      <c r="AN2246" s="77"/>
      <c r="AO2246" s="77"/>
      <c r="AP2246" s="77"/>
      <c r="AQ2246" s="77"/>
      <c r="AR2246" s="77"/>
      <c r="AS2246" s="77"/>
      <c r="AT2246" s="77"/>
      <c r="AU2246" s="77"/>
      <c r="AV2246" s="80" t="str">
        <f>HYPERLINK("https://pbs.twimg.com/profile_images/1365395023072817162/ZI8fAPrO_normal.jpg")</f>
        <v>https://pbs.twimg.com/profile_images/1365395023072817162/ZI8fAPrO_normal.jpg</v>
      </c>
      <c r="AW2246" s="82" t="s">
        <v>15331</v>
      </c>
      <c r="AX2246" s="82" t="s">
        <v>15331</v>
      </c>
      <c r="AY2246" s="77"/>
      <c r="AZ2246" s="82" t="s">
        <v>17385</v>
      </c>
      <c r="BA2246" s="82" t="s">
        <v>17385</v>
      </c>
      <c r="BB2246" s="82" t="s">
        <v>17385</v>
      </c>
      <c r="BC2246" s="82" t="s">
        <v>15331</v>
      </c>
      <c r="BD2246" s="82" t="s">
        <v>17641</v>
      </c>
      <c r="BE2246" s="77"/>
      <c r="BF2246" s="77"/>
      <c r="BG2246" s="77"/>
      <c r="BH2246" s="77"/>
      <c r="BI2246" s="77"/>
    </row>
    <row r="2247" spans="1:61" x14ac:dyDescent="0.25">
      <c r="A2247" s="62" t="s">
        <v>604</v>
      </c>
      <c r="B2247" s="62" t="s">
        <v>604</v>
      </c>
      <c r="C2247" s="63"/>
      <c r="D2247" s="64"/>
      <c r="E2247" s="65"/>
      <c r="F2247" s="66"/>
      <c r="G2247" s="63"/>
      <c r="H2247" s="67"/>
      <c r="I2247" s="68"/>
      <c r="J2247" s="68"/>
      <c r="K2247" s="32"/>
      <c r="L2247" s="75">
        <v>2247</v>
      </c>
      <c r="M2247" s="75"/>
      <c r="N2247" s="70"/>
      <c r="O2247" s="77" t="s">
        <v>179</v>
      </c>
      <c r="P2247" s="79">
        <v>45069.785219907404</v>
      </c>
      <c r="Q2247" s="77" t="s">
        <v>3026</v>
      </c>
      <c r="R2247" s="77">
        <v>0</v>
      </c>
      <c r="S2247" s="77">
        <v>0</v>
      </c>
      <c r="T2247" s="77">
        <v>0</v>
      </c>
      <c r="U2247" s="77">
        <v>0</v>
      </c>
      <c r="V2247" s="77">
        <v>73</v>
      </c>
      <c r="W2247" s="82" t="s">
        <v>6258</v>
      </c>
      <c r="X2247" s="80" t="str">
        <f>HYPERLINK("https://www.moneytimes.com.br/minerva-beef3-amplia-exportacao-de-carne-para-eua-empresa-anuncia-habilitacao-de-planta-no-mato-grosso/")</f>
        <v>https://www.moneytimes.com.br/minerva-beef3-amplia-exportacao-de-carne-para-eua-empresa-anuncia-habilitacao-de-planta-no-mato-grosso/</v>
      </c>
      <c r="Y2247" s="77" t="s">
        <v>7053</v>
      </c>
      <c r="Z2247" s="77"/>
      <c r="AA2247" s="77"/>
      <c r="AB2247" s="77"/>
      <c r="AC2247" s="82" t="s">
        <v>8255</v>
      </c>
      <c r="AD2247" s="77" t="s">
        <v>8278</v>
      </c>
      <c r="AE2247" s="80" t="str">
        <f>HYPERLINK("https://twitter.com/leiaagrotimes/status/1661082244587372555")</f>
        <v>https://twitter.com/leiaagrotimes/status/1661082244587372555</v>
      </c>
      <c r="AF2247" s="79">
        <v>45069.785219907404</v>
      </c>
      <c r="AG2247" s="85">
        <v>45069</v>
      </c>
      <c r="AH2247" s="82" t="s">
        <v>10314</v>
      </c>
      <c r="AI2247" s="77" t="b">
        <v>0</v>
      </c>
      <c r="AJ2247" s="77"/>
      <c r="AK2247" s="77"/>
      <c r="AL2247" s="77"/>
      <c r="AM2247" s="77"/>
      <c r="AN2247" s="77"/>
      <c r="AO2247" s="77"/>
      <c r="AP2247" s="77"/>
      <c r="AQ2247" s="77"/>
      <c r="AR2247" s="77"/>
      <c r="AS2247" s="77"/>
      <c r="AT2247" s="77"/>
      <c r="AU2247" s="77"/>
      <c r="AV2247" s="80" t="str">
        <f>HYPERLINK("https://pbs.twimg.com/profile_images/1365395023072817162/ZI8fAPrO_normal.jpg")</f>
        <v>https://pbs.twimg.com/profile_images/1365395023072817162/ZI8fAPrO_normal.jpg</v>
      </c>
      <c r="AW2247" s="82" t="s">
        <v>15332</v>
      </c>
      <c r="AX2247" s="82" t="s">
        <v>15332</v>
      </c>
      <c r="AY2247" s="77"/>
      <c r="AZ2247" s="82" t="s">
        <v>17385</v>
      </c>
      <c r="BA2247" s="82" t="s">
        <v>17385</v>
      </c>
      <c r="BB2247" s="82" t="s">
        <v>17385</v>
      </c>
      <c r="BC2247" s="82" t="s">
        <v>15332</v>
      </c>
      <c r="BD2247" s="82" t="s">
        <v>17641</v>
      </c>
      <c r="BE2247" s="77"/>
      <c r="BF2247" s="77"/>
      <c r="BG2247" s="77"/>
      <c r="BH2247" s="77"/>
      <c r="BI2247" s="77"/>
    </row>
    <row r="2248" spans="1:61" x14ac:dyDescent="0.25">
      <c r="A2248" s="62" t="s">
        <v>604</v>
      </c>
      <c r="B2248" s="62" t="s">
        <v>604</v>
      </c>
      <c r="C2248" s="63"/>
      <c r="D2248" s="64"/>
      <c r="E2248" s="65"/>
      <c r="F2248" s="66"/>
      <c r="G2248" s="63"/>
      <c r="H2248" s="67"/>
      <c r="I2248" s="68"/>
      <c r="J2248" s="68"/>
      <c r="K2248" s="32"/>
      <c r="L2248" s="75">
        <v>2248</v>
      </c>
      <c r="M2248" s="75"/>
      <c r="N2248" s="70"/>
      <c r="O2248" s="77" t="s">
        <v>179</v>
      </c>
      <c r="P2248" s="79">
        <v>45069.60355324074</v>
      </c>
      <c r="Q2248" s="77" t="s">
        <v>3027</v>
      </c>
      <c r="R2248" s="77">
        <v>0</v>
      </c>
      <c r="S2248" s="77">
        <v>1</v>
      </c>
      <c r="T2248" s="77">
        <v>0</v>
      </c>
      <c r="U2248" s="77">
        <v>0</v>
      </c>
      <c r="V2248" s="77">
        <v>59</v>
      </c>
      <c r="W2248" s="82" t="s">
        <v>6274</v>
      </c>
      <c r="X2248" s="80" t="str">
        <f>HYPERLINK("https://www.moneytimes.com.br/suzano-suzb3-dispara-apos-reajuste-da-celulose-na-asia-entenda-se-a-farra-vai-durar/")</f>
        <v>https://www.moneytimes.com.br/suzano-suzb3-dispara-apos-reajuste-da-celulose-na-asia-entenda-se-a-farra-vai-durar/</v>
      </c>
      <c r="Y2248" s="77" t="s">
        <v>7053</v>
      </c>
      <c r="Z2248" s="77"/>
      <c r="AA2248" s="77"/>
      <c r="AB2248" s="77"/>
      <c r="AC2248" s="82" t="s">
        <v>8255</v>
      </c>
      <c r="AD2248" s="77" t="s">
        <v>8278</v>
      </c>
      <c r="AE2248" s="80" t="str">
        <f>HYPERLINK("https://twitter.com/leiaagrotimes/status/1661016411769290754")</f>
        <v>https://twitter.com/leiaagrotimes/status/1661016411769290754</v>
      </c>
      <c r="AF2248" s="79">
        <v>45069.60355324074</v>
      </c>
      <c r="AG2248" s="85">
        <v>45069</v>
      </c>
      <c r="AH2248" s="82" t="s">
        <v>9392</v>
      </c>
      <c r="AI2248" s="77" t="b">
        <v>0</v>
      </c>
      <c r="AJ2248" s="77"/>
      <c r="AK2248" s="77"/>
      <c r="AL2248" s="77"/>
      <c r="AM2248" s="77"/>
      <c r="AN2248" s="77"/>
      <c r="AO2248" s="77"/>
      <c r="AP2248" s="77"/>
      <c r="AQ2248" s="77"/>
      <c r="AR2248" s="77"/>
      <c r="AS2248" s="77"/>
      <c r="AT2248" s="77"/>
      <c r="AU2248" s="77"/>
      <c r="AV2248" s="80" t="str">
        <f>HYPERLINK("https://pbs.twimg.com/profile_images/1365395023072817162/ZI8fAPrO_normal.jpg")</f>
        <v>https://pbs.twimg.com/profile_images/1365395023072817162/ZI8fAPrO_normal.jpg</v>
      </c>
      <c r="AW2248" s="82" t="s">
        <v>15333</v>
      </c>
      <c r="AX2248" s="82" t="s">
        <v>15333</v>
      </c>
      <c r="AY2248" s="77"/>
      <c r="AZ2248" s="82" t="s">
        <v>17385</v>
      </c>
      <c r="BA2248" s="82" t="s">
        <v>17385</v>
      </c>
      <c r="BB2248" s="82" t="s">
        <v>17385</v>
      </c>
      <c r="BC2248" s="82" t="s">
        <v>15333</v>
      </c>
      <c r="BD2248" s="82" t="s">
        <v>17641</v>
      </c>
      <c r="BE2248" s="77"/>
      <c r="BF2248" s="77"/>
      <c r="BG2248" s="77"/>
      <c r="BH2248" s="77"/>
      <c r="BI2248" s="77"/>
    </row>
    <row r="2249" spans="1:61" x14ac:dyDescent="0.25">
      <c r="A2249" s="62" t="s">
        <v>604</v>
      </c>
      <c r="B2249" s="62" t="s">
        <v>604</v>
      </c>
      <c r="C2249" s="63"/>
      <c r="D2249" s="64"/>
      <c r="E2249" s="65"/>
      <c r="F2249" s="66"/>
      <c r="G2249" s="63"/>
      <c r="H2249" s="67"/>
      <c r="I2249" s="68"/>
      <c r="J2249" s="68"/>
      <c r="K2249" s="32"/>
      <c r="L2249" s="75">
        <v>2249</v>
      </c>
      <c r="M2249" s="75"/>
      <c r="N2249" s="70"/>
      <c r="O2249" s="77" t="s">
        <v>179</v>
      </c>
      <c r="P2249" s="79">
        <v>45053.501192129632</v>
      </c>
      <c r="Q2249" s="77" t="s">
        <v>3028</v>
      </c>
      <c r="R2249" s="77">
        <v>0</v>
      </c>
      <c r="S2249" s="77">
        <v>0</v>
      </c>
      <c r="T2249" s="77">
        <v>0</v>
      </c>
      <c r="U2249" s="77">
        <v>0</v>
      </c>
      <c r="V2249" s="77">
        <v>110</v>
      </c>
      <c r="W2249" s="82" t="s">
        <v>6275</v>
      </c>
      <c r="X2249" s="80" t="str">
        <f>HYPERLINK("https://www.moneytimes.com.br/minerva-beef3-pode-crescer-143-tensao-na-agrishow-e-mais-veja-5-assuntos-no-agro-times/")</f>
        <v>https://www.moneytimes.com.br/minerva-beef3-pode-crescer-143-tensao-na-agrishow-e-mais-veja-5-assuntos-no-agro-times/</v>
      </c>
      <c r="Y2249" s="77" t="s">
        <v>7053</v>
      </c>
      <c r="Z2249" s="77"/>
      <c r="AA2249" s="77"/>
      <c r="AB2249" s="77"/>
      <c r="AC2249" s="82" t="s">
        <v>8255</v>
      </c>
      <c r="AD2249" s="77" t="s">
        <v>8278</v>
      </c>
      <c r="AE2249" s="80" t="str">
        <f>HYPERLINK("https://twitter.com/leiaagrotimes/status/1655181109787754496")</f>
        <v>https://twitter.com/leiaagrotimes/status/1655181109787754496</v>
      </c>
      <c r="AF2249" s="79">
        <v>45053.501192129632</v>
      </c>
      <c r="AG2249" s="85">
        <v>45053</v>
      </c>
      <c r="AH2249" s="82" t="s">
        <v>10315</v>
      </c>
      <c r="AI2249" s="77" t="b">
        <v>0</v>
      </c>
      <c r="AJ2249" s="77"/>
      <c r="AK2249" s="77"/>
      <c r="AL2249" s="77"/>
      <c r="AM2249" s="77"/>
      <c r="AN2249" s="77"/>
      <c r="AO2249" s="77"/>
      <c r="AP2249" s="77"/>
      <c r="AQ2249" s="77"/>
      <c r="AR2249" s="77"/>
      <c r="AS2249" s="77"/>
      <c r="AT2249" s="77"/>
      <c r="AU2249" s="77"/>
      <c r="AV2249" s="80" t="str">
        <f>HYPERLINK("https://pbs.twimg.com/profile_images/1365395023072817162/ZI8fAPrO_normal.jpg")</f>
        <v>https://pbs.twimg.com/profile_images/1365395023072817162/ZI8fAPrO_normal.jpg</v>
      </c>
      <c r="AW2249" s="82" t="s">
        <v>15334</v>
      </c>
      <c r="AX2249" s="82" t="s">
        <v>15334</v>
      </c>
      <c r="AY2249" s="77"/>
      <c r="AZ2249" s="82" t="s">
        <v>17385</v>
      </c>
      <c r="BA2249" s="82" t="s">
        <v>17385</v>
      </c>
      <c r="BB2249" s="82" t="s">
        <v>17385</v>
      </c>
      <c r="BC2249" s="82" t="s">
        <v>15334</v>
      </c>
      <c r="BD2249" s="82" t="s">
        <v>17641</v>
      </c>
      <c r="BE2249" s="77"/>
      <c r="BF2249" s="77"/>
      <c r="BG2249" s="77"/>
      <c r="BH2249" s="77"/>
      <c r="BI2249" s="77"/>
    </row>
    <row r="2250" spans="1:61" x14ac:dyDescent="0.25">
      <c r="A2250" s="62" t="s">
        <v>604</v>
      </c>
      <c r="B2250" s="62" t="s">
        <v>604</v>
      </c>
      <c r="C2250" s="63"/>
      <c r="D2250" s="64"/>
      <c r="E2250" s="65"/>
      <c r="F2250" s="66"/>
      <c r="G2250" s="63"/>
      <c r="H2250" s="67"/>
      <c r="I2250" s="68"/>
      <c r="J2250" s="68"/>
      <c r="K2250" s="32"/>
      <c r="L2250" s="75">
        <v>2250</v>
      </c>
      <c r="M2250" s="75"/>
      <c r="N2250" s="70"/>
      <c r="O2250" s="77" t="s">
        <v>179</v>
      </c>
      <c r="P2250" s="79">
        <v>45051.632731481484</v>
      </c>
      <c r="Q2250" s="77" t="s">
        <v>3029</v>
      </c>
      <c r="R2250" s="77">
        <v>0</v>
      </c>
      <c r="S2250" s="77">
        <v>1</v>
      </c>
      <c r="T2250" s="77">
        <v>0</v>
      </c>
      <c r="U2250" s="77">
        <v>0</v>
      </c>
      <c r="V2250" s="77">
        <v>197</v>
      </c>
      <c r="W2250" s="82" t="s">
        <v>6252</v>
      </c>
      <c r="X2250" s="80" t="str">
        <f>HYPERLINK("https://www.moneytimes.com.br/3tentos-tten3-queda-da-acao-abre-ponto-de-compra-xp-e-itau-reforcam-posicao/")</f>
        <v>https://www.moneytimes.com.br/3tentos-tten3-queda-da-acao-abre-ponto-de-compra-xp-e-itau-reforcam-posicao/</v>
      </c>
      <c r="Y2250" s="77" t="s">
        <v>7053</v>
      </c>
      <c r="Z2250" s="77"/>
      <c r="AA2250" s="77"/>
      <c r="AB2250" s="77"/>
      <c r="AC2250" s="82" t="s">
        <v>8255</v>
      </c>
      <c r="AD2250" s="77" t="s">
        <v>8278</v>
      </c>
      <c r="AE2250" s="80" t="str">
        <f>HYPERLINK("https://twitter.com/leiaagrotimes/status/1654504005316255749")</f>
        <v>https://twitter.com/leiaagrotimes/status/1654504005316255749</v>
      </c>
      <c r="AF2250" s="79">
        <v>45051.632731481484</v>
      </c>
      <c r="AG2250" s="85">
        <v>45051</v>
      </c>
      <c r="AH2250" s="82" t="s">
        <v>10316</v>
      </c>
      <c r="AI2250" s="77" t="b">
        <v>0</v>
      </c>
      <c r="AJ2250" s="77"/>
      <c r="AK2250" s="77"/>
      <c r="AL2250" s="77"/>
      <c r="AM2250" s="77"/>
      <c r="AN2250" s="77"/>
      <c r="AO2250" s="77"/>
      <c r="AP2250" s="77"/>
      <c r="AQ2250" s="77"/>
      <c r="AR2250" s="77"/>
      <c r="AS2250" s="77"/>
      <c r="AT2250" s="77"/>
      <c r="AU2250" s="77"/>
      <c r="AV2250" s="80" t="str">
        <f>HYPERLINK("https://pbs.twimg.com/profile_images/1365395023072817162/ZI8fAPrO_normal.jpg")</f>
        <v>https://pbs.twimg.com/profile_images/1365395023072817162/ZI8fAPrO_normal.jpg</v>
      </c>
      <c r="AW2250" s="82" t="s">
        <v>15335</v>
      </c>
      <c r="AX2250" s="82" t="s">
        <v>15335</v>
      </c>
      <c r="AY2250" s="77"/>
      <c r="AZ2250" s="82" t="s">
        <v>17385</v>
      </c>
      <c r="BA2250" s="82" t="s">
        <v>17385</v>
      </c>
      <c r="BB2250" s="82" t="s">
        <v>17385</v>
      </c>
      <c r="BC2250" s="82" t="s">
        <v>15335</v>
      </c>
      <c r="BD2250" s="82" t="s">
        <v>17641</v>
      </c>
      <c r="BE2250" s="77"/>
      <c r="BF2250" s="77"/>
      <c r="BG2250" s="77"/>
      <c r="BH2250" s="77"/>
      <c r="BI2250" s="77"/>
    </row>
    <row r="2251" spans="1:61" x14ac:dyDescent="0.25">
      <c r="A2251" s="62" t="s">
        <v>604</v>
      </c>
      <c r="B2251" s="62" t="s">
        <v>604</v>
      </c>
      <c r="C2251" s="63"/>
      <c r="D2251" s="64"/>
      <c r="E2251" s="65"/>
      <c r="F2251" s="66"/>
      <c r="G2251" s="63"/>
      <c r="H2251" s="67"/>
      <c r="I2251" s="68"/>
      <c r="J2251" s="68"/>
      <c r="K2251" s="32"/>
      <c r="L2251" s="75">
        <v>2251</v>
      </c>
      <c r="M2251" s="75"/>
      <c r="N2251" s="70"/>
      <c r="O2251" s="77" t="s">
        <v>179</v>
      </c>
      <c r="P2251" s="79">
        <v>45050.793425925927</v>
      </c>
      <c r="Q2251" s="77" t="s">
        <v>3030</v>
      </c>
      <c r="R2251" s="77">
        <v>0</v>
      </c>
      <c r="S2251" s="77">
        <v>0</v>
      </c>
      <c r="T2251" s="77">
        <v>0</v>
      </c>
      <c r="U2251" s="77">
        <v>0</v>
      </c>
      <c r="V2251" s="77">
        <v>106</v>
      </c>
      <c r="W2251" s="82" t="s">
        <v>6251</v>
      </c>
      <c r="X2251" s="80" t="str">
        <f>HYPERLINK("https://www.moneytimes.com.br/brasilagro-agro3-com-queda-das-commodities-xp-preve-resultados-fracos-no-proximo-balanco-vale-apostar-na-acao/")</f>
        <v>https://www.moneytimes.com.br/brasilagro-agro3-com-queda-das-commodities-xp-preve-resultados-fracos-no-proximo-balanco-vale-apostar-na-acao/</v>
      </c>
      <c r="Y2251" s="77" t="s">
        <v>7053</v>
      </c>
      <c r="Z2251" s="77"/>
      <c r="AA2251" s="77"/>
      <c r="AB2251" s="77"/>
      <c r="AC2251" s="82" t="s">
        <v>8255</v>
      </c>
      <c r="AD2251" s="77" t="s">
        <v>8278</v>
      </c>
      <c r="AE2251" s="80" t="str">
        <f>HYPERLINK("https://twitter.com/leiaagrotimes/status/1654199848390873129")</f>
        <v>https://twitter.com/leiaagrotimes/status/1654199848390873129</v>
      </c>
      <c r="AF2251" s="79">
        <v>45050.793425925927</v>
      </c>
      <c r="AG2251" s="85">
        <v>45050</v>
      </c>
      <c r="AH2251" s="82" t="s">
        <v>10317</v>
      </c>
      <c r="AI2251" s="77" t="b">
        <v>0</v>
      </c>
      <c r="AJ2251" s="77"/>
      <c r="AK2251" s="77"/>
      <c r="AL2251" s="77"/>
      <c r="AM2251" s="77"/>
      <c r="AN2251" s="77"/>
      <c r="AO2251" s="77"/>
      <c r="AP2251" s="77"/>
      <c r="AQ2251" s="77"/>
      <c r="AR2251" s="77"/>
      <c r="AS2251" s="77"/>
      <c r="AT2251" s="77"/>
      <c r="AU2251" s="77"/>
      <c r="AV2251" s="80" t="str">
        <f>HYPERLINK("https://pbs.twimg.com/profile_images/1365395023072817162/ZI8fAPrO_normal.jpg")</f>
        <v>https://pbs.twimg.com/profile_images/1365395023072817162/ZI8fAPrO_normal.jpg</v>
      </c>
      <c r="AW2251" s="82" t="s">
        <v>15336</v>
      </c>
      <c r="AX2251" s="82" t="s">
        <v>15336</v>
      </c>
      <c r="AY2251" s="77"/>
      <c r="AZ2251" s="82" t="s">
        <v>17385</v>
      </c>
      <c r="BA2251" s="82" t="s">
        <v>17385</v>
      </c>
      <c r="BB2251" s="82" t="s">
        <v>17385</v>
      </c>
      <c r="BC2251" s="82" t="s">
        <v>15336</v>
      </c>
      <c r="BD2251" s="82" t="s">
        <v>17641</v>
      </c>
      <c r="BE2251" s="77"/>
      <c r="BF2251" s="77"/>
      <c r="BG2251" s="77"/>
      <c r="BH2251" s="77"/>
      <c r="BI2251" s="77"/>
    </row>
    <row r="2252" spans="1:61" x14ac:dyDescent="0.25">
      <c r="A2252" s="62" t="s">
        <v>604</v>
      </c>
      <c r="B2252" s="62" t="s">
        <v>604</v>
      </c>
      <c r="C2252" s="63"/>
      <c r="D2252" s="64"/>
      <c r="E2252" s="65"/>
      <c r="F2252" s="66"/>
      <c r="G2252" s="63"/>
      <c r="H2252" s="67"/>
      <c r="I2252" s="68"/>
      <c r="J2252" s="68"/>
      <c r="K2252" s="32"/>
      <c r="L2252" s="75">
        <v>2252</v>
      </c>
      <c r="M2252" s="75"/>
      <c r="N2252" s="70"/>
      <c r="O2252" s="77" t="s">
        <v>179</v>
      </c>
      <c r="P2252" s="79">
        <v>45050.632488425923</v>
      </c>
      <c r="Q2252" s="77" t="s">
        <v>3031</v>
      </c>
      <c r="R2252" s="77">
        <v>0</v>
      </c>
      <c r="S2252" s="77">
        <v>0</v>
      </c>
      <c r="T2252" s="77">
        <v>0</v>
      </c>
      <c r="U2252" s="77">
        <v>0</v>
      </c>
      <c r="V2252" s="77">
        <v>129</v>
      </c>
      <c r="W2252" s="82" t="s">
        <v>6276</v>
      </c>
      <c r="X2252" s="80" t="str">
        <f>HYPERLINK("https://www.moneytimes.com.br/camil-caml3-ou-m-dias-branco-mdia3-a-uma-semana-dos-resultados-qual-comprar/")</f>
        <v>https://www.moneytimes.com.br/camil-caml3-ou-m-dias-branco-mdia3-a-uma-semana-dos-resultados-qual-comprar/</v>
      </c>
      <c r="Y2252" s="77" t="s">
        <v>7053</v>
      </c>
      <c r="Z2252" s="77"/>
      <c r="AA2252" s="77"/>
      <c r="AB2252" s="77"/>
      <c r="AC2252" s="82" t="s">
        <v>8255</v>
      </c>
      <c r="AD2252" s="77" t="s">
        <v>8278</v>
      </c>
      <c r="AE2252" s="80" t="str">
        <f>HYPERLINK("https://twitter.com/leiaagrotimes/status/1654141529621946368")</f>
        <v>https://twitter.com/leiaagrotimes/status/1654141529621946368</v>
      </c>
      <c r="AF2252" s="79">
        <v>45050.632488425923</v>
      </c>
      <c r="AG2252" s="85">
        <v>45050</v>
      </c>
      <c r="AH2252" s="82" t="s">
        <v>10318</v>
      </c>
      <c r="AI2252" s="77" t="b">
        <v>0</v>
      </c>
      <c r="AJ2252" s="77"/>
      <c r="AK2252" s="77"/>
      <c r="AL2252" s="77"/>
      <c r="AM2252" s="77"/>
      <c r="AN2252" s="77"/>
      <c r="AO2252" s="77"/>
      <c r="AP2252" s="77"/>
      <c r="AQ2252" s="77"/>
      <c r="AR2252" s="77"/>
      <c r="AS2252" s="77"/>
      <c r="AT2252" s="77"/>
      <c r="AU2252" s="77"/>
      <c r="AV2252" s="80" t="str">
        <f>HYPERLINK("https://pbs.twimg.com/profile_images/1365395023072817162/ZI8fAPrO_normal.jpg")</f>
        <v>https://pbs.twimg.com/profile_images/1365395023072817162/ZI8fAPrO_normal.jpg</v>
      </c>
      <c r="AW2252" s="82" t="s">
        <v>15337</v>
      </c>
      <c r="AX2252" s="82" t="s">
        <v>15337</v>
      </c>
      <c r="AY2252" s="77"/>
      <c r="AZ2252" s="82" t="s">
        <v>17385</v>
      </c>
      <c r="BA2252" s="82" t="s">
        <v>17385</v>
      </c>
      <c r="BB2252" s="82" t="s">
        <v>17385</v>
      </c>
      <c r="BC2252" s="82" t="s">
        <v>15337</v>
      </c>
      <c r="BD2252" s="82" t="s">
        <v>17641</v>
      </c>
      <c r="BE2252" s="77"/>
      <c r="BF2252" s="77"/>
      <c r="BG2252" s="77"/>
      <c r="BH2252" s="77"/>
      <c r="BI2252" s="77"/>
    </row>
    <row r="2253" spans="1:61" x14ac:dyDescent="0.25">
      <c r="A2253" s="62" t="s">
        <v>604</v>
      </c>
      <c r="B2253" s="62" t="s">
        <v>604</v>
      </c>
      <c r="C2253" s="63"/>
      <c r="D2253" s="64"/>
      <c r="E2253" s="65"/>
      <c r="F2253" s="66"/>
      <c r="G2253" s="63"/>
      <c r="H2253" s="67"/>
      <c r="I2253" s="68"/>
      <c r="J2253" s="68"/>
      <c r="K2253" s="32"/>
      <c r="L2253" s="75">
        <v>2253</v>
      </c>
      <c r="M2253" s="75"/>
      <c r="N2253" s="70"/>
      <c r="O2253" s="77" t="s">
        <v>179</v>
      </c>
      <c r="P2253" s="79">
        <v>45049.652303240742</v>
      </c>
      <c r="Q2253" s="77" t="s">
        <v>3032</v>
      </c>
      <c r="R2253" s="77">
        <v>0</v>
      </c>
      <c r="S2253" s="77">
        <v>0</v>
      </c>
      <c r="T2253" s="77">
        <v>0</v>
      </c>
      <c r="U2253" s="77">
        <v>0</v>
      </c>
      <c r="V2253" s="77">
        <v>82</v>
      </c>
      <c r="W2253" s="82" t="s">
        <v>6277</v>
      </c>
      <c r="X2253" s="80" t="str">
        <f>HYPERLINK("https://www.moneytimes.com.br/boa-safra-soja3-xp-corta-preco-alvo-da-acao-ainda-vale-comprar-para-colher-lucros/")</f>
        <v>https://www.moneytimes.com.br/boa-safra-soja3-xp-corta-preco-alvo-da-acao-ainda-vale-comprar-para-colher-lucros/</v>
      </c>
      <c r="Y2253" s="77" t="s">
        <v>7053</v>
      </c>
      <c r="Z2253" s="77"/>
      <c r="AA2253" s="77"/>
      <c r="AB2253" s="77"/>
      <c r="AC2253" s="82" t="s">
        <v>8255</v>
      </c>
      <c r="AD2253" s="77" t="s">
        <v>8278</v>
      </c>
      <c r="AE2253" s="80" t="str">
        <f>HYPERLINK("https://twitter.com/leiaagrotimes/status/1653786319221407744")</f>
        <v>https://twitter.com/leiaagrotimes/status/1653786319221407744</v>
      </c>
      <c r="AF2253" s="79">
        <v>45049.652303240742</v>
      </c>
      <c r="AG2253" s="85">
        <v>45049</v>
      </c>
      <c r="AH2253" s="82" t="s">
        <v>10319</v>
      </c>
      <c r="AI2253" s="77" t="b">
        <v>0</v>
      </c>
      <c r="AJ2253" s="77"/>
      <c r="AK2253" s="77"/>
      <c r="AL2253" s="77"/>
      <c r="AM2253" s="77"/>
      <c r="AN2253" s="77"/>
      <c r="AO2253" s="77"/>
      <c r="AP2253" s="77"/>
      <c r="AQ2253" s="77"/>
      <c r="AR2253" s="77"/>
      <c r="AS2253" s="77"/>
      <c r="AT2253" s="77"/>
      <c r="AU2253" s="77"/>
      <c r="AV2253" s="80" t="str">
        <f>HYPERLINK("https://pbs.twimg.com/profile_images/1365395023072817162/ZI8fAPrO_normal.jpg")</f>
        <v>https://pbs.twimg.com/profile_images/1365395023072817162/ZI8fAPrO_normal.jpg</v>
      </c>
      <c r="AW2253" s="82" t="s">
        <v>15338</v>
      </c>
      <c r="AX2253" s="82" t="s">
        <v>15338</v>
      </c>
      <c r="AY2253" s="77"/>
      <c r="AZ2253" s="82" t="s">
        <v>17385</v>
      </c>
      <c r="BA2253" s="82" t="s">
        <v>17385</v>
      </c>
      <c r="BB2253" s="82" t="s">
        <v>17385</v>
      </c>
      <c r="BC2253" s="82" t="s">
        <v>15338</v>
      </c>
      <c r="BD2253" s="82" t="s">
        <v>17641</v>
      </c>
      <c r="BE2253" s="77"/>
      <c r="BF2253" s="77"/>
      <c r="BG2253" s="77"/>
      <c r="BH2253" s="77"/>
      <c r="BI2253" s="77"/>
    </row>
    <row r="2254" spans="1:61" x14ac:dyDescent="0.25">
      <c r="A2254" s="62" t="s">
        <v>604</v>
      </c>
      <c r="B2254" s="62" t="s">
        <v>604</v>
      </c>
      <c r="C2254" s="63"/>
      <c r="D2254" s="64"/>
      <c r="E2254" s="65"/>
      <c r="F2254" s="66"/>
      <c r="G2254" s="63"/>
      <c r="H2254" s="67"/>
      <c r="I2254" s="68"/>
      <c r="J2254" s="68"/>
      <c r="K2254" s="32"/>
      <c r="L2254" s="75">
        <v>2254</v>
      </c>
      <c r="M2254" s="75"/>
      <c r="N2254" s="70"/>
      <c r="O2254" s="77" t="s">
        <v>179</v>
      </c>
      <c r="P2254" s="79">
        <v>45170.615740740737</v>
      </c>
      <c r="Q2254" s="77" t="s">
        <v>3033</v>
      </c>
      <c r="R2254" s="77">
        <v>0</v>
      </c>
      <c r="S2254" s="77">
        <v>1</v>
      </c>
      <c r="T2254" s="77">
        <v>0</v>
      </c>
      <c r="U2254" s="77">
        <v>0</v>
      </c>
      <c r="V2254" s="77">
        <v>90</v>
      </c>
      <c r="W2254" s="82" t="s">
        <v>6251</v>
      </c>
      <c r="X2254" s="80" t="str">
        <f>HYPERLINK("https://www.moneytimes.com.br/gestora-gringa-se-desfaz-de-acoes-de-frigorifico-saiba-qual/")</f>
        <v>https://www.moneytimes.com.br/gestora-gringa-se-desfaz-de-acoes-de-frigorifico-saiba-qual/</v>
      </c>
      <c r="Y2254" s="77" t="s">
        <v>7053</v>
      </c>
      <c r="Z2254" s="77"/>
      <c r="AA2254" s="77"/>
      <c r="AB2254" s="77"/>
      <c r="AC2254" s="82" t="s">
        <v>8255</v>
      </c>
      <c r="AD2254" s="77" t="s">
        <v>8278</v>
      </c>
      <c r="AE2254" s="80" t="str">
        <f>HYPERLINK("https://twitter.com/leiaagrotimes/status/1697622004902359124")</f>
        <v>https://twitter.com/leiaagrotimes/status/1697622004902359124</v>
      </c>
      <c r="AF2254" s="79">
        <v>45170.615740740737</v>
      </c>
      <c r="AG2254" s="85">
        <v>45170</v>
      </c>
      <c r="AH2254" s="82" t="s">
        <v>10320</v>
      </c>
      <c r="AI2254" s="77" t="b">
        <v>0</v>
      </c>
      <c r="AJ2254" s="77"/>
      <c r="AK2254" s="77"/>
      <c r="AL2254" s="77"/>
      <c r="AM2254" s="77"/>
      <c r="AN2254" s="77"/>
      <c r="AO2254" s="77"/>
      <c r="AP2254" s="77"/>
      <c r="AQ2254" s="77"/>
      <c r="AR2254" s="77"/>
      <c r="AS2254" s="77"/>
      <c r="AT2254" s="77"/>
      <c r="AU2254" s="77"/>
      <c r="AV2254" s="80" t="str">
        <f>HYPERLINK("https://pbs.twimg.com/profile_images/1365395023072817162/ZI8fAPrO_normal.jpg")</f>
        <v>https://pbs.twimg.com/profile_images/1365395023072817162/ZI8fAPrO_normal.jpg</v>
      </c>
      <c r="AW2254" s="82" t="s">
        <v>15339</v>
      </c>
      <c r="AX2254" s="82" t="s">
        <v>15339</v>
      </c>
      <c r="AY2254" s="77"/>
      <c r="AZ2254" s="82" t="s">
        <v>17385</v>
      </c>
      <c r="BA2254" s="82" t="s">
        <v>17385</v>
      </c>
      <c r="BB2254" s="82" t="s">
        <v>17385</v>
      </c>
      <c r="BC2254" s="82" t="s">
        <v>15339</v>
      </c>
      <c r="BD2254" s="82" t="s">
        <v>17641</v>
      </c>
      <c r="BE2254" s="77"/>
      <c r="BF2254" s="77"/>
      <c r="BG2254" s="77"/>
      <c r="BH2254" s="77"/>
      <c r="BI2254" s="77"/>
    </row>
    <row r="2255" spans="1:61" x14ac:dyDescent="0.25">
      <c r="A2255" s="62" t="s">
        <v>604</v>
      </c>
      <c r="B2255" s="62" t="s">
        <v>604</v>
      </c>
      <c r="C2255" s="63"/>
      <c r="D2255" s="64"/>
      <c r="E2255" s="65"/>
      <c r="F2255" s="66"/>
      <c r="G2255" s="63"/>
      <c r="H2255" s="67"/>
      <c r="I2255" s="68"/>
      <c r="J2255" s="68"/>
      <c r="K2255" s="32"/>
      <c r="L2255" s="75">
        <v>2255</v>
      </c>
      <c r="M2255" s="75"/>
      <c r="N2255" s="70"/>
      <c r="O2255" s="77" t="s">
        <v>179</v>
      </c>
      <c r="P2255" s="79">
        <v>45170.527187500003</v>
      </c>
      <c r="Q2255" s="77" t="s">
        <v>3034</v>
      </c>
      <c r="R2255" s="77">
        <v>0</v>
      </c>
      <c r="S2255" s="77">
        <v>0</v>
      </c>
      <c r="T2255" s="77">
        <v>0</v>
      </c>
      <c r="U2255" s="77">
        <v>0</v>
      </c>
      <c r="V2255" s="77">
        <v>123</v>
      </c>
      <c r="W2255" s="82" t="s">
        <v>6251</v>
      </c>
      <c r="X2255" s="80" t="str">
        <f>HYPERLINK("https://www.moneytimes.com.br/minerva-beef3-confirma-compra-da-bpu-meat-do-uruguai-por-r-40-milhoes/")</f>
        <v>https://www.moneytimes.com.br/minerva-beef3-confirma-compra-da-bpu-meat-do-uruguai-por-r-40-milhoes/</v>
      </c>
      <c r="Y2255" s="77" t="s">
        <v>7053</v>
      </c>
      <c r="Z2255" s="77"/>
      <c r="AA2255" s="77"/>
      <c r="AB2255" s="77"/>
      <c r="AC2255" s="82" t="s">
        <v>8255</v>
      </c>
      <c r="AD2255" s="77" t="s">
        <v>8278</v>
      </c>
      <c r="AE2255" s="80" t="str">
        <f>HYPERLINK("https://twitter.com/leiaagrotimes/status/1697589913573625938")</f>
        <v>https://twitter.com/leiaagrotimes/status/1697589913573625938</v>
      </c>
      <c r="AF2255" s="79">
        <v>45170.527187500003</v>
      </c>
      <c r="AG2255" s="85">
        <v>45170</v>
      </c>
      <c r="AH2255" s="82" t="s">
        <v>10321</v>
      </c>
      <c r="AI2255" s="77" t="b">
        <v>0</v>
      </c>
      <c r="AJ2255" s="77"/>
      <c r="AK2255" s="77"/>
      <c r="AL2255" s="77"/>
      <c r="AM2255" s="77"/>
      <c r="AN2255" s="77"/>
      <c r="AO2255" s="77"/>
      <c r="AP2255" s="77"/>
      <c r="AQ2255" s="77"/>
      <c r="AR2255" s="77"/>
      <c r="AS2255" s="77"/>
      <c r="AT2255" s="77"/>
      <c r="AU2255" s="77"/>
      <c r="AV2255" s="80" t="str">
        <f>HYPERLINK("https://pbs.twimg.com/profile_images/1365395023072817162/ZI8fAPrO_normal.jpg")</f>
        <v>https://pbs.twimg.com/profile_images/1365395023072817162/ZI8fAPrO_normal.jpg</v>
      </c>
      <c r="AW2255" s="82" t="s">
        <v>15340</v>
      </c>
      <c r="AX2255" s="82" t="s">
        <v>15340</v>
      </c>
      <c r="AY2255" s="77"/>
      <c r="AZ2255" s="82" t="s">
        <v>17385</v>
      </c>
      <c r="BA2255" s="82" t="s">
        <v>17385</v>
      </c>
      <c r="BB2255" s="82" t="s">
        <v>17385</v>
      </c>
      <c r="BC2255" s="82" t="s">
        <v>15340</v>
      </c>
      <c r="BD2255" s="82" t="s">
        <v>17641</v>
      </c>
      <c r="BE2255" s="77"/>
      <c r="BF2255" s="77"/>
      <c r="BG2255" s="77"/>
      <c r="BH2255" s="77"/>
      <c r="BI2255" s="77"/>
    </row>
    <row r="2256" spans="1:61" x14ac:dyDescent="0.25">
      <c r="A2256" s="62" t="s">
        <v>604</v>
      </c>
      <c r="B2256" s="62" t="s">
        <v>604</v>
      </c>
      <c r="C2256" s="63"/>
      <c r="D2256" s="64"/>
      <c r="E2256" s="65"/>
      <c r="F2256" s="66"/>
      <c r="G2256" s="63"/>
      <c r="H2256" s="67"/>
      <c r="I2256" s="68"/>
      <c r="J2256" s="68"/>
      <c r="K2256" s="32"/>
      <c r="L2256" s="75">
        <v>2256</v>
      </c>
      <c r="M2256" s="75"/>
      <c r="N2256" s="70"/>
      <c r="O2256" s="77" t="s">
        <v>179</v>
      </c>
      <c r="P2256" s="79">
        <v>45162.834687499999</v>
      </c>
      <c r="Q2256" s="77" t="s">
        <v>3035</v>
      </c>
      <c r="R2256" s="77">
        <v>0</v>
      </c>
      <c r="S2256" s="77">
        <v>1</v>
      </c>
      <c r="T2256" s="77">
        <v>0</v>
      </c>
      <c r="U2256" s="77">
        <v>0</v>
      </c>
      <c r="V2256" s="77">
        <v>122</v>
      </c>
      <c r="W2256" s="82" t="s">
        <v>6278</v>
      </c>
      <c r="X2256" s="80" t="str">
        <f>HYPERLINK("https://www.moneytimes.com.br/raizen-raiz4-lidera-altas-na-b3-e-jalles-machado-jall3-volta-a-subir-nesta-quinta-24-com-india-e-super-safra/")</f>
        <v>https://www.moneytimes.com.br/raizen-raiz4-lidera-altas-na-b3-e-jalles-machado-jall3-volta-a-subir-nesta-quinta-24-com-india-e-super-safra/</v>
      </c>
      <c r="Y2256" s="77" t="s">
        <v>7053</v>
      </c>
      <c r="Z2256" s="77"/>
      <c r="AA2256" s="77"/>
      <c r="AB2256" s="77"/>
      <c r="AC2256" s="82" t="s">
        <v>8255</v>
      </c>
      <c r="AD2256" s="77" t="s">
        <v>8278</v>
      </c>
      <c r="AE2256" s="80" t="str">
        <f>HYPERLINK("https://twitter.com/leiaagrotimes/status/1694802244774817844")</f>
        <v>https://twitter.com/leiaagrotimes/status/1694802244774817844</v>
      </c>
      <c r="AF2256" s="79">
        <v>45162.834687499999</v>
      </c>
      <c r="AG2256" s="85">
        <v>45162</v>
      </c>
      <c r="AH2256" s="82" t="s">
        <v>10322</v>
      </c>
      <c r="AI2256" s="77" t="b">
        <v>0</v>
      </c>
      <c r="AJ2256" s="77"/>
      <c r="AK2256" s="77"/>
      <c r="AL2256" s="77"/>
      <c r="AM2256" s="77"/>
      <c r="AN2256" s="77"/>
      <c r="AO2256" s="77"/>
      <c r="AP2256" s="77"/>
      <c r="AQ2256" s="77"/>
      <c r="AR2256" s="77"/>
      <c r="AS2256" s="77"/>
      <c r="AT2256" s="77"/>
      <c r="AU2256" s="77"/>
      <c r="AV2256" s="80" t="str">
        <f>HYPERLINK("https://pbs.twimg.com/profile_images/1365395023072817162/ZI8fAPrO_normal.jpg")</f>
        <v>https://pbs.twimg.com/profile_images/1365395023072817162/ZI8fAPrO_normal.jpg</v>
      </c>
      <c r="AW2256" s="82" t="s">
        <v>15341</v>
      </c>
      <c r="AX2256" s="82" t="s">
        <v>15341</v>
      </c>
      <c r="AY2256" s="77"/>
      <c r="AZ2256" s="82" t="s">
        <v>17385</v>
      </c>
      <c r="BA2256" s="82" t="s">
        <v>17385</v>
      </c>
      <c r="BB2256" s="82" t="s">
        <v>17385</v>
      </c>
      <c r="BC2256" s="82" t="s">
        <v>15341</v>
      </c>
      <c r="BD2256" s="82" t="s">
        <v>17641</v>
      </c>
      <c r="BE2256" s="77"/>
      <c r="BF2256" s="77"/>
      <c r="BG2256" s="77"/>
      <c r="BH2256" s="77"/>
      <c r="BI2256" s="77"/>
    </row>
    <row r="2257" spans="1:61" x14ac:dyDescent="0.25">
      <c r="A2257" s="62" t="s">
        <v>604</v>
      </c>
      <c r="B2257" s="62" t="s">
        <v>604</v>
      </c>
      <c r="C2257" s="63"/>
      <c r="D2257" s="64"/>
      <c r="E2257" s="65"/>
      <c r="F2257" s="66"/>
      <c r="G2257" s="63"/>
      <c r="H2257" s="67"/>
      <c r="I2257" s="68"/>
      <c r="J2257" s="68"/>
      <c r="K2257" s="32"/>
      <c r="L2257" s="75">
        <v>2257</v>
      </c>
      <c r="M2257" s="75"/>
      <c r="N2257" s="70"/>
      <c r="O2257" s="77" t="s">
        <v>179</v>
      </c>
      <c r="P2257" s="79">
        <v>45154.88453703704</v>
      </c>
      <c r="Q2257" s="77" t="s">
        <v>3036</v>
      </c>
      <c r="R2257" s="77">
        <v>0</v>
      </c>
      <c r="S2257" s="77">
        <v>0</v>
      </c>
      <c r="T2257" s="77">
        <v>0</v>
      </c>
      <c r="U2257" s="77">
        <v>0</v>
      </c>
      <c r="V2257" s="77">
        <v>169</v>
      </c>
      <c r="W2257" s="82" t="s">
        <v>6251</v>
      </c>
      <c r="X2257" s="80" t="str">
        <f>HYPERLINK("https://www.moneytimes.com.br/jalles-machado-jall3-acionistas-tem-data-para-receber-bolada-em-dividendos-saiba-quando/")</f>
        <v>https://www.moneytimes.com.br/jalles-machado-jall3-acionistas-tem-data-para-receber-bolada-em-dividendos-saiba-quando/</v>
      </c>
      <c r="Y2257" s="77" t="s">
        <v>7053</v>
      </c>
      <c r="Z2257" s="77"/>
      <c r="AA2257" s="77"/>
      <c r="AB2257" s="77"/>
      <c r="AC2257" s="82" t="s">
        <v>8255</v>
      </c>
      <c r="AD2257" s="77" t="s">
        <v>8278</v>
      </c>
      <c r="AE2257" s="80" t="str">
        <f>HYPERLINK("https://twitter.com/leiaagrotimes/status/1691921206595711194")</f>
        <v>https://twitter.com/leiaagrotimes/status/1691921206595711194</v>
      </c>
      <c r="AF2257" s="79">
        <v>45154.88453703704</v>
      </c>
      <c r="AG2257" s="85">
        <v>45154</v>
      </c>
      <c r="AH2257" s="82" t="s">
        <v>10323</v>
      </c>
      <c r="AI2257" s="77" t="b">
        <v>0</v>
      </c>
      <c r="AJ2257" s="77"/>
      <c r="AK2257" s="77"/>
      <c r="AL2257" s="77"/>
      <c r="AM2257" s="77"/>
      <c r="AN2257" s="77"/>
      <c r="AO2257" s="77"/>
      <c r="AP2257" s="77"/>
      <c r="AQ2257" s="77"/>
      <c r="AR2257" s="77"/>
      <c r="AS2257" s="77"/>
      <c r="AT2257" s="77"/>
      <c r="AU2257" s="77"/>
      <c r="AV2257" s="80" t="str">
        <f>HYPERLINK("https://pbs.twimg.com/profile_images/1365395023072817162/ZI8fAPrO_normal.jpg")</f>
        <v>https://pbs.twimg.com/profile_images/1365395023072817162/ZI8fAPrO_normal.jpg</v>
      </c>
      <c r="AW2257" s="82" t="s">
        <v>15342</v>
      </c>
      <c r="AX2257" s="82" t="s">
        <v>15342</v>
      </c>
      <c r="AY2257" s="77"/>
      <c r="AZ2257" s="82" t="s">
        <v>17385</v>
      </c>
      <c r="BA2257" s="82" t="s">
        <v>17385</v>
      </c>
      <c r="BB2257" s="82" t="s">
        <v>17385</v>
      </c>
      <c r="BC2257" s="82" t="s">
        <v>15342</v>
      </c>
      <c r="BD2257" s="82" t="s">
        <v>17641</v>
      </c>
      <c r="BE2257" s="77"/>
      <c r="BF2257" s="77"/>
      <c r="BG2257" s="77"/>
      <c r="BH2257" s="77"/>
      <c r="BI2257" s="77"/>
    </row>
    <row r="2258" spans="1:61" x14ac:dyDescent="0.25">
      <c r="A2258" s="62" t="s">
        <v>604</v>
      </c>
      <c r="B2258" s="62" t="s">
        <v>604</v>
      </c>
      <c r="C2258" s="63"/>
      <c r="D2258" s="64"/>
      <c r="E2258" s="65"/>
      <c r="F2258" s="66"/>
      <c r="G2258" s="63"/>
      <c r="H2258" s="67"/>
      <c r="I2258" s="68"/>
      <c r="J2258" s="68"/>
      <c r="K2258" s="32"/>
      <c r="L2258" s="75">
        <v>2258</v>
      </c>
      <c r="M2258" s="75"/>
      <c r="N2258" s="70"/>
      <c r="O2258" s="77" t="s">
        <v>179</v>
      </c>
      <c r="P2258" s="79">
        <v>45154.763958333337</v>
      </c>
      <c r="Q2258" s="77" t="s">
        <v>3037</v>
      </c>
      <c r="R2258" s="77">
        <v>0</v>
      </c>
      <c r="S2258" s="77">
        <v>1</v>
      </c>
      <c r="T2258" s="77">
        <v>0</v>
      </c>
      <c r="U2258" s="77">
        <v>0</v>
      </c>
      <c r="V2258" s="77">
        <v>115</v>
      </c>
      <c r="W2258" s="82" t="s">
        <v>6259</v>
      </c>
      <c r="X2258" s="80" t="str">
        <f>HYPERLINK("https://www.moneytimes.com.br/slc-agricola-slce3-nao-devemos-fugir-da-nossa-politica-de-dividendos-diz-diretor-de-ri/")</f>
        <v>https://www.moneytimes.com.br/slc-agricola-slce3-nao-devemos-fugir-da-nossa-politica-de-dividendos-diz-diretor-de-ri/</v>
      </c>
      <c r="Y2258" s="77" t="s">
        <v>7053</v>
      </c>
      <c r="Z2258" s="77"/>
      <c r="AA2258" s="77"/>
      <c r="AB2258" s="77"/>
      <c r="AC2258" s="82" t="s">
        <v>8255</v>
      </c>
      <c r="AD2258" s="77" t="s">
        <v>8278</v>
      </c>
      <c r="AE2258" s="80" t="str">
        <f>HYPERLINK("https://twitter.com/leiaagrotimes/status/1691877509954940942")</f>
        <v>https://twitter.com/leiaagrotimes/status/1691877509954940942</v>
      </c>
      <c r="AF2258" s="79">
        <v>45154.763958333337</v>
      </c>
      <c r="AG2258" s="85">
        <v>45154</v>
      </c>
      <c r="AH2258" s="82" t="s">
        <v>10324</v>
      </c>
      <c r="AI2258" s="77" t="b">
        <v>0</v>
      </c>
      <c r="AJ2258" s="77"/>
      <c r="AK2258" s="77"/>
      <c r="AL2258" s="77"/>
      <c r="AM2258" s="77"/>
      <c r="AN2258" s="77"/>
      <c r="AO2258" s="77"/>
      <c r="AP2258" s="77"/>
      <c r="AQ2258" s="77"/>
      <c r="AR2258" s="77"/>
      <c r="AS2258" s="77"/>
      <c r="AT2258" s="77"/>
      <c r="AU2258" s="77"/>
      <c r="AV2258" s="80" t="str">
        <f>HYPERLINK("https://pbs.twimg.com/profile_images/1365395023072817162/ZI8fAPrO_normal.jpg")</f>
        <v>https://pbs.twimg.com/profile_images/1365395023072817162/ZI8fAPrO_normal.jpg</v>
      </c>
      <c r="AW2258" s="82" t="s">
        <v>15343</v>
      </c>
      <c r="AX2258" s="82" t="s">
        <v>15343</v>
      </c>
      <c r="AY2258" s="77"/>
      <c r="AZ2258" s="82" t="s">
        <v>17385</v>
      </c>
      <c r="BA2258" s="82" t="s">
        <v>17385</v>
      </c>
      <c r="BB2258" s="82" t="s">
        <v>17385</v>
      </c>
      <c r="BC2258" s="82" t="s">
        <v>15343</v>
      </c>
      <c r="BD2258" s="82" t="s">
        <v>17641</v>
      </c>
      <c r="BE2258" s="77"/>
      <c r="BF2258" s="77"/>
      <c r="BG2258" s="77"/>
      <c r="BH2258" s="77"/>
      <c r="BI2258" s="77"/>
    </row>
    <row r="2259" spans="1:61" x14ac:dyDescent="0.25">
      <c r="A2259" s="62" t="s">
        <v>604</v>
      </c>
      <c r="B2259" s="62" t="s">
        <v>604</v>
      </c>
      <c r="C2259" s="63"/>
      <c r="D2259" s="64"/>
      <c r="E2259" s="65"/>
      <c r="F2259" s="66"/>
      <c r="G2259" s="63"/>
      <c r="H2259" s="67"/>
      <c r="I2259" s="68"/>
      <c r="J2259" s="68"/>
      <c r="K2259" s="32"/>
      <c r="L2259" s="75">
        <v>2259</v>
      </c>
      <c r="M2259" s="75"/>
      <c r="N2259" s="70"/>
      <c r="O2259" s="77" t="s">
        <v>179</v>
      </c>
      <c r="P2259" s="79">
        <v>45154.657083333332</v>
      </c>
      <c r="Q2259" s="77" t="s">
        <v>3038</v>
      </c>
      <c r="R2259" s="77">
        <v>0</v>
      </c>
      <c r="S2259" s="77">
        <v>2</v>
      </c>
      <c r="T2259" s="77">
        <v>0</v>
      </c>
      <c r="U2259" s="77">
        <v>0</v>
      </c>
      <c r="V2259" s="77">
        <v>62</v>
      </c>
      <c r="W2259" s="82" t="s">
        <v>6279</v>
      </c>
      <c r="X2259" s="80" t="str">
        <f>HYPERLINK("https://www.moneytimes.com.br/compre-esta-acao-para-aproveitar-a-disparada-de-precos-do-arroz-indica-agora/")</f>
        <v>https://www.moneytimes.com.br/compre-esta-acao-para-aproveitar-a-disparada-de-precos-do-arroz-indica-agora/</v>
      </c>
      <c r="Y2259" s="77" t="s">
        <v>7053</v>
      </c>
      <c r="Z2259" s="77"/>
      <c r="AA2259" s="77"/>
      <c r="AB2259" s="77"/>
      <c r="AC2259" s="82" t="s">
        <v>8255</v>
      </c>
      <c r="AD2259" s="77" t="s">
        <v>8278</v>
      </c>
      <c r="AE2259" s="80" t="str">
        <f>HYPERLINK("https://twitter.com/leiaagrotimes/status/1691838779303109041")</f>
        <v>https://twitter.com/leiaagrotimes/status/1691838779303109041</v>
      </c>
      <c r="AF2259" s="79">
        <v>45154.657083333332</v>
      </c>
      <c r="AG2259" s="85">
        <v>45154</v>
      </c>
      <c r="AH2259" s="82" t="s">
        <v>10325</v>
      </c>
      <c r="AI2259" s="77" t="b">
        <v>0</v>
      </c>
      <c r="AJ2259" s="77"/>
      <c r="AK2259" s="77"/>
      <c r="AL2259" s="77"/>
      <c r="AM2259" s="77"/>
      <c r="AN2259" s="77"/>
      <c r="AO2259" s="77"/>
      <c r="AP2259" s="77"/>
      <c r="AQ2259" s="77"/>
      <c r="AR2259" s="77"/>
      <c r="AS2259" s="77"/>
      <c r="AT2259" s="77"/>
      <c r="AU2259" s="77"/>
      <c r="AV2259" s="80" t="str">
        <f>HYPERLINK("https://pbs.twimg.com/profile_images/1365395023072817162/ZI8fAPrO_normal.jpg")</f>
        <v>https://pbs.twimg.com/profile_images/1365395023072817162/ZI8fAPrO_normal.jpg</v>
      </c>
      <c r="AW2259" s="82" t="s">
        <v>15344</v>
      </c>
      <c r="AX2259" s="82" t="s">
        <v>15344</v>
      </c>
      <c r="AY2259" s="77"/>
      <c r="AZ2259" s="82" t="s">
        <v>17385</v>
      </c>
      <c r="BA2259" s="82" t="s">
        <v>17385</v>
      </c>
      <c r="BB2259" s="82" t="s">
        <v>17385</v>
      </c>
      <c r="BC2259" s="82" t="s">
        <v>15344</v>
      </c>
      <c r="BD2259" s="82" t="s">
        <v>17641</v>
      </c>
      <c r="BE2259" s="77"/>
      <c r="BF2259" s="77"/>
      <c r="BG2259" s="77"/>
      <c r="BH2259" s="77"/>
      <c r="BI2259" s="77"/>
    </row>
    <row r="2260" spans="1:61" x14ac:dyDescent="0.25">
      <c r="A2260" s="62" t="s">
        <v>604</v>
      </c>
      <c r="B2260" s="62" t="s">
        <v>604</v>
      </c>
      <c r="C2260" s="63"/>
      <c r="D2260" s="64"/>
      <c r="E2260" s="65"/>
      <c r="F2260" s="66"/>
      <c r="G2260" s="63"/>
      <c r="H2260" s="67"/>
      <c r="I2260" s="68"/>
      <c r="J2260" s="68"/>
      <c r="K2260" s="32"/>
      <c r="L2260" s="75">
        <v>2260</v>
      </c>
      <c r="M2260" s="75"/>
      <c r="N2260" s="70"/>
      <c r="O2260" s="77" t="s">
        <v>179</v>
      </c>
      <c r="P2260" s="79">
        <v>45135.793877314813</v>
      </c>
      <c r="Q2260" s="77" t="s">
        <v>3039</v>
      </c>
      <c r="R2260" s="77">
        <v>0</v>
      </c>
      <c r="S2260" s="77">
        <v>0</v>
      </c>
      <c r="T2260" s="77">
        <v>0</v>
      </c>
      <c r="U2260" s="77">
        <v>0</v>
      </c>
      <c r="V2260" s="77">
        <v>202</v>
      </c>
      <c r="W2260" s="82" t="s">
        <v>6257</v>
      </c>
      <c r="X2260" s="80" t="str">
        <f>HYPERLINK("https://www.moneytimes.com.br/de-olho-no-boi-china-receita-brasil-bilhao-frango-precos-previa-jbs-jbss3-minerva-beef3-marfrig-mrfg3-2t23/")</f>
        <v>https://www.moneytimes.com.br/de-olho-no-boi-china-receita-brasil-bilhao-frango-precos-previa-jbs-jbss3-minerva-beef3-marfrig-mrfg3-2t23/</v>
      </c>
      <c r="Y2260" s="77" t="s">
        <v>7053</v>
      </c>
      <c r="Z2260" s="77"/>
      <c r="AA2260" s="77"/>
      <c r="AB2260" s="77"/>
      <c r="AC2260" s="82" t="s">
        <v>8255</v>
      </c>
      <c r="AD2260" s="77" t="s">
        <v>8278</v>
      </c>
      <c r="AE2260" s="80" t="str">
        <f>HYPERLINK("https://twitter.com/leiaagrotimes/status/1685002982474018818")</f>
        <v>https://twitter.com/leiaagrotimes/status/1685002982474018818</v>
      </c>
      <c r="AF2260" s="79">
        <v>45135.793877314813</v>
      </c>
      <c r="AG2260" s="85">
        <v>45135</v>
      </c>
      <c r="AH2260" s="82" t="s">
        <v>10326</v>
      </c>
      <c r="AI2260" s="77" t="b">
        <v>0</v>
      </c>
      <c r="AJ2260" s="77"/>
      <c r="AK2260" s="77"/>
      <c r="AL2260" s="77"/>
      <c r="AM2260" s="77"/>
      <c r="AN2260" s="77"/>
      <c r="AO2260" s="77"/>
      <c r="AP2260" s="77"/>
      <c r="AQ2260" s="77"/>
      <c r="AR2260" s="77"/>
      <c r="AS2260" s="77"/>
      <c r="AT2260" s="77"/>
      <c r="AU2260" s="77"/>
      <c r="AV2260" s="80" t="str">
        <f>HYPERLINK("https://pbs.twimg.com/profile_images/1365395023072817162/ZI8fAPrO_normal.jpg")</f>
        <v>https://pbs.twimg.com/profile_images/1365395023072817162/ZI8fAPrO_normal.jpg</v>
      </c>
      <c r="AW2260" s="82" t="s">
        <v>15345</v>
      </c>
      <c r="AX2260" s="82" t="s">
        <v>15345</v>
      </c>
      <c r="AY2260" s="77"/>
      <c r="AZ2260" s="82" t="s">
        <v>17385</v>
      </c>
      <c r="BA2260" s="82" t="s">
        <v>17385</v>
      </c>
      <c r="BB2260" s="82" t="s">
        <v>17385</v>
      </c>
      <c r="BC2260" s="82" t="s">
        <v>15345</v>
      </c>
      <c r="BD2260" s="82" t="s">
        <v>17641</v>
      </c>
      <c r="BE2260" s="77"/>
      <c r="BF2260" s="77"/>
      <c r="BG2260" s="77"/>
      <c r="BH2260" s="77"/>
      <c r="BI2260" s="77"/>
    </row>
    <row r="2261" spans="1:61" x14ac:dyDescent="0.25">
      <c r="A2261" s="62" t="s">
        <v>604</v>
      </c>
      <c r="B2261" s="62" t="s">
        <v>604</v>
      </c>
      <c r="C2261" s="63"/>
      <c r="D2261" s="64"/>
      <c r="E2261" s="65"/>
      <c r="F2261" s="66"/>
      <c r="G2261" s="63"/>
      <c r="H2261" s="67"/>
      <c r="I2261" s="68"/>
      <c r="J2261" s="68"/>
      <c r="K2261" s="32"/>
      <c r="L2261" s="75">
        <v>2261</v>
      </c>
      <c r="M2261" s="75"/>
      <c r="N2261" s="70"/>
      <c r="O2261" s="77" t="s">
        <v>179</v>
      </c>
      <c r="P2261" s="79">
        <v>45135.753900462965</v>
      </c>
      <c r="Q2261" s="77" t="s">
        <v>3040</v>
      </c>
      <c r="R2261" s="77">
        <v>0</v>
      </c>
      <c r="S2261" s="77">
        <v>0</v>
      </c>
      <c r="T2261" s="77">
        <v>0</v>
      </c>
      <c r="U2261" s="77">
        <v>0</v>
      </c>
      <c r="V2261" s="77">
        <v>91</v>
      </c>
      <c r="W2261" s="82" t="s">
        <v>6251</v>
      </c>
      <c r="X2261" s="80" t="str">
        <f>HYPERLINK("https://www.moneytimes.com.br/brf-brfs3-sobe-mais-de-5-nesta-sexta-28-copom-esta-por-tras-da-alta/")</f>
        <v>https://www.moneytimes.com.br/brf-brfs3-sobe-mais-de-5-nesta-sexta-28-copom-esta-por-tras-da-alta/</v>
      </c>
      <c r="Y2261" s="77" t="s">
        <v>7053</v>
      </c>
      <c r="Z2261" s="77"/>
      <c r="AA2261" s="77"/>
      <c r="AB2261" s="77"/>
      <c r="AC2261" s="82" t="s">
        <v>8255</v>
      </c>
      <c r="AD2261" s="77" t="s">
        <v>8278</v>
      </c>
      <c r="AE2261" s="80" t="str">
        <f>HYPERLINK("https://twitter.com/leiaagrotimes/status/1684988496002330638")</f>
        <v>https://twitter.com/leiaagrotimes/status/1684988496002330638</v>
      </c>
      <c r="AF2261" s="79">
        <v>45135.753900462965</v>
      </c>
      <c r="AG2261" s="85">
        <v>45135</v>
      </c>
      <c r="AH2261" s="82" t="s">
        <v>10327</v>
      </c>
      <c r="AI2261" s="77" t="b">
        <v>0</v>
      </c>
      <c r="AJ2261" s="77"/>
      <c r="AK2261" s="77"/>
      <c r="AL2261" s="77"/>
      <c r="AM2261" s="77"/>
      <c r="AN2261" s="77"/>
      <c r="AO2261" s="77"/>
      <c r="AP2261" s="77"/>
      <c r="AQ2261" s="77"/>
      <c r="AR2261" s="77"/>
      <c r="AS2261" s="77"/>
      <c r="AT2261" s="77"/>
      <c r="AU2261" s="77"/>
      <c r="AV2261" s="80" t="str">
        <f>HYPERLINK("https://pbs.twimg.com/profile_images/1365395023072817162/ZI8fAPrO_normal.jpg")</f>
        <v>https://pbs.twimg.com/profile_images/1365395023072817162/ZI8fAPrO_normal.jpg</v>
      </c>
      <c r="AW2261" s="82" t="s">
        <v>15346</v>
      </c>
      <c r="AX2261" s="82" t="s">
        <v>15346</v>
      </c>
      <c r="AY2261" s="77"/>
      <c r="AZ2261" s="82" t="s">
        <v>17385</v>
      </c>
      <c r="BA2261" s="82" t="s">
        <v>17385</v>
      </c>
      <c r="BB2261" s="82" t="s">
        <v>17385</v>
      </c>
      <c r="BC2261" s="82" t="s">
        <v>15346</v>
      </c>
      <c r="BD2261" s="82" t="s">
        <v>17641</v>
      </c>
      <c r="BE2261" s="77"/>
      <c r="BF2261" s="77"/>
      <c r="BG2261" s="77"/>
      <c r="BH2261" s="77"/>
      <c r="BI2261" s="77"/>
    </row>
    <row r="2262" spans="1:61" x14ac:dyDescent="0.25">
      <c r="A2262" s="62" t="s">
        <v>604</v>
      </c>
      <c r="B2262" s="62" t="s">
        <v>604</v>
      </c>
      <c r="C2262" s="63"/>
      <c r="D2262" s="64"/>
      <c r="E2262" s="65"/>
      <c r="F2262" s="66"/>
      <c r="G2262" s="63"/>
      <c r="H2262" s="67"/>
      <c r="I2262" s="68"/>
      <c r="J2262" s="68"/>
      <c r="K2262" s="32"/>
      <c r="L2262" s="75">
        <v>2262</v>
      </c>
      <c r="M2262" s="75"/>
      <c r="N2262" s="70"/>
      <c r="O2262" s="77" t="s">
        <v>179</v>
      </c>
      <c r="P2262" s="79">
        <v>45134.80064814815</v>
      </c>
      <c r="Q2262" s="77" t="s">
        <v>3041</v>
      </c>
      <c r="R2262" s="77">
        <v>0</v>
      </c>
      <c r="S2262" s="77">
        <v>0</v>
      </c>
      <c r="T2262" s="77">
        <v>0</v>
      </c>
      <c r="U2262" s="77">
        <v>0</v>
      </c>
      <c r="V2262" s="77">
        <v>77</v>
      </c>
      <c r="W2262" s="82" t="s">
        <v>6261</v>
      </c>
      <c r="X2262" s="80" t="str">
        <f>HYPERLINK("https://www.moneytimes.com.br/slc-agricola-slce3-por-que-a-acao-sobe-mais-de-4-nesta-quinta-27/")</f>
        <v>https://www.moneytimes.com.br/slc-agricola-slce3-por-que-a-acao-sobe-mais-de-4-nesta-quinta-27/</v>
      </c>
      <c r="Y2262" s="77" t="s">
        <v>7053</v>
      </c>
      <c r="Z2262" s="77"/>
      <c r="AA2262" s="77"/>
      <c r="AB2262" s="77"/>
      <c r="AC2262" s="82" t="s">
        <v>8255</v>
      </c>
      <c r="AD2262" s="77" t="s">
        <v>8278</v>
      </c>
      <c r="AE2262" s="80" t="str">
        <f>HYPERLINK("https://twitter.com/leiaagrotimes/status/1684643046887931904")</f>
        <v>https://twitter.com/leiaagrotimes/status/1684643046887931904</v>
      </c>
      <c r="AF2262" s="79">
        <v>45134.80064814815</v>
      </c>
      <c r="AG2262" s="85">
        <v>45134</v>
      </c>
      <c r="AH2262" s="82" t="s">
        <v>10328</v>
      </c>
      <c r="AI2262" s="77" t="b">
        <v>0</v>
      </c>
      <c r="AJ2262" s="77"/>
      <c r="AK2262" s="77"/>
      <c r="AL2262" s="77"/>
      <c r="AM2262" s="77"/>
      <c r="AN2262" s="77"/>
      <c r="AO2262" s="77"/>
      <c r="AP2262" s="77"/>
      <c r="AQ2262" s="77"/>
      <c r="AR2262" s="77"/>
      <c r="AS2262" s="77"/>
      <c r="AT2262" s="77"/>
      <c r="AU2262" s="77"/>
      <c r="AV2262" s="80" t="str">
        <f>HYPERLINK("https://pbs.twimg.com/profile_images/1365395023072817162/ZI8fAPrO_normal.jpg")</f>
        <v>https://pbs.twimg.com/profile_images/1365395023072817162/ZI8fAPrO_normal.jpg</v>
      </c>
      <c r="AW2262" s="82" t="s">
        <v>15347</v>
      </c>
      <c r="AX2262" s="82" t="s">
        <v>15347</v>
      </c>
      <c r="AY2262" s="77"/>
      <c r="AZ2262" s="82" t="s">
        <v>17385</v>
      </c>
      <c r="BA2262" s="82" t="s">
        <v>17385</v>
      </c>
      <c r="BB2262" s="82" t="s">
        <v>17385</v>
      </c>
      <c r="BC2262" s="82" t="s">
        <v>15347</v>
      </c>
      <c r="BD2262" s="82" t="s">
        <v>17641</v>
      </c>
      <c r="BE2262" s="77"/>
      <c r="BF2262" s="77"/>
      <c r="BG2262" s="77"/>
      <c r="BH2262" s="77"/>
      <c r="BI2262" s="77"/>
    </row>
    <row r="2263" spans="1:61" x14ac:dyDescent="0.25">
      <c r="A2263" s="62" t="s">
        <v>604</v>
      </c>
      <c r="B2263" s="62" t="s">
        <v>604</v>
      </c>
      <c r="C2263" s="63"/>
      <c r="D2263" s="64"/>
      <c r="E2263" s="65"/>
      <c r="F2263" s="66"/>
      <c r="G2263" s="63"/>
      <c r="H2263" s="67"/>
      <c r="I2263" s="68"/>
      <c r="J2263" s="68"/>
      <c r="K2263" s="32"/>
      <c r="L2263" s="75">
        <v>2263</v>
      </c>
      <c r="M2263" s="75"/>
      <c r="N2263" s="70"/>
      <c r="O2263" s="77" t="s">
        <v>179</v>
      </c>
      <c r="P2263" s="79">
        <v>45134.498854166668</v>
      </c>
      <c r="Q2263" s="77" t="s">
        <v>3042</v>
      </c>
      <c r="R2263" s="77">
        <v>0</v>
      </c>
      <c r="S2263" s="77">
        <v>0</v>
      </c>
      <c r="T2263" s="77">
        <v>0</v>
      </c>
      <c r="U2263" s="77">
        <v>0</v>
      </c>
      <c r="V2263" s="77">
        <v>99</v>
      </c>
      <c r="W2263" s="82" t="s">
        <v>6261</v>
      </c>
      <c r="X2263" s="80" t="str">
        <f>HYPERLINK("https://www.moneytimes.com.br/pilgrims-pride-controlada-pela-jbs-jbss3-reporta-queda-de-83-no-lucro-liquido-do-2t23/")</f>
        <v>https://www.moneytimes.com.br/pilgrims-pride-controlada-pela-jbs-jbss3-reporta-queda-de-83-no-lucro-liquido-do-2t23/</v>
      </c>
      <c r="Y2263" s="77" t="s">
        <v>7053</v>
      </c>
      <c r="Z2263" s="77"/>
      <c r="AA2263" s="77"/>
      <c r="AB2263" s="77"/>
      <c r="AC2263" s="82" t="s">
        <v>8255</v>
      </c>
      <c r="AD2263" s="77" t="s">
        <v>8278</v>
      </c>
      <c r="AE2263" s="80" t="str">
        <f>HYPERLINK("https://twitter.com/leiaagrotimes/status/1684533682416111616")</f>
        <v>https://twitter.com/leiaagrotimes/status/1684533682416111616</v>
      </c>
      <c r="AF2263" s="79">
        <v>45134.498854166668</v>
      </c>
      <c r="AG2263" s="85">
        <v>45134</v>
      </c>
      <c r="AH2263" s="82" t="s">
        <v>10329</v>
      </c>
      <c r="AI2263" s="77" t="b">
        <v>0</v>
      </c>
      <c r="AJ2263" s="77"/>
      <c r="AK2263" s="77"/>
      <c r="AL2263" s="77"/>
      <c r="AM2263" s="77"/>
      <c r="AN2263" s="77"/>
      <c r="AO2263" s="77"/>
      <c r="AP2263" s="77"/>
      <c r="AQ2263" s="77"/>
      <c r="AR2263" s="77"/>
      <c r="AS2263" s="77"/>
      <c r="AT2263" s="77"/>
      <c r="AU2263" s="77"/>
      <c r="AV2263" s="80" t="str">
        <f>HYPERLINK("https://pbs.twimg.com/profile_images/1365395023072817162/ZI8fAPrO_normal.jpg")</f>
        <v>https://pbs.twimg.com/profile_images/1365395023072817162/ZI8fAPrO_normal.jpg</v>
      </c>
      <c r="AW2263" s="82" t="s">
        <v>15348</v>
      </c>
      <c r="AX2263" s="82" t="s">
        <v>15348</v>
      </c>
      <c r="AY2263" s="77"/>
      <c r="AZ2263" s="82" t="s">
        <v>17385</v>
      </c>
      <c r="BA2263" s="82" t="s">
        <v>17385</v>
      </c>
      <c r="BB2263" s="82" t="s">
        <v>17385</v>
      </c>
      <c r="BC2263" s="82" t="s">
        <v>15348</v>
      </c>
      <c r="BD2263" s="82" t="s">
        <v>17641</v>
      </c>
      <c r="BE2263" s="77"/>
      <c r="BF2263" s="77"/>
      <c r="BG2263" s="77"/>
      <c r="BH2263" s="77"/>
      <c r="BI2263" s="77"/>
    </row>
    <row r="2264" spans="1:61" x14ac:dyDescent="0.25">
      <c r="A2264" s="62" t="s">
        <v>604</v>
      </c>
      <c r="B2264" s="62" t="s">
        <v>604</v>
      </c>
      <c r="C2264" s="63"/>
      <c r="D2264" s="64"/>
      <c r="E2264" s="65"/>
      <c r="F2264" s="66"/>
      <c r="G2264" s="63"/>
      <c r="H2264" s="67"/>
      <c r="I2264" s="68"/>
      <c r="J2264" s="68"/>
      <c r="K2264" s="32"/>
      <c r="L2264" s="75">
        <v>2264</v>
      </c>
      <c r="M2264" s="75"/>
      <c r="N2264" s="70"/>
      <c r="O2264" s="77" t="s">
        <v>179</v>
      </c>
      <c r="P2264" s="79">
        <v>45133.845578703702</v>
      </c>
      <c r="Q2264" s="77" t="s">
        <v>3043</v>
      </c>
      <c r="R2264" s="77">
        <v>0</v>
      </c>
      <c r="S2264" s="77">
        <v>0</v>
      </c>
      <c r="T2264" s="77">
        <v>0</v>
      </c>
      <c r="U2264" s="77">
        <v>0</v>
      </c>
      <c r="V2264" s="77">
        <v>96</v>
      </c>
      <c r="W2264" s="82" t="s">
        <v>6251</v>
      </c>
      <c r="X2264" s="80" t="str">
        <f>HYPERLINK("https://www.moneytimes.com.br/suzano-suzb3-os-dois-motivos-que-fizeram-a-acao-subir-nesta-quarta-26/")</f>
        <v>https://www.moneytimes.com.br/suzano-suzb3-os-dois-motivos-que-fizeram-a-acao-subir-nesta-quarta-26/</v>
      </c>
      <c r="Y2264" s="77" t="s">
        <v>7053</v>
      </c>
      <c r="Z2264" s="77"/>
      <c r="AA2264" s="77"/>
      <c r="AB2264" s="77"/>
      <c r="AC2264" s="82" t="s">
        <v>8255</v>
      </c>
      <c r="AD2264" s="77" t="s">
        <v>8278</v>
      </c>
      <c r="AE2264" s="80" t="str">
        <f>HYPERLINK("https://twitter.com/leiaagrotimes/status/1684296941608243201")</f>
        <v>https://twitter.com/leiaagrotimes/status/1684296941608243201</v>
      </c>
      <c r="AF2264" s="79">
        <v>45133.845578703702</v>
      </c>
      <c r="AG2264" s="85">
        <v>45133</v>
      </c>
      <c r="AH2264" s="82" t="s">
        <v>10330</v>
      </c>
      <c r="AI2264" s="77" t="b">
        <v>0</v>
      </c>
      <c r="AJ2264" s="77"/>
      <c r="AK2264" s="77"/>
      <c r="AL2264" s="77"/>
      <c r="AM2264" s="77"/>
      <c r="AN2264" s="77"/>
      <c r="AO2264" s="77"/>
      <c r="AP2264" s="77"/>
      <c r="AQ2264" s="77"/>
      <c r="AR2264" s="77"/>
      <c r="AS2264" s="77"/>
      <c r="AT2264" s="77"/>
      <c r="AU2264" s="77"/>
      <c r="AV2264" s="80" t="str">
        <f>HYPERLINK("https://pbs.twimg.com/profile_images/1365395023072817162/ZI8fAPrO_normal.jpg")</f>
        <v>https://pbs.twimg.com/profile_images/1365395023072817162/ZI8fAPrO_normal.jpg</v>
      </c>
      <c r="AW2264" s="82" t="s">
        <v>15349</v>
      </c>
      <c r="AX2264" s="82" t="s">
        <v>15349</v>
      </c>
      <c r="AY2264" s="77"/>
      <c r="AZ2264" s="82" t="s">
        <v>17385</v>
      </c>
      <c r="BA2264" s="82" t="s">
        <v>17385</v>
      </c>
      <c r="BB2264" s="82" t="s">
        <v>17385</v>
      </c>
      <c r="BC2264" s="82" t="s">
        <v>15349</v>
      </c>
      <c r="BD2264" s="82" t="s">
        <v>17641</v>
      </c>
      <c r="BE2264" s="77"/>
      <c r="BF2264" s="77"/>
      <c r="BG2264" s="77"/>
      <c r="BH2264" s="77"/>
      <c r="BI2264" s="77"/>
    </row>
    <row r="2265" spans="1:61" x14ac:dyDescent="0.25">
      <c r="A2265" s="62" t="s">
        <v>604</v>
      </c>
      <c r="B2265" s="62" t="s">
        <v>604</v>
      </c>
      <c r="C2265" s="63"/>
      <c r="D2265" s="64"/>
      <c r="E2265" s="65"/>
      <c r="F2265" s="66"/>
      <c r="G2265" s="63"/>
      <c r="H2265" s="67"/>
      <c r="I2265" s="68"/>
      <c r="J2265" s="68"/>
      <c r="K2265" s="32"/>
      <c r="L2265" s="75">
        <v>2265</v>
      </c>
      <c r="M2265" s="75"/>
      <c r="N2265" s="70"/>
      <c r="O2265" s="77" t="s">
        <v>179</v>
      </c>
      <c r="P2265" s="79">
        <v>45133.653553240743</v>
      </c>
      <c r="Q2265" s="77" t="s">
        <v>3044</v>
      </c>
      <c r="R2265" s="77">
        <v>0</v>
      </c>
      <c r="S2265" s="77">
        <v>0</v>
      </c>
      <c r="T2265" s="77">
        <v>0</v>
      </c>
      <c r="U2265" s="77">
        <v>0</v>
      </c>
      <c r="V2265" s="77">
        <v>123</v>
      </c>
      <c r="W2265" s="82" t="s">
        <v>6264</v>
      </c>
      <c r="X2265" s="80" t="str">
        <f>HYPERLINK("https://www.moneytimes.com.br/cosan-csan3-como-investidores-enxergam-a-acao-bancao-preve-salto-de-quase-50/")</f>
        <v>https://www.moneytimes.com.br/cosan-csan3-como-investidores-enxergam-a-acao-bancao-preve-salto-de-quase-50/</v>
      </c>
      <c r="Y2265" s="77" t="s">
        <v>7053</v>
      </c>
      <c r="Z2265" s="77"/>
      <c r="AA2265" s="77"/>
      <c r="AB2265" s="77"/>
      <c r="AC2265" s="82" t="s">
        <v>8255</v>
      </c>
      <c r="AD2265" s="77" t="s">
        <v>8278</v>
      </c>
      <c r="AE2265" s="80" t="str">
        <f>HYPERLINK("https://twitter.com/leiaagrotimes/status/1684227353570836481")</f>
        <v>https://twitter.com/leiaagrotimes/status/1684227353570836481</v>
      </c>
      <c r="AF2265" s="79">
        <v>45133.653553240743</v>
      </c>
      <c r="AG2265" s="85">
        <v>45133</v>
      </c>
      <c r="AH2265" s="82" t="s">
        <v>10331</v>
      </c>
      <c r="AI2265" s="77" t="b">
        <v>0</v>
      </c>
      <c r="AJ2265" s="77"/>
      <c r="AK2265" s="77"/>
      <c r="AL2265" s="77"/>
      <c r="AM2265" s="77"/>
      <c r="AN2265" s="77"/>
      <c r="AO2265" s="77"/>
      <c r="AP2265" s="77"/>
      <c r="AQ2265" s="77"/>
      <c r="AR2265" s="77"/>
      <c r="AS2265" s="77"/>
      <c r="AT2265" s="77"/>
      <c r="AU2265" s="77"/>
      <c r="AV2265" s="80" t="str">
        <f>HYPERLINK("https://pbs.twimg.com/profile_images/1365395023072817162/ZI8fAPrO_normal.jpg")</f>
        <v>https://pbs.twimg.com/profile_images/1365395023072817162/ZI8fAPrO_normal.jpg</v>
      </c>
      <c r="AW2265" s="82" t="s">
        <v>15350</v>
      </c>
      <c r="AX2265" s="82" t="s">
        <v>15350</v>
      </c>
      <c r="AY2265" s="77"/>
      <c r="AZ2265" s="82" t="s">
        <v>17385</v>
      </c>
      <c r="BA2265" s="82" t="s">
        <v>17385</v>
      </c>
      <c r="BB2265" s="82" t="s">
        <v>17385</v>
      </c>
      <c r="BC2265" s="82" t="s">
        <v>15350</v>
      </c>
      <c r="BD2265" s="82" t="s">
        <v>17641</v>
      </c>
      <c r="BE2265" s="77"/>
      <c r="BF2265" s="77"/>
      <c r="BG2265" s="77"/>
      <c r="BH2265" s="77"/>
      <c r="BI2265" s="77"/>
    </row>
    <row r="2266" spans="1:61" x14ac:dyDescent="0.25">
      <c r="A2266" s="62" t="s">
        <v>604</v>
      </c>
      <c r="B2266" s="62" t="s">
        <v>604</v>
      </c>
      <c r="C2266" s="63"/>
      <c r="D2266" s="64"/>
      <c r="E2266" s="65"/>
      <c r="F2266" s="66"/>
      <c r="G2266" s="63"/>
      <c r="H2266" s="67"/>
      <c r="I2266" s="68"/>
      <c r="J2266" s="68"/>
      <c r="K2266" s="32"/>
      <c r="L2266" s="75">
        <v>2266</v>
      </c>
      <c r="M2266" s="75"/>
      <c r="N2266" s="70"/>
      <c r="O2266" s="77" t="s">
        <v>179</v>
      </c>
      <c r="P2266" s="79">
        <v>45083.771273148152</v>
      </c>
      <c r="Q2266" s="77" t="s">
        <v>3045</v>
      </c>
      <c r="R2266" s="77">
        <v>0</v>
      </c>
      <c r="S2266" s="77">
        <v>1</v>
      </c>
      <c r="T2266" s="77">
        <v>0</v>
      </c>
      <c r="U2266" s="77">
        <v>0</v>
      </c>
      <c r="V2266" s="77">
        <v>82</v>
      </c>
      <c r="W2266" s="82" t="s">
        <v>6251</v>
      </c>
      <c r="X2266" s="80" t="str">
        <f>HYPERLINK("https://www.moneytimes.com.br/minerva-beef3-e-sao-martinho-smto3-disputam-podio-com-surpresa-do-agro-saiba-em-quais-acoes-apostar-em-junho/")</f>
        <v>https://www.moneytimes.com.br/minerva-beef3-e-sao-martinho-smto3-disputam-podio-com-surpresa-do-agro-saiba-em-quais-acoes-apostar-em-junho/</v>
      </c>
      <c r="Y2266" s="77" t="s">
        <v>7053</v>
      </c>
      <c r="Z2266" s="77"/>
      <c r="AA2266" s="77"/>
      <c r="AB2266" s="77"/>
      <c r="AC2266" s="82" t="s">
        <v>8255</v>
      </c>
      <c r="AD2266" s="77" t="s">
        <v>8278</v>
      </c>
      <c r="AE2266" s="80" t="str">
        <f>HYPERLINK("https://twitter.com/leiaagrotimes/status/1666150623996174337")</f>
        <v>https://twitter.com/leiaagrotimes/status/1666150623996174337</v>
      </c>
      <c r="AF2266" s="79">
        <v>45083.771273148152</v>
      </c>
      <c r="AG2266" s="85">
        <v>45083</v>
      </c>
      <c r="AH2266" s="82" t="s">
        <v>10069</v>
      </c>
      <c r="AI2266" s="77" t="b">
        <v>0</v>
      </c>
      <c r="AJ2266" s="77"/>
      <c r="AK2266" s="77"/>
      <c r="AL2266" s="77"/>
      <c r="AM2266" s="77"/>
      <c r="AN2266" s="77"/>
      <c r="AO2266" s="77"/>
      <c r="AP2266" s="77"/>
      <c r="AQ2266" s="77"/>
      <c r="AR2266" s="77"/>
      <c r="AS2266" s="77"/>
      <c r="AT2266" s="77"/>
      <c r="AU2266" s="77"/>
      <c r="AV2266" s="80" t="str">
        <f>HYPERLINK("https://pbs.twimg.com/profile_images/1365395023072817162/ZI8fAPrO_normal.jpg")</f>
        <v>https://pbs.twimg.com/profile_images/1365395023072817162/ZI8fAPrO_normal.jpg</v>
      </c>
      <c r="AW2266" s="82" t="s">
        <v>15351</v>
      </c>
      <c r="AX2266" s="82" t="s">
        <v>15351</v>
      </c>
      <c r="AY2266" s="77"/>
      <c r="AZ2266" s="82" t="s">
        <v>17385</v>
      </c>
      <c r="BA2266" s="82" t="s">
        <v>17385</v>
      </c>
      <c r="BB2266" s="82" t="s">
        <v>17385</v>
      </c>
      <c r="BC2266" s="82" t="s">
        <v>15351</v>
      </c>
      <c r="BD2266" s="82" t="s">
        <v>17641</v>
      </c>
      <c r="BE2266" s="77"/>
      <c r="BF2266" s="77"/>
      <c r="BG2266" s="77"/>
      <c r="BH2266" s="77"/>
      <c r="BI2266" s="77"/>
    </row>
    <row r="2267" spans="1:61" x14ac:dyDescent="0.25">
      <c r="A2267" s="62" t="s">
        <v>604</v>
      </c>
      <c r="B2267" s="62" t="s">
        <v>604</v>
      </c>
      <c r="C2267" s="63"/>
      <c r="D2267" s="64"/>
      <c r="E2267" s="65"/>
      <c r="F2267" s="66"/>
      <c r="G2267" s="63"/>
      <c r="H2267" s="67"/>
      <c r="I2267" s="68"/>
      <c r="J2267" s="68"/>
      <c r="K2267" s="32"/>
      <c r="L2267" s="75">
        <v>2267</v>
      </c>
      <c r="M2267" s="75"/>
      <c r="N2267" s="70"/>
      <c r="O2267" s="77" t="s">
        <v>179</v>
      </c>
      <c r="P2267" s="79">
        <v>45083.606273148151</v>
      </c>
      <c r="Q2267" s="77" t="s">
        <v>3046</v>
      </c>
      <c r="R2267" s="77">
        <v>0</v>
      </c>
      <c r="S2267" s="77">
        <v>0</v>
      </c>
      <c r="T2267" s="77">
        <v>0</v>
      </c>
      <c r="U2267" s="77">
        <v>0</v>
      </c>
      <c r="V2267" s="77">
        <v>101</v>
      </c>
      <c r="W2267" s="82" t="s">
        <v>6251</v>
      </c>
      <c r="X2267" s="80" t="str">
        <f>HYPERLINK("https://www.moneytimes.com.br/suzano-suzb3-hora-de-correr-analistas-reforcam-venda-apos-corte-de-4-na-producao-de-celulose-entenda/")</f>
        <v>https://www.moneytimes.com.br/suzano-suzb3-hora-de-correr-analistas-reforcam-venda-apos-corte-de-4-na-producao-de-celulose-entenda/</v>
      </c>
      <c r="Y2267" s="77" t="s">
        <v>7053</v>
      </c>
      <c r="Z2267" s="77"/>
      <c r="AA2267" s="77"/>
      <c r="AB2267" s="77"/>
      <c r="AC2267" s="82" t="s">
        <v>8255</v>
      </c>
      <c r="AD2267" s="77" t="s">
        <v>8278</v>
      </c>
      <c r="AE2267" s="80" t="str">
        <f>HYPERLINK("https://twitter.com/leiaagrotimes/status/1666090828379623424")</f>
        <v>https://twitter.com/leiaagrotimes/status/1666090828379623424</v>
      </c>
      <c r="AF2267" s="79">
        <v>45083.606273148151</v>
      </c>
      <c r="AG2267" s="85">
        <v>45083</v>
      </c>
      <c r="AH2267" s="82" t="s">
        <v>10332</v>
      </c>
      <c r="AI2267" s="77" t="b">
        <v>0</v>
      </c>
      <c r="AJ2267" s="77"/>
      <c r="AK2267" s="77"/>
      <c r="AL2267" s="77"/>
      <c r="AM2267" s="77"/>
      <c r="AN2267" s="77"/>
      <c r="AO2267" s="77"/>
      <c r="AP2267" s="77"/>
      <c r="AQ2267" s="77"/>
      <c r="AR2267" s="77"/>
      <c r="AS2267" s="77"/>
      <c r="AT2267" s="77"/>
      <c r="AU2267" s="77"/>
      <c r="AV2267" s="80" t="str">
        <f>HYPERLINK("https://pbs.twimg.com/profile_images/1365395023072817162/ZI8fAPrO_normal.jpg")</f>
        <v>https://pbs.twimg.com/profile_images/1365395023072817162/ZI8fAPrO_normal.jpg</v>
      </c>
      <c r="AW2267" s="82" t="s">
        <v>15352</v>
      </c>
      <c r="AX2267" s="82" t="s">
        <v>15352</v>
      </c>
      <c r="AY2267" s="77"/>
      <c r="AZ2267" s="82" t="s">
        <v>17385</v>
      </c>
      <c r="BA2267" s="82" t="s">
        <v>17385</v>
      </c>
      <c r="BB2267" s="82" t="s">
        <v>17385</v>
      </c>
      <c r="BC2267" s="82" t="s">
        <v>15352</v>
      </c>
      <c r="BD2267" s="82" t="s">
        <v>17641</v>
      </c>
      <c r="BE2267" s="77"/>
      <c r="BF2267" s="77"/>
      <c r="BG2267" s="77"/>
      <c r="BH2267" s="77"/>
      <c r="BI2267" s="77"/>
    </row>
    <row r="2268" spans="1:61" x14ac:dyDescent="0.25">
      <c r="A2268" s="62" t="s">
        <v>604</v>
      </c>
      <c r="B2268" s="62" t="s">
        <v>604</v>
      </c>
      <c r="C2268" s="63"/>
      <c r="D2268" s="64"/>
      <c r="E2268" s="65"/>
      <c r="F2268" s="66"/>
      <c r="G2268" s="63"/>
      <c r="H2268" s="67"/>
      <c r="I2268" s="68"/>
      <c r="J2268" s="68"/>
      <c r="K2268" s="32"/>
      <c r="L2268" s="75">
        <v>2268</v>
      </c>
      <c r="M2268" s="75"/>
      <c r="N2268" s="70"/>
      <c r="O2268" s="77" t="s">
        <v>179</v>
      </c>
      <c r="P2268" s="79">
        <v>45082.852476851855</v>
      </c>
      <c r="Q2268" s="77" t="s">
        <v>3047</v>
      </c>
      <c r="R2268" s="77">
        <v>0</v>
      </c>
      <c r="S2268" s="77">
        <v>0</v>
      </c>
      <c r="T2268" s="77">
        <v>0</v>
      </c>
      <c r="U2268" s="77">
        <v>0</v>
      </c>
      <c r="V2268" s="77">
        <v>174</v>
      </c>
      <c r="W2268" s="82" t="s">
        <v>6251</v>
      </c>
      <c r="X2268" s="80" t="str">
        <f>HYPERLINK("https://www.moneytimes.com.br/gripe-aviaria-embargo-para-brf-brfs3-e-jbs-jbss3-com-sul-ameacado-os-riscos-segundo-bba/")</f>
        <v>https://www.moneytimes.com.br/gripe-aviaria-embargo-para-brf-brfs3-e-jbs-jbss3-com-sul-ameacado-os-riscos-segundo-bba/</v>
      </c>
      <c r="Y2268" s="77" t="s">
        <v>7053</v>
      </c>
      <c r="Z2268" s="77"/>
      <c r="AA2268" s="77"/>
      <c r="AB2268" s="77"/>
      <c r="AC2268" s="82" t="s">
        <v>8255</v>
      </c>
      <c r="AD2268" s="77" t="s">
        <v>8278</v>
      </c>
      <c r="AE2268" s="80" t="str">
        <f>HYPERLINK("https://twitter.com/leiaagrotimes/status/1665817661404504065")</f>
        <v>https://twitter.com/leiaagrotimes/status/1665817661404504065</v>
      </c>
      <c r="AF2268" s="79">
        <v>45082.852476851855</v>
      </c>
      <c r="AG2268" s="85">
        <v>45082</v>
      </c>
      <c r="AH2268" s="82" t="s">
        <v>10333</v>
      </c>
      <c r="AI2268" s="77" t="b">
        <v>0</v>
      </c>
      <c r="AJ2268" s="77"/>
      <c r="AK2268" s="77"/>
      <c r="AL2268" s="77"/>
      <c r="AM2268" s="77"/>
      <c r="AN2268" s="77"/>
      <c r="AO2268" s="77"/>
      <c r="AP2268" s="77"/>
      <c r="AQ2268" s="77"/>
      <c r="AR2268" s="77"/>
      <c r="AS2268" s="77"/>
      <c r="AT2268" s="77"/>
      <c r="AU2268" s="77"/>
      <c r="AV2268" s="80" t="str">
        <f>HYPERLINK("https://pbs.twimg.com/profile_images/1365395023072817162/ZI8fAPrO_normal.jpg")</f>
        <v>https://pbs.twimg.com/profile_images/1365395023072817162/ZI8fAPrO_normal.jpg</v>
      </c>
      <c r="AW2268" s="82" t="s">
        <v>15353</v>
      </c>
      <c r="AX2268" s="82" t="s">
        <v>15353</v>
      </c>
      <c r="AY2268" s="77"/>
      <c r="AZ2268" s="82" t="s">
        <v>17385</v>
      </c>
      <c r="BA2268" s="82" t="s">
        <v>17385</v>
      </c>
      <c r="BB2268" s="82" t="s">
        <v>17385</v>
      </c>
      <c r="BC2268" s="82" t="s">
        <v>15353</v>
      </c>
      <c r="BD2268" s="82" t="s">
        <v>17641</v>
      </c>
      <c r="BE2268" s="77"/>
      <c r="BF2268" s="77"/>
      <c r="BG2268" s="77"/>
      <c r="BH2268" s="77"/>
      <c r="BI2268" s="77"/>
    </row>
    <row r="2269" spans="1:61" x14ac:dyDescent="0.25">
      <c r="A2269" s="62" t="s">
        <v>604</v>
      </c>
      <c r="B2269" s="62" t="s">
        <v>604</v>
      </c>
      <c r="C2269" s="63"/>
      <c r="D2269" s="64"/>
      <c r="E2269" s="65"/>
      <c r="F2269" s="66"/>
      <c r="G2269" s="63"/>
      <c r="H2269" s="67"/>
      <c r="I2269" s="68"/>
      <c r="J2269" s="68"/>
      <c r="K2269" s="32"/>
      <c r="L2269" s="75">
        <v>2269</v>
      </c>
      <c r="M2269" s="75"/>
      <c r="N2269" s="70"/>
      <c r="O2269" s="77" t="s">
        <v>179</v>
      </c>
      <c r="P2269" s="79">
        <v>45067.626250000001</v>
      </c>
      <c r="Q2269" s="77" t="s">
        <v>3048</v>
      </c>
      <c r="R2269" s="77">
        <v>0</v>
      </c>
      <c r="S2269" s="77">
        <v>1</v>
      </c>
      <c r="T2269" s="77">
        <v>0</v>
      </c>
      <c r="U2269" s="77">
        <v>0</v>
      </c>
      <c r="V2269" s="77">
        <v>180</v>
      </c>
      <c r="W2269" s="82" t="s">
        <v>6256</v>
      </c>
      <c r="X2269" s="80" t="str">
        <f>HYPERLINK("https://www.moneytimes.com.br/petrobras-petr4-vila-do-etanol-surpresa-afunda-raizen-raiz4-boi-da-minerva-beef3-dividendos-e-mais-veja-5-assuntos-no-agro-times/")</f>
        <v>https://www.moneytimes.com.br/petrobras-petr4-vila-do-etanol-surpresa-afunda-raizen-raiz4-boi-da-minerva-beef3-dividendos-e-mais-veja-5-assuntos-no-agro-times/</v>
      </c>
      <c r="Y2269" s="77" t="s">
        <v>7053</v>
      </c>
      <c r="Z2269" s="77"/>
      <c r="AA2269" s="77"/>
      <c r="AB2269" s="77"/>
      <c r="AC2269" s="82" t="s">
        <v>8255</v>
      </c>
      <c r="AD2269" s="77" t="s">
        <v>8278</v>
      </c>
      <c r="AE2269" s="80" t="str">
        <f>HYPERLINK("https://twitter.com/leiaagrotimes/status/1660299861902647296")</f>
        <v>https://twitter.com/leiaagrotimes/status/1660299861902647296</v>
      </c>
      <c r="AF2269" s="79">
        <v>45067.626250000001</v>
      </c>
      <c r="AG2269" s="85">
        <v>45067</v>
      </c>
      <c r="AH2269" s="82" t="s">
        <v>10334</v>
      </c>
      <c r="AI2269" s="77" t="b">
        <v>0</v>
      </c>
      <c r="AJ2269" s="77"/>
      <c r="AK2269" s="77"/>
      <c r="AL2269" s="77"/>
      <c r="AM2269" s="77"/>
      <c r="AN2269" s="77"/>
      <c r="AO2269" s="77"/>
      <c r="AP2269" s="77"/>
      <c r="AQ2269" s="77"/>
      <c r="AR2269" s="77"/>
      <c r="AS2269" s="77"/>
      <c r="AT2269" s="77"/>
      <c r="AU2269" s="77"/>
      <c r="AV2269" s="80" t="str">
        <f>HYPERLINK("https://pbs.twimg.com/profile_images/1365395023072817162/ZI8fAPrO_normal.jpg")</f>
        <v>https://pbs.twimg.com/profile_images/1365395023072817162/ZI8fAPrO_normal.jpg</v>
      </c>
      <c r="AW2269" s="82" t="s">
        <v>15354</v>
      </c>
      <c r="AX2269" s="82" t="s">
        <v>15354</v>
      </c>
      <c r="AY2269" s="77"/>
      <c r="AZ2269" s="82" t="s">
        <v>17385</v>
      </c>
      <c r="BA2269" s="82" t="s">
        <v>17385</v>
      </c>
      <c r="BB2269" s="82" t="s">
        <v>17385</v>
      </c>
      <c r="BC2269" s="82" t="s">
        <v>15354</v>
      </c>
      <c r="BD2269" s="82" t="s">
        <v>17641</v>
      </c>
      <c r="BE2269" s="77"/>
      <c r="BF2269" s="77"/>
      <c r="BG2269" s="77"/>
      <c r="BH2269" s="77"/>
      <c r="BI2269" s="77"/>
    </row>
    <row r="2270" spans="1:61" x14ac:dyDescent="0.25">
      <c r="A2270" s="62" t="s">
        <v>604</v>
      </c>
      <c r="B2270" s="62" t="s">
        <v>604</v>
      </c>
      <c r="C2270" s="63"/>
      <c r="D2270" s="64"/>
      <c r="E2270" s="65"/>
      <c r="F2270" s="66"/>
      <c r="G2270" s="63"/>
      <c r="H2270" s="67"/>
      <c r="I2270" s="68"/>
      <c r="J2270" s="68"/>
      <c r="K2270" s="32"/>
      <c r="L2270" s="75">
        <v>2270</v>
      </c>
      <c r="M2270" s="75"/>
      <c r="N2270" s="70"/>
      <c r="O2270" s="77" t="s">
        <v>179</v>
      </c>
      <c r="P2270" s="79">
        <v>45065.832986111112</v>
      </c>
      <c r="Q2270" s="77" t="s">
        <v>3049</v>
      </c>
      <c r="R2270" s="77">
        <v>0</v>
      </c>
      <c r="S2270" s="77">
        <v>0</v>
      </c>
      <c r="T2270" s="77">
        <v>0</v>
      </c>
      <c r="U2270" s="77">
        <v>0</v>
      </c>
      <c r="V2270" s="77">
        <v>45</v>
      </c>
      <c r="W2270" s="82" t="s">
        <v>6261</v>
      </c>
      <c r="X2270" s="80" t="str">
        <f>HYPERLINK("https://www.moneytimes.com.br/goldman-sachs-eleva-recomendacao-para-acao-de-papel-e-celulose-apos-1t23-vale-comprar/")</f>
        <v>https://www.moneytimes.com.br/goldman-sachs-eleva-recomendacao-para-acao-de-papel-e-celulose-apos-1t23-vale-comprar/</v>
      </c>
      <c r="Y2270" s="77" t="s">
        <v>7053</v>
      </c>
      <c r="Z2270" s="77"/>
      <c r="AA2270" s="77"/>
      <c r="AB2270" s="77"/>
      <c r="AC2270" s="82" t="s">
        <v>8255</v>
      </c>
      <c r="AD2270" s="77" t="s">
        <v>8278</v>
      </c>
      <c r="AE2270" s="80" t="str">
        <f>HYPERLINK("https://twitter.com/leiaagrotimes/status/1659650006314262536")</f>
        <v>https://twitter.com/leiaagrotimes/status/1659650006314262536</v>
      </c>
      <c r="AF2270" s="79">
        <v>45065.832986111112</v>
      </c>
      <c r="AG2270" s="85">
        <v>45065</v>
      </c>
      <c r="AH2270" s="82" t="s">
        <v>10335</v>
      </c>
      <c r="AI2270" s="77" t="b">
        <v>0</v>
      </c>
      <c r="AJ2270" s="77"/>
      <c r="AK2270" s="77"/>
      <c r="AL2270" s="77"/>
      <c r="AM2270" s="77"/>
      <c r="AN2270" s="77"/>
      <c r="AO2270" s="77"/>
      <c r="AP2270" s="77"/>
      <c r="AQ2270" s="77"/>
      <c r="AR2270" s="77"/>
      <c r="AS2270" s="77"/>
      <c r="AT2270" s="77"/>
      <c r="AU2270" s="77"/>
      <c r="AV2270" s="80" t="str">
        <f>HYPERLINK("https://pbs.twimg.com/profile_images/1365395023072817162/ZI8fAPrO_normal.jpg")</f>
        <v>https://pbs.twimg.com/profile_images/1365395023072817162/ZI8fAPrO_normal.jpg</v>
      </c>
      <c r="AW2270" s="82" t="s">
        <v>15355</v>
      </c>
      <c r="AX2270" s="82" t="s">
        <v>15355</v>
      </c>
      <c r="AY2270" s="77"/>
      <c r="AZ2270" s="82" t="s">
        <v>17385</v>
      </c>
      <c r="BA2270" s="82" t="s">
        <v>17385</v>
      </c>
      <c r="BB2270" s="82" t="s">
        <v>17385</v>
      </c>
      <c r="BC2270" s="82" t="s">
        <v>15355</v>
      </c>
      <c r="BD2270" s="82" t="s">
        <v>17641</v>
      </c>
      <c r="BE2270" s="77"/>
      <c r="BF2270" s="77"/>
      <c r="BG2270" s="77"/>
      <c r="BH2270" s="77"/>
      <c r="BI2270" s="77"/>
    </row>
    <row r="2271" spans="1:61" x14ac:dyDescent="0.25">
      <c r="A2271" s="62" t="s">
        <v>604</v>
      </c>
      <c r="B2271" s="62" t="s">
        <v>604</v>
      </c>
      <c r="C2271" s="63"/>
      <c r="D2271" s="64"/>
      <c r="E2271" s="65"/>
      <c r="F2271" s="66"/>
      <c r="G2271" s="63"/>
      <c r="H2271" s="67"/>
      <c r="I2271" s="68"/>
      <c r="J2271" s="68"/>
      <c r="K2271" s="32"/>
      <c r="L2271" s="75">
        <v>2271</v>
      </c>
      <c r="M2271" s="75"/>
      <c r="N2271" s="70"/>
      <c r="O2271" s="77" t="s">
        <v>179</v>
      </c>
      <c r="P2271" s="79">
        <v>45065.788136574076</v>
      </c>
      <c r="Q2271" s="77" t="s">
        <v>3050</v>
      </c>
      <c r="R2271" s="77">
        <v>0</v>
      </c>
      <c r="S2271" s="77">
        <v>1</v>
      </c>
      <c r="T2271" s="77">
        <v>0</v>
      </c>
      <c r="U2271" s="77">
        <v>0</v>
      </c>
      <c r="V2271" s="77">
        <v>71</v>
      </c>
      <c r="W2271" s="82" t="s">
        <v>6259</v>
      </c>
      <c r="X2271" s="80" t="str">
        <f>HYPERLINK("https://www.moneytimes.com.br/graos-commodities-afetam-duas-acoes-e-m-dias-branco-mdia3-comemora-saiba-o-que-plantar-na-safra-do-2t23/")</f>
        <v>https://www.moneytimes.com.br/graos-commodities-afetam-duas-acoes-e-m-dias-branco-mdia3-comemora-saiba-o-que-plantar-na-safra-do-2t23/</v>
      </c>
      <c r="Y2271" s="77" t="s">
        <v>7053</v>
      </c>
      <c r="Z2271" s="77"/>
      <c r="AA2271" s="77"/>
      <c r="AB2271" s="77"/>
      <c r="AC2271" s="82" t="s">
        <v>8255</v>
      </c>
      <c r="AD2271" s="77" t="s">
        <v>8278</v>
      </c>
      <c r="AE2271" s="80" t="str">
        <f>HYPERLINK("https://twitter.com/leiaagrotimes/status/1659633750106316822")</f>
        <v>https://twitter.com/leiaagrotimes/status/1659633750106316822</v>
      </c>
      <c r="AF2271" s="79">
        <v>45065.788136574076</v>
      </c>
      <c r="AG2271" s="85">
        <v>45065</v>
      </c>
      <c r="AH2271" s="82" t="s">
        <v>10336</v>
      </c>
      <c r="AI2271" s="77" t="b">
        <v>0</v>
      </c>
      <c r="AJ2271" s="77"/>
      <c r="AK2271" s="77"/>
      <c r="AL2271" s="77"/>
      <c r="AM2271" s="77"/>
      <c r="AN2271" s="77"/>
      <c r="AO2271" s="77"/>
      <c r="AP2271" s="77"/>
      <c r="AQ2271" s="77"/>
      <c r="AR2271" s="77"/>
      <c r="AS2271" s="77"/>
      <c r="AT2271" s="77"/>
      <c r="AU2271" s="77"/>
      <c r="AV2271" s="80" t="str">
        <f>HYPERLINK("https://pbs.twimg.com/profile_images/1365395023072817162/ZI8fAPrO_normal.jpg")</f>
        <v>https://pbs.twimg.com/profile_images/1365395023072817162/ZI8fAPrO_normal.jpg</v>
      </c>
      <c r="AW2271" s="82" t="s">
        <v>15356</v>
      </c>
      <c r="AX2271" s="82" t="s">
        <v>15356</v>
      </c>
      <c r="AY2271" s="77"/>
      <c r="AZ2271" s="82" t="s">
        <v>17385</v>
      </c>
      <c r="BA2271" s="82" t="s">
        <v>17385</v>
      </c>
      <c r="BB2271" s="82" t="s">
        <v>17385</v>
      </c>
      <c r="BC2271" s="82" t="s">
        <v>15356</v>
      </c>
      <c r="BD2271" s="82" t="s">
        <v>17641</v>
      </c>
      <c r="BE2271" s="77"/>
      <c r="BF2271" s="77"/>
      <c r="BG2271" s="77"/>
      <c r="BH2271" s="77"/>
      <c r="BI2271" s="77"/>
    </row>
    <row r="2272" spans="1:61" x14ac:dyDescent="0.25">
      <c r="A2272" s="62" t="s">
        <v>604</v>
      </c>
      <c r="B2272" s="62" t="s">
        <v>604</v>
      </c>
      <c r="C2272" s="63"/>
      <c r="D2272" s="64"/>
      <c r="E2272" s="65"/>
      <c r="F2272" s="66"/>
      <c r="G2272" s="63"/>
      <c r="H2272" s="67"/>
      <c r="I2272" s="68"/>
      <c r="J2272" s="68"/>
      <c r="K2272" s="32"/>
      <c r="L2272" s="75">
        <v>2272</v>
      </c>
      <c r="M2272" s="75"/>
      <c r="N2272" s="70"/>
      <c r="O2272" s="77" t="s">
        <v>179</v>
      </c>
      <c r="P2272" s="79">
        <v>45065.460370370369</v>
      </c>
      <c r="Q2272" s="77" t="s">
        <v>3051</v>
      </c>
      <c r="R2272" s="77">
        <v>0</v>
      </c>
      <c r="S2272" s="77">
        <v>0</v>
      </c>
      <c r="T2272" s="77">
        <v>0</v>
      </c>
      <c r="U2272" s="77">
        <v>0</v>
      </c>
      <c r="V2272" s="77">
        <v>44</v>
      </c>
      <c r="W2272" s="82" t="s">
        <v>6251</v>
      </c>
      <c r="X2272" s="80" t="str">
        <f>HYPERLINK("https://www.moneytimes.com.br/acoes-do-agronegocio-voam-solo-ou-ficam-na-cola-das-commodities-saia-da-duvida/")</f>
        <v>https://www.moneytimes.com.br/acoes-do-agronegocio-voam-solo-ou-ficam-na-cola-das-commodities-saia-da-duvida/</v>
      </c>
      <c r="Y2272" s="77" t="s">
        <v>7053</v>
      </c>
      <c r="Z2272" s="77"/>
      <c r="AA2272" s="77"/>
      <c r="AB2272" s="77"/>
      <c r="AC2272" s="82" t="s">
        <v>8255</v>
      </c>
      <c r="AD2272" s="77" t="s">
        <v>8278</v>
      </c>
      <c r="AE2272" s="80" t="str">
        <f>HYPERLINK("https://twitter.com/leiaagrotimes/status/1659514971351314435")</f>
        <v>https://twitter.com/leiaagrotimes/status/1659514971351314435</v>
      </c>
      <c r="AF2272" s="79">
        <v>45065.460370370369</v>
      </c>
      <c r="AG2272" s="85">
        <v>45065</v>
      </c>
      <c r="AH2272" s="82" t="s">
        <v>10337</v>
      </c>
      <c r="AI2272" s="77" t="b">
        <v>0</v>
      </c>
      <c r="AJ2272" s="77"/>
      <c r="AK2272" s="77"/>
      <c r="AL2272" s="77"/>
      <c r="AM2272" s="77"/>
      <c r="AN2272" s="77"/>
      <c r="AO2272" s="77"/>
      <c r="AP2272" s="77"/>
      <c r="AQ2272" s="77"/>
      <c r="AR2272" s="77"/>
      <c r="AS2272" s="77"/>
      <c r="AT2272" s="77"/>
      <c r="AU2272" s="77"/>
      <c r="AV2272" s="80" t="str">
        <f>HYPERLINK("https://pbs.twimg.com/profile_images/1365395023072817162/ZI8fAPrO_normal.jpg")</f>
        <v>https://pbs.twimg.com/profile_images/1365395023072817162/ZI8fAPrO_normal.jpg</v>
      </c>
      <c r="AW2272" s="82" t="s">
        <v>15357</v>
      </c>
      <c r="AX2272" s="82" t="s">
        <v>15357</v>
      </c>
      <c r="AY2272" s="77"/>
      <c r="AZ2272" s="82" t="s">
        <v>17385</v>
      </c>
      <c r="BA2272" s="82" t="s">
        <v>17385</v>
      </c>
      <c r="BB2272" s="82" t="s">
        <v>17385</v>
      </c>
      <c r="BC2272" s="82" t="s">
        <v>15357</v>
      </c>
      <c r="BD2272" s="82" t="s">
        <v>17641</v>
      </c>
      <c r="BE2272" s="77"/>
      <c r="BF2272" s="77"/>
      <c r="BG2272" s="77"/>
      <c r="BH2272" s="77"/>
      <c r="BI2272" s="77"/>
    </row>
    <row r="2273" spans="1:61" x14ac:dyDescent="0.25">
      <c r="A2273" s="62" t="s">
        <v>604</v>
      </c>
      <c r="B2273" s="62" t="s">
        <v>604</v>
      </c>
      <c r="C2273" s="63"/>
      <c r="D2273" s="64"/>
      <c r="E2273" s="65"/>
      <c r="F2273" s="66"/>
      <c r="G2273" s="63"/>
      <c r="H2273" s="67"/>
      <c r="I2273" s="68"/>
      <c r="J2273" s="68"/>
      <c r="K2273" s="32"/>
      <c r="L2273" s="75">
        <v>2273</v>
      </c>
      <c r="M2273" s="75"/>
      <c r="N2273" s="70"/>
      <c r="O2273" s="77" t="s">
        <v>179</v>
      </c>
      <c r="P2273" s="79">
        <v>45182.694895833331</v>
      </c>
      <c r="Q2273" s="77" t="s">
        <v>3052</v>
      </c>
      <c r="R2273" s="77">
        <v>0</v>
      </c>
      <c r="S2273" s="77">
        <v>1</v>
      </c>
      <c r="T2273" s="77">
        <v>0</v>
      </c>
      <c r="U2273" s="77">
        <v>0</v>
      </c>
      <c r="V2273" s="77">
        <v>79</v>
      </c>
      <c r="W2273" s="82" t="s">
        <v>6280</v>
      </c>
      <c r="X2273" s="80" t="str">
        <f>HYPERLINK("https://www.moneytimes.com.br/alianca-global-do-g20-para-biocombustiveis-os-efeitos-para-as-acoes-da-bolsa-segundo-a-warren/")</f>
        <v>https://www.moneytimes.com.br/alianca-global-do-g20-para-biocombustiveis-os-efeitos-para-as-acoes-da-bolsa-segundo-a-warren/</v>
      </c>
      <c r="Y2273" s="77" t="s">
        <v>7053</v>
      </c>
      <c r="Z2273" s="77"/>
      <c r="AA2273" s="77"/>
      <c r="AB2273" s="77"/>
      <c r="AC2273" s="82" t="s">
        <v>8255</v>
      </c>
      <c r="AD2273" s="77" t="s">
        <v>8278</v>
      </c>
      <c r="AE2273" s="80" t="str">
        <f>HYPERLINK("https://twitter.com/leiaagrotimes/status/1701999341458674076")</f>
        <v>https://twitter.com/leiaagrotimes/status/1701999341458674076</v>
      </c>
      <c r="AF2273" s="79">
        <v>45182.694895833331</v>
      </c>
      <c r="AG2273" s="85">
        <v>45182</v>
      </c>
      <c r="AH2273" s="82" t="s">
        <v>10338</v>
      </c>
      <c r="AI2273" s="77" t="b">
        <v>0</v>
      </c>
      <c r="AJ2273" s="77"/>
      <c r="AK2273" s="77"/>
      <c r="AL2273" s="77"/>
      <c r="AM2273" s="77"/>
      <c r="AN2273" s="77"/>
      <c r="AO2273" s="77"/>
      <c r="AP2273" s="77"/>
      <c r="AQ2273" s="77"/>
      <c r="AR2273" s="77"/>
      <c r="AS2273" s="77"/>
      <c r="AT2273" s="77"/>
      <c r="AU2273" s="77"/>
      <c r="AV2273" s="80" t="str">
        <f>HYPERLINK("https://pbs.twimg.com/profile_images/1365395023072817162/ZI8fAPrO_normal.jpg")</f>
        <v>https://pbs.twimg.com/profile_images/1365395023072817162/ZI8fAPrO_normal.jpg</v>
      </c>
      <c r="AW2273" s="82" t="s">
        <v>15358</v>
      </c>
      <c r="AX2273" s="82" t="s">
        <v>15358</v>
      </c>
      <c r="AY2273" s="77"/>
      <c r="AZ2273" s="82" t="s">
        <v>17385</v>
      </c>
      <c r="BA2273" s="82" t="s">
        <v>17385</v>
      </c>
      <c r="BB2273" s="82" t="s">
        <v>17385</v>
      </c>
      <c r="BC2273" s="82" t="s">
        <v>15358</v>
      </c>
      <c r="BD2273" s="82" t="s">
        <v>17641</v>
      </c>
      <c r="BE2273" s="77"/>
      <c r="BF2273" s="77"/>
      <c r="BG2273" s="77"/>
      <c r="BH2273" s="77"/>
      <c r="BI2273" s="77"/>
    </row>
    <row r="2274" spans="1:61" x14ac:dyDescent="0.25">
      <c r="A2274" s="62" t="s">
        <v>604</v>
      </c>
      <c r="B2274" s="62" t="s">
        <v>604</v>
      </c>
      <c r="C2274" s="63"/>
      <c r="D2274" s="64"/>
      <c r="E2274" s="65"/>
      <c r="F2274" s="66"/>
      <c r="G2274" s="63"/>
      <c r="H2274" s="67"/>
      <c r="I2274" s="68"/>
      <c r="J2274" s="68"/>
      <c r="K2274" s="32"/>
      <c r="L2274" s="75">
        <v>2274</v>
      </c>
      <c r="M2274" s="75"/>
      <c r="N2274" s="70"/>
      <c r="O2274" s="77" t="s">
        <v>179</v>
      </c>
      <c r="P2274" s="79">
        <v>45181.721342592595</v>
      </c>
      <c r="Q2274" s="77" t="s">
        <v>3053</v>
      </c>
      <c r="R2274" s="77">
        <v>0</v>
      </c>
      <c r="S2274" s="77">
        <v>0</v>
      </c>
      <c r="T2274" s="77">
        <v>0</v>
      </c>
      <c r="U2274" s="77">
        <v>0</v>
      </c>
      <c r="V2274" s="77">
        <v>67</v>
      </c>
      <c r="W2274" s="82" t="s">
        <v>6251</v>
      </c>
      <c r="X2274" s="80" t="str">
        <f>HYPERLINK("https://www.moneytimes.com.br/rumo-rail3-revela-como-aumentara-receitas-em-2024-sem-gap-de-tarifa-de-trens/")</f>
        <v>https://www.moneytimes.com.br/rumo-rail3-revela-como-aumentara-receitas-em-2024-sem-gap-de-tarifa-de-trens/</v>
      </c>
      <c r="Y2274" s="77" t="s">
        <v>7053</v>
      </c>
      <c r="Z2274" s="77"/>
      <c r="AA2274" s="77"/>
      <c r="AB2274" s="77"/>
      <c r="AC2274" s="82" t="s">
        <v>8255</v>
      </c>
      <c r="AD2274" s="77" t="s">
        <v>8278</v>
      </c>
      <c r="AE2274" s="80" t="str">
        <f>HYPERLINK("https://twitter.com/leiaagrotimes/status/1701646537695146093")</f>
        <v>https://twitter.com/leiaagrotimes/status/1701646537695146093</v>
      </c>
      <c r="AF2274" s="79">
        <v>45181.721342592595</v>
      </c>
      <c r="AG2274" s="85">
        <v>45181</v>
      </c>
      <c r="AH2274" s="82" t="s">
        <v>10339</v>
      </c>
      <c r="AI2274" s="77" t="b">
        <v>0</v>
      </c>
      <c r="AJ2274" s="77"/>
      <c r="AK2274" s="77"/>
      <c r="AL2274" s="77"/>
      <c r="AM2274" s="77"/>
      <c r="AN2274" s="77"/>
      <c r="AO2274" s="77"/>
      <c r="AP2274" s="77"/>
      <c r="AQ2274" s="77"/>
      <c r="AR2274" s="77"/>
      <c r="AS2274" s="77"/>
      <c r="AT2274" s="77"/>
      <c r="AU2274" s="77"/>
      <c r="AV2274" s="80" t="str">
        <f>HYPERLINK("https://pbs.twimg.com/profile_images/1365395023072817162/ZI8fAPrO_normal.jpg")</f>
        <v>https://pbs.twimg.com/profile_images/1365395023072817162/ZI8fAPrO_normal.jpg</v>
      </c>
      <c r="AW2274" s="82" t="s">
        <v>15359</v>
      </c>
      <c r="AX2274" s="82" t="s">
        <v>15359</v>
      </c>
      <c r="AY2274" s="77"/>
      <c r="AZ2274" s="82" t="s">
        <v>17385</v>
      </c>
      <c r="BA2274" s="82" t="s">
        <v>17385</v>
      </c>
      <c r="BB2274" s="82" t="s">
        <v>17385</v>
      </c>
      <c r="BC2274" s="82" t="s">
        <v>15359</v>
      </c>
      <c r="BD2274" s="82" t="s">
        <v>17641</v>
      </c>
      <c r="BE2274" s="77"/>
      <c r="BF2274" s="77"/>
      <c r="BG2274" s="77"/>
      <c r="BH2274" s="77"/>
      <c r="BI2274" s="77"/>
    </row>
    <row r="2275" spans="1:61" x14ac:dyDescent="0.25">
      <c r="A2275" s="62" t="s">
        <v>604</v>
      </c>
      <c r="B2275" s="62" t="s">
        <v>604</v>
      </c>
      <c r="C2275" s="63"/>
      <c r="D2275" s="64"/>
      <c r="E2275" s="65"/>
      <c r="F2275" s="66"/>
      <c r="G2275" s="63"/>
      <c r="H2275" s="67"/>
      <c r="I2275" s="68"/>
      <c r="J2275" s="68"/>
      <c r="K2275" s="32"/>
      <c r="L2275" s="75">
        <v>2275</v>
      </c>
      <c r="M2275" s="75"/>
      <c r="N2275" s="70"/>
      <c r="O2275" s="77" t="s">
        <v>179</v>
      </c>
      <c r="P2275" s="79">
        <v>45181.579525462963</v>
      </c>
      <c r="Q2275" s="77" t="s">
        <v>3054</v>
      </c>
      <c r="R2275" s="77">
        <v>0</v>
      </c>
      <c r="S2275" s="77">
        <v>0</v>
      </c>
      <c r="T2275" s="77">
        <v>0</v>
      </c>
      <c r="U2275" s="77">
        <v>0</v>
      </c>
      <c r="V2275" s="77">
        <v>104</v>
      </c>
      <c r="W2275" s="82" t="s">
        <v>6281</v>
      </c>
      <c r="X2275" s="80" t="str">
        <f>HYPERLINK("https://www.moneytimes.com.br/cosan-csan3-ceo-destaca-vantagem-competitiva-e-tiro-certo-em-diamante-verde-entenda/")</f>
        <v>https://www.moneytimes.com.br/cosan-csan3-ceo-destaca-vantagem-competitiva-e-tiro-certo-em-diamante-verde-entenda/</v>
      </c>
      <c r="Y2275" s="77" t="s">
        <v>7053</v>
      </c>
      <c r="Z2275" s="77"/>
      <c r="AA2275" s="77"/>
      <c r="AB2275" s="77"/>
      <c r="AC2275" s="82" t="s">
        <v>8255</v>
      </c>
      <c r="AD2275" s="77" t="s">
        <v>8278</v>
      </c>
      <c r="AE2275" s="80" t="str">
        <f>HYPERLINK("https://twitter.com/leiaagrotimes/status/1701595146247401977")</f>
        <v>https://twitter.com/leiaagrotimes/status/1701595146247401977</v>
      </c>
      <c r="AF2275" s="79">
        <v>45181.579525462963</v>
      </c>
      <c r="AG2275" s="85">
        <v>45181</v>
      </c>
      <c r="AH2275" s="82" t="s">
        <v>10340</v>
      </c>
      <c r="AI2275" s="77" t="b">
        <v>0</v>
      </c>
      <c r="AJ2275" s="77"/>
      <c r="AK2275" s="77"/>
      <c r="AL2275" s="77"/>
      <c r="AM2275" s="77"/>
      <c r="AN2275" s="77"/>
      <c r="AO2275" s="77"/>
      <c r="AP2275" s="77"/>
      <c r="AQ2275" s="77"/>
      <c r="AR2275" s="77"/>
      <c r="AS2275" s="77"/>
      <c r="AT2275" s="77"/>
      <c r="AU2275" s="77"/>
      <c r="AV2275" s="80" t="str">
        <f>HYPERLINK("https://pbs.twimg.com/profile_images/1365395023072817162/ZI8fAPrO_normal.jpg")</f>
        <v>https://pbs.twimg.com/profile_images/1365395023072817162/ZI8fAPrO_normal.jpg</v>
      </c>
      <c r="AW2275" s="82" t="s">
        <v>15360</v>
      </c>
      <c r="AX2275" s="82" t="s">
        <v>15360</v>
      </c>
      <c r="AY2275" s="77"/>
      <c r="AZ2275" s="82" t="s">
        <v>17385</v>
      </c>
      <c r="BA2275" s="82" t="s">
        <v>17385</v>
      </c>
      <c r="BB2275" s="82" t="s">
        <v>17385</v>
      </c>
      <c r="BC2275" s="82" t="s">
        <v>15360</v>
      </c>
      <c r="BD2275" s="82" t="s">
        <v>17641</v>
      </c>
      <c r="BE2275" s="77"/>
      <c r="BF2275" s="77"/>
      <c r="BG2275" s="77"/>
      <c r="BH2275" s="77"/>
      <c r="BI2275" s="77"/>
    </row>
    <row r="2276" spans="1:61" x14ac:dyDescent="0.25">
      <c r="A2276" s="62" t="s">
        <v>604</v>
      </c>
      <c r="B2276" s="62" t="s">
        <v>604</v>
      </c>
      <c r="C2276" s="63"/>
      <c r="D2276" s="64"/>
      <c r="E2276" s="65"/>
      <c r="F2276" s="66"/>
      <c r="G2276" s="63"/>
      <c r="H2276" s="67"/>
      <c r="I2276" s="68"/>
      <c r="J2276" s="68"/>
      <c r="K2276" s="32"/>
      <c r="L2276" s="75">
        <v>2276</v>
      </c>
      <c r="M2276" s="75"/>
      <c r="N2276" s="70"/>
      <c r="O2276" s="77" t="s">
        <v>179</v>
      </c>
      <c r="P2276" s="79">
        <v>45180.794108796297</v>
      </c>
      <c r="Q2276" s="77" t="s">
        <v>3055</v>
      </c>
      <c r="R2276" s="77">
        <v>0</v>
      </c>
      <c r="S2276" s="77">
        <v>0</v>
      </c>
      <c r="T2276" s="77">
        <v>0</v>
      </c>
      <c r="U2276" s="77">
        <v>0</v>
      </c>
      <c r="V2276" s="77">
        <v>55</v>
      </c>
      <c r="W2276" s="82" t="s">
        <v>6256</v>
      </c>
      <c r="X2276" s="80" t="str">
        <f>HYPERLINK("https://www.moneytimes.com.br/as-3-acoes-do-agro-que-esfregam-as-maos-com-alta-do-acucar-segundo-corretora/")</f>
        <v>https://www.moneytimes.com.br/as-3-acoes-do-agro-que-esfregam-as-maos-com-alta-do-acucar-segundo-corretora/</v>
      </c>
      <c r="Y2276" s="77" t="s">
        <v>7053</v>
      </c>
      <c r="Z2276" s="77"/>
      <c r="AA2276" s="77"/>
      <c r="AB2276" s="77"/>
      <c r="AC2276" s="82" t="s">
        <v>8255</v>
      </c>
      <c r="AD2276" s="77" t="s">
        <v>8278</v>
      </c>
      <c r="AE2276" s="80" t="str">
        <f>HYPERLINK("https://twitter.com/leiaagrotimes/status/1701310521851449663")</f>
        <v>https://twitter.com/leiaagrotimes/status/1701310521851449663</v>
      </c>
      <c r="AF2276" s="79">
        <v>45180.794108796297</v>
      </c>
      <c r="AG2276" s="85">
        <v>45180</v>
      </c>
      <c r="AH2276" s="82" t="s">
        <v>8940</v>
      </c>
      <c r="AI2276" s="77" t="b">
        <v>0</v>
      </c>
      <c r="AJ2276" s="77"/>
      <c r="AK2276" s="77"/>
      <c r="AL2276" s="77"/>
      <c r="AM2276" s="77"/>
      <c r="AN2276" s="77"/>
      <c r="AO2276" s="77"/>
      <c r="AP2276" s="77"/>
      <c r="AQ2276" s="77"/>
      <c r="AR2276" s="77"/>
      <c r="AS2276" s="77"/>
      <c r="AT2276" s="77"/>
      <c r="AU2276" s="77"/>
      <c r="AV2276" s="80" t="str">
        <f>HYPERLINK("https://pbs.twimg.com/profile_images/1365395023072817162/ZI8fAPrO_normal.jpg")</f>
        <v>https://pbs.twimg.com/profile_images/1365395023072817162/ZI8fAPrO_normal.jpg</v>
      </c>
      <c r="AW2276" s="82" t="s">
        <v>15361</v>
      </c>
      <c r="AX2276" s="82" t="s">
        <v>15361</v>
      </c>
      <c r="AY2276" s="77"/>
      <c r="AZ2276" s="82" t="s">
        <v>17385</v>
      </c>
      <c r="BA2276" s="82" t="s">
        <v>17385</v>
      </c>
      <c r="BB2276" s="82" t="s">
        <v>17385</v>
      </c>
      <c r="BC2276" s="82" t="s">
        <v>15361</v>
      </c>
      <c r="BD2276" s="82" t="s">
        <v>17641</v>
      </c>
      <c r="BE2276" s="77"/>
      <c r="BF2276" s="77"/>
      <c r="BG2276" s="77"/>
      <c r="BH2276" s="77"/>
      <c r="BI2276" s="77"/>
    </row>
    <row r="2277" spans="1:61" x14ac:dyDescent="0.25">
      <c r="A2277" s="62" t="s">
        <v>604</v>
      </c>
      <c r="B2277" s="62" t="s">
        <v>604</v>
      </c>
      <c r="C2277" s="63"/>
      <c r="D2277" s="64"/>
      <c r="E2277" s="65"/>
      <c r="F2277" s="66"/>
      <c r="G2277" s="63"/>
      <c r="H2277" s="67"/>
      <c r="I2277" s="68"/>
      <c r="J2277" s="68"/>
      <c r="K2277" s="32"/>
      <c r="L2277" s="75">
        <v>2277</v>
      </c>
      <c r="M2277" s="75"/>
      <c r="N2277" s="70"/>
      <c r="O2277" s="77" t="s">
        <v>179</v>
      </c>
      <c r="P2277" s="79">
        <v>45180.757094907407</v>
      </c>
      <c r="Q2277" s="77" t="s">
        <v>3056</v>
      </c>
      <c r="R2277" s="77">
        <v>0</v>
      </c>
      <c r="S2277" s="77">
        <v>0</v>
      </c>
      <c r="T2277" s="77">
        <v>0</v>
      </c>
      <c r="U2277" s="77">
        <v>0</v>
      </c>
      <c r="V2277" s="77">
        <v>74</v>
      </c>
      <c r="W2277" s="82" t="s">
        <v>6259</v>
      </c>
      <c r="X2277" s="80" t="str">
        <f>HYPERLINK("https://www.moneytimes.com.br/suzano-suzb3-empresa-que-mais-gera-bilionarios-no-agronegocio-esta-listada-na-b3-acao-tem-posicao-comprada-forte/")</f>
        <v>https://www.moneytimes.com.br/suzano-suzb3-empresa-que-mais-gera-bilionarios-no-agronegocio-esta-listada-na-b3-acao-tem-posicao-comprada-forte/</v>
      </c>
      <c r="Y2277" s="77" t="s">
        <v>7053</v>
      </c>
      <c r="Z2277" s="77"/>
      <c r="AA2277" s="77"/>
      <c r="AB2277" s="77"/>
      <c r="AC2277" s="82" t="s">
        <v>8255</v>
      </c>
      <c r="AD2277" s="77" t="s">
        <v>8278</v>
      </c>
      <c r="AE2277" s="80" t="str">
        <f>HYPERLINK("https://twitter.com/leiaagrotimes/status/1701297106642718873")</f>
        <v>https://twitter.com/leiaagrotimes/status/1701297106642718873</v>
      </c>
      <c r="AF2277" s="79">
        <v>45180.757094907407</v>
      </c>
      <c r="AG2277" s="85">
        <v>45180</v>
      </c>
      <c r="AH2277" s="82" t="s">
        <v>10341</v>
      </c>
      <c r="AI2277" s="77" t="b">
        <v>0</v>
      </c>
      <c r="AJ2277" s="77"/>
      <c r="AK2277" s="77"/>
      <c r="AL2277" s="77"/>
      <c r="AM2277" s="77"/>
      <c r="AN2277" s="77"/>
      <c r="AO2277" s="77"/>
      <c r="AP2277" s="77"/>
      <c r="AQ2277" s="77"/>
      <c r="AR2277" s="77"/>
      <c r="AS2277" s="77"/>
      <c r="AT2277" s="77"/>
      <c r="AU2277" s="77"/>
      <c r="AV2277" s="80" t="str">
        <f>HYPERLINK("https://pbs.twimg.com/profile_images/1365395023072817162/ZI8fAPrO_normal.jpg")</f>
        <v>https://pbs.twimg.com/profile_images/1365395023072817162/ZI8fAPrO_normal.jpg</v>
      </c>
      <c r="AW2277" s="82" t="s">
        <v>15362</v>
      </c>
      <c r="AX2277" s="82" t="s">
        <v>15362</v>
      </c>
      <c r="AY2277" s="77"/>
      <c r="AZ2277" s="82" t="s">
        <v>17385</v>
      </c>
      <c r="BA2277" s="82" t="s">
        <v>17385</v>
      </c>
      <c r="BB2277" s="82" t="s">
        <v>17385</v>
      </c>
      <c r="BC2277" s="82" t="s">
        <v>15362</v>
      </c>
      <c r="BD2277" s="82" t="s">
        <v>17641</v>
      </c>
      <c r="BE2277" s="77"/>
      <c r="BF2277" s="77"/>
      <c r="BG2277" s="77"/>
      <c r="BH2277" s="77"/>
      <c r="BI2277" s="77"/>
    </row>
    <row r="2278" spans="1:61" x14ac:dyDescent="0.25">
      <c r="A2278" s="62" t="s">
        <v>604</v>
      </c>
      <c r="B2278" s="62" t="s">
        <v>604</v>
      </c>
      <c r="C2278" s="63"/>
      <c r="D2278" s="64"/>
      <c r="E2278" s="65"/>
      <c r="F2278" s="66"/>
      <c r="G2278" s="63"/>
      <c r="H2278" s="67"/>
      <c r="I2278" s="68"/>
      <c r="J2278" s="68"/>
      <c r="K2278" s="32"/>
      <c r="L2278" s="75">
        <v>2278</v>
      </c>
      <c r="M2278" s="75"/>
      <c r="N2278" s="70"/>
      <c r="O2278" s="77" t="s">
        <v>179</v>
      </c>
      <c r="P2278" s="79">
        <v>45178.625810185185</v>
      </c>
      <c r="Q2278" s="77" t="s">
        <v>3057</v>
      </c>
      <c r="R2278" s="77">
        <v>0</v>
      </c>
      <c r="S2278" s="77">
        <v>0</v>
      </c>
      <c r="T2278" s="77">
        <v>0</v>
      </c>
      <c r="U2278" s="77">
        <v>0</v>
      </c>
      <c r="V2278" s="77">
        <v>133</v>
      </c>
      <c r="W2278" s="82" t="s">
        <v>6251</v>
      </c>
      <c r="X2278" s="80" t="str">
        <f>HYPERLINK("https://www.moneytimes.com.br/hidrovias-do-brasil-hbsa3-ou-rumo-rail3-qual-e-a-melhor-acao-para-investir-agora/")</f>
        <v>https://www.moneytimes.com.br/hidrovias-do-brasil-hbsa3-ou-rumo-rail3-qual-e-a-melhor-acao-para-investir-agora/</v>
      </c>
      <c r="Y2278" s="77" t="s">
        <v>7053</v>
      </c>
      <c r="Z2278" s="77"/>
      <c r="AA2278" s="77"/>
      <c r="AB2278" s="77"/>
      <c r="AC2278" s="82" t="s">
        <v>8255</v>
      </c>
      <c r="AD2278" s="77" t="s">
        <v>8278</v>
      </c>
      <c r="AE2278" s="80" t="str">
        <f>HYPERLINK("https://twitter.com/leiaagrotimes/status/1700524754493411382")</f>
        <v>https://twitter.com/leiaagrotimes/status/1700524754493411382</v>
      </c>
      <c r="AF2278" s="79">
        <v>45178.625810185185</v>
      </c>
      <c r="AG2278" s="85">
        <v>45178</v>
      </c>
      <c r="AH2278" s="82" t="s">
        <v>10342</v>
      </c>
      <c r="AI2278" s="77" t="b">
        <v>0</v>
      </c>
      <c r="AJ2278" s="77"/>
      <c r="AK2278" s="77"/>
      <c r="AL2278" s="77"/>
      <c r="AM2278" s="77"/>
      <c r="AN2278" s="77"/>
      <c r="AO2278" s="77"/>
      <c r="AP2278" s="77"/>
      <c r="AQ2278" s="77"/>
      <c r="AR2278" s="77"/>
      <c r="AS2278" s="77"/>
      <c r="AT2278" s="77"/>
      <c r="AU2278" s="77"/>
      <c r="AV2278" s="80" t="str">
        <f>HYPERLINK("https://pbs.twimg.com/profile_images/1365395023072817162/ZI8fAPrO_normal.jpg")</f>
        <v>https://pbs.twimg.com/profile_images/1365395023072817162/ZI8fAPrO_normal.jpg</v>
      </c>
      <c r="AW2278" s="82" t="s">
        <v>15363</v>
      </c>
      <c r="AX2278" s="82" t="s">
        <v>15363</v>
      </c>
      <c r="AY2278" s="77"/>
      <c r="AZ2278" s="82" t="s">
        <v>17385</v>
      </c>
      <c r="BA2278" s="82" t="s">
        <v>17385</v>
      </c>
      <c r="BB2278" s="82" t="s">
        <v>17385</v>
      </c>
      <c r="BC2278" s="82" t="s">
        <v>15363</v>
      </c>
      <c r="BD2278" s="82" t="s">
        <v>17641</v>
      </c>
      <c r="BE2278" s="77"/>
      <c r="BF2278" s="77"/>
      <c r="BG2278" s="77"/>
      <c r="BH2278" s="77"/>
      <c r="BI2278" s="77"/>
    </row>
    <row r="2279" spans="1:61" x14ac:dyDescent="0.25">
      <c r="A2279" s="62" t="s">
        <v>604</v>
      </c>
      <c r="B2279" s="62" t="s">
        <v>604</v>
      </c>
      <c r="C2279" s="63"/>
      <c r="D2279" s="64"/>
      <c r="E2279" s="65"/>
      <c r="F2279" s="66"/>
      <c r="G2279" s="63"/>
      <c r="H2279" s="67"/>
      <c r="I2279" s="68"/>
      <c r="J2279" s="68"/>
      <c r="K2279" s="32"/>
      <c r="L2279" s="75">
        <v>2279</v>
      </c>
      <c r="M2279" s="75"/>
      <c r="N2279" s="70"/>
      <c r="O2279" s="77" t="s">
        <v>179</v>
      </c>
      <c r="P2279" s="79">
        <v>45174.849236111113</v>
      </c>
      <c r="Q2279" s="77" t="s">
        <v>3058</v>
      </c>
      <c r="R2279" s="77">
        <v>0</v>
      </c>
      <c r="S2279" s="77">
        <v>0</v>
      </c>
      <c r="T2279" s="77">
        <v>0</v>
      </c>
      <c r="U2279" s="77">
        <v>0</v>
      </c>
      <c r="V2279" s="77">
        <v>95</v>
      </c>
      <c r="W2279" s="82" t="s">
        <v>6260</v>
      </c>
      <c r="X2279" s="80" t="str">
        <f>HYPERLINK("https://www.moneytimes.com.br/o-motivo-por-tras-das-altas-para-raizen-raiz4-e-sao-martinho-smto3-nesta-terca-5/")</f>
        <v>https://www.moneytimes.com.br/o-motivo-por-tras-das-altas-para-raizen-raiz4-e-sao-martinho-smto3-nesta-terca-5/</v>
      </c>
      <c r="Y2279" s="77" t="s">
        <v>7053</v>
      </c>
      <c r="Z2279" s="77"/>
      <c r="AA2279" s="77"/>
      <c r="AB2279" s="77"/>
      <c r="AC2279" s="82" t="s">
        <v>8255</v>
      </c>
      <c r="AD2279" s="77" t="s">
        <v>8278</v>
      </c>
      <c r="AE2279" s="80" t="str">
        <f>HYPERLINK("https://twitter.com/leiaagrotimes/status/1699156170722685274")</f>
        <v>https://twitter.com/leiaagrotimes/status/1699156170722685274</v>
      </c>
      <c r="AF2279" s="79">
        <v>45174.849236111113</v>
      </c>
      <c r="AG2279" s="85">
        <v>45174</v>
      </c>
      <c r="AH2279" s="82" t="s">
        <v>10343</v>
      </c>
      <c r="AI2279" s="77" t="b">
        <v>0</v>
      </c>
      <c r="AJ2279" s="77"/>
      <c r="AK2279" s="77"/>
      <c r="AL2279" s="77"/>
      <c r="AM2279" s="77"/>
      <c r="AN2279" s="77"/>
      <c r="AO2279" s="77"/>
      <c r="AP2279" s="77"/>
      <c r="AQ2279" s="77"/>
      <c r="AR2279" s="77"/>
      <c r="AS2279" s="77"/>
      <c r="AT2279" s="77"/>
      <c r="AU2279" s="77"/>
      <c r="AV2279" s="80" t="str">
        <f>HYPERLINK("https://pbs.twimg.com/profile_images/1365395023072817162/ZI8fAPrO_normal.jpg")</f>
        <v>https://pbs.twimg.com/profile_images/1365395023072817162/ZI8fAPrO_normal.jpg</v>
      </c>
      <c r="AW2279" s="82" t="s">
        <v>15364</v>
      </c>
      <c r="AX2279" s="82" t="s">
        <v>15364</v>
      </c>
      <c r="AY2279" s="77"/>
      <c r="AZ2279" s="82" t="s">
        <v>17385</v>
      </c>
      <c r="BA2279" s="82" t="s">
        <v>17385</v>
      </c>
      <c r="BB2279" s="82" t="s">
        <v>17385</v>
      </c>
      <c r="BC2279" s="82" t="s">
        <v>15364</v>
      </c>
      <c r="BD2279" s="82" t="s">
        <v>17641</v>
      </c>
      <c r="BE2279" s="77"/>
      <c r="BF2279" s="77"/>
      <c r="BG2279" s="77"/>
      <c r="BH2279" s="77"/>
      <c r="BI2279" s="77"/>
    </row>
    <row r="2280" spans="1:61" x14ac:dyDescent="0.25">
      <c r="A2280" s="62" t="s">
        <v>604</v>
      </c>
      <c r="B2280" s="62" t="s">
        <v>604</v>
      </c>
      <c r="C2280" s="63"/>
      <c r="D2280" s="64"/>
      <c r="E2280" s="65"/>
      <c r="F2280" s="66"/>
      <c r="G2280" s="63"/>
      <c r="H2280" s="67"/>
      <c r="I2280" s="68"/>
      <c r="J2280" s="68"/>
      <c r="K2280" s="32"/>
      <c r="L2280" s="75">
        <v>2280</v>
      </c>
      <c r="M2280" s="75"/>
      <c r="N2280" s="70"/>
      <c r="O2280" s="77" t="s">
        <v>179</v>
      </c>
      <c r="P2280" s="79">
        <v>45174.766377314816</v>
      </c>
      <c r="Q2280" s="77" t="s">
        <v>3059</v>
      </c>
      <c r="R2280" s="77">
        <v>0</v>
      </c>
      <c r="S2280" s="77">
        <v>1</v>
      </c>
      <c r="T2280" s="77">
        <v>0</v>
      </c>
      <c r="U2280" s="77">
        <v>0</v>
      </c>
      <c r="V2280" s="77">
        <v>165</v>
      </c>
      <c r="W2280" s="82" t="s">
        <v>6251</v>
      </c>
      <c r="X2280" s="80" t="str">
        <f>HYPERLINK("https://www.moneytimes.com.br/jbs-jbss3-minerva-beef3-e-marfrig-mrfg3-banco-gringo-destaca-ciclo-positivo-para-frigorificos-ate-2024-o-que-fazer/")</f>
        <v>https://www.moneytimes.com.br/jbs-jbss3-minerva-beef3-e-marfrig-mrfg3-banco-gringo-destaca-ciclo-positivo-para-frigorificos-ate-2024-o-que-fazer/</v>
      </c>
      <c r="Y2280" s="77" t="s">
        <v>7053</v>
      </c>
      <c r="Z2280" s="77"/>
      <c r="AA2280" s="77"/>
      <c r="AB2280" s="77"/>
      <c r="AC2280" s="82" t="s">
        <v>8255</v>
      </c>
      <c r="AD2280" s="77" t="s">
        <v>8278</v>
      </c>
      <c r="AE2280" s="80" t="str">
        <f>HYPERLINK("https://twitter.com/leiaagrotimes/status/1699126142811193419")</f>
        <v>https://twitter.com/leiaagrotimes/status/1699126142811193419</v>
      </c>
      <c r="AF2280" s="79">
        <v>45174.766377314816</v>
      </c>
      <c r="AG2280" s="85">
        <v>45174</v>
      </c>
      <c r="AH2280" s="82" t="s">
        <v>10344</v>
      </c>
      <c r="AI2280" s="77" t="b">
        <v>0</v>
      </c>
      <c r="AJ2280" s="77"/>
      <c r="AK2280" s="77"/>
      <c r="AL2280" s="77"/>
      <c r="AM2280" s="77"/>
      <c r="AN2280" s="77"/>
      <c r="AO2280" s="77"/>
      <c r="AP2280" s="77"/>
      <c r="AQ2280" s="77"/>
      <c r="AR2280" s="77"/>
      <c r="AS2280" s="77"/>
      <c r="AT2280" s="77"/>
      <c r="AU2280" s="77"/>
      <c r="AV2280" s="80" t="str">
        <f>HYPERLINK("https://pbs.twimg.com/profile_images/1365395023072817162/ZI8fAPrO_normal.jpg")</f>
        <v>https://pbs.twimg.com/profile_images/1365395023072817162/ZI8fAPrO_normal.jpg</v>
      </c>
      <c r="AW2280" s="82" t="s">
        <v>15365</v>
      </c>
      <c r="AX2280" s="82" t="s">
        <v>15365</v>
      </c>
      <c r="AY2280" s="77"/>
      <c r="AZ2280" s="82" t="s">
        <v>17385</v>
      </c>
      <c r="BA2280" s="82" t="s">
        <v>17385</v>
      </c>
      <c r="BB2280" s="82" t="s">
        <v>17385</v>
      </c>
      <c r="BC2280" s="82" t="s">
        <v>15365</v>
      </c>
      <c r="BD2280" s="82" t="s">
        <v>17641</v>
      </c>
      <c r="BE2280" s="77"/>
      <c r="BF2280" s="77"/>
      <c r="BG2280" s="77"/>
      <c r="BH2280" s="77"/>
      <c r="BI2280" s="77"/>
    </row>
    <row r="2281" spans="1:61" x14ac:dyDescent="0.25">
      <c r="A2281" s="62" t="s">
        <v>604</v>
      </c>
      <c r="B2281" s="62" t="s">
        <v>604</v>
      </c>
      <c r="C2281" s="63"/>
      <c r="D2281" s="64"/>
      <c r="E2281" s="65"/>
      <c r="F2281" s="66"/>
      <c r="G2281" s="63"/>
      <c r="H2281" s="67"/>
      <c r="I2281" s="68"/>
      <c r="J2281" s="68"/>
      <c r="K2281" s="32"/>
      <c r="L2281" s="75">
        <v>2281</v>
      </c>
      <c r="M2281" s="75"/>
      <c r="N2281" s="70"/>
      <c r="O2281" s="77" t="s">
        <v>179</v>
      </c>
      <c r="P2281" s="79">
        <v>45174.725891203707</v>
      </c>
      <c r="Q2281" s="77" t="s">
        <v>3060</v>
      </c>
      <c r="R2281" s="77">
        <v>0</v>
      </c>
      <c r="S2281" s="77">
        <v>1</v>
      </c>
      <c r="T2281" s="77">
        <v>0</v>
      </c>
      <c r="U2281" s="77">
        <v>0</v>
      </c>
      <c r="V2281" s="77">
        <v>93</v>
      </c>
      <c r="W2281" s="82" t="s">
        <v>6259</v>
      </c>
      <c r="X2281" s="80" t="str">
        <f>HYPERLINK("https://www.moneytimes.com.br/hidrovais-do-brasil-hbsa3-itau-bba-revisa-preco-alvo-de-acao-do-agro-de-r-3-para-r-550-papel-ja-dispara-5-terca-feira-05-09-2023/")</f>
        <v>https://www.moneytimes.com.br/hidrovais-do-brasil-hbsa3-itau-bba-revisa-preco-alvo-de-acao-do-agro-de-r-3-para-r-550-papel-ja-dispara-5-terca-feira-05-09-2023/</v>
      </c>
      <c r="Y2281" s="77" t="s">
        <v>7053</v>
      </c>
      <c r="Z2281" s="77"/>
      <c r="AA2281" s="77"/>
      <c r="AB2281" s="77"/>
      <c r="AC2281" s="82" t="s">
        <v>8255</v>
      </c>
      <c r="AD2281" s="77" t="s">
        <v>8278</v>
      </c>
      <c r="AE2281" s="80" t="str">
        <f>HYPERLINK("https://twitter.com/leiaagrotimes/status/1699111470661857670")</f>
        <v>https://twitter.com/leiaagrotimes/status/1699111470661857670</v>
      </c>
      <c r="AF2281" s="79">
        <v>45174.725891203707</v>
      </c>
      <c r="AG2281" s="85">
        <v>45174</v>
      </c>
      <c r="AH2281" s="82" t="s">
        <v>10345</v>
      </c>
      <c r="AI2281" s="77" t="b">
        <v>0</v>
      </c>
      <c r="AJ2281" s="77"/>
      <c r="AK2281" s="77"/>
      <c r="AL2281" s="77"/>
      <c r="AM2281" s="77"/>
      <c r="AN2281" s="77"/>
      <c r="AO2281" s="77"/>
      <c r="AP2281" s="77"/>
      <c r="AQ2281" s="77"/>
      <c r="AR2281" s="77"/>
      <c r="AS2281" s="77"/>
      <c r="AT2281" s="77"/>
      <c r="AU2281" s="77"/>
      <c r="AV2281" s="80" t="str">
        <f>HYPERLINK("https://pbs.twimg.com/profile_images/1365395023072817162/ZI8fAPrO_normal.jpg")</f>
        <v>https://pbs.twimg.com/profile_images/1365395023072817162/ZI8fAPrO_normal.jpg</v>
      </c>
      <c r="AW2281" s="82" t="s">
        <v>15366</v>
      </c>
      <c r="AX2281" s="82" t="s">
        <v>15366</v>
      </c>
      <c r="AY2281" s="77"/>
      <c r="AZ2281" s="82" t="s">
        <v>17385</v>
      </c>
      <c r="BA2281" s="82" t="s">
        <v>17385</v>
      </c>
      <c r="BB2281" s="82" t="s">
        <v>17385</v>
      </c>
      <c r="BC2281" s="82" t="s">
        <v>15366</v>
      </c>
      <c r="BD2281" s="82" t="s">
        <v>17641</v>
      </c>
      <c r="BE2281" s="77"/>
      <c r="BF2281" s="77"/>
      <c r="BG2281" s="77"/>
      <c r="BH2281" s="77"/>
      <c r="BI2281" s="77"/>
    </row>
    <row r="2282" spans="1:61" x14ac:dyDescent="0.25">
      <c r="A2282" s="62" t="s">
        <v>604</v>
      </c>
      <c r="B2282" s="62" t="s">
        <v>604</v>
      </c>
      <c r="C2282" s="63"/>
      <c r="D2282" s="64"/>
      <c r="E2282" s="65"/>
      <c r="F2282" s="66"/>
      <c r="G2282" s="63"/>
      <c r="H2282" s="67"/>
      <c r="I2282" s="68"/>
      <c r="J2282" s="68"/>
      <c r="K2282" s="32"/>
      <c r="L2282" s="75">
        <v>2282</v>
      </c>
      <c r="M2282" s="75"/>
      <c r="N2282" s="70"/>
      <c r="O2282" s="77" t="s">
        <v>179</v>
      </c>
      <c r="P2282" s="79">
        <v>45174.6246875</v>
      </c>
      <c r="Q2282" s="77" t="s">
        <v>3061</v>
      </c>
      <c r="R2282" s="77">
        <v>0</v>
      </c>
      <c r="S2282" s="77">
        <v>0</v>
      </c>
      <c r="T2282" s="77">
        <v>0</v>
      </c>
      <c r="U2282" s="77">
        <v>0</v>
      </c>
      <c r="V2282" s="77">
        <v>71</v>
      </c>
      <c r="W2282" s="82" t="s">
        <v>6282</v>
      </c>
      <c r="X2282" s="80" t="str">
        <f>HYPERLINK("https://www.moneytimes.com.br/insumos-agricolas-bradesco-bbi-destaca-3-pontos-do-setor-e-recomenda-duas-acoes/")</f>
        <v>https://www.moneytimes.com.br/insumos-agricolas-bradesco-bbi-destaca-3-pontos-do-setor-e-recomenda-duas-acoes/</v>
      </c>
      <c r="Y2282" s="77" t="s">
        <v>7053</v>
      </c>
      <c r="Z2282" s="77"/>
      <c r="AA2282" s="77"/>
      <c r="AB2282" s="77"/>
      <c r="AC2282" s="82" t="s">
        <v>8255</v>
      </c>
      <c r="AD2282" s="77" t="s">
        <v>8278</v>
      </c>
      <c r="AE2282" s="80" t="str">
        <f>HYPERLINK("https://twitter.com/leiaagrotimes/status/1699074795353305581")</f>
        <v>https://twitter.com/leiaagrotimes/status/1699074795353305581</v>
      </c>
      <c r="AF2282" s="79">
        <v>45174.6246875</v>
      </c>
      <c r="AG2282" s="85">
        <v>45174</v>
      </c>
      <c r="AH2282" s="82" t="s">
        <v>10346</v>
      </c>
      <c r="AI2282" s="77" t="b">
        <v>0</v>
      </c>
      <c r="AJ2282" s="77"/>
      <c r="AK2282" s="77"/>
      <c r="AL2282" s="77"/>
      <c r="AM2282" s="77"/>
      <c r="AN2282" s="77"/>
      <c r="AO2282" s="77"/>
      <c r="AP2282" s="77"/>
      <c r="AQ2282" s="77"/>
      <c r="AR2282" s="77"/>
      <c r="AS2282" s="77"/>
      <c r="AT2282" s="77"/>
      <c r="AU2282" s="77"/>
      <c r="AV2282" s="80" t="str">
        <f>HYPERLINK("https://pbs.twimg.com/profile_images/1365395023072817162/ZI8fAPrO_normal.jpg")</f>
        <v>https://pbs.twimg.com/profile_images/1365395023072817162/ZI8fAPrO_normal.jpg</v>
      </c>
      <c r="AW2282" s="82" t="s">
        <v>15367</v>
      </c>
      <c r="AX2282" s="82" t="s">
        <v>15367</v>
      </c>
      <c r="AY2282" s="77"/>
      <c r="AZ2282" s="82" t="s">
        <v>17385</v>
      </c>
      <c r="BA2282" s="82" t="s">
        <v>17385</v>
      </c>
      <c r="BB2282" s="82" t="s">
        <v>17385</v>
      </c>
      <c r="BC2282" s="82" t="s">
        <v>15367</v>
      </c>
      <c r="BD2282" s="82" t="s">
        <v>17641</v>
      </c>
      <c r="BE2282" s="77"/>
      <c r="BF2282" s="77"/>
      <c r="BG2282" s="77"/>
      <c r="BH2282" s="77"/>
      <c r="BI2282" s="77"/>
    </row>
    <row r="2283" spans="1:61" x14ac:dyDescent="0.25">
      <c r="A2283" s="62" t="s">
        <v>604</v>
      </c>
      <c r="B2283" s="62" t="s">
        <v>604</v>
      </c>
      <c r="C2283" s="63"/>
      <c r="D2283" s="64"/>
      <c r="E2283" s="65"/>
      <c r="F2283" s="66"/>
      <c r="G2283" s="63"/>
      <c r="H2283" s="67"/>
      <c r="I2283" s="68"/>
      <c r="J2283" s="68"/>
      <c r="K2283" s="32"/>
      <c r="L2283" s="75">
        <v>2283</v>
      </c>
      <c r="M2283" s="75"/>
      <c r="N2283" s="70"/>
      <c r="O2283" s="77" t="s">
        <v>179</v>
      </c>
      <c r="P2283" s="79">
        <v>45168.821053240739</v>
      </c>
      <c r="Q2283" s="77" t="s">
        <v>3062</v>
      </c>
      <c r="R2283" s="77">
        <v>0</v>
      </c>
      <c r="S2283" s="77">
        <v>0</v>
      </c>
      <c r="T2283" s="77">
        <v>0</v>
      </c>
      <c r="U2283" s="77">
        <v>0</v>
      </c>
      <c r="V2283" s="77">
        <v>97</v>
      </c>
      <c r="W2283" s="82" t="s">
        <v>6251</v>
      </c>
      <c r="X2283" s="80" t="str">
        <f>HYPERLINK("https://www.moneytimes.com.br/camil-caml3-avanca-na-b3-apos-jp-morgan-mudar-recomendacao-confira-analise/")</f>
        <v>https://www.moneytimes.com.br/camil-caml3-avanca-na-b3-apos-jp-morgan-mudar-recomendacao-confira-analise/</v>
      </c>
      <c r="Y2283" s="77" t="s">
        <v>7053</v>
      </c>
      <c r="Z2283" s="77"/>
      <c r="AA2283" s="77"/>
      <c r="AB2283" s="77"/>
      <c r="AC2283" s="82" t="s">
        <v>8255</v>
      </c>
      <c r="AD2283" s="77" t="s">
        <v>8278</v>
      </c>
      <c r="AE2283" s="80" t="str">
        <f>HYPERLINK("https://twitter.com/leiaagrotimes/status/1696971630210060694")</f>
        <v>https://twitter.com/leiaagrotimes/status/1696971630210060694</v>
      </c>
      <c r="AF2283" s="79">
        <v>45168.821053240739</v>
      </c>
      <c r="AG2283" s="85">
        <v>45168</v>
      </c>
      <c r="AH2283" s="82" t="s">
        <v>10347</v>
      </c>
      <c r="AI2283" s="77" t="b">
        <v>0</v>
      </c>
      <c r="AJ2283" s="77"/>
      <c r="AK2283" s="77"/>
      <c r="AL2283" s="77"/>
      <c r="AM2283" s="77"/>
      <c r="AN2283" s="77"/>
      <c r="AO2283" s="77"/>
      <c r="AP2283" s="77"/>
      <c r="AQ2283" s="77"/>
      <c r="AR2283" s="77"/>
      <c r="AS2283" s="77"/>
      <c r="AT2283" s="77"/>
      <c r="AU2283" s="77"/>
      <c r="AV2283" s="80" t="str">
        <f>HYPERLINK("https://pbs.twimg.com/profile_images/1365395023072817162/ZI8fAPrO_normal.jpg")</f>
        <v>https://pbs.twimg.com/profile_images/1365395023072817162/ZI8fAPrO_normal.jpg</v>
      </c>
      <c r="AW2283" s="82" t="s">
        <v>15368</v>
      </c>
      <c r="AX2283" s="82" t="s">
        <v>15368</v>
      </c>
      <c r="AY2283" s="77"/>
      <c r="AZ2283" s="82" t="s">
        <v>17385</v>
      </c>
      <c r="BA2283" s="82" t="s">
        <v>17385</v>
      </c>
      <c r="BB2283" s="82" t="s">
        <v>17385</v>
      </c>
      <c r="BC2283" s="82" t="s">
        <v>15368</v>
      </c>
      <c r="BD2283" s="82" t="s">
        <v>17641</v>
      </c>
      <c r="BE2283" s="77"/>
      <c r="BF2283" s="77"/>
      <c r="BG2283" s="77"/>
      <c r="BH2283" s="77"/>
      <c r="BI2283" s="77"/>
    </row>
    <row r="2284" spans="1:61" x14ac:dyDescent="0.25">
      <c r="A2284" s="62" t="s">
        <v>604</v>
      </c>
      <c r="B2284" s="62" t="s">
        <v>604</v>
      </c>
      <c r="C2284" s="63"/>
      <c r="D2284" s="64"/>
      <c r="E2284" s="65"/>
      <c r="F2284" s="66"/>
      <c r="G2284" s="63"/>
      <c r="H2284" s="67"/>
      <c r="I2284" s="68"/>
      <c r="J2284" s="68"/>
      <c r="K2284" s="32"/>
      <c r="L2284" s="75">
        <v>2284</v>
      </c>
      <c r="M2284" s="75"/>
      <c r="N2284" s="70"/>
      <c r="O2284" s="77" t="s">
        <v>179</v>
      </c>
      <c r="P2284" s="79">
        <v>45167.792407407411</v>
      </c>
      <c r="Q2284" s="77" t="s">
        <v>3063</v>
      </c>
      <c r="R2284" s="77">
        <v>0</v>
      </c>
      <c r="S2284" s="77">
        <v>2</v>
      </c>
      <c r="T2284" s="77">
        <v>0</v>
      </c>
      <c r="U2284" s="77">
        <v>0</v>
      </c>
      <c r="V2284" s="77">
        <v>210</v>
      </c>
      <c r="W2284" s="82" t="s">
        <v>6251</v>
      </c>
      <c r="X2284" s="80" t="str">
        <f>HYPERLINK("https://www.moneytimes.com.br/marfrig-mrfg3-dispara-10-com-venda-bilionaria-xp-ve-copia-no-perfil-da-brf-brfs3/")</f>
        <v>https://www.moneytimes.com.br/marfrig-mrfg3-dispara-10-com-venda-bilionaria-xp-ve-copia-no-perfil-da-brf-brfs3/</v>
      </c>
      <c r="Y2284" s="77" t="s">
        <v>7053</v>
      </c>
      <c r="Z2284" s="77"/>
      <c r="AA2284" s="77"/>
      <c r="AB2284" s="77"/>
      <c r="AC2284" s="82" t="s">
        <v>8255</v>
      </c>
      <c r="AD2284" s="77" t="s">
        <v>8278</v>
      </c>
      <c r="AE2284" s="80" t="str">
        <f>HYPERLINK("https://twitter.com/leiaagrotimes/status/1696598863451210034")</f>
        <v>https://twitter.com/leiaagrotimes/status/1696598863451210034</v>
      </c>
      <c r="AF2284" s="79">
        <v>45167.792407407411</v>
      </c>
      <c r="AG2284" s="85">
        <v>45167</v>
      </c>
      <c r="AH2284" s="82" t="s">
        <v>10348</v>
      </c>
      <c r="AI2284" s="77" t="b">
        <v>0</v>
      </c>
      <c r="AJ2284" s="77"/>
      <c r="AK2284" s="77"/>
      <c r="AL2284" s="77"/>
      <c r="AM2284" s="77"/>
      <c r="AN2284" s="77"/>
      <c r="AO2284" s="77"/>
      <c r="AP2284" s="77"/>
      <c r="AQ2284" s="77"/>
      <c r="AR2284" s="77"/>
      <c r="AS2284" s="77"/>
      <c r="AT2284" s="77"/>
      <c r="AU2284" s="77"/>
      <c r="AV2284" s="80" t="str">
        <f>HYPERLINK("https://pbs.twimg.com/profile_images/1365395023072817162/ZI8fAPrO_normal.jpg")</f>
        <v>https://pbs.twimg.com/profile_images/1365395023072817162/ZI8fAPrO_normal.jpg</v>
      </c>
      <c r="AW2284" s="82" t="s">
        <v>15369</v>
      </c>
      <c r="AX2284" s="82" t="s">
        <v>15369</v>
      </c>
      <c r="AY2284" s="77"/>
      <c r="AZ2284" s="82" t="s">
        <v>17385</v>
      </c>
      <c r="BA2284" s="82" t="s">
        <v>17385</v>
      </c>
      <c r="BB2284" s="82" t="s">
        <v>17385</v>
      </c>
      <c r="BC2284" s="82" t="s">
        <v>15369</v>
      </c>
      <c r="BD2284" s="82" t="s">
        <v>17641</v>
      </c>
      <c r="BE2284" s="77"/>
      <c r="BF2284" s="77"/>
      <c r="BG2284" s="77"/>
      <c r="BH2284" s="77"/>
      <c r="BI2284" s="77"/>
    </row>
    <row r="2285" spans="1:61" x14ac:dyDescent="0.25">
      <c r="A2285" s="62" t="s">
        <v>604</v>
      </c>
      <c r="B2285" s="62" t="s">
        <v>604</v>
      </c>
      <c r="C2285" s="63"/>
      <c r="D2285" s="64"/>
      <c r="E2285" s="65"/>
      <c r="F2285" s="66"/>
      <c r="G2285" s="63"/>
      <c r="H2285" s="67"/>
      <c r="I2285" s="68"/>
      <c r="J2285" s="68"/>
      <c r="K2285" s="32"/>
      <c r="L2285" s="75">
        <v>2285</v>
      </c>
      <c r="M2285" s="75"/>
      <c r="N2285" s="70"/>
      <c r="O2285" s="77" t="s">
        <v>179</v>
      </c>
      <c r="P2285" s="79">
        <v>45167.728379629632</v>
      </c>
      <c r="Q2285" s="77" t="s">
        <v>3064</v>
      </c>
      <c r="R2285" s="77">
        <v>0</v>
      </c>
      <c r="S2285" s="77">
        <v>1</v>
      </c>
      <c r="T2285" s="77">
        <v>0</v>
      </c>
      <c r="U2285" s="77">
        <v>0</v>
      </c>
      <c r="V2285" s="77">
        <v>233</v>
      </c>
      <c r="W2285" s="82" t="s">
        <v>6251</v>
      </c>
      <c r="X2285" s="80" t="str">
        <f>HYPERLINK("https://www.moneytimes.com.br/marfrig-mrfg3-ou-minerva-beef3-qual-acao-sera-melhor-no-curto-prazo/")</f>
        <v>https://www.moneytimes.com.br/marfrig-mrfg3-ou-minerva-beef3-qual-acao-sera-melhor-no-curto-prazo/</v>
      </c>
      <c r="Y2285" s="77" t="s">
        <v>7053</v>
      </c>
      <c r="Z2285" s="77"/>
      <c r="AA2285" s="77"/>
      <c r="AB2285" s="77"/>
      <c r="AC2285" s="82" t="s">
        <v>8255</v>
      </c>
      <c r="AD2285" s="77" t="s">
        <v>8278</v>
      </c>
      <c r="AE2285" s="80" t="str">
        <f>HYPERLINK("https://twitter.com/leiaagrotimes/status/1696575659630358700")</f>
        <v>https://twitter.com/leiaagrotimes/status/1696575659630358700</v>
      </c>
      <c r="AF2285" s="79">
        <v>45167.728379629632</v>
      </c>
      <c r="AG2285" s="85">
        <v>45167</v>
      </c>
      <c r="AH2285" s="82" t="s">
        <v>10349</v>
      </c>
      <c r="AI2285" s="77" t="b">
        <v>0</v>
      </c>
      <c r="AJ2285" s="77"/>
      <c r="AK2285" s="77"/>
      <c r="AL2285" s="77"/>
      <c r="AM2285" s="77"/>
      <c r="AN2285" s="77"/>
      <c r="AO2285" s="77"/>
      <c r="AP2285" s="77"/>
      <c r="AQ2285" s="77"/>
      <c r="AR2285" s="77"/>
      <c r="AS2285" s="77"/>
      <c r="AT2285" s="77"/>
      <c r="AU2285" s="77"/>
      <c r="AV2285" s="80" t="str">
        <f>HYPERLINK("https://pbs.twimg.com/profile_images/1365395023072817162/ZI8fAPrO_normal.jpg")</f>
        <v>https://pbs.twimg.com/profile_images/1365395023072817162/ZI8fAPrO_normal.jpg</v>
      </c>
      <c r="AW2285" s="82" t="s">
        <v>15370</v>
      </c>
      <c r="AX2285" s="82" t="s">
        <v>15370</v>
      </c>
      <c r="AY2285" s="77"/>
      <c r="AZ2285" s="82" t="s">
        <v>17385</v>
      </c>
      <c r="BA2285" s="82" t="s">
        <v>17385</v>
      </c>
      <c r="BB2285" s="82" t="s">
        <v>17385</v>
      </c>
      <c r="BC2285" s="82" t="s">
        <v>15370</v>
      </c>
      <c r="BD2285" s="82" t="s">
        <v>17641</v>
      </c>
      <c r="BE2285" s="77"/>
      <c r="BF2285" s="77"/>
      <c r="BG2285" s="77"/>
      <c r="BH2285" s="77"/>
      <c r="BI2285" s="77"/>
    </row>
    <row r="2286" spans="1:61" x14ac:dyDescent="0.25">
      <c r="A2286" s="62" t="s">
        <v>604</v>
      </c>
      <c r="B2286" s="62" t="s">
        <v>604</v>
      </c>
      <c r="C2286" s="63"/>
      <c r="D2286" s="64"/>
      <c r="E2286" s="65"/>
      <c r="F2286" s="66"/>
      <c r="G2286" s="63"/>
      <c r="H2286" s="67"/>
      <c r="I2286" s="68"/>
      <c r="J2286" s="68"/>
      <c r="K2286" s="32"/>
      <c r="L2286" s="75">
        <v>2286</v>
      </c>
      <c r="M2286" s="75"/>
      <c r="N2286" s="70"/>
      <c r="O2286" s="77" t="s">
        <v>179</v>
      </c>
      <c r="P2286" s="79">
        <v>45167.659282407411</v>
      </c>
      <c r="Q2286" s="77" t="s">
        <v>3065</v>
      </c>
      <c r="R2286" s="77">
        <v>0</v>
      </c>
      <c r="S2286" s="77">
        <v>0</v>
      </c>
      <c r="T2286" s="77">
        <v>0</v>
      </c>
      <c r="U2286" s="77">
        <v>0</v>
      </c>
      <c r="V2286" s="77">
        <v>206</v>
      </c>
      <c r="W2286" s="82" t="s">
        <v>6251</v>
      </c>
      <c r="X2286" s="80" t="str">
        <f>HYPERLINK("https://www.moneytimes.com.br/minerva-beef3-banco-ve-frigorifico-desbancando-jbs-jbss3-e-em-forte-posicao-para-2024-entenda/")</f>
        <v>https://www.moneytimes.com.br/minerva-beef3-banco-ve-frigorifico-desbancando-jbs-jbss3-e-em-forte-posicao-para-2024-entenda/</v>
      </c>
      <c r="Y2286" s="77" t="s">
        <v>7053</v>
      </c>
      <c r="Z2286" s="77"/>
      <c r="AA2286" s="77"/>
      <c r="AB2286" s="77"/>
      <c r="AC2286" s="82" t="s">
        <v>8255</v>
      </c>
      <c r="AD2286" s="77" t="s">
        <v>8278</v>
      </c>
      <c r="AE2286" s="80" t="str">
        <f>HYPERLINK("https://twitter.com/leiaagrotimes/status/1696550620029759905")</f>
        <v>https://twitter.com/leiaagrotimes/status/1696550620029759905</v>
      </c>
      <c r="AF2286" s="79">
        <v>45167.659282407411</v>
      </c>
      <c r="AG2286" s="85">
        <v>45167</v>
      </c>
      <c r="AH2286" s="82" t="s">
        <v>10350</v>
      </c>
      <c r="AI2286" s="77" t="b">
        <v>0</v>
      </c>
      <c r="AJ2286" s="77"/>
      <c r="AK2286" s="77"/>
      <c r="AL2286" s="77"/>
      <c r="AM2286" s="77"/>
      <c r="AN2286" s="77"/>
      <c r="AO2286" s="77"/>
      <c r="AP2286" s="77"/>
      <c r="AQ2286" s="77"/>
      <c r="AR2286" s="77"/>
      <c r="AS2286" s="77"/>
      <c r="AT2286" s="77"/>
      <c r="AU2286" s="77"/>
      <c r="AV2286" s="80" t="str">
        <f>HYPERLINK("https://pbs.twimg.com/profile_images/1365395023072817162/ZI8fAPrO_normal.jpg")</f>
        <v>https://pbs.twimg.com/profile_images/1365395023072817162/ZI8fAPrO_normal.jpg</v>
      </c>
      <c r="AW2286" s="82" t="s">
        <v>15371</v>
      </c>
      <c r="AX2286" s="82" t="s">
        <v>15371</v>
      </c>
      <c r="AY2286" s="77"/>
      <c r="AZ2286" s="82" t="s">
        <v>17385</v>
      </c>
      <c r="BA2286" s="82" t="s">
        <v>17385</v>
      </c>
      <c r="BB2286" s="82" t="s">
        <v>17385</v>
      </c>
      <c r="BC2286" s="82" t="s">
        <v>15371</v>
      </c>
      <c r="BD2286" s="82" t="s">
        <v>17641</v>
      </c>
      <c r="BE2286" s="77"/>
      <c r="BF2286" s="77"/>
      <c r="BG2286" s="77"/>
      <c r="BH2286" s="77"/>
      <c r="BI2286" s="77"/>
    </row>
    <row r="2287" spans="1:61" x14ac:dyDescent="0.25">
      <c r="A2287" s="62" t="s">
        <v>604</v>
      </c>
      <c r="B2287" s="62" t="s">
        <v>604</v>
      </c>
      <c r="C2287" s="63"/>
      <c r="D2287" s="64"/>
      <c r="E2287" s="65"/>
      <c r="F2287" s="66"/>
      <c r="G2287" s="63"/>
      <c r="H2287" s="67"/>
      <c r="I2287" s="68"/>
      <c r="J2287" s="68"/>
      <c r="K2287" s="32"/>
      <c r="L2287" s="75">
        <v>2287</v>
      </c>
      <c r="M2287" s="75"/>
      <c r="N2287" s="70"/>
      <c r="O2287" s="77" t="s">
        <v>179</v>
      </c>
      <c r="P2287" s="79">
        <v>45167.5934837963</v>
      </c>
      <c r="Q2287" s="77" t="s">
        <v>3066</v>
      </c>
      <c r="R2287" s="77">
        <v>0</v>
      </c>
      <c r="S2287" s="77">
        <v>2</v>
      </c>
      <c r="T2287" s="77">
        <v>0</v>
      </c>
      <c r="U2287" s="77">
        <v>0</v>
      </c>
      <c r="V2287" s="77">
        <v>224</v>
      </c>
      <c r="W2287" s="82" t="s">
        <v>6251</v>
      </c>
      <c r="X2287" s="80" t="str">
        <f>HYPERLINK("https://www.moneytimes.com.br/minerva-beef3-acoes-despencam-apos-compra-de-16-plantas-por-r-75-bi-e-marfrig-mrfg-dispara/")</f>
        <v>https://www.moneytimes.com.br/minerva-beef3-acoes-despencam-apos-compra-de-16-plantas-por-r-75-bi-e-marfrig-mrfg-dispara/</v>
      </c>
      <c r="Y2287" s="77" t="s">
        <v>7053</v>
      </c>
      <c r="Z2287" s="77"/>
      <c r="AA2287" s="77"/>
      <c r="AB2287" s="77"/>
      <c r="AC2287" s="82" t="s">
        <v>8255</v>
      </c>
      <c r="AD2287" s="77" t="s">
        <v>8278</v>
      </c>
      <c r="AE2287" s="80" t="str">
        <f>HYPERLINK("https://twitter.com/leiaagrotimes/status/1696526772798648672")</f>
        <v>https://twitter.com/leiaagrotimes/status/1696526772798648672</v>
      </c>
      <c r="AF2287" s="79">
        <v>45167.5934837963</v>
      </c>
      <c r="AG2287" s="85">
        <v>45167</v>
      </c>
      <c r="AH2287" s="82" t="s">
        <v>10351</v>
      </c>
      <c r="AI2287" s="77" t="b">
        <v>0</v>
      </c>
      <c r="AJ2287" s="77"/>
      <c r="AK2287" s="77"/>
      <c r="AL2287" s="77"/>
      <c r="AM2287" s="77"/>
      <c r="AN2287" s="77"/>
      <c r="AO2287" s="77"/>
      <c r="AP2287" s="77"/>
      <c r="AQ2287" s="77"/>
      <c r="AR2287" s="77"/>
      <c r="AS2287" s="77"/>
      <c r="AT2287" s="77"/>
      <c r="AU2287" s="77"/>
      <c r="AV2287" s="80" t="str">
        <f>HYPERLINK("https://pbs.twimg.com/profile_images/1365395023072817162/ZI8fAPrO_normal.jpg")</f>
        <v>https://pbs.twimg.com/profile_images/1365395023072817162/ZI8fAPrO_normal.jpg</v>
      </c>
      <c r="AW2287" s="82" t="s">
        <v>15372</v>
      </c>
      <c r="AX2287" s="82" t="s">
        <v>15372</v>
      </c>
      <c r="AY2287" s="77"/>
      <c r="AZ2287" s="82" t="s">
        <v>17385</v>
      </c>
      <c r="BA2287" s="82" t="s">
        <v>17385</v>
      </c>
      <c r="BB2287" s="82" t="s">
        <v>17385</v>
      </c>
      <c r="BC2287" s="82" t="s">
        <v>15372</v>
      </c>
      <c r="BD2287" s="82" t="s">
        <v>17641</v>
      </c>
      <c r="BE2287" s="77"/>
      <c r="BF2287" s="77"/>
      <c r="BG2287" s="77"/>
      <c r="BH2287" s="77"/>
      <c r="BI2287" s="77"/>
    </row>
    <row r="2288" spans="1:61" x14ac:dyDescent="0.25">
      <c r="A2288" s="62" t="s">
        <v>604</v>
      </c>
      <c r="B2288" s="62" t="s">
        <v>604</v>
      </c>
      <c r="C2288" s="63"/>
      <c r="D2288" s="64"/>
      <c r="E2288" s="65"/>
      <c r="F2288" s="66"/>
      <c r="G2288" s="63"/>
      <c r="H2288" s="67"/>
      <c r="I2288" s="68"/>
      <c r="J2288" s="68"/>
      <c r="K2288" s="32"/>
      <c r="L2288" s="75">
        <v>2288</v>
      </c>
      <c r="M2288" s="75"/>
      <c r="N2288" s="70"/>
      <c r="O2288" s="77" t="s">
        <v>179</v>
      </c>
      <c r="P2288" s="79">
        <v>45166.751539351855</v>
      </c>
      <c r="Q2288" s="77" t="s">
        <v>3067</v>
      </c>
      <c r="R2288" s="77">
        <v>0</v>
      </c>
      <c r="S2288" s="77">
        <v>0</v>
      </c>
      <c r="T2288" s="77">
        <v>0</v>
      </c>
      <c r="U2288" s="77">
        <v>0</v>
      </c>
      <c r="V2288" s="77">
        <v>99</v>
      </c>
      <c r="W2288" s="82" t="s">
        <v>6251</v>
      </c>
      <c r="X2288" s="80" t="str">
        <f>HYPERLINK("https://www.moneytimes.com.br/os-2-motivos-para-minerva-beef3-liderar-altas-na-b3-nesta-segunda-28/")</f>
        <v>https://www.moneytimes.com.br/os-2-motivos-para-minerva-beef3-liderar-altas-na-b3-nesta-segunda-28/</v>
      </c>
      <c r="Y2288" s="77" t="s">
        <v>7053</v>
      </c>
      <c r="Z2288" s="77"/>
      <c r="AA2288" s="77"/>
      <c r="AB2288" s="77"/>
      <c r="AC2288" s="82" t="s">
        <v>8255</v>
      </c>
      <c r="AD2288" s="77" t="s">
        <v>8278</v>
      </c>
      <c r="AE2288" s="80" t="str">
        <f>HYPERLINK("https://twitter.com/leiaagrotimes/status/1696221662113329185")</f>
        <v>https://twitter.com/leiaagrotimes/status/1696221662113329185</v>
      </c>
      <c r="AF2288" s="79">
        <v>45166.751539351855</v>
      </c>
      <c r="AG2288" s="85">
        <v>45166</v>
      </c>
      <c r="AH2288" s="82" t="s">
        <v>10352</v>
      </c>
      <c r="AI2288" s="77" t="b">
        <v>0</v>
      </c>
      <c r="AJ2288" s="77"/>
      <c r="AK2288" s="77"/>
      <c r="AL2288" s="77"/>
      <c r="AM2288" s="77"/>
      <c r="AN2288" s="77"/>
      <c r="AO2288" s="77"/>
      <c r="AP2288" s="77"/>
      <c r="AQ2288" s="77"/>
      <c r="AR2288" s="77"/>
      <c r="AS2288" s="77"/>
      <c r="AT2288" s="77"/>
      <c r="AU2288" s="77"/>
      <c r="AV2288" s="80" t="str">
        <f>HYPERLINK("https://pbs.twimg.com/profile_images/1365395023072817162/ZI8fAPrO_normal.jpg")</f>
        <v>https://pbs.twimg.com/profile_images/1365395023072817162/ZI8fAPrO_normal.jpg</v>
      </c>
      <c r="AW2288" s="82" t="s">
        <v>15373</v>
      </c>
      <c r="AX2288" s="82" t="s">
        <v>15373</v>
      </c>
      <c r="AY2288" s="77"/>
      <c r="AZ2288" s="82" t="s">
        <v>17385</v>
      </c>
      <c r="BA2288" s="82" t="s">
        <v>17385</v>
      </c>
      <c r="BB2288" s="82" t="s">
        <v>17385</v>
      </c>
      <c r="BC2288" s="82" t="s">
        <v>15373</v>
      </c>
      <c r="BD2288" s="82" t="s">
        <v>17641</v>
      </c>
      <c r="BE2288" s="77"/>
      <c r="BF2288" s="77"/>
      <c r="BG2288" s="77"/>
      <c r="BH2288" s="77"/>
      <c r="BI2288" s="77"/>
    </row>
    <row r="2289" spans="1:61" x14ac:dyDescent="0.25">
      <c r="A2289" s="62" t="s">
        <v>604</v>
      </c>
      <c r="B2289" s="62" t="s">
        <v>604</v>
      </c>
      <c r="C2289" s="63"/>
      <c r="D2289" s="64"/>
      <c r="E2289" s="65"/>
      <c r="F2289" s="66"/>
      <c r="G2289" s="63"/>
      <c r="H2289" s="67"/>
      <c r="I2289" s="68"/>
      <c r="J2289" s="68"/>
      <c r="K2289" s="32"/>
      <c r="L2289" s="75">
        <v>2289</v>
      </c>
      <c r="M2289" s="75"/>
      <c r="N2289" s="70"/>
      <c r="O2289" s="77" t="s">
        <v>179</v>
      </c>
      <c r="P2289" s="79">
        <v>45166.595138888886</v>
      </c>
      <c r="Q2289" s="77" t="s">
        <v>3068</v>
      </c>
      <c r="R2289" s="77">
        <v>0</v>
      </c>
      <c r="S2289" s="77">
        <v>1</v>
      </c>
      <c r="T2289" s="77">
        <v>0</v>
      </c>
      <c r="U2289" s="77">
        <v>0</v>
      </c>
      <c r="V2289" s="77">
        <v>114</v>
      </c>
      <c r="W2289" s="82" t="s">
        <v>6258</v>
      </c>
      <c r="X2289" s="80" t="str">
        <f>HYPERLINK("https://www.moneytimes.com.br/jbs-jbss3-emite-r-187-bilhao-em-dividas-para-compra-de-gado/")</f>
        <v>https://www.moneytimes.com.br/jbs-jbss3-emite-r-187-bilhao-em-dividas-para-compra-de-gado/</v>
      </c>
      <c r="Y2289" s="77" t="s">
        <v>7053</v>
      </c>
      <c r="Z2289" s="77"/>
      <c r="AA2289" s="77"/>
      <c r="AB2289" s="77"/>
      <c r="AC2289" s="82" t="s">
        <v>8255</v>
      </c>
      <c r="AD2289" s="77" t="s">
        <v>8278</v>
      </c>
      <c r="AE2289" s="80" t="str">
        <f>HYPERLINK("https://twitter.com/leiaagrotimes/status/1696164986547028089")</f>
        <v>https://twitter.com/leiaagrotimes/status/1696164986547028089</v>
      </c>
      <c r="AF2289" s="79">
        <v>45166.595138888886</v>
      </c>
      <c r="AG2289" s="85">
        <v>45166</v>
      </c>
      <c r="AH2289" s="82" t="s">
        <v>10353</v>
      </c>
      <c r="AI2289" s="77" t="b">
        <v>0</v>
      </c>
      <c r="AJ2289" s="77"/>
      <c r="AK2289" s="77"/>
      <c r="AL2289" s="77"/>
      <c r="AM2289" s="77"/>
      <c r="AN2289" s="77"/>
      <c r="AO2289" s="77"/>
      <c r="AP2289" s="77"/>
      <c r="AQ2289" s="77"/>
      <c r="AR2289" s="77"/>
      <c r="AS2289" s="77"/>
      <c r="AT2289" s="77"/>
      <c r="AU2289" s="77"/>
      <c r="AV2289" s="80" t="str">
        <f>HYPERLINK("https://pbs.twimg.com/profile_images/1365395023072817162/ZI8fAPrO_normal.jpg")</f>
        <v>https://pbs.twimg.com/profile_images/1365395023072817162/ZI8fAPrO_normal.jpg</v>
      </c>
      <c r="AW2289" s="82" t="s">
        <v>15374</v>
      </c>
      <c r="AX2289" s="82" t="s">
        <v>15374</v>
      </c>
      <c r="AY2289" s="77"/>
      <c r="AZ2289" s="82" t="s">
        <v>17385</v>
      </c>
      <c r="BA2289" s="82" t="s">
        <v>17385</v>
      </c>
      <c r="BB2289" s="82" t="s">
        <v>17385</v>
      </c>
      <c r="BC2289" s="82" t="s">
        <v>15374</v>
      </c>
      <c r="BD2289" s="82" t="s">
        <v>17641</v>
      </c>
      <c r="BE2289" s="77"/>
      <c r="BF2289" s="77"/>
      <c r="BG2289" s="77"/>
      <c r="BH2289" s="77"/>
      <c r="BI2289" s="77"/>
    </row>
    <row r="2290" spans="1:61" x14ac:dyDescent="0.25">
      <c r="A2290" s="62" t="s">
        <v>604</v>
      </c>
      <c r="B2290" s="62" t="s">
        <v>604</v>
      </c>
      <c r="C2290" s="63"/>
      <c r="D2290" s="64"/>
      <c r="E2290" s="65"/>
      <c r="F2290" s="66"/>
      <c r="G2290" s="63"/>
      <c r="H2290" s="67"/>
      <c r="I2290" s="68"/>
      <c r="J2290" s="68"/>
      <c r="K2290" s="32"/>
      <c r="L2290" s="75">
        <v>2290</v>
      </c>
      <c r="M2290" s="75"/>
      <c r="N2290" s="70"/>
      <c r="O2290" s="77" t="s">
        <v>179</v>
      </c>
      <c r="P2290" s="79">
        <v>45166.568020833336</v>
      </c>
      <c r="Q2290" s="77" t="s">
        <v>3069</v>
      </c>
      <c r="R2290" s="77">
        <v>0</v>
      </c>
      <c r="S2290" s="77">
        <v>1</v>
      </c>
      <c r="T2290" s="77">
        <v>0</v>
      </c>
      <c r="U2290" s="77">
        <v>0</v>
      </c>
      <c r="V2290" s="77">
        <v>155</v>
      </c>
      <c r="W2290" s="82" t="s">
        <v>6252</v>
      </c>
      <c r="X2290" s="80" t="str">
        <f>HYPERLINK("https://www.moneytimes.com.br/3tentos-tten3-atualiza-projecoes-para-graos-biodiesel-e-novas-lojas-ate-2025-confira/")</f>
        <v>https://www.moneytimes.com.br/3tentos-tten3-atualiza-projecoes-para-graos-biodiesel-e-novas-lojas-ate-2025-confira/</v>
      </c>
      <c r="Y2290" s="77" t="s">
        <v>7053</v>
      </c>
      <c r="Z2290" s="77"/>
      <c r="AA2290" s="77"/>
      <c r="AB2290" s="77"/>
      <c r="AC2290" s="82" t="s">
        <v>8255</v>
      </c>
      <c r="AD2290" s="77" t="s">
        <v>8278</v>
      </c>
      <c r="AE2290" s="80" t="str">
        <f>HYPERLINK("https://twitter.com/leiaagrotimes/status/1696155158990721053")</f>
        <v>https://twitter.com/leiaagrotimes/status/1696155158990721053</v>
      </c>
      <c r="AF2290" s="79">
        <v>45166.568020833336</v>
      </c>
      <c r="AG2290" s="85">
        <v>45166</v>
      </c>
      <c r="AH2290" s="82" t="s">
        <v>10354</v>
      </c>
      <c r="AI2290" s="77" t="b">
        <v>0</v>
      </c>
      <c r="AJ2290" s="77"/>
      <c r="AK2290" s="77"/>
      <c r="AL2290" s="77"/>
      <c r="AM2290" s="77"/>
      <c r="AN2290" s="77"/>
      <c r="AO2290" s="77"/>
      <c r="AP2290" s="77"/>
      <c r="AQ2290" s="77"/>
      <c r="AR2290" s="77"/>
      <c r="AS2290" s="77"/>
      <c r="AT2290" s="77"/>
      <c r="AU2290" s="77"/>
      <c r="AV2290" s="80" t="str">
        <f>HYPERLINK("https://pbs.twimg.com/profile_images/1365395023072817162/ZI8fAPrO_normal.jpg")</f>
        <v>https://pbs.twimg.com/profile_images/1365395023072817162/ZI8fAPrO_normal.jpg</v>
      </c>
      <c r="AW2290" s="82" t="s">
        <v>15375</v>
      </c>
      <c r="AX2290" s="82" t="s">
        <v>15375</v>
      </c>
      <c r="AY2290" s="77"/>
      <c r="AZ2290" s="82" t="s">
        <v>17385</v>
      </c>
      <c r="BA2290" s="82" t="s">
        <v>17385</v>
      </c>
      <c r="BB2290" s="82" t="s">
        <v>17385</v>
      </c>
      <c r="BC2290" s="82" t="s">
        <v>15375</v>
      </c>
      <c r="BD2290" s="82" t="s">
        <v>17641</v>
      </c>
      <c r="BE2290" s="77"/>
      <c r="BF2290" s="77"/>
      <c r="BG2290" s="77"/>
      <c r="BH2290" s="77"/>
      <c r="BI2290" s="77"/>
    </row>
    <row r="2291" spans="1:61" x14ac:dyDescent="0.25">
      <c r="A2291" s="62" t="s">
        <v>604</v>
      </c>
      <c r="B2291" s="62" t="s">
        <v>604</v>
      </c>
      <c r="C2291" s="63"/>
      <c r="D2291" s="64"/>
      <c r="E2291" s="65"/>
      <c r="F2291" s="66"/>
      <c r="G2291" s="63"/>
      <c r="H2291" s="67"/>
      <c r="I2291" s="68"/>
      <c r="J2291" s="68"/>
      <c r="K2291" s="32"/>
      <c r="L2291" s="75">
        <v>2291</v>
      </c>
      <c r="M2291" s="75"/>
      <c r="N2291" s="70"/>
      <c r="O2291" s="77" t="s">
        <v>179</v>
      </c>
      <c r="P2291" s="79">
        <v>45149.668958333335</v>
      </c>
      <c r="Q2291" s="77" t="s">
        <v>3070</v>
      </c>
      <c r="R2291" s="77">
        <v>0</v>
      </c>
      <c r="S2291" s="77">
        <v>0</v>
      </c>
      <c r="T2291" s="77">
        <v>0</v>
      </c>
      <c r="U2291" s="77">
        <v>0</v>
      </c>
      <c r="V2291" s="77">
        <v>57</v>
      </c>
      <c r="W2291" s="82" t="s">
        <v>6251</v>
      </c>
      <c r="X2291" s="80" t="str">
        <f>HYPERLINK("https://www.moneytimes.com.br/rail3-acao-perde-o-rumo-apos-os-resultados-do-2t23-e-despenca-confira-analise/")</f>
        <v>https://www.moneytimes.com.br/rail3-acao-perde-o-rumo-apos-os-resultados-do-2t23-e-despenca-confira-analise/</v>
      </c>
      <c r="Y2291" s="77" t="s">
        <v>7053</v>
      </c>
      <c r="Z2291" s="77"/>
      <c r="AA2291" s="77"/>
      <c r="AB2291" s="77"/>
      <c r="AC2291" s="82" t="s">
        <v>8255</v>
      </c>
      <c r="AD2291" s="77" t="s">
        <v>8278</v>
      </c>
      <c r="AE2291" s="80" t="str">
        <f>HYPERLINK("https://twitter.com/leiaagrotimes/status/1690031144178208769")</f>
        <v>https://twitter.com/leiaagrotimes/status/1690031144178208769</v>
      </c>
      <c r="AF2291" s="79">
        <v>45149.668958333335</v>
      </c>
      <c r="AG2291" s="85">
        <v>45149</v>
      </c>
      <c r="AH2291" s="82" t="s">
        <v>10355</v>
      </c>
      <c r="AI2291" s="77" t="b">
        <v>0</v>
      </c>
      <c r="AJ2291" s="77"/>
      <c r="AK2291" s="77"/>
      <c r="AL2291" s="77"/>
      <c r="AM2291" s="77"/>
      <c r="AN2291" s="77"/>
      <c r="AO2291" s="77"/>
      <c r="AP2291" s="77"/>
      <c r="AQ2291" s="77"/>
      <c r="AR2291" s="77"/>
      <c r="AS2291" s="77"/>
      <c r="AT2291" s="77"/>
      <c r="AU2291" s="77"/>
      <c r="AV2291" s="80" t="str">
        <f>HYPERLINK("https://pbs.twimg.com/profile_images/1365395023072817162/ZI8fAPrO_normal.jpg")</f>
        <v>https://pbs.twimg.com/profile_images/1365395023072817162/ZI8fAPrO_normal.jpg</v>
      </c>
      <c r="AW2291" s="82" t="s">
        <v>15376</v>
      </c>
      <c r="AX2291" s="82" t="s">
        <v>15376</v>
      </c>
      <c r="AY2291" s="77"/>
      <c r="AZ2291" s="82" t="s">
        <v>17385</v>
      </c>
      <c r="BA2291" s="82" t="s">
        <v>17385</v>
      </c>
      <c r="BB2291" s="82" t="s">
        <v>17385</v>
      </c>
      <c r="BC2291" s="82" t="s">
        <v>15376</v>
      </c>
      <c r="BD2291" s="82" t="s">
        <v>17641</v>
      </c>
      <c r="BE2291" s="77"/>
      <c r="BF2291" s="77"/>
      <c r="BG2291" s="77"/>
      <c r="BH2291" s="77"/>
      <c r="BI2291" s="77"/>
    </row>
    <row r="2292" spans="1:61" x14ac:dyDescent="0.25">
      <c r="A2292" s="62" t="s">
        <v>604</v>
      </c>
      <c r="B2292" s="62" t="s">
        <v>604</v>
      </c>
      <c r="C2292" s="63"/>
      <c r="D2292" s="64"/>
      <c r="E2292" s="65"/>
      <c r="F2292" s="66"/>
      <c r="G2292" s="63"/>
      <c r="H2292" s="67"/>
      <c r="I2292" s="68"/>
      <c r="J2292" s="68"/>
      <c r="K2292" s="32"/>
      <c r="L2292" s="75">
        <v>2292</v>
      </c>
      <c r="M2292" s="75"/>
      <c r="N2292" s="70"/>
      <c r="O2292" s="77" t="s">
        <v>179</v>
      </c>
      <c r="P2292" s="79">
        <v>45149.573009259257</v>
      </c>
      <c r="Q2292" s="77" t="s">
        <v>3071</v>
      </c>
      <c r="R2292" s="77">
        <v>0</v>
      </c>
      <c r="S2292" s="77">
        <v>1</v>
      </c>
      <c r="T2292" s="77">
        <v>0</v>
      </c>
      <c r="U2292" s="77">
        <v>0</v>
      </c>
      <c r="V2292" s="77">
        <v>183</v>
      </c>
      <c r="W2292" s="82" t="s">
        <v>6267</v>
      </c>
      <c r="X2292" s="80" t="str">
        <f>HYPERLINK("https://www.moneytimes.com.br/jalles-machado-jall3-tem-producao-recorde-de-acucar-mas-lucro-vem-abaixo-do-esperado/")</f>
        <v>https://www.moneytimes.com.br/jalles-machado-jall3-tem-producao-recorde-de-acucar-mas-lucro-vem-abaixo-do-esperado/</v>
      </c>
      <c r="Y2292" s="77" t="s">
        <v>7053</v>
      </c>
      <c r="Z2292" s="77"/>
      <c r="AA2292" s="77"/>
      <c r="AB2292" s="77"/>
      <c r="AC2292" s="82" t="s">
        <v>8255</v>
      </c>
      <c r="AD2292" s="77" t="s">
        <v>8278</v>
      </c>
      <c r="AE2292" s="80" t="str">
        <f>HYPERLINK("https://twitter.com/leiaagrotimes/status/1689996373741940736")</f>
        <v>https://twitter.com/leiaagrotimes/status/1689996373741940736</v>
      </c>
      <c r="AF2292" s="79">
        <v>45149.573009259257</v>
      </c>
      <c r="AG2292" s="85">
        <v>45149</v>
      </c>
      <c r="AH2292" s="82" t="s">
        <v>10356</v>
      </c>
      <c r="AI2292" s="77" t="b">
        <v>0</v>
      </c>
      <c r="AJ2292" s="77"/>
      <c r="AK2292" s="77"/>
      <c r="AL2292" s="77"/>
      <c r="AM2292" s="77"/>
      <c r="AN2292" s="77"/>
      <c r="AO2292" s="77"/>
      <c r="AP2292" s="77"/>
      <c r="AQ2292" s="77"/>
      <c r="AR2292" s="77"/>
      <c r="AS2292" s="77"/>
      <c r="AT2292" s="77"/>
      <c r="AU2292" s="77"/>
      <c r="AV2292" s="80" t="str">
        <f>HYPERLINK("https://pbs.twimg.com/profile_images/1365395023072817162/ZI8fAPrO_normal.jpg")</f>
        <v>https://pbs.twimg.com/profile_images/1365395023072817162/ZI8fAPrO_normal.jpg</v>
      </c>
      <c r="AW2292" s="82" t="s">
        <v>15377</v>
      </c>
      <c r="AX2292" s="82" t="s">
        <v>15377</v>
      </c>
      <c r="AY2292" s="77"/>
      <c r="AZ2292" s="82" t="s">
        <v>17385</v>
      </c>
      <c r="BA2292" s="82" t="s">
        <v>17385</v>
      </c>
      <c r="BB2292" s="82" t="s">
        <v>17385</v>
      </c>
      <c r="BC2292" s="82" t="s">
        <v>15377</v>
      </c>
      <c r="BD2292" s="82" t="s">
        <v>17641</v>
      </c>
      <c r="BE2292" s="77"/>
      <c r="BF2292" s="77"/>
      <c r="BG2292" s="77"/>
      <c r="BH2292" s="77"/>
      <c r="BI2292" s="77"/>
    </row>
    <row r="2293" spans="1:61" x14ac:dyDescent="0.25">
      <c r="A2293" s="62" t="s">
        <v>604</v>
      </c>
      <c r="B2293" s="62" t="s">
        <v>604</v>
      </c>
      <c r="C2293" s="63"/>
      <c r="D2293" s="64"/>
      <c r="E2293" s="65"/>
      <c r="F2293" s="66"/>
      <c r="G2293" s="63"/>
      <c r="H2293" s="67"/>
      <c r="I2293" s="68"/>
      <c r="J2293" s="68"/>
      <c r="K2293" s="32"/>
      <c r="L2293" s="75">
        <v>2293</v>
      </c>
      <c r="M2293" s="75"/>
      <c r="N2293" s="70"/>
      <c r="O2293" s="77" t="s">
        <v>179</v>
      </c>
      <c r="P2293" s="79">
        <v>45149.516724537039</v>
      </c>
      <c r="Q2293" s="77" t="s">
        <v>3072</v>
      </c>
      <c r="R2293" s="77">
        <v>0</v>
      </c>
      <c r="S2293" s="77">
        <v>0</v>
      </c>
      <c r="T2293" s="77">
        <v>0</v>
      </c>
      <c r="U2293" s="77">
        <v>0</v>
      </c>
      <c r="V2293" s="77">
        <v>78</v>
      </c>
      <c r="W2293" s="82" t="s">
        <v>6251</v>
      </c>
      <c r="X2293" s="80" t="str">
        <f>HYPERLINK("https://www.moneytimes.com.br/vittia-vitt3-registra-prejuizo-de-r-146-milhoes-no-2t23/")</f>
        <v>https://www.moneytimes.com.br/vittia-vitt3-registra-prejuizo-de-r-146-milhoes-no-2t23/</v>
      </c>
      <c r="Y2293" s="77" t="s">
        <v>7053</v>
      </c>
      <c r="Z2293" s="77"/>
      <c r="AA2293" s="77"/>
      <c r="AB2293" s="77"/>
      <c r="AC2293" s="82" t="s">
        <v>8255</v>
      </c>
      <c r="AD2293" s="77" t="s">
        <v>8278</v>
      </c>
      <c r="AE2293" s="80" t="str">
        <f>HYPERLINK("https://twitter.com/leiaagrotimes/status/1689975977261117440")</f>
        <v>https://twitter.com/leiaagrotimes/status/1689975977261117440</v>
      </c>
      <c r="AF2293" s="79">
        <v>45149.516724537039</v>
      </c>
      <c r="AG2293" s="85">
        <v>45149</v>
      </c>
      <c r="AH2293" s="82" t="s">
        <v>10357</v>
      </c>
      <c r="AI2293" s="77" t="b">
        <v>0</v>
      </c>
      <c r="AJ2293" s="77"/>
      <c r="AK2293" s="77"/>
      <c r="AL2293" s="77"/>
      <c r="AM2293" s="77"/>
      <c r="AN2293" s="77"/>
      <c r="AO2293" s="77"/>
      <c r="AP2293" s="77"/>
      <c r="AQ2293" s="77"/>
      <c r="AR2293" s="77"/>
      <c r="AS2293" s="77"/>
      <c r="AT2293" s="77"/>
      <c r="AU2293" s="77"/>
      <c r="AV2293" s="80" t="str">
        <f>HYPERLINK("https://pbs.twimg.com/profile_images/1365395023072817162/ZI8fAPrO_normal.jpg")</f>
        <v>https://pbs.twimg.com/profile_images/1365395023072817162/ZI8fAPrO_normal.jpg</v>
      </c>
      <c r="AW2293" s="82" t="s">
        <v>15378</v>
      </c>
      <c r="AX2293" s="82" t="s">
        <v>15378</v>
      </c>
      <c r="AY2293" s="77"/>
      <c r="AZ2293" s="82" t="s">
        <v>17385</v>
      </c>
      <c r="BA2293" s="82" t="s">
        <v>17385</v>
      </c>
      <c r="BB2293" s="82" t="s">
        <v>17385</v>
      </c>
      <c r="BC2293" s="82" t="s">
        <v>15378</v>
      </c>
      <c r="BD2293" s="82" t="s">
        <v>17641</v>
      </c>
      <c r="BE2293" s="77"/>
      <c r="BF2293" s="77"/>
      <c r="BG2293" s="77"/>
      <c r="BH2293" s="77"/>
      <c r="BI2293" s="77"/>
    </row>
    <row r="2294" spans="1:61" x14ac:dyDescent="0.25">
      <c r="A2294" s="62" t="s">
        <v>604</v>
      </c>
      <c r="B2294" s="62" t="s">
        <v>604</v>
      </c>
      <c r="C2294" s="63"/>
      <c r="D2294" s="64"/>
      <c r="E2294" s="65"/>
      <c r="F2294" s="66"/>
      <c r="G2294" s="63"/>
      <c r="H2294" s="67"/>
      <c r="I2294" s="68"/>
      <c r="J2294" s="68"/>
      <c r="K2294" s="32"/>
      <c r="L2294" s="75">
        <v>2294</v>
      </c>
      <c r="M2294" s="75"/>
      <c r="N2294" s="70"/>
      <c r="O2294" s="77" t="s">
        <v>179</v>
      </c>
      <c r="P2294" s="79">
        <v>45118.654513888891</v>
      </c>
      <c r="Q2294" s="77" t="s">
        <v>3073</v>
      </c>
      <c r="R2294" s="77">
        <v>0</v>
      </c>
      <c r="S2294" s="77">
        <v>1</v>
      </c>
      <c r="T2294" s="77">
        <v>0</v>
      </c>
      <c r="U2294" s="77">
        <v>0</v>
      </c>
      <c r="V2294" s="77">
        <v>99</v>
      </c>
      <c r="W2294" s="82" t="s">
        <v>6261</v>
      </c>
      <c r="X2294" s="80" t="str">
        <f>HYPERLINK("https://www.moneytimes.com.br/slc-agricola-slce3-no-olho-do-furacao-com-el-nino-e-queda-de-insumos-e-commodities-veja-se-vale-apostar-na-tese/")</f>
        <v>https://www.moneytimes.com.br/slc-agricola-slce3-no-olho-do-furacao-com-el-nino-e-queda-de-insumos-e-commodities-veja-se-vale-apostar-na-tese/</v>
      </c>
      <c r="Y2294" s="77" t="s">
        <v>7053</v>
      </c>
      <c r="Z2294" s="77"/>
      <c r="AA2294" s="77"/>
      <c r="AB2294" s="77"/>
      <c r="AC2294" s="82" t="s">
        <v>8255</v>
      </c>
      <c r="AD2294" s="77" t="s">
        <v>8278</v>
      </c>
      <c r="AE2294" s="80" t="str">
        <f>HYPERLINK("https://twitter.com/leiaagrotimes/status/1678791886209777665")</f>
        <v>https://twitter.com/leiaagrotimes/status/1678791886209777665</v>
      </c>
      <c r="AF2294" s="79">
        <v>45118.654513888891</v>
      </c>
      <c r="AG2294" s="85">
        <v>45118</v>
      </c>
      <c r="AH2294" s="82" t="s">
        <v>10358</v>
      </c>
      <c r="AI2294" s="77" t="b">
        <v>0</v>
      </c>
      <c r="AJ2294" s="77"/>
      <c r="AK2294" s="77"/>
      <c r="AL2294" s="77"/>
      <c r="AM2294" s="77"/>
      <c r="AN2294" s="77"/>
      <c r="AO2294" s="77"/>
      <c r="AP2294" s="77"/>
      <c r="AQ2294" s="77"/>
      <c r="AR2294" s="77"/>
      <c r="AS2294" s="77"/>
      <c r="AT2294" s="77"/>
      <c r="AU2294" s="77"/>
      <c r="AV2294" s="80" t="str">
        <f>HYPERLINK("https://pbs.twimg.com/profile_images/1365395023072817162/ZI8fAPrO_normal.jpg")</f>
        <v>https://pbs.twimg.com/profile_images/1365395023072817162/ZI8fAPrO_normal.jpg</v>
      </c>
      <c r="AW2294" s="82" t="s">
        <v>15379</v>
      </c>
      <c r="AX2294" s="82" t="s">
        <v>15379</v>
      </c>
      <c r="AY2294" s="77"/>
      <c r="AZ2294" s="82" t="s">
        <v>17385</v>
      </c>
      <c r="BA2294" s="82" t="s">
        <v>17385</v>
      </c>
      <c r="BB2294" s="82" t="s">
        <v>17385</v>
      </c>
      <c r="BC2294" s="82" t="s">
        <v>15379</v>
      </c>
      <c r="BD2294" s="82" t="s">
        <v>17641</v>
      </c>
      <c r="BE2294" s="77"/>
      <c r="BF2294" s="77"/>
      <c r="BG2294" s="77"/>
      <c r="BH2294" s="77"/>
      <c r="BI2294" s="77"/>
    </row>
    <row r="2295" spans="1:61" x14ac:dyDescent="0.25">
      <c r="A2295" s="62" t="s">
        <v>604</v>
      </c>
      <c r="B2295" s="62" t="s">
        <v>604</v>
      </c>
      <c r="C2295" s="63"/>
      <c r="D2295" s="64"/>
      <c r="E2295" s="65"/>
      <c r="F2295" s="66"/>
      <c r="G2295" s="63"/>
      <c r="H2295" s="67"/>
      <c r="I2295" s="68"/>
      <c r="J2295" s="68"/>
      <c r="K2295" s="32"/>
      <c r="L2295" s="75">
        <v>2295</v>
      </c>
      <c r="M2295" s="75"/>
      <c r="N2295" s="70"/>
      <c r="O2295" s="77" t="s">
        <v>179</v>
      </c>
      <c r="P2295" s="79">
        <v>45118.510821759257</v>
      </c>
      <c r="Q2295" s="77" t="s">
        <v>3074</v>
      </c>
      <c r="R2295" s="77">
        <v>0</v>
      </c>
      <c r="S2295" s="77">
        <v>0</v>
      </c>
      <c r="T2295" s="77">
        <v>0</v>
      </c>
      <c r="U2295" s="77">
        <v>0</v>
      </c>
      <c r="V2295" s="77">
        <v>143</v>
      </c>
      <c r="W2295" s="82" t="s">
        <v>6283</v>
      </c>
      <c r="X2295" s="80" t="str">
        <f>HYPERLINK("https://www.moneytimes.com.br/agrogalaxy-agxy3-reduz-projecao-para-abertura-de-novas-lojas-em-2023/")</f>
        <v>https://www.moneytimes.com.br/agrogalaxy-agxy3-reduz-projecao-para-abertura-de-novas-lojas-em-2023/</v>
      </c>
      <c r="Y2295" s="77" t="s">
        <v>7053</v>
      </c>
      <c r="Z2295" s="77"/>
      <c r="AA2295" s="77"/>
      <c r="AB2295" s="77"/>
      <c r="AC2295" s="82" t="s">
        <v>8255</v>
      </c>
      <c r="AD2295" s="77" t="s">
        <v>8278</v>
      </c>
      <c r="AE2295" s="80" t="str">
        <f>HYPERLINK("https://twitter.com/leiaagrotimes/status/1678739810817564674")</f>
        <v>https://twitter.com/leiaagrotimes/status/1678739810817564674</v>
      </c>
      <c r="AF2295" s="79">
        <v>45118.510821759257</v>
      </c>
      <c r="AG2295" s="85">
        <v>45118</v>
      </c>
      <c r="AH2295" s="82" t="s">
        <v>10359</v>
      </c>
      <c r="AI2295" s="77" t="b">
        <v>0</v>
      </c>
      <c r="AJ2295" s="77"/>
      <c r="AK2295" s="77"/>
      <c r="AL2295" s="77"/>
      <c r="AM2295" s="77"/>
      <c r="AN2295" s="77"/>
      <c r="AO2295" s="77"/>
      <c r="AP2295" s="77"/>
      <c r="AQ2295" s="77"/>
      <c r="AR2295" s="77"/>
      <c r="AS2295" s="77"/>
      <c r="AT2295" s="77"/>
      <c r="AU2295" s="77"/>
      <c r="AV2295" s="80" t="str">
        <f>HYPERLINK("https://pbs.twimg.com/profile_images/1365395023072817162/ZI8fAPrO_normal.jpg")</f>
        <v>https://pbs.twimg.com/profile_images/1365395023072817162/ZI8fAPrO_normal.jpg</v>
      </c>
      <c r="AW2295" s="82" t="s">
        <v>15380</v>
      </c>
      <c r="AX2295" s="82" t="s">
        <v>15380</v>
      </c>
      <c r="AY2295" s="77"/>
      <c r="AZ2295" s="82" t="s">
        <v>17385</v>
      </c>
      <c r="BA2295" s="82" t="s">
        <v>17385</v>
      </c>
      <c r="BB2295" s="82" t="s">
        <v>17385</v>
      </c>
      <c r="BC2295" s="82" t="s">
        <v>15380</v>
      </c>
      <c r="BD2295" s="82" t="s">
        <v>17641</v>
      </c>
      <c r="BE2295" s="77"/>
      <c r="BF2295" s="77"/>
      <c r="BG2295" s="77"/>
      <c r="BH2295" s="77"/>
      <c r="BI2295" s="77"/>
    </row>
    <row r="2296" spans="1:61" x14ac:dyDescent="0.25">
      <c r="A2296" s="62" t="s">
        <v>604</v>
      </c>
      <c r="B2296" s="62" t="s">
        <v>604</v>
      </c>
      <c r="C2296" s="63"/>
      <c r="D2296" s="64"/>
      <c r="E2296" s="65"/>
      <c r="F2296" s="66"/>
      <c r="G2296" s="63"/>
      <c r="H2296" s="67"/>
      <c r="I2296" s="68"/>
      <c r="J2296" s="68"/>
      <c r="K2296" s="32"/>
      <c r="L2296" s="75">
        <v>2296</v>
      </c>
      <c r="M2296" s="75"/>
      <c r="N2296" s="70"/>
      <c r="O2296" s="77" t="s">
        <v>179</v>
      </c>
      <c r="P2296" s="79">
        <v>45117.777557870373</v>
      </c>
      <c r="Q2296" s="77" t="s">
        <v>3075</v>
      </c>
      <c r="R2296" s="77">
        <v>0</v>
      </c>
      <c r="S2296" s="77">
        <v>2</v>
      </c>
      <c r="T2296" s="77">
        <v>0</v>
      </c>
      <c r="U2296" s="77">
        <v>0</v>
      </c>
      <c r="V2296" s="77">
        <v>152</v>
      </c>
      <c r="W2296" s="82" t="s">
        <v>6284</v>
      </c>
      <c r="X2296" s="80" t="str">
        <f>HYPERLINK("https://www.moneytimes.com.br/cosan-csan3-bba-reforca-tese-por-desconto-e-potencial-de-subsidiarias-hora-de-comprar/")</f>
        <v>https://www.moneytimes.com.br/cosan-csan3-bba-reforca-tese-por-desconto-e-potencial-de-subsidiarias-hora-de-comprar/</v>
      </c>
      <c r="Y2296" s="77" t="s">
        <v>7053</v>
      </c>
      <c r="Z2296" s="77"/>
      <c r="AA2296" s="77"/>
      <c r="AB2296" s="77"/>
      <c r="AC2296" s="82" t="s">
        <v>8255</v>
      </c>
      <c r="AD2296" s="77" t="s">
        <v>8278</v>
      </c>
      <c r="AE2296" s="80" t="str">
        <f>HYPERLINK("https://twitter.com/leiaagrotimes/status/1678474085003587585")</f>
        <v>https://twitter.com/leiaagrotimes/status/1678474085003587585</v>
      </c>
      <c r="AF2296" s="79">
        <v>45117.777557870373</v>
      </c>
      <c r="AG2296" s="85">
        <v>45117</v>
      </c>
      <c r="AH2296" s="82" t="s">
        <v>10360</v>
      </c>
      <c r="AI2296" s="77" t="b">
        <v>0</v>
      </c>
      <c r="AJ2296" s="77"/>
      <c r="AK2296" s="77"/>
      <c r="AL2296" s="77"/>
      <c r="AM2296" s="77"/>
      <c r="AN2296" s="77"/>
      <c r="AO2296" s="77"/>
      <c r="AP2296" s="77"/>
      <c r="AQ2296" s="77"/>
      <c r="AR2296" s="77"/>
      <c r="AS2296" s="77"/>
      <c r="AT2296" s="77"/>
      <c r="AU2296" s="77"/>
      <c r="AV2296" s="80" t="str">
        <f>HYPERLINK("https://pbs.twimg.com/profile_images/1365395023072817162/ZI8fAPrO_normal.jpg")</f>
        <v>https://pbs.twimg.com/profile_images/1365395023072817162/ZI8fAPrO_normal.jpg</v>
      </c>
      <c r="AW2296" s="82" t="s">
        <v>15381</v>
      </c>
      <c r="AX2296" s="82" t="s">
        <v>15381</v>
      </c>
      <c r="AY2296" s="77"/>
      <c r="AZ2296" s="82" t="s">
        <v>17385</v>
      </c>
      <c r="BA2296" s="82" t="s">
        <v>17385</v>
      </c>
      <c r="BB2296" s="82" t="s">
        <v>17385</v>
      </c>
      <c r="BC2296" s="82" t="s">
        <v>15381</v>
      </c>
      <c r="BD2296" s="82" t="s">
        <v>17641</v>
      </c>
      <c r="BE2296" s="77"/>
      <c r="BF2296" s="77"/>
      <c r="BG2296" s="77"/>
      <c r="BH2296" s="77"/>
      <c r="BI2296" s="77"/>
    </row>
    <row r="2297" spans="1:61" x14ac:dyDescent="0.25">
      <c r="A2297" s="62" t="s">
        <v>604</v>
      </c>
      <c r="B2297" s="62" t="s">
        <v>604</v>
      </c>
      <c r="C2297" s="63"/>
      <c r="D2297" s="64"/>
      <c r="E2297" s="65"/>
      <c r="F2297" s="66"/>
      <c r="G2297" s="63"/>
      <c r="H2297" s="67"/>
      <c r="I2297" s="68"/>
      <c r="J2297" s="68"/>
      <c r="K2297" s="32"/>
      <c r="L2297" s="75">
        <v>2297</v>
      </c>
      <c r="M2297" s="75"/>
      <c r="N2297" s="70"/>
      <c r="O2297" s="77" t="s">
        <v>179</v>
      </c>
      <c r="P2297" s="79">
        <v>45095.583865740744</v>
      </c>
      <c r="Q2297" s="77" t="s">
        <v>3076</v>
      </c>
      <c r="R2297" s="77">
        <v>0</v>
      </c>
      <c r="S2297" s="77">
        <v>0</v>
      </c>
      <c r="T2297" s="77">
        <v>0</v>
      </c>
      <c r="U2297" s="77">
        <v>0</v>
      </c>
      <c r="V2297" s="77">
        <v>121</v>
      </c>
      <c r="W2297" s="82" t="s">
        <v>6251</v>
      </c>
      <c r="X2297" s="80" t="str">
        <f>HYPERLINK("https://www.moneytimes.com.br/jbs-jbss3-e-minerva-beef3-exportam-boi-com-desconto-fpa-aceita-plano-safra-20-menor-vaca-milionaria-e-mais-veja-5-assuntos-no-agro-times/")</f>
        <v>https://www.moneytimes.com.br/jbs-jbss3-e-minerva-beef3-exportam-boi-com-desconto-fpa-aceita-plano-safra-20-menor-vaca-milionaria-e-mais-veja-5-assuntos-no-agro-times/</v>
      </c>
      <c r="Y2297" s="77" t="s">
        <v>7053</v>
      </c>
      <c r="Z2297" s="77"/>
      <c r="AA2297" s="77"/>
      <c r="AB2297" s="77"/>
      <c r="AC2297" s="82" t="s">
        <v>8255</v>
      </c>
      <c r="AD2297" s="77" t="s">
        <v>8278</v>
      </c>
      <c r="AE2297" s="80" t="str">
        <f>HYPERLINK("https://twitter.com/leiaagrotimes/status/1670431360912175104")</f>
        <v>https://twitter.com/leiaagrotimes/status/1670431360912175104</v>
      </c>
      <c r="AF2297" s="79">
        <v>45095.583865740744</v>
      </c>
      <c r="AG2297" s="85">
        <v>45095</v>
      </c>
      <c r="AH2297" s="82" t="s">
        <v>10361</v>
      </c>
      <c r="AI2297" s="77" t="b">
        <v>0</v>
      </c>
      <c r="AJ2297" s="77"/>
      <c r="AK2297" s="77"/>
      <c r="AL2297" s="77"/>
      <c r="AM2297" s="77"/>
      <c r="AN2297" s="77"/>
      <c r="AO2297" s="77"/>
      <c r="AP2297" s="77"/>
      <c r="AQ2297" s="77"/>
      <c r="AR2297" s="77"/>
      <c r="AS2297" s="77"/>
      <c r="AT2297" s="77"/>
      <c r="AU2297" s="77"/>
      <c r="AV2297" s="80" t="str">
        <f>HYPERLINK("https://pbs.twimg.com/profile_images/1365395023072817162/ZI8fAPrO_normal.jpg")</f>
        <v>https://pbs.twimg.com/profile_images/1365395023072817162/ZI8fAPrO_normal.jpg</v>
      </c>
      <c r="AW2297" s="82" t="s">
        <v>15382</v>
      </c>
      <c r="AX2297" s="82" t="s">
        <v>15382</v>
      </c>
      <c r="AY2297" s="77"/>
      <c r="AZ2297" s="82" t="s">
        <v>17385</v>
      </c>
      <c r="BA2297" s="82" t="s">
        <v>17385</v>
      </c>
      <c r="BB2297" s="82" t="s">
        <v>17385</v>
      </c>
      <c r="BC2297" s="82" t="s">
        <v>15382</v>
      </c>
      <c r="BD2297" s="82" t="s">
        <v>17641</v>
      </c>
      <c r="BE2297" s="77"/>
      <c r="BF2297" s="77"/>
      <c r="BG2297" s="77"/>
      <c r="BH2297" s="77"/>
      <c r="BI2297" s="77"/>
    </row>
    <row r="2298" spans="1:61" x14ac:dyDescent="0.25">
      <c r="A2298" s="62" t="s">
        <v>604</v>
      </c>
      <c r="B2298" s="62" t="s">
        <v>604</v>
      </c>
      <c r="C2298" s="63"/>
      <c r="D2298" s="64"/>
      <c r="E2298" s="65"/>
      <c r="F2298" s="66"/>
      <c r="G2298" s="63"/>
      <c r="H2298" s="67"/>
      <c r="I2298" s="68"/>
      <c r="J2298" s="68"/>
      <c r="K2298" s="32"/>
      <c r="L2298" s="75">
        <v>2298</v>
      </c>
      <c r="M2298" s="75"/>
      <c r="N2298" s="70"/>
      <c r="O2298" s="77" t="s">
        <v>179</v>
      </c>
      <c r="P2298" s="79">
        <v>45092.781574074077</v>
      </c>
      <c r="Q2298" s="77" t="s">
        <v>3077</v>
      </c>
      <c r="R2298" s="77">
        <v>0</v>
      </c>
      <c r="S2298" s="77">
        <v>1</v>
      </c>
      <c r="T2298" s="77">
        <v>0</v>
      </c>
      <c r="U2298" s="77">
        <v>0</v>
      </c>
      <c r="V2298" s="77">
        <v>116</v>
      </c>
      <c r="W2298" s="82" t="s">
        <v>6251</v>
      </c>
      <c r="X2298" s="80" t="str">
        <f>HYPERLINK("https://www.moneytimes.com.br/suzano-suzb3-acoes-sobem-quase-3-apos-anuncio-e-klabin-klbn11-surfa-onda-entenda-as-altas/")</f>
        <v>https://www.moneytimes.com.br/suzano-suzb3-acoes-sobem-quase-3-apos-anuncio-e-klabin-klbn11-surfa-onda-entenda-as-altas/</v>
      </c>
      <c r="Y2298" s="77" t="s">
        <v>7053</v>
      </c>
      <c r="Z2298" s="77"/>
      <c r="AA2298" s="77"/>
      <c r="AB2298" s="77"/>
      <c r="AC2298" s="82" t="s">
        <v>8255</v>
      </c>
      <c r="AD2298" s="77" t="s">
        <v>8278</v>
      </c>
      <c r="AE2298" s="80" t="str">
        <f>HYPERLINK("https://twitter.com/leiaagrotimes/status/1669415844256907264")</f>
        <v>https://twitter.com/leiaagrotimes/status/1669415844256907264</v>
      </c>
      <c r="AF2298" s="79">
        <v>45092.781574074077</v>
      </c>
      <c r="AG2298" s="85">
        <v>45092</v>
      </c>
      <c r="AH2298" s="82" t="s">
        <v>10362</v>
      </c>
      <c r="AI2298" s="77" t="b">
        <v>0</v>
      </c>
      <c r="AJ2298" s="77"/>
      <c r="AK2298" s="77"/>
      <c r="AL2298" s="77"/>
      <c r="AM2298" s="77"/>
      <c r="AN2298" s="77"/>
      <c r="AO2298" s="77"/>
      <c r="AP2298" s="77"/>
      <c r="AQ2298" s="77"/>
      <c r="AR2298" s="77"/>
      <c r="AS2298" s="77"/>
      <c r="AT2298" s="77"/>
      <c r="AU2298" s="77"/>
      <c r="AV2298" s="80" t="str">
        <f>HYPERLINK("https://pbs.twimg.com/profile_images/1365395023072817162/ZI8fAPrO_normal.jpg")</f>
        <v>https://pbs.twimg.com/profile_images/1365395023072817162/ZI8fAPrO_normal.jpg</v>
      </c>
      <c r="AW2298" s="82" t="s">
        <v>15383</v>
      </c>
      <c r="AX2298" s="82" t="s">
        <v>15383</v>
      </c>
      <c r="AY2298" s="77"/>
      <c r="AZ2298" s="82" t="s">
        <v>17385</v>
      </c>
      <c r="BA2298" s="82" t="s">
        <v>17385</v>
      </c>
      <c r="BB2298" s="82" t="s">
        <v>17385</v>
      </c>
      <c r="BC2298" s="82" t="s">
        <v>15383</v>
      </c>
      <c r="BD2298" s="82" t="s">
        <v>17641</v>
      </c>
      <c r="BE2298" s="77"/>
      <c r="BF2298" s="77"/>
      <c r="BG2298" s="77"/>
      <c r="BH2298" s="77"/>
      <c r="BI2298" s="77"/>
    </row>
    <row r="2299" spans="1:61" x14ac:dyDescent="0.25">
      <c r="A2299" s="62" t="s">
        <v>604</v>
      </c>
      <c r="B2299" s="62" t="s">
        <v>604</v>
      </c>
      <c r="C2299" s="63"/>
      <c r="D2299" s="64"/>
      <c r="E2299" s="65"/>
      <c r="F2299" s="66"/>
      <c r="G2299" s="63"/>
      <c r="H2299" s="67"/>
      <c r="I2299" s="68"/>
      <c r="J2299" s="68"/>
      <c r="K2299" s="32"/>
      <c r="L2299" s="75">
        <v>2299</v>
      </c>
      <c r="M2299" s="75"/>
      <c r="N2299" s="70"/>
      <c r="O2299" s="77" t="s">
        <v>179</v>
      </c>
      <c r="P2299" s="79">
        <v>45091.505219907405</v>
      </c>
      <c r="Q2299" s="77" t="s">
        <v>3078</v>
      </c>
      <c r="R2299" s="77">
        <v>0</v>
      </c>
      <c r="S2299" s="77">
        <v>1</v>
      </c>
      <c r="T2299" s="77">
        <v>0</v>
      </c>
      <c r="U2299" s="77">
        <v>0</v>
      </c>
      <c r="V2299" s="77">
        <v>121</v>
      </c>
      <c r="W2299" s="82" t="s">
        <v>6285</v>
      </c>
      <c r="X2299" s="80" t="str">
        <f>HYPERLINK("https://www.moneytimes.com.br/ambev-abev3-joga-agua-no-chopp-da-suzano-suzb3-e-lidera-ranking-esg-veja-top-10/")</f>
        <v>https://www.moneytimes.com.br/ambev-abev3-joga-agua-no-chopp-da-suzano-suzb3-e-lidera-ranking-esg-veja-top-10/</v>
      </c>
      <c r="Y2299" s="77" t="s">
        <v>7053</v>
      </c>
      <c r="Z2299" s="77"/>
      <c r="AA2299" s="77"/>
      <c r="AB2299" s="77"/>
      <c r="AC2299" s="82" t="s">
        <v>8255</v>
      </c>
      <c r="AD2299" s="77" t="s">
        <v>8278</v>
      </c>
      <c r="AE2299" s="80" t="str">
        <f>HYPERLINK("https://twitter.com/leiaagrotimes/status/1668953311381270528")</f>
        <v>https://twitter.com/leiaagrotimes/status/1668953311381270528</v>
      </c>
      <c r="AF2299" s="79">
        <v>45091.505219907405</v>
      </c>
      <c r="AG2299" s="85">
        <v>45091</v>
      </c>
      <c r="AH2299" s="82" t="s">
        <v>10363</v>
      </c>
      <c r="AI2299" s="77" t="b">
        <v>0</v>
      </c>
      <c r="AJ2299" s="77"/>
      <c r="AK2299" s="77"/>
      <c r="AL2299" s="77"/>
      <c r="AM2299" s="77"/>
      <c r="AN2299" s="77"/>
      <c r="AO2299" s="77"/>
      <c r="AP2299" s="77"/>
      <c r="AQ2299" s="77"/>
      <c r="AR2299" s="77"/>
      <c r="AS2299" s="77"/>
      <c r="AT2299" s="77"/>
      <c r="AU2299" s="77"/>
      <c r="AV2299" s="80" t="str">
        <f>HYPERLINK("https://pbs.twimg.com/profile_images/1365395023072817162/ZI8fAPrO_normal.jpg")</f>
        <v>https://pbs.twimg.com/profile_images/1365395023072817162/ZI8fAPrO_normal.jpg</v>
      </c>
      <c r="AW2299" s="82" t="s">
        <v>15384</v>
      </c>
      <c r="AX2299" s="82" t="s">
        <v>15384</v>
      </c>
      <c r="AY2299" s="77"/>
      <c r="AZ2299" s="82" t="s">
        <v>17385</v>
      </c>
      <c r="BA2299" s="82" t="s">
        <v>17385</v>
      </c>
      <c r="BB2299" s="82" t="s">
        <v>17385</v>
      </c>
      <c r="BC2299" s="82" t="s">
        <v>15384</v>
      </c>
      <c r="BD2299" s="82" t="s">
        <v>17641</v>
      </c>
      <c r="BE2299" s="77"/>
      <c r="BF2299" s="77"/>
      <c r="BG2299" s="77"/>
      <c r="BH2299" s="77"/>
      <c r="BI2299" s="77"/>
    </row>
    <row r="2300" spans="1:61" x14ac:dyDescent="0.25">
      <c r="A2300" s="62" t="s">
        <v>604</v>
      </c>
      <c r="B2300" s="62" t="s">
        <v>604</v>
      </c>
      <c r="C2300" s="63"/>
      <c r="D2300" s="64"/>
      <c r="E2300" s="65"/>
      <c r="F2300" s="66"/>
      <c r="G2300" s="63"/>
      <c r="H2300" s="67"/>
      <c r="I2300" s="68"/>
      <c r="J2300" s="68"/>
      <c r="K2300" s="32"/>
      <c r="L2300" s="75">
        <v>2300</v>
      </c>
      <c r="M2300" s="75"/>
      <c r="N2300" s="70"/>
      <c r="O2300" s="77" t="s">
        <v>179</v>
      </c>
      <c r="P2300" s="79">
        <v>45057.851585648146</v>
      </c>
      <c r="Q2300" s="77" t="s">
        <v>3079</v>
      </c>
      <c r="R2300" s="77">
        <v>0</v>
      </c>
      <c r="S2300" s="77">
        <v>0</v>
      </c>
      <c r="T2300" s="77">
        <v>0</v>
      </c>
      <c r="U2300" s="77">
        <v>0</v>
      </c>
      <c r="V2300" s="77">
        <v>101</v>
      </c>
      <c r="W2300" s="82" t="s">
        <v>6259</v>
      </c>
      <c r="X2300" s="80" t="str">
        <f>HYPERLINK("https://www.moneytimes.com.br/brasilagro-agro3-dividendos-devem-retomar-patamares-de-anos-anteriores-diz-diretora-de-ri/")</f>
        <v>https://www.moneytimes.com.br/brasilagro-agro3-dividendos-devem-retomar-patamares-de-anos-anteriores-diz-diretora-de-ri/</v>
      </c>
      <c r="Y2300" s="77" t="s">
        <v>7053</v>
      </c>
      <c r="Z2300" s="77"/>
      <c r="AA2300" s="77"/>
      <c r="AB2300" s="77"/>
      <c r="AC2300" s="82" t="s">
        <v>8255</v>
      </c>
      <c r="AD2300" s="77" t="s">
        <v>8278</v>
      </c>
      <c r="AE2300" s="80" t="str">
        <f>HYPERLINK("https://twitter.com/leiaagrotimes/status/1656757640171516155")</f>
        <v>https://twitter.com/leiaagrotimes/status/1656757640171516155</v>
      </c>
      <c r="AF2300" s="79">
        <v>45057.851585648146</v>
      </c>
      <c r="AG2300" s="85">
        <v>45057</v>
      </c>
      <c r="AH2300" s="82" t="s">
        <v>10364</v>
      </c>
      <c r="AI2300" s="77" t="b">
        <v>0</v>
      </c>
      <c r="AJ2300" s="77"/>
      <c r="AK2300" s="77"/>
      <c r="AL2300" s="77"/>
      <c r="AM2300" s="77"/>
      <c r="AN2300" s="77"/>
      <c r="AO2300" s="77"/>
      <c r="AP2300" s="77"/>
      <c r="AQ2300" s="77"/>
      <c r="AR2300" s="77"/>
      <c r="AS2300" s="77"/>
      <c r="AT2300" s="77"/>
      <c r="AU2300" s="77"/>
      <c r="AV2300" s="80" t="str">
        <f>HYPERLINK("https://pbs.twimg.com/profile_images/1365395023072817162/ZI8fAPrO_normal.jpg")</f>
        <v>https://pbs.twimg.com/profile_images/1365395023072817162/ZI8fAPrO_normal.jpg</v>
      </c>
      <c r="AW2300" s="82" t="s">
        <v>15385</v>
      </c>
      <c r="AX2300" s="82" t="s">
        <v>15385</v>
      </c>
      <c r="AY2300" s="77"/>
      <c r="AZ2300" s="82" t="s">
        <v>17385</v>
      </c>
      <c r="BA2300" s="82" t="s">
        <v>17385</v>
      </c>
      <c r="BB2300" s="82" t="s">
        <v>17385</v>
      </c>
      <c r="BC2300" s="82" t="s">
        <v>15385</v>
      </c>
      <c r="BD2300" s="82" t="s">
        <v>17641</v>
      </c>
      <c r="BE2300" s="77"/>
      <c r="BF2300" s="77"/>
      <c r="BG2300" s="77"/>
      <c r="BH2300" s="77"/>
      <c r="BI2300" s="77"/>
    </row>
    <row r="2301" spans="1:61" x14ac:dyDescent="0.25">
      <c r="A2301" s="62" t="s">
        <v>604</v>
      </c>
      <c r="B2301" s="62" t="s">
        <v>604</v>
      </c>
      <c r="C2301" s="63"/>
      <c r="D2301" s="64"/>
      <c r="E2301" s="65"/>
      <c r="F2301" s="66"/>
      <c r="G2301" s="63"/>
      <c r="H2301" s="67"/>
      <c r="I2301" s="68"/>
      <c r="J2301" s="68"/>
      <c r="K2301" s="32"/>
      <c r="L2301" s="75">
        <v>2301</v>
      </c>
      <c r="M2301" s="75"/>
      <c r="N2301" s="70"/>
      <c r="O2301" s="77" t="s">
        <v>179</v>
      </c>
      <c r="P2301" s="79">
        <v>45196.63622685185</v>
      </c>
      <c r="Q2301" s="77" t="s">
        <v>3080</v>
      </c>
      <c r="R2301" s="77">
        <v>2</v>
      </c>
      <c r="S2301" s="77">
        <v>6</v>
      </c>
      <c r="T2301" s="77">
        <v>0</v>
      </c>
      <c r="U2301" s="77">
        <v>0</v>
      </c>
      <c r="V2301" s="77">
        <v>1487</v>
      </c>
      <c r="W2301" s="82" t="s">
        <v>5077</v>
      </c>
      <c r="X2301" s="80" t="str">
        <f>HYPERLINK("https://www.moneytimes.com.br/brf-brfs3-o-enigma-marfrig-mrfg3-apos-frigorifico-elevar-participacao-para-40/?ttmt")</f>
        <v>https://www.moneytimes.com.br/brf-brfs3-o-enigma-marfrig-mrfg3-apos-frigorifico-elevar-participacao-para-40/?ttmt</v>
      </c>
      <c r="Y2301" s="77" t="s">
        <v>7053</v>
      </c>
      <c r="Z2301" s="77"/>
      <c r="AA2301" s="77"/>
      <c r="AB2301" s="77"/>
      <c r="AC2301" s="82" t="s">
        <v>8232</v>
      </c>
      <c r="AD2301" s="77" t="s">
        <v>8278</v>
      </c>
      <c r="AE2301" s="80" t="str">
        <f>HYPERLINK("https://twitter.com/leiaagrotimes/status/1707051511535091997")</f>
        <v>https://twitter.com/leiaagrotimes/status/1707051511535091997</v>
      </c>
      <c r="AF2301" s="79">
        <v>45196.63622685185</v>
      </c>
      <c r="AG2301" s="85">
        <v>45196</v>
      </c>
      <c r="AH2301" s="82" t="s">
        <v>10365</v>
      </c>
      <c r="AI2301" s="77" t="b">
        <v>0</v>
      </c>
      <c r="AJ2301" s="77"/>
      <c r="AK2301" s="77"/>
      <c r="AL2301" s="77"/>
      <c r="AM2301" s="77"/>
      <c r="AN2301" s="77"/>
      <c r="AO2301" s="77"/>
      <c r="AP2301" s="77"/>
      <c r="AQ2301" s="77"/>
      <c r="AR2301" s="77"/>
      <c r="AS2301" s="77"/>
      <c r="AT2301" s="77"/>
      <c r="AU2301" s="77"/>
      <c r="AV2301" s="80" t="str">
        <f>HYPERLINK("https://pbs.twimg.com/profile_images/1365395023072817162/ZI8fAPrO_normal.jpg")</f>
        <v>https://pbs.twimg.com/profile_images/1365395023072817162/ZI8fAPrO_normal.jpg</v>
      </c>
      <c r="AW2301" s="82" t="s">
        <v>15386</v>
      </c>
      <c r="AX2301" s="82" t="s">
        <v>15386</v>
      </c>
      <c r="AY2301" s="77"/>
      <c r="AZ2301" s="82" t="s">
        <v>17385</v>
      </c>
      <c r="BA2301" s="82" t="s">
        <v>17385</v>
      </c>
      <c r="BB2301" s="82" t="s">
        <v>17385</v>
      </c>
      <c r="BC2301" s="82" t="s">
        <v>15386</v>
      </c>
      <c r="BD2301" s="82" t="s">
        <v>17641</v>
      </c>
      <c r="BE2301" s="77"/>
      <c r="BF2301" s="77"/>
      <c r="BG2301" s="77"/>
      <c r="BH2301" s="77"/>
      <c r="BI2301" s="77"/>
    </row>
    <row r="2302" spans="1:61" x14ac:dyDescent="0.25">
      <c r="A2302" s="62" t="s">
        <v>604</v>
      </c>
      <c r="B2302" s="62" t="s">
        <v>604</v>
      </c>
      <c r="C2302" s="63"/>
      <c r="D2302" s="64"/>
      <c r="E2302" s="65"/>
      <c r="F2302" s="66"/>
      <c r="G2302" s="63"/>
      <c r="H2302" s="67"/>
      <c r="I2302" s="68"/>
      <c r="J2302" s="68"/>
      <c r="K2302" s="32"/>
      <c r="L2302" s="75">
        <v>2302</v>
      </c>
      <c r="M2302" s="75"/>
      <c r="N2302" s="70"/>
      <c r="O2302" s="77" t="s">
        <v>179</v>
      </c>
      <c r="P2302" s="79">
        <v>45172.698252314818</v>
      </c>
      <c r="Q2302" s="77" t="s">
        <v>3081</v>
      </c>
      <c r="R2302" s="77">
        <v>0</v>
      </c>
      <c r="S2302" s="77">
        <v>1</v>
      </c>
      <c r="T2302" s="77">
        <v>0</v>
      </c>
      <c r="U2302" s="77">
        <v>0</v>
      </c>
      <c r="V2302" s="77">
        <v>89</v>
      </c>
      <c r="W2302" s="82" t="s">
        <v>6259</v>
      </c>
      <c r="X2302" s="80" t="str">
        <f>HYPERLINK("https://www.moneytimes.com.br/sao-martinho-smto3-lidera-altas-na-b3-em-agosto-vermelho-do-ibovespa-os-3-fatores-que-explicam-e-o-que-fazer/")</f>
        <v>https://www.moneytimes.com.br/sao-martinho-smto3-lidera-altas-na-b3-em-agosto-vermelho-do-ibovespa-os-3-fatores-que-explicam-e-o-que-fazer/</v>
      </c>
      <c r="Y2302" s="77" t="s">
        <v>7053</v>
      </c>
      <c r="Z2302" s="77"/>
      <c r="AA2302" s="77"/>
      <c r="AB2302" s="77"/>
      <c r="AC2302" s="82" t="s">
        <v>8255</v>
      </c>
      <c r="AD2302" s="77" t="s">
        <v>8278</v>
      </c>
      <c r="AE2302" s="80" t="str">
        <f>HYPERLINK("https://twitter.com/leiaagrotimes/status/1698376678852976735")</f>
        <v>https://twitter.com/leiaagrotimes/status/1698376678852976735</v>
      </c>
      <c r="AF2302" s="79">
        <v>45172.698252314818</v>
      </c>
      <c r="AG2302" s="85">
        <v>45172</v>
      </c>
      <c r="AH2302" s="82" t="s">
        <v>10366</v>
      </c>
      <c r="AI2302" s="77" t="b">
        <v>0</v>
      </c>
      <c r="AJ2302" s="77"/>
      <c r="AK2302" s="77"/>
      <c r="AL2302" s="77"/>
      <c r="AM2302" s="77"/>
      <c r="AN2302" s="77"/>
      <c r="AO2302" s="77"/>
      <c r="AP2302" s="77"/>
      <c r="AQ2302" s="77"/>
      <c r="AR2302" s="77"/>
      <c r="AS2302" s="77"/>
      <c r="AT2302" s="77"/>
      <c r="AU2302" s="77"/>
      <c r="AV2302" s="80" t="str">
        <f>HYPERLINK("https://pbs.twimg.com/profile_images/1365395023072817162/ZI8fAPrO_normal.jpg")</f>
        <v>https://pbs.twimg.com/profile_images/1365395023072817162/ZI8fAPrO_normal.jpg</v>
      </c>
      <c r="AW2302" s="82" t="s">
        <v>15387</v>
      </c>
      <c r="AX2302" s="82" t="s">
        <v>15387</v>
      </c>
      <c r="AY2302" s="77"/>
      <c r="AZ2302" s="82" t="s">
        <v>17385</v>
      </c>
      <c r="BA2302" s="82" t="s">
        <v>17385</v>
      </c>
      <c r="BB2302" s="82" t="s">
        <v>17385</v>
      </c>
      <c r="BC2302" s="82" t="s">
        <v>15387</v>
      </c>
      <c r="BD2302" s="82" t="s">
        <v>17641</v>
      </c>
      <c r="BE2302" s="77"/>
      <c r="BF2302" s="77"/>
      <c r="BG2302" s="77"/>
      <c r="BH2302" s="77"/>
      <c r="BI2302" s="77"/>
    </row>
    <row r="2303" spans="1:61" x14ac:dyDescent="0.25">
      <c r="A2303" s="62" t="s">
        <v>604</v>
      </c>
      <c r="B2303" s="62" t="s">
        <v>604</v>
      </c>
      <c r="C2303" s="63"/>
      <c r="D2303" s="64"/>
      <c r="E2303" s="65"/>
      <c r="F2303" s="66"/>
      <c r="G2303" s="63"/>
      <c r="H2303" s="67"/>
      <c r="I2303" s="68"/>
      <c r="J2303" s="68"/>
      <c r="K2303" s="32"/>
      <c r="L2303" s="75">
        <v>2303</v>
      </c>
      <c r="M2303" s="75"/>
      <c r="N2303" s="70"/>
      <c r="O2303" s="77" t="s">
        <v>179</v>
      </c>
      <c r="P2303" s="79">
        <v>45172.649664351855</v>
      </c>
      <c r="Q2303" s="77" t="s">
        <v>3082</v>
      </c>
      <c r="R2303" s="77">
        <v>0</v>
      </c>
      <c r="S2303" s="77">
        <v>1</v>
      </c>
      <c r="T2303" s="77">
        <v>0</v>
      </c>
      <c r="U2303" s="77">
        <v>0</v>
      </c>
      <c r="V2303" s="77">
        <v>139</v>
      </c>
      <c r="W2303" s="82" t="s">
        <v>6258</v>
      </c>
      <c r="X2303" s="80" t="str">
        <f>HYPERLINK("https://www.moneytimes.com.br/minerva-beef3-hora-de-fugir-ou-comprar-xp-atualiza-tese-apos-aquisicao-de-ativos-da-marfrig-mrfg3-por-r-75-bilhoes/")</f>
        <v>https://www.moneytimes.com.br/minerva-beef3-hora-de-fugir-ou-comprar-xp-atualiza-tese-apos-aquisicao-de-ativos-da-marfrig-mrfg3-por-r-75-bilhoes/</v>
      </c>
      <c r="Y2303" s="77" t="s">
        <v>7053</v>
      </c>
      <c r="Z2303" s="77"/>
      <c r="AA2303" s="77"/>
      <c r="AB2303" s="77"/>
      <c r="AC2303" s="82" t="s">
        <v>8255</v>
      </c>
      <c r="AD2303" s="77" t="s">
        <v>8278</v>
      </c>
      <c r="AE2303" s="80" t="str">
        <f>HYPERLINK("https://twitter.com/leiaagrotimes/status/1698359074176249907")</f>
        <v>https://twitter.com/leiaagrotimes/status/1698359074176249907</v>
      </c>
      <c r="AF2303" s="79">
        <v>45172.649664351855</v>
      </c>
      <c r="AG2303" s="85">
        <v>45172</v>
      </c>
      <c r="AH2303" s="82" t="s">
        <v>10367</v>
      </c>
      <c r="AI2303" s="77" t="b">
        <v>0</v>
      </c>
      <c r="AJ2303" s="77"/>
      <c r="AK2303" s="77"/>
      <c r="AL2303" s="77"/>
      <c r="AM2303" s="77"/>
      <c r="AN2303" s="77"/>
      <c r="AO2303" s="77"/>
      <c r="AP2303" s="77"/>
      <c r="AQ2303" s="77"/>
      <c r="AR2303" s="77"/>
      <c r="AS2303" s="77"/>
      <c r="AT2303" s="77"/>
      <c r="AU2303" s="77"/>
      <c r="AV2303" s="80" t="str">
        <f>HYPERLINK("https://pbs.twimg.com/profile_images/1365395023072817162/ZI8fAPrO_normal.jpg")</f>
        <v>https://pbs.twimg.com/profile_images/1365395023072817162/ZI8fAPrO_normal.jpg</v>
      </c>
      <c r="AW2303" s="82" t="s">
        <v>15388</v>
      </c>
      <c r="AX2303" s="82" t="s">
        <v>15388</v>
      </c>
      <c r="AY2303" s="77"/>
      <c r="AZ2303" s="82" t="s">
        <v>17385</v>
      </c>
      <c r="BA2303" s="82" t="s">
        <v>17385</v>
      </c>
      <c r="BB2303" s="82" t="s">
        <v>17385</v>
      </c>
      <c r="BC2303" s="82" t="s">
        <v>15388</v>
      </c>
      <c r="BD2303" s="82" t="s">
        <v>17641</v>
      </c>
      <c r="BE2303" s="77"/>
      <c r="BF2303" s="77"/>
      <c r="BG2303" s="77"/>
      <c r="BH2303" s="77"/>
      <c r="BI2303" s="77"/>
    </row>
    <row r="2304" spans="1:61" x14ac:dyDescent="0.25">
      <c r="A2304" s="62" t="s">
        <v>604</v>
      </c>
      <c r="B2304" s="62" t="s">
        <v>604</v>
      </c>
      <c r="C2304" s="63"/>
      <c r="D2304" s="64"/>
      <c r="E2304" s="65"/>
      <c r="F2304" s="66"/>
      <c r="G2304" s="63"/>
      <c r="H2304" s="67"/>
      <c r="I2304" s="68"/>
      <c r="J2304" s="68"/>
      <c r="K2304" s="32"/>
      <c r="L2304" s="75">
        <v>2304</v>
      </c>
      <c r="M2304" s="75"/>
      <c r="N2304" s="70"/>
      <c r="O2304" s="77" t="s">
        <v>179</v>
      </c>
      <c r="P2304" s="79">
        <v>45172.542349537034</v>
      </c>
      <c r="Q2304" s="77" t="s">
        <v>3083</v>
      </c>
      <c r="R2304" s="77">
        <v>0</v>
      </c>
      <c r="S2304" s="77">
        <v>1</v>
      </c>
      <c r="T2304" s="77">
        <v>0</v>
      </c>
      <c r="U2304" s="77">
        <v>0</v>
      </c>
      <c r="V2304" s="77">
        <v>107</v>
      </c>
      <c r="W2304" s="82" t="s">
        <v>6251</v>
      </c>
      <c r="X2304" s="80" t="str">
        <f>HYPERLINK("https://www.moneytimes.com.br/minerva-beef3-desbanca-jbs-jbss3-que-emite-quase-r-2-bi-em-gado-acordo-brasil-e-argentina-e-mais-veja-5-temas-no-agro-times/")</f>
        <v>https://www.moneytimes.com.br/minerva-beef3-desbanca-jbs-jbss3-que-emite-quase-r-2-bi-em-gado-acordo-brasil-e-argentina-e-mais-veja-5-temas-no-agro-times/</v>
      </c>
      <c r="Y2304" s="77" t="s">
        <v>7053</v>
      </c>
      <c r="Z2304" s="77"/>
      <c r="AA2304" s="77"/>
      <c r="AB2304" s="77"/>
      <c r="AC2304" s="82" t="s">
        <v>8255</v>
      </c>
      <c r="AD2304" s="77" t="s">
        <v>8278</v>
      </c>
      <c r="AE2304" s="80" t="str">
        <f>HYPERLINK("https://twitter.com/leiaagrotimes/status/1698320180898562182")</f>
        <v>https://twitter.com/leiaagrotimes/status/1698320180898562182</v>
      </c>
      <c r="AF2304" s="79">
        <v>45172.542349537034</v>
      </c>
      <c r="AG2304" s="85">
        <v>45172</v>
      </c>
      <c r="AH2304" s="82" t="s">
        <v>10368</v>
      </c>
      <c r="AI2304" s="77" t="b">
        <v>0</v>
      </c>
      <c r="AJ2304" s="77"/>
      <c r="AK2304" s="77"/>
      <c r="AL2304" s="77"/>
      <c r="AM2304" s="77"/>
      <c r="AN2304" s="77"/>
      <c r="AO2304" s="77"/>
      <c r="AP2304" s="77"/>
      <c r="AQ2304" s="77"/>
      <c r="AR2304" s="77"/>
      <c r="AS2304" s="77"/>
      <c r="AT2304" s="77"/>
      <c r="AU2304" s="77"/>
      <c r="AV2304" s="80" t="str">
        <f>HYPERLINK("https://pbs.twimg.com/profile_images/1365395023072817162/ZI8fAPrO_normal.jpg")</f>
        <v>https://pbs.twimg.com/profile_images/1365395023072817162/ZI8fAPrO_normal.jpg</v>
      </c>
      <c r="AW2304" s="82" t="s">
        <v>15389</v>
      </c>
      <c r="AX2304" s="82" t="s">
        <v>15389</v>
      </c>
      <c r="AY2304" s="77"/>
      <c r="AZ2304" s="82" t="s">
        <v>17385</v>
      </c>
      <c r="BA2304" s="82" t="s">
        <v>17385</v>
      </c>
      <c r="BB2304" s="82" t="s">
        <v>17385</v>
      </c>
      <c r="BC2304" s="82" t="s">
        <v>15389</v>
      </c>
      <c r="BD2304" s="82" t="s">
        <v>17641</v>
      </c>
      <c r="BE2304" s="77"/>
      <c r="BF2304" s="77"/>
      <c r="BG2304" s="77"/>
      <c r="BH2304" s="77"/>
      <c r="BI2304" s="77"/>
    </row>
    <row r="2305" spans="1:61" x14ac:dyDescent="0.25">
      <c r="A2305" s="62" t="s">
        <v>604</v>
      </c>
      <c r="B2305" s="62" t="s">
        <v>604</v>
      </c>
      <c r="C2305" s="63"/>
      <c r="D2305" s="64"/>
      <c r="E2305" s="65"/>
      <c r="F2305" s="66"/>
      <c r="G2305" s="63"/>
      <c r="H2305" s="67"/>
      <c r="I2305" s="68"/>
      <c r="J2305" s="68"/>
      <c r="K2305" s="32"/>
      <c r="L2305" s="75">
        <v>2305</v>
      </c>
      <c r="M2305" s="75"/>
      <c r="N2305" s="70"/>
      <c r="O2305" s="77" t="s">
        <v>179</v>
      </c>
      <c r="P2305" s="79">
        <v>45169.768206018518</v>
      </c>
      <c r="Q2305" s="77" t="s">
        <v>3084</v>
      </c>
      <c r="R2305" s="77">
        <v>0</v>
      </c>
      <c r="S2305" s="77">
        <v>0</v>
      </c>
      <c r="T2305" s="77">
        <v>0</v>
      </c>
      <c r="U2305" s="77">
        <v>0</v>
      </c>
      <c r="V2305" s="77">
        <v>114</v>
      </c>
      <c r="W2305" s="82" t="s">
        <v>6257</v>
      </c>
      <c r="X2305" s="80" t="str">
        <f>HYPERLINK("https://www.moneytimes.com.br/brf-brfs3-o-que-derruba-a-acao-na-b3-nesta-quinta-feira-31/")</f>
        <v>https://www.moneytimes.com.br/brf-brfs3-o-que-derruba-a-acao-na-b3-nesta-quinta-feira-31/</v>
      </c>
      <c r="Y2305" s="77" t="s">
        <v>7053</v>
      </c>
      <c r="Z2305" s="77"/>
      <c r="AA2305" s="77"/>
      <c r="AB2305" s="77"/>
      <c r="AC2305" s="82" t="s">
        <v>8255</v>
      </c>
      <c r="AD2305" s="77" t="s">
        <v>8278</v>
      </c>
      <c r="AE2305" s="80" t="str">
        <f>HYPERLINK("https://twitter.com/leiaagrotimes/status/1697314866145435667")</f>
        <v>https://twitter.com/leiaagrotimes/status/1697314866145435667</v>
      </c>
      <c r="AF2305" s="79">
        <v>45169.768206018518</v>
      </c>
      <c r="AG2305" s="85">
        <v>45169</v>
      </c>
      <c r="AH2305" s="82" t="s">
        <v>10369</v>
      </c>
      <c r="AI2305" s="77" t="b">
        <v>0</v>
      </c>
      <c r="AJ2305" s="77"/>
      <c r="AK2305" s="77"/>
      <c r="AL2305" s="77"/>
      <c r="AM2305" s="77"/>
      <c r="AN2305" s="77"/>
      <c r="AO2305" s="77"/>
      <c r="AP2305" s="77"/>
      <c r="AQ2305" s="77"/>
      <c r="AR2305" s="77"/>
      <c r="AS2305" s="77"/>
      <c r="AT2305" s="77"/>
      <c r="AU2305" s="77"/>
      <c r="AV2305" s="80" t="str">
        <f>HYPERLINK("https://pbs.twimg.com/profile_images/1365395023072817162/ZI8fAPrO_normal.jpg")</f>
        <v>https://pbs.twimg.com/profile_images/1365395023072817162/ZI8fAPrO_normal.jpg</v>
      </c>
      <c r="AW2305" s="82" t="s">
        <v>15390</v>
      </c>
      <c r="AX2305" s="82" t="s">
        <v>15390</v>
      </c>
      <c r="AY2305" s="77"/>
      <c r="AZ2305" s="82" t="s">
        <v>17385</v>
      </c>
      <c r="BA2305" s="82" t="s">
        <v>17385</v>
      </c>
      <c r="BB2305" s="82" t="s">
        <v>17385</v>
      </c>
      <c r="BC2305" s="82" t="s">
        <v>15390</v>
      </c>
      <c r="BD2305" s="82" t="s">
        <v>17641</v>
      </c>
      <c r="BE2305" s="77"/>
      <c r="BF2305" s="77"/>
      <c r="BG2305" s="77"/>
      <c r="BH2305" s="77"/>
      <c r="BI2305" s="77"/>
    </row>
    <row r="2306" spans="1:61" x14ac:dyDescent="0.25">
      <c r="A2306" s="62" t="s">
        <v>604</v>
      </c>
      <c r="B2306" s="62" t="s">
        <v>604</v>
      </c>
      <c r="C2306" s="63"/>
      <c r="D2306" s="64"/>
      <c r="E2306" s="65"/>
      <c r="F2306" s="66"/>
      <c r="G2306" s="63"/>
      <c r="H2306" s="67"/>
      <c r="I2306" s="68"/>
      <c r="J2306" s="68"/>
      <c r="K2306" s="32"/>
      <c r="L2306" s="75">
        <v>2306</v>
      </c>
      <c r="M2306" s="75"/>
      <c r="N2306" s="70"/>
      <c r="O2306" s="77" t="s">
        <v>179</v>
      </c>
      <c r="P2306" s="79">
        <v>45169.676608796297</v>
      </c>
      <c r="Q2306" s="77" t="s">
        <v>3085</v>
      </c>
      <c r="R2306" s="77">
        <v>0</v>
      </c>
      <c r="S2306" s="77">
        <v>0</v>
      </c>
      <c r="T2306" s="77">
        <v>0</v>
      </c>
      <c r="U2306" s="77">
        <v>0</v>
      </c>
      <c r="V2306" s="77">
        <v>108</v>
      </c>
      <c r="W2306" s="82" t="s">
        <v>6286</v>
      </c>
      <c r="X2306" s="80" t="str">
        <f>HYPERLINK("https://www.moneytimes.com.br/as-3-acoes-para-ficar-de-olho-e-investir-com-super-el-nino/")</f>
        <v>https://www.moneytimes.com.br/as-3-acoes-para-ficar-de-olho-e-investir-com-super-el-nino/</v>
      </c>
      <c r="Y2306" s="77" t="s">
        <v>7053</v>
      </c>
      <c r="Z2306" s="77"/>
      <c r="AA2306" s="77"/>
      <c r="AB2306" s="77"/>
      <c r="AC2306" s="82" t="s">
        <v>8255</v>
      </c>
      <c r="AD2306" s="77" t="s">
        <v>8278</v>
      </c>
      <c r="AE2306" s="80" t="str">
        <f>HYPERLINK("https://twitter.com/leiaagrotimes/status/1697281674193539174")</f>
        <v>https://twitter.com/leiaagrotimes/status/1697281674193539174</v>
      </c>
      <c r="AF2306" s="79">
        <v>45169.676608796297</v>
      </c>
      <c r="AG2306" s="85">
        <v>45169</v>
      </c>
      <c r="AH2306" s="82" t="s">
        <v>10370</v>
      </c>
      <c r="AI2306" s="77" t="b">
        <v>0</v>
      </c>
      <c r="AJ2306" s="77"/>
      <c r="AK2306" s="77"/>
      <c r="AL2306" s="77"/>
      <c r="AM2306" s="77"/>
      <c r="AN2306" s="77"/>
      <c r="AO2306" s="77"/>
      <c r="AP2306" s="77"/>
      <c r="AQ2306" s="77"/>
      <c r="AR2306" s="77"/>
      <c r="AS2306" s="77"/>
      <c r="AT2306" s="77"/>
      <c r="AU2306" s="77"/>
      <c r="AV2306" s="80" t="str">
        <f>HYPERLINK("https://pbs.twimg.com/profile_images/1365395023072817162/ZI8fAPrO_normal.jpg")</f>
        <v>https://pbs.twimg.com/profile_images/1365395023072817162/ZI8fAPrO_normal.jpg</v>
      </c>
      <c r="AW2306" s="82" t="s">
        <v>15391</v>
      </c>
      <c r="AX2306" s="82" t="s">
        <v>15391</v>
      </c>
      <c r="AY2306" s="77"/>
      <c r="AZ2306" s="82" t="s">
        <v>17385</v>
      </c>
      <c r="BA2306" s="82" t="s">
        <v>17385</v>
      </c>
      <c r="BB2306" s="82" t="s">
        <v>17385</v>
      </c>
      <c r="BC2306" s="82" t="s">
        <v>15391</v>
      </c>
      <c r="BD2306" s="82" t="s">
        <v>17641</v>
      </c>
      <c r="BE2306" s="77"/>
      <c r="BF2306" s="77"/>
      <c r="BG2306" s="77"/>
      <c r="BH2306" s="77"/>
      <c r="BI2306" s="77"/>
    </row>
    <row r="2307" spans="1:61" x14ac:dyDescent="0.25">
      <c r="A2307" s="62" t="s">
        <v>604</v>
      </c>
      <c r="B2307" s="62" t="s">
        <v>604</v>
      </c>
      <c r="C2307" s="63"/>
      <c r="D2307" s="64"/>
      <c r="E2307" s="65"/>
      <c r="F2307" s="66"/>
      <c r="G2307" s="63"/>
      <c r="H2307" s="67"/>
      <c r="I2307" s="68"/>
      <c r="J2307" s="68"/>
      <c r="K2307" s="32"/>
      <c r="L2307" s="75">
        <v>2307</v>
      </c>
      <c r="M2307" s="75"/>
      <c r="N2307" s="70"/>
      <c r="O2307" s="77" t="s">
        <v>179</v>
      </c>
      <c r="P2307" s="79">
        <v>45169.58357638889</v>
      </c>
      <c r="Q2307" s="77" t="s">
        <v>3086</v>
      </c>
      <c r="R2307" s="77">
        <v>0</v>
      </c>
      <c r="S2307" s="77">
        <v>0</v>
      </c>
      <c r="T2307" s="77">
        <v>0</v>
      </c>
      <c r="U2307" s="77">
        <v>0</v>
      </c>
      <c r="V2307" s="77">
        <v>147</v>
      </c>
      <c r="W2307" s="82" t="s">
        <v>6282</v>
      </c>
      <c r="X2307" s="80" t="str">
        <f>HYPERLINK("https://www.moneytimes.com.br/3tentos-tten3-xp-se-anima-com-agregacao-de-valor-mesmo-apos-acoes-tocarem-teto-vale-comprar/")</f>
        <v>https://www.moneytimes.com.br/3tentos-tten3-xp-se-anima-com-agregacao-de-valor-mesmo-apos-acoes-tocarem-teto-vale-comprar/</v>
      </c>
      <c r="Y2307" s="77" t="s">
        <v>7053</v>
      </c>
      <c r="Z2307" s="77"/>
      <c r="AA2307" s="77"/>
      <c r="AB2307" s="77"/>
      <c r="AC2307" s="82" t="s">
        <v>8255</v>
      </c>
      <c r="AD2307" s="77" t="s">
        <v>8278</v>
      </c>
      <c r="AE2307" s="80" t="str">
        <f>HYPERLINK("https://twitter.com/leiaagrotimes/status/1697247958029525276")</f>
        <v>https://twitter.com/leiaagrotimes/status/1697247958029525276</v>
      </c>
      <c r="AF2307" s="79">
        <v>45169.58357638889</v>
      </c>
      <c r="AG2307" s="85">
        <v>45169</v>
      </c>
      <c r="AH2307" s="82" t="s">
        <v>10371</v>
      </c>
      <c r="AI2307" s="77" t="b">
        <v>0</v>
      </c>
      <c r="AJ2307" s="77"/>
      <c r="AK2307" s="77"/>
      <c r="AL2307" s="77"/>
      <c r="AM2307" s="77"/>
      <c r="AN2307" s="77"/>
      <c r="AO2307" s="77"/>
      <c r="AP2307" s="77"/>
      <c r="AQ2307" s="77"/>
      <c r="AR2307" s="77"/>
      <c r="AS2307" s="77"/>
      <c r="AT2307" s="77"/>
      <c r="AU2307" s="77"/>
      <c r="AV2307" s="80" t="str">
        <f>HYPERLINK("https://pbs.twimg.com/profile_images/1365395023072817162/ZI8fAPrO_normal.jpg")</f>
        <v>https://pbs.twimg.com/profile_images/1365395023072817162/ZI8fAPrO_normal.jpg</v>
      </c>
      <c r="AW2307" s="82" t="s">
        <v>15392</v>
      </c>
      <c r="AX2307" s="82" t="s">
        <v>15392</v>
      </c>
      <c r="AY2307" s="77"/>
      <c r="AZ2307" s="82" t="s">
        <v>17385</v>
      </c>
      <c r="BA2307" s="82" t="s">
        <v>17385</v>
      </c>
      <c r="BB2307" s="82" t="s">
        <v>17385</v>
      </c>
      <c r="BC2307" s="82" t="s">
        <v>15392</v>
      </c>
      <c r="BD2307" s="82" t="s">
        <v>17641</v>
      </c>
      <c r="BE2307" s="77"/>
      <c r="BF2307" s="77"/>
      <c r="BG2307" s="77"/>
      <c r="BH2307" s="77"/>
      <c r="BI2307" s="77"/>
    </row>
    <row r="2308" spans="1:61" x14ac:dyDescent="0.25">
      <c r="A2308" s="62" t="s">
        <v>604</v>
      </c>
      <c r="B2308" s="62" t="s">
        <v>604</v>
      </c>
      <c r="C2308" s="63"/>
      <c r="D2308" s="64"/>
      <c r="E2308" s="65"/>
      <c r="F2308" s="66"/>
      <c r="G2308" s="63"/>
      <c r="H2308" s="67"/>
      <c r="I2308" s="68"/>
      <c r="J2308" s="68"/>
      <c r="K2308" s="32"/>
      <c r="L2308" s="75">
        <v>2308</v>
      </c>
      <c r="M2308" s="75"/>
      <c r="N2308" s="70"/>
      <c r="O2308" s="77" t="s">
        <v>179</v>
      </c>
      <c r="P2308" s="79">
        <v>45161.73642361111</v>
      </c>
      <c r="Q2308" s="77" t="s">
        <v>3087</v>
      </c>
      <c r="R2308" s="77">
        <v>0</v>
      </c>
      <c r="S2308" s="77">
        <v>1</v>
      </c>
      <c r="T2308" s="77">
        <v>0</v>
      </c>
      <c r="U2308" s="77">
        <v>0</v>
      </c>
      <c r="V2308" s="77">
        <v>132</v>
      </c>
      <c r="W2308" s="82" t="s">
        <v>6251</v>
      </c>
      <c r="X2308" s="80" t="str">
        <f>HYPERLINK("https://www.moneytimes.com.br/suzano-suzb3-tem-recebido-demanda-muito-forte-da-china-diz-ceo/")</f>
        <v>https://www.moneytimes.com.br/suzano-suzb3-tem-recebido-demanda-muito-forte-da-china-diz-ceo/</v>
      </c>
      <c r="Y2308" s="77" t="s">
        <v>7053</v>
      </c>
      <c r="Z2308" s="77"/>
      <c r="AA2308" s="77"/>
      <c r="AB2308" s="77"/>
      <c r="AC2308" s="82" t="s">
        <v>8255</v>
      </c>
      <c r="AD2308" s="77" t="s">
        <v>8278</v>
      </c>
      <c r="AE2308" s="80" t="str">
        <f>HYPERLINK("https://twitter.com/leiaagrotimes/status/1694404244558823721")</f>
        <v>https://twitter.com/leiaagrotimes/status/1694404244558823721</v>
      </c>
      <c r="AF2308" s="79">
        <v>45161.73642361111</v>
      </c>
      <c r="AG2308" s="85">
        <v>45161</v>
      </c>
      <c r="AH2308" s="82" t="s">
        <v>10372</v>
      </c>
      <c r="AI2308" s="77" t="b">
        <v>0</v>
      </c>
      <c r="AJ2308" s="77"/>
      <c r="AK2308" s="77"/>
      <c r="AL2308" s="77"/>
      <c r="AM2308" s="77"/>
      <c r="AN2308" s="77"/>
      <c r="AO2308" s="77"/>
      <c r="AP2308" s="77"/>
      <c r="AQ2308" s="77"/>
      <c r="AR2308" s="77"/>
      <c r="AS2308" s="77"/>
      <c r="AT2308" s="77"/>
      <c r="AU2308" s="77"/>
      <c r="AV2308" s="80" t="str">
        <f>HYPERLINK("https://pbs.twimg.com/profile_images/1365395023072817162/ZI8fAPrO_normal.jpg")</f>
        <v>https://pbs.twimg.com/profile_images/1365395023072817162/ZI8fAPrO_normal.jpg</v>
      </c>
      <c r="AW2308" s="82" t="s">
        <v>15393</v>
      </c>
      <c r="AX2308" s="82" t="s">
        <v>15393</v>
      </c>
      <c r="AY2308" s="77"/>
      <c r="AZ2308" s="82" t="s">
        <v>17385</v>
      </c>
      <c r="BA2308" s="82" t="s">
        <v>17385</v>
      </c>
      <c r="BB2308" s="82" t="s">
        <v>17385</v>
      </c>
      <c r="BC2308" s="82" t="s">
        <v>15393</v>
      </c>
      <c r="BD2308" s="82" t="s">
        <v>17641</v>
      </c>
      <c r="BE2308" s="77"/>
      <c r="BF2308" s="77"/>
      <c r="BG2308" s="77"/>
      <c r="BH2308" s="77"/>
      <c r="BI2308" s="77"/>
    </row>
    <row r="2309" spans="1:61" x14ac:dyDescent="0.25">
      <c r="A2309" s="62" t="s">
        <v>604</v>
      </c>
      <c r="B2309" s="62" t="s">
        <v>604</v>
      </c>
      <c r="C2309" s="63"/>
      <c r="D2309" s="64"/>
      <c r="E2309" s="65"/>
      <c r="F2309" s="66"/>
      <c r="G2309" s="63"/>
      <c r="H2309" s="67"/>
      <c r="I2309" s="68"/>
      <c r="J2309" s="68"/>
      <c r="K2309" s="32"/>
      <c r="L2309" s="75">
        <v>2309</v>
      </c>
      <c r="M2309" s="75"/>
      <c r="N2309" s="70"/>
      <c r="O2309" s="77" t="s">
        <v>179</v>
      </c>
      <c r="P2309" s="79">
        <v>45161.680972222224</v>
      </c>
      <c r="Q2309" s="77" t="s">
        <v>3088</v>
      </c>
      <c r="R2309" s="77">
        <v>0</v>
      </c>
      <c r="S2309" s="77">
        <v>0</v>
      </c>
      <c r="T2309" s="77">
        <v>0</v>
      </c>
      <c r="U2309" s="77">
        <v>0</v>
      </c>
      <c r="V2309" s="77">
        <v>145</v>
      </c>
      <c r="W2309" s="82" t="s">
        <v>6256</v>
      </c>
      <c r="X2309" s="80" t="str">
        <f>HYPERLINK("https://www.moneytimes.com.br/os-motivos-por-tras-da-disparada-das-acoes-da-raizen-raiz4-sao-martinho-smto3-e-jalles-machado-jall3-nesta-quarta-23/")</f>
        <v>https://www.moneytimes.com.br/os-motivos-por-tras-da-disparada-das-acoes-da-raizen-raiz4-sao-martinho-smto3-e-jalles-machado-jall3-nesta-quarta-23/</v>
      </c>
      <c r="Y2309" s="77" t="s">
        <v>7053</v>
      </c>
      <c r="Z2309" s="77"/>
      <c r="AA2309" s="77"/>
      <c r="AB2309" s="77"/>
      <c r="AC2309" s="82" t="s">
        <v>8255</v>
      </c>
      <c r="AD2309" s="77" t="s">
        <v>8278</v>
      </c>
      <c r="AE2309" s="80" t="str">
        <f>HYPERLINK("https://twitter.com/leiaagrotimes/status/1694384152861188112")</f>
        <v>https://twitter.com/leiaagrotimes/status/1694384152861188112</v>
      </c>
      <c r="AF2309" s="79">
        <v>45161.680972222224</v>
      </c>
      <c r="AG2309" s="85">
        <v>45161</v>
      </c>
      <c r="AH2309" s="82" t="s">
        <v>10373</v>
      </c>
      <c r="AI2309" s="77" t="b">
        <v>0</v>
      </c>
      <c r="AJ2309" s="77"/>
      <c r="AK2309" s="77"/>
      <c r="AL2309" s="77"/>
      <c r="AM2309" s="77"/>
      <c r="AN2309" s="77"/>
      <c r="AO2309" s="77"/>
      <c r="AP2309" s="77"/>
      <c r="AQ2309" s="77"/>
      <c r="AR2309" s="77"/>
      <c r="AS2309" s="77"/>
      <c r="AT2309" s="77"/>
      <c r="AU2309" s="77"/>
      <c r="AV2309" s="80" t="str">
        <f>HYPERLINK("https://pbs.twimg.com/profile_images/1365395023072817162/ZI8fAPrO_normal.jpg")</f>
        <v>https://pbs.twimg.com/profile_images/1365395023072817162/ZI8fAPrO_normal.jpg</v>
      </c>
      <c r="AW2309" s="82" t="s">
        <v>15394</v>
      </c>
      <c r="AX2309" s="82" t="s">
        <v>15394</v>
      </c>
      <c r="AY2309" s="77"/>
      <c r="AZ2309" s="82" t="s">
        <v>17385</v>
      </c>
      <c r="BA2309" s="82" t="s">
        <v>17385</v>
      </c>
      <c r="BB2309" s="82" t="s">
        <v>17385</v>
      </c>
      <c r="BC2309" s="82" t="s">
        <v>15394</v>
      </c>
      <c r="BD2309" s="82" t="s">
        <v>17641</v>
      </c>
      <c r="BE2309" s="77"/>
      <c r="BF2309" s="77"/>
      <c r="BG2309" s="77"/>
      <c r="BH2309" s="77"/>
      <c r="BI2309" s="77"/>
    </row>
    <row r="2310" spans="1:61" x14ac:dyDescent="0.25">
      <c r="A2310" s="62" t="s">
        <v>604</v>
      </c>
      <c r="B2310" s="62" t="s">
        <v>604</v>
      </c>
      <c r="C2310" s="63"/>
      <c r="D2310" s="64"/>
      <c r="E2310" s="65"/>
      <c r="F2310" s="66"/>
      <c r="G2310" s="63"/>
      <c r="H2310" s="67"/>
      <c r="I2310" s="68"/>
      <c r="J2310" s="68"/>
      <c r="K2310" s="32"/>
      <c r="L2310" s="75">
        <v>2310</v>
      </c>
      <c r="M2310" s="75"/>
      <c r="N2310" s="70"/>
      <c r="O2310" s="77" t="s">
        <v>179</v>
      </c>
      <c r="P2310" s="79">
        <v>45161.630694444444</v>
      </c>
      <c r="Q2310" s="77" t="s">
        <v>3089</v>
      </c>
      <c r="R2310" s="77">
        <v>0</v>
      </c>
      <c r="S2310" s="77">
        <v>2</v>
      </c>
      <c r="T2310" s="77">
        <v>0</v>
      </c>
      <c r="U2310" s="77">
        <v>0</v>
      </c>
      <c r="V2310" s="77">
        <v>113</v>
      </c>
      <c r="W2310" s="82" t="s">
        <v>6261</v>
      </c>
      <c r="X2310" s="80" t="str">
        <f>HYPERLINK("https://www.moneytimes.com.br/itau-bba-reforca-top-pick-do-setor-de-logistica-ligada-a-holding-do-agro-saiba-qual/")</f>
        <v>https://www.moneytimes.com.br/itau-bba-reforca-top-pick-do-setor-de-logistica-ligada-a-holding-do-agro-saiba-qual/</v>
      </c>
      <c r="Y2310" s="77" t="s">
        <v>7053</v>
      </c>
      <c r="Z2310" s="77"/>
      <c r="AA2310" s="77"/>
      <c r="AB2310" s="77"/>
      <c r="AC2310" s="82" t="s">
        <v>8255</v>
      </c>
      <c r="AD2310" s="77" t="s">
        <v>8278</v>
      </c>
      <c r="AE2310" s="80" t="str">
        <f>HYPERLINK("https://twitter.com/leiaagrotimes/status/1694365929793036742")</f>
        <v>https://twitter.com/leiaagrotimes/status/1694365929793036742</v>
      </c>
      <c r="AF2310" s="79">
        <v>45161.630694444444</v>
      </c>
      <c r="AG2310" s="85">
        <v>45161</v>
      </c>
      <c r="AH2310" s="82" t="s">
        <v>10374</v>
      </c>
      <c r="AI2310" s="77" t="b">
        <v>0</v>
      </c>
      <c r="AJ2310" s="77"/>
      <c r="AK2310" s="77"/>
      <c r="AL2310" s="77"/>
      <c r="AM2310" s="77"/>
      <c r="AN2310" s="77"/>
      <c r="AO2310" s="77"/>
      <c r="AP2310" s="77"/>
      <c r="AQ2310" s="77"/>
      <c r="AR2310" s="77"/>
      <c r="AS2310" s="77"/>
      <c r="AT2310" s="77"/>
      <c r="AU2310" s="77"/>
      <c r="AV2310" s="80" t="str">
        <f>HYPERLINK("https://pbs.twimg.com/profile_images/1365395023072817162/ZI8fAPrO_normal.jpg")</f>
        <v>https://pbs.twimg.com/profile_images/1365395023072817162/ZI8fAPrO_normal.jpg</v>
      </c>
      <c r="AW2310" s="82" t="s">
        <v>15395</v>
      </c>
      <c r="AX2310" s="82" t="s">
        <v>15395</v>
      </c>
      <c r="AY2310" s="77"/>
      <c r="AZ2310" s="82" t="s">
        <v>17385</v>
      </c>
      <c r="BA2310" s="82" t="s">
        <v>17385</v>
      </c>
      <c r="BB2310" s="82" t="s">
        <v>17385</v>
      </c>
      <c r="BC2310" s="82" t="s">
        <v>15395</v>
      </c>
      <c r="BD2310" s="82" t="s">
        <v>17641</v>
      </c>
      <c r="BE2310" s="77"/>
      <c r="BF2310" s="77"/>
      <c r="BG2310" s="77"/>
      <c r="BH2310" s="77"/>
      <c r="BI2310" s="77"/>
    </row>
    <row r="2311" spans="1:61" x14ac:dyDescent="0.25">
      <c r="A2311" s="62" t="s">
        <v>604</v>
      </c>
      <c r="B2311" s="62" t="s">
        <v>604</v>
      </c>
      <c r="C2311" s="63"/>
      <c r="D2311" s="64"/>
      <c r="E2311" s="65"/>
      <c r="F2311" s="66"/>
      <c r="G2311" s="63"/>
      <c r="H2311" s="67"/>
      <c r="I2311" s="68"/>
      <c r="J2311" s="68"/>
      <c r="K2311" s="32"/>
      <c r="L2311" s="75">
        <v>2311</v>
      </c>
      <c r="M2311" s="75"/>
      <c r="N2311" s="70"/>
      <c r="O2311" s="77" t="s">
        <v>179</v>
      </c>
      <c r="P2311" s="79">
        <v>45160.918819444443</v>
      </c>
      <c r="Q2311" s="77" t="s">
        <v>3090</v>
      </c>
      <c r="R2311" s="77">
        <v>0</v>
      </c>
      <c r="S2311" s="77">
        <v>1</v>
      </c>
      <c r="T2311" s="77">
        <v>0</v>
      </c>
      <c r="U2311" s="77">
        <v>0</v>
      </c>
      <c r="V2311" s="77">
        <v>76</v>
      </c>
      <c r="W2311" s="82" t="s">
        <v>6251</v>
      </c>
      <c r="X2311" s="80" t="str">
        <f>HYPERLINK("https://www.moneytimes.com.br/gestora-gringa-compra-acoes-de-empresa-frigorifica/")</f>
        <v>https://www.moneytimes.com.br/gestora-gringa-compra-acoes-de-empresa-frigorifica/</v>
      </c>
      <c r="Y2311" s="77" t="s">
        <v>7053</v>
      </c>
      <c r="Z2311" s="77"/>
      <c r="AA2311" s="77"/>
      <c r="AB2311" s="77"/>
      <c r="AC2311" s="82" t="s">
        <v>8255</v>
      </c>
      <c r="AD2311" s="77" t="s">
        <v>8278</v>
      </c>
      <c r="AE2311" s="80" t="str">
        <f>HYPERLINK("https://twitter.com/leiaagrotimes/status/1694107956298633510")</f>
        <v>https://twitter.com/leiaagrotimes/status/1694107956298633510</v>
      </c>
      <c r="AF2311" s="79">
        <v>45160.918819444443</v>
      </c>
      <c r="AG2311" s="85">
        <v>45160</v>
      </c>
      <c r="AH2311" s="82" t="s">
        <v>10375</v>
      </c>
      <c r="AI2311" s="77" t="b">
        <v>0</v>
      </c>
      <c r="AJ2311" s="77"/>
      <c r="AK2311" s="77"/>
      <c r="AL2311" s="77"/>
      <c r="AM2311" s="77"/>
      <c r="AN2311" s="77"/>
      <c r="AO2311" s="77"/>
      <c r="AP2311" s="77"/>
      <c r="AQ2311" s="77"/>
      <c r="AR2311" s="77"/>
      <c r="AS2311" s="77"/>
      <c r="AT2311" s="77"/>
      <c r="AU2311" s="77"/>
      <c r="AV2311" s="80" t="str">
        <f>HYPERLINK("https://pbs.twimg.com/profile_images/1365395023072817162/ZI8fAPrO_normal.jpg")</f>
        <v>https://pbs.twimg.com/profile_images/1365395023072817162/ZI8fAPrO_normal.jpg</v>
      </c>
      <c r="AW2311" s="82" t="s">
        <v>15396</v>
      </c>
      <c r="AX2311" s="82" t="s">
        <v>15396</v>
      </c>
      <c r="AY2311" s="77"/>
      <c r="AZ2311" s="82" t="s">
        <v>17385</v>
      </c>
      <c r="BA2311" s="82" t="s">
        <v>17385</v>
      </c>
      <c r="BB2311" s="82" t="s">
        <v>17385</v>
      </c>
      <c r="BC2311" s="82" t="s">
        <v>15396</v>
      </c>
      <c r="BD2311" s="82" t="s">
        <v>17641</v>
      </c>
      <c r="BE2311" s="77"/>
      <c r="BF2311" s="77"/>
      <c r="BG2311" s="77"/>
      <c r="BH2311" s="77"/>
      <c r="BI2311" s="77"/>
    </row>
    <row r="2312" spans="1:61" x14ac:dyDescent="0.25">
      <c r="A2312" s="62" t="s">
        <v>604</v>
      </c>
      <c r="B2312" s="62" t="s">
        <v>604</v>
      </c>
      <c r="C2312" s="63"/>
      <c r="D2312" s="64"/>
      <c r="E2312" s="65"/>
      <c r="F2312" s="66"/>
      <c r="G2312" s="63"/>
      <c r="H2312" s="67"/>
      <c r="I2312" s="68"/>
      <c r="J2312" s="68"/>
      <c r="K2312" s="32"/>
      <c r="L2312" s="75">
        <v>2312</v>
      </c>
      <c r="M2312" s="75"/>
      <c r="N2312" s="70"/>
      <c r="O2312" s="77" t="s">
        <v>179</v>
      </c>
      <c r="P2312" s="79">
        <v>45154.550555555557</v>
      </c>
      <c r="Q2312" s="77" t="s">
        <v>3091</v>
      </c>
      <c r="R2312" s="77">
        <v>0</v>
      </c>
      <c r="S2312" s="77">
        <v>0</v>
      </c>
      <c r="T2312" s="77">
        <v>0</v>
      </c>
      <c r="U2312" s="77">
        <v>0</v>
      </c>
      <c r="V2312" s="77">
        <v>51</v>
      </c>
      <c r="W2312" s="82" t="s">
        <v>6258</v>
      </c>
      <c r="X2312" s="80" t="str">
        <f>HYPERLINK("https://www.moneytimes.com.br/minerva-beef3-avanca-na-aquisicao-de-subsidiaria-da-nh-foods-no-uruguai/")</f>
        <v>https://www.moneytimes.com.br/minerva-beef3-avanca-na-aquisicao-de-subsidiaria-da-nh-foods-no-uruguai/</v>
      </c>
      <c r="Y2312" s="77" t="s">
        <v>7053</v>
      </c>
      <c r="Z2312" s="77"/>
      <c r="AA2312" s="77"/>
      <c r="AB2312" s="77"/>
      <c r="AC2312" s="82" t="s">
        <v>8255</v>
      </c>
      <c r="AD2312" s="77" t="s">
        <v>8278</v>
      </c>
      <c r="AE2312" s="80" t="str">
        <f>HYPERLINK("https://twitter.com/leiaagrotimes/status/1691800175189078371")</f>
        <v>https://twitter.com/leiaagrotimes/status/1691800175189078371</v>
      </c>
      <c r="AF2312" s="79">
        <v>45154.550555555557</v>
      </c>
      <c r="AG2312" s="85">
        <v>45154</v>
      </c>
      <c r="AH2312" s="82" t="s">
        <v>10376</v>
      </c>
      <c r="AI2312" s="77" t="b">
        <v>0</v>
      </c>
      <c r="AJ2312" s="77"/>
      <c r="AK2312" s="77"/>
      <c r="AL2312" s="77"/>
      <c r="AM2312" s="77"/>
      <c r="AN2312" s="77"/>
      <c r="AO2312" s="77"/>
      <c r="AP2312" s="77"/>
      <c r="AQ2312" s="77"/>
      <c r="AR2312" s="77"/>
      <c r="AS2312" s="77"/>
      <c r="AT2312" s="77"/>
      <c r="AU2312" s="77"/>
      <c r="AV2312" s="80" t="str">
        <f>HYPERLINK("https://pbs.twimg.com/profile_images/1365395023072817162/ZI8fAPrO_normal.jpg")</f>
        <v>https://pbs.twimg.com/profile_images/1365395023072817162/ZI8fAPrO_normal.jpg</v>
      </c>
      <c r="AW2312" s="82" t="s">
        <v>15397</v>
      </c>
      <c r="AX2312" s="82" t="s">
        <v>15397</v>
      </c>
      <c r="AY2312" s="77"/>
      <c r="AZ2312" s="82" t="s">
        <v>17385</v>
      </c>
      <c r="BA2312" s="82" t="s">
        <v>17385</v>
      </c>
      <c r="BB2312" s="82" t="s">
        <v>17385</v>
      </c>
      <c r="BC2312" s="82" t="s">
        <v>15397</v>
      </c>
      <c r="BD2312" s="82" t="s">
        <v>17641</v>
      </c>
      <c r="BE2312" s="77"/>
      <c r="BF2312" s="77"/>
      <c r="BG2312" s="77"/>
      <c r="BH2312" s="77"/>
      <c r="BI2312" s="77"/>
    </row>
    <row r="2313" spans="1:61" x14ac:dyDescent="0.25">
      <c r="A2313" s="62" t="s">
        <v>604</v>
      </c>
      <c r="B2313" s="62" t="s">
        <v>604</v>
      </c>
      <c r="C2313" s="63"/>
      <c r="D2313" s="64"/>
      <c r="E2313" s="65"/>
      <c r="F2313" s="66"/>
      <c r="G2313" s="63"/>
      <c r="H2313" s="67"/>
      <c r="I2313" s="68"/>
      <c r="J2313" s="68"/>
      <c r="K2313" s="32"/>
      <c r="L2313" s="75">
        <v>2313</v>
      </c>
      <c r="M2313" s="75"/>
      <c r="N2313" s="70"/>
      <c r="O2313" s="77" t="s">
        <v>179</v>
      </c>
      <c r="P2313" s="79">
        <v>45142.648252314815</v>
      </c>
      <c r="Q2313" s="77" t="s">
        <v>3092</v>
      </c>
      <c r="R2313" s="77">
        <v>0</v>
      </c>
      <c r="S2313" s="77">
        <v>3</v>
      </c>
      <c r="T2313" s="77">
        <v>0</v>
      </c>
      <c r="U2313" s="77">
        <v>0</v>
      </c>
      <c r="V2313" s="77">
        <v>218</v>
      </c>
      <c r="W2313" s="82" t="s">
        <v>6250</v>
      </c>
      <c r="X2313" s="80" t="str">
        <f>HYPERLINK("https://www.moneytimes.com.br/brf-brfs3-dispara-mais-de-6-e-acoes-da-marfrig-mrfg3-pegam-carona-entenda-as-altas/")</f>
        <v>https://www.moneytimes.com.br/brf-brfs3-dispara-mais-de-6-e-acoes-da-marfrig-mrfg3-pegam-carona-entenda-as-altas/</v>
      </c>
      <c r="Y2313" s="77" t="s">
        <v>7053</v>
      </c>
      <c r="Z2313" s="77"/>
      <c r="AA2313" s="77"/>
      <c r="AB2313" s="77"/>
      <c r="AC2313" s="82" t="s">
        <v>8255</v>
      </c>
      <c r="AD2313" s="77" t="s">
        <v>8278</v>
      </c>
      <c r="AE2313" s="80" t="str">
        <f>HYPERLINK("https://twitter.com/leiaagrotimes/status/1687486925899186176")</f>
        <v>https://twitter.com/leiaagrotimes/status/1687486925899186176</v>
      </c>
      <c r="AF2313" s="79">
        <v>45142.648252314815</v>
      </c>
      <c r="AG2313" s="85">
        <v>45142</v>
      </c>
      <c r="AH2313" s="82" t="s">
        <v>10377</v>
      </c>
      <c r="AI2313" s="77" t="b">
        <v>0</v>
      </c>
      <c r="AJ2313" s="77"/>
      <c r="AK2313" s="77"/>
      <c r="AL2313" s="77"/>
      <c r="AM2313" s="77"/>
      <c r="AN2313" s="77"/>
      <c r="AO2313" s="77"/>
      <c r="AP2313" s="77"/>
      <c r="AQ2313" s="77"/>
      <c r="AR2313" s="77"/>
      <c r="AS2313" s="77"/>
      <c r="AT2313" s="77"/>
      <c r="AU2313" s="77"/>
      <c r="AV2313" s="80" t="str">
        <f>HYPERLINK("https://pbs.twimg.com/profile_images/1365395023072817162/ZI8fAPrO_normal.jpg")</f>
        <v>https://pbs.twimg.com/profile_images/1365395023072817162/ZI8fAPrO_normal.jpg</v>
      </c>
      <c r="AW2313" s="82" t="s">
        <v>15398</v>
      </c>
      <c r="AX2313" s="82" t="s">
        <v>15398</v>
      </c>
      <c r="AY2313" s="77"/>
      <c r="AZ2313" s="82" t="s">
        <v>17385</v>
      </c>
      <c r="BA2313" s="82" t="s">
        <v>17385</v>
      </c>
      <c r="BB2313" s="82" t="s">
        <v>17385</v>
      </c>
      <c r="BC2313" s="82" t="s">
        <v>15398</v>
      </c>
      <c r="BD2313" s="82" t="s">
        <v>17641</v>
      </c>
      <c r="BE2313" s="77"/>
      <c r="BF2313" s="77"/>
      <c r="BG2313" s="77"/>
      <c r="BH2313" s="77"/>
      <c r="BI2313" s="77"/>
    </row>
    <row r="2314" spans="1:61" x14ac:dyDescent="0.25">
      <c r="A2314" s="62" t="s">
        <v>604</v>
      </c>
      <c r="B2314" s="62" t="s">
        <v>604</v>
      </c>
      <c r="C2314" s="63"/>
      <c r="D2314" s="64"/>
      <c r="E2314" s="65"/>
      <c r="F2314" s="66"/>
      <c r="G2314" s="63"/>
      <c r="H2314" s="67"/>
      <c r="I2314" s="68"/>
      <c r="J2314" s="68"/>
      <c r="K2314" s="32"/>
      <c r="L2314" s="75">
        <v>2314</v>
      </c>
      <c r="M2314" s="75"/>
      <c r="N2314" s="70"/>
      <c r="O2314" s="77" t="s">
        <v>179</v>
      </c>
      <c r="P2314" s="79">
        <v>45141.784826388888</v>
      </c>
      <c r="Q2314" s="77" t="s">
        <v>3093</v>
      </c>
      <c r="R2314" s="77">
        <v>0</v>
      </c>
      <c r="S2314" s="77">
        <v>0</v>
      </c>
      <c r="T2314" s="77">
        <v>0</v>
      </c>
      <c r="U2314" s="77">
        <v>0</v>
      </c>
      <c r="V2314" s="77">
        <v>83</v>
      </c>
      <c r="W2314" s="82" t="s">
        <v>6271</v>
      </c>
      <c r="X2314" s="80" t="str">
        <f>HYPERLINK("https://www.moneytimes.com.br/suzano-suzb3-salta-com-nova-planta-de-celulose-e-disparada-de-2-690-no-lucro-o-que-fazer-com-as-acoes/")</f>
        <v>https://www.moneytimes.com.br/suzano-suzb3-salta-com-nova-planta-de-celulose-e-disparada-de-2-690-no-lucro-o-que-fazer-com-as-acoes/</v>
      </c>
      <c r="Y2314" s="77" t="s">
        <v>7053</v>
      </c>
      <c r="Z2314" s="77"/>
      <c r="AA2314" s="77"/>
      <c r="AB2314" s="77"/>
      <c r="AC2314" s="82" t="s">
        <v>8255</v>
      </c>
      <c r="AD2314" s="77" t="s">
        <v>8278</v>
      </c>
      <c r="AE2314" s="80" t="str">
        <f>HYPERLINK("https://twitter.com/leiaagrotimes/status/1687174027616407552")</f>
        <v>https://twitter.com/leiaagrotimes/status/1687174027616407552</v>
      </c>
      <c r="AF2314" s="79">
        <v>45141.784826388888</v>
      </c>
      <c r="AG2314" s="85">
        <v>45141</v>
      </c>
      <c r="AH2314" s="82" t="s">
        <v>10378</v>
      </c>
      <c r="AI2314" s="77" t="b">
        <v>0</v>
      </c>
      <c r="AJ2314" s="77"/>
      <c r="AK2314" s="77"/>
      <c r="AL2314" s="77"/>
      <c r="AM2314" s="77"/>
      <c r="AN2314" s="77"/>
      <c r="AO2314" s="77"/>
      <c r="AP2314" s="77"/>
      <c r="AQ2314" s="77"/>
      <c r="AR2314" s="77"/>
      <c r="AS2314" s="77"/>
      <c r="AT2314" s="77"/>
      <c r="AU2314" s="77"/>
      <c r="AV2314" s="80" t="str">
        <f>HYPERLINK("https://pbs.twimg.com/profile_images/1365395023072817162/ZI8fAPrO_normal.jpg")</f>
        <v>https://pbs.twimg.com/profile_images/1365395023072817162/ZI8fAPrO_normal.jpg</v>
      </c>
      <c r="AW2314" s="82" t="s">
        <v>15399</v>
      </c>
      <c r="AX2314" s="82" t="s">
        <v>15399</v>
      </c>
      <c r="AY2314" s="77"/>
      <c r="AZ2314" s="82" t="s">
        <v>17385</v>
      </c>
      <c r="BA2314" s="82" t="s">
        <v>17385</v>
      </c>
      <c r="BB2314" s="82" t="s">
        <v>17385</v>
      </c>
      <c r="BC2314" s="82" t="s">
        <v>15399</v>
      </c>
      <c r="BD2314" s="82" t="s">
        <v>17641</v>
      </c>
      <c r="BE2314" s="77"/>
      <c r="BF2314" s="77"/>
      <c r="BG2314" s="77"/>
      <c r="BH2314" s="77"/>
      <c r="BI2314" s="77"/>
    </row>
    <row r="2315" spans="1:61" x14ac:dyDescent="0.25">
      <c r="A2315" s="62" t="s">
        <v>604</v>
      </c>
      <c r="B2315" s="62" t="s">
        <v>604</v>
      </c>
      <c r="C2315" s="63"/>
      <c r="D2315" s="64"/>
      <c r="E2315" s="65"/>
      <c r="F2315" s="66"/>
      <c r="G2315" s="63"/>
      <c r="H2315" s="67"/>
      <c r="I2315" s="68"/>
      <c r="J2315" s="68"/>
      <c r="K2315" s="32"/>
      <c r="L2315" s="75">
        <v>2315</v>
      </c>
      <c r="M2315" s="75"/>
      <c r="N2315" s="70"/>
      <c r="O2315" s="77" t="s">
        <v>179</v>
      </c>
      <c r="P2315" s="79">
        <v>45141.681203703702</v>
      </c>
      <c r="Q2315" s="77" t="s">
        <v>3094</v>
      </c>
      <c r="R2315" s="77">
        <v>0</v>
      </c>
      <c r="S2315" s="77">
        <v>2</v>
      </c>
      <c r="T2315" s="77">
        <v>0</v>
      </c>
      <c r="U2315" s="77">
        <v>0</v>
      </c>
      <c r="V2315" s="77">
        <v>113</v>
      </c>
      <c r="W2315" s="82" t="s">
        <v>6273</v>
      </c>
      <c r="X2315" s="80" t="str">
        <f>HYPERLINK("https://www.moneytimes.com.br/frigorificos-brigam-pelo-topo-e-4-empresas-fecham-o-podio-as-acoes-do-agro-para-apostar-em-mes-de-resultados-do-2t23/")</f>
        <v>https://www.moneytimes.com.br/frigorificos-brigam-pelo-topo-e-4-empresas-fecham-o-podio-as-acoes-do-agro-para-apostar-em-mes-de-resultados-do-2t23/</v>
      </c>
      <c r="Y2315" s="77" t="s">
        <v>7053</v>
      </c>
      <c r="Z2315" s="77"/>
      <c r="AA2315" s="77"/>
      <c r="AB2315" s="77"/>
      <c r="AC2315" s="82" t="s">
        <v>8255</v>
      </c>
      <c r="AD2315" s="77" t="s">
        <v>8278</v>
      </c>
      <c r="AE2315" s="80" t="str">
        <f>HYPERLINK("https://twitter.com/leiaagrotimes/status/1687136479280025601")</f>
        <v>https://twitter.com/leiaagrotimes/status/1687136479280025601</v>
      </c>
      <c r="AF2315" s="79">
        <v>45141.681203703702</v>
      </c>
      <c r="AG2315" s="85">
        <v>45141</v>
      </c>
      <c r="AH2315" s="82" t="s">
        <v>10379</v>
      </c>
      <c r="AI2315" s="77" t="b">
        <v>0</v>
      </c>
      <c r="AJ2315" s="77"/>
      <c r="AK2315" s="77"/>
      <c r="AL2315" s="77"/>
      <c r="AM2315" s="77"/>
      <c r="AN2315" s="77"/>
      <c r="AO2315" s="77"/>
      <c r="AP2315" s="77"/>
      <c r="AQ2315" s="77"/>
      <c r="AR2315" s="77"/>
      <c r="AS2315" s="77"/>
      <c r="AT2315" s="77"/>
      <c r="AU2315" s="77"/>
      <c r="AV2315" s="80" t="str">
        <f>HYPERLINK("https://pbs.twimg.com/profile_images/1365395023072817162/ZI8fAPrO_normal.jpg")</f>
        <v>https://pbs.twimg.com/profile_images/1365395023072817162/ZI8fAPrO_normal.jpg</v>
      </c>
      <c r="AW2315" s="82" t="s">
        <v>15400</v>
      </c>
      <c r="AX2315" s="82" t="s">
        <v>15400</v>
      </c>
      <c r="AY2315" s="77"/>
      <c r="AZ2315" s="82" t="s">
        <v>17385</v>
      </c>
      <c r="BA2315" s="82" t="s">
        <v>17385</v>
      </c>
      <c r="BB2315" s="82" t="s">
        <v>17385</v>
      </c>
      <c r="BC2315" s="82" t="s">
        <v>15400</v>
      </c>
      <c r="BD2315" s="82" t="s">
        <v>17641</v>
      </c>
      <c r="BE2315" s="77"/>
      <c r="BF2315" s="77"/>
      <c r="BG2315" s="77"/>
      <c r="BH2315" s="77"/>
      <c r="BI2315" s="77"/>
    </row>
    <row r="2316" spans="1:61" x14ac:dyDescent="0.25">
      <c r="A2316" s="62" t="s">
        <v>604</v>
      </c>
      <c r="B2316" s="62" t="s">
        <v>604</v>
      </c>
      <c r="C2316" s="63"/>
      <c r="D2316" s="64"/>
      <c r="E2316" s="65"/>
      <c r="F2316" s="66"/>
      <c r="G2316" s="63"/>
      <c r="H2316" s="67"/>
      <c r="I2316" s="68"/>
      <c r="J2316" s="68"/>
      <c r="K2316" s="32"/>
      <c r="L2316" s="75">
        <v>2316</v>
      </c>
      <c r="M2316" s="75"/>
      <c r="N2316" s="70"/>
      <c r="O2316" s="77" t="s">
        <v>179</v>
      </c>
      <c r="P2316" s="79">
        <v>45141.493252314816</v>
      </c>
      <c r="Q2316" s="77" t="s">
        <v>3095</v>
      </c>
      <c r="R2316" s="77">
        <v>0</v>
      </c>
      <c r="S2316" s="77">
        <v>1</v>
      </c>
      <c r="T2316" s="77">
        <v>0</v>
      </c>
      <c r="U2316" s="77">
        <v>0</v>
      </c>
      <c r="V2316" s="77">
        <v>98</v>
      </c>
      <c r="W2316" s="82" t="s">
        <v>6251</v>
      </c>
      <c r="X2316" s="80" t="str">
        <f>HYPERLINK("https://www.moneytimes.com.br/suzano-suzb3-projeto-cerrado-deve-ser-lancado-no-1o-semestre-de-2024/")</f>
        <v>https://www.moneytimes.com.br/suzano-suzb3-projeto-cerrado-deve-ser-lancado-no-1o-semestre-de-2024/</v>
      </c>
      <c r="Y2316" s="77" t="s">
        <v>7053</v>
      </c>
      <c r="Z2316" s="77"/>
      <c r="AA2316" s="77"/>
      <c r="AB2316" s="77"/>
      <c r="AC2316" s="82" t="s">
        <v>8255</v>
      </c>
      <c r="AD2316" s="77" t="s">
        <v>8278</v>
      </c>
      <c r="AE2316" s="80" t="str">
        <f>HYPERLINK("https://twitter.com/leiaagrotimes/status/1687068367637594112")</f>
        <v>https://twitter.com/leiaagrotimes/status/1687068367637594112</v>
      </c>
      <c r="AF2316" s="79">
        <v>45141.493252314816</v>
      </c>
      <c r="AG2316" s="85">
        <v>45141</v>
      </c>
      <c r="AH2316" s="82" t="s">
        <v>10380</v>
      </c>
      <c r="AI2316" s="77" t="b">
        <v>0</v>
      </c>
      <c r="AJ2316" s="77"/>
      <c r="AK2316" s="77"/>
      <c r="AL2316" s="77"/>
      <c r="AM2316" s="77"/>
      <c r="AN2316" s="77"/>
      <c r="AO2316" s="77"/>
      <c r="AP2316" s="77"/>
      <c r="AQ2316" s="77"/>
      <c r="AR2316" s="77"/>
      <c r="AS2316" s="77"/>
      <c r="AT2316" s="77"/>
      <c r="AU2316" s="77"/>
      <c r="AV2316" s="80" t="str">
        <f>HYPERLINK("https://pbs.twimg.com/profile_images/1365395023072817162/ZI8fAPrO_normal.jpg")</f>
        <v>https://pbs.twimg.com/profile_images/1365395023072817162/ZI8fAPrO_normal.jpg</v>
      </c>
      <c r="AW2316" s="82" t="s">
        <v>15401</v>
      </c>
      <c r="AX2316" s="82" t="s">
        <v>15401</v>
      </c>
      <c r="AY2316" s="77"/>
      <c r="AZ2316" s="82" t="s">
        <v>17385</v>
      </c>
      <c r="BA2316" s="82" t="s">
        <v>17385</v>
      </c>
      <c r="BB2316" s="82" t="s">
        <v>17385</v>
      </c>
      <c r="BC2316" s="82" t="s">
        <v>15401</v>
      </c>
      <c r="BD2316" s="82" t="s">
        <v>17641</v>
      </c>
      <c r="BE2316" s="77"/>
      <c r="BF2316" s="77"/>
      <c r="BG2316" s="77"/>
      <c r="BH2316" s="77"/>
      <c r="BI2316" s="77"/>
    </row>
    <row r="2317" spans="1:61" x14ac:dyDescent="0.25">
      <c r="A2317" s="62" t="s">
        <v>604</v>
      </c>
      <c r="B2317" s="62" t="s">
        <v>604</v>
      </c>
      <c r="C2317" s="63"/>
      <c r="D2317" s="64"/>
      <c r="E2317" s="65"/>
      <c r="F2317" s="66"/>
      <c r="G2317" s="63"/>
      <c r="H2317" s="67"/>
      <c r="I2317" s="68"/>
      <c r="J2317" s="68"/>
      <c r="K2317" s="32"/>
      <c r="L2317" s="75">
        <v>2317</v>
      </c>
      <c r="M2317" s="75"/>
      <c r="N2317" s="70"/>
      <c r="O2317" s="77" t="s">
        <v>179</v>
      </c>
      <c r="P2317" s="79">
        <v>45132.545949074076</v>
      </c>
      <c r="Q2317" s="77" t="s">
        <v>3096</v>
      </c>
      <c r="R2317" s="77">
        <v>0</v>
      </c>
      <c r="S2317" s="77">
        <v>0</v>
      </c>
      <c r="T2317" s="77">
        <v>0</v>
      </c>
      <c r="U2317" s="77">
        <v>0</v>
      </c>
      <c r="V2317" s="77">
        <v>299</v>
      </c>
      <c r="W2317" s="82" t="s">
        <v>6261</v>
      </c>
      <c r="X2317" s="80" t="str">
        <f>HYPERLINK("https://www.moneytimes.com.br/minerva-beef3-jbs-jbss3-ou-marfrig-mrfg3-banco-gringo-recomenda-apenas-um-frigorifico-antes-dos-resultados-do-2t23/")</f>
        <v>https://www.moneytimes.com.br/minerva-beef3-jbs-jbss3-ou-marfrig-mrfg3-banco-gringo-recomenda-apenas-um-frigorifico-antes-dos-resultados-do-2t23/</v>
      </c>
      <c r="Y2317" s="77" t="s">
        <v>7053</v>
      </c>
      <c r="Z2317" s="77"/>
      <c r="AA2317" s="77"/>
      <c r="AB2317" s="77"/>
      <c r="AC2317" s="82" t="s">
        <v>8255</v>
      </c>
      <c r="AD2317" s="77" t="s">
        <v>8278</v>
      </c>
      <c r="AE2317" s="80" t="str">
        <f>HYPERLINK("https://twitter.com/leiaagrotimes/status/1683825970787020801")</f>
        <v>https://twitter.com/leiaagrotimes/status/1683825970787020801</v>
      </c>
      <c r="AF2317" s="79">
        <v>45132.545949074076</v>
      </c>
      <c r="AG2317" s="85">
        <v>45132</v>
      </c>
      <c r="AH2317" s="82" t="s">
        <v>10381</v>
      </c>
      <c r="AI2317" s="77" t="b">
        <v>0</v>
      </c>
      <c r="AJ2317" s="77"/>
      <c r="AK2317" s="77"/>
      <c r="AL2317" s="77"/>
      <c r="AM2317" s="77"/>
      <c r="AN2317" s="77"/>
      <c r="AO2317" s="77"/>
      <c r="AP2317" s="77"/>
      <c r="AQ2317" s="77"/>
      <c r="AR2317" s="77"/>
      <c r="AS2317" s="77"/>
      <c r="AT2317" s="77"/>
      <c r="AU2317" s="77"/>
      <c r="AV2317" s="80" t="str">
        <f>HYPERLINK("https://pbs.twimg.com/profile_images/1365395023072817162/ZI8fAPrO_normal.jpg")</f>
        <v>https://pbs.twimg.com/profile_images/1365395023072817162/ZI8fAPrO_normal.jpg</v>
      </c>
      <c r="AW2317" s="82" t="s">
        <v>15402</v>
      </c>
      <c r="AX2317" s="82" t="s">
        <v>15402</v>
      </c>
      <c r="AY2317" s="77"/>
      <c r="AZ2317" s="82" t="s">
        <v>17385</v>
      </c>
      <c r="BA2317" s="82" t="s">
        <v>17385</v>
      </c>
      <c r="BB2317" s="82" t="s">
        <v>17385</v>
      </c>
      <c r="BC2317" s="82" t="s">
        <v>15402</v>
      </c>
      <c r="BD2317" s="82" t="s">
        <v>17641</v>
      </c>
      <c r="BE2317" s="77"/>
      <c r="BF2317" s="77"/>
      <c r="BG2317" s="77"/>
      <c r="BH2317" s="77"/>
      <c r="BI2317" s="77"/>
    </row>
    <row r="2318" spans="1:61" x14ac:dyDescent="0.25">
      <c r="A2318" s="62" t="s">
        <v>604</v>
      </c>
      <c r="B2318" s="62" t="s">
        <v>604</v>
      </c>
      <c r="C2318" s="63"/>
      <c r="D2318" s="64"/>
      <c r="E2318" s="65"/>
      <c r="F2318" s="66"/>
      <c r="G2318" s="63"/>
      <c r="H2318" s="67"/>
      <c r="I2318" s="68"/>
      <c r="J2318" s="68"/>
      <c r="K2318" s="32"/>
      <c r="L2318" s="75">
        <v>2318</v>
      </c>
      <c r="M2318" s="75"/>
      <c r="N2318" s="70"/>
      <c r="O2318" s="77" t="s">
        <v>179</v>
      </c>
      <c r="P2318" s="79">
        <v>45131.658796296295</v>
      </c>
      <c r="Q2318" s="77" t="s">
        <v>3097</v>
      </c>
      <c r="R2318" s="77">
        <v>0</v>
      </c>
      <c r="S2318" s="77">
        <v>0</v>
      </c>
      <c r="T2318" s="77">
        <v>0</v>
      </c>
      <c r="U2318" s="77">
        <v>0</v>
      </c>
      <c r="V2318" s="77">
        <v>233</v>
      </c>
      <c r="W2318" s="82" t="s">
        <v>6250</v>
      </c>
      <c r="X2318" s="80" t="str">
        <f>HYPERLINK("https://www.moneytimes.com.br/frigorificos-caem-em-bloco-por-clima-e-guerra-marfrig-mrfg3-e-brf-brfs3-puxam-quedas/")</f>
        <v>https://www.moneytimes.com.br/frigorificos-caem-em-bloco-por-clima-e-guerra-marfrig-mrfg3-e-brf-brfs3-puxam-quedas/</v>
      </c>
      <c r="Y2318" s="77" t="s">
        <v>7053</v>
      </c>
      <c r="Z2318" s="77"/>
      <c r="AA2318" s="77"/>
      <c r="AB2318" s="77"/>
      <c r="AC2318" s="82" t="s">
        <v>8255</v>
      </c>
      <c r="AD2318" s="77" t="s">
        <v>8278</v>
      </c>
      <c r="AE2318" s="80" t="str">
        <f>HYPERLINK("https://twitter.com/leiaagrotimes/status/1683504481185529860")</f>
        <v>https://twitter.com/leiaagrotimes/status/1683504481185529860</v>
      </c>
      <c r="AF2318" s="79">
        <v>45131.658796296295</v>
      </c>
      <c r="AG2318" s="85">
        <v>45131</v>
      </c>
      <c r="AH2318" s="82" t="s">
        <v>10382</v>
      </c>
      <c r="AI2318" s="77" t="b">
        <v>0</v>
      </c>
      <c r="AJ2318" s="77"/>
      <c r="AK2318" s="77"/>
      <c r="AL2318" s="77"/>
      <c r="AM2318" s="77"/>
      <c r="AN2318" s="77"/>
      <c r="AO2318" s="77"/>
      <c r="AP2318" s="77"/>
      <c r="AQ2318" s="77"/>
      <c r="AR2318" s="77"/>
      <c r="AS2318" s="77"/>
      <c r="AT2318" s="77"/>
      <c r="AU2318" s="77"/>
      <c r="AV2318" s="80" t="str">
        <f>HYPERLINK("https://pbs.twimg.com/profile_images/1365395023072817162/ZI8fAPrO_normal.jpg")</f>
        <v>https://pbs.twimg.com/profile_images/1365395023072817162/ZI8fAPrO_normal.jpg</v>
      </c>
      <c r="AW2318" s="82" t="s">
        <v>15403</v>
      </c>
      <c r="AX2318" s="82" t="s">
        <v>15403</v>
      </c>
      <c r="AY2318" s="77"/>
      <c r="AZ2318" s="82" t="s">
        <v>17385</v>
      </c>
      <c r="BA2318" s="82" t="s">
        <v>17385</v>
      </c>
      <c r="BB2318" s="82" t="s">
        <v>17385</v>
      </c>
      <c r="BC2318" s="82" t="s">
        <v>15403</v>
      </c>
      <c r="BD2318" s="82" t="s">
        <v>17641</v>
      </c>
      <c r="BE2318" s="77"/>
      <c r="BF2318" s="77"/>
      <c r="BG2318" s="77"/>
      <c r="BH2318" s="77"/>
      <c r="BI2318" s="77"/>
    </row>
    <row r="2319" spans="1:61" x14ac:dyDescent="0.25">
      <c r="A2319" s="62" t="s">
        <v>604</v>
      </c>
      <c r="B2319" s="62" t="s">
        <v>604</v>
      </c>
      <c r="C2319" s="63"/>
      <c r="D2319" s="64"/>
      <c r="E2319" s="65"/>
      <c r="F2319" s="66"/>
      <c r="G2319" s="63"/>
      <c r="H2319" s="67"/>
      <c r="I2319" s="68"/>
      <c r="J2319" s="68"/>
      <c r="K2319" s="32"/>
      <c r="L2319" s="75">
        <v>2319</v>
      </c>
      <c r="M2319" s="75"/>
      <c r="N2319" s="70"/>
      <c r="O2319" s="77" t="s">
        <v>179</v>
      </c>
      <c r="P2319" s="79">
        <v>45131.628495370373</v>
      </c>
      <c r="Q2319" s="77" t="s">
        <v>3098</v>
      </c>
      <c r="R2319" s="77">
        <v>0</v>
      </c>
      <c r="S2319" s="77">
        <v>0</v>
      </c>
      <c r="T2319" s="77">
        <v>2</v>
      </c>
      <c r="U2319" s="77">
        <v>0</v>
      </c>
      <c r="V2319" s="77">
        <v>186</v>
      </c>
      <c r="W2319" s="82" t="s">
        <v>6261</v>
      </c>
      <c r="X2319" s="80" t="str">
        <f>HYPERLINK("https://www.moneytimes.com.br/mdia3-tensao-no-mar-negro-derrete-trigo-da-m-dias-branco-e-acoes-tombam-na-b3/")</f>
        <v>https://www.moneytimes.com.br/mdia3-tensao-no-mar-negro-derrete-trigo-da-m-dias-branco-e-acoes-tombam-na-b3/</v>
      </c>
      <c r="Y2319" s="77" t="s">
        <v>7053</v>
      </c>
      <c r="Z2319" s="77"/>
      <c r="AA2319" s="77"/>
      <c r="AB2319" s="77"/>
      <c r="AC2319" s="82" t="s">
        <v>8255</v>
      </c>
      <c r="AD2319" s="77" t="s">
        <v>8278</v>
      </c>
      <c r="AE2319" s="80" t="str">
        <f>HYPERLINK("https://twitter.com/leiaagrotimes/status/1683493499239268354")</f>
        <v>https://twitter.com/leiaagrotimes/status/1683493499239268354</v>
      </c>
      <c r="AF2319" s="79">
        <v>45131.628495370373</v>
      </c>
      <c r="AG2319" s="85">
        <v>45131</v>
      </c>
      <c r="AH2319" s="82" t="s">
        <v>10383</v>
      </c>
      <c r="AI2319" s="77" t="b">
        <v>0</v>
      </c>
      <c r="AJ2319" s="77"/>
      <c r="AK2319" s="77"/>
      <c r="AL2319" s="77"/>
      <c r="AM2319" s="77"/>
      <c r="AN2319" s="77"/>
      <c r="AO2319" s="77"/>
      <c r="AP2319" s="77"/>
      <c r="AQ2319" s="77"/>
      <c r="AR2319" s="77"/>
      <c r="AS2319" s="77"/>
      <c r="AT2319" s="77"/>
      <c r="AU2319" s="77"/>
      <c r="AV2319" s="80" t="str">
        <f>HYPERLINK("https://pbs.twimg.com/profile_images/1365395023072817162/ZI8fAPrO_normal.jpg")</f>
        <v>https://pbs.twimg.com/profile_images/1365395023072817162/ZI8fAPrO_normal.jpg</v>
      </c>
      <c r="AW2319" s="82" t="s">
        <v>15404</v>
      </c>
      <c r="AX2319" s="82" t="s">
        <v>15404</v>
      </c>
      <c r="AY2319" s="77"/>
      <c r="AZ2319" s="82" t="s">
        <v>17385</v>
      </c>
      <c r="BA2319" s="82" t="s">
        <v>17385</v>
      </c>
      <c r="BB2319" s="82" t="s">
        <v>17385</v>
      </c>
      <c r="BC2319" s="82" t="s">
        <v>15404</v>
      </c>
      <c r="BD2319" s="82" t="s">
        <v>17641</v>
      </c>
      <c r="BE2319" s="77"/>
      <c r="BF2319" s="77"/>
      <c r="BG2319" s="77"/>
      <c r="BH2319" s="77"/>
      <c r="BI2319" s="77"/>
    </row>
    <row r="2320" spans="1:61" x14ac:dyDescent="0.25">
      <c r="A2320" s="62" t="s">
        <v>604</v>
      </c>
      <c r="B2320" s="62" t="s">
        <v>604</v>
      </c>
      <c r="C2320" s="63"/>
      <c r="D2320" s="64"/>
      <c r="E2320" s="65"/>
      <c r="F2320" s="66"/>
      <c r="G2320" s="63"/>
      <c r="H2320" s="67"/>
      <c r="I2320" s="68"/>
      <c r="J2320" s="68"/>
      <c r="K2320" s="32"/>
      <c r="L2320" s="75">
        <v>2320</v>
      </c>
      <c r="M2320" s="75"/>
      <c r="N2320" s="70"/>
      <c r="O2320" s="77" t="s">
        <v>179</v>
      </c>
      <c r="P2320" s="79">
        <v>45130.583912037036</v>
      </c>
      <c r="Q2320" s="77" t="s">
        <v>3099</v>
      </c>
      <c r="R2320" s="77">
        <v>0</v>
      </c>
      <c r="S2320" s="77">
        <v>1</v>
      </c>
      <c r="T2320" s="77">
        <v>0</v>
      </c>
      <c r="U2320" s="77">
        <v>0</v>
      </c>
      <c r="V2320" s="77">
        <v>157</v>
      </c>
      <c r="W2320" s="82" t="s">
        <v>6287</v>
      </c>
      <c r="X2320" s="80" t="str">
        <f>HYPERLINK("https://www.moneytimes.com.br/fim-acordo-graos-lcas-lcis-acima-de-15-ao-ano-embargo-para-brf-brfs3-e-mais-leia-5-temas-no-agro-times/")</f>
        <v>https://www.moneytimes.com.br/fim-acordo-graos-lcas-lcis-acima-de-15-ao-ano-embargo-para-brf-brfs3-e-mais-leia-5-temas-no-agro-times/</v>
      </c>
      <c r="Y2320" s="77" t="s">
        <v>7053</v>
      </c>
      <c r="Z2320" s="77"/>
      <c r="AA2320" s="77"/>
      <c r="AB2320" s="77"/>
      <c r="AC2320" s="82" t="s">
        <v>8255</v>
      </c>
      <c r="AD2320" s="77" t="s">
        <v>8278</v>
      </c>
      <c r="AE2320" s="80" t="str">
        <f>HYPERLINK("https://twitter.com/leiaagrotimes/status/1683114952888860673")</f>
        <v>https://twitter.com/leiaagrotimes/status/1683114952888860673</v>
      </c>
      <c r="AF2320" s="79">
        <v>45130.583912037036</v>
      </c>
      <c r="AG2320" s="85">
        <v>45130</v>
      </c>
      <c r="AH2320" s="82" t="s">
        <v>10384</v>
      </c>
      <c r="AI2320" s="77" t="b">
        <v>0</v>
      </c>
      <c r="AJ2320" s="77"/>
      <c r="AK2320" s="77"/>
      <c r="AL2320" s="77"/>
      <c r="AM2320" s="77"/>
      <c r="AN2320" s="77"/>
      <c r="AO2320" s="77"/>
      <c r="AP2320" s="77"/>
      <c r="AQ2320" s="77"/>
      <c r="AR2320" s="77"/>
      <c r="AS2320" s="77"/>
      <c r="AT2320" s="77"/>
      <c r="AU2320" s="77"/>
      <c r="AV2320" s="80" t="str">
        <f>HYPERLINK("https://pbs.twimg.com/profile_images/1365395023072817162/ZI8fAPrO_normal.jpg")</f>
        <v>https://pbs.twimg.com/profile_images/1365395023072817162/ZI8fAPrO_normal.jpg</v>
      </c>
      <c r="AW2320" s="82" t="s">
        <v>15405</v>
      </c>
      <c r="AX2320" s="82" t="s">
        <v>15405</v>
      </c>
      <c r="AY2320" s="77"/>
      <c r="AZ2320" s="82" t="s">
        <v>17385</v>
      </c>
      <c r="BA2320" s="82" t="s">
        <v>17385</v>
      </c>
      <c r="BB2320" s="82" t="s">
        <v>17385</v>
      </c>
      <c r="BC2320" s="82" t="s">
        <v>15405</v>
      </c>
      <c r="BD2320" s="82" t="s">
        <v>17641</v>
      </c>
      <c r="BE2320" s="77"/>
      <c r="BF2320" s="77"/>
      <c r="BG2320" s="77"/>
      <c r="BH2320" s="77"/>
      <c r="BI2320" s="77"/>
    </row>
    <row r="2321" spans="1:61" x14ac:dyDescent="0.25">
      <c r="A2321" s="62" t="s">
        <v>604</v>
      </c>
      <c r="B2321" s="62" t="s">
        <v>604</v>
      </c>
      <c r="C2321" s="63"/>
      <c r="D2321" s="64"/>
      <c r="E2321" s="65"/>
      <c r="F2321" s="66"/>
      <c r="G2321" s="63"/>
      <c r="H2321" s="67"/>
      <c r="I2321" s="68"/>
      <c r="J2321" s="68"/>
      <c r="K2321" s="32"/>
      <c r="L2321" s="75">
        <v>2321</v>
      </c>
      <c r="M2321" s="75"/>
      <c r="N2321" s="70"/>
      <c r="O2321" s="77" t="s">
        <v>179</v>
      </c>
      <c r="P2321" s="79">
        <v>45128.751203703701</v>
      </c>
      <c r="Q2321" s="77" t="s">
        <v>3100</v>
      </c>
      <c r="R2321" s="77">
        <v>0</v>
      </c>
      <c r="S2321" s="77">
        <v>0</v>
      </c>
      <c r="T2321" s="77">
        <v>0</v>
      </c>
      <c r="U2321" s="77">
        <v>0</v>
      </c>
      <c r="V2321" s="77">
        <v>54</v>
      </c>
      <c r="W2321" s="82" t="s">
        <v>6288</v>
      </c>
      <c r="X2321" s="80" t="str">
        <f>HYPERLINK("https://www.moneytimes.com.br/bba-alerta-para-acoes-mais-impactadas-por-disparada-do-trigo-com-tensao-no-mar-negro/")</f>
        <v>https://www.moneytimes.com.br/bba-alerta-para-acoes-mais-impactadas-por-disparada-do-trigo-com-tensao-no-mar-negro/</v>
      </c>
      <c r="Y2321" s="77" t="s">
        <v>7053</v>
      </c>
      <c r="Z2321" s="77"/>
      <c r="AA2321" s="77"/>
      <c r="AB2321" s="77"/>
      <c r="AC2321" s="82" t="s">
        <v>8255</v>
      </c>
      <c r="AD2321" s="77" t="s">
        <v>8278</v>
      </c>
      <c r="AE2321" s="80" t="str">
        <f>HYPERLINK("https://twitter.com/leiaagrotimes/status/1682450802479095813")</f>
        <v>https://twitter.com/leiaagrotimes/status/1682450802479095813</v>
      </c>
      <c r="AF2321" s="79">
        <v>45128.751203703701</v>
      </c>
      <c r="AG2321" s="85">
        <v>45128</v>
      </c>
      <c r="AH2321" s="82" t="s">
        <v>10385</v>
      </c>
      <c r="AI2321" s="77" t="b">
        <v>0</v>
      </c>
      <c r="AJ2321" s="77"/>
      <c r="AK2321" s="77"/>
      <c r="AL2321" s="77"/>
      <c r="AM2321" s="77"/>
      <c r="AN2321" s="77"/>
      <c r="AO2321" s="77"/>
      <c r="AP2321" s="77"/>
      <c r="AQ2321" s="77"/>
      <c r="AR2321" s="77"/>
      <c r="AS2321" s="77"/>
      <c r="AT2321" s="77"/>
      <c r="AU2321" s="77"/>
      <c r="AV2321" s="80" t="str">
        <f>HYPERLINK("https://pbs.twimg.com/profile_images/1365395023072817162/ZI8fAPrO_normal.jpg")</f>
        <v>https://pbs.twimg.com/profile_images/1365395023072817162/ZI8fAPrO_normal.jpg</v>
      </c>
      <c r="AW2321" s="82" t="s">
        <v>15406</v>
      </c>
      <c r="AX2321" s="82" t="s">
        <v>15406</v>
      </c>
      <c r="AY2321" s="77"/>
      <c r="AZ2321" s="82" t="s">
        <v>17385</v>
      </c>
      <c r="BA2321" s="82" t="s">
        <v>17385</v>
      </c>
      <c r="BB2321" s="82" t="s">
        <v>17385</v>
      </c>
      <c r="BC2321" s="82" t="s">
        <v>15406</v>
      </c>
      <c r="BD2321" s="82" t="s">
        <v>17641</v>
      </c>
      <c r="BE2321" s="77"/>
      <c r="BF2321" s="77"/>
      <c r="BG2321" s="77"/>
      <c r="BH2321" s="77"/>
      <c r="BI2321" s="77"/>
    </row>
    <row r="2322" spans="1:61" x14ac:dyDescent="0.25">
      <c r="A2322" s="62" t="s">
        <v>604</v>
      </c>
      <c r="B2322" s="62" t="s">
        <v>604</v>
      </c>
      <c r="C2322" s="63"/>
      <c r="D2322" s="64"/>
      <c r="E2322" s="65"/>
      <c r="F2322" s="66"/>
      <c r="G2322" s="63"/>
      <c r="H2322" s="67"/>
      <c r="I2322" s="68"/>
      <c r="J2322" s="68"/>
      <c r="K2322" s="32"/>
      <c r="L2322" s="75">
        <v>2322</v>
      </c>
      <c r="M2322" s="75"/>
      <c r="N2322" s="70"/>
      <c r="O2322" s="77" t="s">
        <v>179</v>
      </c>
      <c r="P2322" s="79">
        <v>45128.605798611112</v>
      </c>
      <c r="Q2322" s="77" t="s">
        <v>3101</v>
      </c>
      <c r="R2322" s="77">
        <v>0</v>
      </c>
      <c r="S2322" s="77">
        <v>0</v>
      </c>
      <c r="T2322" s="77">
        <v>0</v>
      </c>
      <c r="U2322" s="77">
        <v>0</v>
      </c>
      <c r="V2322" s="77">
        <v>98</v>
      </c>
      <c r="W2322" s="82" t="s">
        <v>6252</v>
      </c>
      <c r="X2322" s="80" t="str">
        <f>HYPERLINK("https://www.moneytimes.com.br/guerra-na-ucrania-impactos-positivos-e-negativos-nas-acoes-do-agro/")</f>
        <v>https://www.moneytimes.com.br/guerra-na-ucrania-impactos-positivos-e-negativos-nas-acoes-do-agro/</v>
      </c>
      <c r="Y2322" s="77" t="s">
        <v>7053</v>
      </c>
      <c r="Z2322" s="77"/>
      <c r="AA2322" s="77"/>
      <c r="AB2322" s="77"/>
      <c r="AC2322" s="82" t="s">
        <v>8255</v>
      </c>
      <c r="AD2322" s="77" t="s">
        <v>8278</v>
      </c>
      <c r="AE2322" s="80" t="str">
        <f>HYPERLINK("https://twitter.com/leiaagrotimes/status/1682398108808781824")</f>
        <v>https://twitter.com/leiaagrotimes/status/1682398108808781824</v>
      </c>
      <c r="AF2322" s="79">
        <v>45128.605798611112</v>
      </c>
      <c r="AG2322" s="85">
        <v>45128</v>
      </c>
      <c r="AH2322" s="82" t="s">
        <v>10386</v>
      </c>
      <c r="AI2322" s="77" t="b">
        <v>0</v>
      </c>
      <c r="AJ2322" s="77"/>
      <c r="AK2322" s="77"/>
      <c r="AL2322" s="77"/>
      <c r="AM2322" s="77"/>
      <c r="AN2322" s="77"/>
      <c r="AO2322" s="77"/>
      <c r="AP2322" s="77"/>
      <c r="AQ2322" s="77"/>
      <c r="AR2322" s="77"/>
      <c r="AS2322" s="77"/>
      <c r="AT2322" s="77"/>
      <c r="AU2322" s="77"/>
      <c r="AV2322" s="80" t="str">
        <f>HYPERLINK("https://pbs.twimg.com/profile_images/1365395023072817162/ZI8fAPrO_normal.jpg")</f>
        <v>https://pbs.twimg.com/profile_images/1365395023072817162/ZI8fAPrO_normal.jpg</v>
      </c>
      <c r="AW2322" s="82" t="s">
        <v>15407</v>
      </c>
      <c r="AX2322" s="82" t="s">
        <v>15407</v>
      </c>
      <c r="AY2322" s="77"/>
      <c r="AZ2322" s="82" t="s">
        <v>17385</v>
      </c>
      <c r="BA2322" s="82" t="s">
        <v>17385</v>
      </c>
      <c r="BB2322" s="82" t="s">
        <v>17385</v>
      </c>
      <c r="BC2322" s="82" t="s">
        <v>15407</v>
      </c>
      <c r="BD2322" s="82" t="s">
        <v>17641</v>
      </c>
      <c r="BE2322" s="77"/>
      <c r="BF2322" s="77"/>
      <c r="BG2322" s="77"/>
      <c r="BH2322" s="77"/>
      <c r="BI2322" s="77"/>
    </row>
    <row r="2323" spans="1:61" x14ac:dyDescent="0.25">
      <c r="A2323" s="62" t="s">
        <v>604</v>
      </c>
      <c r="B2323" s="62" t="s">
        <v>604</v>
      </c>
      <c r="C2323" s="63"/>
      <c r="D2323" s="64"/>
      <c r="E2323" s="65"/>
      <c r="F2323" s="66"/>
      <c r="G2323" s="63"/>
      <c r="H2323" s="67"/>
      <c r="I2323" s="68"/>
      <c r="J2323" s="68"/>
      <c r="K2323" s="32"/>
      <c r="L2323" s="75">
        <v>2323</v>
      </c>
      <c r="M2323" s="75"/>
      <c r="N2323" s="70"/>
      <c r="O2323" s="77" t="s">
        <v>179</v>
      </c>
      <c r="P2323" s="79">
        <v>45103.745671296296</v>
      </c>
      <c r="Q2323" s="77" t="s">
        <v>3102</v>
      </c>
      <c r="R2323" s="77">
        <v>0</v>
      </c>
      <c r="S2323" s="77">
        <v>1</v>
      </c>
      <c r="T2323" s="77">
        <v>0</v>
      </c>
      <c r="U2323" s="77">
        <v>0</v>
      </c>
      <c r="V2323" s="77">
        <v>216</v>
      </c>
      <c r="W2323" s="82" t="s">
        <v>6258</v>
      </c>
      <c r="X2323" s="80" t="str">
        <f>HYPERLINK("https://www.moneytimes.com.br/china-derruba-minerva-beef3-enquanto-el-nino-e-russia-pressionam-jbs-jbss3-e-marfrig-mrfg3/")</f>
        <v>https://www.moneytimes.com.br/china-derruba-minerva-beef3-enquanto-el-nino-e-russia-pressionam-jbs-jbss3-e-marfrig-mrfg3/</v>
      </c>
      <c r="Y2323" s="77" t="s">
        <v>7053</v>
      </c>
      <c r="Z2323" s="77"/>
      <c r="AA2323" s="77"/>
      <c r="AB2323" s="77"/>
      <c r="AC2323" s="82" t="s">
        <v>8255</v>
      </c>
      <c r="AD2323" s="77" t="s">
        <v>8278</v>
      </c>
      <c r="AE2323" s="80" t="str">
        <f>HYPERLINK("https://twitter.com/leiaagrotimes/status/1673389099917426688")</f>
        <v>https://twitter.com/leiaagrotimes/status/1673389099917426688</v>
      </c>
      <c r="AF2323" s="79">
        <v>45103.745671296296</v>
      </c>
      <c r="AG2323" s="85">
        <v>45103</v>
      </c>
      <c r="AH2323" s="82" t="s">
        <v>10387</v>
      </c>
      <c r="AI2323" s="77" t="b">
        <v>0</v>
      </c>
      <c r="AJ2323" s="77"/>
      <c r="AK2323" s="77"/>
      <c r="AL2323" s="77"/>
      <c r="AM2323" s="77"/>
      <c r="AN2323" s="77"/>
      <c r="AO2323" s="77"/>
      <c r="AP2323" s="77"/>
      <c r="AQ2323" s="77"/>
      <c r="AR2323" s="77"/>
      <c r="AS2323" s="77"/>
      <c r="AT2323" s="77"/>
      <c r="AU2323" s="77"/>
      <c r="AV2323" s="80" t="str">
        <f>HYPERLINK("https://pbs.twimg.com/profile_images/1365395023072817162/ZI8fAPrO_normal.jpg")</f>
        <v>https://pbs.twimg.com/profile_images/1365395023072817162/ZI8fAPrO_normal.jpg</v>
      </c>
      <c r="AW2323" s="82" t="s">
        <v>15408</v>
      </c>
      <c r="AX2323" s="82" t="s">
        <v>15408</v>
      </c>
      <c r="AY2323" s="77"/>
      <c r="AZ2323" s="82" t="s">
        <v>17385</v>
      </c>
      <c r="BA2323" s="82" t="s">
        <v>17385</v>
      </c>
      <c r="BB2323" s="82" t="s">
        <v>17385</v>
      </c>
      <c r="BC2323" s="82" t="s">
        <v>15408</v>
      </c>
      <c r="BD2323" s="82" t="s">
        <v>17641</v>
      </c>
      <c r="BE2323" s="77"/>
      <c r="BF2323" s="77"/>
      <c r="BG2323" s="77"/>
      <c r="BH2323" s="77"/>
      <c r="BI2323" s="77"/>
    </row>
    <row r="2324" spans="1:61" x14ac:dyDescent="0.25">
      <c r="A2324" s="62" t="s">
        <v>604</v>
      </c>
      <c r="B2324" s="62" t="s">
        <v>604</v>
      </c>
      <c r="C2324" s="63"/>
      <c r="D2324" s="64"/>
      <c r="E2324" s="65"/>
      <c r="F2324" s="66"/>
      <c r="G2324" s="63"/>
      <c r="H2324" s="67"/>
      <c r="I2324" s="68"/>
      <c r="J2324" s="68"/>
      <c r="K2324" s="32"/>
      <c r="L2324" s="75">
        <v>2324</v>
      </c>
      <c r="M2324" s="75"/>
      <c r="N2324" s="70"/>
      <c r="O2324" s="77" t="s">
        <v>179</v>
      </c>
      <c r="P2324" s="79">
        <v>45102.584166666667</v>
      </c>
      <c r="Q2324" s="77" t="s">
        <v>3103</v>
      </c>
      <c r="R2324" s="77">
        <v>0</v>
      </c>
      <c r="S2324" s="77">
        <v>2</v>
      </c>
      <c r="T2324" s="77">
        <v>0</v>
      </c>
      <c r="U2324" s="77">
        <v>0</v>
      </c>
      <c r="V2324" s="77">
        <v>194</v>
      </c>
      <c r="W2324" s="82" t="s">
        <v>6251</v>
      </c>
      <c r="X2324" s="80" t="str">
        <f>HYPERLINK("https://www.moneytimes.com.br/lula-vs-fpa-jbs-jbss3-paga-dividendos-bilionarios-gringos-se-voltam-para-raizen-raiz4-e-mais-veja-5-temas-no-agro-times/")</f>
        <v>https://www.moneytimes.com.br/lula-vs-fpa-jbs-jbss3-paga-dividendos-bilionarios-gringos-se-voltam-para-raizen-raiz4-e-mais-veja-5-temas-no-agro-times/</v>
      </c>
      <c r="Y2324" s="77" t="s">
        <v>7053</v>
      </c>
      <c r="Z2324" s="77"/>
      <c r="AA2324" s="77"/>
      <c r="AB2324" s="77"/>
      <c r="AC2324" s="82" t="s">
        <v>8255</v>
      </c>
      <c r="AD2324" s="77" t="s">
        <v>8278</v>
      </c>
      <c r="AE2324" s="80" t="str">
        <f>HYPERLINK("https://twitter.com/leiaagrotimes/status/1672968188009512961")</f>
        <v>https://twitter.com/leiaagrotimes/status/1672968188009512961</v>
      </c>
      <c r="AF2324" s="79">
        <v>45102.584166666667</v>
      </c>
      <c r="AG2324" s="85">
        <v>45102</v>
      </c>
      <c r="AH2324" s="82" t="s">
        <v>10388</v>
      </c>
      <c r="AI2324" s="77" t="b">
        <v>0</v>
      </c>
      <c r="AJ2324" s="77"/>
      <c r="AK2324" s="77"/>
      <c r="AL2324" s="77"/>
      <c r="AM2324" s="77"/>
      <c r="AN2324" s="77"/>
      <c r="AO2324" s="77"/>
      <c r="AP2324" s="77"/>
      <c r="AQ2324" s="77"/>
      <c r="AR2324" s="77"/>
      <c r="AS2324" s="77"/>
      <c r="AT2324" s="77"/>
      <c r="AU2324" s="77"/>
      <c r="AV2324" s="80" t="str">
        <f>HYPERLINK("https://pbs.twimg.com/profile_images/1365395023072817162/ZI8fAPrO_normal.jpg")</f>
        <v>https://pbs.twimg.com/profile_images/1365395023072817162/ZI8fAPrO_normal.jpg</v>
      </c>
      <c r="AW2324" s="82" t="s">
        <v>15409</v>
      </c>
      <c r="AX2324" s="82" t="s">
        <v>15409</v>
      </c>
      <c r="AY2324" s="77"/>
      <c r="AZ2324" s="82" t="s">
        <v>17385</v>
      </c>
      <c r="BA2324" s="82" t="s">
        <v>17385</v>
      </c>
      <c r="BB2324" s="82" t="s">
        <v>17385</v>
      </c>
      <c r="BC2324" s="82" t="s">
        <v>15409</v>
      </c>
      <c r="BD2324" s="82" t="s">
        <v>17641</v>
      </c>
      <c r="BE2324" s="77"/>
      <c r="BF2324" s="77"/>
      <c r="BG2324" s="77"/>
      <c r="BH2324" s="77"/>
      <c r="BI2324" s="77"/>
    </row>
    <row r="2325" spans="1:61" x14ac:dyDescent="0.25">
      <c r="A2325" s="62" t="s">
        <v>604</v>
      </c>
      <c r="B2325" s="62" t="s">
        <v>604</v>
      </c>
      <c r="C2325" s="63"/>
      <c r="D2325" s="64"/>
      <c r="E2325" s="65"/>
      <c r="F2325" s="66"/>
      <c r="G2325" s="63"/>
      <c r="H2325" s="67"/>
      <c r="I2325" s="68"/>
      <c r="J2325" s="68"/>
      <c r="K2325" s="32"/>
      <c r="L2325" s="75">
        <v>2325</v>
      </c>
      <c r="M2325" s="75"/>
      <c r="N2325" s="70"/>
      <c r="O2325" s="77" t="s">
        <v>179</v>
      </c>
      <c r="P2325" s="79">
        <v>45081.875578703701</v>
      </c>
      <c r="Q2325" s="77" t="s">
        <v>3104</v>
      </c>
      <c r="R2325" s="77">
        <v>0</v>
      </c>
      <c r="S2325" s="77">
        <v>1</v>
      </c>
      <c r="T2325" s="77">
        <v>0</v>
      </c>
      <c r="U2325" s="77">
        <v>0</v>
      </c>
      <c r="V2325" s="77">
        <v>114</v>
      </c>
      <c r="W2325" s="82" t="s">
        <v>6289</v>
      </c>
      <c r="X2325" s="80" t="str">
        <f>HYPERLINK("https://www.moneytimes.com.br/com-aquisicao-suzano-lidera-setorde-papel-destinado-a-lenco-e-toalha/")</f>
        <v>https://www.moneytimes.com.br/com-aquisicao-suzano-lidera-setorde-papel-destinado-a-lenco-e-toalha/</v>
      </c>
      <c r="Y2325" s="77" t="s">
        <v>7053</v>
      </c>
      <c r="Z2325" s="77"/>
      <c r="AA2325" s="77"/>
      <c r="AB2325" s="77"/>
      <c r="AC2325" s="82" t="s">
        <v>8255</v>
      </c>
      <c r="AD2325" s="77" t="s">
        <v>8278</v>
      </c>
      <c r="AE2325" s="80" t="str">
        <f>HYPERLINK("https://twitter.com/leiaagrotimes/status/1665463646414155776")</f>
        <v>https://twitter.com/leiaagrotimes/status/1665463646414155776</v>
      </c>
      <c r="AF2325" s="79">
        <v>45081.875578703701</v>
      </c>
      <c r="AG2325" s="85">
        <v>45081</v>
      </c>
      <c r="AH2325" s="82" t="s">
        <v>10389</v>
      </c>
      <c r="AI2325" s="77" t="b">
        <v>0</v>
      </c>
      <c r="AJ2325" s="77"/>
      <c r="AK2325" s="77"/>
      <c r="AL2325" s="77"/>
      <c r="AM2325" s="77"/>
      <c r="AN2325" s="77"/>
      <c r="AO2325" s="77"/>
      <c r="AP2325" s="77"/>
      <c r="AQ2325" s="77"/>
      <c r="AR2325" s="77"/>
      <c r="AS2325" s="77"/>
      <c r="AT2325" s="77"/>
      <c r="AU2325" s="77"/>
      <c r="AV2325" s="80" t="str">
        <f>HYPERLINK("https://pbs.twimg.com/profile_images/1365395023072817162/ZI8fAPrO_normal.jpg")</f>
        <v>https://pbs.twimg.com/profile_images/1365395023072817162/ZI8fAPrO_normal.jpg</v>
      </c>
      <c r="AW2325" s="82" t="s">
        <v>15410</v>
      </c>
      <c r="AX2325" s="82" t="s">
        <v>15410</v>
      </c>
      <c r="AY2325" s="77"/>
      <c r="AZ2325" s="82" t="s">
        <v>17385</v>
      </c>
      <c r="BA2325" s="82" t="s">
        <v>17385</v>
      </c>
      <c r="BB2325" s="82" t="s">
        <v>17385</v>
      </c>
      <c r="BC2325" s="82" t="s">
        <v>15410</v>
      </c>
      <c r="BD2325" s="82" t="s">
        <v>17641</v>
      </c>
      <c r="BE2325" s="77"/>
      <c r="BF2325" s="77"/>
      <c r="BG2325" s="77"/>
      <c r="BH2325" s="77"/>
      <c r="BI2325" s="77"/>
    </row>
    <row r="2326" spans="1:61" x14ac:dyDescent="0.25">
      <c r="A2326" s="62" t="s">
        <v>604</v>
      </c>
      <c r="B2326" s="62" t="s">
        <v>604</v>
      </c>
      <c r="C2326" s="63"/>
      <c r="D2326" s="64"/>
      <c r="E2326" s="65"/>
      <c r="F2326" s="66"/>
      <c r="G2326" s="63"/>
      <c r="H2326" s="67"/>
      <c r="I2326" s="68"/>
      <c r="J2326" s="68"/>
      <c r="K2326" s="32"/>
      <c r="L2326" s="75">
        <v>2326</v>
      </c>
      <c r="M2326" s="75"/>
      <c r="N2326" s="70"/>
      <c r="O2326" s="77" t="s">
        <v>179</v>
      </c>
      <c r="P2326" s="79">
        <v>45081.625428240739</v>
      </c>
      <c r="Q2326" s="77" t="s">
        <v>3105</v>
      </c>
      <c r="R2326" s="77">
        <v>0</v>
      </c>
      <c r="S2326" s="77">
        <v>1</v>
      </c>
      <c r="T2326" s="77">
        <v>0</v>
      </c>
      <c r="U2326" s="77">
        <v>0</v>
      </c>
      <c r="V2326" s="77">
        <v>80</v>
      </c>
      <c r="W2326" s="82" t="s">
        <v>6251</v>
      </c>
      <c r="X2326" s="80" t="str">
        <f>HYPERLINK("https://www.moneytimes.com.br/bancos-negam-frigorificos-que-pagam-o-pato-com-boi-china-e-clima-mexe-com-soja-milho-e-klabin-klbn11-veja-5-assuntos-no-agro-times/")</f>
        <v>https://www.moneytimes.com.br/bancos-negam-frigorificos-que-pagam-o-pato-com-boi-china-e-clima-mexe-com-soja-milho-e-klabin-klbn11-veja-5-assuntos-no-agro-times/</v>
      </c>
      <c r="Y2326" s="77" t="s">
        <v>7053</v>
      </c>
      <c r="Z2326" s="77"/>
      <c r="AA2326" s="77"/>
      <c r="AB2326" s="77"/>
      <c r="AC2326" s="82" t="s">
        <v>8255</v>
      </c>
      <c r="AD2326" s="77" t="s">
        <v>8278</v>
      </c>
      <c r="AE2326" s="80" t="str">
        <f>HYPERLINK("https://twitter.com/leiaagrotimes/status/1665372992489046029")</f>
        <v>https://twitter.com/leiaagrotimes/status/1665372992489046029</v>
      </c>
      <c r="AF2326" s="79">
        <v>45081.625428240739</v>
      </c>
      <c r="AG2326" s="85">
        <v>45081</v>
      </c>
      <c r="AH2326" s="82" t="s">
        <v>10390</v>
      </c>
      <c r="AI2326" s="77" t="b">
        <v>0</v>
      </c>
      <c r="AJ2326" s="77"/>
      <c r="AK2326" s="77"/>
      <c r="AL2326" s="77"/>
      <c r="AM2326" s="77"/>
      <c r="AN2326" s="77"/>
      <c r="AO2326" s="77"/>
      <c r="AP2326" s="77"/>
      <c r="AQ2326" s="77"/>
      <c r="AR2326" s="77"/>
      <c r="AS2326" s="77"/>
      <c r="AT2326" s="77"/>
      <c r="AU2326" s="77"/>
      <c r="AV2326" s="80" t="str">
        <f>HYPERLINK("https://pbs.twimg.com/profile_images/1365395023072817162/ZI8fAPrO_normal.jpg")</f>
        <v>https://pbs.twimg.com/profile_images/1365395023072817162/ZI8fAPrO_normal.jpg</v>
      </c>
      <c r="AW2326" s="82" t="s">
        <v>15411</v>
      </c>
      <c r="AX2326" s="82" t="s">
        <v>15411</v>
      </c>
      <c r="AY2326" s="77"/>
      <c r="AZ2326" s="82" t="s">
        <v>17385</v>
      </c>
      <c r="BA2326" s="82" t="s">
        <v>17385</v>
      </c>
      <c r="BB2326" s="82" t="s">
        <v>17385</v>
      </c>
      <c r="BC2326" s="82" t="s">
        <v>15411</v>
      </c>
      <c r="BD2326" s="82" t="s">
        <v>17641</v>
      </c>
      <c r="BE2326" s="77"/>
      <c r="BF2326" s="77"/>
      <c r="BG2326" s="77"/>
      <c r="BH2326" s="77"/>
      <c r="BI2326" s="77"/>
    </row>
    <row r="2327" spans="1:61" x14ac:dyDescent="0.25">
      <c r="A2327" s="62" t="s">
        <v>604</v>
      </c>
      <c r="B2327" s="62" t="s">
        <v>604</v>
      </c>
      <c r="C2327" s="63"/>
      <c r="D2327" s="64"/>
      <c r="E2327" s="65"/>
      <c r="F2327" s="66"/>
      <c r="G2327" s="63"/>
      <c r="H2327" s="67"/>
      <c r="I2327" s="68"/>
      <c r="J2327" s="68"/>
      <c r="K2327" s="32"/>
      <c r="L2327" s="75">
        <v>2327</v>
      </c>
      <c r="M2327" s="75"/>
      <c r="N2327" s="70"/>
      <c r="O2327" s="77" t="s">
        <v>179</v>
      </c>
      <c r="P2327" s="79">
        <v>45080.715532407405</v>
      </c>
      <c r="Q2327" s="77" t="s">
        <v>3106</v>
      </c>
      <c r="R2327" s="77">
        <v>0</v>
      </c>
      <c r="S2327" s="77">
        <v>0</v>
      </c>
      <c r="T2327" s="77">
        <v>0</v>
      </c>
      <c r="U2327" s="77">
        <v>0</v>
      </c>
      <c r="V2327" s="77">
        <v>77</v>
      </c>
      <c r="W2327" s="82" t="s">
        <v>6259</v>
      </c>
      <c r="X2327" s="80" t="str">
        <f>HYPERLINK("https://www.moneytimes.com.br/empresa-agro-paga-dividendos-adicionais-na-sexta-9-veja-quem-recebe/")</f>
        <v>https://www.moneytimes.com.br/empresa-agro-paga-dividendos-adicionais-na-sexta-9-veja-quem-recebe/</v>
      </c>
      <c r="Y2327" s="77" t="s">
        <v>7053</v>
      </c>
      <c r="Z2327" s="77"/>
      <c r="AA2327" s="77"/>
      <c r="AB2327" s="77"/>
      <c r="AC2327" s="82" t="s">
        <v>8255</v>
      </c>
      <c r="AD2327" s="77" t="s">
        <v>8278</v>
      </c>
      <c r="AE2327" s="80" t="str">
        <f>HYPERLINK("https://twitter.com/leiaagrotimes/status/1665043259687616514")</f>
        <v>https://twitter.com/leiaagrotimes/status/1665043259687616514</v>
      </c>
      <c r="AF2327" s="79">
        <v>45080.715532407405</v>
      </c>
      <c r="AG2327" s="85">
        <v>45080</v>
      </c>
      <c r="AH2327" s="82" t="s">
        <v>10391</v>
      </c>
      <c r="AI2327" s="77" t="b">
        <v>0</v>
      </c>
      <c r="AJ2327" s="77"/>
      <c r="AK2327" s="77"/>
      <c r="AL2327" s="77"/>
      <c r="AM2327" s="77"/>
      <c r="AN2327" s="77"/>
      <c r="AO2327" s="77"/>
      <c r="AP2327" s="77"/>
      <c r="AQ2327" s="77"/>
      <c r="AR2327" s="77"/>
      <c r="AS2327" s="77"/>
      <c r="AT2327" s="77"/>
      <c r="AU2327" s="77"/>
      <c r="AV2327" s="80" t="str">
        <f>HYPERLINK("https://pbs.twimg.com/profile_images/1365395023072817162/ZI8fAPrO_normal.jpg")</f>
        <v>https://pbs.twimg.com/profile_images/1365395023072817162/ZI8fAPrO_normal.jpg</v>
      </c>
      <c r="AW2327" s="82" t="s">
        <v>15412</v>
      </c>
      <c r="AX2327" s="82" t="s">
        <v>15412</v>
      </c>
      <c r="AY2327" s="77"/>
      <c r="AZ2327" s="82" t="s">
        <v>17385</v>
      </c>
      <c r="BA2327" s="82" t="s">
        <v>17385</v>
      </c>
      <c r="BB2327" s="82" t="s">
        <v>17385</v>
      </c>
      <c r="BC2327" s="82" t="s">
        <v>15412</v>
      </c>
      <c r="BD2327" s="82" t="s">
        <v>17641</v>
      </c>
      <c r="BE2327" s="77"/>
      <c r="BF2327" s="77"/>
      <c r="BG2327" s="77"/>
      <c r="BH2327" s="77"/>
      <c r="BI2327" s="77"/>
    </row>
    <row r="2328" spans="1:61" x14ac:dyDescent="0.25">
      <c r="A2328" s="62" t="s">
        <v>604</v>
      </c>
      <c r="B2328" s="62" t="s">
        <v>604</v>
      </c>
      <c r="C2328" s="63"/>
      <c r="D2328" s="64"/>
      <c r="E2328" s="65"/>
      <c r="F2328" s="66"/>
      <c r="G2328" s="63"/>
      <c r="H2328" s="67"/>
      <c r="I2328" s="68"/>
      <c r="J2328" s="68"/>
      <c r="K2328" s="32"/>
      <c r="L2328" s="75">
        <v>2328</v>
      </c>
      <c r="M2328" s="75"/>
      <c r="N2328" s="70"/>
      <c r="O2328" s="77" t="s">
        <v>179</v>
      </c>
      <c r="P2328" s="79">
        <v>45064.754432870373</v>
      </c>
      <c r="Q2328" s="77" t="s">
        <v>3107</v>
      </c>
      <c r="R2328" s="77">
        <v>0</v>
      </c>
      <c r="S2328" s="77">
        <v>0</v>
      </c>
      <c r="T2328" s="77">
        <v>0</v>
      </c>
      <c r="U2328" s="77">
        <v>0</v>
      </c>
      <c r="V2328" s="77">
        <v>60</v>
      </c>
      <c r="W2328" s="82" t="s">
        <v>6250</v>
      </c>
      <c r="X2328" s="80" t="str">
        <f>HYPERLINK("https://www.moneytimes.com.br/brf-brfs3-dispara-mais-de-9-com-precatorios-entenda/")</f>
        <v>https://www.moneytimes.com.br/brf-brfs3-dispara-mais-de-9-com-precatorios-entenda/</v>
      </c>
      <c r="Y2328" s="77" t="s">
        <v>7053</v>
      </c>
      <c r="Z2328" s="77"/>
      <c r="AA2328" s="77"/>
      <c r="AB2328" s="77"/>
      <c r="AC2328" s="82" t="s">
        <v>8255</v>
      </c>
      <c r="AD2328" s="77" t="s">
        <v>8278</v>
      </c>
      <c r="AE2328" s="80" t="str">
        <f>HYPERLINK("https://twitter.com/leiaagrotimes/status/1659259149195116544")</f>
        <v>https://twitter.com/leiaagrotimes/status/1659259149195116544</v>
      </c>
      <c r="AF2328" s="79">
        <v>45064.754432870373</v>
      </c>
      <c r="AG2328" s="85">
        <v>45064</v>
      </c>
      <c r="AH2328" s="82" t="s">
        <v>10392</v>
      </c>
      <c r="AI2328" s="77" t="b">
        <v>0</v>
      </c>
      <c r="AJ2328" s="77"/>
      <c r="AK2328" s="77"/>
      <c r="AL2328" s="77"/>
      <c r="AM2328" s="77"/>
      <c r="AN2328" s="77"/>
      <c r="AO2328" s="77"/>
      <c r="AP2328" s="77"/>
      <c r="AQ2328" s="77"/>
      <c r="AR2328" s="77"/>
      <c r="AS2328" s="77"/>
      <c r="AT2328" s="77"/>
      <c r="AU2328" s="77"/>
      <c r="AV2328" s="80" t="str">
        <f>HYPERLINK("https://pbs.twimg.com/profile_images/1365395023072817162/ZI8fAPrO_normal.jpg")</f>
        <v>https://pbs.twimg.com/profile_images/1365395023072817162/ZI8fAPrO_normal.jpg</v>
      </c>
      <c r="AW2328" s="82" t="s">
        <v>15413</v>
      </c>
      <c r="AX2328" s="82" t="s">
        <v>15413</v>
      </c>
      <c r="AY2328" s="77"/>
      <c r="AZ2328" s="82" t="s">
        <v>17385</v>
      </c>
      <c r="BA2328" s="82" t="s">
        <v>17385</v>
      </c>
      <c r="BB2328" s="82" t="s">
        <v>17385</v>
      </c>
      <c r="BC2328" s="82" t="s">
        <v>15413</v>
      </c>
      <c r="BD2328" s="82" t="s">
        <v>17641</v>
      </c>
      <c r="BE2328" s="77"/>
      <c r="BF2328" s="77"/>
      <c r="BG2328" s="77"/>
      <c r="BH2328" s="77"/>
      <c r="BI2328" s="77"/>
    </row>
    <row r="2329" spans="1:61" x14ac:dyDescent="0.25">
      <c r="A2329" s="62" t="s">
        <v>604</v>
      </c>
      <c r="B2329" s="62" t="s">
        <v>604</v>
      </c>
      <c r="C2329" s="63"/>
      <c r="D2329" s="64"/>
      <c r="E2329" s="65"/>
      <c r="F2329" s="66"/>
      <c r="G2329" s="63"/>
      <c r="H2329" s="67"/>
      <c r="I2329" s="68"/>
      <c r="J2329" s="68"/>
      <c r="K2329" s="32"/>
      <c r="L2329" s="75">
        <v>2329</v>
      </c>
      <c r="M2329" s="75"/>
      <c r="N2329" s="70"/>
      <c r="O2329" s="77" t="s">
        <v>179</v>
      </c>
      <c r="P2329" s="79">
        <v>45063.588425925926</v>
      </c>
      <c r="Q2329" s="77" t="s">
        <v>3108</v>
      </c>
      <c r="R2329" s="77">
        <v>0</v>
      </c>
      <c r="S2329" s="77">
        <v>0</v>
      </c>
      <c r="T2329" s="77">
        <v>0</v>
      </c>
      <c r="U2329" s="77">
        <v>0</v>
      </c>
      <c r="V2329" s="77">
        <v>67</v>
      </c>
      <c r="W2329" s="82" t="s">
        <v>6251</v>
      </c>
      <c r="X2329" s="80" t="str">
        <f>HYPERLINK("https://www.moneytimes.com.br/brf-brfs3-sobe-mais-de-3-apos-noticia-sobre-venda-de-precatorios/")</f>
        <v>https://www.moneytimes.com.br/brf-brfs3-sobe-mais-de-3-apos-noticia-sobre-venda-de-precatorios/</v>
      </c>
      <c r="Y2329" s="77" t="s">
        <v>7053</v>
      </c>
      <c r="Z2329" s="77"/>
      <c r="AA2329" s="77"/>
      <c r="AB2329" s="77"/>
      <c r="AC2329" s="82" t="s">
        <v>8255</v>
      </c>
      <c r="AD2329" s="77" t="s">
        <v>8278</v>
      </c>
      <c r="AE2329" s="80" t="str">
        <f>HYPERLINK("https://twitter.com/leiaagrotimes/status/1658836601051529217")</f>
        <v>https://twitter.com/leiaagrotimes/status/1658836601051529217</v>
      </c>
      <c r="AF2329" s="79">
        <v>45063.588425925926</v>
      </c>
      <c r="AG2329" s="85">
        <v>45063</v>
      </c>
      <c r="AH2329" s="82" t="s">
        <v>10393</v>
      </c>
      <c r="AI2329" s="77" t="b">
        <v>0</v>
      </c>
      <c r="AJ2329" s="77"/>
      <c r="AK2329" s="77"/>
      <c r="AL2329" s="77"/>
      <c r="AM2329" s="77"/>
      <c r="AN2329" s="77"/>
      <c r="AO2329" s="77"/>
      <c r="AP2329" s="77"/>
      <c r="AQ2329" s="77"/>
      <c r="AR2329" s="77"/>
      <c r="AS2329" s="77"/>
      <c r="AT2329" s="77"/>
      <c r="AU2329" s="77"/>
      <c r="AV2329" s="80" t="str">
        <f>HYPERLINK("https://pbs.twimg.com/profile_images/1365395023072817162/ZI8fAPrO_normal.jpg")</f>
        <v>https://pbs.twimg.com/profile_images/1365395023072817162/ZI8fAPrO_normal.jpg</v>
      </c>
      <c r="AW2329" s="82" t="s">
        <v>15414</v>
      </c>
      <c r="AX2329" s="82" t="s">
        <v>15414</v>
      </c>
      <c r="AY2329" s="77"/>
      <c r="AZ2329" s="82" t="s">
        <v>17385</v>
      </c>
      <c r="BA2329" s="82" t="s">
        <v>17385</v>
      </c>
      <c r="BB2329" s="82" t="s">
        <v>17385</v>
      </c>
      <c r="BC2329" s="82" t="s">
        <v>15414</v>
      </c>
      <c r="BD2329" s="82" t="s">
        <v>17641</v>
      </c>
      <c r="BE2329" s="77"/>
      <c r="BF2329" s="77"/>
      <c r="BG2329" s="77"/>
      <c r="BH2329" s="77"/>
      <c r="BI2329" s="77"/>
    </row>
    <row r="2330" spans="1:61" x14ac:dyDescent="0.25">
      <c r="A2330" s="62" t="s">
        <v>604</v>
      </c>
      <c r="B2330" s="62" t="s">
        <v>604</v>
      </c>
      <c r="C2330" s="63"/>
      <c r="D2330" s="64"/>
      <c r="E2330" s="65"/>
      <c r="F2330" s="66"/>
      <c r="G2330" s="63"/>
      <c r="H2330" s="67"/>
      <c r="I2330" s="68"/>
      <c r="J2330" s="68"/>
      <c r="K2330" s="32"/>
      <c r="L2330" s="75">
        <v>2330</v>
      </c>
      <c r="M2330" s="75"/>
      <c r="N2330" s="70"/>
      <c r="O2330" s="77" t="s">
        <v>179</v>
      </c>
      <c r="P2330" s="79">
        <v>45197.643900462965</v>
      </c>
      <c r="Q2330" s="77" t="s">
        <v>3109</v>
      </c>
      <c r="R2330" s="77">
        <v>1</v>
      </c>
      <c r="S2330" s="77">
        <v>1</v>
      </c>
      <c r="T2330" s="77">
        <v>0</v>
      </c>
      <c r="U2330" s="77">
        <v>0</v>
      </c>
      <c r="V2330" s="77">
        <v>745</v>
      </c>
      <c r="W2330" s="82" t="s">
        <v>6290</v>
      </c>
      <c r="X2330" s="80" t="str">
        <f>HYPERLINK("https://www.moneytimes.com.br/minerva-beef3-ou-jbs-jbss3-eqi-inicia-cobertura-e-ve-frigorifico-quase-dobrar-de-preco-em-2024/?ttmt")</f>
        <v>https://www.moneytimes.com.br/minerva-beef3-ou-jbs-jbss3-eqi-inicia-cobertura-e-ve-frigorifico-quase-dobrar-de-preco-em-2024/?ttmt</v>
      </c>
      <c r="Y2330" s="77" t="s">
        <v>7053</v>
      </c>
      <c r="Z2330" s="77"/>
      <c r="AA2330" s="77"/>
      <c r="AB2330" s="77"/>
      <c r="AC2330" s="82" t="s">
        <v>8232</v>
      </c>
      <c r="AD2330" s="77" t="s">
        <v>8278</v>
      </c>
      <c r="AE2330" s="80" t="str">
        <f>HYPERLINK("https://twitter.com/leiaagrotimes/status/1707416682191274361")</f>
        <v>https://twitter.com/leiaagrotimes/status/1707416682191274361</v>
      </c>
      <c r="AF2330" s="79">
        <v>45197.643900462965</v>
      </c>
      <c r="AG2330" s="85">
        <v>45197</v>
      </c>
      <c r="AH2330" s="82" t="s">
        <v>10394</v>
      </c>
      <c r="AI2330" s="77" t="b">
        <v>0</v>
      </c>
      <c r="AJ2330" s="77"/>
      <c r="AK2330" s="77"/>
      <c r="AL2330" s="77"/>
      <c r="AM2330" s="77"/>
      <c r="AN2330" s="77"/>
      <c r="AO2330" s="77"/>
      <c r="AP2330" s="77"/>
      <c r="AQ2330" s="77"/>
      <c r="AR2330" s="77"/>
      <c r="AS2330" s="77"/>
      <c r="AT2330" s="77"/>
      <c r="AU2330" s="77"/>
      <c r="AV2330" s="80" t="str">
        <f>HYPERLINK("https://pbs.twimg.com/profile_images/1365395023072817162/ZI8fAPrO_normal.jpg")</f>
        <v>https://pbs.twimg.com/profile_images/1365395023072817162/ZI8fAPrO_normal.jpg</v>
      </c>
      <c r="AW2330" s="82" t="s">
        <v>15415</v>
      </c>
      <c r="AX2330" s="82" t="s">
        <v>15415</v>
      </c>
      <c r="AY2330" s="77"/>
      <c r="AZ2330" s="82" t="s">
        <v>17385</v>
      </c>
      <c r="BA2330" s="82" t="s">
        <v>17385</v>
      </c>
      <c r="BB2330" s="82" t="s">
        <v>17385</v>
      </c>
      <c r="BC2330" s="82" t="s">
        <v>15415</v>
      </c>
      <c r="BD2330" s="82" t="s">
        <v>17641</v>
      </c>
      <c r="BE2330" s="77"/>
      <c r="BF2330" s="77"/>
      <c r="BG2330" s="77"/>
      <c r="BH2330" s="77"/>
      <c r="BI2330" s="77"/>
    </row>
    <row r="2331" spans="1:61" x14ac:dyDescent="0.25">
      <c r="A2331" s="62" t="s">
        <v>604</v>
      </c>
      <c r="B2331" s="62" t="s">
        <v>604</v>
      </c>
      <c r="C2331" s="63"/>
      <c r="D2331" s="64"/>
      <c r="E2331" s="65"/>
      <c r="F2331" s="66"/>
      <c r="G2331" s="63"/>
      <c r="H2331" s="67"/>
      <c r="I2331" s="68"/>
      <c r="J2331" s="68"/>
      <c r="K2331" s="32"/>
      <c r="L2331" s="75">
        <v>2331</v>
      </c>
      <c r="M2331" s="75"/>
      <c r="N2331" s="70"/>
      <c r="O2331" s="77" t="s">
        <v>179</v>
      </c>
      <c r="P2331" s="79">
        <v>45182.526886574073</v>
      </c>
      <c r="Q2331" s="77" t="s">
        <v>3110</v>
      </c>
      <c r="R2331" s="77">
        <v>0</v>
      </c>
      <c r="S2331" s="77">
        <v>1</v>
      </c>
      <c r="T2331" s="77">
        <v>0</v>
      </c>
      <c r="U2331" s="77">
        <v>0</v>
      </c>
      <c r="V2331" s="77">
        <v>65</v>
      </c>
      <c r="W2331" s="82" t="s">
        <v>6291</v>
      </c>
      <c r="X2331" s="80" t="str">
        <f>HYPERLINK("https://www.moneytimes.com.br/os-5-destaques-do-bbi-sobre-acao-do-agronegocio-que-pode-crescer-mais-de-26-rumo/")</f>
        <v>https://www.moneytimes.com.br/os-5-destaques-do-bbi-sobre-acao-do-agronegocio-que-pode-crescer-mais-de-26-rumo/</v>
      </c>
      <c r="Y2331" s="77" t="s">
        <v>7053</v>
      </c>
      <c r="Z2331" s="77"/>
      <c r="AA2331" s="77"/>
      <c r="AB2331" s="77"/>
      <c r="AC2331" s="82" t="s">
        <v>8255</v>
      </c>
      <c r="AD2331" s="77" t="s">
        <v>8278</v>
      </c>
      <c r="AE2331" s="80" t="str">
        <f>HYPERLINK("https://twitter.com/leiaagrotimes/status/1701938459013795970")</f>
        <v>https://twitter.com/leiaagrotimes/status/1701938459013795970</v>
      </c>
      <c r="AF2331" s="79">
        <v>45182.526886574073</v>
      </c>
      <c r="AG2331" s="85">
        <v>45182</v>
      </c>
      <c r="AH2331" s="82" t="s">
        <v>10395</v>
      </c>
      <c r="AI2331" s="77" t="b">
        <v>0</v>
      </c>
      <c r="AJ2331" s="77"/>
      <c r="AK2331" s="77"/>
      <c r="AL2331" s="77"/>
      <c r="AM2331" s="77"/>
      <c r="AN2331" s="77"/>
      <c r="AO2331" s="77"/>
      <c r="AP2331" s="77"/>
      <c r="AQ2331" s="77"/>
      <c r="AR2331" s="77"/>
      <c r="AS2331" s="77"/>
      <c r="AT2331" s="77"/>
      <c r="AU2331" s="77"/>
      <c r="AV2331" s="80" t="str">
        <f>HYPERLINK("https://pbs.twimg.com/profile_images/1365395023072817162/ZI8fAPrO_normal.jpg")</f>
        <v>https://pbs.twimg.com/profile_images/1365395023072817162/ZI8fAPrO_normal.jpg</v>
      </c>
      <c r="AW2331" s="82" t="s">
        <v>15416</v>
      </c>
      <c r="AX2331" s="82" t="s">
        <v>15416</v>
      </c>
      <c r="AY2331" s="77"/>
      <c r="AZ2331" s="82" t="s">
        <v>17385</v>
      </c>
      <c r="BA2331" s="82" t="s">
        <v>17385</v>
      </c>
      <c r="BB2331" s="82" t="s">
        <v>17385</v>
      </c>
      <c r="BC2331" s="82" t="s">
        <v>15416</v>
      </c>
      <c r="BD2331" s="82" t="s">
        <v>17641</v>
      </c>
      <c r="BE2331" s="77"/>
      <c r="BF2331" s="77"/>
      <c r="BG2331" s="77"/>
      <c r="BH2331" s="77"/>
      <c r="BI2331" s="77"/>
    </row>
    <row r="2332" spans="1:61" x14ac:dyDescent="0.25">
      <c r="A2332" s="62" t="s">
        <v>604</v>
      </c>
      <c r="B2332" s="62" t="s">
        <v>604</v>
      </c>
      <c r="C2332" s="63"/>
      <c r="D2332" s="64"/>
      <c r="E2332" s="65"/>
      <c r="F2332" s="66"/>
      <c r="G2332" s="63"/>
      <c r="H2332" s="67"/>
      <c r="I2332" s="68"/>
      <c r="J2332" s="68"/>
      <c r="K2332" s="32"/>
      <c r="L2332" s="75">
        <v>2332</v>
      </c>
      <c r="M2332" s="75"/>
      <c r="N2332" s="70"/>
      <c r="O2332" s="77" t="s">
        <v>179</v>
      </c>
      <c r="P2332" s="79">
        <v>45181.868761574071</v>
      </c>
      <c r="Q2332" s="77" t="s">
        <v>3111</v>
      </c>
      <c r="R2332" s="77">
        <v>0</v>
      </c>
      <c r="S2332" s="77">
        <v>1</v>
      </c>
      <c r="T2332" s="77">
        <v>0</v>
      </c>
      <c r="U2332" s="77">
        <v>0</v>
      </c>
      <c r="V2332" s="77">
        <v>78</v>
      </c>
      <c r="W2332" s="82" t="s">
        <v>6259</v>
      </c>
      <c r="X2332" s="80" t="str">
        <f>HYPERLINK("https://www.moneytimes.com.br/slc-agricola-slce3-bba-corta-preco-alvo-com-el-nino-no-radar-vale-comprar-a-acao/")</f>
        <v>https://www.moneytimes.com.br/slc-agricola-slce3-bba-corta-preco-alvo-com-el-nino-no-radar-vale-comprar-a-acao/</v>
      </c>
      <c r="Y2332" s="77" t="s">
        <v>7053</v>
      </c>
      <c r="Z2332" s="77"/>
      <c r="AA2332" s="77"/>
      <c r="AB2332" s="77"/>
      <c r="AC2332" s="82" t="s">
        <v>8255</v>
      </c>
      <c r="AD2332" s="77" t="s">
        <v>8284</v>
      </c>
      <c r="AE2332" s="80" t="str">
        <f>HYPERLINK("https://twitter.com/leiaagrotimes/status/1701699963388895272")</f>
        <v>https://twitter.com/leiaagrotimes/status/1701699963388895272</v>
      </c>
      <c r="AF2332" s="79">
        <v>45181.868761574071</v>
      </c>
      <c r="AG2332" s="85">
        <v>45181</v>
      </c>
      <c r="AH2332" s="82" t="s">
        <v>10396</v>
      </c>
      <c r="AI2332" s="77" t="b">
        <v>0</v>
      </c>
      <c r="AJ2332" s="77"/>
      <c r="AK2332" s="77"/>
      <c r="AL2332" s="77"/>
      <c r="AM2332" s="77"/>
      <c r="AN2332" s="77"/>
      <c r="AO2332" s="77"/>
      <c r="AP2332" s="77"/>
      <c r="AQ2332" s="77"/>
      <c r="AR2332" s="77"/>
      <c r="AS2332" s="77"/>
      <c r="AT2332" s="77"/>
      <c r="AU2332" s="77"/>
      <c r="AV2332" s="80" t="str">
        <f>HYPERLINK("https://pbs.twimg.com/profile_images/1365395023072817162/ZI8fAPrO_normal.jpg")</f>
        <v>https://pbs.twimg.com/profile_images/1365395023072817162/ZI8fAPrO_normal.jpg</v>
      </c>
      <c r="AW2332" s="82" t="s">
        <v>15417</v>
      </c>
      <c r="AX2332" s="82" t="s">
        <v>15417</v>
      </c>
      <c r="AY2332" s="77"/>
      <c r="AZ2332" s="82" t="s">
        <v>17385</v>
      </c>
      <c r="BA2332" s="82" t="s">
        <v>17385</v>
      </c>
      <c r="BB2332" s="82" t="s">
        <v>17385</v>
      </c>
      <c r="BC2332" s="82" t="s">
        <v>15417</v>
      </c>
      <c r="BD2332" s="82" t="s">
        <v>17641</v>
      </c>
      <c r="BE2332" s="77"/>
      <c r="BF2332" s="77"/>
      <c r="BG2332" s="77"/>
      <c r="BH2332" s="77"/>
      <c r="BI2332" s="77"/>
    </row>
    <row r="2333" spans="1:61" x14ac:dyDescent="0.25">
      <c r="A2333" s="62" t="s">
        <v>604</v>
      </c>
      <c r="B2333" s="62" t="s">
        <v>604</v>
      </c>
      <c r="C2333" s="63"/>
      <c r="D2333" s="64"/>
      <c r="E2333" s="65"/>
      <c r="F2333" s="66"/>
      <c r="G2333" s="63"/>
      <c r="H2333" s="67"/>
      <c r="I2333" s="68"/>
      <c r="J2333" s="68"/>
      <c r="K2333" s="32"/>
      <c r="L2333" s="75">
        <v>2333</v>
      </c>
      <c r="M2333" s="75"/>
      <c r="N2333" s="70"/>
      <c r="O2333" s="77" t="s">
        <v>179</v>
      </c>
      <c r="P2333" s="79">
        <v>45180.535497685189</v>
      </c>
      <c r="Q2333" s="77" t="s">
        <v>3112</v>
      </c>
      <c r="R2333" s="77">
        <v>0</v>
      </c>
      <c r="S2333" s="77">
        <v>0</v>
      </c>
      <c r="T2333" s="77">
        <v>0</v>
      </c>
      <c r="U2333" s="77">
        <v>0</v>
      </c>
      <c r="V2333" s="77">
        <v>117</v>
      </c>
      <c r="W2333" s="82" t="s">
        <v>6251</v>
      </c>
      <c r="X2333" s="80" t="str">
        <f>HYPERLINK("https://www.moneytimes.com.br/acao-agro-desbanca-gerdau-ggbr4-posicoes-compradas-pesquisa-btg-investidores-suzano-suzb3/")</f>
        <v>https://www.moneytimes.com.br/acao-agro-desbanca-gerdau-ggbr4-posicoes-compradas-pesquisa-btg-investidores-suzano-suzb3/</v>
      </c>
      <c r="Y2333" s="77" t="s">
        <v>7053</v>
      </c>
      <c r="Z2333" s="77"/>
      <c r="AA2333" s="77"/>
      <c r="AB2333" s="77"/>
      <c r="AC2333" s="82" t="s">
        <v>8255</v>
      </c>
      <c r="AD2333" s="77" t="s">
        <v>8278</v>
      </c>
      <c r="AE2333" s="80" t="str">
        <f>HYPERLINK("https://twitter.com/leiaagrotimes/status/1701216804129980785")</f>
        <v>https://twitter.com/leiaagrotimes/status/1701216804129980785</v>
      </c>
      <c r="AF2333" s="79">
        <v>45180.535497685189</v>
      </c>
      <c r="AG2333" s="85">
        <v>45180</v>
      </c>
      <c r="AH2333" s="82" t="s">
        <v>9558</v>
      </c>
      <c r="AI2333" s="77" t="b">
        <v>0</v>
      </c>
      <c r="AJ2333" s="77"/>
      <c r="AK2333" s="77"/>
      <c r="AL2333" s="77"/>
      <c r="AM2333" s="77"/>
      <c r="AN2333" s="77"/>
      <c r="AO2333" s="77"/>
      <c r="AP2333" s="77"/>
      <c r="AQ2333" s="77"/>
      <c r="AR2333" s="77"/>
      <c r="AS2333" s="77"/>
      <c r="AT2333" s="77"/>
      <c r="AU2333" s="77"/>
      <c r="AV2333" s="80" t="str">
        <f>HYPERLINK("https://pbs.twimg.com/profile_images/1365395023072817162/ZI8fAPrO_normal.jpg")</f>
        <v>https://pbs.twimg.com/profile_images/1365395023072817162/ZI8fAPrO_normal.jpg</v>
      </c>
      <c r="AW2333" s="82" t="s">
        <v>15418</v>
      </c>
      <c r="AX2333" s="82" t="s">
        <v>15418</v>
      </c>
      <c r="AY2333" s="77"/>
      <c r="AZ2333" s="82" t="s">
        <v>17385</v>
      </c>
      <c r="BA2333" s="82" t="s">
        <v>17385</v>
      </c>
      <c r="BB2333" s="82" t="s">
        <v>17385</v>
      </c>
      <c r="BC2333" s="82" t="s">
        <v>15418</v>
      </c>
      <c r="BD2333" s="82" t="s">
        <v>17641</v>
      </c>
      <c r="BE2333" s="77"/>
      <c r="BF2333" s="77"/>
      <c r="BG2333" s="77"/>
      <c r="BH2333" s="77"/>
      <c r="BI2333" s="77"/>
    </row>
    <row r="2334" spans="1:61" x14ac:dyDescent="0.25">
      <c r="A2334" s="62" t="s">
        <v>604</v>
      </c>
      <c r="B2334" s="62" t="s">
        <v>604</v>
      </c>
      <c r="C2334" s="63"/>
      <c r="D2334" s="64"/>
      <c r="E2334" s="65"/>
      <c r="F2334" s="66"/>
      <c r="G2334" s="63"/>
      <c r="H2334" s="67"/>
      <c r="I2334" s="68"/>
      <c r="J2334" s="68"/>
      <c r="K2334" s="32"/>
      <c r="L2334" s="75">
        <v>2334</v>
      </c>
      <c r="M2334" s="75"/>
      <c r="N2334" s="70"/>
      <c r="O2334" s="77" t="s">
        <v>179</v>
      </c>
      <c r="P2334" s="79">
        <v>45179.542349537034</v>
      </c>
      <c r="Q2334" s="77" t="s">
        <v>3113</v>
      </c>
      <c r="R2334" s="77">
        <v>0</v>
      </c>
      <c r="S2334" s="77">
        <v>0</v>
      </c>
      <c r="T2334" s="77">
        <v>0</v>
      </c>
      <c r="U2334" s="77">
        <v>0</v>
      </c>
      <c r="V2334" s="77">
        <v>116</v>
      </c>
      <c r="W2334" s="82" t="s">
        <v>6257</v>
      </c>
      <c r="X2334" s="80" t="str">
        <f>HYPERLINK("https://www.moneytimes.com.br/dividendos-da-brasilagro-agro3-mercado-da-soja-fiagros-alvos-de-lula-e-mais-veja-5-temas-no-agro-times/")</f>
        <v>https://www.moneytimes.com.br/dividendos-da-brasilagro-agro3-mercado-da-soja-fiagros-alvos-de-lula-e-mais-veja-5-temas-no-agro-times/</v>
      </c>
      <c r="Y2334" s="77" t="s">
        <v>7053</v>
      </c>
      <c r="Z2334" s="77"/>
      <c r="AA2334" s="77"/>
      <c r="AB2334" s="77"/>
      <c r="AC2334" s="82" t="s">
        <v>8255</v>
      </c>
      <c r="AD2334" s="77" t="s">
        <v>8278</v>
      </c>
      <c r="AE2334" s="80" t="str">
        <f>HYPERLINK("https://twitter.com/leiaagrotimes/status/1700856896910148008")</f>
        <v>https://twitter.com/leiaagrotimes/status/1700856896910148008</v>
      </c>
      <c r="AF2334" s="79">
        <v>45179.542349537034</v>
      </c>
      <c r="AG2334" s="85">
        <v>45179</v>
      </c>
      <c r="AH2334" s="82" t="s">
        <v>10368</v>
      </c>
      <c r="AI2334" s="77" t="b">
        <v>0</v>
      </c>
      <c r="AJ2334" s="77"/>
      <c r="AK2334" s="77"/>
      <c r="AL2334" s="77"/>
      <c r="AM2334" s="77"/>
      <c r="AN2334" s="77"/>
      <c r="AO2334" s="77"/>
      <c r="AP2334" s="77"/>
      <c r="AQ2334" s="77"/>
      <c r="AR2334" s="77"/>
      <c r="AS2334" s="77"/>
      <c r="AT2334" s="77"/>
      <c r="AU2334" s="77"/>
      <c r="AV2334" s="80" t="str">
        <f>HYPERLINK("https://pbs.twimg.com/profile_images/1365395023072817162/ZI8fAPrO_normal.jpg")</f>
        <v>https://pbs.twimg.com/profile_images/1365395023072817162/ZI8fAPrO_normal.jpg</v>
      </c>
      <c r="AW2334" s="82" t="s">
        <v>15419</v>
      </c>
      <c r="AX2334" s="82" t="s">
        <v>15419</v>
      </c>
      <c r="AY2334" s="77"/>
      <c r="AZ2334" s="82" t="s">
        <v>17385</v>
      </c>
      <c r="BA2334" s="82" t="s">
        <v>17385</v>
      </c>
      <c r="BB2334" s="82" t="s">
        <v>17385</v>
      </c>
      <c r="BC2334" s="82" t="s">
        <v>15419</v>
      </c>
      <c r="BD2334" s="82" t="s">
        <v>17641</v>
      </c>
      <c r="BE2334" s="77"/>
      <c r="BF2334" s="77"/>
      <c r="BG2334" s="77"/>
      <c r="BH2334" s="77"/>
      <c r="BI2334" s="77"/>
    </row>
    <row r="2335" spans="1:61" x14ac:dyDescent="0.25">
      <c r="A2335" s="62" t="s">
        <v>604</v>
      </c>
      <c r="B2335" s="62" t="s">
        <v>604</v>
      </c>
      <c r="C2335" s="63"/>
      <c r="D2335" s="64"/>
      <c r="E2335" s="65"/>
      <c r="F2335" s="66"/>
      <c r="G2335" s="63"/>
      <c r="H2335" s="67"/>
      <c r="I2335" s="68"/>
      <c r="J2335" s="68"/>
      <c r="K2335" s="32"/>
      <c r="L2335" s="75">
        <v>2335</v>
      </c>
      <c r="M2335" s="75"/>
      <c r="N2335" s="70"/>
      <c r="O2335" s="77" t="s">
        <v>179</v>
      </c>
      <c r="P2335" s="79">
        <v>45175.997824074075</v>
      </c>
      <c r="Q2335" s="77" t="s">
        <v>3114</v>
      </c>
      <c r="R2335" s="77">
        <v>0</v>
      </c>
      <c r="S2335" s="77">
        <v>0</v>
      </c>
      <c r="T2335" s="77">
        <v>0</v>
      </c>
      <c r="U2335" s="77">
        <v>0</v>
      </c>
      <c r="V2335" s="77">
        <v>151</v>
      </c>
      <c r="W2335" s="82" t="s">
        <v>6289</v>
      </c>
      <c r="X2335" s="80" t="str">
        <f>HYPERLINK("https://www.moneytimes.com.br/suzano-suzb3-emitira-r-2-bilhoes-em-debentures-para-bancar-projeto-de-geracao-de-energia/")</f>
        <v>https://www.moneytimes.com.br/suzano-suzb3-emitira-r-2-bilhoes-em-debentures-para-bancar-projeto-de-geracao-de-energia/</v>
      </c>
      <c r="Y2335" s="77" t="s">
        <v>7053</v>
      </c>
      <c r="Z2335" s="77"/>
      <c r="AA2335" s="77"/>
      <c r="AB2335" s="77"/>
      <c r="AC2335" s="82" t="s">
        <v>8255</v>
      </c>
      <c r="AD2335" s="77" t="s">
        <v>8278</v>
      </c>
      <c r="AE2335" s="80" t="str">
        <f>HYPERLINK("https://twitter.com/leiaagrotimes/status/1699572405612446026")</f>
        <v>https://twitter.com/leiaagrotimes/status/1699572405612446026</v>
      </c>
      <c r="AF2335" s="79">
        <v>45175.997824074075</v>
      </c>
      <c r="AG2335" s="85">
        <v>45175</v>
      </c>
      <c r="AH2335" s="82" t="s">
        <v>10397</v>
      </c>
      <c r="AI2335" s="77" t="b">
        <v>0</v>
      </c>
      <c r="AJ2335" s="77"/>
      <c r="AK2335" s="77"/>
      <c r="AL2335" s="77"/>
      <c r="AM2335" s="77"/>
      <c r="AN2335" s="77"/>
      <c r="AO2335" s="77"/>
      <c r="AP2335" s="77"/>
      <c r="AQ2335" s="77"/>
      <c r="AR2335" s="77"/>
      <c r="AS2335" s="77"/>
      <c r="AT2335" s="77"/>
      <c r="AU2335" s="77"/>
      <c r="AV2335" s="80" t="str">
        <f>HYPERLINK("https://pbs.twimg.com/profile_images/1365395023072817162/ZI8fAPrO_normal.jpg")</f>
        <v>https://pbs.twimg.com/profile_images/1365395023072817162/ZI8fAPrO_normal.jpg</v>
      </c>
      <c r="AW2335" s="82" t="s">
        <v>15420</v>
      </c>
      <c r="AX2335" s="82" t="s">
        <v>15420</v>
      </c>
      <c r="AY2335" s="77"/>
      <c r="AZ2335" s="82" t="s">
        <v>17385</v>
      </c>
      <c r="BA2335" s="82" t="s">
        <v>17385</v>
      </c>
      <c r="BB2335" s="82" t="s">
        <v>17385</v>
      </c>
      <c r="BC2335" s="82" t="s">
        <v>15420</v>
      </c>
      <c r="BD2335" s="82" t="s">
        <v>17641</v>
      </c>
      <c r="BE2335" s="77"/>
      <c r="BF2335" s="77"/>
      <c r="BG2335" s="77"/>
      <c r="BH2335" s="77"/>
      <c r="BI2335" s="77"/>
    </row>
    <row r="2336" spans="1:61" x14ac:dyDescent="0.25">
      <c r="A2336" s="62" t="s">
        <v>604</v>
      </c>
      <c r="B2336" s="62" t="s">
        <v>604</v>
      </c>
      <c r="C2336" s="63"/>
      <c r="D2336" s="64"/>
      <c r="E2336" s="65"/>
      <c r="F2336" s="66"/>
      <c r="G2336" s="63"/>
      <c r="H2336" s="67"/>
      <c r="I2336" s="68"/>
      <c r="J2336" s="68"/>
      <c r="K2336" s="32"/>
      <c r="L2336" s="75">
        <v>2336</v>
      </c>
      <c r="M2336" s="75"/>
      <c r="N2336" s="70"/>
      <c r="O2336" s="77" t="s">
        <v>179</v>
      </c>
      <c r="P2336" s="79">
        <v>45175.950891203705</v>
      </c>
      <c r="Q2336" s="77" t="s">
        <v>3115</v>
      </c>
      <c r="R2336" s="77">
        <v>0</v>
      </c>
      <c r="S2336" s="77">
        <v>1</v>
      </c>
      <c r="T2336" s="77">
        <v>0</v>
      </c>
      <c r="U2336" s="77">
        <v>0</v>
      </c>
      <c r="V2336" s="77">
        <v>160</v>
      </c>
      <c r="W2336" s="82" t="s">
        <v>6251</v>
      </c>
      <c r="X2336" s="80" t="str">
        <f>HYPERLINK("https://www.moneytimes.com.br/minerva-beef3-conclui-captacao-de-us-900-milhoes-para-pagar-marfrig-mrfg3/")</f>
        <v>https://www.moneytimes.com.br/minerva-beef3-conclui-captacao-de-us-900-milhoes-para-pagar-marfrig-mrfg3/</v>
      </c>
      <c r="Y2336" s="77" t="s">
        <v>7053</v>
      </c>
      <c r="Z2336" s="77"/>
      <c r="AA2336" s="77"/>
      <c r="AB2336" s="77"/>
      <c r="AC2336" s="82" t="s">
        <v>8255</v>
      </c>
      <c r="AD2336" s="77" t="s">
        <v>8278</v>
      </c>
      <c r="AE2336" s="80" t="str">
        <f>HYPERLINK("https://twitter.com/leiaagrotimes/status/1699555396715786731")</f>
        <v>https://twitter.com/leiaagrotimes/status/1699555396715786731</v>
      </c>
      <c r="AF2336" s="79">
        <v>45175.950891203705</v>
      </c>
      <c r="AG2336" s="85">
        <v>45175</v>
      </c>
      <c r="AH2336" s="82" t="s">
        <v>10398</v>
      </c>
      <c r="AI2336" s="77" t="b">
        <v>0</v>
      </c>
      <c r="AJ2336" s="77"/>
      <c r="AK2336" s="77"/>
      <c r="AL2336" s="77"/>
      <c r="AM2336" s="77"/>
      <c r="AN2336" s="77"/>
      <c r="AO2336" s="77"/>
      <c r="AP2336" s="77"/>
      <c r="AQ2336" s="77"/>
      <c r="AR2336" s="77"/>
      <c r="AS2336" s="77"/>
      <c r="AT2336" s="77"/>
      <c r="AU2336" s="77"/>
      <c r="AV2336" s="80" t="str">
        <f>HYPERLINK("https://pbs.twimg.com/profile_images/1365395023072817162/ZI8fAPrO_normal.jpg")</f>
        <v>https://pbs.twimg.com/profile_images/1365395023072817162/ZI8fAPrO_normal.jpg</v>
      </c>
      <c r="AW2336" s="82" t="s">
        <v>15421</v>
      </c>
      <c r="AX2336" s="82" t="s">
        <v>15421</v>
      </c>
      <c r="AY2336" s="77"/>
      <c r="AZ2336" s="82" t="s">
        <v>17385</v>
      </c>
      <c r="BA2336" s="82" t="s">
        <v>17385</v>
      </c>
      <c r="BB2336" s="82" t="s">
        <v>17385</v>
      </c>
      <c r="BC2336" s="82" t="s">
        <v>15421</v>
      </c>
      <c r="BD2336" s="82" t="s">
        <v>17641</v>
      </c>
      <c r="BE2336" s="77"/>
      <c r="BF2336" s="77"/>
      <c r="BG2336" s="77"/>
      <c r="BH2336" s="77"/>
      <c r="BI2336" s="77"/>
    </row>
    <row r="2337" spans="1:61" x14ac:dyDescent="0.25">
      <c r="A2337" s="62" t="s">
        <v>604</v>
      </c>
      <c r="B2337" s="62" t="s">
        <v>604</v>
      </c>
      <c r="C2337" s="63"/>
      <c r="D2337" s="64"/>
      <c r="E2337" s="65"/>
      <c r="F2337" s="66"/>
      <c r="G2337" s="63"/>
      <c r="H2337" s="67"/>
      <c r="I2337" s="68"/>
      <c r="J2337" s="68"/>
      <c r="K2337" s="32"/>
      <c r="L2337" s="75">
        <v>2337</v>
      </c>
      <c r="M2337" s="75"/>
      <c r="N2337" s="70"/>
      <c r="O2337" s="77" t="s">
        <v>179</v>
      </c>
      <c r="P2337" s="79">
        <v>45175.753958333335</v>
      </c>
      <c r="Q2337" s="77" t="s">
        <v>3116</v>
      </c>
      <c r="R2337" s="77">
        <v>0</v>
      </c>
      <c r="S2337" s="77">
        <v>1</v>
      </c>
      <c r="T2337" s="77">
        <v>0</v>
      </c>
      <c r="U2337" s="77">
        <v>0</v>
      </c>
      <c r="V2337" s="77">
        <v>70</v>
      </c>
      <c r="W2337" s="82" t="s">
        <v>6286</v>
      </c>
      <c r="X2337" s="80" t="str">
        <f>HYPERLINK("https://www.moneytimes.com.br/minerva-foods-beef3-acao-do-agronegocio-que-levou-tombo-recente-e-favorita-por-24-analistas-para-setembro-carteiras-recomendadas/")</f>
        <v>https://www.moneytimes.com.br/minerva-foods-beef3-acao-do-agronegocio-que-levou-tombo-recente-e-favorita-por-24-analistas-para-setembro-carteiras-recomendadas/</v>
      </c>
      <c r="Y2337" s="77" t="s">
        <v>7053</v>
      </c>
      <c r="Z2337" s="77"/>
      <c r="AA2337" s="77"/>
      <c r="AB2337" s="77"/>
      <c r="AC2337" s="82" t="s">
        <v>8255</v>
      </c>
      <c r="AD2337" s="77" t="s">
        <v>8278</v>
      </c>
      <c r="AE2337" s="80" t="str">
        <f>HYPERLINK("https://twitter.com/leiaagrotimes/status/1699484029622378985")</f>
        <v>https://twitter.com/leiaagrotimes/status/1699484029622378985</v>
      </c>
      <c r="AF2337" s="79">
        <v>45175.753958333335</v>
      </c>
      <c r="AG2337" s="85">
        <v>45175</v>
      </c>
      <c r="AH2337" s="82" t="s">
        <v>10399</v>
      </c>
      <c r="AI2337" s="77" t="b">
        <v>0</v>
      </c>
      <c r="AJ2337" s="77"/>
      <c r="AK2337" s="77"/>
      <c r="AL2337" s="77"/>
      <c r="AM2337" s="77"/>
      <c r="AN2337" s="77"/>
      <c r="AO2337" s="77"/>
      <c r="AP2337" s="77"/>
      <c r="AQ2337" s="77"/>
      <c r="AR2337" s="77"/>
      <c r="AS2337" s="77"/>
      <c r="AT2337" s="77"/>
      <c r="AU2337" s="77"/>
      <c r="AV2337" s="80" t="str">
        <f>HYPERLINK("https://pbs.twimg.com/profile_images/1365395023072817162/ZI8fAPrO_normal.jpg")</f>
        <v>https://pbs.twimg.com/profile_images/1365395023072817162/ZI8fAPrO_normal.jpg</v>
      </c>
      <c r="AW2337" s="82" t="s">
        <v>15422</v>
      </c>
      <c r="AX2337" s="82" t="s">
        <v>15422</v>
      </c>
      <c r="AY2337" s="77"/>
      <c r="AZ2337" s="82" t="s">
        <v>17385</v>
      </c>
      <c r="BA2337" s="82" t="s">
        <v>17385</v>
      </c>
      <c r="BB2337" s="82" t="s">
        <v>17385</v>
      </c>
      <c r="BC2337" s="82" t="s">
        <v>15422</v>
      </c>
      <c r="BD2337" s="82" t="s">
        <v>17641</v>
      </c>
      <c r="BE2337" s="77"/>
      <c r="BF2337" s="77"/>
      <c r="BG2337" s="77"/>
      <c r="BH2337" s="77"/>
      <c r="BI2337" s="77"/>
    </row>
    <row r="2338" spans="1:61" x14ac:dyDescent="0.25">
      <c r="A2338" s="62" t="s">
        <v>604</v>
      </c>
      <c r="B2338" s="62" t="s">
        <v>604</v>
      </c>
      <c r="C2338" s="63"/>
      <c r="D2338" s="64"/>
      <c r="E2338" s="65"/>
      <c r="F2338" s="66"/>
      <c r="G2338" s="63"/>
      <c r="H2338" s="67"/>
      <c r="I2338" s="68"/>
      <c r="J2338" s="68"/>
      <c r="K2338" s="32"/>
      <c r="L2338" s="75">
        <v>2338</v>
      </c>
      <c r="M2338" s="75"/>
      <c r="N2338" s="70"/>
      <c r="O2338" s="77" t="s">
        <v>179</v>
      </c>
      <c r="P2338" s="79">
        <v>45175.633206018516</v>
      </c>
      <c r="Q2338" s="77" t="s">
        <v>3117</v>
      </c>
      <c r="R2338" s="77">
        <v>0</v>
      </c>
      <c r="S2338" s="77">
        <v>0</v>
      </c>
      <c r="T2338" s="77">
        <v>0</v>
      </c>
      <c r="U2338" s="77">
        <v>0</v>
      </c>
      <c r="V2338" s="77">
        <v>79</v>
      </c>
      <c r="W2338" s="82" t="s">
        <v>6259</v>
      </c>
      <c r="X2338" s="80" t="str">
        <f>HYPERLINK("https://www.moneytimes.com.br/brasilagro-agro3-preve-area-plantada-10-maior-na-safra-2023-2024-soja-e-milho-sao-destaques/")</f>
        <v>https://www.moneytimes.com.br/brasilagro-agro3-preve-area-plantada-10-maior-na-safra-2023-2024-soja-e-milho-sao-destaques/</v>
      </c>
      <c r="Y2338" s="77" t="s">
        <v>7053</v>
      </c>
      <c r="Z2338" s="77"/>
      <c r="AA2338" s="77"/>
      <c r="AB2338" s="77"/>
      <c r="AC2338" s="82" t="s">
        <v>8255</v>
      </c>
      <c r="AD2338" s="77" t="s">
        <v>8278</v>
      </c>
      <c r="AE2338" s="80" t="str">
        <f>HYPERLINK("https://twitter.com/leiaagrotimes/status/1699440270939451846")</f>
        <v>https://twitter.com/leiaagrotimes/status/1699440270939451846</v>
      </c>
      <c r="AF2338" s="79">
        <v>45175.633206018516</v>
      </c>
      <c r="AG2338" s="85">
        <v>45175</v>
      </c>
      <c r="AH2338" s="82" t="s">
        <v>10400</v>
      </c>
      <c r="AI2338" s="77" t="b">
        <v>0</v>
      </c>
      <c r="AJ2338" s="77"/>
      <c r="AK2338" s="77"/>
      <c r="AL2338" s="77"/>
      <c r="AM2338" s="77"/>
      <c r="AN2338" s="77"/>
      <c r="AO2338" s="77"/>
      <c r="AP2338" s="77"/>
      <c r="AQ2338" s="77"/>
      <c r="AR2338" s="77"/>
      <c r="AS2338" s="77"/>
      <c r="AT2338" s="77"/>
      <c r="AU2338" s="77"/>
      <c r="AV2338" s="80" t="str">
        <f>HYPERLINK("https://pbs.twimg.com/profile_images/1365395023072817162/ZI8fAPrO_normal.jpg")</f>
        <v>https://pbs.twimg.com/profile_images/1365395023072817162/ZI8fAPrO_normal.jpg</v>
      </c>
      <c r="AW2338" s="82" t="s">
        <v>15423</v>
      </c>
      <c r="AX2338" s="82" t="s">
        <v>15423</v>
      </c>
      <c r="AY2338" s="77"/>
      <c r="AZ2338" s="82" t="s">
        <v>17385</v>
      </c>
      <c r="BA2338" s="82" t="s">
        <v>17385</v>
      </c>
      <c r="BB2338" s="82" t="s">
        <v>17385</v>
      </c>
      <c r="BC2338" s="82" t="s">
        <v>15423</v>
      </c>
      <c r="BD2338" s="82" t="s">
        <v>17641</v>
      </c>
      <c r="BE2338" s="77"/>
      <c r="BF2338" s="77"/>
      <c r="BG2338" s="77"/>
      <c r="BH2338" s="77"/>
      <c r="BI2338" s="77"/>
    </row>
    <row r="2339" spans="1:61" x14ac:dyDescent="0.25">
      <c r="A2339" s="62" t="s">
        <v>604</v>
      </c>
      <c r="B2339" s="62" t="s">
        <v>604</v>
      </c>
      <c r="C2339" s="63"/>
      <c r="D2339" s="64"/>
      <c r="E2339" s="65"/>
      <c r="F2339" s="66"/>
      <c r="G2339" s="63"/>
      <c r="H2339" s="67"/>
      <c r="I2339" s="68"/>
      <c r="J2339" s="68"/>
      <c r="K2339" s="32"/>
      <c r="L2339" s="75">
        <v>2339</v>
      </c>
      <c r="M2339" s="75"/>
      <c r="N2339" s="70"/>
      <c r="O2339" s="77" t="s">
        <v>179</v>
      </c>
      <c r="P2339" s="79">
        <v>45175.50105324074</v>
      </c>
      <c r="Q2339" s="77" t="s">
        <v>3118</v>
      </c>
      <c r="R2339" s="77">
        <v>0</v>
      </c>
      <c r="S2339" s="77">
        <v>1</v>
      </c>
      <c r="T2339" s="77">
        <v>0</v>
      </c>
      <c r="U2339" s="77">
        <v>0</v>
      </c>
      <c r="V2339" s="77">
        <v>107</v>
      </c>
      <c r="W2339" s="82" t="s">
        <v>6259</v>
      </c>
      <c r="X2339" s="80" t="str">
        <f>HYPERLINK("https://www.moneytimes.com.br/brasilagro-agro3-lucro-liquido-no-4t23-salta-680-em-12-meses/")</f>
        <v>https://www.moneytimes.com.br/brasilagro-agro3-lucro-liquido-no-4t23-salta-680-em-12-meses/</v>
      </c>
      <c r="Y2339" s="77" t="s">
        <v>7053</v>
      </c>
      <c r="Z2339" s="77"/>
      <c r="AA2339" s="77"/>
      <c r="AB2339" s="77"/>
      <c r="AC2339" s="82" t="s">
        <v>8255</v>
      </c>
      <c r="AD2339" s="77" t="s">
        <v>8278</v>
      </c>
      <c r="AE2339" s="80" t="str">
        <f>HYPERLINK("https://twitter.com/leiaagrotimes/status/1699392382968410307")</f>
        <v>https://twitter.com/leiaagrotimes/status/1699392382968410307</v>
      </c>
      <c r="AF2339" s="79">
        <v>45175.50105324074</v>
      </c>
      <c r="AG2339" s="85">
        <v>45175</v>
      </c>
      <c r="AH2339" s="82" t="s">
        <v>10401</v>
      </c>
      <c r="AI2339" s="77" t="b">
        <v>0</v>
      </c>
      <c r="AJ2339" s="77"/>
      <c r="AK2339" s="77"/>
      <c r="AL2339" s="77"/>
      <c r="AM2339" s="77"/>
      <c r="AN2339" s="77"/>
      <c r="AO2339" s="77"/>
      <c r="AP2339" s="77"/>
      <c r="AQ2339" s="77"/>
      <c r="AR2339" s="77"/>
      <c r="AS2339" s="77"/>
      <c r="AT2339" s="77"/>
      <c r="AU2339" s="77"/>
      <c r="AV2339" s="80" t="str">
        <f>HYPERLINK("https://pbs.twimg.com/profile_images/1365395023072817162/ZI8fAPrO_normal.jpg")</f>
        <v>https://pbs.twimg.com/profile_images/1365395023072817162/ZI8fAPrO_normal.jpg</v>
      </c>
      <c r="AW2339" s="82" t="s">
        <v>15424</v>
      </c>
      <c r="AX2339" s="82" t="s">
        <v>15424</v>
      </c>
      <c r="AY2339" s="77"/>
      <c r="AZ2339" s="82" t="s">
        <v>17385</v>
      </c>
      <c r="BA2339" s="82" t="s">
        <v>17385</v>
      </c>
      <c r="BB2339" s="82" t="s">
        <v>17385</v>
      </c>
      <c r="BC2339" s="82" t="s">
        <v>15424</v>
      </c>
      <c r="BD2339" s="82" t="s">
        <v>17641</v>
      </c>
      <c r="BE2339" s="77"/>
      <c r="BF2339" s="77"/>
      <c r="BG2339" s="77"/>
      <c r="BH2339" s="77"/>
      <c r="BI2339" s="77"/>
    </row>
    <row r="2340" spans="1:61" x14ac:dyDescent="0.25">
      <c r="A2340" s="62" t="s">
        <v>604</v>
      </c>
      <c r="B2340" s="62" t="s">
        <v>604</v>
      </c>
      <c r="C2340" s="63"/>
      <c r="D2340" s="64"/>
      <c r="E2340" s="65"/>
      <c r="F2340" s="66"/>
      <c r="G2340" s="63"/>
      <c r="H2340" s="67"/>
      <c r="I2340" s="68"/>
      <c r="J2340" s="68"/>
      <c r="K2340" s="32"/>
      <c r="L2340" s="75">
        <v>2340</v>
      </c>
      <c r="M2340" s="75"/>
      <c r="N2340" s="70"/>
      <c r="O2340" s="77" t="s">
        <v>179</v>
      </c>
      <c r="P2340" s="79">
        <v>45173.739525462966</v>
      </c>
      <c r="Q2340" s="77" t="s">
        <v>3119</v>
      </c>
      <c r="R2340" s="77">
        <v>0</v>
      </c>
      <c r="S2340" s="77">
        <v>0</v>
      </c>
      <c r="T2340" s="77">
        <v>0</v>
      </c>
      <c r="U2340" s="77">
        <v>0</v>
      </c>
      <c r="V2340" s="77">
        <v>49</v>
      </c>
      <c r="W2340" s="82" t="s">
        <v>6286</v>
      </c>
      <c r="X2340" s="80" t="str">
        <f>HYPERLINK("https://www.moneytimes.com.br/carne-bovina-exportada-despenca-mais-de-1-4-em-um-ano-qual-o-frigorifico-mais-impactado/")</f>
        <v>https://www.moneytimes.com.br/carne-bovina-exportada-despenca-mais-de-1-4-em-um-ano-qual-o-frigorifico-mais-impactado/</v>
      </c>
      <c r="Y2340" s="77" t="s">
        <v>7053</v>
      </c>
      <c r="Z2340" s="77"/>
      <c r="AA2340" s="77"/>
      <c r="AB2340" s="77"/>
      <c r="AC2340" s="82" t="s">
        <v>8255</v>
      </c>
      <c r="AD2340" s="77" t="s">
        <v>8278</v>
      </c>
      <c r="AE2340" s="80" t="str">
        <f>HYPERLINK("https://twitter.com/leiaagrotimes/status/1698754024793669737")</f>
        <v>https://twitter.com/leiaagrotimes/status/1698754024793669737</v>
      </c>
      <c r="AF2340" s="79">
        <v>45173.739525462966</v>
      </c>
      <c r="AG2340" s="85">
        <v>45173</v>
      </c>
      <c r="AH2340" s="82" t="s">
        <v>10402</v>
      </c>
      <c r="AI2340" s="77" t="b">
        <v>0</v>
      </c>
      <c r="AJ2340" s="77"/>
      <c r="AK2340" s="77"/>
      <c r="AL2340" s="77"/>
      <c r="AM2340" s="77"/>
      <c r="AN2340" s="77"/>
      <c r="AO2340" s="77"/>
      <c r="AP2340" s="77"/>
      <c r="AQ2340" s="77"/>
      <c r="AR2340" s="77"/>
      <c r="AS2340" s="77"/>
      <c r="AT2340" s="77"/>
      <c r="AU2340" s="77"/>
      <c r="AV2340" s="80" t="str">
        <f>HYPERLINK("https://pbs.twimg.com/profile_images/1365395023072817162/ZI8fAPrO_normal.jpg")</f>
        <v>https://pbs.twimg.com/profile_images/1365395023072817162/ZI8fAPrO_normal.jpg</v>
      </c>
      <c r="AW2340" s="82" t="s">
        <v>15425</v>
      </c>
      <c r="AX2340" s="82" t="s">
        <v>15425</v>
      </c>
      <c r="AY2340" s="77"/>
      <c r="AZ2340" s="82" t="s">
        <v>17385</v>
      </c>
      <c r="BA2340" s="82" t="s">
        <v>17385</v>
      </c>
      <c r="BB2340" s="82" t="s">
        <v>17385</v>
      </c>
      <c r="BC2340" s="82" t="s">
        <v>15425</v>
      </c>
      <c r="BD2340" s="82" t="s">
        <v>17641</v>
      </c>
      <c r="BE2340" s="77"/>
      <c r="BF2340" s="77"/>
      <c r="BG2340" s="77"/>
      <c r="BH2340" s="77"/>
      <c r="BI2340" s="77"/>
    </row>
    <row r="2341" spans="1:61" x14ac:dyDescent="0.25">
      <c r="A2341" s="62" t="s">
        <v>604</v>
      </c>
      <c r="B2341" s="62" t="s">
        <v>604</v>
      </c>
      <c r="C2341" s="63"/>
      <c r="D2341" s="64"/>
      <c r="E2341" s="65"/>
      <c r="F2341" s="66"/>
      <c r="G2341" s="63"/>
      <c r="H2341" s="67"/>
      <c r="I2341" s="68"/>
      <c r="J2341" s="68"/>
      <c r="K2341" s="32"/>
      <c r="L2341" s="75">
        <v>2341</v>
      </c>
      <c r="M2341" s="75"/>
      <c r="N2341" s="70"/>
      <c r="O2341" s="77" t="s">
        <v>179</v>
      </c>
      <c r="P2341" s="79">
        <v>45173.558796296296</v>
      </c>
      <c r="Q2341" s="77" t="s">
        <v>3120</v>
      </c>
      <c r="R2341" s="77">
        <v>0</v>
      </c>
      <c r="S2341" s="77">
        <v>0</v>
      </c>
      <c r="T2341" s="77">
        <v>0</v>
      </c>
      <c r="U2341" s="77">
        <v>0</v>
      </c>
      <c r="V2341" s="77">
        <v>82</v>
      </c>
      <c r="W2341" s="82" t="s">
        <v>6292</v>
      </c>
      <c r="X2341" s="80" t="str">
        <f>HYPERLINK("https://www.moneytimes.com.br/jbs-jbss3-avanca-com-dupla-listagem-de-acoes-no-brasil-e-nos-eua-veja-novidade/")</f>
        <v>https://www.moneytimes.com.br/jbs-jbss3-avanca-com-dupla-listagem-de-acoes-no-brasil-e-nos-eua-veja-novidade/</v>
      </c>
      <c r="Y2341" s="77" t="s">
        <v>7053</v>
      </c>
      <c r="Z2341" s="77"/>
      <c r="AA2341" s="77"/>
      <c r="AB2341" s="77"/>
      <c r="AC2341" s="82" t="s">
        <v>8255</v>
      </c>
      <c r="AD2341" s="77" t="s">
        <v>8278</v>
      </c>
      <c r="AE2341" s="80" t="str">
        <f>HYPERLINK("https://twitter.com/leiaagrotimes/status/1698688529491005743")</f>
        <v>https://twitter.com/leiaagrotimes/status/1698688529491005743</v>
      </c>
      <c r="AF2341" s="79">
        <v>45173.558796296296</v>
      </c>
      <c r="AG2341" s="85">
        <v>45173</v>
      </c>
      <c r="AH2341" s="82" t="s">
        <v>10403</v>
      </c>
      <c r="AI2341" s="77" t="b">
        <v>0</v>
      </c>
      <c r="AJ2341" s="77"/>
      <c r="AK2341" s="77"/>
      <c r="AL2341" s="77"/>
      <c r="AM2341" s="77"/>
      <c r="AN2341" s="77"/>
      <c r="AO2341" s="77"/>
      <c r="AP2341" s="77"/>
      <c r="AQ2341" s="77"/>
      <c r="AR2341" s="77"/>
      <c r="AS2341" s="77"/>
      <c r="AT2341" s="77"/>
      <c r="AU2341" s="77"/>
      <c r="AV2341" s="80" t="str">
        <f>HYPERLINK("https://pbs.twimg.com/profile_images/1365395023072817162/ZI8fAPrO_normal.jpg")</f>
        <v>https://pbs.twimg.com/profile_images/1365395023072817162/ZI8fAPrO_normal.jpg</v>
      </c>
      <c r="AW2341" s="82" t="s">
        <v>15426</v>
      </c>
      <c r="AX2341" s="82" t="s">
        <v>15426</v>
      </c>
      <c r="AY2341" s="77"/>
      <c r="AZ2341" s="82" t="s">
        <v>17385</v>
      </c>
      <c r="BA2341" s="82" t="s">
        <v>17385</v>
      </c>
      <c r="BB2341" s="82" t="s">
        <v>17385</v>
      </c>
      <c r="BC2341" s="82" t="s">
        <v>15426</v>
      </c>
      <c r="BD2341" s="82" t="s">
        <v>17641</v>
      </c>
      <c r="BE2341" s="77"/>
      <c r="BF2341" s="77"/>
      <c r="BG2341" s="77"/>
      <c r="BH2341" s="77"/>
      <c r="BI2341" s="77"/>
    </row>
    <row r="2342" spans="1:61" x14ac:dyDescent="0.25">
      <c r="A2342" s="62" t="s">
        <v>604</v>
      </c>
      <c r="B2342" s="62" t="s">
        <v>604</v>
      </c>
      <c r="C2342" s="63"/>
      <c r="D2342" s="64"/>
      <c r="E2342" s="65"/>
      <c r="F2342" s="66"/>
      <c r="G2342" s="63"/>
      <c r="H2342" s="67"/>
      <c r="I2342" s="68"/>
      <c r="J2342" s="68"/>
      <c r="K2342" s="32"/>
      <c r="L2342" s="75">
        <v>2342</v>
      </c>
      <c r="M2342" s="75"/>
      <c r="N2342" s="70"/>
      <c r="O2342" s="77" t="s">
        <v>179</v>
      </c>
      <c r="P2342" s="79">
        <v>45164.739837962959</v>
      </c>
      <c r="Q2342" s="77" t="s">
        <v>3121</v>
      </c>
      <c r="R2342" s="77">
        <v>0</v>
      </c>
      <c r="S2342" s="77">
        <v>0</v>
      </c>
      <c r="T2342" s="77">
        <v>0</v>
      </c>
      <c r="U2342" s="77">
        <v>0</v>
      </c>
      <c r="V2342" s="77">
        <v>110</v>
      </c>
      <c r="W2342" s="82" t="s">
        <v>6251</v>
      </c>
      <c r="X2342" s="80" t="str">
        <f>HYPERLINK("https://www.moneytimes.com.br/empiricus-investimentos-revela-acao-que-pode-saltar-5-na-ultima-semana-de-agosto/")</f>
        <v>https://www.moneytimes.com.br/empiricus-investimentos-revela-acao-que-pode-saltar-5-na-ultima-semana-de-agosto/</v>
      </c>
      <c r="Y2342" s="77" t="s">
        <v>7053</v>
      </c>
      <c r="Z2342" s="77"/>
      <c r="AA2342" s="77"/>
      <c r="AB2342" s="77"/>
      <c r="AC2342" s="82" t="s">
        <v>8255</v>
      </c>
      <c r="AD2342" s="77" t="s">
        <v>8278</v>
      </c>
      <c r="AE2342" s="80" t="str">
        <f>HYPERLINK("https://twitter.com/leiaagrotimes/status/1695492648734183588")</f>
        <v>https://twitter.com/leiaagrotimes/status/1695492648734183588</v>
      </c>
      <c r="AF2342" s="79">
        <v>45164.739837962959</v>
      </c>
      <c r="AG2342" s="85">
        <v>45164</v>
      </c>
      <c r="AH2342" s="82" t="s">
        <v>10404</v>
      </c>
      <c r="AI2342" s="77" t="b">
        <v>0</v>
      </c>
      <c r="AJ2342" s="77"/>
      <c r="AK2342" s="77"/>
      <c r="AL2342" s="77"/>
      <c r="AM2342" s="77"/>
      <c r="AN2342" s="77"/>
      <c r="AO2342" s="77"/>
      <c r="AP2342" s="77"/>
      <c r="AQ2342" s="77"/>
      <c r="AR2342" s="77"/>
      <c r="AS2342" s="77"/>
      <c r="AT2342" s="77"/>
      <c r="AU2342" s="77"/>
      <c r="AV2342" s="80" t="str">
        <f>HYPERLINK("https://pbs.twimg.com/profile_images/1365395023072817162/ZI8fAPrO_normal.jpg")</f>
        <v>https://pbs.twimg.com/profile_images/1365395023072817162/ZI8fAPrO_normal.jpg</v>
      </c>
      <c r="AW2342" s="82" t="s">
        <v>15427</v>
      </c>
      <c r="AX2342" s="82" t="s">
        <v>15427</v>
      </c>
      <c r="AY2342" s="77"/>
      <c r="AZ2342" s="82" t="s">
        <v>17385</v>
      </c>
      <c r="BA2342" s="82" t="s">
        <v>17385</v>
      </c>
      <c r="BB2342" s="82" t="s">
        <v>17385</v>
      </c>
      <c r="BC2342" s="82" t="s">
        <v>15427</v>
      </c>
      <c r="BD2342" s="82" t="s">
        <v>17641</v>
      </c>
      <c r="BE2342" s="77"/>
      <c r="BF2342" s="77"/>
      <c r="BG2342" s="77"/>
      <c r="BH2342" s="77"/>
      <c r="BI2342" s="77"/>
    </row>
    <row r="2343" spans="1:61" x14ac:dyDescent="0.25">
      <c r="A2343" s="62" t="s">
        <v>604</v>
      </c>
      <c r="B2343" s="62" t="s">
        <v>604</v>
      </c>
      <c r="C2343" s="63"/>
      <c r="D2343" s="64"/>
      <c r="E2343" s="65"/>
      <c r="F2343" s="66"/>
      <c r="G2343" s="63"/>
      <c r="H2343" s="67"/>
      <c r="I2343" s="68"/>
      <c r="J2343" s="68"/>
      <c r="K2343" s="32"/>
      <c r="L2343" s="75">
        <v>2343</v>
      </c>
      <c r="M2343" s="75"/>
      <c r="N2343" s="70"/>
      <c r="O2343" s="77" t="s">
        <v>179</v>
      </c>
      <c r="P2343" s="79">
        <v>45163.617800925924</v>
      </c>
      <c r="Q2343" s="77" t="s">
        <v>3122</v>
      </c>
      <c r="R2343" s="77">
        <v>0</v>
      </c>
      <c r="S2343" s="77">
        <v>0</v>
      </c>
      <c r="T2343" s="77">
        <v>0</v>
      </c>
      <c r="U2343" s="77">
        <v>0</v>
      </c>
      <c r="V2343" s="77">
        <v>92</v>
      </c>
      <c r="W2343" s="82" t="s">
        <v>6256</v>
      </c>
      <c r="X2343" s="80" t="str">
        <f>HYPERLINK("https://www.moneytimes.com.br/super-el-nino-super-retorno-sao-martinho-smto3-e-jalles-machado-jall3-entram-no-radar-do-bbi-acoes-avancam/")</f>
        <v>https://www.moneytimes.com.br/super-el-nino-super-retorno-sao-martinho-smto3-e-jalles-machado-jall3-entram-no-radar-do-bbi-acoes-avancam/</v>
      </c>
      <c r="Y2343" s="77" t="s">
        <v>7053</v>
      </c>
      <c r="Z2343" s="77"/>
      <c r="AA2343" s="77"/>
      <c r="AB2343" s="77"/>
      <c r="AC2343" s="82" t="s">
        <v>8255</v>
      </c>
      <c r="AD2343" s="77" t="s">
        <v>8278</v>
      </c>
      <c r="AE2343" s="80" t="str">
        <f>HYPERLINK("https://twitter.com/leiaagrotimes/status/1695086035359744140")</f>
        <v>https://twitter.com/leiaagrotimes/status/1695086035359744140</v>
      </c>
      <c r="AF2343" s="79">
        <v>45163.617800925924</v>
      </c>
      <c r="AG2343" s="85">
        <v>45163</v>
      </c>
      <c r="AH2343" s="82" t="s">
        <v>10405</v>
      </c>
      <c r="AI2343" s="77" t="b">
        <v>0</v>
      </c>
      <c r="AJ2343" s="77"/>
      <c r="AK2343" s="77"/>
      <c r="AL2343" s="77"/>
      <c r="AM2343" s="77"/>
      <c r="AN2343" s="77"/>
      <c r="AO2343" s="77"/>
      <c r="AP2343" s="77"/>
      <c r="AQ2343" s="77"/>
      <c r="AR2343" s="77"/>
      <c r="AS2343" s="77"/>
      <c r="AT2343" s="77"/>
      <c r="AU2343" s="77"/>
      <c r="AV2343" s="80" t="str">
        <f>HYPERLINK("https://pbs.twimg.com/profile_images/1365395023072817162/ZI8fAPrO_normal.jpg")</f>
        <v>https://pbs.twimg.com/profile_images/1365395023072817162/ZI8fAPrO_normal.jpg</v>
      </c>
      <c r="AW2343" s="82" t="s">
        <v>15428</v>
      </c>
      <c r="AX2343" s="82" t="s">
        <v>15428</v>
      </c>
      <c r="AY2343" s="77"/>
      <c r="AZ2343" s="82" t="s">
        <v>17385</v>
      </c>
      <c r="BA2343" s="82" t="s">
        <v>17385</v>
      </c>
      <c r="BB2343" s="82" t="s">
        <v>17385</v>
      </c>
      <c r="BC2343" s="82" t="s">
        <v>15428</v>
      </c>
      <c r="BD2343" s="82" t="s">
        <v>17641</v>
      </c>
      <c r="BE2343" s="77"/>
      <c r="BF2343" s="77"/>
      <c r="BG2343" s="77"/>
      <c r="BH2343" s="77"/>
      <c r="BI2343" s="77"/>
    </row>
    <row r="2344" spans="1:61" x14ac:dyDescent="0.25">
      <c r="A2344" s="62" t="s">
        <v>604</v>
      </c>
      <c r="B2344" s="62" t="s">
        <v>604</v>
      </c>
      <c r="C2344" s="63"/>
      <c r="D2344" s="64"/>
      <c r="E2344" s="65"/>
      <c r="F2344" s="66"/>
      <c r="G2344" s="63"/>
      <c r="H2344" s="67"/>
      <c r="I2344" s="68"/>
      <c r="J2344" s="68"/>
      <c r="K2344" s="32"/>
      <c r="L2344" s="75">
        <v>2344</v>
      </c>
      <c r="M2344" s="75"/>
      <c r="N2344" s="70"/>
      <c r="O2344" s="77" t="s">
        <v>179</v>
      </c>
      <c r="P2344" s="79">
        <v>45156.593946759262</v>
      </c>
      <c r="Q2344" s="77" t="s">
        <v>3123</v>
      </c>
      <c r="R2344" s="77">
        <v>0</v>
      </c>
      <c r="S2344" s="77">
        <v>1</v>
      </c>
      <c r="T2344" s="77">
        <v>0</v>
      </c>
      <c r="U2344" s="77">
        <v>0</v>
      </c>
      <c r="V2344" s="77">
        <v>88</v>
      </c>
      <c r="W2344" s="82" t="s">
        <v>6259</v>
      </c>
      <c r="X2344" s="80" t="str">
        <f>HYPERLINK("https://www.moneytimes.com.br/suzano-suzb3-nao-ha-expectativa-para-pagamento-de-dividendos-em-2023-diz-diretora-de-ri/")</f>
        <v>https://www.moneytimes.com.br/suzano-suzb3-nao-ha-expectativa-para-pagamento-de-dividendos-em-2023-diz-diretora-de-ri/</v>
      </c>
      <c r="Y2344" s="77" t="s">
        <v>7053</v>
      </c>
      <c r="Z2344" s="77"/>
      <c r="AA2344" s="77"/>
      <c r="AB2344" s="77"/>
      <c r="AC2344" s="82" t="s">
        <v>8255</v>
      </c>
      <c r="AD2344" s="77" t="s">
        <v>8278</v>
      </c>
      <c r="AE2344" s="80" t="str">
        <f>HYPERLINK("https://twitter.com/leiaagrotimes/status/1692540674678157632")</f>
        <v>https://twitter.com/leiaagrotimes/status/1692540674678157632</v>
      </c>
      <c r="AF2344" s="79">
        <v>45156.593946759262</v>
      </c>
      <c r="AG2344" s="85">
        <v>45156</v>
      </c>
      <c r="AH2344" s="82" t="s">
        <v>10406</v>
      </c>
      <c r="AI2344" s="77" t="b">
        <v>0</v>
      </c>
      <c r="AJ2344" s="77"/>
      <c r="AK2344" s="77"/>
      <c r="AL2344" s="77"/>
      <c r="AM2344" s="77"/>
      <c r="AN2344" s="77"/>
      <c r="AO2344" s="77"/>
      <c r="AP2344" s="77"/>
      <c r="AQ2344" s="77"/>
      <c r="AR2344" s="77"/>
      <c r="AS2344" s="77"/>
      <c r="AT2344" s="77"/>
      <c r="AU2344" s="77"/>
      <c r="AV2344" s="80" t="str">
        <f>HYPERLINK("https://pbs.twimg.com/profile_images/1365395023072817162/ZI8fAPrO_normal.jpg")</f>
        <v>https://pbs.twimg.com/profile_images/1365395023072817162/ZI8fAPrO_normal.jpg</v>
      </c>
      <c r="AW2344" s="82" t="s">
        <v>15429</v>
      </c>
      <c r="AX2344" s="82" t="s">
        <v>15429</v>
      </c>
      <c r="AY2344" s="77"/>
      <c r="AZ2344" s="82" t="s">
        <v>17385</v>
      </c>
      <c r="BA2344" s="82" t="s">
        <v>17385</v>
      </c>
      <c r="BB2344" s="82" t="s">
        <v>17385</v>
      </c>
      <c r="BC2344" s="82" t="s">
        <v>15429</v>
      </c>
      <c r="BD2344" s="82" t="s">
        <v>17641</v>
      </c>
      <c r="BE2344" s="77"/>
      <c r="BF2344" s="77"/>
      <c r="BG2344" s="77"/>
      <c r="BH2344" s="77"/>
      <c r="BI2344" s="77"/>
    </row>
    <row r="2345" spans="1:61" x14ac:dyDescent="0.25">
      <c r="A2345" s="62" t="s">
        <v>604</v>
      </c>
      <c r="B2345" s="62" t="s">
        <v>604</v>
      </c>
      <c r="C2345" s="63"/>
      <c r="D2345" s="64"/>
      <c r="E2345" s="65"/>
      <c r="F2345" s="66"/>
      <c r="G2345" s="63"/>
      <c r="H2345" s="67"/>
      <c r="I2345" s="68"/>
      <c r="J2345" s="68"/>
      <c r="K2345" s="32"/>
      <c r="L2345" s="75">
        <v>2345</v>
      </c>
      <c r="M2345" s="75"/>
      <c r="N2345" s="70"/>
      <c r="O2345" s="77" t="s">
        <v>179</v>
      </c>
      <c r="P2345" s="79">
        <v>45155.721666666665</v>
      </c>
      <c r="Q2345" s="77" t="s">
        <v>3124</v>
      </c>
      <c r="R2345" s="77">
        <v>0</v>
      </c>
      <c r="S2345" s="77">
        <v>0</v>
      </c>
      <c r="T2345" s="77">
        <v>0</v>
      </c>
      <c r="U2345" s="77">
        <v>0</v>
      </c>
      <c r="V2345" s="77">
        <v>99</v>
      </c>
      <c r="W2345" s="82" t="s">
        <v>6259</v>
      </c>
      <c r="X2345" s="80" t="str">
        <f>HYPERLINK("https://www.moneytimes.com.br/dividendos-da-boa-safra-soja3-vem-ai-ceo-fala-sobre-pagamento-a-acionistas/")</f>
        <v>https://www.moneytimes.com.br/dividendos-da-boa-safra-soja3-vem-ai-ceo-fala-sobre-pagamento-a-acionistas/</v>
      </c>
      <c r="Y2345" s="77" t="s">
        <v>7053</v>
      </c>
      <c r="Z2345" s="77"/>
      <c r="AA2345" s="77"/>
      <c r="AB2345" s="77"/>
      <c r="AC2345" s="82" t="s">
        <v>8255</v>
      </c>
      <c r="AD2345" s="77" t="s">
        <v>8278</v>
      </c>
      <c r="AE2345" s="80" t="str">
        <f>HYPERLINK("https://twitter.com/leiaagrotimes/status/1692224569837302156")</f>
        <v>https://twitter.com/leiaagrotimes/status/1692224569837302156</v>
      </c>
      <c r="AF2345" s="79">
        <v>45155.721666666665</v>
      </c>
      <c r="AG2345" s="85">
        <v>45155</v>
      </c>
      <c r="AH2345" s="82" t="s">
        <v>10407</v>
      </c>
      <c r="AI2345" s="77" t="b">
        <v>0</v>
      </c>
      <c r="AJ2345" s="77"/>
      <c r="AK2345" s="77"/>
      <c r="AL2345" s="77"/>
      <c r="AM2345" s="77"/>
      <c r="AN2345" s="77"/>
      <c r="AO2345" s="77"/>
      <c r="AP2345" s="77"/>
      <c r="AQ2345" s="77"/>
      <c r="AR2345" s="77"/>
      <c r="AS2345" s="77"/>
      <c r="AT2345" s="77"/>
      <c r="AU2345" s="77"/>
      <c r="AV2345" s="80" t="str">
        <f>HYPERLINK("https://pbs.twimg.com/profile_images/1365395023072817162/ZI8fAPrO_normal.jpg")</f>
        <v>https://pbs.twimg.com/profile_images/1365395023072817162/ZI8fAPrO_normal.jpg</v>
      </c>
      <c r="AW2345" s="82" t="s">
        <v>15430</v>
      </c>
      <c r="AX2345" s="82" t="s">
        <v>15430</v>
      </c>
      <c r="AY2345" s="77"/>
      <c r="AZ2345" s="82" t="s">
        <v>17385</v>
      </c>
      <c r="BA2345" s="82" t="s">
        <v>17385</v>
      </c>
      <c r="BB2345" s="82" t="s">
        <v>17385</v>
      </c>
      <c r="BC2345" s="82" t="s">
        <v>15430</v>
      </c>
      <c r="BD2345" s="82" t="s">
        <v>17641</v>
      </c>
      <c r="BE2345" s="77"/>
      <c r="BF2345" s="77"/>
      <c r="BG2345" s="77"/>
      <c r="BH2345" s="77"/>
      <c r="BI2345" s="77"/>
    </row>
    <row r="2346" spans="1:61" x14ac:dyDescent="0.25">
      <c r="A2346" s="62" t="s">
        <v>604</v>
      </c>
      <c r="B2346" s="62" t="s">
        <v>604</v>
      </c>
      <c r="C2346" s="63"/>
      <c r="D2346" s="64"/>
      <c r="E2346" s="65"/>
      <c r="F2346" s="66"/>
      <c r="G2346" s="63"/>
      <c r="H2346" s="67"/>
      <c r="I2346" s="68"/>
      <c r="J2346" s="68"/>
      <c r="K2346" s="32"/>
      <c r="L2346" s="75">
        <v>2346</v>
      </c>
      <c r="M2346" s="75"/>
      <c r="N2346" s="70"/>
      <c r="O2346" s="77" t="s">
        <v>179</v>
      </c>
      <c r="P2346" s="79">
        <v>45155.653645833336</v>
      </c>
      <c r="Q2346" s="77" t="s">
        <v>3125</v>
      </c>
      <c r="R2346" s="77">
        <v>0</v>
      </c>
      <c r="S2346" s="77">
        <v>1</v>
      </c>
      <c r="T2346" s="77">
        <v>0</v>
      </c>
      <c r="U2346" s="77">
        <v>0</v>
      </c>
      <c r="V2346" s="77">
        <v>82</v>
      </c>
      <c r="W2346" s="82" t="s">
        <v>6256</v>
      </c>
      <c r="X2346" s="80" t="str">
        <f>HYPERLINK("https://www.moneytimes.com.br/sao-martinho-smto3-fica-entre-as-maiores-baixas-do-ibovespa-hoje-17-08-2023-veja-o-que-fazer/")</f>
        <v>https://www.moneytimes.com.br/sao-martinho-smto3-fica-entre-as-maiores-baixas-do-ibovespa-hoje-17-08-2023-veja-o-que-fazer/</v>
      </c>
      <c r="Y2346" s="77" t="s">
        <v>7053</v>
      </c>
      <c r="Z2346" s="77"/>
      <c r="AA2346" s="77"/>
      <c r="AB2346" s="77"/>
      <c r="AC2346" s="82" t="s">
        <v>8255</v>
      </c>
      <c r="AD2346" s="77" t="s">
        <v>8278</v>
      </c>
      <c r="AE2346" s="80" t="str">
        <f>HYPERLINK("https://twitter.com/leiaagrotimes/status/1692199920579604929")</f>
        <v>https://twitter.com/leiaagrotimes/status/1692199920579604929</v>
      </c>
      <c r="AF2346" s="79">
        <v>45155.653645833336</v>
      </c>
      <c r="AG2346" s="85">
        <v>45155</v>
      </c>
      <c r="AH2346" s="82" t="s">
        <v>10408</v>
      </c>
      <c r="AI2346" s="77" t="b">
        <v>0</v>
      </c>
      <c r="AJ2346" s="77"/>
      <c r="AK2346" s="77"/>
      <c r="AL2346" s="77"/>
      <c r="AM2346" s="77"/>
      <c r="AN2346" s="77"/>
      <c r="AO2346" s="77"/>
      <c r="AP2346" s="77"/>
      <c r="AQ2346" s="77"/>
      <c r="AR2346" s="77"/>
      <c r="AS2346" s="77"/>
      <c r="AT2346" s="77"/>
      <c r="AU2346" s="77"/>
      <c r="AV2346" s="80" t="str">
        <f>HYPERLINK("https://pbs.twimg.com/profile_images/1365395023072817162/ZI8fAPrO_normal.jpg")</f>
        <v>https://pbs.twimg.com/profile_images/1365395023072817162/ZI8fAPrO_normal.jpg</v>
      </c>
      <c r="AW2346" s="82" t="s">
        <v>15431</v>
      </c>
      <c r="AX2346" s="82" t="s">
        <v>15431</v>
      </c>
      <c r="AY2346" s="77"/>
      <c r="AZ2346" s="82" t="s">
        <v>17385</v>
      </c>
      <c r="BA2346" s="82" t="s">
        <v>17385</v>
      </c>
      <c r="BB2346" s="82" t="s">
        <v>17385</v>
      </c>
      <c r="BC2346" s="82" t="s">
        <v>15431</v>
      </c>
      <c r="BD2346" s="82" t="s">
        <v>17641</v>
      </c>
      <c r="BE2346" s="77"/>
      <c r="BF2346" s="77"/>
      <c r="BG2346" s="77"/>
      <c r="BH2346" s="77"/>
      <c r="BI2346" s="77"/>
    </row>
    <row r="2347" spans="1:61" x14ac:dyDescent="0.25">
      <c r="A2347" s="62" t="s">
        <v>604</v>
      </c>
      <c r="B2347" s="62" t="s">
        <v>604</v>
      </c>
      <c r="C2347" s="63"/>
      <c r="D2347" s="64"/>
      <c r="E2347" s="65"/>
      <c r="F2347" s="66"/>
      <c r="G2347" s="63"/>
      <c r="H2347" s="67"/>
      <c r="I2347" s="68"/>
      <c r="J2347" s="68"/>
      <c r="K2347" s="32"/>
      <c r="L2347" s="75">
        <v>2347</v>
      </c>
      <c r="M2347" s="75"/>
      <c r="N2347" s="70"/>
      <c r="O2347" s="77" t="s">
        <v>179</v>
      </c>
      <c r="P2347" s="79">
        <v>45155.600185185183</v>
      </c>
      <c r="Q2347" s="77" t="s">
        <v>3126</v>
      </c>
      <c r="R2347" s="77">
        <v>0</v>
      </c>
      <c r="S2347" s="77">
        <v>0</v>
      </c>
      <c r="T2347" s="77">
        <v>0</v>
      </c>
      <c r="U2347" s="77">
        <v>0</v>
      </c>
      <c r="V2347" s="77">
        <v>108</v>
      </c>
      <c r="W2347" s="82" t="s">
        <v>6259</v>
      </c>
      <c r="X2347" s="80" t="str">
        <f>HYPERLINK("https://www.moneytimes.com.br/a-locomotiva-que-afeta-a-slc-agricola-slce3-enquanto-clima-nos-eua-pauta-o-mercado/")</f>
        <v>https://www.moneytimes.com.br/a-locomotiva-que-afeta-a-slc-agricola-slce3-enquanto-clima-nos-eua-pauta-o-mercado/</v>
      </c>
      <c r="Y2347" s="77" t="s">
        <v>7053</v>
      </c>
      <c r="Z2347" s="77"/>
      <c r="AA2347" s="77"/>
      <c r="AB2347" s="77"/>
      <c r="AC2347" s="82" t="s">
        <v>8255</v>
      </c>
      <c r="AD2347" s="77" t="s">
        <v>8278</v>
      </c>
      <c r="AE2347" s="80" t="str">
        <f>HYPERLINK("https://twitter.com/leiaagrotimes/status/1692180548335161692")</f>
        <v>https://twitter.com/leiaagrotimes/status/1692180548335161692</v>
      </c>
      <c r="AF2347" s="79">
        <v>45155.600185185183</v>
      </c>
      <c r="AG2347" s="85">
        <v>45155</v>
      </c>
      <c r="AH2347" s="82" t="s">
        <v>10409</v>
      </c>
      <c r="AI2347" s="77" t="b">
        <v>0</v>
      </c>
      <c r="AJ2347" s="77"/>
      <c r="AK2347" s="77"/>
      <c r="AL2347" s="77"/>
      <c r="AM2347" s="77"/>
      <c r="AN2347" s="77"/>
      <c r="AO2347" s="77"/>
      <c r="AP2347" s="77"/>
      <c r="AQ2347" s="77"/>
      <c r="AR2347" s="77"/>
      <c r="AS2347" s="77"/>
      <c r="AT2347" s="77"/>
      <c r="AU2347" s="77"/>
      <c r="AV2347" s="80" t="str">
        <f>HYPERLINK("https://pbs.twimg.com/profile_images/1365395023072817162/ZI8fAPrO_normal.jpg")</f>
        <v>https://pbs.twimg.com/profile_images/1365395023072817162/ZI8fAPrO_normal.jpg</v>
      </c>
      <c r="AW2347" s="82" t="s">
        <v>15432</v>
      </c>
      <c r="AX2347" s="82" t="s">
        <v>15432</v>
      </c>
      <c r="AY2347" s="77"/>
      <c r="AZ2347" s="82" t="s">
        <v>17385</v>
      </c>
      <c r="BA2347" s="82" t="s">
        <v>17385</v>
      </c>
      <c r="BB2347" s="82" t="s">
        <v>17385</v>
      </c>
      <c r="BC2347" s="82" t="s">
        <v>15432</v>
      </c>
      <c r="BD2347" s="82" t="s">
        <v>17641</v>
      </c>
      <c r="BE2347" s="77"/>
      <c r="BF2347" s="77"/>
      <c r="BG2347" s="77"/>
      <c r="BH2347" s="77"/>
      <c r="BI2347" s="77"/>
    </row>
    <row r="2348" spans="1:61" x14ac:dyDescent="0.25">
      <c r="A2348" s="62" t="s">
        <v>604</v>
      </c>
      <c r="B2348" s="62" t="s">
        <v>604</v>
      </c>
      <c r="C2348" s="63"/>
      <c r="D2348" s="64"/>
      <c r="E2348" s="65"/>
      <c r="F2348" s="66"/>
      <c r="G2348" s="63"/>
      <c r="H2348" s="67"/>
      <c r="I2348" s="68"/>
      <c r="J2348" s="68"/>
      <c r="K2348" s="32"/>
      <c r="L2348" s="75">
        <v>2348</v>
      </c>
      <c r="M2348" s="75"/>
      <c r="N2348" s="70"/>
      <c r="O2348" s="77" t="s">
        <v>179</v>
      </c>
      <c r="P2348" s="79">
        <v>45147.68645833333</v>
      </c>
      <c r="Q2348" s="77" t="s">
        <v>3127</v>
      </c>
      <c r="R2348" s="77">
        <v>0</v>
      </c>
      <c r="S2348" s="77">
        <v>0</v>
      </c>
      <c r="T2348" s="77">
        <v>0</v>
      </c>
      <c r="U2348" s="77">
        <v>0</v>
      </c>
      <c r="V2348" s="77">
        <v>80</v>
      </c>
      <c r="W2348" s="82" t="s">
        <v>6250</v>
      </c>
      <c r="X2348" s="80" t="str">
        <f>HYPERLINK("https://www.moneytimes.com.br/santander-sanb11-corta-preco-alvo-mas-recomenda-compra-de-apenas-um-frigorifico-saiba-qual/")</f>
        <v>https://www.moneytimes.com.br/santander-sanb11-corta-preco-alvo-mas-recomenda-compra-de-apenas-um-frigorifico-saiba-qual/</v>
      </c>
      <c r="Y2348" s="77" t="s">
        <v>7053</v>
      </c>
      <c r="Z2348" s="77"/>
      <c r="AA2348" s="77"/>
      <c r="AB2348" s="77"/>
      <c r="AC2348" s="82" t="s">
        <v>8255</v>
      </c>
      <c r="AD2348" s="77" t="s">
        <v>8278</v>
      </c>
      <c r="AE2348" s="80" t="str">
        <f>HYPERLINK("https://twitter.com/leiaagrotimes/status/1689312707881705474")</f>
        <v>https://twitter.com/leiaagrotimes/status/1689312707881705474</v>
      </c>
      <c r="AF2348" s="79">
        <v>45147.68645833333</v>
      </c>
      <c r="AG2348" s="85">
        <v>45147</v>
      </c>
      <c r="AH2348" s="82" t="s">
        <v>10410</v>
      </c>
      <c r="AI2348" s="77" t="b">
        <v>0</v>
      </c>
      <c r="AJ2348" s="77"/>
      <c r="AK2348" s="77"/>
      <c r="AL2348" s="77"/>
      <c r="AM2348" s="77"/>
      <c r="AN2348" s="77"/>
      <c r="AO2348" s="77"/>
      <c r="AP2348" s="77"/>
      <c r="AQ2348" s="77"/>
      <c r="AR2348" s="77"/>
      <c r="AS2348" s="77"/>
      <c r="AT2348" s="77"/>
      <c r="AU2348" s="77"/>
      <c r="AV2348" s="80" t="str">
        <f>HYPERLINK("https://pbs.twimg.com/profile_images/1365395023072817162/ZI8fAPrO_normal.jpg")</f>
        <v>https://pbs.twimg.com/profile_images/1365395023072817162/ZI8fAPrO_normal.jpg</v>
      </c>
      <c r="AW2348" s="82" t="s">
        <v>15433</v>
      </c>
      <c r="AX2348" s="82" t="s">
        <v>15433</v>
      </c>
      <c r="AY2348" s="77"/>
      <c r="AZ2348" s="82" t="s">
        <v>17385</v>
      </c>
      <c r="BA2348" s="82" t="s">
        <v>17385</v>
      </c>
      <c r="BB2348" s="82" t="s">
        <v>17385</v>
      </c>
      <c r="BC2348" s="82" t="s">
        <v>15433</v>
      </c>
      <c r="BD2348" s="82" t="s">
        <v>17641</v>
      </c>
      <c r="BE2348" s="77"/>
      <c r="BF2348" s="77"/>
      <c r="BG2348" s="77"/>
      <c r="BH2348" s="77"/>
      <c r="BI2348" s="77"/>
    </row>
    <row r="2349" spans="1:61" x14ac:dyDescent="0.25">
      <c r="A2349" s="62" t="s">
        <v>604</v>
      </c>
      <c r="B2349" s="62" t="s">
        <v>604</v>
      </c>
      <c r="C2349" s="63"/>
      <c r="D2349" s="64"/>
      <c r="E2349" s="65"/>
      <c r="F2349" s="66"/>
      <c r="G2349" s="63"/>
      <c r="H2349" s="67"/>
      <c r="I2349" s="68"/>
      <c r="J2349" s="68"/>
      <c r="K2349" s="32"/>
      <c r="L2349" s="75">
        <v>2349</v>
      </c>
      <c r="M2349" s="75"/>
      <c r="N2349" s="70"/>
      <c r="O2349" s="77" t="s">
        <v>179</v>
      </c>
      <c r="P2349" s="79">
        <v>45147.483923611115</v>
      </c>
      <c r="Q2349" s="77" t="s">
        <v>3128</v>
      </c>
      <c r="R2349" s="77">
        <v>0</v>
      </c>
      <c r="S2349" s="77">
        <v>0</v>
      </c>
      <c r="T2349" s="77">
        <v>0</v>
      </c>
      <c r="U2349" s="77">
        <v>0</v>
      </c>
      <c r="V2349" s="77">
        <v>91</v>
      </c>
      <c r="W2349" s="82" t="s">
        <v>6293</v>
      </c>
      <c r="X2349" s="80" t="str">
        <f>HYPERLINK("https://www.moneytimes.com.br/suzano-suzb3-responde-rumores-sobre-compra-de-empresa-chinesa-veja/")</f>
        <v>https://www.moneytimes.com.br/suzano-suzb3-responde-rumores-sobre-compra-de-empresa-chinesa-veja/</v>
      </c>
      <c r="Y2349" s="77" t="s">
        <v>7053</v>
      </c>
      <c r="Z2349" s="77"/>
      <c r="AA2349" s="77"/>
      <c r="AB2349" s="77"/>
      <c r="AC2349" s="82" t="s">
        <v>8255</v>
      </c>
      <c r="AD2349" s="77" t="s">
        <v>8278</v>
      </c>
      <c r="AE2349" s="80" t="str">
        <f>HYPERLINK("https://twitter.com/leiaagrotimes/status/1689239314020921344")</f>
        <v>https://twitter.com/leiaagrotimes/status/1689239314020921344</v>
      </c>
      <c r="AF2349" s="79">
        <v>45147.483923611115</v>
      </c>
      <c r="AG2349" s="85">
        <v>45147</v>
      </c>
      <c r="AH2349" s="82" t="s">
        <v>10411</v>
      </c>
      <c r="AI2349" s="77" t="b">
        <v>0</v>
      </c>
      <c r="AJ2349" s="77"/>
      <c r="AK2349" s="77"/>
      <c r="AL2349" s="77"/>
      <c r="AM2349" s="77"/>
      <c r="AN2349" s="77"/>
      <c r="AO2349" s="77"/>
      <c r="AP2349" s="77"/>
      <c r="AQ2349" s="77"/>
      <c r="AR2349" s="77"/>
      <c r="AS2349" s="77"/>
      <c r="AT2349" s="77"/>
      <c r="AU2349" s="77"/>
      <c r="AV2349" s="80" t="str">
        <f>HYPERLINK("https://pbs.twimg.com/profile_images/1365395023072817162/ZI8fAPrO_normal.jpg")</f>
        <v>https://pbs.twimg.com/profile_images/1365395023072817162/ZI8fAPrO_normal.jpg</v>
      </c>
      <c r="AW2349" s="82" t="s">
        <v>15434</v>
      </c>
      <c r="AX2349" s="82" t="s">
        <v>15434</v>
      </c>
      <c r="AY2349" s="77"/>
      <c r="AZ2349" s="82" t="s">
        <v>17385</v>
      </c>
      <c r="BA2349" s="82" t="s">
        <v>17385</v>
      </c>
      <c r="BB2349" s="82" t="s">
        <v>17385</v>
      </c>
      <c r="BC2349" s="82" t="s">
        <v>15434</v>
      </c>
      <c r="BD2349" s="82" t="s">
        <v>17641</v>
      </c>
      <c r="BE2349" s="77"/>
      <c r="BF2349" s="77"/>
      <c r="BG2349" s="77"/>
      <c r="BH2349" s="77"/>
      <c r="BI2349" s="77"/>
    </row>
    <row r="2350" spans="1:61" x14ac:dyDescent="0.25">
      <c r="A2350" s="62" t="s">
        <v>604</v>
      </c>
      <c r="B2350" s="62" t="s">
        <v>604</v>
      </c>
      <c r="C2350" s="63"/>
      <c r="D2350" s="64"/>
      <c r="E2350" s="65"/>
      <c r="F2350" s="66"/>
      <c r="G2350" s="63"/>
      <c r="H2350" s="67"/>
      <c r="I2350" s="68"/>
      <c r="J2350" s="68"/>
      <c r="K2350" s="32"/>
      <c r="L2350" s="75">
        <v>2350</v>
      </c>
      <c r="M2350" s="75"/>
      <c r="N2350" s="70"/>
      <c r="O2350" s="77" t="s">
        <v>179</v>
      </c>
      <c r="P2350" s="79">
        <v>45146.932199074072</v>
      </c>
      <c r="Q2350" s="77" t="s">
        <v>3129</v>
      </c>
      <c r="R2350" s="77">
        <v>0</v>
      </c>
      <c r="S2350" s="77">
        <v>1</v>
      </c>
      <c r="T2350" s="77">
        <v>0</v>
      </c>
      <c r="U2350" s="77">
        <v>0</v>
      </c>
      <c r="V2350" s="77">
        <v>135</v>
      </c>
      <c r="W2350" s="82" t="s">
        <v>6267</v>
      </c>
      <c r="X2350" s="80" t="str">
        <f>HYPERLINK("https://www.moneytimes.com.br/raizen-raiz4-ainda-tem-espaco-para-lucrar-com-acucar-e-esquecer-fiasco-do-etanol-no-2t23/")</f>
        <v>https://www.moneytimes.com.br/raizen-raiz4-ainda-tem-espaco-para-lucrar-com-acucar-e-esquecer-fiasco-do-etanol-no-2t23/</v>
      </c>
      <c r="Y2350" s="77" t="s">
        <v>7053</v>
      </c>
      <c r="Z2350" s="77"/>
      <c r="AA2350" s="77"/>
      <c r="AB2350" s="77"/>
      <c r="AC2350" s="82" t="s">
        <v>8255</v>
      </c>
      <c r="AD2350" s="77" t="s">
        <v>8278</v>
      </c>
      <c r="AE2350" s="80" t="str">
        <f>HYPERLINK("https://twitter.com/leiaagrotimes/status/1689039374409748480")</f>
        <v>https://twitter.com/leiaagrotimes/status/1689039374409748480</v>
      </c>
      <c r="AF2350" s="79">
        <v>45146.932199074072</v>
      </c>
      <c r="AG2350" s="85">
        <v>45146</v>
      </c>
      <c r="AH2350" s="82" t="s">
        <v>10412</v>
      </c>
      <c r="AI2350" s="77" t="b">
        <v>0</v>
      </c>
      <c r="AJ2350" s="77"/>
      <c r="AK2350" s="77"/>
      <c r="AL2350" s="77"/>
      <c r="AM2350" s="77"/>
      <c r="AN2350" s="77"/>
      <c r="AO2350" s="77"/>
      <c r="AP2350" s="77"/>
      <c r="AQ2350" s="77"/>
      <c r="AR2350" s="77"/>
      <c r="AS2350" s="77"/>
      <c r="AT2350" s="77"/>
      <c r="AU2350" s="77"/>
      <c r="AV2350" s="80" t="str">
        <f>HYPERLINK("https://pbs.twimg.com/profile_images/1365395023072817162/ZI8fAPrO_normal.jpg")</f>
        <v>https://pbs.twimg.com/profile_images/1365395023072817162/ZI8fAPrO_normal.jpg</v>
      </c>
      <c r="AW2350" s="82" t="s">
        <v>15435</v>
      </c>
      <c r="AX2350" s="82" t="s">
        <v>15435</v>
      </c>
      <c r="AY2350" s="77"/>
      <c r="AZ2350" s="82" t="s">
        <v>17385</v>
      </c>
      <c r="BA2350" s="82" t="s">
        <v>17385</v>
      </c>
      <c r="BB2350" s="82" t="s">
        <v>17385</v>
      </c>
      <c r="BC2350" s="82" t="s">
        <v>15435</v>
      </c>
      <c r="BD2350" s="82" t="s">
        <v>17641</v>
      </c>
      <c r="BE2350" s="77"/>
      <c r="BF2350" s="77"/>
      <c r="BG2350" s="77"/>
      <c r="BH2350" s="77"/>
      <c r="BI2350" s="77"/>
    </row>
    <row r="2351" spans="1:61" x14ac:dyDescent="0.25">
      <c r="A2351" s="62" t="s">
        <v>604</v>
      </c>
      <c r="B2351" s="62" t="s">
        <v>604</v>
      </c>
      <c r="C2351" s="63"/>
      <c r="D2351" s="64"/>
      <c r="E2351" s="65"/>
      <c r="F2351" s="66"/>
      <c r="G2351" s="63"/>
      <c r="H2351" s="67"/>
      <c r="I2351" s="68"/>
      <c r="J2351" s="68"/>
      <c r="K2351" s="32"/>
      <c r="L2351" s="75">
        <v>2351</v>
      </c>
      <c r="M2351" s="75"/>
      <c r="N2351" s="70"/>
      <c r="O2351" s="77" t="s">
        <v>179</v>
      </c>
      <c r="P2351" s="79">
        <v>45145.690868055557</v>
      </c>
      <c r="Q2351" s="77" t="s">
        <v>3130</v>
      </c>
      <c r="R2351" s="77">
        <v>0</v>
      </c>
      <c r="S2351" s="77">
        <v>0</v>
      </c>
      <c r="T2351" s="77">
        <v>0</v>
      </c>
      <c r="U2351" s="77">
        <v>0</v>
      </c>
      <c r="V2351" s="77">
        <v>94</v>
      </c>
      <c r="W2351" s="82" t="s">
        <v>6261</v>
      </c>
      <c r="X2351" s="80" t="str">
        <f>HYPERLINK("https://www.moneytimes.com.br/suzano-suzb3-negocio-da-china-as-vantagens-e-incertezas-com-possivel-compra-de-empresa-segundo-bba/")</f>
        <v>https://www.moneytimes.com.br/suzano-suzb3-negocio-da-china-as-vantagens-e-incertezas-com-possivel-compra-de-empresa-segundo-bba/</v>
      </c>
      <c r="Y2351" s="77" t="s">
        <v>7053</v>
      </c>
      <c r="Z2351" s="77"/>
      <c r="AA2351" s="77"/>
      <c r="AB2351" s="77"/>
      <c r="AC2351" s="82" t="s">
        <v>8255</v>
      </c>
      <c r="AD2351" s="77" t="s">
        <v>8278</v>
      </c>
      <c r="AE2351" s="80" t="str">
        <f>HYPERLINK("https://twitter.com/leiaagrotimes/status/1688589529760858112")</f>
        <v>https://twitter.com/leiaagrotimes/status/1688589529760858112</v>
      </c>
      <c r="AF2351" s="79">
        <v>45145.690868055557</v>
      </c>
      <c r="AG2351" s="85">
        <v>45145</v>
      </c>
      <c r="AH2351" s="82" t="s">
        <v>10413</v>
      </c>
      <c r="AI2351" s="77" t="b">
        <v>0</v>
      </c>
      <c r="AJ2351" s="77"/>
      <c r="AK2351" s="77"/>
      <c r="AL2351" s="77"/>
      <c r="AM2351" s="77"/>
      <c r="AN2351" s="77"/>
      <c r="AO2351" s="77"/>
      <c r="AP2351" s="77"/>
      <c r="AQ2351" s="77"/>
      <c r="AR2351" s="77"/>
      <c r="AS2351" s="77"/>
      <c r="AT2351" s="77"/>
      <c r="AU2351" s="77"/>
      <c r="AV2351" s="80" t="str">
        <f>HYPERLINK("https://pbs.twimg.com/profile_images/1365395023072817162/ZI8fAPrO_normal.jpg")</f>
        <v>https://pbs.twimg.com/profile_images/1365395023072817162/ZI8fAPrO_normal.jpg</v>
      </c>
      <c r="AW2351" s="82" t="s">
        <v>15436</v>
      </c>
      <c r="AX2351" s="82" t="s">
        <v>15436</v>
      </c>
      <c r="AY2351" s="77"/>
      <c r="AZ2351" s="82" t="s">
        <v>17385</v>
      </c>
      <c r="BA2351" s="82" t="s">
        <v>17385</v>
      </c>
      <c r="BB2351" s="82" t="s">
        <v>17385</v>
      </c>
      <c r="BC2351" s="82" t="s">
        <v>15436</v>
      </c>
      <c r="BD2351" s="82" t="s">
        <v>17641</v>
      </c>
      <c r="BE2351" s="77"/>
      <c r="BF2351" s="77"/>
      <c r="BG2351" s="77"/>
      <c r="BH2351" s="77"/>
      <c r="BI2351" s="77"/>
    </row>
    <row r="2352" spans="1:61" x14ac:dyDescent="0.25">
      <c r="A2352" s="62" t="s">
        <v>604</v>
      </c>
      <c r="B2352" s="62" t="s">
        <v>604</v>
      </c>
      <c r="C2352" s="63"/>
      <c r="D2352" s="64"/>
      <c r="E2352" s="65"/>
      <c r="F2352" s="66"/>
      <c r="G2352" s="63"/>
      <c r="H2352" s="67"/>
      <c r="I2352" s="68"/>
      <c r="J2352" s="68"/>
      <c r="K2352" s="32"/>
      <c r="L2352" s="75">
        <v>2352</v>
      </c>
      <c r="M2352" s="75"/>
      <c r="N2352" s="70"/>
      <c r="O2352" s="77" t="s">
        <v>179</v>
      </c>
      <c r="P2352" s="79">
        <v>45113.769687499997</v>
      </c>
      <c r="Q2352" s="77" t="s">
        <v>3131</v>
      </c>
      <c r="R2352" s="77">
        <v>0</v>
      </c>
      <c r="S2352" s="77">
        <v>0</v>
      </c>
      <c r="T2352" s="77">
        <v>0</v>
      </c>
      <c r="U2352" s="77">
        <v>0</v>
      </c>
      <c r="V2352" s="77">
        <v>119</v>
      </c>
      <c r="W2352" s="82" t="s">
        <v>6260</v>
      </c>
      <c r="X2352" s="80" t="str">
        <f>HYPERLINK("https://www.moneytimes.com.br/suzano-suzb3-ou-klabin-klbn11-demanda-por-celulose-cai-no-2s23-e-bba-recomenda-uma-das-acoes-saiba-qual/")</f>
        <v>https://www.moneytimes.com.br/suzano-suzb3-ou-klabin-klbn11-demanda-por-celulose-cai-no-2s23-e-bba-recomenda-uma-das-acoes-saiba-qual/</v>
      </c>
      <c r="Y2352" s="77" t="s">
        <v>7053</v>
      </c>
      <c r="Z2352" s="77"/>
      <c r="AA2352" s="77"/>
      <c r="AB2352" s="77"/>
      <c r="AC2352" s="82" t="s">
        <v>8255</v>
      </c>
      <c r="AD2352" s="77" t="s">
        <v>8278</v>
      </c>
      <c r="AE2352" s="80" t="str">
        <f>HYPERLINK("https://twitter.com/leiaagrotimes/status/1677021682618228736")</f>
        <v>https://twitter.com/leiaagrotimes/status/1677021682618228736</v>
      </c>
      <c r="AF2352" s="79">
        <v>45113.769687499997</v>
      </c>
      <c r="AG2352" s="85">
        <v>45113</v>
      </c>
      <c r="AH2352" s="82" t="s">
        <v>10414</v>
      </c>
      <c r="AI2352" s="77" t="b">
        <v>0</v>
      </c>
      <c r="AJ2352" s="77"/>
      <c r="AK2352" s="77"/>
      <c r="AL2352" s="77"/>
      <c r="AM2352" s="77"/>
      <c r="AN2352" s="77"/>
      <c r="AO2352" s="77"/>
      <c r="AP2352" s="77"/>
      <c r="AQ2352" s="77"/>
      <c r="AR2352" s="77"/>
      <c r="AS2352" s="77"/>
      <c r="AT2352" s="77"/>
      <c r="AU2352" s="77"/>
      <c r="AV2352" s="80" t="str">
        <f>HYPERLINK("https://pbs.twimg.com/profile_images/1365395023072817162/ZI8fAPrO_normal.jpg")</f>
        <v>https://pbs.twimg.com/profile_images/1365395023072817162/ZI8fAPrO_normal.jpg</v>
      </c>
      <c r="AW2352" s="82" t="s">
        <v>15437</v>
      </c>
      <c r="AX2352" s="82" t="s">
        <v>15437</v>
      </c>
      <c r="AY2352" s="77"/>
      <c r="AZ2352" s="82" t="s">
        <v>17385</v>
      </c>
      <c r="BA2352" s="82" t="s">
        <v>17385</v>
      </c>
      <c r="BB2352" s="82" t="s">
        <v>17385</v>
      </c>
      <c r="BC2352" s="82" t="s">
        <v>15437</v>
      </c>
      <c r="BD2352" s="82" t="s">
        <v>17641</v>
      </c>
      <c r="BE2352" s="77"/>
      <c r="BF2352" s="77"/>
      <c r="BG2352" s="77"/>
      <c r="BH2352" s="77"/>
      <c r="BI2352" s="77"/>
    </row>
    <row r="2353" spans="1:61" x14ac:dyDescent="0.25">
      <c r="A2353" s="62" t="s">
        <v>604</v>
      </c>
      <c r="B2353" s="62" t="s">
        <v>604</v>
      </c>
      <c r="C2353" s="63"/>
      <c r="D2353" s="64"/>
      <c r="E2353" s="65"/>
      <c r="F2353" s="66"/>
      <c r="G2353" s="63"/>
      <c r="H2353" s="67"/>
      <c r="I2353" s="68"/>
      <c r="J2353" s="68"/>
      <c r="K2353" s="32"/>
      <c r="L2353" s="75">
        <v>2353</v>
      </c>
      <c r="M2353" s="75"/>
      <c r="N2353" s="70"/>
      <c r="O2353" s="77" t="s">
        <v>179</v>
      </c>
      <c r="P2353" s="79">
        <v>45112.665185185186</v>
      </c>
      <c r="Q2353" s="77" t="s">
        <v>3132</v>
      </c>
      <c r="R2353" s="77">
        <v>0</v>
      </c>
      <c r="S2353" s="77">
        <v>0</v>
      </c>
      <c r="T2353" s="77">
        <v>0</v>
      </c>
      <c r="U2353" s="77">
        <v>0</v>
      </c>
      <c r="V2353" s="77">
        <v>51</v>
      </c>
      <c r="W2353" s="82" t="s">
        <v>6294</v>
      </c>
      <c r="X2353" s="80" t="str">
        <f>HYPERLINK("https://www.moneytimes.com.br/slc-slce3-tem-safra-de-boas-noticias-e-acao-salta-veja-motivos/")</f>
        <v>https://www.moneytimes.com.br/slc-slce3-tem-safra-de-boas-noticias-e-acao-salta-veja-motivos/</v>
      </c>
      <c r="Y2353" s="77" t="s">
        <v>7053</v>
      </c>
      <c r="Z2353" s="77"/>
      <c r="AA2353" s="77"/>
      <c r="AB2353" s="77"/>
      <c r="AC2353" s="82" t="s">
        <v>8255</v>
      </c>
      <c r="AD2353" s="77" t="s">
        <v>8278</v>
      </c>
      <c r="AE2353" s="80" t="str">
        <f>HYPERLINK("https://twitter.com/leiaagrotimes/status/1676621423345913856")</f>
        <v>https://twitter.com/leiaagrotimes/status/1676621423345913856</v>
      </c>
      <c r="AF2353" s="79">
        <v>45112.665185185186</v>
      </c>
      <c r="AG2353" s="85">
        <v>45112</v>
      </c>
      <c r="AH2353" s="82" t="s">
        <v>10415</v>
      </c>
      <c r="AI2353" s="77" t="b">
        <v>0</v>
      </c>
      <c r="AJ2353" s="77"/>
      <c r="AK2353" s="77"/>
      <c r="AL2353" s="77"/>
      <c r="AM2353" s="77"/>
      <c r="AN2353" s="77"/>
      <c r="AO2353" s="77"/>
      <c r="AP2353" s="77"/>
      <c r="AQ2353" s="77"/>
      <c r="AR2353" s="77"/>
      <c r="AS2353" s="77"/>
      <c r="AT2353" s="77"/>
      <c r="AU2353" s="77"/>
      <c r="AV2353" s="80" t="str">
        <f>HYPERLINK("https://pbs.twimg.com/profile_images/1365395023072817162/ZI8fAPrO_normal.jpg")</f>
        <v>https://pbs.twimg.com/profile_images/1365395023072817162/ZI8fAPrO_normal.jpg</v>
      </c>
      <c r="AW2353" s="82" t="s">
        <v>15438</v>
      </c>
      <c r="AX2353" s="82" t="s">
        <v>15438</v>
      </c>
      <c r="AY2353" s="77"/>
      <c r="AZ2353" s="82" t="s">
        <v>17385</v>
      </c>
      <c r="BA2353" s="82" t="s">
        <v>17385</v>
      </c>
      <c r="BB2353" s="82" t="s">
        <v>17385</v>
      </c>
      <c r="BC2353" s="82" t="s">
        <v>15438</v>
      </c>
      <c r="BD2353" s="82" t="s">
        <v>17641</v>
      </c>
      <c r="BE2353" s="77"/>
      <c r="BF2353" s="77"/>
      <c r="BG2353" s="77"/>
      <c r="BH2353" s="77"/>
      <c r="BI2353" s="77"/>
    </row>
    <row r="2354" spans="1:61" x14ac:dyDescent="0.25">
      <c r="A2354" s="62" t="s">
        <v>604</v>
      </c>
      <c r="B2354" s="62" t="s">
        <v>604</v>
      </c>
      <c r="C2354" s="63"/>
      <c r="D2354" s="64"/>
      <c r="E2354" s="65"/>
      <c r="F2354" s="66"/>
      <c r="G2354" s="63"/>
      <c r="H2354" s="67"/>
      <c r="I2354" s="68"/>
      <c r="J2354" s="68"/>
      <c r="K2354" s="32"/>
      <c r="L2354" s="75">
        <v>2354</v>
      </c>
      <c r="M2354" s="75"/>
      <c r="N2354" s="70"/>
      <c r="O2354" s="77" t="s">
        <v>179</v>
      </c>
      <c r="P2354" s="79">
        <v>45112.639444444445</v>
      </c>
      <c r="Q2354" s="77" t="s">
        <v>3133</v>
      </c>
      <c r="R2354" s="77">
        <v>0</v>
      </c>
      <c r="S2354" s="77">
        <v>0</v>
      </c>
      <c r="T2354" s="77">
        <v>0</v>
      </c>
      <c r="U2354" s="77">
        <v>0</v>
      </c>
      <c r="V2354" s="77">
        <v>158</v>
      </c>
      <c r="W2354" s="82" t="s">
        <v>6295</v>
      </c>
      <c r="X2354" s="80" t="str">
        <f>HYPERLINK("https://www.moneytimes.com.br/brf-brfs3-dispara-mais-de-7-com-oferta-de-acoes-que-pode-movimentar-r-534-bilhoes/")</f>
        <v>https://www.moneytimes.com.br/brf-brfs3-dispara-mais-de-7-com-oferta-de-acoes-que-pode-movimentar-r-534-bilhoes/</v>
      </c>
      <c r="Y2354" s="77" t="s">
        <v>7053</v>
      </c>
      <c r="Z2354" s="77"/>
      <c r="AA2354" s="77"/>
      <c r="AB2354" s="77"/>
      <c r="AC2354" s="82" t="s">
        <v>8255</v>
      </c>
      <c r="AD2354" s="77" t="s">
        <v>8278</v>
      </c>
      <c r="AE2354" s="80" t="str">
        <f>HYPERLINK("https://twitter.com/leiaagrotimes/status/1676612097604460544")</f>
        <v>https://twitter.com/leiaagrotimes/status/1676612097604460544</v>
      </c>
      <c r="AF2354" s="79">
        <v>45112.639444444445</v>
      </c>
      <c r="AG2354" s="85">
        <v>45112</v>
      </c>
      <c r="AH2354" s="82" t="s">
        <v>10416</v>
      </c>
      <c r="AI2354" s="77" t="b">
        <v>0</v>
      </c>
      <c r="AJ2354" s="77"/>
      <c r="AK2354" s="77"/>
      <c r="AL2354" s="77"/>
      <c r="AM2354" s="77"/>
      <c r="AN2354" s="77"/>
      <c r="AO2354" s="77"/>
      <c r="AP2354" s="77"/>
      <c r="AQ2354" s="77"/>
      <c r="AR2354" s="77"/>
      <c r="AS2354" s="77"/>
      <c r="AT2354" s="77"/>
      <c r="AU2354" s="77"/>
      <c r="AV2354" s="80" t="str">
        <f>HYPERLINK("https://pbs.twimg.com/profile_images/1365395023072817162/ZI8fAPrO_normal.jpg")</f>
        <v>https://pbs.twimg.com/profile_images/1365395023072817162/ZI8fAPrO_normal.jpg</v>
      </c>
      <c r="AW2354" s="82" t="s">
        <v>15439</v>
      </c>
      <c r="AX2354" s="82" t="s">
        <v>15439</v>
      </c>
      <c r="AY2354" s="77"/>
      <c r="AZ2354" s="82" t="s">
        <v>17385</v>
      </c>
      <c r="BA2354" s="82" t="s">
        <v>17385</v>
      </c>
      <c r="BB2354" s="82" t="s">
        <v>17385</v>
      </c>
      <c r="BC2354" s="82" t="s">
        <v>15439</v>
      </c>
      <c r="BD2354" s="82" t="s">
        <v>17641</v>
      </c>
      <c r="BE2354" s="77"/>
      <c r="BF2354" s="77"/>
      <c r="BG2354" s="77"/>
      <c r="BH2354" s="77"/>
      <c r="BI2354" s="77"/>
    </row>
    <row r="2355" spans="1:61" x14ac:dyDescent="0.25">
      <c r="A2355" s="62" t="s">
        <v>604</v>
      </c>
      <c r="B2355" s="62" t="s">
        <v>604</v>
      </c>
      <c r="C2355" s="63"/>
      <c r="D2355" s="64"/>
      <c r="E2355" s="65"/>
      <c r="F2355" s="66"/>
      <c r="G2355" s="63"/>
      <c r="H2355" s="67"/>
      <c r="I2355" s="68"/>
      <c r="J2355" s="68"/>
      <c r="K2355" s="32"/>
      <c r="L2355" s="75">
        <v>2355</v>
      </c>
      <c r="M2355" s="75"/>
      <c r="N2355" s="70"/>
      <c r="O2355" s="77" t="s">
        <v>179</v>
      </c>
      <c r="P2355" s="79">
        <v>45090.564467592594</v>
      </c>
      <c r="Q2355" s="77" t="s">
        <v>3134</v>
      </c>
      <c r="R2355" s="77">
        <v>0</v>
      </c>
      <c r="S2355" s="77">
        <v>0</v>
      </c>
      <c r="T2355" s="77">
        <v>0</v>
      </c>
      <c r="U2355" s="77">
        <v>0</v>
      </c>
      <c r="V2355" s="77">
        <v>181</v>
      </c>
      <c r="W2355" s="82" t="s">
        <v>6277</v>
      </c>
      <c r="X2355" s="80" t="str">
        <f>HYPERLINK("https://www.moneytimes.com.br/boa-safra-soja3-processos-denunciam-trabalho-analogo-a-escravidao-assedio-moral-e-sexual-diz-site/")</f>
        <v>https://www.moneytimes.com.br/boa-safra-soja3-processos-denunciam-trabalho-analogo-a-escravidao-assedio-moral-e-sexual-diz-site/</v>
      </c>
      <c r="Y2355" s="77" t="s">
        <v>7053</v>
      </c>
      <c r="Z2355" s="77"/>
      <c r="AA2355" s="77"/>
      <c r="AB2355" s="77"/>
      <c r="AC2355" s="82" t="s">
        <v>8255</v>
      </c>
      <c r="AD2355" s="77" t="s">
        <v>8278</v>
      </c>
      <c r="AE2355" s="80" t="str">
        <f>HYPERLINK("https://twitter.com/leiaagrotimes/status/1668612393448996865")</f>
        <v>https://twitter.com/leiaagrotimes/status/1668612393448996865</v>
      </c>
      <c r="AF2355" s="79">
        <v>45090.564467592594</v>
      </c>
      <c r="AG2355" s="85">
        <v>45090</v>
      </c>
      <c r="AH2355" s="82" t="s">
        <v>10417</v>
      </c>
      <c r="AI2355" s="77" t="b">
        <v>0</v>
      </c>
      <c r="AJ2355" s="77"/>
      <c r="AK2355" s="77"/>
      <c r="AL2355" s="77"/>
      <c r="AM2355" s="77"/>
      <c r="AN2355" s="77"/>
      <c r="AO2355" s="77"/>
      <c r="AP2355" s="77"/>
      <c r="AQ2355" s="77"/>
      <c r="AR2355" s="77"/>
      <c r="AS2355" s="77"/>
      <c r="AT2355" s="77"/>
      <c r="AU2355" s="77"/>
      <c r="AV2355" s="80" t="str">
        <f>HYPERLINK("https://pbs.twimg.com/profile_images/1365395023072817162/ZI8fAPrO_normal.jpg")</f>
        <v>https://pbs.twimg.com/profile_images/1365395023072817162/ZI8fAPrO_normal.jpg</v>
      </c>
      <c r="AW2355" s="82" t="s">
        <v>15440</v>
      </c>
      <c r="AX2355" s="82" t="s">
        <v>15440</v>
      </c>
      <c r="AY2355" s="77"/>
      <c r="AZ2355" s="82" t="s">
        <v>17385</v>
      </c>
      <c r="BA2355" s="82" t="s">
        <v>17385</v>
      </c>
      <c r="BB2355" s="82" t="s">
        <v>17385</v>
      </c>
      <c r="BC2355" s="82" t="s">
        <v>15440</v>
      </c>
      <c r="BD2355" s="82" t="s">
        <v>17641</v>
      </c>
      <c r="BE2355" s="77"/>
      <c r="BF2355" s="77"/>
      <c r="BG2355" s="77"/>
      <c r="BH2355" s="77"/>
      <c r="BI2355" s="77"/>
    </row>
    <row r="2356" spans="1:61" x14ac:dyDescent="0.25">
      <c r="A2356" s="62" t="s">
        <v>604</v>
      </c>
      <c r="B2356" s="62" t="s">
        <v>604</v>
      </c>
      <c r="C2356" s="63"/>
      <c r="D2356" s="64"/>
      <c r="E2356" s="65"/>
      <c r="F2356" s="66"/>
      <c r="G2356" s="63"/>
      <c r="H2356" s="67"/>
      <c r="I2356" s="68"/>
      <c r="J2356" s="68"/>
      <c r="K2356" s="32"/>
      <c r="L2356" s="75">
        <v>2356</v>
      </c>
      <c r="M2356" s="75"/>
      <c r="N2356" s="70"/>
      <c r="O2356" s="77" t="s">
        <v>179</v>
      </c>
      <c r="P2356" s="79">
        <v>45077.6481712963</v>
      </c>
      <c r="Q2356" s="77" t="s">
        <v>3135</v>
      </c>
      <c r="R2356" s="77">
        <v>0</v>
      </c>
      <c r="S2356" s="77">
        <v>0</v>
      </c>
      <c r="T2356" s="77">
        <v>0</v>
      </c>
      <c r="U2356" s="77">
        <v>0</v>
      </c>
      <c r="V2356" s="77">
        <v>74</v>
      </c>
      <c r="W2356" s="82" t="s">
        <v>6251</v>
      </c>
      <c r="X2356" s="80" t="str">
        <f>HYPERLINK("https://www.moneytimes.com.br/raizen-raiz4-acoes-sobem-quase-4-apos-sp-global-manter-rating-de-credito/")</f>
        <v>https://www.moneytimes.com.br/raizen-raiz4-acoes-sobem-quase-4-apos-sp-global-manter-rating-de-credito/</v>
      </c>
      <c r="Y2356" s="77" t="s">
        <v>7053</v>
      </c>
      <c r="Z2356" s="77"/>
      <c r="AA2356" s="77"/>
      <c r="AB2356" s="77"/>
      <c r="AC2356" s="82" t="s">
        <v>8255</v>
      </c>
      <c r="AD2356" s="77" t="s">
        <v>8278</v>
      </c>
      <c r="AE2356" s="80" t="str">
        <f>HYPERLINK("https://twitter.com/leiaagrotimes/status/1663931685178671105")</f>
        <v>https://twitter.com/leiaagrotimes/status/1663931685178671105</v>
      </c>
      <c r="AF2356" s="79">
        <v>45077.6481712963</v>
      </c>
      <c r="AG2356" s="85">
        <v>45077</v>
      </c>
      <c r="AH2356" s="82" t="s">
        <v>10418</v>
      </c>
      <c r="AI2356" s="77" t="b">
        <v>0</v>
      </c>
      <c r="AJ2356" s="77"/>
      <c r="AK2356" s="77"/>
      <c r="AL2356" s="77"/>
      <c r="AM2356" s="77"/>
      <c r="AN2356" s="77"/>
      <c r="AO2356" s="77"/>
      <c r="AP2356" s="77"/>
      <c r="AQ2356" s="77"/>
      <c r="AR2356" s="77"/>
      <c r="AS2356" s="77"/>
      <c r="AT2356" s="77"/>
      <c r="AU2356" s="77"/>
      <c r="AV2356" s="80" t="str">
        <f>HYPERLINK("https://pbs.twimg.com/profile_images/1365395023072817162/ZI8fAPrO_normal.jpg")</f>
        <v>https://pbs.twimg.com/profile_images/1365395023072817162/ZI8fAPrO_normal.jpg</v>
      </c>
      <c r="AW2356" s="82" t="s">
        <v>15441</v>
      </c>
      <c r="AX2356" s="82" t="s">
        <v>15441</v>
      </c>
      <c r="AY2356" s="77"/>
      <c r="AZ2356" s="82" t="s">
        <v>17385</v>
      </c>
      <c r="BA2356" s="82" t="s">
        <v>17385</v>
      </c>
      <c r="BB2356" s="82" t="s">
        <v>17385</v>
      </c>
      <c r="BC2356" s="82" t="s">
        <v>15441</v>
      </c>
      <c r="BD2356" s="82" t="s">
        <v>17641</v>
      </c>
      <c r="BE2356" s="77"/>
      <c r="BF2356" s="77"/>
      <c r="BG2356" s="77"/>
      <c r="BH2356" s="77"/>
      <c r="BI2356" s="77"/>
    </row>
    <row r="2357" spans="1:61" x14ac:dyDescent="0.25">
      <c r="A2357" s="62" t="s">
        <v>604</v>
      </c>
      <c r="B2357" s="62" t="s">
        <v>604</v>
      </c>
      <c r="C2357" s="63"/>
      <c r="D2357" s="64"/>
      <c r="E2357" s="65"/>
      <c r="F2357" s="66"/>
      <c r="G2357" s="63"/>
      <c r="H2357" s="67"/>
      <c r="I2357" s="68"/>
      <c r="J2357" s="68"/>
      <c r="K2357" s="32"/>
      <c r="L2357" s="75">
        <v>2357</v>
      </c>
      <c r="M2357" s="75"/>
      <c r="N2357" s="70"/>
      <c r="O2357" s="77" t="s">
        <v>179</v>
      </c>
      <c r="P2357" s="79">
        <v>45077.635104166664</v>
      </c>
      <c r="Q2357" s="77" t="s">
        <v>3136</v>
      </c>
      <c r="R2357" s="77">
        <v>0</v>
      </c>
      <c r="S2357" s="77">
        <v>1</v>
      </c>
      <c r="T2357" s="77">
        <v>0</v>
      </c>
      <c r="U2357" s="77">
        <v>0</v>
      </c>
      <c r="V2357" s="77">
        <v>92</v>
      </c>
      <c r="W2357" s="82" t="s">
        <v>6251</v>
      </c>
      <c r="X2357" s="80" t="str">
        <f>HYPERLINK("https://www.moneytimes.com.br/minoritarios-da-jbs-jbss3-pedem-devolucao-de-bilhoes-de-reais-entenda-o-caso/")</f>
        <v>https://www.moneytimes.com.br/minoritarios-da-jbs-jbss3-pedem-devolucao-de-bilhoes-de-reais-entenda-o-caso/</v>
      </c>
      <c r="Y2357" s="77" t="s">
        <v>7053</v>
      </c>
      <c r="Z2357" s="77"/>
      <c r="AA2357" s="77"/>
      <c r="AB2357" s="77"/>
      <c r="AC2357" s="82" t="s">
        <v>8255</v>
      </c>
      <c r="AD2357" s="77" t="s">
        <v>8278</v>
      </c>
      <c r="AE2357" s="80" t="str">
        <f>HYPERLINK("https://twitter.com/leiaagrotimes/status/1663926947435479040")</f>
        <v>https://twitter.com/leiaagrotimes/status/1663926947435479040</v>
      </c>
      <c r="AF2357" s="79">
        <v>45077.635104166664</v>
      </c>
      <c r="AG2357" s="85">
        <v>45077</v>
      </c>
      <c r="AH2357" s="82" t="s">
        <v>10419</v>
      </c>
      <c r="AI2357" s="77" t="b">
        <v>0</v>
      </c>
      <c r="AJ2357" s="77"/>
      <c r="AK2357" s="77"/>
      <c r="AL2357" s="77"/>
      <c r="AM2357" s="77"/>
      <c r="AN2357" s="77"/>
      <c r="AO2357" s="77"/>
      <c r="AP2357" s="77"/>
      <c r="AQ2357" s="77"/>
      <c r="AR2357" s="77"/>
      <c r="AS2357" s="77"/>
      <c r="AT2357" s="77"/>
      <c r="AU2357" s="77"/>
      <c r="AV2357" s="80" t="str">
        <f>HYPERLINK("https://pbs.twimg.com/profile_images/1365395023072817162/ZI8fAPrO_normal.jpg")</f>
        <v>https://pbs.twimg.com/profile_images/1365395023072817162/ZI8fAPrO_normal.jpg</v>
      </c>
      <c r="AW2357" s="82" t="s">
        <v>15442</v>
      </c>
      <c r="AX2357" s="82" t="s">
        <v>15442</v>
      </c>
      <c r="AY2357" s="77"/>
      <c r="AZ2357" s="82" t="s">
        <v>17385</v>
      </c>
      <c r="BA2357" s="82" t="s">
        <v>17385</v>
      </c>
      <c r="BB2357" s="82" t="s">
        <v>17385</v>
      </c>
      <c r="BC2357" s="82" t="s">
        <v>15442</v>
      </c>
      <c r="BD2357" s="82" t="s">
        <v>17641</v>
      </c>
      <c r="BE2357" s="77"/>
      <c r="BF2357" s="77"/>
      <c r="BG2357" s="77"/>
      <c r="BH2357" s="77"/>
      <c r="BI2357" s="77"/>
    </row>
    <row r="2358" spans="1:61" x14ac:dyDescent="0.25">
      <c r="A2358" s="62" t="s">
        <v>604</v>
      </c>
      <c r="B2358" s="62" t="s">
        <v>604</v>
      </c>
      <c r="C2358" s="63"/>
      <c r="D2358" s="64"/>
      <c r="E2358" s="65"/>
      <c r="F2358" s="66"/>
      <c r="G2358" s="63"/>
      <c r="H2358" s="67"/>
      <c r="I2358" s="68"/>
      <c r="J2358" s="68"/>
      <c r="K2358" s="32"/>
      <c r="L2358" s="75">
        <v>2358</v>
      </c>
      <c r="M2358" s="75"/>
      <c r="N2358" s="70"/>
      <c r="O2358" s="77" t="s">
        <v>179</v>
      </c>
      <c r="P2358" s="79">
        <v>45077.625196759262</v>
      </c>
      <c r="Q2358" s="77" t="s">
        <v>3137</v>
      </c>
      <c r="R2358" s="77">
        <v>0</v>
      </c>
      <c r="S2358" s="77">
        <v>0</v>
      </c>
      <c r="T2358" s="77">
        <v>0</v>
      </c>
      <c r="U2358" s="77">
        <v>0</v>
      </c>
      <c r="V2358" s="77">
        <v>44</v>
      </c>
      <c r="W2358" s="82" t="s">
        <v>6251</v>
      </c>
      <c r="X2358" s="80" t="str">
        <f>HYPERLINK("https://www.moneytimes.com.br/brf-brfs3-banco-ve-queda-na-rentabilidade-e-rebaixa-preco-alvo-em-42-e-hora-de-correr-da-acao/")</f>
        <v>https://www.moneytimes.com.br/brf-brfs3-banco-ve-queda-na-rentabilidade-e-rebaixa-preco-alvo-em-42-e-hora-de-correr-da-acao/</v>
      </c>
      <c r="Y2358" s="77" t="s">
        <v>7053</v>
      </c>
      <c r="Z2358" s="77"/>
      <c r="AA2358" s="77"/>
      <c r="AB2358" s="77"/>
      <c r="AC2358" s="82" t="s">
        <v>8255</v>
      </c>
      <c r="AD2358" s="77" t="s">
        <v>8278</v>
      </c>
      <c r="AE2358" s="80" t="str">
        <f>HYPERLINK("https://twitter.com/leiaagrotimes/status/1663923359451578369")</f>
        <v>https://twitter.com/leiaagrotimes/status/1663923359451578369</v>
      </c>
      <c r="AF2358" s="79">
        <v>45077.625196759262</v>
      </c>
      <c r="AG2358" s="85">
        <v>45077</v>
      </c>
      <c r="AH2358" s="82" t="s">
        <v>10420</v>
      </c>
      <c r="AI2358" s="77" t="b">
        <v>0</v>
      </c>
      <c r="AJ2358" s="77"/>
      <c r="AK2358" s="77"/>
      <c r="AL2358" s="77"/>
      <c r="AM2358" s="77"/>
      <c r="AN2358" s="77"/>
      <c r="AO2358" s="77"/>
      <c r="AP2358" s="77"/>
      <c r="AQ2358" s="77"/>
      <c r="AR2358" s="77"/>
      <c r="AS2358" s="77"/>
      <c r="AT2358" s="77"/>
      <c r="AU2358" s="77"/>
      <c r="AV2358" s="80" t="str">
        <f>HYPERLINK("https://pbs.twimg.com/profile_images/1365395023072817162/ZI8fAPrO_normal.jpg")</f>
        <v>https://pbs.twimg.com/profile_images/1365395023072817162/ZI8fAPrO_normal.jpg</v>
      </c>
      <c r="AW2358" s="82" t="s">
        <v>15443</v>
      </c>
      <c r="AX2358" s="82" t="s">
        <v>15443</v>
      </c>
      <c r="AY2358" s="77"/>
      <c r="AZ2358" s="82" t="s">
        <v>17385</v>
      </c>
      <c r="BA2358" s="82" t="s">
        <v>17385</v>
      </c>
      <c r="BB2358" s="82" t="s">
        <v>17385</v>
      </c>
      <c r="BC2358" s="82" t="s">
        <v>15443</v>
      </c>
      <c r="BD2358" s="82" t="s">
        <v>17641</v>
      </c>
      <c r="BE2358" s="77"/>
      <c r="BF2358" s="77"/>
      <c r="BG2358" s="77"/>
      <c r="BH2358" s="77"/>
      <c r="BI2358" s="77"/>
    </row>
    <row r="2359" spans="1:61" x14ac:dyDescent="0.25">
      <c r="A2359" s="62" t="s">
        <v>604</v>
      </c>
      <c r="B2359" s="62" t="s">
        <v>604</v>
      </c>
      <c r="C2359" s="63"/>
      <c r="D2359" s="64"/>
      <c r="E2359" s="65"/>
      <c r="F2359" s="66"/>
      <c r="G2359" s="63"/>
      <c r="H2359" s="67"/>
      <c r="I2359" s="68"/>
      <c r="J2359" s="68"/>
      <c r="K2359" s="32"/>
      <c r="L2359" s="75">
        <v>2359</v>
      </c>
      <c r="M2359" s="75"/>
      <c r="N2359" s="70"/>
      <c r="O2359" s="77" t="s">
        <v>179</v>
      </c>
      <c r="P2359" s="79">
        <v>45077.587719907409</v>
      </c>
      <c r="Q2359" s="77" t="s">
        <v>3138</v>
      </c>
      <c r="R2359" s="77">
        <v>0</v>
      </c>
      <c r="S2359" s="77">
        <v>1</v>
      </c>
      <c r="T2359" s="77">
        <v>0</v>
      </c>
      <c r="U2359" s="77">
        <v>0</v>
      </c>
      <c r="V2359" s="77">
        <v>75</v>
      </c>
      <c r="W2359" s="82" t="s">
        <v>6250</v>
      </c>
      <c r="X2359" s="80" t="str">
        <f>HYPERLINK("https://www.moneytimes.com.br/marfrig-mrfg3-dispara-mais-de-5-apos-aumento-de-capital-de-ate-r-15-bilhao/")</f>
        <v>https://www.moneytimes.com.br/marfrig-mrfg3-dispara-mais-de-5-apos-aumento-de-capital-de-ate-r-15-bilhao/</v>
      </c>
      <c r="Y2359" s="77" t="s">
        <v>7053</v>
      </c>
      <c r="Z2359" s="77"/>
      <c r="AA2359" s="77"/>
      <c r="AB2359" s="77"/>
      <c r="AC2359" s="82" t="s">
        <v>8255</v>
      </c>
      <c r="AD2359" s="77" t="s">
        <v>8278</v>
      </c>
      <c r="AE2359" s="80" t="str">
        <f>HYPERLINK("https://twitter.com/leiaagrotimes/status/1663909777905254407")</f>
        <v>https://twitter.com/leiaagrotimes/status/1663909777905254407</v>
      </c>
      <c r="AF2359" s="79">
        <v>45077.587719907409</v>
      </c>
      <c r="AG2359" s="85">
        <v>45077</v>
      </c>
      <c r="AH2359" s="82" t="s">
        <v>10421</v>
      </c>
      <c r="AI2359" s="77" t="b">
        <v>0</v>
      </c>
      <c r="AJ2359" s="77"/>
      <c r="AK2359" s="77"/>
      <c r="AL2359" s="77"/>
      <c r="AM2359" s="77"/>
      <c r="AN2359" s="77"/>
      <c r="AO2359" s="77"/>
      <c r="AP2359" s="77"/>
      <c r="AQ2359" s="77"/>
      <c r="AR2359" s="77"/>
      <c r="AS2359" s="77"/>
      <c r="AT2359" s="77"/>
      <c r="AU2359" s="77"/>
      <c r="AV2359" s="80" t="str">
        <f>HYPERLINK("https://pbs.twimg.com/profile_images/1365395023072817162/ZI8fAPrO_normal.jpg")</f>
        <v>https://pbs.twimg.com/profile_images/1365395023072817162/ZI8fAPrO_normal.jpg</v>
      </c>
      <c r="AW2359" s="82" t="s">
        <v>15444</v>
      </c>
      <c r="AX2359" s="82" t="s">
        <v>15444</v>
      </c>
      <c r="AY2359" s="77"/>
      <c r="AZ2359" s="82" t="s">
        <v>17385</v>
      </c>
      <c r="BA2359" s="82" t="s">
        <v>17385</v>
      </c>
      <c r="BB2359" s="82" t="s">
        <v>17385</v>
      </c>
      <c r="BC2359" s="82" t="s">
        <v>15444</v>
      </c>
      <c r="BD2359" s="82" t="s">
        <v>17641</v>
      </c>
      <c r="BE2359" s="77"/>
      <c r="BF2359" s="77"/>
      <c r="BG2359" s="77"/>
      <c r="BH2359" s="77"/>
      <c r="BI2359" s="77"/>
    </row>
    <row r="2360" spans="1:61" x14ac:dyDescent="0.25">
      <c r="A2360" s="62" t="s">
        <v>604</v>
      </c>
      <c r="B2360" s="62" t="s">
        <v>604</v>
      </c>
      <c r="C2360" s="63"/>
      <c r="D2360" s="64"/>
      <c r="E2360" s="65"/>
      <c r="F2360" s="66"/>
      <c r="G2360" s="63"/>
      <c r="H2360" s="67"/>
      <c r="I2360" s="68"/>
      <c r="J2360" s="68"/>
      <c r="K2360" s="32"/>
      <c r="L2360" s="75">
        <v>2360</v>
      </c>
      <c r="M2360" s="75"/>
      <c r="N2360" s="70"/>
      <c r="O2360" s="77" t="s">
        <v>179</v>
      </c>
      <c r="P2360" s="79">
        <v>45077.578969907408</v>
      </c>
      <c r="Q2360" s="77" t="s">
        <v>3139</v>
      </c>
      <c r="R2360" s="77">
        <v>0</v>
      </c>
      <c r="S2360" s="77">
        <v>1</v>
      </c>
      <c r="T2360" s="77">
        <v>0</v>
      </c>
      <c r="U2360" s="77">
        <v>0</v>
      </c>
      <c r="V2360" s="77">
        <v>96</v>
      </c>
      <c r="W2360" s="82" t="s">
        <v>6251</v>
      </c>
      <c r="X2360" s="80" t="str">
        <f>HYPERLINK("https://www.moneytimes.com.br/brf-brfs3-salta-mais-de-14-apos-fundo-saudita-e-marfrig-mrfg3-anunciarem-aporte-de-r-45-bilhoes/")</f>
        <v>https://www.moneytimes.com.br/brf-brfs3-salta-mais-de-14-apos-fundo-saudita-e-marfrig-mrfg3-anunciarem-aporte-de-r-45-bilhoes/</v>
      </c>
      <c r="Y2360" s="77" t="s">
        <v>7053</v>
      </c>
      <c r="Z2360" s="77"/>
      <c r="AA2360" s="77"/>
      <c r="AB2360" s="77"/>
      <c r="AC2360" s="82" t="s">
        <v>8255</v>
      </c>
      <c r="AD2360" s="77" t="s">
        <v>8278</v>
      </c>
      <c r="AE2360" s="80" t="str">
        <f>HYPERLINK("https://twitter.com/leiaagrotimes/status/1663906607212777472")</f>
        <v>https://twitter.com/leiaagrotimes/status/1663906607212777472</v>
      </c>
      <c r="AF2360" s="79">
        <v>45077.578969907408</v>
      </c>
      <c r="AG2360" s="85">
        <v>45077</v>
      </c>
      <c r="AH2360" s="82" t="s">
        <v>10422</v>
      </c>
      <c r="AI2360" s="77" t="b">
        <v>0</v>
      </c>
      <c r="AJ2360" s="77"/>
      <c r="AK2360" s="77"/>
      <c r="AL2360" s="77"/>
      <c r="AM2360" s="77"/>
      <c r="AN2360" s="77"/>
      <c r="AO2360" s="77"/>
      <c r="AP2360" s="77"/>
      <c r="AQ2360" s="77"/>
      <c r="AR2360" s="77"/>
      <c r="AS2360" s="77"/>
      <c r="AT2360" s="77"/>
      <c r="AU2360" s="77"/>
      <c r="AV2360" s="80" t="str">
        <f>HYPERLINK("https://pbs.twimg.com/profile_images/1365395023072817162/ZI8fAPrO_normal.jpg")</f>
        <v>https://pbs.twimg.com/profile_images/1365395023072817162/ZI8fAPrO_normal.jpg</v>
      </c>
      <c r="AW2360" s="82" t="s">
        <v>15445</v>
      </c>
      <c r="AX2360" s="82" t="s">
        <v>15445</v>
      </c>
      <c r="AY2360" s="77"/>
      <c r="AZ2360" s="82" t="s">
        <v>17385</v>
      </c>
      <c r="BA2360" s="82" t="s">
        <v>17385</v>
      </c>
      <c r="BB2360" s="82" t="s">
        <v>17385</v>
      </c>
      <c r="BC2360" s="82" t="s">
        <v>15445</v>
      </c>
      <c r="BD2360" s="82" t="s">
        <v>17641</v>
      </c>
      <c r="BE2360" s="77"/>
      <c r="BF2360" s="77"/>
      <c r="BG2360" s="77"/>
      <c r="BH2360" s="77"/>
      <c r="BI2360" s="77"/>
    </row>
    <row r="2361" spans="1:61" x14ac:dyDescent="0.25">
      <c r="A2361" s="62" t="s">
        <v>604</v>
      </c>
      <c r="B2361" s="62" t="s">
        <v>604</v>
      </c>
      <c r="C2361" s="63"/>
      <c r="D2361" s="64"/>
      <c r="E2361" s="65"/>
      <c r="F2361" s="66"/>
      <c r="G2361" s="63"/>
      <c r="H2361" s="67"/>
      <c r="I2361" s="68"/>
      <c r="J2361" s="68"/>
      <c r="K2361" s="32"/>
      <c r="L2361" s="75">
        <v>2361</v>
      </c>
      <c r="M2361" s="75"/>
      <c r="N2361" s="70"/>
      <c r="O2361" s="77" t="s">
        <v>179</v>
      </c>
      <c r="P2361" s="79">
        <v>45077.557569444441</v>
      </c>
      <c r="Q2361" s="77" t="s">
        <v>3140</v>
      </c>
      <c r="R2361" s="77">
        <v>0</v>
      </c>
      <c r="S2361" s="77">
        <v>3</v>
      </c>
      <c r="T2361" s="77">
        <v>0</v>
      </c>
      <c r="U2361" s="77">
        <v>0</v>
      </c>
      <c r="V2361" s="77">
        <v>160</v>
      </c>
      <c r="W2361" s="82" t="s">
        <v>6268</v>
      </c>
      <c r="X2361" s="80" t="str">
        <f>HYPERLINK("https://www.moneytimes.com.br/brf-brfs3-marfrig-mrfg3-e-fundo-saudita-com-31-da-minerva-beef3-injetam-r-45-bilhoes-na-empresa/")</f>
        <v>https://www.moneytimes.com.br/brf-brfs3-marfrig-mrfg3-e-fundo-saudita-com-31-da-minerva-beef3-injetam-r-45-bilhoes-na-empresa/</v>
      </c>
      <c r="Y2361" s="77" t="s">
        <v>7053</v>
      </c>
      <c r="Z2361" s="77"/>
      <c r="AA2361" s="77"/>
      <c r="AB2361" s="77"/>
      <c r="AC2361" s="82" t="s">
        <v>8255</v>
      </c>
      <c r="AD2361" s="77" t="s">
        <v>8278</v>
      </c>
      <c r="AE2361" s="80" t="str">
        <f>HYPERLINK("https://twitter.com/leiaagrotimes/status/1663898851319717890")</f>
        <v>https://twitter.com/leiaagrotimes/status/1663898851319717890</v>
      </c>
      <c r="AF2361" s="79">
        <v>45077.557569444441</v>
      </c>
      <c r="AG2361" s="85">
        <v>45077</v>
      </c>
      <c r="AH2361" s="82" t="s">
        <v>10423</v>
      </c>
      <c r="AI2361" s="77" t="b">
        <v>0</v>
      </c>
      <c r="AJ2361" s="77"/>
      <c r="AK2361" s="77"/>
      <c r="AL2361" s="77"/>
      <c r="AM2361" s="77"/>
      <c r="AN2361" s="77"/>
      <c r="AO2361" s="77"/>
      <c r="AP2361" s="77"/>
      <c r="AQ2361" s="77"/>
      <c r="AR2361" s="77"/>
      <c r="AS2361" s="77"/>
      <c r="AT2361" s="77"/>
      <c r="AU2361" s="77"/>
      <c r="AV2361" s="80" t="str">
        <f>HYPERLINK("https://pbs.twimg.com/profile_images/1365395023072817162/ZI8fAPrO_normal.jpg")</f>
        <v>https://pbs.twimg.com/profile_images/1365395023072817162/ZI8fAPrO_normal.jpg</v>
      </c>
      <c r="AW2361" s="82" t="s">
        <v>15446</v>
      </c>
      <c r="AX2361" s="82" t="s">
        <v>15446</v>
      </c>
      <c r="AY2361" s="77"/>
      <c r="AZ2361" s="82" t="s">
        <v>17385</v>
      </c>
      <c r="BA2361" s="82" t="s">
        <v>17385</v>
      </c>
      <c r="BB2361" s="82" t="s">
        <v>17385</v>
      </c>
      <c r="BC2361" s="82" t="s">
        <v>15446</v>
      </c>
      <c r="BD2361" s="82" t="s">
        <v>17641</v>
      </c>
      <c r="BE2361" s="77"/>
      <c r="BF2361" s="77"/>
      <c r="BG2361" s="77"/>
      <c r="BH2361" s="77"/>
      <c r="BI2361" s="77"/>
    </row>
    <row r="2362" spans="1:61" x14ac:dyDescent="0.25">
      <c r="A2362" s="62" t="s">
        <v>604</v>
      </c>
      <c r="B2362" s="62" t="s">
        <v>604</v>
      </c>
      <c r="C2362" s="63"/>
      <c r="D2362" s="64"/>
      <c r="E2362" s="65"/>
      <c r="F2362" s="66"/>
      <c r="G2362" s="63"/>
      <c r="H2362" s="67"/>
      <c r="I2362" s="68"/>
      <c r="J2362" s="68"/>
      <c r="K2362" s="32"/>
      <c r="L2362" s="75">
        <v>2362</v>
      </c>
      <c r="M2362" s="75"/>
      <c r="N2362" s="70"/>
      <c r="O2362" s="77" t="s">
        <v>179</v>
      </c>
      <c r="P2362" s="79">
        <v>45077.53597222222</v>
      </c>
      <c r="Q2362" s="77" t="s">
        <v>3141</v>
      </c>
      <c r="R2362" s="77">
        <v>0</v>
      </c>
      <c r="S2362" s="77">
        <v>1</v>
      </c>
      <c r="T2362" s="77">
        <v>0</v>
      </c>
      <c r="U2362" s="77">
        <v>0</v>
      </c>
      <c r="V2362" s="77">
        <v>80</v>
      </c>
      <c r="W2362" s="82" t="s">
        <v>6268</v>
      </c>
      <c r="X2362" s="80" t="str">
        <f>HYPERLINK("https://www.moneytimes.com.br/marfrig-mrfg3-anuncia-aumento-de-capital-de-ate-r-15-bilhao/")</f>
        <v>https://www.moneytimes.com.br/marfrig-mrfg3-anuncia-aumento-de-capital-de-ate-r-15-bilhao/</v>
      </c>
      <c r="Y2362" s="77" t="s">
        <v>7053</v>
      </c>
      <c r="Z2362" s="77"/>
      <c r="AA2362" s="77"/>
      <c r="AB2362" s="77"/>
      <c r="AC2362" s="82" t="s">
        <v>8255</v>
      </c>
      <c r="AD2362" s="77" t="s">
        <v>8278</v>
      </c>
      <c r="AE2362" s="80" t="str">
        <f>HYPERLINK("https://twitter.com/leiaagrotimes/status/1663891024651927552")</f>
        <v>https://twitter.com/leiaagrotimes/status/1663891024651927552</v>
      </c>
      <c r="AF2362" s="79">
        <v>45077.53597222222</v>
      </c>
      <c r="AG2362" s="85">
        <v>45077</v>
      </c>
      <c r="AH2362" s="82" t="s">
        <v>10424</v>
      </c>
      <c r="AI2362" s="77" t="b">
        <v>0</v>
      </c>
      <c r="AJ2362" s="77"/>
      <c r="AK2362" s="77"/>
      <c r="AL2362" s="77"/>
      <c r="AM2362" s="77"/>
      <c r="AN2362" s="77"/>
      <c r="AO2362" s="77"/>
      <c r="AP2362" s="77"/>
      <c r="AQ2362" s="77"/>
      <c r="AR2362" s="77"/>
      <c r="AS2362" s="77"/>
      <c r="AT2362" s="77"/>
      <c r="AU2362" s="77"/>
      <c r="AV2362" s="80" t="str">
        <f>HYPERLINK("https://pbs.twimg.com/profile_images/1365395023072817162/ZI8fAPrO_normal.jpg")</f>
        <v>https://pbs.twimg.com/profile_images/1365395023072817162/ZI8fAPrO_normal.jpg</v>
      </c>
      <c r="AW2362" s="82" t="s">
        <v>15447</v>
      </c>
      <c r="AX2362" s="82" t="s">
        <v>15447</v>
      </c>
      <c r="AY2362" s="77"/>
      <c r="AZ2362" s="82" t="s">
        <v>17385</v>
      </c>
      <c r="BA2362" s="82" t="s">
        <v>17385</v>
      </c>
      <c r="BB2362" s="82" t="s">
        <v>17385</v>
      </c>
      <c r="BC2362" s="82" t="s">
        <v>15447</v>
      </c>
      <c r="BD2362" s="82" t="s">
        <v>17641</v>
      </c>
      <c r="BE2362" s="77"/>
      <c r="BF2362" s="77"/>
      <c r="BG2362" s="77"/>
      <c r="BH2362" s="77"/>
      <c r="BI2362" s="77"/>
    </row>
    <row r="2363" spans="1:61" x14ac:dyDescent="0.25">
      <c r="A2363" s="62" t="s">
        <v>604</v>
      </c>
      <c r="B2363" s="62" t="s">
        <v>604</v>
      </c>
      <c r="C2363" s="63"/>
      <c r="D2363" s="64"/>
      <c r="E2363" s="65"/>
      <c r="F2363" s="66"/>
      <c r="G2363" s="63"/>
      <c r="H2363" s="67"/>
      <c r="I2363" s="68"/>
      <c r="J2363" s="68"/>
      <c r="K2363" s="32"/>
      <c r="L2363" s="75">
        <v>2363</v>
      </c>
      <c r="M2363" s="75"/>
      <c r="N2363" s="70"/>
      <c r="O2363" s="77" t="s">
        <v>179</v>
      </c>
      <c r="P2363" s="79">
        <v>45077.520208333335</v>
      </c>
      <c r="Q2363" s="77" t="s">
        <v>3142</v>
      </c>
      <c r="R2363" s="77">
        <v>0</v>
      </c>
      <c r="S2363" s="77">
        <v>1</v>
      </c>
      <c r="T2363" s="77">
        <v>0</v>
      </c>
      <c r="U2363" s="77">
        <v>0</v>
      </c>
      <c r="V2363" s="77">
        <v>110</v>
      </c>
      <c r="W2363" s="82" t="s">
        <v>6268</v>
      </c>
      <c r="X2363" s="80" t="str">
        <f>HYPERLINK("https://www.moneytimes.com.br/brf-brfs3-brf-brfs3-salic-apresenta-compromisso-de-subscricao-de-ate-250-milhoes-de-acoes-da-companhia/")</f>
        <v>https://www.moneytimes.com.br/brf-brfs3-brf-brfs3-salic-apresenta-compromisso-de-subscricao-de-ate-250-milhoes-de-acoes-da-companhia/</v>
      </c>
      <c r="Y2363" s="77" t="s">
        <v>7053</v>
      </c>
      <c r="Z2363" s="77"/>
      <c r="AA2363" s="77"/>
      <c r="AB2363" s="77"/>
      <c r="AC2363" s="82" t="s">
        <v>8255</v>
      </c>
      <c r="AD2363" s="77" t="s">
        <v>8278</v>
      </c>
      <c r="AE2363" s="80" t="str">
        <f>HYPERLINK("https://twitter.com/leiaagrotimes/status/1663885310374346754")</f>
        <v>https://twitter.com/leiaagrotimes/status/1663885310374346754</v>
      </c>
      <c r="AF2363" s="79">
        <v>45077.520208333335</v>
      </c>
      <c r="AG2363" s="85">
        <v>45077</v>
      </c>
      <c r="AH2363" s="82" t="s">
        <v>10425</v>
      </c>
      <c r="AI2363" s="77" t="b">
        <v>0</v>
      </c>
      <c r="AJ2363" s="77"/>
      <c r="AK2363" s="77"/>
      <c r="AL2363" s="77"/>
      <c r="AM2363" s="77"/>
      <c r="AN2363" s="77"/>
      <c r="AO2363" s="77"/>
      <c r="AP2363" s="77"/>
      <c r="AQ2363" s="77"/>
      <c r="AR2363" s="77"/>
      <c r="AS2363" s="77"/>
      <c r="AT2363" s="77"/>
      <c r="AU2363" s="77"/>
      <c r="AV2363" s="80" t="str">
        <f>HYPERLINK("https://pbs.twimg.com/profile_images/1365395023072817162/ZI8fAPrO_normal.jpg")</f>
        <v>https://pbs.twimg.com/profile_images/1365395023072817162/ZI8fAPrO_normal.jpg</v>
      </c>
      <c r="AW2363" s="82" t="s">
        <v>15448</v>
      </c>
      <c r="AX2363" s="82" t="s">
        <v>15448</v>
      </c>
      <c r="AY2363" s="77"/>
      <c r="AZ2363" s="82" t="s">
        <v>17385</v>
      </c>
      <c r="BA2363" s="82" t="s">
        <v>17385</v>
      </c>
      <c r="BB2363" s="82" t="s">
        <v>17385</v>
      </c>
      <c r="BC2363" s="82" t="s">
        <v>15448</v>
      </c>
      <c r="BD2363" s="82" t="s">
        <v>17641</v>
      </c>
      <c r="BE2363" s="77"/>
      <c r="BF2363" s="77"/>
      <c r="BG2363" s="77"/>
      <c r="BH2363" s="77"/>
      <c r="BI2363" s="77"/>
    </row>
    <row r="2364" spans="1:61" x14ac:dyDescent="0.25">
      <c r="A2364" s="62" t="s">
        <v>604</v>
      </c>
      <c r="B2364" s="62" t="s">
        <v>604</v>
      </c>
      <c r="C2364" s="63"/>
      <c r="D2364" s="64"/>
      <c r="E2364" s="65"/>
      <c r="F2364" s="66"/>
      <c r="G2364" s="63"/>
      <c r="H2364" s="67"/>
      <c r="I2364" s="68"/>
      <c r="J2364" s="68"/>
      <c r="K2364" s="32"/>
      <c r="L2364" s="75">
        <v>2364</v>
      </c>
      <c r="M2364" s="75"/>
      <c r="N2364" s="70"/>
      <c r="O2364" s="77" t="s">
        <v>179</v>
      </c>
      <c r="P2364" s="79">
        <v>45075.773599537039</v>
      </c>
      <c r="Q2364" s="77" t="s">
        <v>3143</v>
      </c>
      <c r="R2364" s="77">
        <v>0</v>
      </c>
      <c r="S2364" s="77">
        <v>0</v>
      </c>
      <c r="T2364" s="77">
        <v>0</v>
      </c>
      <c r="U2364" s="77">
        <v>0</v>
      </c>
      <c r="V2364" s="77">
        <v>78</v>
      </c>
      <c r="W2364" s="82" t="s">
        <v>6251</v>
      </c>
      <c r="X2364" s="80" t="str">
        <f>HYPERLINK("https://www.moneytimes.com.br/chove-chuva-el-nino-bate-a-porta-e-santander-acende-alerta-para-empresa-do-agro/")</f>
        <v>https://www.moneytimes.com.br/chove-chuva-el-nino-bate-a-porta-e-santander-acende-alerta-para-empresa-do-agro/</v>
      </c>
      <c r="Y2364" s="77" t="s">
        <v>7053</v>
      </c>
      <c r="Z2364" s="77"/>
      <c r="AA2364" s="77"/>
      <c r="AB2364" s="77"/>
      <c r="AC2364" s="82" t="s">
        <v>8255</v>
      </c>
      <c r="AD2364" s="77" t="s">
        <v>8278</v>
      </c>
      <c r="AE2364" s="80" t="str">
        <f>HYPERLINK("https://twitter.com/leiaagrotimes/status/1663252361320464392")</f>
        <v>https://twitter.com/leiaagrotimes/status/1663252361320464392</v>
      </c>
      <c r="AF2364" s="79">
        <v>45075.773599537039</v>
      </c>
      <c r="AG2364" s="85">
        <v>45075</v>
      </c>
      <c r="AH2364" s="82" t="s">
        <v>8473</v>
      </c>
      <c r="AI2364" s="77" t="b">
        <v>0</v>
      </c>
      <c r="AJ2364" s="77"/>
      <c r="AK2364" s="77"/>
      <c r="AL2364" s="77"/>
      <c r="AM2364" s="77"/>
      <c r="AN2364" s="77"/>
      <c r="AO2364" s="77"/>
      <c r="AP2364" s="77"/>
      <c r="AQ2364" s="77"/>
      <c r="AR2364" s="77"/>
      <c r="AS2364" s="77"/>
      <c r="AT2364" s="77"/>
      <c r="AU2364" s="77"/>
      <c r="AV2364" s="80" t="str">
        <f>HYPERLINK("https://pbs.twimg.com/profile_images/1365395023072817162/ZI8fAPrO_normal.jpg")</f>
        <v>https://pbs.twimg.com/profile_images/1365395023072817162/ZI8fAPrO_normal.jpg</v>
      </c>
      <c r="AW2364" s="82" t="s">
        <v>15449</v>
      </c>
      <c r="AX2364" s="82" t="s">
        <v>15449</v>
      </c>
      <c r="AY2364" s="77"/>
      <c r="AZ2364" s="82" t="s">
        <v>17385</v>
      </c>
      <c r="BA2364" s="82" t="s">
        <v>17385</v>
      </c>
      <c r="BB2364" s="82" t="s">
        <v>17385</v>
      </c>
      <c r="BC2364" s="82" t="s">
        <v>15449</v>
      </c>
      <c r="BD2364" s="82" t="s">
        <v>17641</v>
      </c>
      <c r="BE2364" s="77"/>
      <c r="BF2364" s="77"/>
      <c r="BG2364" s="77"/>
      <c r="BH2364" s="77"/>
      <c r="BI2364" s="77"/>
    </row>
    <row r="2365" spans="1:61" x14ac:dyDescent="0.25">
      <c r="A2365" s="62" t="s">
        <v>604</v>
      </c>
      <c r="B2365" s="62" t="s">
        <v>604</v>
      </c>
      <c r="C2365" s="63"/>
      <c r="D2365" s="64"/>
      <c r="E2365" s="65"/>
      <c r="F2365" s="66"/>
      <c r="G2365" s="63"/>
      <c r="H2365" s="67"/>
      <c r="I2365" s="68"/>
      <c r="J2365" s="68"/>
      <c r="K2365" s="32"/>
      <c r="L2365" s="75">
        <v>2365</v>
      </c>
      <c r="M2365" s="75"/>
      <c r="N2365" s="70"/>
      <c r="O2365" s="77" t="s">
        <v>179</v>
      </c>
      <c r="P2365" s="79">
        <v>45044.630902777775</v>
      </c>
      <c r="Q2365" s="77" t="s">
        <v>3144</v>
      </c>
      <c r="R2365" s="77">
        <v>0</v>
      </c>
      <c r="S2365" s="77">
        <v>0</v>
      </c>
      <c r="T2365" s="77">
        <v>0</v>
      </c>
      <c r="U2365" s="77">
        <v>0</v>
      </c>
      <c r="V2365" s="77">
        <v>189</v>
      </c>
      <c r="W2365" s="82" t="s">
        <v>6253</v>
      </c>
      <c r="X2365" s="80" t="str">
        <f>HYPERLINK("https://www.moneytimes.com.br/marfrig-sem-china-margens-comprimidas-eua-xp-preve-1t23-fraco-vale-comprar/")</f>
        <v>https://www.moneytimes.com.br/marfrig-sem-china-margens-comprimidas-eua-xp-preve-1t23-fraco-vale-comprar/</v>
      </c>
      <c r="Y2365" s="77" t="s">
        <v>7053</v>
      </c>
      <c r="Z2365" s="77"/>
      <c r="AA2365" s="77"/>
      <c r="AB2365" s="77"/>
      <c r="AC2365" s="82" t="s">
        <v>8255</v>
      </c>
      <c r="AD2365" s="77" t="s">
        <v>8278</v>
      </c>
      <c r="AE2365" s="80" t="str">
        <f>HYPERLINK("https://twitter.com/leiaagrotimes/status/1651966625128562688")</f>
        <v>https://twitter.com/leiaagrotimes/status/1651966625128562688</v>
      </c>
      <c r="AF2365" s="79">
        <v>45044.630902777775</v>
      </c>
      <c r="AG2365" s="85">
        <v>45044</v>
      </c>
      <c r="AH2365" s="82" t="s">
        <v>10426</v>
      </c>
      <c r="AI2365" s="77" t="b">
        <v>0</v>
      </c>
      <c r="AJ2365" s="77"/>
      <c r="AK2365" s="77"/>
      <c r="AL2365" s="77"/>
      <c r="AM2365" s="77"/>
      <c r="AN2365" s="77"/>
      <c r="AO2365" s="77"/>
      <c r="AP2365" s="77"/>
      <c r="AQ2365" s="77"/>
      <c r="AR2365" s="77"/>
      <c r="AS2365" s="77"/>
      <c r="AT2365" s="77"/>
      <c r="AU2365" s="77"/>
      <c r="AV2365" s="80" t="str">
        <f>HYPERLINK("https://pbs.twimg.com/profile_images/1365395023072817162/ZI8fAPrO_normal.jpg")</f>
        <v>https://pbs.twimg.com/profile_images/1365395023072817162/ZI8fAPrO_normal.jpg</v>
      </c>
      <c r="AW2365" s="82" t="s">
        <v>15450</v>
      </c>
      <c r="AX2365" s="82" t="s">
        <v>15450</v>
      </c>
      <c r="AY2365" s="77"/>
      <c r="AZ2365" s="82" t="s">
        <v>17385</v>
      </c>
      <c r="BA2365" s="82" t="s">
        <v>17385</v>
      </c>
      <c r="BB2365" s="82" t="s">
        <v>17385</v>
      </c>
      <c r="BC2365" s="82" t="s">
        <v>15450</v>
      </c>
      <c r="BD2365" s="82" t="s">
        <v>17641</v>
      </c>
      <c r="BE2365" s="77"/>
      <c r="BF2365" s="77"/>
      <c r="BG2365" s="77"/>
      <c r="BH2365" s="77"/>
      <c r="BI2365" s="77"/>
    </row>
    <row r="2366" spans="1:61" x14ac:dyDescent="0.25">
      <c r="A2366" s="62" t="s">
        <v>604</v>
      </c>
      <c r="B2366" s="62" t="s">
        <v>604</v>
      </c>
      <c r="C2366" s="63"/>
      <c r="D2366" s="64"/>
      <c r="E2366" s="65"/>
      <c r="F2366" s="66"/>
      <c r="G2366" s="63"/>
      <c r="H2366" s="67"/>
      <c r="I2366" s="68"/>
      <c r="J2366" s="68"/>
      <c r="K2366" s="32"/>
      <c r="L2366" s="75">
        <v>2366</v>
      </c>
      <c r="M2366" s="75"/>
      <c r="N2366" s="70"/>
      <c r="O2366" s="77" t="s">
        <v>179</v>
      </c>
      <c r="P2366" s="79">
        <v>45044.603807870371</v>
      </c>
      <c r="Q2366" s="77" t="s">
        <v>3145</v>
      </c>
      <c r="R2366" s="77">
        <v>0</v>
      </c>
      <c r="S2366" s="77">
        <v>0</v>
      </c>
      <c r="T2366" s="77">
        <v>0</v>
      </c>
      <c r="U2366" s="77">
        <v>0</v>
      </c>
      <c r="V2366" s="77">
        <v>59</v>
      </c>
      <c r="W2366" s="82" t="s">
        <v>6296</v>
      </c>
      <c r="X2366" s="80" t="str">
        <f>HYPERLINK("https://www.moneytimes.com.br/suzano-suzb3-mantera-estoques-de-celulose-em-nivel-baixo-nos-proximos-meses/")</f>
        <v>https://www.moneytimes.com.br/suzano-suzb3-mantera-estoques-de-celulose-em-nivel-baixo-nos-proximos-meses/</v>
      </c>
      <c r="Y2366" s="77" t="s">
        <v>7053</v>
      </c>
      <c r="Z2366" s="77"/>
      <c r="AA2366" s="77"/>
      <c r="AB2366" s="77"/>
      <c r="AC2366" s="82" t="s">
        <v>8255</v>
      </c>
      <c r="AD2366" s="77" t="s">
        <v>8278</v>
      </c>
      <c r="AE2366" s="80" t="str">
        <f>HYPERLINK("https://twitter.com/leiaagrotimes/status/1651956806711668737")</f>
        <v>https://twitter.com/leiaagrotimes/status/1651956806711668737</v>
      </c>
      <c r="AF2366" s="79">
        <v>45044.603807870371</v>
      </c>
      <c r="AG2366" s="85">
        <v>45044</v>
      </c>
      <c r="AH2366" s="82" t="s">
        <v>9141</v>
      </c>
      <c r="AI2366" s="77" t="b">
        <v>0</v>
      </c>
      <c r="AJ2366" s="77"/>
      <c r="AK2366" s="77"/>
      <c r="AL2366" s="77"/>
      <c r="AM2366" s="77"/>
      <c r="AN2366" s="77"/>
      <c r="AO2366" s="77"/>
      <c r="AP2366" s="77"/>
      <c r="AQ2366" s="77"/>
      <c r="AR2366" s="77"/>
      <c r="AS2366" s="77"/>
      <c r="AT2366" s="77"/>
      <c r="AU2366" s="77"/>
      <c r="AV2366" s="80" t="str">
        <f>HYPERLINK("https://pbs.twimg.com/profile_images/1365395023072817162/ZI8fAPrO_normal.jpg")</f>
        <v>https://pbs.twimg.com/profile_images/1365395023072817162/ZI8fAPrO_normal.jpg</v>
      </c>
      <c r="AW2366" s="82" t="s">
        <v>15451</v>
      </c>
      <c r="AX2366" s="82" t="s">
        <v>15451</v>
      </c>
      <c r="AY2366" s="77"/>
      <c r="AZ2366" s="82" t="s">
        <v>17385</v>
      </c>
      <c r="BA2366" s="82" t="s">
        <v>17385</v>
      </c>
      <c r="BB2366" s="82" t="s">
        <v>17385</v>
      </c>
      <c r="BC2366" s="82" t="s">
        <v>15451</v>
      </c>
      <c r="BD2366" s="82" t="s">
        <v>17641</v>
      </c>
      <c r="BE2366" s="77"/>
      <c r="BF2366" s="77"/>
      <c r="BG2366" s="77"/>
      <c r="BH2366" s="77"/>
      <c r="BI2366" s="77"/>
    </row>
    <row r="2367" spans="1:61" x14ac:dyDescent="0.25">
      <c r="A2367" s="62" t="s">
        <v>604</v>
      </c>
      <c r="B2367" s="62" t="s">
        <v>604</v>
      </c>
      <c r="C2367" s="63"/>
      <c r="D2367" s="64"/>
      <c r="E2367" s="65"/>
      <c r="F2367" s="66"/>
      <c r="G2367" s="63"/>
      <c r="H2367" s="67"/>
      <c r="I2367" s="68"/>
      <c r="J2367" s="68"/>
      <c r="K2367" s="32"/>
      <c r="L2367" s="75">
        <v>2367</v>
      </c>
      <c r="M2367" s="75"/>
      <c r="N2367" s="70"/>
      <c r="O2367" s="77" t="s">
        <v>179</v>
      </c>
      <c r="P2367" s="79">
        <v>45044.568136574075</v>
      </c>
      <c r="Q2367" s="77" t="s">
        <v>3146</v>
      </c>
      <c r="R2367" s="77">
        <v>0</v>
      </c>
      <c r="S2367" s="77">
        <v>2</v>
      </c>
      <c r="T2367" s="77">
        <v>0</v>
      </c>
      <c r="U2367" s="77">
        <v>0</v>
      </c>
      <c r="V2367" s="77">
        <v>88</v>
      </c>
      <c r="W2367" s="82" t="s">
        <v>6253</v>
      </c>
      <c r="X2367" s="80" t="str">
        <f>HYPERLINK("https://www.moneytimes.com.br/suzano-suzb3-ativa-muda-recomendacao-apos-resultados-do-1t23-acoes-caem/")</f>
        <v>https://www.moneytimes.com.br/suzano-suzb3-ativa-muda-recomendacao-apos-resultados-do-1t23-acoes-caem/</v>
      </c>
      <c r="Y2367" s="77" t="s">
        <v>7053</v>
      </c>
      <c r="Z2367" s="77"/>
      <c r="AA2367" s="77"/>
      <c r="AB2367" s="77"/>
      <c r="AC2367" s="82" t="s">
        <v>8255</v>
      </c>
      <c r="AD2367" s="77" t="s">
        <v>8278</v>
      </c>
      <c r="AE2367" s="80" t="str">
        <f>HYPERLINK("https://twitter.com/leiaagrotimes/status/1651943881838043136")</f>
        <v>https://twitter.com/leiaagrotimes/status/1651943881838043136</v>
      </c>
      <c r="AF2367" s="79">
        <v>45044.568136574075</v>
      </c>
      <c r="AG2367" s="85">
        <v>45044</v>
      </c>
      <c r="AH2367" s="82" t="s">
        <v>10427</v>
      </c>
      <c r="AI2367" s="77" t="b">
        <v>0</v>
      </c>
      <c r="AJ2367" s="77"/>
      <c r="AK2367" s="77"/>
      <c r="AL2367" s="77"/>
      <c r="AM2367" s="77"/>
      <c r="AN2367" s="77"/>
      <c r="AO2367" s="77"/>
      <c r="AP2367" s="77"/>
      <c r="AQ2367" s="77"/>
      <c r="AR2367" s="77"/>
      <c r="AS2367" s="77"/>
      <c r="AT2367" s="77"/>
      <c r="AU2367" s="77"/>
      <c r="AV2367" s="80" t="str">
        <f>HYPERLINK("https://pbs.twimg.com/profile_images/1365395023072817162/ZI8fAPrO_normal.jpg")</f>
        <v>https://pbs.twimg.com/profile_images/1365395023072817162/ZI8fAPrO_normal.jpg</v>
      </c>
      <c r="AW2367" s="82" t="s">
        <v>15452</v>
      </c>
      <c r="AX2367" s="82" t="s">
        <v>15452</v>
      </c>
      <c r="AY2367" s="77"/>
      <c r="AZ2367" s="82" t="s">
        <v>17385</v>
      </c>
      <c r="BA2367" s="82" t="s">
        <v>17385</v>
      </c>
      <c r="BB2367" s="82" t="s">
        <v>17385</v>
      </c>
      <c r="BC2367" s="82" t="s">
        <v>15452</v>
      </c>
      <c r="BD2367" s="82" t="s">
        <v>17641</v>
      </c>
      <c r="BE2367" s="77"/>
      <c r="BF2367" s="77"/>
      <c r="BG2367" s="77"/>
      <c r="BH2367" s="77"/>
      <c r="BI2367" s="77"/>
    </row>
    <row r="2368" spans="1:61" x14ac:dyDescent="0.25">
      <c r="A2368" s="62" t="s">
        <v>604</v>
      </c>
      <c r="B2368" s="62" t="s">
        <v>604</v>
      </c>
      <c r="C2368" s="63"/>
      <c r="D2368" s="64"/>
      <c r="E2368" s="65"/>
      <c r="F2368" s="66"/>
      <c r="G2368" s="63"/>
      <c r="H2368" s="67"/>
      <c r="I2368" s="68"/>
      <c r="J2368" s="68"/>
      <c r="K2368" s="32"/>
      <c r="L2368" s="75">
        <v>2368</v>
      </c>
      <c r="M2368" s="75"/>
      <c r="N2368" s="70"/>
      <c r="O2368" s="77" t="s">
        <v>179</v>
      </c>
      <c r="P2368" s="79">
        <v>45043.684791666667</v>
      </c>
      <c r="Q2368" s="77" t="s">
        <v>3147</v>
      </c>
      <c r="R2368" s="77">
        <v>0</v>
      </c>
      <c r="S2368" s="77">
        <v>0</v>
      </c>
      <c r="T2368" s="77">
        <v>0</v>
      </c>
      <c r="U2368" s="77">
        <v>0</v>
      </c>
      <c r="V2368" s="77">
        <v>57</v>
      </c>
      <c r="W2368" s="82" t="s">
        <v>6253</v>
      </c>
      <c r="X2368" s="80" t="str">
        <f>HYPERLINK("https://www.moneytimes.com.br/queda-98-lucro-o-que-o-balanco-da-pilgrims-pride-indica-sobre-o-1t23-da-jbs/")</f>
        <v>https://www.moneytimes.com.br/queda-98-lucro-o-que-o-balanco-da-pilgrims-pride-indica-sobre-o-1t23-da-jbs/</v>
      </c>
      <c r="Y2368" s="77" t="s">
        <v>7053</v>
      </c>
      <c r="Z2368" s="77"/>
      <c r="AA2368" s="77"/>
      <c r="AB2368" s="77"/>
      <c r="AC2368" s="82" t="s">
        <v>8255</v>
      </c>
      <c r="AD2368" s="77" t="s">
        <v>8278</v>
      </c>
      <c r="AE2368" s="80" t="str">
        <f>HYPERLINK("https://twitter.com/leiaagrotimes/status/1651623767053934599")</f>
        <v>https://twitter.com/leiaagrotimes/status/1651623767053934599</v>
      </c>
      <c r="AF2368" s="79">
        <v>45043.684791666667</v>
      </c>
      <c r="AG2368" s="85">
        <v>45043</v>
      </c>
      <c r="AH2368" s="82" t="s">
        <v>10428</v>
      </c>
      <c r="AI2368" s="77" t="b">
        <v>0</v>
      </c>
      <c r="AJ2368" s="77"/>
      <c r="AK2368" s="77"/>
      <c r="AL2368" s="77"/>
      <c r="AM2368" s="77"/>
      <c r="AN2368" s="77"/>
      <c r="AO2368" s="77"/>
      <c r="AP2368" s="77"/>
      <c r="AQ2368" s="77"/>
      <c r="AR2368" s="77"/>
      <c r="AS2368" s="77"/>
      <c r="AT2368" s="77"/>
      <c r="AU2368" s="77"/>
      <c r="AV2368" s="80" t="str">
        <f>HYPERLINK("https://pbs.twimg.com/profile_images/1365395023072817162/ZI8fAPrO_normal.jpg")</f>
        <v>https://pbs.twimg.com/profile_images/1365395023072817162/ZI8fAPrO_normal.jpg</v>
      </c>
      <c r="AW2368" s="82" t="s">
        <v>15453</v>
      </c>
      <c r="AX2368" s="82" t="s">
        <v>15453</v>
      </c>
      <c r="AY2368" s="77"/>
      <c r="AZ2368" s="82" t="s">
        <v>17385</v>
      </c>
      <c r="BA2368" s="82" t="s">
        <v>17385</v>
      </c>
      <c r="BB2368" s="82" t="s">
        <v>17385</v>
      </c>
      <c r="BC2368" s="82" t="s">
        <v>15453</v>
      </c>
      <c r="BD2368" s="82" t="s">
        <v>17641</v>
      </c>
      <c r="BE2368" s="77"/>
      <c r="BF2368" s="77"/>
      <c r="BG2368" s="77"/>
      <c r="BH2368" s="77"/>
      <c r="BI2368" s="77"/>
    </row>
    <row r="2369" spans="1:61" x14ac:dyDescent="0.25">
      <c r="A2369" s="62" t="s">
        <v>605</v>
      </c>
      <c r="B2369" s="62" t="s">
        <v>604</v>
      </c>
      <c r="C2369" s="63"/>
      <c r="D2369" s="64"/>
      <c r="E2369" s="65"/>
      <c r="F2369" s="66"/>
      <c r="G2369" s="63"/>
      <c r="H2369" s="67"/>
      <c r="I2369" s="68"/>
      <c r="J2369" s="68"/>
      <c r="K2369" s="32"/>
      <c r="L2369" s="75">
        <v>2369</v>
      </c>
      <c r="M2369" s="75"/>
      <c r="N2369" s="70"/>
      <c r="O2369" s="77" t="s">
        <v>803</v>
      </c>
      <c r="P2369" s="79">
        <v>45196.636412037034</v>
      </c>
      <c r="Q2369" s="77" t="s">
        <v>1325</v>
      </c>
      <c r="R2369" s="77">
        <v>2</v>
      </c>
      <c r="S2369" s="77">
        <v>0</v>
      </c>
      <c r="T2369" s="77">
        <v>0</v>
      </c>
      <c r="U2369" s="77">
        <v>0</v>
      </c>
      <c r="V2369" s="77"/>
      <c r="W2369" s="82" t="s">
        <v>5077</v>
      </c>
      <c r="X2369" s="77"/>
      <c r="Y2369" s="77"/>
      <c r="Z2369" s="77" t="s">
        <v>604</v>
      </c>
      <c r="AA2369" s="77"/>
      <c r="AB2369" s="77"/>
      <c r="AC2369" s="82" t="s">
        <v>8232</v>
      </c>
      <c r="AD2369" s="77" t="s">
        <v>8278</v>
      </c>
      <c r="AE2369" s="80" t="str">
        <f>HYPERLINK("https://twitter.com/leiamoneytimes/status/1707051578127990822")</f>
        <v>https://twitter.com/leiamoneytimes/status/1707051578127990822</v>
      </c>
      <c r="AF2369" s="79">
        <v>45196.636412037034</v>
      </c>
      <c r="AG2369" s="85">
        <v>45196</v>
      </c>
      <c r="AH2369" s="82" t="s">
        <v>10429</v>
      </c>
      <c r="AI2369" s="77" t="b">
        <v>0</v>
      </c>
      <c r="AJ2369" s="77"/>
      <c r="AK2369" s="77"/>
      <c r="AL2369" s="77"/>
      <c r="AM2369" s="77"/>
      <c r="AN2369" s="77"/>
      <c r="AO2369" s="77"/>
      <c r="AP2369" s="77"/>
      <c r="AQ2369" s="77"/>
      <c r="AR2369" s="77"/>
      <c r="AS2369" s="77"/>
      <c r="AT2369" s="77"/>
      <c r="AU2369" s="77"/>
      <c r="AV2369" s="80" t="str">
        <f>HYPERLINK("https://pbs.twimg.com/profile_images/1559883556846977024/bXHnQFY0_normal.jpg")</f>
        <v>https://pbs.twimg.com/profile_images/1559883556846977024/bXHnQFY0_normal.jpg</v>
      </c>
      <c r="AW2369" s="82" t="s">
        <v>15454</v>
      </c>
      <c r="AX2369" s="82" t="s">
        <v>15454</v>
      </c>
      <c r="AY2369" s="77"/>
      <c r="AZ2369" s="82" t="s">
        <v>17385</v>
      </c>
      <c r="BA2369" s="82" t="s">
        <v>17385</v>
      </c>
      <c r="BB2369" s="82" t="s">
        <v>15386</v>
      </c>
      <c r="BC2369" s="82" t="s">
        <v>15386</v>
      </c>
      <c r="BD2369" s="77">
        <v>51150679</v>
      </c>
      <c r="BE2369" s="77"/>
      <c r="BF2369" s="77"/>
      <c r="BG2369" s="77"/>
      <c r="BH2369" s="77"/>
      <c r="BI2369" s="77"/>
    </row>
    <row r="2370" spans="1:61" x14ac:dyDescent="0.25">
      <c r="A2370" s="62" t="s">
        <v>605</v>
      </c>
      <c r="B2370" s="62" t="s">
        <v>604</v>
      </c>
      <c r="C2370" s="63"/>
      <c r="D2370" s="64"/>
      <c r="E2370" s="65"/>
      <c r="F2370" s="66"/>
      <c r="G2370" s="63"/>
      <c r="H2370" s="67"/>
      <c r="I2370" s="68"/>
      <c r="J2370" s="68"/>
      <c r="K2370" s="32"/>
      <c r="L2370" s="75">
        <v>2370</v>
      </c>
      <c r="M2370" s="75"/>
      <c r="N2370" s="70"/>
      <c r="O2370" s="77" t="s">
        <v>803</v>
      </c>
      <c r="P2370" s="79">
        <v>45197.650717592594</v>
      </c>
      <c r="Q2370" s="77" t="s">
        <v>3148</v>
      </c>
      <c r="R2370" s="77">
        <v>1</v>
      </c>
      <c r="S2370" s="77">
        <v>0</v>
      </c>
      <c r="T2370" s="77">
        <v>0</v>
      </c>
      <c r="U2370" s="77">
        <v>0</v>
      </c>
      <c r="V2370" s="77"/>
      <c r="W2370" s="82" t="s">
        <v>4835</v>
      </c>
      <c r="X2370" s="77"/>
      <c r="Y2370" s="77"/>
      <c r="Z2370" s="77" t="s">
        <v>604</v>
      </c>
      <c r="AA2370" s="77"/>
      <c r="AB2370" s="77"/>
      <c r="AC2370" s="82" t="s">
        <v>8232</v>
      </c>
      <c r="AD2370" s="77" t="s">
        <v>8278</v>
      </c>
      <c r="AE2370" s="80" t="str">
        <f>HYPERLINK("https://twitter.com/leiamoneytimes/status/1707419150908305475")</f>
        <v>https://twitter.com/leiamoneytimes/status/1707419150908305475</v>
      </c>
      <c r="AF2370" s="79">
        <v>45197.650717592594</v>
      </c>
      <c r="AG2370" s="85">
        <v>45197</v>
      </c>
      <c r="AH2370" s="82" t="s">
        <v>10430</v>
      </c>
      <c r="AI2370" s="77" t="b">
        <v>0</v>
      </c>
      <c r="AJ2370" s="77"/>
      <c r="AK2370" s="77"/>
      <c r="AL2370" s="77"/>
      <c r="AM2370" s="77"/>
      <c r="AN2370" s="77"/>
      <c r="AO2370" s="77"/>
      <c r="AP2370" s="77"/>
      <c r="AQ2370" s="77"/>
      <c r="AR2370" s="77"/>
      <c r="AS2370" s="77"/>
      <c r="AT2370" s="77"/>
      <c r="AU2370" s="77"/>
      <c r="AV2370" s="80" t="str">
        <f>HYPERLINK("https://pbs.twimg.com/profile_images/1559883556846977024/bXHnQFY0_normal.jpg")</f>
        <v>https://pbs.twimg.com/profile_images/1559883556846977024/bXHnQFY0_normal.jpg</v>
      </c>
      <c r="AW2370" s="82" t="s">
        <v>15455</v>
      </c>
      <c r="AX2370" s="82" t="s">
        <v>15455</v>
      </c>
      <c r="AY2370" s="77"/>
      <c r="AZ2370" s="82" t="s">
        <v>17385</v>
      </c>
      <c r="BA2370" s="82" t="s">
        <v>17385</v>
      </c>
      <c r="BB2370" s="82" t="s">
        <v>15415</v>
      </c>
      <c r="BC2370" s="82" t="s">
        <v>15415</v>
      </c>
      <c r="BD2370" s="77">
        <v>51150679</v>
      </c>
      <c r="BE2370" s="77"/>
      <c r="BF2370" s="77"/>
      <c r="BG2370" s="77"/>
      <c r="BH2370" s="77"/>
      <c r="BI2370" s="77"/>
    </row>
    <row r="2371" spans="1:61" x14ac:dyDescent="0.25">
      <c r="A2371" s="62" t="s">
        <v>606</v>
      </c>
      <c r="B2371" s="62" t="s">
        <v>606</v>
      </c>
      <c r="C2371" s="63"/>
      <c r="D2371" s="64"/>
      <c r="E2371" s="65"/>
      <c r="F2371" s="66"/>
      <c r="G2371" s="63"/>
      <c r="H2371" s="67"/>
      <c r="I2371" s="68"/>
      <c r="J2371" s="68"/>
      <c r="K2371" s="32"/>
      <c r="L2371" s="75">
        <v>2371</v>
      </c>
      <c r="M2371" s="75"/>
      <c r="N2371" s="70"/>
      <c r="O2371" s="77" t="s">
        <v>801</v>
      </c>
      <c r="P2371" s="79">
        <v>45119.737835648149</v>
      </c>
      <c r="Q2371" s="77" t="s">
        <v>3149</v>
      </c>
      <c r="R2371" s="77">
        <v>0</v>
      </c>
      <c r="S2371" s="77">
        <v>0</v>
      </c>
      <c r="T2371" s="77">
        <v>4</v>
      </c>
      <c r="U2371" s="77">
        <v>1</v>
      </c>
      <c r="V2371" s="77">
        <v>3059</v>
      </c>
      <c r="W2371" s="82" t="s">
        <v>6297</v>
      </c>
      <c r="X2371" s="77"/>
      <c r="Y2371" s="77"/>
      <c r="Z2371" s="77"/>
      <c r="AA2371" s="77" t="s">
        <v>8044</v>
      </c>
      <c r="AB2371" s="77" t="s">
        <v>8225</v>
      </c>
      <c r="AC2371" s="82" t="s">
        <v>8232</v>
      </c>
      <c r="AD2371" s="77" t="s">
        <v>8278</v>
      </c>
      <c r="AE2371" s="80" t="str">
        <f>HYPERLINK("https://twitter.com/hsrodrigues2/status/1679184469725413384")</f>
        <v>https://twitter.com/hsrodrigues2/status/1679184469725413384</v>
      </c>
      <c r="AF2371" s="79">
        <v>45119.737835648149</v>
      </c>
      <c r="AG2371" s="85">
        <v>45119</v>
      </c>
      <c r="AH2371" s="82" t="s">
        <v>10431</v>
      </c>
      <c r="AI2371" s="77" t="b">
        <v>0</v>
      </c>
      <c r="AJ2371" s="77"/>
      <c r="AK2371" s="77"/>
      <c r="AL2371" s="77"/>
      <c r="AM2371" s="77"/>
      <c r="AN2371" s="77"/>
      <c r="AO2371" s="77"/>
      <c r="AP2371" s="77"/>
      <c r="AQ2371" s="77" t="s">
        <v>12929</v>
      </c>
      <c r="AR2371" s="77"/>
      <c r="AS2371" s="77"/>
      <c r="AT2371" s="77"/>
      <c r="AU2371" s="77"/>
      <c r="AV2371" s="80" t="str">
        <f>HYPERLINK("https://pbs.twimg.com/media/F02pXemWAA4IaC1.png")</f>
        <v>https://pbs.twimg.com/media/F02pXemWAA4IaC1.png</v>
      </c>
      <c r="AW2371" s="82" t="s">
        <v>15456</v>
      </c>
      <c r="AX2371" s="82" t="s">
        <v>15456</v>
      </c>
      <c r="AY2371" s="77"/>
      <c r="AZ2371" s="82" t="s">
        <v>17385</v>
      </c>
      <c r="BA2371" s="82" t="s">
        <v>17438</v>
      </c>
      <c r="BB2371" s="82" t="s">
        <v>17385</v>
      </c>
      <c r="BC2371" s="82" t="s">
        <v>17438</v>
      </c>
      <c r="BD2371" s="77">
        <v>4475302455</v>
      </c>
      <c r="BE2371" s="77"/>
      <c r="BF2371" s="77"/>
      <c r="BG2371" s="77"/>
      <c r="BH2371" s="77"/>
      <c r="BI2371" s="77"/>
    </row>
    <row r="2372" spans="1:61" x14ac:dyDescent="0.25">
      <c r="A2372" s="62" t="s">
        <v>607</v>
      </c>
      <c r="B2372" s="62" t="s">
        <v>607</v>
      </c>
      <c r="C2372" s="63"/>
      <c r="D2372" s="64"/>
      <c r="E2372" s="65"/>
      <c r="F2372" s="66"/>
      <c r="G2372" s="63"/>
      <c r="H2372" s="67"/>
      <c r="I2372" s="68"/>
      <c r="J2372" s="68"/>
      <c r="K2372" s="32"/>
      <c r="L2372" s="75">
        <v>2372</v>
      </c>
      <c r="M2372" s="75"/>
      <c r="N2372" s="70"/>
      <c r="O2372" s="77" t="s">
        <v>179</v>
      </c>
      <c r="P2372" s="79">
        <v>45142.579074074078</v>
      </c>
      <c r="Q2372" s="77" t="s">
        <v>3150</v>
      </c>
      <c r="R2372" s="77">
        <v>0</v>
      </c>
      <c r="S2372" s="77">
        <v>0</v>
      </c>
      <c r="T2372" s="77">
        <v>0</v>
      </c>
      <c r="U2372" s="77">
        <v>0</v>
      </c>
      <c r="V2372" s="77">
        <v>63</v>
      </c>
      <c r="W2372" s="82" t="s">
        <v>6298</v>
      </c>
      <c r="X2372" s="80" t="str">
        <f>HYPERLINK("https://amazonasatual.com.br/ongs-pedirao-a-governos-acoes-para-frear-colapso-da-amazonia/")</f>
        <v>https://amazonasatual.com.br/ongs-pedirao-a-governos-acoes-para-frear-colapso-da-amazonia/</v>
      </c>
      <c r="Y2372" s="77" t="s">
        <v>7053</v>
      </c>
      <c r="Z2372" s="77"/>
      <c r="AA2372" s="77"/>
      <c r="AB2372" s="77"/>
      <c r="AC2372" s="82" t="s">
        <v>8232</v>
      </c>
      <c r="AD2372" s="77" t="s">
        <v>8278</v>
      </c>
      <c r="AE2372" s="80" t="str">
        <f>HYPERLINK("https://twitter.com/amazonasatual/status/1687461856938475520")</f>
        <v>https://twitter.com/amazonasatual/status/1687461856938475520</v>
      </c>
      <c r="AF2372" s="79">
        <v>45142.579074074078</v>
      </c>
      <c r="AG2372" s="85">
        <v>45142</v>
      </c>
      <c r="AH2372" s="82" t="s">
        <v>10432</v>
      </c>
      <c r="AI2372" s="77" t="b">
        <v>0</v>
      </c>
      <c r="AJ2372" s="77"/>
      <c r="AK2372" s="77"/>
      <c r="AL2372" s="77"/>
      <c r="AM2372" s="77"/>
      <c r="AN2372" s="77"/>
      <c r="AO2372" s="77"/>
      <c r="AP2372" s="77"/>
      <c r="AQ2372" s="77"/>
      <c r="AR2372" s="77"/>
      <c r="AS2372" s="77"/>
      <c r="AT2372" s="77"/>
      <c r="AU2372" s="77"/>
      <c r="AV2372" s="80" t="str">
        <f>HYPERLINK("https://pbs.twimg.com/profile_images/1331219118796787716/xi-bcfdj_normal.jpg")</f>
        <v>https://pbs.twimg.com/profile_images/1331219118796787716/xi-bcfdj_normal.jpg</v>
      </c>
      <c r="AW2372" s="82" t="s">
        <v>15457</v>
      </c>
      <c r="AX2372" s="82" t="s">
        <v>15457</v>
      </c>
      <c r="AY2372" s="77"/>
      <c r="AZ2372" s="82" t="s">
        <v>17385</v>
      </c>
      <c r="BA2372" s="82" t="s">
        <v>17385</v>
      </c>
      <c r="BB2372" s="82" t="s">
        <v>17385</v>
      </c>
      <c r="BC2372" s="82" t="s">
        <v>15457</v>
      </c>
      <c r="BD2372" s="77">
        <v>1857286891</v>
      </c>
      <c r="BE2372" s="77"/>
      <c r="BF2372" s="77"/>
      <c r="BG2372" s="77"/>
      <c r="BH2372" s="77"/>
      <c r="BI2372" s="77"/>
    </row>
    <row r="2373" spans="1:61" x14ac:dyDescent="0.25">
      <c r="A2373" s="62" t="s">
        <v>607</v>
      </c>
      <c r="B2373" s="62" t="s">
        <v>607</v>
      </c>
      <c r="C2373" s="63"/>
      <c r="D2373" s="64"/>
      <c r="E2373" s="65"/>
      <c r="F2373" s="66"/>
      <c r="G2373" s="63"/>
      <c r="H2373" s="67"/>
      <c r="I2373" s="68"/>
      <c r="J2373" s="68"/>
      <c r="K2373" s="32"/>
      <c r="L2373" s="75">
        <v>2373</v>
      </c>
      <c r="M2373" s="75"/>
      <c r="N2373" s="70"/>
      <c r="O2373" s="77" t="s">
        <v>179</v>
      </c>
      <c r="P2373" s="79">
        <v>45153.716099537036</v>
      </c>
      <c r="Q2373" s="77" t="s">
        <v>3151</v>
      </c>
      <c r="R2373" s="77">
        <v>0</v>
      </c>
      <c r="S2373" s="77">
        <v>0</v>
      </c>
      <c r="T2373" s="77">
        <v>0</v>
      </c>
      <c r="U2373" s="77">
        <v>0</v>
      </c>
      <c r="V2373" s="77">
        <v>75</v>
      </c>
      <c r="W2373" s="82" t="s">
        <v>6299</v>
      </c>
      <c r="X2373" s="80" t="str">
        <f>HYPERLINK("https://amazonasatual.com.br/mpf-cobra-do-governo-do-amazonas-acoes-para-o-combate-a-tortura/")</f>
        <v>https://amazonasatual.com.br/mpf-cobra-do-governo-do-amazonas-acoes-para-o-combate-a-tortura/</v>
      </c>
      <c r="Y2373" s="77" t="s">
        <v>7053</v>
      </c>
      <c r="Z2373" s="77"/>
      <c r="AA2373" s="77"/>
      <c r="AB2373" s="77"/>
      <c r="AC2373" s="82" t="s">
        <v>8232</v>
      </c>
      <c r="AD2373" s="77" t="s">
        <v>8278</v>
      </c>
      <c r="AE2373" s="80" t="str">
        <f>HYPERLINK("https://twitter.com/amazonasatual/status/1691497777597915136")</f>
        <v>https://twitter.com/amazonasatual/status/1691497777597915136</v>
      </c>
      <c r="AF2373" s="79">
        <v>45153.716099537036</v>
      </c>
      <c r="AG2373" s="85">
        <v>45153</v>
      </c>
      <c r="AH2373" s="82" t="s">
        <v>10433</v>
      </c>
      <c r="AI2373" s="77" t="b">
        <v>0</v>
      </c>
      <c r="AJ2373" s="77"/>
      <c r="AK2373" s="77"/>
      <c r="AL2373" s="77"/>
      <c r="AM2373" s="77"/>
      <c r="AN2373" s="77"/>
      <c r="AO2373" s="77"/>
      <c r="AP2373" s="77"/>
      <c r="AQ2373" s="77"/>
      <c r="AR2373" s="77"/>
      <c r="AS2373" s="77"/>
      <c r="AT2373" s="77"/>
      <c r="AU2373" s="77"/>
      <c r="AV2373" s="80" t="str">
        <f>HYPERLINK("https://pbs.twimg.com/profile_images/1331219118796787716/xi-bcfdj_normal.jpg")</f>
        <v>https://pbs.twimg.com/profile_images/1331219118796787716/xi-bcfdj_normal.jpg</v>
      </c>
      <c r="AW2373" s="82" t="s">
        <v>15458</v>
      </c>
      <c r="AX2373" s="82" t="s">
        <v>15458</v>
      </c>
      <c r="AY2373" s="77"/>
      <c r="AZ2373" s="82" t="s">
        <v>17385</v>
      </c>
      <c r="BA2373" s="82" t="s">
        <v>17385</v>
      </c>
      <c r="BB2373" s="82" t="s">
        <v>17385</v>
      </c>
      <c r="BC2373" s="82" t="s">
        <v>15458</v>
      </c>
      <c r="BD2373" s="77">
        <v>1857286891</v>
      </c>
      <c r="BE2373" s="77"/>
      <c r="BF2373" s="77"/>
      <c r="BG2373" s="77"/>
      <c r="BH2373" s="77"/>
      <c r="BI2373" s="77"/>
    </row>
    <row r="2374" spans="1:61" x14ac:dyDescent="0.25">
      <c r="A2374" s="62" t="s">
        <v>607</v>
      </c>
      <c r="B2374" s="62" t="s">
        <v>607</v>
      </c>
      <c r="C2374" s="63"/>
      <c r="D2374" s="64"/>
      <c r="E2374" s="65"/>
      <c r="F2374" s="66"/>
      <c r="G2374" s="63"/>
      <c r="H2374" s="67"/>
      <c r="I2374" s="68"/>
      <c r="J2374" s="68"/>
      <c r="K2374" s="32"/>
      <c r="L2374" s="75">
        <v>2374</v>
      </c>
      <c r="M2374" s="75"/>
      <c r="N2374" s="70"/>
      <c r="O2374" s="77" t="s">
        <v>179</v>
      </c>
      <c r="P2374" s="79">
        <v>45196.745497685188</v>
      </c>
      <c r="Q2374" s="77" t="s">
        <v>3152</v>
      </c>
      <c r="R2374" s="77">
        <v>0</v>
      </c>
      <c r="S2374" s="77">
        <v>1</v>
      </c>
      <c r="T2374" s="77">
        <v>0</v>
      </c>
      <c r="U2374" s="77">
        <v>0</v>
      </c>
      <c r="V2374" s="77">
        <v>135</v>
      </c>
      <c r="W2374" s="82" t="s">
        <v>6300</v>
      </c>
      <c r="X2374" s="80" t="str">
        <f>HYPERLINK("https://amazonasatual.com.br/david-almeida-relata-acoes-de-gestao-e-promete-entregar-pequenos-hospitais/")</f>
        <v>https://amazonasatual.com.br/david-almeida-relata-acoes-de-gestao-e-promete-entregar-pequenos-hospitais/</v>
      </c>
      <c r="Y2374" s="77" t="s">
        <v>7053</v>
      </c>
      <c r="Z2374" s="77"/>
      <c r="AA2374" s="77"/>
      <c r="AB2374" s="77"/>
      <c r="AC2374" s="82" t="s">
        <v>8232</v>
      </c>
      <c r="AD2374" s="77" t="s">
        <v>8278</v>
      </c>
      <c r="AE2374" s="80" t="str">
        <f>HYPERLINK("https://twitter.com/amazonasatual/status/1707091108684005570")</f>
        <v>https://twitter.com/amazonasatual/status/1707091108684005570</v>
      </c>
      <c r="AF2374" s="79">
        <v>45196.745497685188</v>
      </c>
      <c r="AG2374" s="85">
        <v>45196</v>
      </c>
      <c r="AH2374" s="82" t="s">
        <v>10434</v>
      </c>
      <c r="AI2374" s="77" t="b">
        <v>0</v>
      </c>
      <c r="AJ2374" s="77"/>
      <c r="AK2374" s="77"/>
      <c r="AL2374" s="77"/>
      <c r="AM2374" s="77"/>
      <c r="AN2374" s="77"/>
      <c r="AO2374" s="77"/>
      <c r="AP2374" s="77"/>
      <c r="AQ2374" s="77"/>
      <c r="AR2374" s="77"/>
      <c r="AS2374" s="77"/>
      <c r="AT2374" s="77"/>
      <c r="AU2374" s="77"/>
      <c r="AV2374" s="80" t="str">
        <f>HYPERLINK("https://pbs.twimg.com/profile_images/1331219118796787716/xi-bcfdj_normal.jpg")</f>
        <v>https://pbs.twimg.com/profile_images/1331219118796787716/xi-bcfdj_normal.jpg</v>
      </c>
      <c r="AW2374" s="82" t="s">
        <v>15459</v>
      </c>
      <c r="AX2374" s="82" t="s">
        <v>15459</v>
      </c>
      <c r="AY2374" s="77"/>
      <c r="AZ2374" s="82" t="s">
        <v>17385</v>
      </c>
      <c r="BA2374" s="82" t="s">
        <v>17385</v>
      </c>
      <c r="BB2374" s="82" t="s">
        <v>17385</v>
      </c>
      <c r="BC2374" s="82" t="s">
        <v>15459</v>
      </c>
      <c r="BD2374" s="77">
        <v>1857286891</v>
      </c>
      <c r="BE2374" s="77"/>
      <c r="BF2374" s="77"/>
      <c r="BG2374" s="77"/>
      <c r="BH2374" s="77"/>
      <c r="BI2374" s="77"/>
    </row>
    <row r="2375" spans="1:61" x14ac:dyDescent="0.25">
      <c r="A2375" s="62" t="s">
        <v>608</v>
      </c>
      <c r="B2375" s="62" t="s">
        <v>608</v>
      </c>
      <c r="C2375" s="63"/>
      <c r="D2375" s="64"/>
      <c r="E2375" s="65"/>
      <c r="F2375" s="66"/>
      <c r="G2375" s="63"/>
      <c r="H2375" s="67"/>
      <c r="I2375" s="68"/>
      <c r="J2375" s="68"/>
      <c r="K2375" s="32"/>
      <c r="L2375" s="75">
        <v>2375</v>
      </c>
      <c r="M2375" s="75"/>
      <c r="N2375" s="70"/>
      <c r="O2375" s="77" t="s">
        <v>179</v>
      </c>
      <c r="P2375" s="79">
        <v>45104.523298611108</v>
      </c>
      <c r="Q2375" s="77" t="s">
        <v>3153</v>
      </c>
      <c r="R2375" s="77">
        <v>0</v>
      </c>
      <c r="S2375" s="77">
        <v>0</v>
      </c>
      <c r="T2375" s="77">
        <v>0</v>
      </c>
      <c r="U2375" s="77">
        <v>0</v>
      </c>
      <c r="V2375" s="77">
        <v>13</v>
      </c>
      <c r="W2375" s="82" t="s">
        <v>6301</v>
      </c>
      <c r="X2375" s="77"/>
      <c r="Y2375" s="77"/>
      <c r="Z2375" s="77"/>
      <c r="AA2375" s="77" t="s">
        <v>8045</v>
      </c>
      <c r="AB2375" s="77" t="s">
        <v>8225</v>
      </c>
      <c r="AC2375" s="82" t="s">
        <v>8273</v>
      </c>
      <c r="AD2375" s="77" t="s">
        <v>8278</v>
      </c>
      <c r="AE2375" s="80" t="str">
        <f>HYPERLINK("https://twitter.com/guiaindicador/status/1673670903400472578")</f>
        <v>https://twitter.com/guiaindicador/status/1673670903400472578</v>
      </c>
      <c r="AF2375" s="79">
        <v>45104.523298611108</v>
      </c>
      <c r="AG2375" s="85">
        <v>45104</v>
      </c>
      <c r="AH2375" s="82" t="s">
        <v>10435</v>
      </c>
      <c r="AI2375" s="77" t="b">
        <v>0</v>
      </c>
      <c r="AJ2375" s="77"/>
      <c r="AK2375" s="77"/>
      <c r="AL2375" s="77"/>
      <c r="AM2375" s="77"/>
      <c r="AN2375" s="77"/>
      <c r="AO2375" s="77"/>
      <c r="AP2375" s="77"/>
      <c r="AQ2375" s="77" t="s">
        <v>12930</v>
      </c>
      <c r="AR2375" s="77"/>
      <c r="AS2375" s="77"/>
      <c r="AT2375" s="77"/>
      <c r="AU2375" s="77"/>
      <c r="AV2375" s="80" t="str">
        <f>HYPERLINK("https://pbs.twimg.com/media/FzoS0SsWcAIrVAK.jpg")</f>
        <v>https://pbs.twimg.com/media/FzoS0SsWcAIrVAK.jpg</v>
      </c>
      <c r="AW2375" s="82" t="s">
        <v>15460</v>
      </c>
      <c r="AX2375" s="82" t="s">
        <v>15460</v>
      </c>
      <c r="AY2375" s="77"/>
      <c r="AZ2375" s="82" t="s">
        <v>17385</v>
      </c>
      <c r="BA2375" s="82" t="s">
        <v>17385</v>
      </c>
      <c r="BB2375" s="82" t="s">
        <v>17385</v>
      </c>
      <c r="BC2375" s="82" t="s">
        <v>15460</v>
      </c>
      <c r="BD2375" s="77">
        <v>594578926</v>
      </c>
      <c r="BE2375" s="77"/>
      <c r="BF2375" s="77"/>
      <c r="BG2375" s="77"/>
      <c r="BH2375" s="77"/>
      <c r="BI2375" s="77"/>
    </row>
    <row r="2376" spans="1:61" x14ac:dyDescent="0.25">
      <c r="A2376" s="62" t="s">
        <v>609</v>
      </c>
      <c r="B2376" s="62" t="s">
        <v>609</v>
      </c>
      <c r="C2376" s="63"/>
      <c r="D2376" s="64"/>
      <c r="E2376" s="65"/>
      <c r="F2376" s="66"/>
      <c r="G2376" s="63"/>
      <c r="H2376" s="67"/>
      <c r="I2376" s="68"/>
      <c r="J2376" s="68"/>
      <c r="K2376" s="32"/>
      <c r="L2376" s="75">
        <v>2376</v>
      </c>
      <c r="M2376" s="75"/>
      <c r="N2376" s="70"/>
      <c r="O2376" s="77" t="s">
        <v>800</v>
      </c>
      <c r="P2376" s="79">
        <v>45084.886921296296</v>
      </c>
      <c r="Q2376" s="77" t="s">
        <v>3154</v>
      </c>
      <c r="R2376" s="77">
        <v>0</v>
      </c>
      <c r="S2376" s="77">
        <v>0</v>
      </c>
      <c r="T2376" s="77">
        <v>1</v>
      </c>
      <c r="U2376" s="77">
        <v>0</v>
      </c>
      <c r="V2376" s="77">
        <v>9</v>
      </c>
      <c r="W2376" s="82" t="s">
        <v>6302</v>
      </c>
      <c r="X2376" s="80" t="str">
        <f>HYPERLINK("https://youtu.be/0ZO5ehQP1dM")</f>
        <v>https://youtu.be/0ZO5ehQP1dM</v>
      </c>
      <c r="Y2376" s="77" t="s">
        <v>7064</v>
      </c>
      <c r="Z2376" s="77"/>
      <c r="AA2376" s="77"/>
      <c r="AB2376" s="77"/>
      <c r="AC2376" s="82" t="s">
        <v>8232</v>
      </c>
      <c r="AD2376" s="77" t="s">
        <v>8278</v>
      </c>
      <c r="AE2376" s="80" t="str">
        <f>HYPERLINK("https://twitter.com/camarasaopaulo/status/1666554918612729857")</f>
        <v>https://twitter.com/camarasaopaulo/status/1666554918612729857</v>
      </c>
      <c r="AF2376" s="79">
        <v>45084.886921296296</v>
      </c>
      <c r="AG2376" s="85">
        <v>45084</v>
      </c>
      <c r="AH2376" s="82" t="s">
        <v>10436</v>
      </c>
      <c r="AI2376" s="77" t="b">
        <v>0</v>
      </c>
      <c r="AJ2376" s="77"/>
      <c r="AK2376" s="77"/>
      <c r="AL2376" s="77"/>
      <c r="AM2376" s="77"/>
      <c r="AN2376" s="77"/>
      <c r="AO2376" s="77"/>
      <c r="AP2376" s="77"/>
      <c r="AQ2376" s="77"/>
      <c r="AR2376" s="77"/>
      <c r="AS2376" s="77"/>
      <c r="AT2376" s="77"/>
      <c r="AU2376" s="77"/>
      <c r="AV2376" s="80" t="str">
        <f>HYPERLINK("https://pbs.twimg.com/profile_images/1648368073324240899/O62M-O8U_normal.jpg")</f>
        <v>https://pbs.twimg.com/profile_images/1648368073324240899/O62M-O8U_normal.jpg</v>
      </c>
      <c r="AW2376" s="82" t="s">
        <v>15461</v>
      </c>
      <c r="AX2376" s="82" t="s">
        <v>17205</v>
      </c>
      <c r="AY2376" s="82" t="s">
        <v>17369</v>
      </c>
      <c r="AZ2376" s="82" t="s">
        <v>17205</v>
      </c>
      <c r="BA2376" s="82" t="s">
        <v>17385</v>
      </c>
      <c r="BB2376" s="82" t="s">
        <v>17385</v>
      </c>
      <c r="BC2376" s="82" t="s">
        <v>17205</v>
      </c>
      <c r="BD2376" s="77">
        <v>308031714</v>
      </c>
      <c r="BE2376" s="77"/>
      <c r="BF2376" s="77"/>
      <c r="BG2376" s="77"/>
      <c r="BH2376" s="77"/>
      <c r="BI2376" s="77"/>
    </row>
    <row r="2377" spans="1:61" x14ac:dyDescent="0.25">
      <c r="A2377" s="62" t="s">
        <v>610</v>
      </c>
      <c r="B2377" s="62" t="s">
        <v>610</v>
      </c>
      <c r="C2377" s="63"/>
      <c r="D2377" s="64"/>
      <c r="E2377" s="65"/>
      <c r="F2377" s="66"/>
      <c r="G2377" s="63"/>
      <c r="H2377" s="67"/>
      <c r="I2377" s="68"/>
      <c r="J2377" s="68"/>
      <c r="K2377" s="32"/>
      <c r="L2377" s="75">
        <v>2377</v>
      </c>
      <c r="M2377" s="75"/>
      <c r="N2377" s="70"/>
      <c r="O2377" s="77" t="s">
        <v>179</v>
      </c>
      <c r="P2377" s="79">
        <v>45082.572060185186</v>
      </c>
      <c r="Q2377" s="77" t="s">
        <v>3155</v>
      </c>
      <c r="R2377" s="77">
        <v>0</v>
      </c>
      <c r="S2377" s="77">
        <v>2</v>
      </c>
      <c r="T2377" s="77">
        <v>0</v>
      </c>
      <c r="U2377" s="77">
        <v>0</v>
      </c>
      <c r="V2377" s="77">
        <v>925</v>
      </c>
      <c r="W2377" s="82" t="s">
        <v>6303</v>
      </c>
      <c r="X2377" s="77"/>
      <c r="Y2377" s="77"/>
      <c r="Z2377" s="77"/>
      <c r="AA2377" s="77"/>
      <c r="AB2377" s="77"/>
      <c r="AC2377" s="82" t="s">
        <v>8232</v>
      </c>
      <c r="AD2377" s="77" t="s">
        <v>8278</v>
      </c>
      <c r="AE2377" s="80" t="str">
        <f>HYPERLINK("https://twitter.com/exnesscorretora/status/1665716039655489537")</f>
        <v>https://twitter.com/exnesscorretora/status/1665716039655489537</v>
      </c>
      <c r="AF2377" s="79">
        <v>45082.572060185186</v>
      </c>
      <c r="AG2377" s="85">
        <v>45082</v>
      </c>
      <c r="AH2377" s="82" t="s">
        <v>10437</v>
      </c>
      <c r="AI2377" s="77"/>
      <c r="AJ2377" s="77"/>
      <c r="AK2377" s="77"/>
      <c r="AL2377" s="77"/>
      <c r="AM2377" s="77"/>
      <c r="AN2377" s="77"/>
      <c r="AO2377" s="77"/>
      <c r="AP2377" s="77"/>
      <c r="AQ2377" s="77"/>
      <c r="AR2377" s="77"/>
      <c r="AS2377" s="77"/>
      <c r="AT2377" s="77"/>
      <c r="AU2377" s="77"/>
      <c r="AV2377" s="80" t="str">
        <f>HYPERLINK("https://pbs.twimg.com/profile_images/1395776356118679559/ld_PQhLy_normal.jpg")</f>
        <v>https://pbs.twimg.com/profile_images/1395776356118679559/ld_PQhLy_normal.jpg</v>
      </c>
      <c r="AW2377" s="82" t="s">
        <v>15462</v>
      </c>
      <c r="AX2377" s="82" t="s">
        <v>15462</v>
      </c>
      <c r="AY2377" s="77"/>
      <c r="AZ2377" s="82" t="s">
        <v>17385</v>
      </c>
      <c r="BA2377" s="82" t="s">
        <v>17385</v>
      </c>
      <c r="BB2377" s="82" t="s">
        <v>17385</v>
      </c>
      <c r="BC2377" s="82" t="s">
        <v>15462</v>
      </c>
      <c r="BD2377" s="82" t="s">
        <v>17642</v>
      </c>
      <c r="BE2377" s="77"/>
      <c r="BF2377" s="77"/>
      <c r="BG2377" s="77"/>
      <c r="BH2377" s="77"/>
      <c r="BI2377" s="77"/>
    </row>
    <row r="2378" spans="1:61" x14ac:dyDescent="0.25">
      <c r="A2378" s="62" t="s">
        <v>610</v>
      </c>
      <c r="B2378" s="62" t="s">
        <v>610</v>
      </c>
      <c r="C2378" s="63"/>
      <c r="D2378" s="64"/>
      <c r="E2378" s="65"/>
      <c r="F2378" s="66"/>
      <c r="G2378" s="63"/>
      <c r="H2378" s="67"/>
      <c r="I2378" s="68"/>
      <c r="J2378" s="68"/>
      <c r="K2378" s="32"/>
      <c r="L2378" s="75">
        <v>2378</v>
      </c>
      <c r="M2378" s="75"/>
      <c r="N2378" s="70"/>
      <c r="O2378" s="77" t="s">
        <v>179</v>
      </c>
      <c r="P2378" s="79">
        <v>45079.458935185183</v>
      </c>
      <c r="Q2378" s="77" t="s">
        <v>3156</v>
      </c>
      <c r="R2378" s="77">
        <v>0</v>
      </c>
      <c r="S2378" s="77">
        <v>3</v>
      </c>
      <c r="T2378" s="77">
        <v>3</v>
      </c>
      <c r="U2378" s="77">
        <v>0</v>
      </c>
      <c r="V2378" s="77">
        <v>780</v>
      </c>
      <c r="W2378" s="82" t="s">
        <v>6304</v>
      </c>
      <c r="X2378" s="77"/>
      <c r="Y2378" s="77"/>
      <c r="Z2378" s="77"/>
      <c r="AA2378" s="77"/>
      <c r="AB2378" s="77"/>
      <c r="AC2378" s="82" t="s">
        <v>8232</v>
      </c>
      <c r="AD2378" s="77" t="s">
        <v>8278</v>
      </c>
      <c r="AE2378" s="80" t="str">
        <f>HYPERLINK("https://twitter.com/exnesscorretora/status/1664587883963924485")</f>
        <v>https://twitter.com/exnesscorretora/status/1664587883963924485</v>
      </c>
      <c r="AF2378" s="79">
        <v>45079.458935185183</v>
      </c>
      <c r="AG2378" s="85">
        <v>45079</v>
      </c>
      <c r="AH2378" s="82" t="s">
        <v>10244</v>
      </c>
      <c r="AI2378" s="77"/>
      <c r="AJ2378" s="77"/>
      <c r="AK2378" s="77"/>
      <c r="AL2378" s="77"/>
      <c r="AM2378" s="77"/>
      <c r="AN2378" s="77"/>
      <c r="AO2378" s="77"/>
      <c r="AP2378" s="77"/>
      <c r="AQ2378" s="77"/>
      <c r="AR2378" s="77"/>
      <c r="AS2378" s="77"/>
      <c r="AT2378" s="77"/>
      <c r="AU2378" s="77"/>
      <c r="AV2378" s="80" t="str">
        <f>HYPERLINK("https://pbs.twimg.com/profile_images/1395776356118679559/ld_PQhLy_normal.jpg")</f>
        <v>https://pbs.twimg.com/profile_images/1395776356118679559/ld_PQhLy_normal.jpg</v>
      </c>
      <c r="AW2378" s="82" t="s">
        <v>15463</v>
      </c>
      <c r="AX2378" s="82" t="s">
        <v>15463</v>
      </c>
      <c r="AY2378" s="77"/>
      <c r="AZ2378" s="82" t="s">
        <v>17385</v>
      </c>
      <c r="BA2378" s="82" t="s">
        <v>17385</v>
      </c>
      <c r="BB2378" s="82" t="s">
        <v>17385</v>
      </c>
      <c r="BC2378" s="82" t="s">
        <v>15463</v>
      </c>
      <c r="BD2378" s="82" t="s">
        <v>17642</v>
      </c>
      <c r="BE2378" s="77"/>
      <c r="BF2378" s="77"/>
      <c r="BG2378" s="77"/>
      <c r="BH2378" s="77"/>
      <c r="BI2378" s="77"/>
    </row>
    <row r="2379" spans="1:61" x14ac:dyDescent="0.25">
      <c r="A2379" s="62" t="s">
        <v>611</v>
      </c>
      <c r="B2379" s="62" t="s">
        <v>611</v>
      </c>
      <c r="C2379" s="63"/>
      <c r="D2379" s="64"/>
      <c r="E2379" s="65"/>
      <c r="F2379" s="66"/>
      <c r="G2379" s="63"/>
      <c r="H2379" s="67"/>
      <c r="I2379" s="68"/>
      <c r="J2379" s="68"/>
      <c r="K2379" s="32"/>
      <c r="L2379" s="75">
        <v>2379</v>
      </c>
      <c r="M2379" s="75"/>
      <c r="N2379" s="70"/>
      <c r="O2379" s="77" t="s">
        <v>179</v>
      </c>
      <c r="P2379" s="79">
        <v>45139.725046296298</v>
      </c>
      <c r="Q2379" s="77" t="s">
        <v>3157</v>
      </c>
      <c r="R2379" s="77">
        <v>1</v>
      </c>
      <c r="S2379" s="77">
        <v>4</v>
      </c>
      <c r="T2379" s="77">
        <v>0</v>
      </c>
      <c r="U2379" s="77">
        <v>0</v>
      </c>
      <c r="V2379" s="77">
        <v>22</v>
      </c>
      <c r="W2379" s="82" t="s">
        <v>6305</v>
      </c>
      <c r="X2379" s="80" t="str">
        <f>HYPERLINK("https://www.comlucro.com.br/10-estrategias-de-investimento-de-peter-lynch-extraidas-do-livro-one-up-on-wall-street/")</f>
        <v>https://www.comlucro.com.br/10-estrategias-de-investimento-de-peter-lynch-extraidas-do-livro-one-up-on-wall-street/</v>
      </c>
      <c r="Y2379" s="77" t="s">
        <v>7053</v>
      </c>
      <c r="Z2379" s="77"/>
      <c r="AA2379" s="77" t="s">
        <v>8046</v>
      </c>
      <c r="AB2379" s="77" t="s">
        <v>8225</v>
      </c>
      <c r="AC2379" s="82" t="s">
        <v>8232</v>
      </c>
      <c r="AD2379" s="77" t="s">
        <v>8280</v>
      </c>
      <c r="AE2379" s="80" t="str">
        <f>HYPERLINK("https://twitter.com/canalcomlucro/status/1686427590196678686")</f>
        <v>https://twitter.com/canalcomlucro/status/1686427590196678686</v>
      </c>
      <c r="AF2379" s="79">
        <v>45139.725046296298</v>
      </c>
      <c r="AG2379" s="85">
        <v>45139</v>
      </c>
      <c r="AH2379" s="82" t="s">
        <v>10438</v>
      </c>
      <c r="AI2379" s="77" t="b">
        <v>0</v>
      </c>
      <c r="AJ2379" s="77"/>
      <c r="AK2379" s="77"/>
      <c r="AL2379" s="77"/>
      <c r="AM2379" s="77"/>
      <c r="AN2379" s="77"/>
      <c r="AO2379" s="77"/>
      <c r="AP2379" s="77"/>
      <c r="AQ2379" s="77" t="s">
        <v>12931</v>
      </c>
      <c r="AR2379" s="77"/>
      <c r="AS2379" s="77"/>
      <c r="AT2379" s="77"/>
      <c r="AU2379" s="77"/>
      <c r="AV2379" s="80" t="str">
        <f>HYPERLINK("https://pbs.twimg.com/media/F2dk8vmXUAcpoPy.jpg")</f>
        <v>https://pbs.twimg.com/media/F2dk8vmXUAcpoPy.jpg</v>
      </c>
      <c r="AW2379" s="82" t="s">
        <v>15464</v>
      </c>
      <c r="AX2379" s="82" t="s">
        <v>15464</v>
      </c>
      <c r="AY2379" s="77"/>
      <c r="AZ2379" s="82" t="s">
        <v>17385</v>
      </c>
      <c r="BA2379" s="82" t="s">
        <v>17385</v>
      </c>
      <c r="BB2379" s="82" t="s">
        <v>17385</v>
      </c>
      <c r="BC2379" s="82" t="s">
        <v>15464</v>
      </c>
      <c r="BD2379" s="82" t="s">
        <v>17643</v>
      </c>
      <c r="BE2379" s="77"/>
      <c r="BF2379" s="77"/>
      <c r="BG2379" s="77"/>
      <c r="BH2379" s="77"/>
      <c r="BI2379" s="77"/>
    </row>
    <row r="2380" spans="1:61" x14ac:dyDescent="0.25">
      <c r="A2380" s="62" t="s">
        <v>611</v>
      </c>
      <c r="B2380" s="62" t="s">
        <v>611</v>
      </c>
      <c r="C2380" s="63"/>
      <c r="D2380" s="64"/>
      <c r="E2380" s="65"/>
      <c r="F2380" s="66"/>
      <c r="G2380" s="63"/>
      <c r="H2380" s="67"/>
      <c r="I2380" s="68"/>
      <c r="J2380" s="68"/>
      <c r="K2380" s="32"/>
      <c r="L2380" s="75">
        <v>2380</v>
      </c>
      <c r="M2380" s="75"/>
      <c r="N2380" s="70"/>
      <c r="O2380" s="77" t="s">
        <v>179</v>
      </c>
      <c r="P2380" s="79">
        <v>45138.84746527778</v>
      </c>
      <c r="Q2380" s="77" t="s">
        <v>3158</v>
      </c>
      <c r="R2380" s="77">
        <v>1</v>
      </c>
      <c r="S2380" s="77">
        <v>4</v>
      </c>
      <c r="T2380" s="77">
        <v>0</v>
      </c>
      <c r="U2380" s="77">
        <v>0</v>
      </c>
      <c r="V2380" s="77">
        <v>17</v>
      </c>
      <c r="W2380" s="82" t="s">
        <v>6306</v>
      </c>
      <c r="X2380" s="80" t="str">
        <f>HYPERLINK("https://www.comlucro.com.br/analise-tecnica/barras-ou-velas-candlestick/doji-quatro-precos-4-prices-doji/")</f>
        <v>https://www.comlucro.com.br/analise-tecnica/barras-ou-velas-candlestick/doji-quatro-precos-4-prices-doji/</v>
      </c>
      <c r="Y2380" s="77" t="s">
        <v>7053</v>
      </c>
      <c r="Z2380" s="77"/>
      <c r="AA2380" s="77" t="s">
        <v>8047</v>
      </c>
      <c r="AB2380" s="77" t="s">
        <v>8225</v>
      </c>
      <c r="AC2380" s="82" t="s">
        <v>8232</v>
      </c>
      <c r="AD2380" s="77" t="s">
        <v>8280</v>
      </c>
      <c r="AE2380" s="80" t="str">
        <f>HYPERLINK("https://twitter.com/canalcomlucro/status/1686109567392813057")</f>
        <v>https://twitter.com/canalcomlucro/status/1686109567392813057</v>
      </c>
      <c r="AF2380" s="79">
        <v>45138.84746527778</v>
      </c>
      <c r="AG2380" s="85">
        <v>45138</v>
      </c>
      <c r="AH2380" s="82" t="s">
        <v>10439</v>
      </c>
      <c r="AI2380" s="77" t="b">
        <v>0</v>
      </c>
      <c r="AJ2380" s="77"/>
      <c r="AK2380" s="77"/>
      <c r="AL2380" s="77"/>
      <c r="AM2380" s="77"/>
      <c r="AN2380" s="77"/>
      <c r="AO2380" s="77"/>
      <c r="AP2380" s="77"/>
      <c r="AQ2380" s="77" t="s">
        <v>12932</v>
      </c>
      <c r="AR2380" s="77"/>
      <c r="AS2380" s="77"/>
      <c r="AT2380" s="77"/>
      <c r="AU2380" s="77"/>
      <c r="AV2380" s="80" t="str">
        <f>HYPERLINK("https://pbs.twimg.com/media/F2ZDtWSXgAAlfjt.jpg")</f>
        <v>https://pbs.twimg.com/media/F2ZDtWSXgAAlfjt.jpg</v>
      </c>
      <c r="AW2380" s="82" t="s">
        <v>15465</v>
      </c>
      <c r="AX2380" s="82" t="s">
        <v>15465</v>
      </c>
      <c r="AY2380" s="77"/>
      <c r="AZ2380" s="82" t="s">
        <v>17385</v>
      </c>
      <c r="BA2380" s="82" t="s">
        <v>17385</v>
      </c>
      <c r="BB2380" s="82" t="s">
        <v>17385</v>
      </c>
      <c r="BC2380" s="82" t="s">
        <v>15465</v>
      </c>
      <c r="BD2380" s="82" t="s">
        <v>17643</v>
      </c>
      <c r="BE2380" s="77"/>
      <c r="BF2380" s="77"/>
      <c r="BG2380" s="77"/>
      <c r="BH2380" s="77"/>
      <c r="BI2380" s="77"/>
    </row>
    <row r="2381" spans="1:61" x14ac:dyDescent="0.25">
      <c r="A2381" s="62" t="s">
        <v>612</v>
      </c>
      <c r="B2381" s="62" t="s">
        <v>612</v>
      </c>
      <c r="C2381" s="63"/>
      <c r="D2381" s="64"/>
      <c r="E2381" s="65"/>
      <c r="F2381" s="66"/>
      <c r="G2381" s="63"/>
      <c r="H2381" s="67"/>
      <c r="I2381" s="68"/>
      <c r="J2381" s="68"/>
      <c r="K2381" s="32"/>
      <c r="L2381" s="75">
        <v>2381</v>
      </c>
      <c r="M2381" s="75"/>
      <c r="N2381" s="70"/>
      <c r="O2381" s="77" t="s">
        <v>179</v>
      </c>
      <c r="P2381" s="79">
        <v>45191.468078703707</v>
      </c>
      <c r="Q2381" s="77" t="s">
        <v>3159</v>
      </c>
      <c r="R2381" s="77">
        <v>1</v>
      </c>
      <c r="S2381" s="77">
        <v>1</v>
      </c>
      <c r="T2381" s="77">
        <v>2</v>
      </c>
      <c r="U2381" s="77">
        <v>0</v>
      </c>
      <c r="V2381" s="77">
        <v>31</v>
      </c>
      <c r="W2381" s="82" t="s">
        <v>6307</v>
      </c>
      <c r="X2381" s="77"/>
      <c r="Y2381" s="77"/>
      <c r="Z2381" s="77"/>
      <c r="AA2381" s="77"/>
      <c r="AB2381" s="77"/>
      <c r="AC2381" s="82" t="s">
        <v>8232</v>
      </c>
      <c r="AD2381" s="77" t="s">
        <v>8278</v>
      </c>
      <c r="AE2381" s="80" t="str">
        <f>HYPERLINK("https://twitter.com/senhorhidden/status/1705178638323155160")</f>
        <v>https://twitter.com/senhorhidden/status/1705178638323155160</v>
      </c>
      <c r="AF2381" s="79">
        <v>45191.468078703707</v>
      </c>
      <c r="AG2381" s="85">
        <v>45191</v>
      </c>
      <c r="AH2381" s="82" t="s">
        <v>10440</v>
      </c>
      <c r="AI2381" s="77"/>
      <c r="AJ2381" s="77"/>
      <c r="AK2381" s="77"/>
      <c r="AL2381" s="77"/>
      <c r="AM2381" s="77"/>
      <c r="AN2381" s="77"/>
      <c r="AO2381" s="77"/>
      <c r="AP2381" s="77"/>
      <c r="AQ2381" s="77"/>
      <c r="AR2381" s="77"/>
      <c r="AS2381" s="77"/>
      <c r="AT2381" s="77"/>
      <c r="AU2381" s="77"/>
      <c r="AV2381" s="80" t="str">
        <f>HYPERLINK("https://pbs.twimg.com/profile_images/1704450055728439296/xEyNwEBi_normal.jpg")</f>
        <v>https://pbs.twimg.com/profile_images/1704450055728439296/xEyNwEBi_normal.jpg</v>
      </c>
      <c r="AW2381" s="82" t="s">
        <v>15466</v>
      </c>
      <c r="AX2381" s="82" t="s">
        <v>15466</v>
      </c>
      <c r="AY2381" s="77"/>
      <c r="AZ2381" s="82" t="s">
        <v>17385</v>
      </c>
      <c r="BA2381" s="82" t="s">
        <v>17385</v>
      </c>
      <c r="BB2381" s="82" t="s">
        <v>17385</v>
      </c>
      <c r="BC2381" s="82" t="s">
        <v>15466</v>
      </c>
      <c r="BD2381" s="82" t="s">
        <v>17644</v>
      </c>
      <c r="BE2381" s="77"/>
      <c r="BF2381" s="77"/>
      <c r="BG2381" s="77"/>
      <c r="BH2381" s="77"/>
      <c r="BI2381" s="77"/>
    </row>
    <row r="2382" spans="1:61" x14ac:dyDescent="0.25">
      <c r="A2382" s="62" t="s">
        <v>613</v>
      </c>
      <c r="B2382" s="62" t="s">
        <v>612</v>
      </c>
      <c r="C2382" s="63"/>
      <c r="D2382" s="64"/>
      <c r="E2382" s="65"/>
      <c r="F2382" s="66"/>
      <c r="G2382" s="63"/>
      <c r="H2382" s="67"/>
      <c r="I2382" s="68"/>
      <c r="J2382" s="68"/>
      <c r="K2382" s="32"/>
      <c r="L2382" s="75">
        <v>2382</v>
      </c>
      <c r="M2382" s="75"/>
      <c r="N2382" s="70"/>
      <c r="O2382" s="77" t="s">
        <v>803</v>
      </c>
      <c r="P2382" s="79">
        <v>45194.478495370371</v>
      </c>
      <c r="Q2382" s="77" t="s">
        <v>3160</v>
      </c>
      <c r="R2382" s="77">
        <v>1</v>
      </c>
      <c r="S2382" s="77">
        <v>0</v>
      </c>
      <c r="T2382" s="77">
        <v>0</v>
      </c>
      <c r="U2382" s="77">
        <v>0</v>
      </c>
      <c r="V2382" s="77"/>
      <c r="W2382" s="77"/>
      <c r="X2382" s="77"/>
      <c r="Y2382" s="77"/>
      <c r="Z2382" s="77" t="s">
        <v>612</v>
      </c>
      <c r="AA2382" s="77"/>
      <c r="AB2382" s="77"/>
      <c r="AC2382" s="82" t="s">
        <v>8234</v>
      </c>
      <c r="AD2382" s="77" t="s">
        <v>8278</v>
      </c>
      <c r="AE2382" s="80" t="str">
        <f>HYPERLINK("https://twitter.com/phani_29/status/1706269573958533471")</f>
        <v>https://twitter.com/phani_29/status/1706269573958533471</v>
      </c>
      <c r="AF2382" s="79">
        <v>45194.478495370371</v>
      </c>
      <c r="AG2382" s="85">
        <v>45194</v>
      </c>
      <c r="AH2382" s="82" t="s">
        <v>10441</v>
      </c>
      <c r="AI2382" s="77"/>
      <c r="AJ2382" s="77"/>
      <c r="AK2382" s="77"/>
      <c r="AL2382" s="77"/>
      <c r="AM2382" s="77"/>
      <c r="AN2382" s="77"/>
      <c r="AO2382" s="77"/>
      <c r="AP2382" s="77"/>
      <c r="AQ2382" s="77"/>
      <c r="AR2382" s="77"/>
      <c r="AS2382" s="77"/>
      <c r="AT2382" s="77"/>
      <c r="AU2382" s="77"/>
      <c r="AV2382" s="80" t="str">
        <f>HYPERLINK("https://pbs.twimg.com/profile_images/1679054106114281472/WznTvcPx_normal.jpg")</f>
        <v>https://pbs.twimg.com/profile_images/1679054106114281472/WznTvcPx_normal.jpg</v>
      </c>
      <c r="AW2382" s="82" t="s">
        <v>15467</v>
      </c>
      <c r="AX2382" s="82" t="s">
        <v>15467</v>
      </c>
      <c r="AY2382" s="77"/>
      <c r="AZ2382" s="82" t="s">
        <v>17385</v>
      </c>
      <c r="BA2382" s="82" t="s">
        <v>17385</v>
      </c>
      <c r="BB2382" s="82" t="s">
        <v>15466</v>
      </c>
      <c r="BC2382" s="82" t="s">
        <v>15466</v>
      </c>
      <c r="BD2382" s="82" t="s">
        <v>17645</v>
      </c>
      <c r="BE2382" s="77"/>
      <c r="BF2382" s="77"/>
      <c r="BG2382" s="77"/>
      <c r="BH2382" s="77"/>
      <c r="BI2382" s="77"/>
    </row>
    <row r="2383" spans="1:61" x14ac:dyDescent="0.25">
      <c r="A2383" s="62" t="s">
        <v>614</v>
      </c>
      <c r="B2383" s="62" t="s">
        <v>614</v>
      </c>
      <c r="C2383" s="63"/>
      <c r="D2383" s="64"/>
      <c r="E2383" s="65"/>
      <c r="F2383" s="66"/>
      <c r="G2383" s="63"/>
      <c r="H2383" s="67"/>
      <c r="I2383" s="68"/>
      <c r="J2383" s="68"/>
      <c r="K2383" s="32"/>
      <c r="L2383" s="75">
        <v>2383</v>
      </c>
      <c r="M2383" s="75"/>
      <c r="N2383" s="70"/>
      <c r="O2383" s="77" t="s">
        <v>179</v>
      </c>
      <c r="P2383" s="79">
        <v>45179.923437500001</v>
      </c>
      <c r="Q2383" s="77" t="s">
        <v>3161</v>
      </c>
      <c r="R2383" s="77">
        <v>0</v>
      </c>
      <c r="S2383" s="77">
        <v>0</v>
      </c>
      <c r="T2383" s="77">
        <v>0</v>
      </c>
      <c r="U2383" s="77">
        <v>0</v>
      </c>
      <c r="V2383" s="77">
        <v>11</v>
      </c>
      <c r="W2383" s="82" t="s">
        <v>6308</v>
      </c>
      <c r="X2383" s="80" t="str">
        <f>HYPERLINK("https://tinyurl.com/mr42x94b")</f>
        <v>https://tinyurl.com/mr42x94b</v>
      </c>
      <c r="Y2383" s="77" t="s">
        <v>7068</v>
      </c>
      <c r="Z2383" s="77"/>
      <c r="AA2383" s="77"/>
      <c r="AB2383" s="77"/>
      <c r="AC2383" s="82" t="s">
        <v>8232</v>
      </c>
      <c r="AD2383" s="77" t="s">
        <v>8278</v>
      </c>
      <c r="AE2383" s="80" t="str">
        <f>HYPERLINK("https://twitter.com/correa899/status/1700995001340317709")</f>
        <v>https://twitter.com/correa899/status/1700995001340317709</v>
      </c>
      <c r="AF2383" s="79">
        <v>45179.923437500001</v>
      </c>
      <c r="AG2383" s="85">
        <v>45179</v>
      </c>
      <c r="AH2383" s="82" t="s">
        <v>10442</v>
      </c>
      <c r="AI2383" s="77" t="b">
        <v>0</v>
      </c>
      <c r="AJ2383" s="77"/>
      <c r="AK2383" s="77"/>
      <c r="AL2383" s="77"/>
      <c r="AM2383" s="77"/>
      <c r="AN2383" s="77"/>
      <c r="AO2383" s="77"/>
      <c r="AP2383" s="77"/>
      <c r="AQ2383" s="77"/>
      <c r="AR2383" s="77"/>
      <c r="AS2383" s="77"/>
      <c r="AT2383" s="77"/>
      <c r="AU2383" s="77"/>
      <c r="AV2383" s="80" t="str">
        <f>HYPERLINK("https://pbs.twimg.com/profile_images/2725090237/018522894a55aca0ed6cdbc82f9eb1de_normal.png")</f>
        <v>https://pbs.twimg.com/profile_images/2725090237/018522894a55aca0ed6cdbc82f9eb1de_normal.png</v>
      </c>
      <c r="AW2383" s="82" t="s">
        <v>15468</v>
      </c>
      <c r="AX2383" s="82" t="s">
        <v>15468</v>
      </c>
      <c r="AY2383" s="77"/>
      <c r="AZ2383" s="82" t="s">
        <v>17385</v>
      </c>
      <c r="BA2383" s="82" t="s">
        <v>17385</v>
      </c>
      <c r="BB2383" s="82" t="s">
        <v>17385</v>
      </c>
      <c r="BC2383" s="82" t="s">
        <v>15468</v>
      </c>
      <c r="BD2383" s="77">
        <v>360619751</v>
      </c>
      <c r="BE2383" s="77"/>
      <c r="BF2383" s="77"/>
      <c r="BG2383" s="77"/>
      <c r="BH2383" s="77"/>
      <c r="BI2383" s="77"/>
    </row>
    <row r="2384" spans="1:61" x14ac:dyDescent="0.25">
      <c r="A2384" s="62" t="s">
        <v>614</v>
      </c>
      <c r="B2384" s="62" t="s">
        <v>614</v>
      </c>
      <c r="C2384" s="63"/>
      <c r="D2384" s="64"/>
      <c r="E2384" s="65"/>
      <c r="F2384" s="66"/>
      <c r="G2384" s="63"/>
      <c r="H2384" s="67"/>
      <c r="I2384" s="68"/>
      <c r="J2384" s="68"/>
      <c r="K2384" s="32"/>
      <c r="L2384" s="75">
        <v>2384</v>
      </c>
      <c r="M2384" s="75"/>
      <c r="N2384" s="70"/>
      <c r="O2384" s="77" t="s">
        <v>179</v>
      </c>
      <c r="P2384" s="79">
        <v>45190.945543981485</v>
      </c>
      <c r="Q2384" s="77" t="s">
        <v>3162</v>
      </c>
      <c r="R2384" s="77">
        <v>0</v>
      </c>
      <c r="S2384" s="77">
        <v>0</v>
      </c>
      <c r="T2384" s="77">
        <v>0</v>
      </c>
      <c r="U2384" s="77">
        <v>0</v>
      </c>
      <c r="V2384" s="77">
        <v>3</v>
      </c>
      <c r="W2384" s="82" t="s">
        <v>6309</v>
      </c>
      <c r="X2384" s="80" t="str">
        <f>HYPERLINK("https://tinyurl.com/27z4cwzd")</f>
        <v>https://tinyurl.com/27z4cwzd</v>
      </c>
      <c r="Y2384" s="77" t="s">
        <v>7068</v>
      </c>
      <c r="Z2384" s="77"/>
      <c r="AA2384" s="77"/>
      <c r="AB2384" s="77"/>
      <c r="AC2384" s="82" t="s">
        <v>8232</v>
      </c>
      <c r="AD2384" s="77" t="s">
        <v>8278</v>
      </c>
      <c r="AE2384" s="80" t="str">
        <f>HYPERLINK("https://twitter.com/correa899/status/1704989278919434681")</f>
        <v>https://twitter.com/correa899/status/1704989278919434681</v>
      </c>
      <c r="AF2384" s="79">
        <v>45190.945543981485</v>
      </c>
      <c r="AG2384" s="85">
        <v>45190</v>
      </c>
      <c r="AH2384" s="82" t="s">
        <v>10443</v>
      </c>
      <c r="AI2384" s="77" t="b">
        <v>0</v>
      </c>
      <c r="AJ2384" s="77"/>
      <c r="AK2384" s="77"/>
      <c r="AL2384" s="77"/>
      <c r="AM2384" s="77"/>
      <c r="AN2384" s="77"/>
      <c r="AO2384" s="77"/>
      <c r="AP2384" s="77"/>
      <c r="AQ2384" s="77"/>
      <c r="AR2384" s="77"/>
      <c r="AS2384" s="77"/>
      <c r="AT2384" s="77"/>
      <c r="AU2384" s="77"/>
      <c r="AV2384" s="80" t="str">
        <f>HYPERLINK("https://pbs.twimg.com/profile_images/2725090237/018522894a55aca0ed6cdbc82f9eb1de_normal.png")</f>
        <v>https://pbs.twimg.com/profile_images/2725090237/018522894a55aca0ed6cdbc82f9eb1de_normal.png</v>
      </c>
      <c r="AW2384" s="82" t="s">
        <v>15469</v>
      </c>
      <c r="AX2384" s="82" t="s">
        <v>15469</v>
      </c>
      <c r="AY2384" s="77"/>
      <c r="AZ2384" s="82" t="s">
        <v>17385</v>
      </c>
      <c r="BA2384" s="82" t="s">
        <v>17385</v>
      </c>
      <c r="BB2384" s="82" t="s">
        <v>17385</v>
      </c>
      <c r="BC2384" s="82" t="s">
        <v>15469</v>
      </c>
      <c r="BD2384" s="77">
        <v>360619751</v>
      </c>
      <c r="BE2384" s="77"/>
      <c r="BF2384" s="77"/>
      <c r="BG2384" s="77"/>
      <c r="BH2384" s="77"/>
      <c r="BI2384" s="77"/>
    </row>
    <row r="2385" spans="1:61" x14ac:dyDescent="0.25">
      <c r="A2385" s="62" t="s">
        <v>615</v>
      </c>
      <c r="B2385" s="62" t="s">
        <v>615</v>
      </c>
      <c r="C2385" s="63"/>
      <c r="D2385" s="64"/>
      <c r="E2385" s="65"/>
      <c r="F2385" s="66"/>
      <c r="G2385" s="63"/>
      <c r="H2385" s="67"/>
      <c r="I2385" s="68"/>
      <c r="J2385" s="68"/>
      <c r="K2385" s="32"/>
      <c r="L2385" s="75">
        <v>2385</v>
      </c>
      <c r="M2385" s="75"/>
      <c r="N2385" s="70"/>
      <c r="O2385" s="77" t="s">
        <v>179</v>
      </c>
      <c r="P2385" s="79">
        <v>45149.026273148149</v>
      </c>
      <c r="Q2385" s="77" t="s">
        <v>3163</v>
      </c>
      <c r="R2385" s="77">
        <v>0</v>
      </c>
      <c r="S2385" s="77">
        <v>0</v>
      </c>
      <c r="T2385" s="77">
        <v>0</v>
      </c>
      <c r="U2385" s="77">
        <v>0</v>
      </c>
      <c r="V2385" s="77">
        <v>15</v>
      </c>
      <c r="W2385" s="82" t="s">
        <v>6310</v>
      </c>
      <c r="X2385" s="80" t="str">
        <f>HYPERLINK("https://www.maisnews.com.br/2023/08/dicas-de-atos-de-bondade.html")</f>
        <v>https://www.maisnews.com.br/2023/08/dicas-de-atos-de-bondade.html</v>
      </c>
      <c r="Y2385" s="77" t="s">
        <v>7053</v>
      </c>
      <c r="Z2385" s="77"/>
      <c r="AA2385" s="77" t="s">
        <v>8048</v>
      </c>
      <c r="AB2385" s="77" t="s">
        <v>8225</v>
      </c>
      <c r="AC2385" s="82" t="s">
        <v>8239</v>
      </c>
      <c r="AD2385" s="77" t="s">
        <v>8278</v>
      </c>
      <c r="AE2385" s="80" t="str">
        <f>HYPERLINK("https://twitter.com/maisnewsoficial/status/1689798242836340737")</f>
        <v>https://twitter.com/maisnewsoficial/status/1689798242836340737</v>
      </c>
      <c r="AF2385" s="79">
        <v>45149.026273148149</v>
      </c>
      <c r="AG2385" s="85">
        <v>45149</v>
      </c>
      <c r="AH2385" s="82" t="s">
        <v>10444</v>
      </c>
      <c r="AI2385" s="77" t="b">
        <v>0</v>
      </c>
      <c r="AJ2385" s="77"/>
      <c r="AK2385" s="77"/>
      <c r="AL2385" s="77"/>
      <c r="AM2385" s="77"/>
      <c r="AN2385" s="77"/>
      <c r="AO2385" s="77"/>
      <c r="AP2385" s="77"/>
      <c r="AQ2385" s="77" t="s">
        <v>12933</v>
      </c>
      <c r="AR2385" s="77"/>
      <c r="AS2385" s="77"/>
      <c r="AT2385" s="77"/>
      <c r="AU2385" s="77"/>
      <c r="AV2385" s="80" t="str">
        <f>HYPERLINK("https://pbs.twimg.com/media/F3NeiioXkAAIjl_.jpg")</f>
        <v>https://pbs.twimg.com/media/F3NeiioXkAAIjl_.jpg</v>
      </c>
      <c r="AW2385" s="82" t="s">
        <v>15470</v>
      </c>
      <c r="AX2385" s="82" t="s">
        <v>15470</v>
      </c>
      <c r="AY2385" s="77"/>
      <c r="AZ2385" s="82" t="s">
        <v>17385</v>
      </c>
      <c r="BA2385" s="82" t="s">
        <v>17385</v>
      </c>
      <c r="BB2385" s="82" t="s">
        <v>17385</v>
      </c>
      <c r="BC2385" s="82" t="s">
        <v>15470</v>
      </c>
      <c r="BD2385" s="82" t="s">
        <v>17646</v>
      </c>
      <c r="BE2385" s="77"/>
      <c r="BF2385" s="77"/>
      <c r="BG2385" s="77"/>
      <c r="BH2385" s="77"/>
      <c r="BI2385" s="77"/>
    </row>
    <row r="2386" spans="1:61" x14ac:dyDescent="0.25">
      <c r="A2386" s="62" t="s">
        <v>616</v>
      </c>
      <c r="B2386" s="62" t="s">
        <v>616</v>
      </c>
      <c r="C2386" s="63"/>
      <c r="D2386" s="64"/>
      <c r="E2386" s="65"/>
      <c r="F2386" s="66"/>
      <c r="G2386" s="63"/>
      <c r="H2386" s="67"/>
      <c r="I2386" s="68"/>
      <c r="J2386" s="68"/>
      <c r="K2386" s="32"/>
      <c r="L2386" s="75">
        <v>2386</v>
      </c>
      <c r="M2386" s="75"/>
      <c r="N2386" s="70"/>
      <c r="O2386" s="77" t="s">
        <v>179</v>
      </c>
      <c r="P2386" s="79">
        <v>45058.277430555558</v>
      </c>
      <c r="Q2386" s="77" t="s">
        <v>3164</v>
      </c>
      <c r="R2386" s="77">
        <v>1</v>
      </c>
      <c r="S2386" s="77">
        <v>4</v>
      </c>
      <c r="T2386" s="77">
        <v>5</v>
      </c>
      <c r="U2386" s="77">
        <v>0</v>
      </c>
      <c r="V2386" s="77">
        <v>606</v>
      </c>
      <c r="W2386" s="82" t="s">
        <v>6311</v>
      </c>
      <c r="X2386" s="80" t="str">
        <f>HYPERLINK("https://bit.ly/MinhaCorretoraDeForex")</f>
        <v>https://bit.ly/MinhaCorretoraDeForex</v>
      </c>
      <c r="Y2386" s="77" t="s">
        <v>7063</v>
      </c>
      <c r="Z2386" s="77"/>
      <c r="AA2386" s="77" t="s">
        <v>8049</v>
      </c>
      <c r="AB2386" s="77" t="s">
        <v>8225</v>
      </c>
      <c r="AC2386" s="82" t="s">
        <v>8232</v>
      </c>
      <c r="AD2386" s="77" t="s">
        <v>8278</v>
      </c>
      <c r="AE2386" s="80" t="str">
        <f>HYPERLINK("https://twitter.com/tradervlog/status/1656911962897551361")</f>
        <v>https://twitter.com/tradervlog/status/1656911962897551361</v>
      </c>
      <c r="AF2386" s="79">
        <v>45058.277430555558</v>
      </c>
      <c r="AG2386" s="85">
        <v>45058</v>
      </c>
      <c r="AH2386" s="82" t="s">
        <v>10445</v>
      </c>
      <c r="AI2386" s="77" t="b">
        <v>0</v>
      </c>
      <c r="AJ2386" s="77"/>
      <c r="AK2386" s="77"/>
      <c r="AL2386" s="77"/>
      <c r="AM2386" s="77"/>
      <c r="AN2386" s="77"/>
      <c r="AO2386" s="77"/>
      <c r="AP2386" s="77"/>
      <c r="AQ2386" s="77" t="s">
        <v>12934</v>
      </c>
      <c r="AR2386" s="77"/>
      <c r="AS2386" s="77"/>
      <c r="AT2386" s="77"/>
      <c r="AU2386" s="77"/>
      <c r="AV2386" s="80" t="str">
        <f>HYPERLINK("https://pbs.twimg.com/media/Fv6IMh1akAAtMdJ.png")</f>
        <v>https://pbs.twimg.com/media/Fv6IMh1akAAtMdJ.png</v>
      </c>
      <c r="AW2386" s="82" t="s">
        <v>15471</v>
      </c>
      <c r="AX2386" s="82" t="s">
        <v>15471</v>
      </c>
      <c r="AY2386" s="77"/>
      <c r="AZ2386" s="82" t="s">
        <v>17385</v>
      </c>
      <c r="BA2386" s="82" t="s">
        <v>17385</v>
      </c>
      <c r="BB2386" s="82" t="s">
        <v>17385</v>
      </c>
      <c r="BC2386" s="82" t="s">
        <v>15471</v>
      </c>
      <c r="BD2386" s="82" t="s">
        <v>17647</v>
      </c>
      <c r="BE2386" s="77"/>
      <c r="BF2386" s="77"/>
      <c r="BG2386" s="77"/>
      <c r="BH2386" s="77"/>
      <c r="BI2386" s="77"/>
    </row>
    <row r="2387" spans="1:61" x14ac:dyDescent="0.25">
      <c r="A2387" s="62" t="s">
        <v>617</v>
      </c>
      <c r="B2387" s="62" t="s">
        <v>617</v>
      </c>
      <c r="C2387" s="63"/>
      <c r="D2387" s="64"/>
      <c r="E2387" s="65"/>
      <c r="F2387" s="66"/>
      <c r="G2387" s="63"/>
      <c r="H2387" s="67"/>
      <c r="I2387" s="68"/>
      <c r="J2387" s="68"/>
      <c r="K2387" s="32"/>
      <c r="L2387" s="75">
        <v>2387</v>
      </c>
      <c r="M2387" s="75"/>
      <c r="N2387" s="70"/>
      <c r="O2387" s="77" t="s">
        <v>800</v>
      </c>
      <c r="P2387" s="79">
        <v>45167.563263888886</v>
      </c>
      <c r="Q2387" s="77" t="s">
        <v>3165</v>
      </c>
      <c r="R2387" s="77">
        <v>0</v>
      </c>
      <c r="S2387" s="77">
        <v>0</v>
      </c>
      <c r="T2387" s="77">
        <v>1</v>
      </c>
      <c r="U2387" s="77">
        <v>0</v>
      </c>
      <c r="V2387" s="77">
        <v>28</v>
      </c>
      <c r="W2387" s="82" t="s">
        <v>4835</v>
      </c>
      <c r="X2387" s="77"/>
      <c r="Y2387" s="77"/>
      <c r="Z2387" s="77"/>
      <c r="AA2387" s="77"/>
      <c r="AB2387" s="77"/>
      <c r="AC2387" s="82" t="s">
        <v>8232</v>
      </c>
      <c r="AD2387" s="77" t="s">
        <v>8278</v>
      </c>
      <c r="AE2387" s="80" t="str">
        <f>HYPERLINK("https://twitter.com/invest_nomad/status/1696515822246900200")</f>
        <v>https://twitter.com/invest_nomad/status/1696515822246900200</v>
      </c>
      <c r="AF2387" s="79">
        <v>45167.563263888886</v>
      </c>
      <c r="AG2387" s="85">
        <v>45167</v>
      </c>
      <c r="AH2387" s="82" t="s">
        <v>9291</v>
      </c>
      <c r="AI2387" s="77"/>
      <c r="AJ2387" s="77"/>
      <c r="AK2387" s="77"/>
      <c r="AL2387" s="77"/>
      <c r="AM2387" s="77"/>
      <c r="AN2387" s="77"/>
      <c r="AO2387" s="77"/>
      <c r="AP2387" s="77"/>
      <c r="AQ2387" s="77"/>
      <c r="AR2387" s="77"/>
      <c r="AS2387" s="77"/>
      <c r="AT2387" s="77"/>
      <c r="AU2387" s="77"/>
      <c r="AV2387" s="80" t="str">
        <f>HYPERLINK("https://pbs.twimg.com/profile_images/1688641551843336192/rt1KBuic_normal.jpg")</f>
        <v>https://pbs.twimg.com/profile_images/1688641551843336192/rt1KBuic_normal.jpg</v>
      </c>
      <c r="AW2387" s="82" t="s">
        <v>15472</v>
      </c>
      <c r="AX2387" s="82" t="s">
        <v>17206</v>
      </c>
      <c r="AY2387" s="82" t="s">
        <v>17370</v>
      </c>
      <c r="AZ2387" s="82" t="s">
        <v>17421</v>
      </c>
      <c r="BA2387" s="82" t="s">
        <v>17385</v>
      </c>
      <c r="BB2387" s="82" t="s">
        <v>17385</v>
      </c>
      <c r="BC2387" s="82" t="s">
        <v>17421</v>
      </c>
      <c r="BD2387" s="82" t="s">
        <v>17370</v>
      </c>
      <c r="BE2387" s="77"/>
      <c r="BF2387" s="77"/>
      <c r="BG2387" s="77"/>
      <c r="BH2387" s="77"/>
      <c r="BI2387" s="77"/>
    </row>
    <row r="2388" spans="1:61" x14ac:dyDescent="0.25">
      <c r="A2388" s="62" t="s">
        <v>618</v>
      </c>
      <c r="B2388" s="62" t="s">
        <v>618</v>
      </c>
      <c r="C2388" s="63"/>
      <c r="D2388" s="64"/>
      <c r="E2388" s="65"/>
      <c r="F2388" s="66"/>
      <c r="G2388" s="63"/>
      <c r="H2388" s="67"/>
      <c r="I2388" s="68"/>
      <c r="J2388" s="68"/>
      <c r="K2388" s="32"/>
      <c r="L2388" s="75">
        <v>2388</v>
      </c>
      <c r="M2388" s="75"/>
      <c r="N2388" s="70"/>
      <c r="O2388" s="77" t="s">
        <v>179</v>
      </c>
      <c r="P2388" s="79">
        <v>45176.59447916667</v>
      </c>
      <c r="Q2388" s="77" t="s">
        <v>3166</v>
      </c>
      <c r="R2388" s="77">
        <v>0</v>
      </c>
      <c r="S2388" s="77">
        <v>0</v>
      </c>
      <c r="T2388" s="77">
        <v>0</v>
      </c>
      <c r="U2388" s="77">
        <v>0</v>
      </c>
      <c r="V2388" s="77">
        <v>9</v>
      </c>
      <c r="W2388" s="82" t="s">
        <v>6312</v>
      </c>
      <c r="X2388" s="77"/>
      <c r="Y2388" s="77"/>
      <c r="Z2388" s="77"/>
      <c r="AA2388" s="77" t="s">
        <v>8050</v>
      </c>
      <c r="AB2388" s="77" t="s">
        <v>8225</v>
      </c>
      <c r="AC2388" s="82" t="s">
        <v>8232</v>
      </c>
      <c r="AD2388" s="77" t="s">
        <v>8278</v>
      </c>
      <c r="AE2388" s="80" t="str">
        <f>HYPERLINK("https://twitter.com/i_monetaria/status/1699788624827662422")</f>
        <v>https://twitter.com/i_monetaria/status/1699788624827662422</v>
      </c>
      <c r="AF2388" s="79">
        <v>45176.59447916667</v>
      </c>
      <c r="AG2388" s="85">
        <v>45176</v>
      </c>
      <c r="AH2388" s="82" t="s">
        <v>10446</v>
      </c>
      <c r="AI2388" s="77" t="b">
        <v>0</v>
      </c>
      <c r="AJ2388" s="77"/>
      <c r="AK2388" s="77"/>
      <c r="AL2388" s="77"/>
      <c r="AM2388" s="77"/>
      <c r="AN2388" s="77"/>
      <c r="AO2388" s="77"/>
      <c r="AP2388" s="77"/>
      <c r="AQ2388" s="77" t="s">
        <v>12935</v>
      </c>
      <c r="AR2388" s="77"/>
      <c r="AS2388" s="77"/>
      <c r="AT2388" s="77"/>
      <c r="AU2388" s="77"/>
      <c r="AV2388" s="80" t="str">
        <f>HYPERLINK("https://pbs.twimg.com/media/F5bcqmNbwAAr_xv.jpg")</f>
        <v>https://pbs.twimg.com/media/F5bcqmNbwAAr_xv.jpg</v>
      </c>
      <c r="AW2388" s="82" t="s">
        <v>15473</v>
      </c>
      <c r="AX2388" s="82" t="s">
        <v>15473</v>
      </c>
      <c r="AY2388" s="77"/>
      <c r="AZ2388" s="82" t="s">
        <v>17385</v>
      </c>
      <c r="BA2388" s="82" t="s">
        <v>17385</v>
      </c>
      <c r="BB2388" s="82" t="s">
        <v>17385</v>
      </c>
      <c r="BC2388" s="82" t="s">
        <v>15473</v>
      </c>
      <c r="BD2388" s="82" t="s">
        <v>17648</v>
      </c>
      <c r="BE2388" s="77"/>
      <c r="BF2388" s="77"/>
      <c r="BG2388" s="77"/>
      <c r="BH2388" s="77"/>
      <c r="BI2388" s="77"/>
    </row>
    <row r="2389" spans="1:61" x14ac:dyDescent="0.25">
      <c r="A2389" s="62" t="s">
        <v>619</v>
      </c>
      <c r="B2389" s="62" t="s">
        <v>619</v>
      </c>
      <c r="C2389" s="63"/>
      <c r="D2389" s="64"/>
      <c r="E2389" s="65"/>
      <c r="F2389" s="66"/>
      <c r="G2389" s="63"/>
      <c r="H2389" s="67"/>
      <c r="I2389" s="68"/>
      <c r="J2389" s="68"/>
      <c r="K2389" s="32"/>
      <c r="L2389" s="75">
        <v>2389</v>
      </c>
      <c r="M2389" s="75"/>
      <c r="N2389" s="70"/>
      <c r="O2389" s="77" t="s">
        <v>179</v>
      </c>
      <c r="P2389" s="79">
        <v>45058.608761574076</v>
      </c>
      <c r="Q2389" s="77" t="s">
        <v>3167</v>
      </c>
      <c r="R2389" s="77">
        <v>0</v>
      </c>
      <c r="S2389" s="77">
        <v>0</v>
      </c>
      <c r="T2389" s="77">
        <v>0</v>
      </c>
      <c r="U2389" s="77">
        <v>0</v>
      </c>
      <c r="V2389" s="77">
        <v>118</v>
      </c>
      <c r="W2389" s="82" t="s">
        <v>6313</v>
      </c>
      <c r="X2389" s="77"/>
      <c r="Y2389" s="77"/>
      <c r="Z2389" s="77"/>
      <c r="AA2389" s="77" t="s">
        <v>8051</v>
      </c>
      <c r="AB2389" s="77" t="s">
        <v>8225</v>
      </c>
      <c r="AC2389" s="82" t="s">
        <v>8232</v>
      </c>
      <c r="AD2389" s="77" t="s">
        <v>8278</v>
      </c>
      <c r="AE2389" s="80" t="str">
        <f>HYPERLINK("https://twitter.com/pensemercado/status/1657032032071962626")</f>
        <v>https://twitter.com/pensemercado/status/1657032032071962626</v>
      </c>
      <c r="AF2389" s="79">
        <v>45058.608761574076</v>
      </c>
      <c r="AG2389" s="85">
        <v>45058</v>
      </c>
      <c r="AH2389" s="82" t="s">
        <v>10447</v>
      </c>
      <c r="AI2389" s="77" t="b">
        <v>0</v>
      </c>
      <c r="AJ2389" s="77"/>
      <c r="AK2389" s="77"/>
      <c r="AL2389" s="77"/>
      <c r="AM2389" s="77"/>
      <c r="AN2389" s="77"/>
      <c r="AO2389" s="77"/>
      <c r="AP2389" s="77"/>
      <c r="AQ2389" s="77" t="s">
        <v>12936</v>
      </c>
      <c r="AR2389" s="77"/>
      <c r="AS2389" s="77"/>
      <c r="AT2389" s="77"/>
      <c r="AU2389" s="77"/>
      <c r="AV2389" s="80" t="str">
        <f>HYPERLINK("https://pbs.twimg.com/media/Fv71tavXsAQqn8v.jpg")</f>
        <v>https://pbs.twimg.com/media/Fv71tavXsAQqn8v.jpg</v>
      </c>
      <c r="AW2389" s="82" t="s">
        <v>15474</v>
      </c>
      <c r="AX2389" s="82" t="s">
        <v>15474</v>
      </c>
      <c r="AY2389" s="77"/>
      <c r="AZ2389" s="82" t="s">
        <v>17385</v>
      </c>
      <c r="BA2389" s="82" t="s">
        <v>17385</v>
      </c>
      <c r="BB2389" s="82" t="s">
        <v>17385</v>
      </c>
      <c r="BC2389" s="82" t="s">
        <v>15474</v>
      </c>
      <c r="BD2389" s="82" t="s">
        <v>17649</v>
      </c>
      <c r="BE2389" s="77"/>
      <c r="BF2389" s="77"/>
      <c r="BG2389" s="77"/>
      <c r="BH2389" s="77"/>
      <c r="BI2389" s="77"/>
    </row>
    <row r="2390" spans="1:61" x14ac:dyDescent="0.25">
      <c r="A2390" s="62" t="s">
        <v>619</v>
      </c>
      <c r="B2390" s="62" t="s">
        <v>619</v>
      </c>
      <c r="C2390" s="63"/>
      <c r="D2390" s="64"/>
      <c r="E2390" s="65"/>
      <c r="F2390" s="66"/>
      <c r="G2390" s="63"/>
      <c r="H2390" s="67"/>
      <c r="I2390" s="68"/>
      <c r="J2390" s="68"/>
      <c r="K2390" s="32"/>
      <c r="L2390" s="75">
        <v>2390</v>
      </c>
      <c r="M2390" s="75"/>
      <c r="N2390" s="70"/>
      <c r="O2390" s="77" t="s">
        <v>179</v>
      </c>
      <c r="P2390" s="79">
        <v>45062.534189814818</v>
      </c>
      <c r="Q2390" s="77" t="s">
        <v>3168</v>
      </c>
      <c r="R2390" s="77">
        <v>1</v>
      </c>
      <c r="S2390" s="77">
        <v>1</v>
      </c>
      <c r="T2390" s="77">
        <v>0</v>
      </c>
      <c r="U2390" s="77">
        <v>0</v>
      </c>
      <c r="V2390" s="77">
        <v>251</v>
      </c>
      <c r="W2390" s="82" t="s">
        <v>6314</v>
      </c>
      <c r="X2390" s="77"/>
      <c r="Y2390" s="77"/>
      <c r="Z2390" s="77"/>
      <c r="AA2390" s="77" t="s">
        <v>8052</v>
      </c>
      <c r="AB2390" s="77" t="s">
        <v>8228</v>
      </c>
      <c r="AC2390" s="82" t="s">
        <v>8232</v>
      </c>
      <c r="AD2390" s="77" t="s">
        <v>8278</v>
      </c>
      <c r="AE2390" s="80" t="str">
        <f>HYPERLINK("https://twitter.com/pensemercado/status/1658454561504346114")</f>
        <v>https://twitter.com/pensemercado/status/1658454561504346114</v>
      </c>
      <c r="AF2390" s="79">
        <v>45062.534189814818</v>
      </c>
      <c r="AG2390" s="85">
        <v>45062</v>
      </c>
      <c r="AH2390" s="82" t="s">
        <v>10448</v>
      </c>
      <c r="AI2390" s="77" t="b">
        <v>0</v>
      </c>
      <c r="AJ2390" s="77"/>
      <c r="AK2390" s="77"/>
      <c r="AL2390" s="77"/>
      <c r="AM2390" s="77"/>
      <c r="AN2390" s="77"/>
      <c r="AO2390" s="77"/>
      <c r="AP2390" s="77"/>
      <c r="AQ2390" s="77" t="s">
        <v>12937</v>
      </c>
      <c r="AR2390" s="77"/>
      <c r="AS2390" s="77"/>
      <c r="AT2390" s="77"/>
      <c r="AU2390" s="77"/>
      <c r="AV2390" s="80" t="str">
        <f>HYPERLINK("https://pbs.twimg.com/media/FwQDHrkWYAMQ-rO.png")</f>
        <v>https://pbs.twimg.com/media/FwQDHrkWYAMQ-rO.png</v>
      </c>
      <c r="AW2390" s="82" t="s">
        <v>15475</v>
      </c>
      <c r="AX2390" s="82" t="s">
        <v>15475</v>
      </c>
      <c r="AY2390" s="77"/>
      <c r="AZ2390" s="82" t="s">
        <v>17385</v>
      </c>
      <c r="BA2390" s="82" t="s">
        <v>17385</v>
      </c>
      <c r="BB2390" s="82" t="s">
        <v>17385</v>
      </c>
      <c r="BC2390" s="82" t="s">
        <v>15475</v>
      </c>
      <c r="BD2390" s="82" t="s">
        <v>17649</v>
      </c>
      <c r="BE2390" s="77"/>
      <c r="BF2390" s="77"/>
      <c r="BG2390" s="77"/>
      <c r="BH2390" s="77"/>
      <c r="BI2390" s="77"/>
    </row>
    <row r="2391" spans="1:61" x14ac:dyDescent="0.25">
      <c r="A2391" s="62" t="s">
        <v>619</v>
      </c>
      <c r="B2391" s="62" t="s">
        <v>619</v>
      </c>
      <c r="C2391" s="63"/>
      <c r="D2391" s="64"/>
      <c r="E2391" s="65"/>
      <c r="F2391" s="66"/>
      <c r="G2391" s="63"/>
      <c r="H2391" s="67"/>
      <c r="I2391" s="68"/>
      <c r="J2391" s="68"/>
      <c r="K2391" s="32"/>
      <c r="L2391" s="75">
        <v>2391</v>
      </c>
      <c r="M2391" s="75"/>
      <c r="N2391" s="70"/>
      <c r="O2391" s="77" t="s">
        <v>179</v>
      </c>
      <c r="P2391" s="79">
        <v>45091.711388888885</v>
      </c>
      <c r="Q2391" s="77" t="s">
        <v>3169</v>
      </c>
      <c r="R2391" s="77">
        <v>1</v>
      </c>
      <c r="S2391" s="77">
        <v>1</v>
      </c>
      <c r="T2391" s="77">
        <v>0</v>
      </c>
      <c r="U2391" s="77">
        <v>0</v>
      </c>
      <c r="V2391" s="77">
        <v>188</v>
      </c>
      <c r="W2391" s="82" t="s">
        <v>6315</v>
      </c>
      <c r="X2391" s="77"/>
      <c r="Y2391" s="77"/>
      <c r="Z2391" s="77"/>
      <c r="AA2391" s="77" t="s">
        <v>8053</v>
      </c>
      <c r="AB2391" s="77" t="s">
        <v>8227</v>
      </c>
      <c r="AC2391" s="82" t="s">
        <v>8232</v>
      </c>
      <c r="AD2391" s="77" t="s">
        <v>8278</v>
      </c>
      <c r="AE2391" s="80" t="str">
        <f>HYPERLINK("https://twitter.com/pensemercado/status/1669028024841379844")</f>
        <v>https://twitter.com/pensemercado/status/1669028024841379844</v>
      </c>
      <c r="AF2391" s="79">
        <v>45091.711388888885</v>
      </c>
      <c r="AG2391" s="85">
        <v>45091</v>
      </c>
      <c r="AH2391" s="82" t="s">
        <v>10449</v>
      </c>
      <c r="AI2391" s="77" t="b">
        <v>0</v>
      </c>
      <c r="AJ2391" s="77"/>
      <c r="AK2391" s="77"/>
      <c r="AL2391" s="77"/>
      <c r="AM2391" s="77"/>
      <c r="AN2391" s="77"/>
      <c r="AO2391" s="77"/>
      <c r="AP2391" s="77"/>
      <c r="AQ2391" s="77" t="s">
        <v>12938</v>
      </c>
      <c r="AR2391" s="77">
        <v>445612</v>
      </c>
      <c r="AS2391" s="77"/>
      <c r="AT2391" s="77"/>
      <c r="AU2391" s="77"/>
      <c r="AV2391" s="80" t="str">
        <f>HYPERLINK("https://pbs.twimg.com/ext_tw_video_thumb/1669027031974125582/pu/img/ijDF12B9WR8ep14y.jpg")</f>
        <v>https://pbs.twimg.com/ext_tw_video_thumb/1669027031974125582/pu/img/ijDF12B9WR8ep14y.jpg</v>
      </c>
      <c r="AW2391" s="82" t="s">
        <v>15476</v>
      </c>
      <c r="AX2391" s="82" t="s">
        <v>15476</v>
      </c>
      <c r="AY2391" s="77"/>
      <c r="AZ2391" s="82" t="s">
        <v>17385</v>
      </c>
      <c r="BA2391" s="82" t="s">
        <v>17385</v>
      </c>
      <c r="BB2391" s="82" t="s">
        <v>17385</v>
      </c>
      <c r="BC2391" s="82" t="s">
        <v>15476</v>
      </c>
      <c r="BD2391" s="82" t="s">
        <v>17649</v>
      </c>
      <c r="BE2391" s="77"/>
      <c r="BF2391" s="77"/>
      <c r="BG2391" s="77"/>
      <c r="BH2391" s="77"/>
      <c r="BI2391" s="77"/>
    </row>
    <row r="2392" spans="1:61" x14ac:dyDescent="0.25">
      <c r="A2392" s="62" t="s">
        <v>619</v>
      </c>
      <c r="B2392" s="62" t="s">
        <v>619</v>
      </c>
      <c r="C2392" s="63"/>
      <c r="D2392" s="64"/>
      <c r="E2392" s="65"/>
      <c r="F2392" s="66"/>
      <c r="G2392" s="63"/>
      <c r="H2392" s="67"/>
      <c r="I2392" s="68"/>
      <c r="J2392" s="68"/>
      <c r="K2392" s="32"/>
      <c r="L2392" s="75">
        <v>2392</v>
      </c>
      <c r="M2392" s="75"/>
      <c r="N2392" s="70"/>
      <c r="O2392" s="77" t="s">
        <v>179</v>
      </c>
      <c r="P2392" s="79">
        <v>45090.552986111114</v>
      </c>
      <c r="Q2392" s="77" t="s">
        <v>3170</v>
      </c>
      <c r="R2392" s="77">
        <v>0</v>
      </c>
      <c r="S2392" s="77">
        <v>2</v>
      </c>
      <c r="T2392" s="77">
        <v>0</v>
      </c>
      <c r="U2392" s="77">
        <v>1</v>
      </c>
      <c r="V2392" s="77">
        <v>117</v>
      </c>
      <c r="W2392" s="82" t="s">
        <v>6316</v>
      </c>
      <c r="X2392" s="77"/>
      <c r="Y2392" s="77"/>
      <c r="Z2392" s="77"/>
      <c r="AA2392" s="77" t="s">
        <v>8054</v>
      </c>
      <c r="AB2392" s="77" t="s">
        <v>8225</v>
      </c>
      <c r="AC2392" s="82" t="s">
        <v>8232</v>
      </c>
      <c r="AD2392" s="77" t="s">
        <v>8278</v>
      </c>
      <c r="AE2392" s="80" t="str">
        <f>HYPERLINK("https://twitter.com/pensemercado/status/1668608233391509504")</f>
        <v>https://twitter.com/pensemercado/status/1668608233391509504</v>
      </c>
      <c r="AF2392" s="79">
        <v>45090.552986111114</v>
      </c>
      <c r="AG2392" s="85">
        <v>45090</v>
      </c>
      <c r="AH2392" s="82" t="s">
        <v>10450</v>
      </c>
      <c r="AI2392" s="77" t="b">
        <v>0</v>
      </c>
      <c r="AJ2392" s="77"/>
      <c r="AK2392" s="77"/>
      <c r="AL2392" s="77"/>
      <c r="AM2392" s="77"/>
      <c r="AN2392" s="77"/>
      <c r="AO2392" s="77"/>
      <c r="AP2392" s="77"/>
      <c r="AQ2392" s="77" t="s">
        <v>12939</v>
      </c>
      <c r="AR2392" s="77"/>
      <c r="AS2392" s="77"/>
      <c r="AT2392" s="77"/>
      <c r="AU2392" s="77"/>
      <c r="AV2392" s="80" t="str">
        <f>HYPERLINK("https://pbs.twimg.com/media/FygWA12XwAIXqO3.jpg")</f>
        <v>https://pbs.twimg.com/media/FygWA12XwAIXqO3.jpg</v>
      </c>
      <c r="AW2392" s="82" t="s">
        <v>15477</v>
      </c>
      <c r="AX2392" s="82" t="s">
        <v>15477</v>
      </c>
      <c r="AY2392" s="77"/>
      <c r="AZ2392" s="82" t="s">
        <v>17385</v>
      </c>
      <c r="BA2392" s="82" t="s">
        <v>17385</v>
      </c>
      <c r="BB2392" s="82" t="s">
        <v>17385</v>
      </c>
      <c r="BC2392" s="82" t="s">
        <v>15477</v>
      </c>
      <c r="BD2392" s="82" t="s">
        <v>17649</v>
      </c>
      <c r="BE2392" s="77"/>
      <c r="BF2392" s="77"/>
      <c r="BG2392" s="77"/>
      <c r="BH2392" s="77"/>
      <c r="BI2392" s="77"/>
    </row>
    <row r="2393" spans="1:61" x14ac:dyDescent="0.25">
      <c r="A2393" s="62" t="s">
        <v>620</v>
      </c>
      <c r="B2393" s="62" t="s">
        <v>792</v>
      </c>
      <c r="C2393" s="63"/>
      <c r="D2393" s="64"/>
      <c r="E2393" s="65"/>
      <c r="F2393" s="66"/>
      <c r="G2393" s="63"/>
      <c r="H2393" s="67"/>
      <c r="I2393" s="68"/>
      <c r="J2393" s="68"/>
      <c r="K2393" s="32"/>
      <c r="L2393" s="75">
        <v>2393</v>
      </c>
      <c r="M2393" s="75"/>
      <c r="N2393" s="70"/>
      <c r="O2393" s="77" t="s">
        <v>805</v>
      </c>
      <c r="P2393" s="79">
        <v>45139.707754629628</v>
      </c>
      <c r="Q2393" s="77" t="s">
        <v>3171</v>
      </c>
      <c r="R2393" s="77">
        <v>0</v>
      </c>
      <c r="S2393" s="77">
        <v>3</v>
      </c>
      <c r="T2393" s="77">
        <v>0</v>
      </c>
      <c r="U2393" s="77">
        <v>0</v>
      </c>
      <c r="V2393" s="77">
        <v>92</v>
      </c>
      <c r="W2393" s="82" t="s">
        <v>6317</v>
      </c>
      <c r="X2393" s="77"/>
      <c r="Y2393" s="77"/>
      <c r="Z2393" s="77" t="s">
        <v>7165</v>
      </c>
      <c r="AA2393" s="77"/>
      <c r="AB2393" s="77"/>
      <c r="AC2393" s="82" t="s">
        <v>8233</v>
      </c>
      <c r="AD2393" s="77" t="s">
        <v>8278</v>
      </c>
      <c r="AE2393" s="80" t="str">
        <f>HYPERLINK("https://twitter.com/carvalhoalves/status/1686421322367225861")</f>
        <v>https://twitter.com/carvalhoalves/status/1686421322367225861</v>
      </c>
      <c r="AF2393" s="79">
        <v>45139.707754629628</v>
      </c>
      <c r="AG2393" s="85">
        <v>45139</v>
      </c>
      <c r="AH2393" s="82" t="s">
        <v>10451</v>
      </c>
      <c r="AI2393" s="77"/>
      <c r="AJ2393" s="77"/>
      <c r="AK2393" s="77"/>
      <c r="AL2393" s="77"/>
      <c r="AM2393" s="77"/>
      <c r="AN2393" s="77"/>
      <c r="AO2393" s="77"/>
      <c r="AP2393" s="77"/>
      <c r="AQ2393" s="77"/>
      <c r="AR2393" s="77"/>
      <c r="AS2393" s="77"/>
      <c r="AT2393" s="77"/>
      <c r="AU2393" s="77"/>
      <c r="AV2393" s="80" t="str">
        <f>HYPERLINK("https://pbs.twimg.com/profile_images/1691954772008386560/6TSuua77_normal.jpg")</f>
        <v>https://pbs.twimg.com/profile_images/1691954772008386560/6TSuua77_normal.jpg</v>
      </c>
      <c r="AW2393" s="82" t="s">
        <v>15478</v>
      </c>
      <c r="AX2393" s="82" t="s">
        <v>17207</v>
      </c>
      <c r="AY2393" s="82" t="s">
        <v>17371</v>
      </c>
      <c r="AZ2393" s="82" t="s">
        <v>17207</v>
      </c>
      <c r="BA2393" s="82" t="s">
        <v>17385</v>
      </c>
      <c r="BB2393" s="82" t="s">
        <v>17385</v>
      </c>
      <c r="BC2393" s="82" t="s">
        <v>17207</v>
      </c>
      <c r="BD2393" s="82" t="s">
        <v>17650</v>
      </c>
      <c r="BE2393" s="77"/>
      <c r="BF2393" s="77"/>
      <c r="BG2393" s="77"/>
      <c r="BH2393" s="77"/>
      <c r="BI2393" s="77"/>
    </row>
    <row r="2394" spans="1:61" x14ac:dyDescent="0.25">
      <c r="A2394" s="62" t="s">
        <v>620</v>
      </c>
      <c r="B2394" s="62" t="s">
        <v>793</v>
      </c>
      <c r="C2394" s="63"/>
      <c r="D2394" s="64"/>
      <c r="E2394" s="65"/>
      <c r="F2394" s="66"/>
      <c r="G2394" s="63"/>
      <c r="H2394" s="67"/>
      <c r="I2394" s="68"/>
      <c r="J2394" s="68"/>
      <c r="K2394" s="32"/>
      <c r="L2394" s="75">
        <v>2394</v>
      </c>
      <c r="M2394" s="75"/>
      <c r="N2394" s="70"/>
      <c r="O2394" s="77" t="s">
        <v>800</v>
      </c>
      <c r="P2394" s="79">
        <v>45139.707754629628</v>
      </c>
      <c r="Q2394" s="77" t="s">
        <v>3171</v>
      </c>
      <c r="R2394" s="77">
        <v>0</v>
      </c>
      <c r="S2394" s="77">
        <v>3</v>
      </c>
      <c r="T2394" s="77">
        <v>0</v>
      </c>
      <c r="U2394" s="77">
        <v>0</v>
      </c>
      <c r="V2394" s="77">
        <v>92</v>
      </c>
      <c r="W2394" s="82" t="s">
        <v>6317</v>
      </c>
      <c r="X2394" s="77"/>
      <c r="Y2394" s="77"/>
      <c r="Z2394" s="77" t="s">
        <v>7165</v>
      </c>
      <c r="AA2394" s="77"/>
      <c r="AB2394" s="77"/>
      <c r="AC2394" s="82" t="s">
        <v>8233</v>
      </c>
      <c r="AD2394" s="77" t="s">
        <v>8278</v>
      </c>
      <c r="AE2394" s="80" t="str">
        <f>HYPERLINK("https://twitter.com/carvalhoalves/status/1686421322367225861")</f>
        <v>https://twitter.com/carvalhoalves/status/1686421322367225861</v>
      </c>
      <c r="AF2394" s="79">
        <v>45139.707754629628</v>
      </c>
      <c r="AG2394" s="85">
        <v>45139</v>
      </c>
      <c r="AH2394" s="82" t="s">
        <v>10451</v>
      </c>
      <c r="AI2394" s="77"/>
      <c r="AJ2394" s="77"/>
      <c r="AK2394" s="77"/>
      <c r="AL2394" s="77"/>
      <c r="AM2394" s="77"/>
      <c r="AN2394" s="77"/>
      <c r="AO2394" s="77"/>
      <c r="AP2394" s="77"/>
      <c r="AQ2394" s="77"/>
      <c r="AR2394" s="77"/>
      <c r="AS2394" s="77"/>
      <c r="AT2394" s="77"/>
      <c r="AU2394" s="77"/>
      <c r="AV2394" s="80" t="str">
        <f>HYPERLINK("https://pbs.twimg.com/profile_images/1691954772008386560/6TSuua77_normal.jpg")</f>
        <v>https://pbs.twimg.com/profile_images/1691954772008386560/6TSuua77_normal.jpg</v>
      </c>
      <c r="AW2394" s="82" t="s">
        <v>15478</v>
      </c>
      <c r="AX2394" s="82" t="s">
        <v>17207</v>
      </c>
      <c r="AY2394" s="82" t="s">
        <v>17371</v>
      </c>
      <c r="AZ2394" s="82" t="s">
        <v>17207</v>
      </c>
      <c r="BA2394" s="82" t="s">
        <v>17385</v>
      </c>
      <c r="BB2394" s="82" t="s">
        <v>17385</v>
      </c>
      <c r="BC2394" s="82" t="s">
        <v>17207</v>
      </c>
      <c r="BD2394" s="82" t="s">
        <v>17650</v>
      </c>
      <c r="BE2394" s="77"/>
      <c r="BF2394" s="77"/>
      <c r="BG2394" s="77"/>
      <c r="BH2394" s="77"/>
      <c r="BI2394" s="77"/>
    </row>
    <row r="2395" spans="1:61" x14ac:dyDescent="0.25">
      <c r="A2395" s="62" t="s">
        <v>621</v>
      </c>
      <c r="B2395" s="62" t="s">
        <v>621</v>
      </c>
      <c r="C2395" s="63"/>
      <c r="D2395" s="64"/>
      <c r="E2395" s="65"/>
      <c r="F2395" s="66"/>
      <c r="G2395" s="63"/>
      <c r="H2395" s="67"/>
      <c r="I2395" s="68"/>
      <c r="J2395" s="68"/>
      <c r="K2395" s="32"/>
      <c r="L2395" s="75">
        <v>2395</v>
      </c>
      <c r="M2395" s="75"/>
      <c r="N2395" s="70"/>
      <c r="O2395" s="77" t="s">
        <v>179</v>
      </c>
      <c r="P2395" s="79">
        <v>45063.391076388885</v>
      </c>
      <c r="Q2395" s="77" t="s">
        <v>3172</v>
      </c>
      <c r="R2395" s="77">
        <v>0</v>
      </c>
      <c r="S2395" s="77">
        <v>0</v>
      </c>
      <c r="T2395" s="77">
        <v>0</v>
      </c>
      <c r="U2395" s="77">
        <v>0</v>
      </c>
      <c r="V2395" s="77">
        <v>14</v>
      </c>
      <c r="W2395" s="82" t="s">
        <v>6318</v>
      </c>
      <c r="X2395" s="80" t="str">
        <f>HYPERLINK("https://youtu.be/Nmm1r4FJ9n4")</f>
        <v>https://youtu.be/Nmm1r4FJ9n4</v>
      </c>
      <c r="Y2395" s="77" t="s">
        <v>7064</v>
      </c>
      <c r="Z2395" s="77"/>
      <c r="AA2395" s="77"/>
      <c r="AB2395" s="77"/>
      <c r="AC2395" s="82" t="s">
        <v>8234</v>
      </c>
      <c r="AD2395" s="77" t="s">
        <v>8280</v>
      </c>
      <c r="AE2395" s="80" t="str">
        <f>HYPERLINK("https://twitter.com/invista_nabolsa/status/1658765083894267910")</f>
        <v>https://twitter.com/invista_nabolsa/status/1658765083894267910</v>
      </c>
      <c r="AF2395" s="79">
        <v>45063.391076388885</v>
      </c>
      <c r="AG2395" s="85">
        <v>45063</v>
      </c>
      <c r="AH2395" s="82" t="s">
        <v>10452</v>
      </c>
      <c r="AI2395" s="77" t="b">
        <v>0</v>
      </c>
      <c r="AJ2395" s="77"/>
      <c r="AK2395" s="77"/>
      <c r="AL2395" s="77"/>
      <c r="AM2395" s="77"/>
      <c r="AN2395" s="77"/>
      <c r="AO2395" s="77"/>
      <c r="AP2395" s="77"/>
      <c r="AQ2395" s="77"/>
      <c r="AR2395" s="77"/>
      <c r="AS2395" s="77"/>
      <c r="AT2395" s="77"/>
      <c r="AU2395" s="77"/>
      <c r="AV2395" s="80" t="str">
        <f>HYPERLINK("https://pbs.twimg.com/profile_images/1596946445990612992/VQ4MELRm_normal.jpg")</f>
        <v>https://pbs.twimg.com/profile_images/1596946445990612992/VQ4MELRm_normal.jpg</v>
      </c>
      <c r="AW2395" s="82" t="s">
        <v>15479</v>
      </c>
      <c r="AX2395" s="82" t="s">
        <v>15479</v>
      </c>
      <c r="AY2395" s="77"/>
      <c r="AZ2395" s="82" t="s">
        <v>17385</v>
      </c>
      <c r="BA2395" s="82" t="s">
        <v>17385</v>
      </c>
      <c r="BB2395" s="82" t="s">
        <v>17385</v>
      </c>
      <c r="BC2395" s="82" t="s">
        <v>15479</v>
      </c>
      <c r="BD2395" s="82" t="s">
        <v>17651</v>
      </c>
      <c r="BE2395" s="77"/>
      <c r="BF2395" s="77"/>
      <c r="BG2395" s="77"/>
      <c r="BH2395" s="77"/>
      <c r="BI2395" s="77"/>
    </row>
    <row r="2396" spans="1:61" x14ac:dyDescent="0.25">
      <c r="A2396" s="62" t="s">
        <v>622</v>
      </c>
      <c r="B2396" s="62" t="s">
        <v>622</v>
      </c>
      <c r="C2396" s="63"/>
      <c r="D2396" s="64"/>
      <c r="E2396" s="65"/>
      <c r="F2396" s="66"/>
      <c r="G2396" s="63"/>
      <c r="H2396" s="67"/>
      <c r="I2396" s="68"/>
      <c r="J2396" s="68"/>
      <c r="K2396" s="32"/>
      <c r="L2396" s="75">
        <v>2396</v>
      </c>
      <c r="M2396" s="75"/>
      <c r="N2396" s="70"/>
      <c r="O2396" s="77" t="s">
        <v>179</v>
      </c>
      <c r="P2396" s="79">
        <v>45075.840358796297</v>
      </c>
      <c r="Q2396" s="77" t="s">
        <v>3173</v>
      </c>
      <c r="R2396" s="77">
        <v>4</v>
      </c>
      <c r="S2396" s="77">
        <v>32</v>
      </c>
      <c r="T2396" s="77">
        <v>4</v>
      </c>
      <c r="U2396" s="77">
        <v>1</v>
      </c>
      <c r="V2396" s="77">
        <v>5995</v>
      </c>
      <c r="W2396" s="82" t="s">
        <v>6319</v>
      </c>
      <c r="X2396" s="77"/>
      <c r="Y2396" s="77"/>
      <c r="Z2396" s="77"/>
      <c r="AA2396" s="77" t="s">
        <v>8055</v>
      </c>
      <c r="AB2396" s="77" t="s">
        <v>8225</v>
      </c>
      <c r="AC2396" s="82" t="s">
        <v>8232</v>
      </c>
      <c r="AD2396" s="77" t="s">
        <v>8278</v>
      </c>
      <c r="AE2396" s="80" t="str">
        <f>HYPERLINK("https://twitter.com/statusinvestbr/status/1663276554175037452")</f>
        <v>https://twitter.com/statusinvestbr/status/1663276554175037452</v>
      </c>
      <c r="AF2396" s="79">
        <v>45075.840358796297</v>
      </c>
      <c r="AG2396" s="85">
        <v>45075</v>
      </c>
      <c r="AH2396" s="82" t="s">
        <v>10453</v>
      </c>
      <c r="AI2396" s="77" t="b">
        <v>0</v>
      </c>
      <c r="AJ2396" s="77"/>
      <c r="AK2396" s="77"/>
      <c r="AL2396" s="77"/>
      <c r="AM2396" s="77"/>
      <c r="AN2396" s="77"/>
      <c r="AO2396" s="77"/>
      <c r="AP2396" s="77"/>
      <c r="AQ2396" s="77" t="s">
        <v>12940</v>
      </c>
      <c r="AR2396" s="77"/>
      <c r="AS2396" s="77"/>
      <c r="AT2396" s="77"/>
      <c r="AU2396" s="77"/>
      <c r="AV2396" s="80" t="str">
        <f>HYPERLINK("https://pbs.twimg.com/media/FxUlF9oWYAAEE2v.jpg")</f>
        <v>https://pbs.twimg.com/media/FxUlF9oWYAAEE2v.jpg</v>
      </c>
      <c r="AW2396" s="82" t="s">
        <v>15480</v>
      </c>
      <c r="AX2396" s="82" t="s">
        <v>15480</v>
      </c>
      <c r="AY2396" s="77"/>
      <c r="AZ2396" s="82" t="s">
        <v>17385</v>
      </c>
      <c r="BA2396" s="82" t="s">
        <v>17385</v>
      </c>
      <c r="BB2396" s="82" t="s">
        <v>17385</v>
      </c>
      <c r="BC2396" s="82" t="s">
        <v>15480</v>
      </c>
      <c r="BD2396" s="82" t="s">
        <v>17652</v>
      </c>
      <c r="BE2396" s="77"/>
      <c r="BF2396" s="77"/>
      <c r="BG2396" s="77"/>
      <c r="BH2396" s="77"/>
      <c r="BI2396" s="77"/>
    </row>
    <row r="2397" spans="1:61" x14ac:dyDescent="0.25">
      <c r="A2397" s="62" t="s">
        <v>623</v>
      </c>
      <c r="B2397" s="62" t="s">
        <v>623</v>
      </c>
      <c r="C2397" s="63"/>
      <c r="D2397" s="64"/>
      <c r="E2397" s="65"/>
      <c r="F2397" s="66"/>
      <c r="G2397" s="63"/>
      <c r="H2397" s="67"/>
      <c r="I2397" s="68"/>
      <c r="J2397" s="68"/>
      <c r="K2397" s="32"/>
      <c r="L2397" s="75">
        <v>2397</v>
      </c>
      <c r="M2397" s="75"/>
      <c r="N2397" s="70"/>
      <c r="O2397" s="77" t="s">
        <v>179</v>
      </c>
      <c r="P2397" s="79">
        <v>45044.761145833334</v>
      </c>
      <c r="Q2397" s="77" t="s">
        <v>3174</v>
      </c>
      <c r="R2397" s="77">
        <v>0</v>
      </c>
      <c r="S2397" s="77">
        <v>0</v>
      </c>
      <c r="T2397" s="77">
        <v>0</v>
      </c>
      <c r="U2397" s="77">
        <v>0</v>
      </c>
      <c r="V2397" s="77">
        <v>65</v>
      </c>
      <c r="W2397" s="82" t="s">
        <v>6320</v>
      </c>
      <c r="X2397" s="80" t="str">
        <f>HYPERLINK("https://www.youtube.com/watch?v=9lhiWl1BCV0")</f>
        <v>https://www.youtube.com/watch?v=9lhiWl1BCV0</v>
      </c>
      <c r="Y2397" s="77" t="s">
        <v>7065</v>
      </c>
      <c r="Z2397" s="77"/>
      <c r="AA2397" s="77"/>
      <c r="AB2397" s="77"/>
      <c r="AC2397" s="82" t="s">
        <v>8248</v>
      </c>
      <c r="AD2397" s="77" t="s">
        <v>8278</v>
      </c>
      <c r="AE2397" s="80" t="str">
        <f>HYPERLINK("https://twitter.com/meusfii/status/1652013824214482944")</f>
        <v>https://twitter.com/meusfii/status/1652013824214482944</v>
      </c>
      <c r="AF2397" s="79">
        <v>45044.761145833334</v>
      </c>
      <c r="AG2397" s="85">
        <v>45044</v>
      </c>
      <c r="AH2397" s="82" t="s">
        <v>10454</v>
      </c>
      <c r="AI2397" s="77" t="b">
        <v>0</v>
      </c>
      <c r="AJ2397" s="77"/>
      <c r="AK2397" s="77"/>
      <c r="AL2397" s="77"/>
      <c r="AM2397" s="77"/>
      <c r="AN2397" s="77"/>
      <c r="AO2397" s="77"/>
      <c r="AP2397" s="77"/>
      <c r="AQ2397" s="77"/>
      <c r="AR2397" s="77"/>
      <c r="AS2397" s="77"/>
      <c r="AT2397" s="77"/>
      <c r="AU2397" s="77"/>
      <c r="AV2397" s="80" t="str">
        <f>HYPERLINK("https://pbs.twimg.com/profile_images/1130931586059448320/J8lXhG_K_normal.png")</f>
        <v>https://pbs.twimg.com/profile_images/1130931586059448320/J8lXhG_K_normal.png</v>
      </c>
      <c r="AW2397" s="82" t="s">
        <v>15481</v>
      </c>
      <c r="AX2397" s="82" t="s">
        <v>15481</v>
      </c>
      <c r="AY2397" s="77"/>
      <c r="AZ2397" s="82" t="s">
        <v>17385</v>
      </c>
      <c r="BA2397" s="82" t="s">
        <v>17385</v>
      </c>
      <c r="BB2397" s="82" t="s">
        <v>17385</v>
      </c>
      <c r="BC2397" s="82" t="s">
        <v>15481</v>
      </c>
      <c r="BD2397" s="82" t="s">
        <v>17653</v>
      </c>
      <c r="BE2397" s="77"/>
      <c r="BF2397" s="77"/>
      <c r="BG2397" s="77"/>
      <c r="BH2397" s="77"/>
      <c r="BI2397" s="77"/>
    </row>
    <row r="2398" spans="1:61" x14ac:dyDescent="0.25">
      <c r="A2398" s="62" t="s">
        <v>623</v>
      </c>
      <c r="B2398" s="62" t="s">
        <v>623</v>
      </c>
      <c r="C2398" s="63"/>
      <c r="D2398" s="64"/>
      <c r="E2398" s="65"/>
      <c r="F2398" s="66"/>
      <c r="G2398" s="63"/>
      <c r="H2398" s="67"/>
      <c r="I2398" s="68"/>
      <c r="J2398" s="68"/>
      <c r="K2398" s="32"/>
      <c r="L2398" s="75">
        <v>2398</v>
      </c>
      <c r="M2398" s="75"/>
      <c r="N2398" s="70"/>
      <c r="O2398" s="77" t="s">
        <v>179</v>
      </c>
      <c r="P2398" s="79">
        <v>45047.803379629629</v>
      </c>
      <c r="Q2398" s="77" t="s">
        <v>3175</v>
      </c>
      <c r="R2398" s="77">
        <v>0</v>
      </c>
      <c r="S2398" s="77">
        <v>2</v>
      </c>
      <c r="T2398" s="77">
        <v>1</v>
      </c>
      <c r="U2398" s="77">
        <v>0</v>
      </c>
      <c r="V2398" s="77">
        <v>129</v>
      </c>
      <c r="W2398" s="82" t="s">
        <v>6321</v>
      </c>
      <c r="X2398" s="80" t="str">
        <f>HYPERLINK("https://www.youtube.com/watch?v=i5bCbcGj9YU")</f>
        <v>https://www.youtube.com/watch?v=i5bCbcGj9YU</v>
      </c>
      <c r="Y2398" s="77" t="s">
        <v>7065</v>
      </c>
      <c r="Z2398" s="77"/>
      <c r="AA2398" s="77"/>
      <c r="AB2398" s="77"/>
      <c r="AC2398" s="82" t="s">
        <v>8248</v>
      </c>
      <c r="AD2398" s="77" t="s">
        <v>8278</v>
      </c>
      <c r="AE2398" s="80" t="str">
        <f>HYPERLINK("https://twitter.com/meusfii/status/1653116295032741890")</f>
        <v>https://twitter.com/meusfii/status/1653116295032741890</v>
      </c>
      <c r="AF2398" s="79">
        <v>45047.803379629629</v>
      </c>
      <c r="AG2398" s="85">
        <v>45047</v>
      </c>
      <c r="AH2398" s="82" t="s">
        <v>10455</v>
      </c>
      <c r="AI2398" s="77" t="b">
        <v>0</v>
      </c>
      <c r="AJ2398" s="77"/>
      <c r="AK2398" s="77"/>
      <c r="AL2398" s="77"/>
      <c r="AM2398" s="77"/>
      <c r="AN2398" s="77"/>
      <c r="AO2398" s="77"/>
      <c r="AP2398" s="77"/>
      <c r="AQ2398" s="77"/>
      <c r="AR2398" s="77"/>
      <c r="AS2398" s="77"/>
      <c r="AT2398" s="77"/>
      <c r="AU2398" s="77"/>
      <c r="AV2398" s="80" t="str">
        <f>HYPERLINK("https://pbs.twimg.com/profile_images/1130931586059448320/J8lXhG_K_normal.png")</f>
        <v>https://pbs.twimg.com/profile_images/1130931586059448320/J8lXhG_K_normal.png</v>
      </c>
      <c r="AW2398" s="82" t="s">
        <v>15482</v>
      </c>
      <c r="AX2398" s="82" t="s">
        <v>15482</v>
      </c>
      <c r="AY2398" s="77"/>
      <c r="AZ2398" s="82" t="s">
        <v>17385</v>
      </c>
      <c r="BA2398" s="82" t="s">
        <v>17385</v>
      </c>
      <c r="BB2398" s="82" t="s">
        <v>17385</v>
      </c>
      <c r="BC2398" s="82" t="s">
        <v>15482</v>
      </c>
      <c r="BD2398" s="82" t="s">
        <v>17653</v>
      </c>
      <c r="BE2398" s="77"/>
      <c r="BF2398" s="77"/>
      <c r="BG2398" s="77"/>
      <c r="BH2398" s="77"/>
      <c r="BI2398" s="77"/>
    </row>
    <row r="2399" spans="1:61" x14ac:dyDescent="0.25">
      <c r="A2399" s="62" t="s">
        <v>623</v>
      </c>
      <c r="B2399" s="62" t="s">
        <v>623</v>
      </c>
      <c r="C2399" s="63"/>
      <c r="D2399" s="64"/>
      <c r="E2399" s="65"/>
      <c r="F2399" s="66"/>
      <c r="G2399" s="63"/>
      <c r="H2399" s="67"/>
      <c r="I2399" s="68"/>
      <c r="J2399" s="68"/>
      <c r="K2399" s="32"/>
      <c r="L2399" s="75">
        <v>2399</v>
      </c>
      <c r="M2399" s="75"/>
      <c r="N2399" s="70"/>
      <c r="O2399" s="77" t="s">
        <v>179</v>
      </c>
      <c r="P2399" s="79">
        <v>45050.886099537034</v>
      </c>
      <c r="Q2399" s="77" t="s">
        <v>3176</v>
      </c>
      <c r="R2399" s="77">
        <v>0</v>
      </c>
      <c r="S2399" s="77">
        <v>1</v>
      </c>
      <c r="T2399" s="77">
        <v>0</v>
      </c>
      <c r="U2399" s="77">
        <v>0</v>
      </c>
      <c r="V2399" s="77">
        <v>68</v>
      </c>
      <c r="W2399" s="82" t="s">
        <v>6322</v>
      </c>
      <c r="X2399" s="80" t="str">
        <f>HYPERLINK("https://www.youtube.com/watch?v=7my9B_3Hg9o")</f>
        <v>https://www.youtube.com/watch?v=7my9B_3Hg9o</v>
      </c>
      <c r="Y2399" s="77" t="s">
        <v>7065</v>
      </c>
      <c r="Z2399" s="77"/>
      <c r="AA2399" s="77"/>
      <c r="AB2399" s="77"/>
      <c r="AC2399" s="82" t="s">
        <v>8248</v>
      </c>
      <c r="AD2399" s="77" t="s">
        <v>8278</v>
      </c>
      <c r="AE2399" s="80" t="str">
        <f>HYPERLINK("https://twitter.com/meusfii/status/1654233434045153280")</f>
        <v>https://twitter.com/meusfii/status/1654233434045153280</v>
      </c>
      <c r="AF2399" s="79">
        <v>45050.886099537034</v>
      </c>
      <c r="AG2399" s="85">
        <v>45050</v>
      </c>
      <c r="AH2399" s="82" t="s">
        <v>10456</v>
      </c>
      <c r="AI2399" s="77" t="b">
        <v>0</v>
      </c>
      <c r="AJ2399" s="77"/>
      <c r="AK2399" s="77"/>
      <c r="AL2399" s="77"/>
      <c r="AM2399" s="77"/>
      <c r="AN2399" s="77"/>
      <c r="AO2399" s="77"/>
      <c r="AP2399" s="77"/>
      <c r="AQ2399" s="77"/>
      <c r="AR2399" s="77"/>
      <c r="AS2399" s="77"/>
      <c r="AT2399" s="77"/>
      <c r="AU2399" s="77"/>
      <c r="AV2399" s="80" t="str">
        <f>HYPERLINK("https://pbs.twimg.com/profile_images/1130931586059448320/J8lXhG_K_normal.png")</f>
        <v>https://pbs.twimg.com/profile_images/1130931586059448320/J8lXhG_K_normal.png</v>
      </c>
      <c r="AW2399" s="82" t="s">
        <v>15483</v>
      </c>
      <c r="AX2399" s="82" t="s">
        <v>15483</v>
      </c>
      <c r="AY2399" s="77"/>
      <c r="AZ2399" s="82" t="s">
        <v>17385</v>
      </c>
      <c r="BA2399" s="82" t="s">
        <v>17385</v>
      </c>
      <c r="BB2399" s="82" t="s">
        <v>17385</v>
      </c>
      <c r="BC2399" s="82" t="s">
        <v>15483</v>
      </c>
      <c r="BD2399" s="82" t="s">
        <v>17653</v>
      </c>
      <c r="BE2399" s="77"/>
      <c r="BF2399" s="77"/>
      <c r="BG2399" s="77"/>
      <c r="BH2399" s="77"/>
      <c r="BI2399" s="77"/>
    </row>
    <row r="2400" spans="1:61" x14ac:dyDescent="0.25">
      <c r="A2400" s="62" t="s">
        <v>623</v>
      </c>
      <c r="B2400" s="62" t="s">
        <v>623</v>
      </c>
      <c r="C2400" s="63"/>
      <c r="D2400" s="64"/>
      <c r="E2400" s="65"/>
      <c r="F2400" s="66"/>
      <c r="G2400" s="63"/>
      <c r="H2400" s="67"/>
      <c r="I2400" s="68"/>
      <c r="J2400" s="68"/>
      <c r="K2400" s="32"/>
      <c r="L2400" s="75">
        <v>2400</v>
      </c>
      <c r="M2400" s="75"/>
      <c r="N2400" s="70"/>
      <c r="O2400" s="77" t="s">
        <v>179</v>
      </c>
      <c r="P2400" s="79">
        <v>45050.803090277775</v>
      </c>
      <c r="Q2400" s="77" t="s">
        <v>3177</v>
      </c>
      <c r="R2400" s="77">
        <v>0</v>
      </c>
      <c r="S2400" s="77">
        <v>0</v>
      </c>
      <c r="T2400" s="77">
        <v>0</v>
      </c>
      <c r="U2400" s="77">
        <v>0</v>
      </c>
      <c r="V2400" s="77">
        <v>45</v>
      </c>
      <c r="W2400" s="82" t="s">
        <v>6323</v>
      </c>
      <c r="X2400" s="80" t="str">
        <f>HYPERLINK("https://www.youtube.com/watch?v=p7f4RDPGLK4")</f>
        <v>https://www.youtube.com/watch?v=p7f4RDPGLK4</v>
      </c>
      <c r="Y2400" s="77" t="s">
        <v>7065</v>
      </c>
      <c r="Z2400" s="77"/>
      <c r="AA2400" s="77"/>
      <c r="AB2400" s="77"/>
      <c r="AC2400" s="82" t="s">
        <v>8248</v>
      </c>
      <c r="AD2400" s="77" t="s">
        <v>8288</v>
      </c>
      <c r="AE2400" s="80" t="str">
        <f>HYPERLINK("https://twitter.com/meusfii/status/1654203353235177473")</f>
        <v>https://twitter.com/meusfii/status/1654203353235177473</v>
      </c>
      <c r="AF2400" s="79">
        <v>45050.803090277775</v>
      </c>
      <c r="AG2400" s="85">
        <v>45050</v>
      </c>
      <c r="AH2400" s="82" t="s">
        <v>10457</v>
      </c>
      <c r="AI2400" s="77" t="b">
        <v>0</v>
      </c>
      <c r="AJ2400" s="77"/>
      <c r="AK2400" s="77"/>
      <c r="AL2400" s="77"/>
      <c r="AM2400" s="77"/>
      <c r="AN2400" s="77"/>
      <c r="AO2400" s="77"/>
      <c r="AP2400" s="77"/>
      <c r="AQ2400" s="77"/>
      <c r="AR2400" s="77"/>
      <c r="AS2400" s="77"/>
      <c r="AT2400" s="77"/>
      <c r="AU2400" s="77"/>
      <c r="AV2400" s="80" t="str">
        <f>HYPERLINK("https://pbs.twimg.com/profile_images/1130931586059448320/J8lXhG_K_normal.png")</f>
        <v>https://pbs.twimg.com/profile_images/1130931586059448320/J8lXhG_K_normal.png</v>
      </c>
      <c r="AW2400" s="82" t="s">
        <v>15484</v>
      </c>
      <c r="AX2400" s="82" t="s">
        <v>15484</v>
      </c>
      <c r="AY2400" s="77"/>
      <c r="AZ2400" s="82" t="s">
        <v>17385</v>
      </c>
      <c r="BA2400" s="82" t="s">
        <v>17385</v>
      </c>
      <c r="BB2400" s="82" t="s">
        <v>17385</v>
      </c>
      <c r="BC2400" s="82" t="s">
        <v>15484</v>
      </c>
      <c r="BD2400" s="82" t="s">
        <v>17653</v>
      </c>
      <c r="BE2400" s="77"/>
      <c r="BF2400" s="77"/>
      <c r="BG2400" s="77"/>
      <c r="BH2400" s="77"/>
      <c r="BI2400" s="77"/>
    </row>
    <row r="2401" spans="1:61" x14ac:dyDescent="0.25">
      <c r="A2401" s="62" t="s">
        <v>623</v>
      </c>
      <c r="B2401" s="62" t="s">
        <v>623</v>
      </c>
      <c r="C2401" s="63"/>
      <c r="D2401" s="64"/>
      <c r="E2401" s="65"/>
      <c r="F2401" s="66"/>
      <c r="G2401" s="63"/>
      <c r="H2401" s="67"/>
      <c r="I2401" s="68"/>
      <c r="J2401" s="68"/>
      <c r="K2401" s="32"/>
      <c r="L2401" s="75">
        <v>2401</v>
      </c>
      <c r="M2401" s="75"/>
      <c r="N2401" s="70"/>
      <c r="O2401" s="77" t="s">
        <v>179</v>
      </c>
      <c r="P2401" s="79">
        <v>45050.677997685183</v>
      </c>
      <c r="Q2401" s="77" t="s">
        <v>3178</v>
      </c>
      <c r="R2401" s="77">
        <v>0</v>
      </c>
      <c r="S2401" s="77">
        <v>0</v>
      </c>
      <c r="T2401" s="77">
        <v>0</v>
      </c>
      <c r="U2401" s="77">
        <v>0</v>
      </c>
      <c r="V2401" s="77">
        <v>8</v>
      </c>
      <c r="W2401" s="82" t="s">
        <v>6324</v>
      </c>
      <c r="X2401" s="80" t="str">
        <f>HYPERLINK("https://www.youtube.com/watch?v=d5bV42EL5cQ")</f>
        <v>https://www.youtube.com/watch?v=d5bV42EL5cQ</v>
      </c>
      <c r="Y2401" s="77" t="s">
        <v>7065</v>
      </c>
      <c r="Z2401" s="77"/>
      <c r="AA2401" s="77"/>
      <c r="AB2401" s="77"/>
      <c r="AC2401" s="82" t="s">
        <v>8248</v>
      </c>
      <c r="AD2401" s="77" t="s">
        <v>8278</v>
      </c>
      <c r="AE2401" s="80" t="str">
        <f>HYPERLINK("https://twitter.com/meusfii/status/1654158021491032086")</f>
        <v>https://twitter.com/meusfii/status/1654158021491032086</v>
      </c>
      <c r="AF2401" s="79">
        <v>45050.677997685183</v>
      </c>
      <c r="AG2401" s="85">
        <v>45050</v>
      </c>
      <c r="AH2401" s="82" t="s">
        <v>10458</v>
      </c>
      <c r="AI2401" s="77" t="b">
        <v>0</v>
      </c>
      <c r="AJ2401" s="77"/>
      <c r="AK2401" s="77"/>
      <c r="AL2401" s="77"/>
      <c r="AM2401" s="77"/>
      <c r="AN2401" s="77"/>
      <c r="AO2401" s="77"/>
      <c r="AP2401" s="77"/>
      <c r="AQ2401" s="77"/>
      <c r="AR2401" s="77"/>
      <c r="AS2401" s="77"/>
      <c r="AT2401" s="77"/>
      <c r="AU2401" s="77"/>
      <c r="AV2401" s="80" t="str">
        <f>HYPERLINK("https://pbs.twimg.com/profile_images/1130931586059448320/J8lXhG_K_normal.png")</f>
        <v>https://pbs.twimg.com/profile_images/1130931586059448320/J8lXhG_K_normal.png</v>
      </c>
      <c r="AW2401" s="82" t="s">
        <v>15485</v>
      </c>
      <c r="AX2401" s="82" t="s">
        <v>15485</v>
      </c>
      <c r="AY2401" s="77"/>
      <c r="AZ2401" s="82" t="s">
        <v>17385</v>
      </c>
      <c r="BA2401" s="82" t="s">
        <v>17385</v>
      </c>
      <c r="BB2401" s="82" t="s">
        <v>17385</v>
      </c>
      <c r="BC2401" s="82" t="s">
        <v>15485</v>
      </c>
      <c r="BD2401" s="82" t="s">
        <v>17653</v>
      </c>
      <c r="BE2401" s="77"/>
      <c r="BF2401" s="77"/>
      <c r="BG2401" s="77"/>
      <c r="BH2401" s="77"/>
      <c r="BI2401" s="77"/>
    </row>
    <row r="2402" spans="1:61" x14ac:dyDescent="0.25">
      <c r="A2402" s="62" t="s">
        <v>623</v>
      </c>
      <c r="B2402" s="62" t="s">
        <v>623</v>
      </c>
      <c r="C2402" s="63"/>
      <c r="D2402" s="64"/>
      <c r="E2402" s="65"/>
      <c r="F2402" s="66"/>
      <c r="G2402" s="63"/>
      <c r="H2402" s="67"/>
      <c r="I2402" s="68"/>
      <c r="J2402" s="68"/>
      <c r="K2402" s="32"/>
      <c r="L2402" s="75">
        <v>2402</v>
      </c>
      <c r="M2402" s="75"/>
      <c r="N2402" s="70"/>
      <c r="O2402" s="77" t="s">
        <v>179</v>
      </c>
      <c r="P2402" s="79">
        <v>45049.635937500003</v>
      </c>
      <c r="Q2402" s="77" t="s">
        <v>3179</v>
      </c>
      <c r="R2402" s="77">
        <v>0</v>
      </c>
      <c r="S2402" s="77">
        <v>0</v>
      </c>
      <c r="T2402" s="77">
        <v>0</v>
      </c>
      <c r="U2402" s="77">
        <v>0</v>
      </c>
      <c r="V2402" s="77">
        <v>64</v>
      </c>
      <c r="W2402" s="82" t="s">
        <v>6325</v>
      </c>
      <c r="X2402" s="80" t="str">
        <f>HYPERLINK("https://www.youtube.com/watch?v=CGD0XgZ9v7Y")</f>
        <v>https://www.youtube.com/watch?v=CGD0XgZ9v7Y</v>
      </c>
      <c r="Y2402" s="77" t="s">
        <v>7065</v>
      </c>
      <c r="Z2402" s="77"/>
      <c r="AA2402" s="77"/>
      <c r="AB2402" s="77"/>
      <c r="AC2402" s="82" t="s">
        <v>8248</v>
      </c>
      <c r="AD2402" s="77" t="s">
        <v>8288</v>
      </c>
      <c r="AE2402" s="80" t="str">
        <f>HYPERLINK("https://twitter.com/meusfii/status/1653780389423611904")</f>
        <v>https://twitter.com/meusfii/status/1653780389423611904</v>
      </c>
      <c r="AF2402" s="79">
        <v>45049.635937500003</v>
      </c>
      <c r="AG2402" s="85">
        <v>45049</v>
      </c>
      <c r="AH2402" s="82" t="s">
        <v>10459</v>
      </c>
      <c r="AI2402" s="77" t="b">
        <v>0</v>
      </c>
      <c r="AJ2402" s="77"/>
      <c r="AK2402" s="77"/>
      <c r="AL2402" s="77"/>
      <c r="AM2402" s="77"/>
      <c r="AN2402" s="77"/>
      <c r="AO2402" s="77"/>
      <c r="AP2402" s="77"/>
      <c r="AQ2402" s="77"/>
      <c r="AR2402" s="77"/>
      <c r="AS2402" s="77"/>
      <c r="AT2402" s="77"/>
      <c r="AU2402" s="77"/>
      <c r="AV2402" s="80" t="str">
        <f>HYPERLINK("https://pbs.twimg.com/profile_images/1130931586059448320/J8lXhG_K_normal.png")</f>
        <v>https://pbs.twimg.com/profile_images/1130931586059448320/J8lXhG_K_normal.png</v>
      </c>
      <c r="AW2402" s="82" t="s">
        <v>15486</v>
      </c>
      <c r="AX2402" s="82" t="s">
        <v>15486</v>
      </c>
      <c r="AY2402" s="77"/>
      <c r="AZ2402" s="82" t="s">
        <v>17385</v>
      </c>
      <c r="BA2402" s="82" t="s">
        <v>17385</v>
      </c>
      <c r="BB2402" s="82" t="s">
        <v>17385</v>
      </c>
      <c r="BC2402" s="82" t="s">
        <v>15486</v>
      </c>
      <c r="BD2402" s="82" t="s">
        <v>17653</v>
      </c>
      <c r="BE2402" s="77"/>
      <c r="BF2402" s="77"/>
      <c r="BG2402" s="77"/>
      <c r="BH2402" s="77"/>
      <c r="BI2402" s="77"/>
    </row>
    <row r="2403" spans="1:61" x14ac:dyDescent="0.25">
      <c r="A2403" s="62" t="s">
        <v>623</v>
      </c>
      <c r="B2403" s="62" t="s">
        <v>623</v>
      </c>
      <c r="C2403" s="63"/>
      <c r="D2403" s="64"/>
      <c r="E2403" s="65"/>
      <c r="F2403" s="66"/>
      <c r="G2403" s="63"/>
      <c r="H2403" s="67"/>
      <c r="I2403" s="68"/>
      <c r="J2403" s="68"/>
      <c r="K2403" s="32"/>
      <c r="L2403" s="75">
        <v>2403</v>
      </c>
      <c r="M2403" s="75"/>
      <c r="N2403" s="70"/>
      <c r="O2403" s="77" t="s">
        <v>179</v>
      </c>
      <c r="P2403" s="79">
        <v>45064.052939814814</v>
      </c>
      <c r="Q2403" s="77" t="s">
        <v>3180</v>
      </c>
      <c r="R2403" s="77">
        <v>0</v>
      </c>
      <c r="S2403" s="77">
        <v>0</v>
      </c>
      <c r="T2403" s="77">
        <v>0</v>
      </c>
      <c r="U2403" s="77">
        <v>0</v>
      </c>
      <c r="V2403" s="77">
        <v>122</v>
      </c>
      <c r="W2403" s="82" t="s">
        <v>6326</v>
      </c>
      <c r="X2403" s="80" t="str">
        <f>HYPERLINK("https://www.youtube.com/watch?v=DLvm9WLSRq8")</f>
        <v>https://www.youtube.com/watch?v=DLvm9WLSRq8</v>
      </c>
      <c r="Y2403" s="77" t="s">
        <v>7065</v>
      </c>
      <c r="Z2403" s="77"/>
      <c r="AA2403" s="77"/>
      <c r="AB2403" s="77"/>
      <c r="AC2403" s="82" t="s">
        <v>8248</v>
      </c>
      <c r="AD2403" s="77" t="s">
        <v>8288</v>
      </c>
      <c r="AE2403" s="80" t="str">
        <f>HYPERLINK("https://twitter.com/meusfii/status/1659004937639018496")</f>
        <v>https://twitter.com/meusfii/status/1659004937639018496</v>
      </c>
      <c r="AF2403" s="79">
        <v>45064.052939814814</v>
      </c>
      <c r="AG2403" s="85">
        <v>45064</v>
      </c>
      <c r="AH2403" s="82" t="s">
        <v>10460</v>
      </c>
      <c r="AI2403" s="77" t="b">
        <v>0</v>
      </c>
      <c r="AJ2403" s="77"/>
      <c r="AK2403" s="77"/>
      <c r="AL2403" s="77"/>
      <c r="AM2403" s="77"/>
      <c r="AN2403" s="77"/>
      <c r="AO2403" s="77"/>
      <c r="AP2403" s="77"/>
      <c r="AQ2403" s="77"/>
      <c r="AR2403" s="77"/>
      <c r="AS2403" s="77"/>
      <c r="AT2403" s="77"/>
      <c r="AU2403" s="77"/>
      <c r="AV2403" s="80" t="str">
        <f>HYPERLINK("https://pbs.twimg.com/profile_images/1130931586059448320/J8lXhG_K_normal.png")</f>
        <v>https://pbs.twimg.com/profile_images/1130931586059448320/J8lXhG_K_normal.png</v>
      </c>
      <c r="AW2403" s="82" t="s">
        <v>15487</v>
      </c>
      <c r="AX2403" s="82" t="s">
        <v>15487</v>
      </c>
      <c r="AY2403" s="77"/>
      <c r="AZ2403" s="82" t="s">
        <v>17385</v>
      </c>
      <c r="BA2403" s="82" t="s">
        <v>17385</v>
      </c>
      <c r="BB2403" s="82" t="s">
        <v>17385</v>
      </c>
      <c r="BC2403" s="82" t="s">
        <v>15487</v>
      </c>
      <c r="BD2403" s="82" t="s">
        <v>17653</v>
      </c>
      <c r="BE2403" s="77"/>
      <c r="BF2403" s="77"/>
      <c r="BG2403" s="77"/>
      <c r="BH2403" s="77"/>
      <c r="BI2403" s="77"/>
    </row>
    <row r="2404" spans="1:61" x14ac:dyDescent="0.25">
      <c r="A2404" s="62" t="s">
        <v>623</v>
      </c>
      <c r="B2404" s="62" t="s">
        <v>623</v>
      </c>
      <c r="C2404" s="63"/>
      <c r="D2404" s="64"/>
      <c r="E2404" s="65"/>
      <c r="F2404" s="66"/>
      <c r="G2404" s="63"/>
      <c r="H2404" s="67"/>
      <c r="I2404" s="68"/>
      <c r="J2404" s="68"/>
      <c r="K2404" s="32"/>
      <c r="L2404" s="75">
        <v>2404</v>
      </c>
      <c r="M2404" s="75"/>
      <c r="N2404" s="70"/>
      <c r="O2404" s="77" t="s">
        <v>179</v>
      </c>
      <c r="P2404" s="79">
        <v>45057.72078703704</v>
      </c>
      <c r="Q2404" s="77" t="s">
        <v>3181</v>
      </c>
      <c r="R2404" s="77">
        <v>0</v>
      </c>
      <c r="S2404" s="77">
        <v>0</v>
      </c>
      <c r="T2404" s="77">
        <v>0</v>
      </c>
      <c r="U2404" s="77">
        <v>0</v>
      </c>
      <c r="V2404" s="77">
        <v>48</v>
      </c>
      <c r="W2404" s="82" t="s">
        <v>6327</v>
      </c>
      <c r="X2404" s="80" t="str">
        <f>HYPERLINK("https://www.youtube.com/watch?v=PTSnr-5E3bU")</f>
        <v>https://www.youtube.com/watch?v=PTSnr-5E3bU</v>
      </c>
      <c r="Y2404" s="77" t="s">
        <v>7065</v>
      </c>
      <c r="Z2404" s="77"/>
      <c r="AA2404" s="77"/>
      <c r="AB2404" s="77"/>
      <c r="AC2404" s="82" t="s">
        <v>8248</v>
      </c>
      <c r="AD2404" s="77" t="s">
        <v>8278</v>
      </c>
      <c r="AE2404" s="80" t="str">
        <f>HYPERLINK("https://twitter.com/meusfii/status/1656710240304349186")</f>
        <v>https://twitter.com/meusfii/status/1656710240304349186</v>
      </c>
      <c r="AF2404" s="79">
        <v>45057.72078703704</v>
      </c>
      <c r="AG2404" s="85">
        <v>45057</v>
      </c>
      <c r="AH2404" s="82" t="s">
        <v>10461</v>
      </c>
      <c r="AI2404" s="77" t="b">
        <v>0</v>
      </c>
      <c r="AJ2404" s="77"/>
      <c r="AK2404" s="77"/>
      <c r="AL2404" s="77"/>
      <c r="AM2404" s="77"/>
      <c r="AN2404" s="77"/>
      <c r="AO2404" s="77"/>
      <c r="AP2404" s="77"/>
      <c r="AQ2404" s="77"/>
      <c r="AR2404" s="77"/>
      <c r="AS2404" s="77"/>
      <c r="AT2404" s="77"/>
      <c r="AU2404" s="77"/>
      <c r="AV2404" s="80" t="str">
        <f>HYPERLINK("https://pbs.twimg.com/profile_images/1130931586059448320/J8lXhG_K_normal.png")</f>
        <v>https://pbs.twimg.com/profile_images/1130931586059448320/J8lXhG_K_normal.png</v>
      </c>
      <c r="AW2404" s="82" t="s">
        <v>15488</v>
      </c>
      <c r="AX2404" s="82" t="s">
        <v>15488</v>
      </c>
      <c r="AY2404" s="77"/>
      <c r="AZ2404" s="82" t="s">
        <v>17385</v>
      </c>
      <c r="BA2404" s="82" t="s">
        <v>17385</v>
      </c>
      <c r="BB2404" s="82" t="s">
        <v>17385</v>
      </c>
      <c r="BC2404" s="82" t="s">
        <v>15488</v>
      </c>
      <c r="BD2404" s="82" t="s">
        <v>17653</v>
      </c>
      <c r="BE2404" s="77"/>
      <c r="BF2404" s="77"/>
      <c r="BG2404" s="77"/>
      <c r="BH2404" s="77"/>
      <c r="BI2404" s="77"/>
    </row>
    <row r="2405" spans="1:61" x14ac:dyDescent="0.25">
      <c r="A2405" s="62" t="s">
        <v>623</v>
      </c>
      <c r="B2405" s="62" t="s">
        <v>623</v>
      </c>
      <c r="C2405" s="63"/>
      <c r="D2405" s="64"/>
      <c r="E2405" s="65"/>
      <c r="F2405" s="66"/>
      <c r="G2405" s="63"/>
      <c r="H2405" s="67"/>
      <c r="I2405" s="68"/>
      <c r="J2405" s="68"/>
      <c r="K2405" s="32"/>
      <c r="L2405" s="75">
        <v>2405</v>
      </c>
      <c r="M2405" s="75"/>
      <c r="N2405" s="70"/>
      <c r="O2405" s="77" t="s">
        <v>179</v>
      </c>
      <c r="P2405" s="79">
        <v>45055.969548611109</v>
      </c>
      <c r="Q2405" s="77" t="s">
        <v>3182</v>
      </c>
      <c r="R2405" s="77">
        <v>0</v>
      </c>
      <c r="S2405" s="77">
        <v>0</v>
      </c>
      <c r="T2405" s="77">
        <v>0</v>
      </c>
      <c r="U2405" s="77">
        <v>0</v>
      </c>
      <c r="V2405" s="77">
        <v>85</v>
      </c>
      <c r="W2405" s="82" t="s">
        <v>6328</v>
      </c>
      <c r="X2405" s="80" t="str">
        <f>HYPERLINK("https://www.youtube.com/watch?v=OsmwyZk7yy8")</f>
        <v>https://www.youtube.com/watch?v=OsmwyZk7yy8</v>
      </c>
      <c r="Y2405" s="77" t="s">
        <v>7065</v>
      </c>
      <c r="Z2405" s="77"/>
      <c r="AA2405" s="77"/>
      <c r="AB2405" s="77"/>
      <c r="AC2405" s="82" t="s">
        <v>8248</v>
      </c>
      <c r="AD2405" s="77" t="s">
        <v>8278</v>
      </c>
      <c r="AE2405" s="80" t="str">
        <f>HYPERLINK("https://twitter.com/meusfii/status/1656075612388315136")</f>
        <v>https://twitter.com/meusfii/status/1656075612388315136</v>
      </c>
      <c r="AF2405" s="79">
        <v>45055.969548611109</v>
      </c>
      <c r="AG2405" s="85">
        <v>45055</v>
      </c>
      <c r="AH2405" s="82" t="s">
        <v>10462</v>
      </c>
      <c r="AI2405" s="77" t="b">
        <v>0</v>
      </c>
      <c r="AJ2405" s="77"/>
      <c r="AK2405" s="77"/>
      <c r="AL2405" s="77"/>
      <c r="AM2405" s="77"/>
      <c r="AN2405" s="77"/>
      <c r="AO2405" s="77"/>
      <c r="AP2405" s="77"/>
      <c r="AQ2405" s="77"/>
      <c r="AR2405" s="77"/>
      <c r="AS2405" s="77"/>
      <c r="AT2405" s="77"/>
      <c r="AU2405" s="77"/>
      <c r="AV2405" s="80" t="str">
        <f>HYPERLINK("https://pbs.twimg.com/profile_images/1130931586059448320/J8lXhG_K_normal.png")</f>
        <v>https://pbs.twimg.com/profile_images/1130931586059448320/J8lXhG_K_normal.png</v>
      </c>
      <c r="AW2405" s="82" t="s">
        <v>15489</v>
      </c>
      <c r="AX2405" s="82" t="s">
        <v>15489</v>
      </c>
      <c r="AY2405" s="77"/>
      <c r="AZ2405" s="82" t="s">
        <v>17385</v>
      </c>
      <c r="BA2405" s="82" t="s">
        <v>17385</v>
      </c>
      <c r="BB2405" s="82" t="s">
        <v>17385</v>
      </c>
      <c r="BC2405" s="82" t="s">
        <v>15489</v>
      </c>
      <c r="BD2405" s="82" t="s">
        <v>17653</v>
      </c>
      <c r="BE2405" s="77"/>
      <c r="BF2405" s="77"/>
      <c r="BG2405" s="77"/>
      <c r="BH2405" s="77"/>
      <c r="BI2405" s="77"/>
    </row>
    <row r="2406" spans="1:61" x14ac:dyDescent="0.25">
      <c r="A2406" s="62" t="s">
        <v>623</v>
      </c>
      <c r="B2406" s="62" t="s">
        <v>623</v>
      </c>
      <c r="C2406" s="63"/>
      <c r="D2406" s="64"/>
      <c r="E2406" s="65"/>
      <c r="F2406" s="66"/>
      <c r="G2406" s="63"/>
      <c r="H2406" s="67"/>
      <c r="I2406" s="68"/>
      <c r="J2406" s="68"/>
      <c r="K2406" s="32"/>
      <c r="L2406" s="75">
        <v>2406</v>
      </c>
      <c r="M2406" s="75"/>
      <c r="N2406" s="70"/>
      <c r="O2406" s="77" t="s">
        <v>179</v>
      </c>
      <c r="P2406" s="79">
        <v>45067.802939814814</v>
      </c>
      <c r="Q2406" s="77" t="s">
        <v>3183</v>
      </c>
      <c r="R2406" s="77">
        <v>0</v>
      </c>
      <c r="S2406" s="77">
        <v>0</v>
      </c>
      <c r="T2406" s="77">
        <v>0</v>
      </c>
      <c r="U2406" s="77">
        <v>0</v>
      </c>
      <c r="V2406" s="77">
        <v>108</v>
      </c>
      <c r="W2406" s="82" t="s">
        <v>6329</v>
      </c>
      <c r="X2406" s="80" t="str">
        <f>HYPERLINK("https://www.youtube.com/watch?v=FzsxvKfhIV8")</f>
        <v>https://www.youtube.com/watch?v=FzsxvKfhIV8</v>
      </c>
      <c r="Y2406" s="77" t="s">
        <v>7065</v>
      </c>
      <c r="Z2406" s="77"/>
      <c r="AA2406" s="77"/>
      <c r="AB2406" s="77"/>
      <c r="AC2406" s="82" t="s">
        <v>8248</v>
      </c>
      <c r="AD2406" s="77" t="s">
        <v>8278</v>
      </c>
      <c r="AE2406" s="80" t="str">
        <f>HYPERLINK("https://twitter.com/meusfii/status/1660363892273324033")</f>
        <v>https://twitter.com/meusfii/status/1660363892273324033</v>
      </c>
      <c r="AF2406" s="79">
        <v>45067.802939814814</v>
      </c>
      <c r="AG2406" s="85">
        <v>45067</v>
      </c>
      <c r="AH2406" s="82" t="s">
        <v>10463</v>
      </c>
      <c r="AI2406" s="77" t="b">
        <v>0</v>
      </c>
      <c r="AJ2406" s="77"/>
      <c r="AK2406" s="77"/>
      <c r="AL2406" s="77"/>
      <c r="AM2406" s="77"/>
      <c r="AN2406" s="77"/>
      <c r="AO2406" s="77"/>
      <c r="AP2406" s="77"/>
      <c r="AQ2406" s="77"/>
      <c r="AR2406" s="77"/>
      <c r="AS2406" s="77"/>
      <c r="AT2406" s="77"/>
      <c r="AU2406" s="77"/>
      <c r="AV2406" s="80" t="str">
        <f>HYPERLINK("https://pbs.twimg.com/profile_images/1130931586059448320/J8lXhG_K_normal.png")</f>
        <v>https://pbs.twimg.com/profile_images/1130931586059448320/J8lXhG_K_normal.png</v>
      </c>
      <c r="AW2406" s="82" t="s">
        <v>15490</v>
      </c>
      <c r="AX2406" s="82" t="s">
        <v>15490</v>
      </c>
      <c r="AY2406" s="77"/>
      <c r="AZ2406" s="82" t="s">
        <v>17385</v>
      </c>
      <c r="BA2406" s="82" t="s">
        <v>17385</v>
      </c>
      <c r="BB2406" s="82" t="s">
        <v>17385</v>
      </c>
      <c r="BC2406" s="82" t="s">
        <v>15490</v>
      </c>
      <c r="BD2406" s="82" t="s">
        <v>17653</v>
      </c>
      <c r="BE2406" s="77"/>
      <c r="BF2406" s="77"/>
      <c r="BG2406" s="77"/>
      <c r="BH2406" s="77"/>
      <c r="BI2406" s="77"/>
    </row>
    <row r="2407" spans="1:61" x14ac:dyDescent="0.25">
      <c r="A2407" s="62" t="s">
        <v>623</v>
      </c>
      <c r="B2407" s="62" t="s">
        <v>623</v>
      </c>
      <c r="C2407" s="63"/>
      <c r="D2407" s="64"/>
      <c r="E2407" s="65"/>
      <c r="F2407" s="66"/>
      <c r="G2407" s="63"/>
      <c r="H2407" s="67"/>
      <c r="I2407" s="68"/>
      <c r="J2407" s="68"/>
      <c r="K2407" s="32"/>
      <c r="L2407" s="75">
        <v>2407</v>
      </c>
      <c r="M2407" s="75"/>
      <c r="N2407" s="70"/>
      <c r="O2407" s="77" t="s">
        <v>179</v>
      </c>
      <c r="P2407" s="79">
        <v>45066.885810185187</v>
      </c>
      <c r="Q2407" s="77" t="s">
        <v>3184</v>
      </c>
      <c r="R2407" s="77">
        <v>0</v>
      </c>
      <c r="S2407" s="77">
        <v>0</v>
      </c>
      <c r="T2407" s="77">
        <v>0</v>
      </c>
      <c r="U2407" s="77">
        <v>0</v>
      </c>
      <c r="V2407" s="77">
        <v>104</v>
      </c>
      <c r="W2407" s="82" t="s">
        <v>6330</v>
      </c>
      <c r="X2407" s="80" t="str">
        <f>HYPERLINK("https://www.youtube.com/watch?v=b4suzC5LQwg")</f>
        <v>https://www.youtube.com/watch?v=b4suzC5LQwg</v>
      </c>
      <c r="Y2407" s="77" t="s">
        <v>7065</v>
      </c>
      <c r="Z2407" s="77"/>
      <c r="AA2407" s="77"/>
      <c r="AB2407" s="77"/>
      <c r="AC2407" s="82" t="s">
        <v>8248</v>
      </c>
      <c r="AD2407" s="77" t="s">
        <v>8281</v>
      </c>
      <c r="AE2407" s="80" t="str">
        <f>HYPERLINK("https://twitter.com/meusfii/status/1660031534437474310")</f>
        <v>https://twitter.com/meusfii/status/1660031534437474310</v>
      </c>
      <c r="AF2407" s="79">
        <v>45066.885810185187</v>
      </c>
      <c r="AG2407" s="85">
        <v>45066</v>
      </c>
      <c r="AH2407" s="82" t="s">
        <v>10464</v>
      </c>
      <c r="AI2407" s="77" t="b">
        <v>0</v>
      </c>
      <c r="AJ2407" s="77"/>
      <c r="AK2407" s="77"/>
      <c r="AL2407" s="77"/>
      <c r="AM2407" s="77"/>
      <c r="AN2407" s="77"/>
      <c r="AO2407" s="77"/>
      <c r="AP2407" s="77"/>
      <c r="AQ2407" s="77"/>
      <c r="AR2407" s="77"/>
      <c r="AS2407" s="77"/>
      <c r="AT2407" s="77"/>
      <c r="AU2407" s="77"/>
      <c r="AV2407" s="80" t="str">
        <f>HYPERLINK("https://pbs.twimg.com/profile_images/1130931586059448320/J8lXhG_K_normal.png")</f>
        <v>https://pbs.twimg.com/profile_images/1130931586059448320/J8lXhG_K_normal.png</v>
      </c>
      <c r="AW2407" s="82" t="s">
        <v>15491</v>
      </c>
      <c r="AX2407" s="82" t="s">
        <v>15491</v>
      </c>
      <c r="AY2407" s="77"/>
      <c r="AZ2407" s="82" t="s">
        <v>17385</v>
      </c>
      <c r="BA2407" s="82" t="s">
        <v>17385</v>
      </c>
      <c r="BB2407" s="82" t="s">
        <v>17385</v>
      </c>
      <c r="BC2407" s="82" t="s">
        <v>15491</v>
      </c>
      <c r="BD2407" s="82" t="s">
        <v>17653</v>
      </c>
      <c r="BE2407" s="77"/>
      <c r="BF2407" s="77"/>
      <c r="BG2407" s="77"/>
      <c r="BH2407" s="77"/>
      <c r="BI2407" s="77"/>
    </row>
    <row r="2408" spans="1:61" x14ac:dyDescent="0.25">
      <c r="A2408" s="62" t="s">
        <v>623</v>
      </c>
      <c r="B2408" s="62" t="s">
        <v>623</v>
      </c>
      <c r="C2408" s="63"/>
      <c r="D2408" s="64"/>
      <c r="E2408" s="65"/>
      <c r="F2408" s="66"/>
      <c r="G2408" s="63"/>
      <c r="H2408" s="67"/>
      <c r="I2408" s="68"/>
      <c r="J2408" s="68"/>
      <c r="K2408" s="32"/>
      <c r="L2408" s="75">
        <v>2408</v>
      </c>
      <c r="M2408" s="75"/>
      <c r="N2408" s="70"/>
      <c r="O2408" s="77" t="s">
        <v>179</v>
      </c>
      <c r="P2408" s="79">
        <v>45065.844247685185</v>
      </c>
      <c r="Q2408" s="77" t="s">
        <v>3185</v>
      </c>
      <c r="R2408" s="77">
        <v>0</v>
      </c>
      <c r="S2408" s="77">
        <v>1</v>
      </c>
      <c r="T2408" s="77">
        <v>0</v>
      </c>
      <c r="U2408" s="77">
        <v>0</v>
      </c>
      <c r="V2408" s="77">
        <v>62</v>
      </c>
      <c r="W2408" s="82" t="s">
        <v>6331</v>
      </c>
      <c r="X2408" s="80" t="str">
        <f>HYPERLINK("https://www.youtube.com/watch?v=qoruk3XZudE")</f>
        <v>https://www.youtube.com/watch?v=qoruk3XZudE</v>
      </c>
      <c r="Y2408" s="77" t="s">
        <v>7065</v>
      </c>
      <c r="Z2408" s="77"/>
      <c r="AA2408" s="77"/>
      <c r="AB2408" s="77"/>
      <c r="AC2408" s="82" t="s">
        <v>8248</v>
      </c>
      <c r="AD2408" s="77" t="s">
        <v>8281</v>
      </c>
      <c r="AE2408" s="80" t="str">
        <f>HYPERLINK("https://twitter.com/meusfii/status/1659654083546849294")</f>
        <v>https://twitter.com/meusfii/status/1659654083546849294</v>
      </c>
      <c r="AF2408" s="79">
        <v>45065.844247685185</v>
      </c>
      <c r="AG2408" s="85">
        <v>45065</v>
      </c>
      <c r="AH2408" s="82" t="s">
        <v>10465</v>
      </c>
      <c r="AI2408" s="77" t="b">
        <v>0</v>
      </c>
      <c r="AJ2408" s="77"/>
      <c r="AK2408" s="77"/>
      <c r="AL2408" s="77"/>
      <c r="AM2408" s="77"/>
      <c r="AN2408" s="77"/>
      <c r="AO2408" s="77"/>
      <c r="AP2408" s="77"/>
      <c r="AQ2408" s="77"/>
      <c r="AR2408" s="77"/>
      <c r="AS2408" s="77"/>
      <c r="AT2408" s="77"/>
      <c r="AU2408" s="77"/>
      <c r="AV2408" s="80" t="str">
        <f>HYPERLINK("https://pbs.twimg.com/profile_images/1130931586059448320/J8lXhG_K_normal.png")</f>
        <v>https://pbs.twimg.com/profile_images/1130931586059448320/J8lXhG_K_normal.png</v>
      </c>
      <c r="AW2408" s="82" t="s">
        <v>15492</v>
      </c>
      <c r="AX2408" s="82" t="s">
        <v>15492</v>
      </c>
      <c r="AY2408" s="77"/>
      <c r="AZ2408" s="82" t="s">
        <v>17385</v>
      </c>
      <c r="BA2408" s="82" t="s">
        <v>17385</v>
      </c>
      <c r="BB2408" s="82" t="s">
        <v>17385</v>
      </c>
      <c r="BC2408" s="82" t="s">
        <v>15492</v>
      </c>
      <c r="BD2408" s="82" t="s">
        <v>17653</v>
      </c>
      <c r="BE2408" s="77"/>
      <c r="BF2408" s="77"/>
      <c r="BG2408" s="77"/>
      <c r="BH2408" s="77"/>
      <c r="BI2408" s="77"/>
    </row>
    <row r="2409" spans="1:61" x14ac:dyDescent="0.25">
      <c r="A2409" s="62" t="s">
        <v>624</v>
      </c>
      <c r="B2409" s="62" t="s">
        <v>624</v>
      </c>
      <c r="C2409" s="63"/>
      <c r="D2409" s="64"/>
      <c r="E2409" s="65"/>
      <c r="F2409" s="66"/>
      <c r="G2409" s="63"/>
      <c r="H2409" s="67"/>
      <c r="I2409" s="68"/>
      <c r="J2409" s="68"/>
      <c r="K2409" s="32"/>
      <c r="L2409" s="75">
        <v>2409</v>
      </c>
      <c r="M2409" s="75"/>
      <c r="N2409" s="70"/>
      <c r="O2409" s="77" t="s">
        <v>179</v>
      </c>
      <c r="P2409" s="79">
        <v>45148.731458333335</v>
      </c>
      <c r="Q2409" s="77" t="s">
        <v>3186</v>
      </c>
      <c r="R2409" s="77">
        <v>1</v>
      </c>
      <c r="S2409" s="77">
        <v>1</v>
      </c>
      <c r="T2409" s="77">
        <v>0</v>
      </c>
      <c r="U2409" s="77">
        <v>0</v>
      </c>
      <c r="V2409" s="77">
        <v>53</v>
      </c>
      <c r="W2409" s="82" t="s">
        <v>6332</v>
      </c>
      <c r="X2409" s="80" t="str">
        <f>HYPERLINK("https://www.investinabolsa.com/como-comprar-acoes-fracionadas/")</f>
        <v>https://www.investinabolsa.com/como-comprar-acoes-fracionadas/</v>
      </c>
      <c r="Y2409" s="77" t="s">
        <v>7136</v>
      </c>
      <c r="Z2409" s="77"/>
      <c r="AA2409" s="77"/>
      <c r="AB2409" s="77"/>
      <c r="AC2409" s="82" t="s">
        <v>8232</v>
      </c>
      <c r="AD2409" s="77" t="s">
        <v>8278</v>
      </c>
      <c r="AE2409" s="80" t="str">
        <f>HYPERLINK("https://twitter.com/investirna/status/1689691406162366464")</f>
        <v>https://twitter.com/investirna/status/1689691406162366464</v>
      </c>
      <c r="AF2409" s="79">
        <v>45148.731458333335</v>
      </c>
      <c r="AG2409" s="85">
        <v>45148</v>
      </c>
      <c r="AH2409" s="82" t="s">
        <v>10466</v>
      </c>
      <c r="AI2409" s="77" t="b">
        <v>0</v>
      </c>
      <c r="AJ2409" s="77"/>
      <c r="AK2409" s="77"/>
      <c r="AL2409" s="77"/>
      <c r="AM2409" s="77"/>
      <c r="AN2409" s="77"/>
      <c r="AO2409" s="77"/>
      <c r="AP2409" s="77"/>
      <c r="AQ2409" s="77"/>
      <c r="AR2409" s="77"/>
      <c r="AS2409" s="77"/>
      <c r="AT2409" s="77"/>
      <c r="AU2409" s="77"/>
      <c r="AV2409" s="80" t="str">
        <f>HYPERLINK("https://pbs.twimg.com/profile_images/1355648474046459906/Sz5JpgEY_normal.jpg")</f>
        <v>https://pbs.twimg.com/profile_images/1355648474046459906/Sz5JpgEY_normal.jpg</v>
      </c>
      <c r="AW2409" s="82" t="s">
        <v>15493</v>
      </c>
      <c r="AX2409" s="82" t="s">
        <v>15493</v>
      </c>
      <c r="AY2409" s="77"/>
      <c r="AZ2409" s="82" t="s">
        <v>17385</v>
      </c>
      <c r="BA2409" s="82" t="s">
        <v>17385</v>
      </c>
      <c r="BB2409" s="82" t="s">
        <v>17385</v>
      </c>
      <c r="BC2409" s="82" t="s">
        <v>15493</v>
      </c>
      <c r="BD2409" s="82" t="s">
        <v>17654</v>
      </c>
      <c r="BE2409" s="77"/>
      <c r="BF2409" s="77"/>
      <c r="BG2409" s="77"/>
      <c r="BH2409" s="77"/>
      <c r="BI2409" s="77"/>
    </row>
    <row r="2410" spans="1:61" x14ac:dyDescent="0.25">
      <c r="A2410" s="62" t="s">
        <v>625</v>
      </c>
      <c r="B2410" s="62" t="s">
        <v>625</v>
      </c>
      <c r="C2410" s="63"/>
      <c r="D2410" s="64"/>
      <c r="E2410" s="65"/>
      <c r="F2410" s="66"/>
      <c r="G2410" s="63"/>
      <c r="H2410" s="67"/>
      <c r="I2410" s="68"/>
      <c r="J2410" s="68"/>
      <c r="K2410" s="32"/>
      <c r="L2410" s="75">
        <v>2410</v>
      </c>
      <c r="M2410" s="75"/>
      <c r="N2410" s="70"/>
      <c r="O2410" s="77" t="s">
        <v>179</v>
      </c>
      <c r="P2410" s="79">
        <v>45068.92664351852</v>
      </c>
      <c r="Q2410" s="77" t="s">
        <v>3187</v>
      </c>
      <c r="R2410" s="77">
        <v>1</v>
      </c>
      <c r="S2410" s="77">
        <v>0</v>
      </c>
      <c r="T2410" s="77">
        <v>0</v>
      </c>
      <c r="U2410" s="77">
        <v>0</v>
      </c>
      <c r="V2410" s="77">
        <v>60</v>
      </c>
      <c r="W2410" s="82" t="s">
        <v>6333</v>
      </c>
      <c r="X2410" s="77"/>
      <c r="Y2410" s="77"/>
      <c r="Z2410" s="77"/>
      <c r="AA2410" s="77"/>
      <c r="AB2410" s="77"/>
      <c r="AC2410" s="82" t="s">
        <v>8234</v>
      </c>
      <c r="AD2410" s="77" t="s">
        <v>8278</v>
      </c>
      <c r="AE2410" s="80" t="str">
        <f>HYPERLINK("https://twitter.com/pedroalegre17/status/1660771107652227073")</f>
        <v>https://twitter.com/pedroalegre17/status/1660771107652227073</v>
      </c>
      <c r="AF2410" s="79">
        <v>45068.92664351852</v>
      </c>
      <c r="AG2410" s="85">
        <v>45068</v>
      </c>
      <c r="AH2410" s="82" t="s">
        <v>10467</v>
      </c>
      <c r="AI2410" s="77"/>
      <c r="AJ2410" s="77"/>
      <c r="AK2410" s="77"/>
      <c r="AL2410" s="77"/>
      <c r="AM2410" s="77"/>
      <c r="AN2410" s="77"/>
      <c r="AO2410" s="77"/>
      <c r="AP2410" s="77"/>
      <c r="AQ2410" s="77"/>
      <c r="AR2410" s="77"/>
      <c r="AS2410" s="77"/>
      <c r="AT2410" s="77"/>
      <c r="AU2410" s="77"/>
      <c r="AV2410" s="80" t="str">
        <f>HYPERLINK("https://pbs.twimg.com/profile_images/1679537874344050688/jmCj1H7Z_normal.jpg")</f>
        <v>https://pbs.twimg.com/profile_images/1679537874344050688/jmCj1H7Z_normal.jpg</v>
      </c>
      <c r="AW2410" s="82" t="s">
        <v>15494</v>
      </c>
      <c r="AX2410" s="82" t="s">
        <v>15494</v>
      </c>
      <c r="AY2410" s="77"/>
      <c r="AZ2410" s="82" t="s">
        <v>17385</v>
      </c>
      <c r="BA2410" s="82" t="s">
        <v>17385</v>
      </c>
      <c r="BB2410" s="82" t="s">
        <v>17385</v>
      </c>
      <c r="BC2410" s="82" t="s">
        <v>15494</v>
      </c>
      <c r="BD2410" s="82" t="s">
        <v>17655</v>
      </c>
      <c r="BE2410" s="77"/>
      <c r="BF2410" s="77"/>
      <c r="BG2410" s="77"/>
      <c r="BH2410" s="77"/>
      <c r="BI2410" s="77"/>
    </row>
    <row r="2411" spans="1:61" x14ac:dyDescent="0.25">
      <c r="A2411" s="62" t="s">
        <v>626</v>
      </c>
      <c r="B2411" s="62" t="s">
        <v>626</v>
      </c>
      <c r="C2411" s="63"/>
      <c r="D2411" s="64"/>
      <c r="E2411" s="65"/>
      <c r="F2411" s="66"/>
      <c r="G2411" s="63"/>
      <c r="H2411" s="67"/>
      <c r="I2411" s="68"/>
      <c r="J2411" s="68"/>
      <c r="K2411" s="32"/>
      <c r="L2411" s="75">
        <v>2411</v>
      </c>
      <c r="M2411" s="75"/>
      <c r="N2411" s="70"/>
      <c r="O2411" s="77" t="s">
        <v>802</v>
      </c>
      <c r="P2411" s="79">
        <v>45094.979386574072</v>
      </c>
      <c r="Q2411" s="77" t="s">
        <v>3188</v>
      </c>
      <c r="R2411" s="77">
        <v>0</v>
      </c>
      <c r="S2411" s="77">
        <v>1</v>
      </c>
      <c r="T2411" s="77">
        <v>0</v>
      </c>
      <c r="U2411" s="77">
        <v>0</v>
      </c>
      <c r="V2411" s="77">
        <v>279</v>
      </c>
      <c r="W2411" s="82" t="s">
        <v>6334</v>
      </c>
      <c r="X2411" s="77" t="s">
        <v>7051</v>
      </c>
      <c r="Y2411" s="77" t="s">
        <v>7137</v>
      </c>
      <c r="Z2411" s="77" t="s">
        <v>626</v>
      </c>
      <c r="AA2411" s="77" t="s">
        <v>8056</v>
      </c>
      <c r="AB2411" s="77" t="s">
        <v>8231</v>
      </c>
      <c r="AC2411" s="82" t="s">
        <v>8233</v>
      </c>
      <c r="AD2411" s="77" t="s">
        <v>8278</v>
      </c>
      <c r="AE2411" s="80" t="str">
        <f>HYPERLINK("https://twitter.com/fiinewspaper/status/1670212307090063361")</f>
        <v>https://twitter.com/fiinewspaper/status/1670212307090063361</v>
      </c>
      <c r="AF2411" s="79">
        <v>45094.979386574072</v>
      </c>
      <c r="AG2411" s="85">
        <v>45094</v>
      </c>
      <c r="AH2411" s="82" t="s">
        <v>8978</v>
      </c>
      <c r="AI2411" s="77" t="b">
        <v>0</v>
      </c>
      <c r="AJ2411" s="77"/>
      <c r="AK2411" s="77"/>
      <c r="AL2411" s="77"/>
      <c r="AM2411" s="77"/>
      <c r="AN2411" s="77"/>
      <c r="AO2411" s="77"/>
      <c r="AP2411" s="77"/>
      <c r="AQ2411" s="77" t="s">
        <v>12941</v>
      </c>
      <c r="AR2411" s="77"/>
      <c r="AS2411" s="77"/>
      <c r="AT2411" s="77"/>
      <c r="AU2411" s="77"/>
      <c r="AV2411" s="80" t="str">
        <f>HYPERLINK("https://pbs.twimg.com/media/Fy3JPD8XwAYBYS8.jpg")</f>
        <v>https://pbs.twimg.com/media/Fy3JPD8XwAYBYS8.jpg</v>
      </c>
      <c r="AW2411" s="82" t="s">
        <v>15495</v>
      </c>
      <c r="AX2411" s="82" t="s">
        <v>15495</v>
      </c>
      <c r="AY2411" s="77"/>
      <c r="AZ2411" s="82" t="s">
        <v>17385</v>
      </c>
      <c r="BA2411" s="82" t="s">
        <v>17385</v>
      </c>
      <c r="BB2411" s="82" t="s">
        <v>17385</v>
      </c>
      <c r="BC2411" s="82" t="s">
        <v>15495</v>
      </c>
      <c r="BD2411" s="77">
        <v>44006093</v>
      </c>
      <c r="BE2411" s="77"/>
      <c r="BF2411" s="77"/>
      <c r="BG2411" s="77"/>
      <c r="BH2411" s="77"/>
      <c r="BI2411" s="77"/>
    </row>
    <row r="2412" spans="1:61" x14ac:dyDescent="0.25">
      <c r="A2412" s="62" t="s">
        <v>627</v>
      </c>
      <c r="B2412" s="62" t="s">
        <v>627</v>
      </c>
      <c r="C2412" s="63"/>
      <c r="D2412" s="64"/>
      <c r="E2412" s="65"/>
      <c r="F2412" s="66"/>
      <c r="G2412" s="63"/>
      <c r="H2412" s="67"/>
      <c r="I2412" s="68"/>
      <c r="J2412" s="68"/>
      <c r="K2412" s="32"/>
      <c r="L2412" s="75">
        <v>2412</v>
      </c>
      <c r="M2412" s="75"/>
      <c r="N2412" s="70"/>
      <c r="O2412" s="77" t="s">
        <v>179</v>
      </c>
      <c r="P2412" s="79">
        <v>45077.389386574076</v>
      </c>
      <c r="Q2412" s="77" t="s">
        <v>3189</v>
      </c>
      <c r="R2412" s="77">
        <v>0</v>
      </c>
      <c r="S2412" s="77">
        <v>0</v>
      </c>
      <c r="T2412" s="77">
        <v>2</v>
      </c>
      <c r="U2412" s="77">
        <v>0</v>
      </c>
      <c r="V2412" s="77">
        <v>83</v>
      </c>
      <c r="W2412" s="82" t="s">
        <v>6335</v>
      </c>
      <c r="X2412" s="77"/>
      <c r="Y2412" s="77"/>
      <c r="Z2412" s="77"/>
      <c r="AA2412" s="77" t="s">
        <v>8057</v>
      </c>
      <c r="AB2412" s="77" t="s">
        <v>8225</v>
      </c>
      <c r="AC2412" s="82" t="s">
        <v>8232</v>
      </c>
      <c r="AD2412" s="77" t="s">
        <v>8278</v>
      </c>
      <c r="AE2412" s="80" t="str">
        <f>HYPERLINK("https://twitter.com/publishorperich/status/1663837905570111489")</f>
        <v>https://twitter.com/publishorperich/status/1663837905570111489</v>
      </c>
      <c r="AF2412" s="79">
        <v>45077.389386574076</v>
      </c>
      <c r="AG2412" s="85">
        <v>45077</v>
      </c>
      <c r="AH2412" s="82" t="s">
        <v>10468</v>
      </c>
      <c r="AI2412" s="77" t="b">
        <v>0</v>
      </c>
      <c r="AJ2412" s="77"/>
      <c r="AK2412" s="77"/>
      <c r="AL2412" s="77"/>
      <c r="AM2412" s="77"/>
      <c r="AN2412" s="77"/>
      <c r="AO2412" s="77"/>
      <c r="AP2412" s="77"/>
      <c r="AQ2412" s="77" t="s">
        <v>12942</v>
      </c>
      <c r="AR2412" s="77"/>
      <c r="AS2412" s="77"/>
      <c r="AT2412" s="77"/>
      <c r="AU2412" s="77"/>
      <c r="AV2412" s="80" t="str">
        <f>HYPERLINK("https://pbs.twimg.com/media/FxciEWNWwAA0SRW.jpg")</f>
        <v>https://pbs.twimg.com/media/FxciEWNWwAA0SRW.jpg</v>
      </c>
      <c r="AW2412" s="82" t="s">
        <v>15496</v>
      </c>
      <c r="AX2412" s="82" t="s">
        <v>15496</v>
      </c>
      <c r="AY2412" s="77"/>
      <c r="AZ2412" s="82" t="s">
        <v>17385</v>
      </c>
      <c r="BA2412" s="82" t="s">
        <v>17385</v>
      </c>
      <c r="BB2412" s="82" t="s">
        <v>17385</v>
      </c>
      <c r="BC2412" s="82" t="s">
        <v>15496</v>
      </c>
      <c r="BD2412" s="82" t="s">
        <v>17656</v>
      </c>
      <c r="BE2412" s="77"/>
      <c r="BF2412" s="77"/>
      <c r="BG2412" s="77"/>
      <c r="BH2412" s="77"/>
      <c r="BI2412" s="77"/>
    </row>
    <row r="2413" spans="1:61" x14ac:dyDescent="0.25">
      <c r="A2413" s="62" t="s">
        <v>628</v>
      </c>
      <c r="B2413" s="62" t="s">
        <v>628</v>
      </c>
      <c r="C2413" s="63"/>
      <c r="D2413" s="64"/>
      <c r="E2413" s="65"/>
      <c r="F2413" s="66"/>
      <c r="G2413" s="63"/>
      <c r="H2413" s="67"/>
      <c r="I2413" s="68"/>
      <c r="J2413" s="68"/>
      <c r="K2413" s="32"/>
      <c r="L2413" s="75">
        <v>2413</v>
      </c>
      <c r="M2413" s="75"/>
      <c r="N2413" s="70"/>
      <c r="O2413" s="77" t="s">
        <v>800</v>
      </c>
      <c r="P2413" s="79">
        <v>45119.842245370368</v>
      </c>
      <c r="Q2413" s="77" t="s">
        <v>3190</v>
      </c>
      <c r="R2413" s="77">
        <v>1</v>
      </c>
      <c r="S2413" s="77">
        <v>34</v>
      </c>
      <c r="T2413" s="77">
        <v>2</v>
      </c>
      <c r="U2413" s="77">
        <v>0</v>
      </c>
      <c r="V2413" s="77">
        <v>1408</v>
      </c>
      <c r="W2413" s="82" t="s">
        <v>6336</v>
      </c>
      <c r="X2413" s="77"/>
      <c r="Y2413" s="77"/>
      <c r="Z2413" s="77"/>
      <c r="AA2413" s="77"/>
      <c r="AB2413" s="77"/>
      <c r="AC2413" s="82" t="s">
        <v>8233</v>
      </c>
      <c r="AD2413" s="77" t="s">
        <v>8278</v>
      </c>
      <c r="AE2413" s="80" t="str">
        <f>HYPERLINK("https://twitter.com/raquellyra/status/1679222302536245248")</f>
        <v>https://twitter.com/raquellyra/status/1679222302536245248</v>
      </c>
      <c r="AF2413" s="79">
        <v>45119.842245370368</v>
      </c>
      <c r="AG2413" s="85">
        <v>45119</v>
      </c>
      <c r="AH2413" s="82" t="s">
        <v>10469</v>
      </c>
      <c r="AI2413" s="77"/>
      <c r="AJ2413" s="77"/>
      <c r="AK2413" s="77"/>
      <c r="AL2413" s="77"/>
      <c r="AM2413" s="77"/>
      <c r="AN2413" s="77"/>
      <c r="AO2413" s="77"/>
      <c r="AP2413" s="77"/>
      <c r="AQ2413" s="77"/>
      <c r="AR2413" s="77"/>
      <c r="AS2413" s="77"/>
      <c r="AT2413" s="77"/>
      <c r="AU2413" s="77"/>
      <c r="AV2413" s="80" t="str">
        <f>HYPERLINK("https://pbs.twimg.com/profile_images/1609522137844391939/mY6F90je_normal.jpg")</f>
        <v>https://pbs.twimg.com/profile_images/1609522137844391939/mY6F90je_normal.jpg</v>
      </c>
      <c r="AW2413" s="82" t="s">
        <v>15497</v>
      </c>
      <c r="AX2413" s="82" t="s">
        <v>17208</v>
      </c>
      <c r="AY2413" s="82" t="s">
        <v>17372</v>
      </c>
      <c r="AZ2413" s="82" t="s">
        <v>17208</v>
      </c>
      <c r="BA2413" s="82" t="s">
        <v>17385</v>
      </c>
      <c r="BB2413" s="82" t="s">
        <v>17385</v>
      </c>
      <c r="BC2413" s="82" t="s">
        <v>17208</v>
      </c>
      <c r="BD2413" s="77">
        <v>174370381</v>
      </c>
      <c r="BE2413" s="77"/>
      <c r="BF2413" s="77"/>
      <c r="BG2413" s="77"/>
      <c r="BH2413" s="77"/>
      <c r="BI2413" s="77"/>
    </row>
    <row r="2414" spans="1:61" x14ac:dyDescent="0.25">
      <c r="A2414" s="62" t="s">
        <v>629</v>
      </c>
      <c r="B2414" s="62" t="s">
        <v>629</v>
      </c>
      <c r="C2414" s="63"/>
      <c r="D2414" s="64"/>
      <c r="E2414" s="65"/>
      <c r="F2414" s="66"/>
      <c r="G2414" s="63"/>
      <c r="H2414" s="67"/>
      <c r="I2414" s="68"/>
      <c r="J2414" s="68"/>
      <c r="K2414" s="32"/>
      <c r="L2414" s="75">
        <v>2414</v>
      </c>
      <c r="M2414" s="75"/>
      <c r="N2414" s="70"/>
      <c r="O2414" s="77" t="s">
        <v>800</v>
      </c>
      <c r="P2414" s="79">
        <v>45141.1325</v>
      </c>
      <c r="Q2414" s="77" t="s">
        <v>3191</v>
      </c>
      <c r="R2414" s="77">
        <v>0</v>
      </c>
      <c r="S2414" s="77">
        <v>1</v>
      </c>
      <c r="T2414" s="77">
        <v>0</v>
      </c>
      <c r="U2414" s="77">
        <v>1</v>
      </c>
      <c r="V2414" s="77">
        <v>120</v>
      </c>
      <c r="W2414" s="77"/>
      <c r="X2414" s="77"/>
      <c r="Y2414" s="77"/>
      <c r="Z2414" s="77" t="s">
        <v>7166</v>
      </c>
      <c r="AA2414" s="77"/>
      <c r="AB2414" s="77"/>
      <c r="AC2414" s="82" t="s">
        <v>8233</v>
      </c>
      <c r="AD2414" s="77" t="s">
        <v>8278</v>
      </c>
      <c r="AE2414" s="80" t="str">
        <f>HYPERLINK("https://twitter.com/igoor_serrano/status/1686937636026372096")</f>
        <v>https://twitter.com/igoor_serrano/status/1686937636026372096</v>
      </c>
      <c r="AF2414" s="79">
        <v>45141.1325</v>
      </c>
      <c r="AG2414" s="85">
        <v>45141</v>
      </c>
      <c r="AH2414" s="82" t="s">
        <v>10470</v>
      </c>
      <c r="AI2414" s="77"/>
      <c r="AJ2414" s="77"/>
      <c r="AK2414" s="77"/>
      <c r="AL2414" s="77"/>
      <c r="AM2414" s="77"/>
      <c r="AN2414" s="77"/>
      <c r="AO2414" s="77"/>
      <c r="AP2414" s="77"/>
      <c r="AQ2414" s="77"/>
      <c r="AR2414" s="77"/>
      <c r="AS2414" s="77"/>
      <c r="AT2414" s="77"/>
      <c r="AU2414" s="77"/>
      <c r="AV2414" s="80" t="str">
        <f>HYPERLINK("https://pbs.twimg.com/profile_images/1699049539192172544/B96F3DOd_normal.jpg")</f>
        <v>https://pbs.twimg.com/profile_images/1699049539192172544/B96F3DOd_normal.jpg</v>
      </c>
      <c r="AW2414" s="82" t="s">
        <v>15498</v>
      </c>
      <c r="AX2414" s="82" t="s">
        <v>17209</v>
      </c>
      <c r="AY2414" s="82" t="s">
        <v>17373</v>
      </c>
      <c r="AZ2414" s="82" t="s">
        <v>17422</v>
      </c>
      <c r="BA2414" s="82" t="s">
        <v>17385</v>
      </c>
      <c r="BB2414" s="82" t="s">
        <v>17385</v>
      </c>
      <c r="BC2414" s="82" t="s">
        <v>17422</v>
      </c>
      <c r="BD2414" s="82" t="s">
        <v>17373</v>
      </c>
      <c r="BE2414" s="77"/>
      <c r="BF2414" s="77"/>
      <c r="BG2414" s="77"/>
      <c r="BH2414" s="77"/>
      <c r="BI2414" s="77"/>
    </row>
    <row r="2415" spans="1:61" x14ac:dyDescent="0.25">
      <c r="A2415" s="62" t="s">
        <v>629</v>
      </c>
      <c r="B2415" s="62" t="s">
        <v>629</v>
      </c>
      <c r="C2415" s="63"/>
      <c r="D2415" s="64"/>
      <c r="E2415" s="65"/>
      <c r="F2415" s="66"/>
      <c r="G2415" s="63"/>
      <c r="H2415" s="67"/>
      <c r="I2415" s="68"/>
      <c r="J2415" s="68"/>
      <c r="K2415" s="32"/>
      <c r="L2415" s="75">
        <v>2415</v>
      </c>
      <c r="M2415" s="75"/>
      <c r="N2415" s="70"/>
      <c r="O2415" s="77" t="s">
        <v>801</v>
      </c>
      <c r="P2415" s="79">
        <v>45141.135254629633</v>
      </c>
      <c r="Q2415" s="77" t="s">
        <v>3192</v>
      </c>
      <c r="R2415" s="77">
        <v>0</v>
      </c>
      <c r="S2415" s="77">
        <v>0</v>
      </c>
      <c r="T2415" s="77">
        <v>0</v>
      </c>
      <c r="U2415" s="77">
        <v>0</v>
      </c>
      <c r="V2415" s="77">
        <v>83</v>
      </c>
      <c r="W2415" s="82" t="s">
        <v>6337</v>
      </c>
      <c r="X2415" s="77"/>
      <c r="Y2415" s="77"/>
      <c r="Z2415" s="77"/>
      <c r="AA2415" s="77"/>
      <c r="AB2415" s="77"/>
      <c r="AC2415" s="82" t="s">
        <v>8233</v>
      </c>
      <c r="AD2415" s="77" t="s">
        <v>8282</v>
      </c>
      <c r="AE2415" s="80" t="str">
        <f>HYPERLINK("https://twitter.com/igoor_serrano/status/1686938631032733696")</f>
        <v>https://twitter.com/igoor_serrano/status/1686938631032733696</v>
      </c>
      <c r="AF2415" s="79">
        <v>45141.135254629633</v>
      </c>
      <c r="AG2415" s="85">
        <v>45141</v>
      </c>
      <c r="AH2415" s="82" t="s">
        <v>10471</v>
      </c>
      <c r="AI2415" s="77"/>
      <c r="AJ2415" s="77"/>
      <c r="AK2415" s="77"/>
      <c r="AL2415" s="77"/>
      <c r="AM2415" s="77"/>
      <c r="AN2415" s="77"/>
      <c r="AO2415" s="77"/>
      <c r="AP2415" s="77"/>
      <c r="AQ2415" s="77"/>
      <c r="AR2415" s="77"/>
      <c r="AS2415" s="77"/>
      <c r="AT2415" s="77"/>
      <c r="AU2415" s="77"/>
      <c r="AV2415" s="80" t="str">
        <f>HYPERLINK("https://pbs.twimg.com/profile_images/1699049539192172544/B96F3DOd_normal.jpg")</f>
        <v>https://pbs.twimg.com/profile_images/1699049539192172544/B96F3DOd_normal.jpg</v>
      </c>
      <c r="AW2415" s="82" t="s">
        <v>15499</v>
      </c>
      <c r="AX2415" s="82" t="s">
        <v>15499</v>
      </c>
      <c r="AY2415" s="77"/>
      <c r="AZ2415" s="82" t="s">
        <v>17385</v>
      </c>
      <c r="BA2415" s="82" t="s">
        <v>15498</v>
      </c>
      <c r="BB2415" s="82" t="s">
        <v>17385</v>
      </c>
      <c r="BC2415" s="82" t="s">
        <v>15498</v>
      </c>
      <c r="BD2415" s="82" t="s">
        <v>17373</v>
      </c>
      <c r="BE2415" s="77"/>
      <c r="BF2415" s="77"/>
      <c r="BG2415" s="77"/>
      <c r="BH2415" s="77"/>
      <c r="BI2415" s="77"/>
    </row>
    <row r="2416" spans="1:61" x14ac:dyDescent="0.25">
      <c r="A2416" s="62" t="s">
        <v>629</v>
      </c>
      <c r="B2416" s="62" t="s">
        <v>629</v>
      </c>
      <c r="C2416" s="63"/>
      <c r="D2416" s="64"/>
      <c r="E2416" s="65"/>
      <c r="F2416" s="66"/>
      <c r="G2416" s="63"/>
      <c r="H2416" s="67"/>
      <c r="I2416" s="68"/>
      <c r="J2416" s="68"/>
      <c r="K2416" s="32"/>
      <c r="L2416" s="75">
        <v>2416</v>
      </c>
      <c r="M2416" s="75"/>
      <c r="N2416" s="70"/>
      <c r="O2416" s="77" t="s">
        <v>179</v>
      </c>
      <c r="P2416" s="79">
        <v>45195.694062499999</v>
      </c>
      <c r="Q2416" s="77" t="s">
        <v>3193</v>
      </c>
      <c r="R2416" s="77">
        <v>0</v>
      </c>
      <c r="S2416" s="77">
        <v>0</v>
      </c>
      <c r="T2416" s="77">
        <v>1</v>
      </c>
      <c r="U2416" s="77">
        <v>0</v>
      </c>
      <c r="V2416" s="77">
        <v>48</v>
      </c>
      <c r="W2416" s="82" t="s">
        <v>6338</v>
      </c>
      <c r="X2416" s="77"/>
      <c r="Y2416" s="77"/>
      <c r="Z2416" s="77"/>
      <c r="AA2416" s="77"/>
      <c r="AB2416" s="77"/>
      <c r="AC2416" s="82" t="s">
        <v>8233</v>
      </c>
      <c r="AD2416" s="77" t="s">
        <v>8278</v>
      </c>
      <c r="AE2416" s="80" t="str">
        <f>HYPERLINK("https://twitter.com/igoor_serrano/status/1706710084183527919")</f>
        <v>https://twitter.com/igoor_serrano/status/1706710084183527919</v>
      </c>
      <c r="AF2416" s="79">
        <v>45195.694062499999</v>
      </c>
      <c r="AG2416" s="85">
        <v>45195</v>
      </c>
      <c r="AH2416" s="82" t="s">
        <v>10472</v>
      </c>
      <c r="AI2416" s="77"/>
      <c r="AJ2416" s="77"/>
      <c r="AK2416" s="77"/>
      <c r="AL2416" s="77"/>
      <c r="AM2416" s="77"/>
      <c r="AN2416" s="77"/>
      <c r="AO2416" s="77"/>
      <c r="AP2416" s="77"/>
      <c r="AQ2416" s="77"/>
      <c r="AR2416" s="77"/>
      <c r="AS2416" s="77"/>
      <c r="AT2416" s="77"/>
      <c r="AU2416" s="77"/>
      <c r="AV2416" s="80" t="str">
        <f>HYPERLINK("https://pbs.twimg.com/profile_images/1699049539192172544/B96F3DOd_normal.jpg")</f>
        <v>https://pbs.twimg.com/profile_images/1699049539192172544/B96F3DOd_normal.jpg</v>
      </c>
      <c r="AW2416" s="82" t="s">
        <v>15500</v>
      </c>
      <c r="AX2416" s="82" t="s">
        <v>15500</v>
      </c>
      <c r="AY2416" s="77"/>
      <c r="AZ2416" s="82" t="s">
        <v>17385</v>
      </c>
      <c r="BA2416" s="82" t="s">
        <v>17385</v>
      </c>
      <c r="BB2416" s="82" t="s">
        <v>17385</v>
      </c>
      <c r="BC2416" s="82" t="s">
        <v>15500</v>
      </c>
      <c r="BD2416" s="82" t="s">
        <v>17373</v>
      </c>
      <c r="BE2416" s="77"/>
      <c r="BF2416" s="77"/>
      <c r="BG2416" s="77"/>
      <c r="BH2416" s="77"/>
      <c r="BI2416" s="77"/>
    </row>
    <row r="2417" spans="1:61" x14ac:dyDescent="0.25">
      <c r="A2417" s="62" t="s">
        <v>630</v>
      </c>
      <c r="B2417" s="62" t="s">
        <v>630</v>
      </c>
      <c r="C2417" s="63"/>
      <c r="D2417" s="64"/>
      <c r="E2417" s="65"/>
      <c r="F2417" s="66"/>
      <c r="G2417" s="63"/>
      <c r="H2417" s="67"/>
      <c r="I2417" s="68"/>
      <c r="J2417" s="68"/>
      <c r="K2417" s="32"/>
      <c r="L2417" s="75">
        <v>2417</v>
      </c>
      <c r="M2417" s="75"/>
      <c r="N2417" s="70"/>
      <c r="O2417" s="77" t="s">
        <v>179</v>
      </c>
      <c r="P2417" s="79">
        <v>45131.908761574072</v>
      </c>
      <c r="Q2417" s="77" t="s">
        <v>3194</v>
      </c>
      <c r="R2417" s="77">
        <v>0</v>
      </c>
      <c r="S2417" s="77">
        <v>1</v>
      </c>
      <c r="T2417" s="77">
        <v>0</v>
      </c>
      <c r="U2417" s="77">
        <v>0</v>
      </c>
      <c r="V2417" s="77">
        <v>23</v>
      </c>
      <c r="W2417" s="82" t="s">
        <v>6339</v>
      </c>
      <c r="X2417" s="80" t="str">
        <f>HYPERLINK("https://fxopen.com/blog/en/gt-microsoft-stock-plunges-ahead-of-the-q4-earnings-report/")</f>
        <v>https://fxopen.com/blog/en/gt-microsoft-stock-plunges-ahead-of-the-q4-earnings-report/</v>
      </c>
      <c r="Y2417" s="77" t="s">
        <v>7138</v>
      </c>
      <c r="Z2417" s="77"/>
      <c r="AA2417" s="77" t="s">
        <v>8058</v>
      </c>
      <c r="AB2417" s="77" t="s">
        <v>8225</v>
      </c>
      <c r="AC2417" s="82" t="s">
        <v>8232</v>
      </c>
      <c r="AD2417" s="77" t="s">
        <v>8278</v>
      </c>
      <c r="AE2417" s="80" t="str">
        <f>HYPERLINK("https://twitter.com/rintaroufx/status/1683595062632931329")</f>
        <v>https://twitter.com/rintaroufx/status/1683595062632931329</v>
      </c>
      <c r="AF2417" s="79">
        <v>45131.908761574072</v>
      </c>
      <c r="AG2417" s="85">
        <v>45131</v>
      </c>
      <c r="AH2417" s="82" t="s">
        <v>10473</v>
      </c>
      <c r="AI2417" s="77" t="b">
        <v>0</v>
      </c>
      <c r="AJ2417" s="77"/>
      <c r="AK2417" s="77"/>
      <c r="AL2417" s="77"/>
      <c r="AM2417" s="77"/>
      <c r="AN2417" s="77"/>
      <c r="AO2417" s="77"/>
      <c r="AP2417" s="77"/>
      <c r="AQ2417" s="77" t="s">
        <v>12943</v>
      </c>
      <c r="AR2417" s="77"/>
      <c r="AS2417" s="77"/>
      <c r="AT2417" s="77"/>
      <c r="AU2417" s="77"/>
      <c r="AV2417" s="80" t="str">
        <f>HYPERLINK("https://pbs.twimg.com/media/F11UyLZWYAAY9Qh.jpg")</f>
        <v>https://pbs.twimg.com/media/F11UyLZWYAAY9Qh.jpg</v>
      </c>
      <c r="AW2417" s="82" t="s">
        <v>15501</v>
      </c>
      <c r="AX2417" s="82" t="s">
        <v>15501</v>
      </c>
      <c r="AY2417" s="77"/>
      <c r="AZ2417" s="82" t="s">
        <v>17385</v>
      </c>
      <c r="BA2417" s="82" t="s">
        <v>17385</v>
      </c>
      <c r="BB2417" s="82" t="s">
        <v>17385</v>
      </c>
      <c r="BC2417" s="82" t="s">
        <v>15501</v>
      </c>
      <c r="BD2417" s="82" t="s">
        <v>17657</v>
      </c>
      <c r="BE2417" s="77"/>
      <c r="BF2417" s="77"/>
      <c r="BG2417" s="77"/>
      <c r="BH2417" s="77"/>
      <c r="BI2417" s="77"/>
    </row>
    <row r="2418" spans="1:61" x14ac:dyDescent="0.25">
      <c r="A2418" s="62" t="s">
        <v>630</v>
      </c>
      <c r="B2418" s="62" t="s">
        <v>630</v>
      </c>
      <c r="C2418" s="63"/>
      <c r="D2418" s="64"/>
      <c r="E2418" s="65"/>
      <c r="F2418" s="66"/>
      <c r="G2418" s="63"/>
      <c r="H2418" s="67"/>
      <c r="I2418" s="68"/>
      <c r="J2418" s="68"/>
      <c r="K2418" s="32"/>
      <c r="L2418" s="75">
        <v>2418</v>
      </c>
      <c r="M2418" s="75"/>
      <c r="N2418" s="70"/>
      <c r="O2418" s="77" t="s">
        <v>179</v>
      </c>
      <c r="P2418" s="79">
        <v>45131.907557870371</v>
      </c>
      <c r="Q2418" s="77" t="s">
        <v>3195</v>
      </c>
      <c r="R2418" s="77">
        <v>0</v>
      </c>
      <c r="S2418" s="77">
        <v>1</v>
      </c>
      <c r="T2418" s="77">
        <v>0</v>
      </c>
      <c r="U2418" s="77">
        <v>0</v>
      </c>
      <c r="V2418" s="77">
        <v>16</v>
      </c>
      <c r="W2418" s="82" t="s">
        <v>6340</v>
      </c>
      <c r="X2418" s="80" t="str">
        <f>HYPERLINK("https://fxopen.com/blog/en/oa-msft-stocks-fundamental-vs-technical-analysis/")</f>
        <v>https://fxopen.com/blog/en/oa-msft-stocks-fundamental-vs-technical-analysis/</v>
      </c>
      <c r="Y2418" s="77" t="s">
        <v>7138</v>
      </c>
      <c r="Z2418" s="77"/>
      <c r="AA2418" s="77" t="s">
        <v>8059</v>
      </c>
      <c r="AB2418" s="77" t="s">
        <v>8225</v>
      </c>
      <c r="AC2418" s="82" t="s">
        <v>8232</v>
      </c>
      <c r="AD2418" s="77" t="s">
        <v>8278</v>
      </c>
      <c r="AE2418" s="80" t="str">
        <f>HYPERLINK("https://twitter.com/rintaroufx/status/1683594625771008000")</f>
        <v>https://twitter.com/rintaroufx/status/1683594625771008000</v>
      </c>
      <c r="AF2418" s="79">
        <v>45131.907557870371</v>
      </c>
      <c r="AG2418" s="85">
        <v>45131</v>
      </c>
      <c r="AH2418" s="82" t="s">
        <v>10474</v>
      </c>
      <c r="AI2418" s="77" t="b">
        <v>0</v>
      </c>
      <c r="AJ2418" s="77"/>
      <c r="AK2418" s="77"/>
      <c r="AL2418" s="77"/>
      <c r="AM2418" s="77"/>
      <c r="AN2418" s="77"/>
      <c r="AO2418" s="77"/>
      <c r="AP2418" s="77"/>
      <c r="AQ2418" s="77" t="s">
        <v>12944</v>
      </c>
      <c r="AR2418" s="77"/>
      <c r="AS2418" s="77"/>
      <c r="AT2418" s="77"/>
      <c r="AU2418" s="77"/>
      <c r="AV2418" s="80" t="str">
        <f>HYPERLINK("https://pbs.twimg.com/media/F11UYxyXwAAADyv.jpg")</f>
        <v>https://pbs.twimg.com/media/F11UYxyXwAAADyv.jpg</v>
      </c>
      <c r="AW2418" s="82" t="s">
        <v>15502</v>
      </c>
      <c r="AX2418" s="82" t="s">
        <v>15502</v>
      </c>
      <c r="AY2418" s="77"/>
      <c r="AZ2418" s="82" t="s">
        <v>17385</v>
      </c>
      <c r="BA2418" s="82" t="s">
        <v>17385</v>
      </c>
      <c r="BB2418" s="82" t="s">
        <v>17385</v>
      </c>
      <c r="BC2418" s="82" t="s">
        <v>15502</v>
      </c>
      <c r="BD2418" s="82" t="s">
        <v>17657</v>
      </c>
      <c r="BE2418" s="77"/>
      <c r="BF2418" s="77"/>
      <c r="BG2418" s="77"/>
      <c r="BH2418" s="77"/>
      <c r="BI2418" s="77"/>
    </row>
    <row r="2419" spans="1:61" x14ac:dyDescent="0.25">
      <c r="A2419" s="62" t="s">
        <v>630</v>
      </c>
      <c r="B2419" s="62" t="s">
        <v>630</v>
      </c>
      <c r="C2419" s="63"/>
      <c r="D2419" s="64"/>
      <c r="E2419" s="65"/>
      <c r="F2419" s="66"/>
      <c r="G2419" s="63"/>
      <c r="H2419" s="67"/>
      <c r="I2419" s="68"/>
      <c r="J2419" s="68"/>
      <c r="K2419" s="32"/>
      <c r="L2419" s="75">
        <v>2419</v>
      </c>
      <c r="M2419" s="75"/>
      <c r="N2419" s="70"/>
      <c r="O2419" s="77" t="s">
        <v>179</v>
      </c>
      <c r="P2419" s="79">
        <v>45139.053518518522</v>
      </c>
      <c r="Q2419" s="77" t="s">
        <v>3196</v>
      </c>
      <c r="R2419" s="77">
        <v>0</v>
      </c>
      <c r="S2419" s="77">
        <v>1</v>
      </c>
      <c r="T2419" s="77">
        <v>0</v>
      </c>
      <c r="U2419" s="77">
        <v>0</v>
      </c>
      <c r="V2419" s="77">
        <v>42</v>
      </c>
      <c r="W2419" s="82" t="s">
        <v>6341</v>
      </c>
      <c r="X2419" s="80" t="str">
        <f>HYPERLINK("https://fxopen.com/blog/en/oa-market-analysis-us-stocks-continue-to-rise/")</f>
        <v>https://fxopen.com/blog/en/oa-market-analysis-us-stocks-continue-to-rise/</v>
      </c>
      <c r="Y2419" s="77" t="s">
        <v>7138</v>
      </c>
      <c r="Z2419" s="77"/>
      <c r="AA2419" s="77" t="s">
        <v>8060</v>
      </c>
      <c r="AB2419" s="77" t="s">
        <v>8225</v>
      </c>
      <c r="AC2419" s="82" t="s">
        <v>8232</v>
      </c>
      <c r="AD2419" s="77" t="s">
        <v>8278</v>
      </c>
      <c r="AE2419" s="80" t="str">
        <f>HYPERLINK("https://twitter.com/rintaroufx/status/1686184237802647552")</f>
        <v>https://twitter.com/rintaroufx/status/1686184237802647552</v>
      </c>
      <c r="AF2419" s="79">
        <v>45139.053518518522</v>
      </c>
      <c r="AG2419" s="85">
        <v>45139</v>
      </c>
      <c r="AH2419" s="82" t="s">
        <v>10475</v>
      </c>
      <c r="AI2419" s="77" t="b">
        <v>0</v>
      </c>
      <c r="AJ2419" s="77"/>
      <c r="AK2419" s="77"/>
      <c r="AL2419" s="77"/>
      <c r="AM2419" s="77"/>
      <c r="AN2419" s="77"/>
      <c r="AO2419" s="77"/>
      <c r="AP2419" s="77"/>
      <c r="AQ2419" s="77" t="s">
        <v>12945</v>
      </c>
      <c r="AR2419" s="77"/>
      <c r="AS2419" s="77"/>
      <c r="AT2419" s="77"/>
      <c r="AU2419" s="77"/>
      <c r="AV2419" s="80" t="str">
        <f>HYPERLINK("https://pbs.twimg.com/media/F2aHniAWsAAkmb-.png")</f>
        <v>https://pbs.twimg.com/media/F2aHniAWsAAkmb-.png</v>
      </c>
      <c r="AW2419" s="82" t="s">
        <v>15503</v>
      </c>
      <c r="AX2419" s="82" t="s">
        <v>15503</v>
      </c>
      <c r="AY2419" s="77"/>
      <c r="AZ2419" s="82" t="s">
        <v>17385</v>
      </c>
      <c r="BA2419" s="82" t="s">
        <v>17385</v>
      </c>
      <c r="BB2419" s="82" t="s">
        <v>17385</v>
      </c>
      <c r="BC2419" s="82" t="s">
        <v>15503</v>
      </c>
      <c r="BD2419" s="82" t="s">
        <v>17657</v>
      </c>
      <c r="BE2419" s="77"/>
      <c r="BF2419" s="77"/>
      <c r="BG2419" s="77"/>
      <c r="BH2419" s="77"/>
      <c r="BI2419" s="77"/>
    </row>
    <row r="2420" spans="1:61" x14ac:dyDescent="0.25">
      <c r="A2420" s="62" t="s">
        <v>630</v>
      </c>
      <c r="B2420" s="62" t="s">
        <v>630</v>
      </c>
      <c r="C2420" s="63"/>
      <c r="D2420" s="64"/>
      <c r="E2420" s="65"/>
      <c r="F2420" s="66"/>
      <c r="G2420" s="63"/>
      <c r="H2420" s="67"/>
      <c r="I2420" s="68"/>
      <c r="J2420" s="68"/>
      <c r="K2420" s="32"/>
      <c r="L2420" s="75">
        <v>2420</v>
      </c>
      <c r="M2420" s="75"/>
      <c r="N2420" s="70"/>
      <c r="O2420" s="77" t="s">
        <v>179</v>
      </c>
      <c r="P2420" s="79">
        <v>45120.232048611113</v>
      </c>
      <c r="Q2420" s="77" t="s">
        <v>3197</v>
      </c>
      <c r="R2420" s="77">
        <v>0</v>
      </c>
      <c r="S2420" s="77">
        <v>1</v>
      </c>
      <c r="T2420" s="77">
        <v>0</v>
      </c>
      <c r="U2420" s="77">
        <v>0</v>
      </c>
      <c r="V2420" s="77">
        <v>7</v>
      </c>
      <c r="W2420" s="82" t="s">
        <v>6342</v>
      </c>
      <c r="X2420" s="80" t="str">
        <f>HYPERLINK("https://fxopen.com/blog/en/gt-top-stocks-to-consider-in-july-2023/")</f>
        <v>https://fxopen.com/blog/en/gt-top-stocks-to-consider-in-july-2023/</v>
      </c>
      <c r="Y2420" s="77" t="s">
        <v>7138</v>
      </c>
      <c r="Z2420" s="77"/>
      <c r="AA2420" s="77" t="s">
        <v>8061</v>
      </c>
      <c r="AB2420" s="77" t="s">
        <v>8225</v>
      </c>
      <c r="AC2420" s="82" t="s">
        <v>8232</v>
      </c>
      <c r="AD2420" s="77" t="s">
        <v>8278</v>
      </c>
      <c r="AE2420" s="80" t="str">
        <f>HYPERLINK("https://twitter.com/rintaroufx/status/1679363564727877633")</f>
        <v>https://twitter.com/rintaroufx/status/1679363564727877633</v>
      </c>
      <c r="AF2420" s="79">
        <v>45120.232048611113</v>
      </c>
      <c r="AG2420" s="85">
        <v>45120</v>
      </c>
      <c r="AH2420" s="82" t="s">
        <v>10476</v>
      </c>
      <c r="AI2420" s="77" t="b">
        <v>0</v>
      </c>
      <c r="AJ2420" s="77"/>
      <c r="AK2420" s="77"/>
      <c r="AL2420" s="77"/>
      <c r="AM2420" s="77"/>
      <c r="AN2420" s="77"/>
      <c r="AO2420" s="77"/>
      <c r="AP2420" s="77"/>
      <c r="AQ2420" s="77" t="s">
        <v>12946</v>
      </c>
      <c r="AR2420" s="77"/>
      <c r="AS2420" s="77"/>
      <c r="AT2420" s="77"/>
      <c r="AU2420" s="77"/>
      <c r="AV2420" s="80" t="str">
        <f>HYPERLINK("https://pbs.twimg.com/media/F05MLHmWAAAFmRY.jpg")</f>
        <v>https://pbs.twimg.com/media/F05MLHmWAAAFmRY.jpg</v>
      </c>
      <c r="AW2420" s="82" t="s">
        <v>15504</v>
      </c>
      <c r="AX2420" s="82" t="s">
        <v>15504</v>
      </c>
      <c r="AY2420" s="77"/>
      <c r="AZ2420" s="82" t="s">
        <v>17385</v>
      </c>
      <c r="BA2420" s="82" t="s">
        <v>17385</v>
      </c>
      <c r="BB2420" s="82" t="s">
        <v>17385</v>
      </c>
      <c r="BC2420" s="82" t="s">
        <v>15504</v>
      </c>
      <c r="BD2420" s="82" t="s">
        <v>17657</v>
      </c>
      <c r="BE2420" s="77"/>
      <c r="BF2420" s="77"/>
      <c r="BG2420" s="77"/>
      <c r="BH2420" s="77"/>
      <c r="BI2420" s="77"/>
    </row>
    <row r="2421" spans="1:61" x14ac:dyDescent="0.25">
      <c r="A2421" s="62" t="s">
        <v>630</v>
      </c>
      <c r="B2421" s="62" t="s">
        <v>630</v>
      </c>
      <c r="C2421" s="63"/>
      <c r="D2421" s="64"/>
      <c r="E2421" s="65"/>
      <c r="F2421" s="66"/>
      <c r="G2421" s="63"/>
      <c r="H2421" s="67"/>
      <c r="I2421" s="68"/>
      <c r="J2421" s="68"/>
      <c r="K2421" s="32"/>
      <c r="L2421" s="75">
        <v>2421</v>
      </c>
      <c r="M2421" s="75"/>
      <c r="N2421" s="70"/>
      <c r="O2421" s="77" t="s">
        <v>179</v>
      </c>
      <c r="P2421" s="79">
        <v>45111.250393518516</v>
      </c>
      <c r="Q2421" s="77" t="s">
        <v>3198</v>
      </c>
      <c r="R2421" s="77">
        <v>0</v>
      </c>
      <c r="S2421" s="77">
        <v>1</v>
      </c>
      <c r="T2421" s="77">
        <v>0</v>
      </c>
      <c r="U2421" s="77">
        <v>0</v>
      </c>
      <c r="V2421" s="77">
        <v>4</v>
      </c>
      <c r="W2421" s="82" t="s">
        <v>6343</v>
      </c>
      <c r="X2421" s="80" t="str">
        <f>HYPERLINK("https://fxopen.com/blog/en/gt-market-analysis-nvidia-spike-shows-theres-more-than-just-mining/")</f>
        <v>https://fxopen.com/blog/en/gt-market-analysis-nvidia-spike-shows-theres-more-than-just-mining/</v>
      </c>
      <c r="Y2421" s="77" t="s">
        <v>7138</v>
      </c>
      <c r="Z2421" s="77"/>
      <c r="AA2421" s="77" t="s">
        <v>8062</v>
      </c>
      <c r="AB2421" s="77" t="s">
        <v>8225</v>
      </c>
      <c r="AC2421" s="82" t="s">
        <v>8232</v>
      </c>
      <c r="AD2421" s="77" t="s">
        <v>8278</v>
      </c>
      <c r="AE2421" s="80" t="str">
        <f>HYPERLINK("https://twitter.com/rintaroufx/status/1676108720361684992")</f>
        <v>https://twitter.com/rintaroufx/status/1676108720361684992</v>
      </c>
      <c r="AF2421" s="79">
        <v>45111.250393518516</v>
      </c>
      <c r="AG2421" s="85">
        <v>45111</v>
      </c>
      <c r="AH2421" s="82" t="s">
        <v>10477</v>
      </c>
      <c r="AI2421" s="77" t="b">
        <v>0</v>
      </c>
      <c r="AJ2421" s="77"/>
      <c r="AK2421" s="77"/>
      <c r="AL2421" s="77"/>
      <c r="AM2421" s="77"/>
      <c r="AN2421" s="77"/>
      <c r="AO2421" s="77"/>
      <c r="AP2421" s="77"/>
      <c r="AQ2421" s="77" t="s">
        <v>12947</v>
      </c>
      <c r="AR2421" s="77"/>
      <c r="AS2421" s="77"/>
      <c r="AT2421" s="77"/>
      <c r="AU2421" s="77"/>
      <c r="AV2421" s="80" t="str">
        <f>HYPERLINK("https://pbs.twimg.com/media/F0K75C2X0AAfgb5.jpg")</f>
        <v>https://pbs.twimg.com/media/F0K75C2X0AAfgb5.jpg</v>
      </c>
      <c r="AW2421" s="82" t="s">
        <v>15505</v>
      </c>
      <c r="AX2421" s="82" t="s">
        <v>15505</v>
      </c>
      <c r="AY2421" s="77"/>
      <c r="AZ2421" s="82" t="s">
        <v>17385</v>
      </c>
      <c r="BA2421" s="82" t="s">
        <v>17385</v>
      </c>
      <c r="BB2421" s="82" t="s">
        <v>17385</v>
      </c>
      <c r="BC2421" s="82" t="s">
        <v>15505</v>
      </c>
      <c r="BD2421" s="82" t="s">
        <v>17657</v>
      </c>
      <c r="BE2421" s="77"/>
      <c r="BF2421" s="77"/>
      <c r="BG2421" s="77"/>
      <c r="BH2421" s="77"/>
      <c r="BI2421" s="77"/>
    </row>
    <row r="2422" spans="1:61" x14ac:dyDescent="0.25">
      <c r="A2422" s="62" t="s">
        <v>630</v>
      </c>
      <c r="B2422" s="62" t="s">
        <v>630</v>
      </c>
      <c r="C2422" s="63"/>
      <c r="D2422" s="64"/>
      <c r="E2422" s="65"/>
      <c r="F2422" s="66"/>
      <c r="G2422" s="63"/>
      <c r="H2422" s="67"/>
      <c r="I2422" s="68"/>
      <c r="J2422" s="68"/>
      <c r="K2422" s="32"/>
      <c r="L2422" s="75">
        <v>2422</v>
      </c>
      <c r="M2422" s="75"/>
      <c r="N2422" s="70"/>
      <c r="O2422" s="77" t="s">
        <v>179</v>
      </c>
      <c r="P2422" s="79">
        <v>45140.117951388886</v>
      </c>
      <c r="Q2422" s="77" t="s">
        <v>3199</v>
      </c>
      <c r="R2422" s="77">
        <v>0</v>
      </c>
      <c r="S2422" s="77">
        <v>1</v>
      </c>
      <c r="T2422" s="77">
        <v>0</v>
      </c>
      <c r="U2422" s="77">
        <v>0</v>
      </c>
      <c r="V2422" s="77">
        <v>24</v>
      </c>
      <c r="W2422" s="82" t="s">
        <v>6344</v>
      </c>
      <c r="X2422" s="80" t="str">
        <f>HYPERLINK("https://fxopen.com/blog/en/gt-nflx-stock-outlook-netflix-surges-on-uk-subscription-increase-what-will-the-end-of-august-bring/")</f>
        <v>https://fxopen.com/blog/en/gt-nflx-stock-outlook-netflix-surges-on-uk-subscription-increase-what-will-the-end-of-august-bring/</v>
      </c>
      <c r="Y2422" s="77" t="s">
        <v>7138</v>
      </c>
      <c r="Z2422" s="77"/>
      <c r="AA2422" s="77" t="s">
        <v>8063</v>
      </c>
      <c r="AB2422" s="77" t="s">
        <v>8225</v>
      </c>
      <c r="AC2422" s="82" t="s">
        <v>8232</v>
      </c>
      <c r="AD2422" s="77" t="s">
        <v>8285</v>
      </c>
      <c r="AE2422" s="80" t="str">
        <f>HYPERLINK("https://twitter.com/rintaroufx/status/1686569975811624961")</f>
        <v>https://twitter.com/rintaroufx/status/1686569975811624961</v>
      </c>
      <c r="AF2422" s="79">
        <v>45140.117951388886</v>
      </c>
      <c r="AG2422" s="85">
        <v>45140</v>
      </c>
      <c r="AH2422" s="82" t="s">
        <v>10478</v>
      </c>
      <c r="AI2422" s="77" t="b">
        <v>0</v>
      </c>
      <c r="AJ2422" s="77"/>
      <c r="AK2422" s="77"/>
      <c r="AL2422" s="77"/>
      <c r="AM2422" s="77"/>
      <c r="AN2422" s="77"/>
      <c r="AO2422" s="77"/>
      <c r="AP2422" s="77"/>
      <c r="AQ2422" s="77" t="s">
        <v>12948</v>
      </c>
      <c r="AR2422" s="77"/>
      <c r="AS2422" s="77"/>
      <c r="AT2422" s="77"/>
      <c r="AU2422" s="77"/>
      <c r="AV2422" s="80" t="str">
        <f>HYPERLINK("https://pbs.twimg.com/media/F2fmbhpWoAEPyRu.jpg")</f>
        <v>https://pbs.twimg.com/media/F2fmbhpWoAEPyRu.jpg</v>
      </c>
      <c r="AW2422" s="82" t="s">
        <v>15506</v>
      </c>
      <c r="AX2422" s="82" t="s">
        <v>15506</v>
      </c>
      <c r="AY2422" s="77"/>
      <c r="AZ2422" s="82" t="s">
        <v>17385</v>
      </c>
      <c r="BA2422" s="82" t="s">
        <v>17385</v>
      </c>
      <c r="BB2422" s="82" t="s">
        <v>17385</v>
      </c>
      <c r="BC2422" s="82" t="s">
        <v>15506</v>
      </c>
      <c r="BD2422" s="82" t="s">
        <v>17657</v>
      </c>
      <c r="BE2422" s="77"/>
      <c r="BF2422" s="77"/>
      <c r="BG2422" s="77"/>
      <c r="BH2422" s="77"/>
      <c r="BI2422" s="77"/>
    </row>
    <row r="2423" spans="1:61" x14ac:dyDescent="0.25">
      <c r="A2423" s="62" t="s">
        <v>631</v>
      </c>
      <c r="B2423" s="62" t="s">
        <v>631</v>
      </c>
      <c r="C2423" s="63"/>
      <c r="D2423" s="64"/>
      <c r="E2423" s="65"/>
      <c r="F2423" s="66"/>
      <c r="G2423" s="63"/>
      <c r="H2423" s="67"/>
      <c r="I2423" s="68"/>
      <c r="J2423" s="68"/>
      <c r="K2423" s="32"/>
      <c r="L2423" s="75">
        <v>2423</v>
      </c>
      <c r="M2423" s="75"/>
      <c r="N2423" s="70"/>
      <c r="O2423" s="77" t="s">
        <v>179</v>
      </c>
      <c r="P2423" s="79">
        <v>45197.554247685184</v>
      </c>
      <c r="Q2423" s="77" t="s">
        <v>3200</v>
      </c>
      <c r="R2423" s="77">
        <v>0</v>
      </c>
      <c r="S2423" s="77">
        <v>0</v>
      </c>
      <c r="T2423" s="77">
        <v>0</v>
      </c>
      <c r="U2423" s="77">
        <v>0</v>
      </c>
      <c r="V2423" s="77">
        <v>15</v>
      </c>
      <c r="W2423" s="82" t="s">
        <v>6345</v>
      </c>
      <c r="X2423" s="77"/>
      <c r="Y2423" s="77"/>
      <c r="Z2423" s="77"/>
      <c r="AA2423" s="77"/>
      <c r="AB2423" s="77"/>
      <c r="AC2423" s="82" t="s">
        <v>8234</v>
      </c>
      <c r="AD2423" s="77" t="s">
        <v>8278</v>
      </c>
      <c r="AE2423" s="80" t="str">
        <f>HYPERLINK("https://twitter.com/jonathan_baldi_/status/1707384192831459559")</f>
        <v>https://twitter.com/jonathan_baldi_/status/1707384192831459559</v>
      </c>
      <c r="AF2423" s="79">
        <v>45197.554247685184</v>
      </c>
      <c r="AG2423" s="85">
        <v>45197</v>
      </c>
      <c r="AH2423" s="82" t="s">
        <v>10479</v>
      </c>
      <c r="AI2423" s="77"/>
      <c r="AJ2423" s="77"/>
      <c r="AK2423" s="77"/>
      <c r="AL2423" s="77"/>
      <c r="AM2423" s="77"/>
      <c r="AN2423" s="77"/>
      <c r="AO2423" s="77"/>
      <c r="AP2423" s="77"/>
      <c r="AQ2423" s="77"/>
      <c r="AR2423" s="77"/>
      <c r="AS2423" s="77"/>
      <c r="AT2423" s="77"/>
      <c r="AU2423" s="77"/>
      <c r="AV2423" s="80" t="str">
        <f>HYPERLINK("https://pbs.twimg.com/profile_images/1703509317511434241/Iqw0AcFO_normal.jpg")</f>
        <v>https://pbs.twimg.com/profile_images/1703509317511434241/Iqw0AcFO_normal.jpg</v>
      </c>
      <c r="AW2423" s="82" t="s">
        <v>15507</v>
      </c>
      <c r="AX2423" s="82" t="s">
        <v>15507</v>
      </c>
      <c r="AY2423" s="77"/>
      <c r="AZ2423" s="82" t="s">
        <v>17385</v>
      </c>
      <c r="BA2423" s="82" t="s">
        <v>17385</v>
      </c>
      <c r="BB2423" s="82" t="s">
        <v>17385</v>
      </c>
      <c r="BC2423" s="82" t="s">
        <v>15507</v>
      </c>
      <c r="BD2423" s="82" t="s">
        <v>17658</v>
      </c>
      <c r="BE2423" s="77"/>
      <c r="BF2423" s="77"/>
      <c r="BG2423" s="77"/>
      <c r="BH2423" s="77"/>
      <c r="BI2423" s="77"/>
    </row>
    <row r="2424" spans="1:61" x14ac:dyDescent="0.25">
      <c r="A2424" s="62" t="s">
        <v>632</v>
      </c>
      <c r="B2424" s="62" t="s">
        <v>632</v>
      </c>
      <c r="C2424" s="63"/>
      <c r="D2424" s="64"/>
      <c r="E2424" s="65"/>
      <c r="F2424" s="66"/>
      <c r="G2424" s="63"/>
      <c r="H2424" s="67"/>
      <c r="I2424" s="68"/>
      <c r="J2424" s="68"/>
      <c r="K2424" s="32"/>
      <c r="L2424" s="75">
        <v>2424</v>
      </c>
      <c r="M2424" s="75"/>
      <c r="N2424" s="70"/>
      <c r="O2424" s="77" t="s">
        <v>179</v>
      </c>
      <c r="P2424" s="79">
        <v>45075.456504629627</v>
      </c>
      <c r="Q2424" s="77" t="s">
        <v>3201</v>
      </c>
      <c r="R2424" s="77">
        <v>0</v>
      </c>
      <c r="S2424" s="77">
        <v>1</v>
      </c>
      <c r="T2424" s="77">
        <v>0</v>
      </c>
      <c r="U2424" s="77">
        <v>0</v>
      </c>
      <c r="V2424" s="77">
        <v>129</v>
      </c>
      <c r="W2424" s="82" t="s">
        <v>4835</v>
      </c>
      <c r="X2424" s="80" t="str">
        <f>HYPERLINK("https://bit.ly/4390hVG")</f>
        <v>https://bit.ly/4390hVG</v>
      </c>
      <c r="Y2424" s="77" t="s">
        <v>7063</v>
      </c>
      <c r="Z2424" s="77"/>
      <c r="AA2424" s="77"/>
      <c r="AB2424" s="77"/>
      <c r="AC2424" s="82" t="s">
        <v>8232</v>
      </c>
      <c r="AD2424" s="77" t="s">
        <v>8278</v>
      </c>
      <c r="AE2424" s="80" t="str">
        <f>HYPERLINK("https://twitter.com/smarttbot/status/1663137448992309248")</f>
        <v>https://twitter.com/smarttbot/status/1663137448992309248</v>
      </c>
      <c r="AF2424" s="79">
        <v>45075.456504629627</v>
      </c>
      <c r="AG2424" s="85">
        <v>45075</v>
      </c>
      <c r="AH2424" s="82" t="s">
        <v>10480</v>
      </c>
      <c r="AI2424" s="77" t="b">
        <v>0</v>
      </c>
      <c r="AJ2424" s="77"/>
      <c r="AK2424" s="77"/>
      <c r="AL2424" s="77"/>
      <c r="AM2424" s="77"/>
      <c r="AN2424" s="77"/>
      <c r="AO2424" s="77"/>
      <c r="AP2424" s="77"/>
      <c r="AQ2424" s="77"/>
      <c r="AR2424" s="77"/>
      <c r="AS2424" s="77"/>
      <c r="AT2424" s="77"/>
      <c r="AU2424" s="77"/>
      <c r="AV2424" s="80" t="str">
        <f>HYPERLINK("https://pbs.twimg.com/profile_images/1681764833190899713/QvsD8xjd_normal.jpg")</f>
        <v>https://pbs.twimg.com/profile_images/1681764833190899713/QvsD8xjd_normal.jpg</v>
      </c>
      <c r="AW2424" s="82" t="s">
        <v>15508</v>
      </c>
      <c r="AX2424" s="82" t="s">
        <v>15508</v>
      </c>
      <c r="AY2424" s="77"/>
      <c r="AZ2424" s="82" t="s">
        <v>17385</v>
      </c>
      <c r="BA2424" s="82" t="s">
        <v>17385</v>
      </c>
      <c r="BB2424" s="82" t="s">
        <v>17385</v>
      </c>
      <c r="BC2424" s="82" t="s">
        <v>15508</v>
      </c>
      <c r="BD2424" s="77">
        <v>70575051</v>
      </c>
      <c r="BE2424" s="77"/>
      <c r="BF2424" s="77"/>
      <c r="BG2424" s="77"/>
      <c r="BH2424" s="77"/>
      <c r="BI2424" s="77"/>
    </row>
    <row r="2425" spans="1:61" x14ac:dyDescent="0.25">
      <c r="A2425" s="62" t="s">
        <v>632</v>
      </c>
      <c r="B2425" s="62" t="s">
        <v>632</v>
      </c>
      <c r="C2425" s="63"/>
      <c r="D2425" s="64"/>
      <c r="E2425" s="65"/>
      <c r="F2425" s="66"/>
      <c r="G2425" s="63"/>
      <c r="H2425" s="67"/>
      <c r="I2425" s="68"/>
      <c r="J2425" s="68"/>
      <c r="K2425" s="32"/>
      <c r="L2425" s="75">
        <v>2425</v>
      </c>
      <c r="M2425" s="75"/>
      <c r="N2425" s="70"/>
      <c r="O2425" s="77" t="s">
        <v>179</v>
      </c>
      <c r="P2425" s="79">
        <v>45075.000902777778</v>
      </c>
      <c r="Q2425" s="77" t="s">
        <v>3202</v>
      </c>
      <c r="R2425" s="77">
        <v>1</v>
      </c>
      <c r="S2425" s="77">
        <v>3</v>
      </c>
      <c r="T2425" s="77">
        <v>0</v>
      </c>
      <c r="U2425" s="77">
        <v>0</v>
      </c>
      <c r="V2425" s="77">
        <v>324</v>
      </c>
      <c r="W2425" s="82" t="s">
        <v>5537</v>
      </c>
      <c r="X2425" s="80" t="str">
        <f>HYPERLINK("https://bit.ly/427mMJf")</f>
        <v>https://bit.ly/427mMJf</v>
      </c>
      <c r="Y2425" s="77" t="s">
        <v>7063</v>
      </c>
      <c r="Z2425" s="77"/>
      <c r="AA2425" s="77"/>
      <c r="AB2425" s="77"/>
      <c r="AC2425" s="82" t="s">
        <v>8232</v>
      </c>
      <c r="AD2425" s="77" t="s">
        <v>8278</v>
      </c>
      <c r="AE2425" s="80" t="str">
        <f>HYPERLINK("https://twitter.com/smarttbot/status/1662972344824889345")</f>
        <v>https://twitter.com/smarttbot/status/1662972344824889345</v>
      </c>
      <c r="AF2425" s="79">
        <v>45075.000902777778</v>
      </c>
      <c r="AG2425" s="85">
        <v>45075</v>
      </c>
      <c r="AH2425" s="82" t="s">
        <v>10481</v>
      </c>
      <c r="AI2425" s="77" t="b">
        <v>0</v>
      </c>
      <c r="AJ2425" s="77"/>
      <c r="AK2425" s="77"/>
      <c r="AL2425" s="77"/>
      <c r="AM2425" s="77"/>
      <c r="AN2425" s="77"/>
      <c r="AO2425" s="77"/>
      <c r="AP2425" s="77"/>
      <c r="AQ2425" s="77"/>
      <c r="AR2425" s="77"/>
      <c r="AS2425" s="77"/>
      <c r="AT2425" s="77"/>
      <c r="AU2425" s="77"/>
      <c r="AV2425" s="80" t="str">
        <f>HYPERLINK("https://pbs.twimg.com/profile_images/1681764833190899713/QvsD8xjd_normal.jpg")</f>
        <v>https://pbs.twimg.com/profile_images/1681764833190899713/QvsD8xjd_normal.jpg</v>
      </c>
      <c r="AW2425" s="82" t="s">
        <v>15509</v>
      </c>
      <c r="AX2425" s="82" t="s">
        <v>15509</v>
      </c>
      <c r="AY2425" s="77"/>
      <c r="AZ2425" s="82" t="s">
        <v>17385</v>
      </c>
      <c r="BA2425" s="82" t="s">
        <v>17385</v>
      </c>
      <c r="BB2425" s="82" t="s">
        <v>17385</v>
      </c>
      <c r="BC2425" s="82" t="s">
        <v>15509</v>
      </c>
      <c r="BD2425" s="77">
        <v>70575051</v>
      </c>
      <c r="BE2425" s="77"/>
      <c r="BF2425" s="77"/>
      <c r="BG2425" s="77"/>
      <c r="BH2425" s="77"/>
      <c r="BI2425" s="77"/>
    </row>
    <row r="2426" spans="1:61" x14ac:dyDescent="0.25">
      <c r="A2426" s="62" t="s">
        <v>632</v>
      </c>
      <c r="B2426" s="62" t="s">
        <v>632</v>
      </c>
      <c r="C2426" s="63"/>
      <c r="D2426" s="64"/>
      <c r="E2426" s="65"/>
      <c r="F2426" s="66"/>
      <c r="G2426" s="63"/>
      <c r="H2426" s="67"/>
      <c r="I2426" s="68"/>
      <c r="J2426" s="68"/>
      <c r="K2426" s="32"/>
      <c r="L2426" s="75">
        <v>2426</v>
      </c>
      <c r="M2426" s="75"/>
      <c r="N2426" s="70"/>
      <c r="O2426" s="77" t="s">
        <v>179</v>
      </c>
      <c r="P2426" s="79">
        <v>45047.696527777778</v>
      </c>
      <c r="Q2426" s="77" t="s">
        <v>3203</v>
      </c>
      <c r="R2426" s="77">
        <v>0</v>
      </c>
      <c r="S2426" s="77">
        <v>1</v>
      </c>
      <c r="T2426" s="77">
        <v>0</v>
      </c>
      <c r="U2426" s="77">
        <v>0</v>
      </c>
      <c r="V2426" s="77">
        <v>143</v>
      </c>
      <c r="W2426" s="82" t="s">
        <v>6346</v>
      </c>
      <c r="X2426" s="80" t="str">
        <f>HYPERLINK("https://bit.ly/40Y5bD4")</f>
        <v>https://bit.ly/40Y5bD4</v>
      </c>
      <c r="Y2426" s="77" t="s">
        <v>7063</v>
      </c>
      <c r="Z2426" s="77"/>
      <c r="AA2426" s="77"/>
      <c r="AB2426" s="77"/>
      <c r="AC2426" s="82" t="s">
        <v>8232</v>
      </c>
      <c r="AD2426" s="77" t="s">
        <v>8278</v>
      </c>
      <c r="AE2426" s="80" t="str">
        <f>HYPERLINK("https://twitter.com/smarttbot/status/1653077572178133007")</f>
        <v>https://twitter.com/smarttbot/status/1653077572178133007</v>
      </c>
      <c r="AF2426" s="79">
        <v>45047.696527777778</v>
      </c>
      <c r="AG2426" s="85">
        <v>45047</v>
      </c>
      <c r="AH2426" s="82" t="s">
        <v>10482</v>
      </c>
      <c r="AI2426" s="77" t="b">
        <v>0</v>
      </c>
      <c r="AJ2426" s="77"/>
      <c r="AK2426" s="77"/>
      <c r="AL2426" s="77"/>
      <c r="AM2426" s="77"/>
      <c r="AN2426" s="77"/>
      <c r="AO2426" s="77"/>
      <c r="AP2426" s="77"/>
      <c r="AQ2426" s="77"/>
      <c r="AR2426" s="77"/>
      <c r="AS2426" s="77"/>
      <c r="AT2426" s="77"/>
      <c r="AU2426" s="77"/>
      <c r="AV2426" s="80" t="str">
        <f>HYPERLINK("https://pbs.twimg.com/profile_images/1681764833190899713/QvsD8xjd_normal.jpg")</f>
        <v>https://pbs.twimg.com/profile_images/1681764833190899713/QvsD8xjd_normal.jpg</v>
      </c>
      <c r="AW2426" s="82" t="s">
        <v>15510</v>
      </c>
      <c r="AX2426" s="82" t="s">
        <v>15510</v>
      </c>
      <c r="AY2426" s="77"/>
      <c r="AZ2426" s="82" t="s">
        <v>17385</v>
      </c>
      <c r="BA2426" s="82" t="s">
        <v>17385</v>
      </c>
      <c r="BB2426" s="82" t="s">
        <v>17385</v>
      </c>
      <c r="BC2426" s="82" t="s">
        <v>15510</v>
      </c>
      <c r="BD2426" s="77">
        <v>70575051</v>
      </c>
      <c r="BE2426" s="77"/>
      <c r="BF2426" s="77"/>
      <c r="BG2426" s="77"/>
      <c r="BH2426" s="77"/>
      <c r="BI2426" s="77"/>
    </row>
    <row r="2427" spans="1:61" x14ac:dyDescent="0.25">
      <c r="A2427" s="62" t="s">
        <v>632</v>
      </c>
      <c r="B2427" s="62" t="s">
        <v>632</v>
      </c>
      <c r="C2427" s="63"/>
      <c r="D2427" s="64"/>
      <c r="E2427" s="65"/>
      <c r="F2427" s="66"/>
      <c r="G2427" s="63"/>
      <c r="H2427" s="67"/>
      <c r="I2427" s="68"/>
      <c r="J2427" s="68"/>
      <c r="K2427" s="32"/>
      <c r="L2427" s="75">
        <v>2427</v>
      </c>
      <c r="M2427" s="75"/>
      <c r="N2427" s="70"/>
      <c r="O2427" s="77" t="s">
        <v>179</v>
      </c>
      <c r="P2427" s="79">
        <v>45044.453043981484</v>
      </c>
      <c r="Q2427" s="77" t="s">
        <v>3204</v>
      </c>
      <c r="R2427" s="77">
        <v>0</v>
      </c>
      <c r="S2427" s="77">
        <v>1</v>
      </c>
      <c r="T2427" s="77">
        <v>0</v>
      </c>
      <c r="U2427" s="77">
        <v>0</v>
      </c>
      <c r="V2427" s="77">
        <v>154</v>
      </c>
      <c r="W2427" s="82" t="s">
        <v>5637</v>
      </c>
      <c r="X2427" s="80" t="str">
        <f>HYPERLINK("https://bit.ly/3oLhqFD")</f>
        <v>https://bit.ly/3oLhqFD</v>
      </c>
      <c r="Y2427" s="77" t="s">
        <v>7063</v>
      </c>
      <c r="Z2427" s="77"/>
      <c r="AA2427" s="77"/>
      <c r="AB2427" s="77"/>
      <c r="AC2427" s="82" t="s">
        <v>8232</v>
      </c>
      <c r="AD2427" s="77" t="s">
        <v>8278</v>
      </c>
      <c r="AE2427" s="80" t="str">
        <f>HYPERLINK("https://twitter.com/smarttbot/status/1651902171724521474")</f>
        <v>https://twitter.com/smarttbot/status/1651902171724521474</v>
      </c>
      <c r="AF2427" s="79">
        <v>45044.453043981484</v>
      </c>
      <c r="AG2427" s="85">
        <v>45044</v>
      </c>
      <c r="AH2427" s="82" t="s">
        <v>10483</v>
      </c>
      <c r="AI2427" s="77" t="b">
        <v>0</v>
      </c>
      <c r="AJ2427" s="77"/>
      <c r="AK2427" s="77"/>
      <c r="AL2427" s="77"/>
      <c r="AM2427" s="77"/>
      <c r="AN2427" s="77"/>
      <c r="AO2427" s="77"/>
      <c r="AP2427" s="77"/>
      <c r="AQ2427" s="77"/>
      <c r="AR2427" s="77"/>
      <c r="AS2427" s="77"/>
      <c r="AT2427" s="77"/>
      <c r="AU2427" s="77"/>
      <c r="AV2427" s="80" t="str">
        <f>HYPERLINK("https://pbs.twimg.com/profile_images/1681764833190899713/QvsD8xjd_normal.jpg")</f>
        <v>https://pbs.twimg.com/profile_images/1681764833190899713/QvsD8xjd_normal.jpg</v>
      </c>
      <c r="AW2427" s="82" t="s">
        <v>15511</v>
      </c>
      <c r="AX2427" s="82" t="s">
        <v>15511</v>
      </c>
      <c r="AY2427" s="77"/>
      <c r="AZ2427" s="82" t="s">
        <v>17385</v>
      </c>
      <c r="BA2427" s="82" t="s">
        <v>17385</v>
      </c>
      <c r="BB2427" s="82" t="s">
        <v>17385</v>
      </c>
      <c r="BC2427" s="82" t="s">
        <v>15511</v>
      </c>
      <c r="BD2427" s="77">
        <v>70575051</v>
      </c>
      <c r="BE2427" s="77"/>
      <c r="BF2427" s="77"/>
      <c r="BG2427" s="77"/>
      <c r="BH2427" s="77"/>
      <c r="BI2427" s="77"/>
    </row>
    <row r="2428" spans="1:61" x14ac:dyDescent="0.25">
      <c r="A2428" s="62" t="s">
        <v>632</v>
      </c>
      <c r="B2428" s="62" t="s">
        <v>632</v>
      </c>
      <c r="C2428" s="63"/>
      <c r="D2428" s="64"/>
      <c r="E2428" s="65"/>
      <c r="F2428" s="66"/>
      <c r="G2428" s="63"/>
      <c r="H2428" s="67"/>
      <c r="I2428" s="68"/>
      <c r="J2428" s="68"/>
      <c r="K2428" s="32"/>
      <c r="L2428" s="75">
        <v>2428</v>
      </c>
      <c r="M2428" s="75"/>
      <c r="N2428" s="70"/>
      <c r="O2428" s="77" t="s">
        <v>179</v>
      </c>
      <c r="P2428" s="79">
        <v>45089.0468287037</v>
      </c>
      <c r="Q2428" s="77" t="s">
        <v>3205</v>
      </c>
      <c r="R2428" s="77">
        <v>0</v>
      </c>
      <c r="S2428" s="77">
        <v>0</v>
      </c>
      <c r="T2428" s="77">
        <v>0</v>
      </c>
      <c r="U2428" s="77">
        <v>0</v>
      </c>
      <c r="V2428" s="77">
        <v>311</v>
      </c>
      <c r="W2428" s="82" t="s">
        <v>5112</v>
      </c>
      <c r="X2428" s="80" t="str">
        <f>HYPERLINK("https://financenews.com.br/2023/06/eventos-que-podem-impactar-a-bolsa-na-semana-15/")</f>
        <v>https://financenews.com.br/2023/06/eventos-que-podem-impactar-a-bolsa-na-semana-15/</v>
      </c>
      <c r="Y2428" s="77" t="s">
        <v>7053</v>
      </c>
      <c r="Z2428" s="77"/>
      <c r="AA2428" s="77"/>
      <c r="AB2428" s="77"/>
      <c r="AC2428" s="82" t="s">
        <v>8232</v>
      </c>
      <c r="AD2428" s="77" t="s">
        <v>8278</v>
      </c>
      <c r="AE2428" s="80" t="str">
        <f>HYPERLINK("https://twitter.com/smarttbot/status/1668062419128598528")</f>
        <v>https://twitter.com/smarttbot/status/1668062419128598528</v>
      </c>
      <c r="AF2428" s="79">
        <v>45089.0468287037</v>
      </c>
      <c r="AG2428" s="85">
        <v>45089</v>
      </c>
      <c r="AH2428" s="82" t="s">
        <v>10484</v>
      </c>
      <c r="AI2428" s="77" t="b">
        <v>0</v>
      </c>
      <c r="AJ2428" s="77"/>
      <c r="AK2428" s="77"/>
      <c r="AL2428" s="77"/>
      <c r="AM2428" s="77"/>
      <c r="AN2428" s="77"/>
      <c r="AO2428" s="77"/>
      <c r="AP2428" s="77"/>
      <c r="AQ2428" s="77"/>
      <c r="AR2428" s="77"/>
      <c r="AS2428" s="77"/>
      <c r="AT2428" s="77"/>
      <c r="AU2428" s="77"/>
      <c r="AV2428" s="80" t="str">
        <f>HYPERLINK("https://pbs.twimg.com/profile_images/1681764833190899713/QvsD8xjd_normal.jpg")</f>
        <v>https://pbs.twimg.com/profile_images/1681764833190899713/QvsD8xjd_normal.jpg</v>
      </c>
      <c r="AW2428" s="82" t="s">
        <v>15512</v>
      </c>
      <c r="AX2428" s="82" t="s">
        <v>15512</v>
      </c>
      <c r="AY2428" s="77"/>
      <c r="AZ2428" s="82" t="s">
        <v>17385</v>
      </c>
      <c r="BA2428" s="82" t="s">
        <v>17385</v>
      </c>
      <c r="BB2428" s="82" t="s">
        <v>17385</v>
      </c>
      <c r="BC2428" s="82" t="s">
        <v>15512</v>
      </c>
      <c r="BD2428" s="77">
        <v>70575051</v>
      </c>
      <c r="BE2428" s="77"/>
      <c r="BF2428" s="77"/>
      <c r="BG2428" s="77"/>
      <c r="BH2428" s="77"/>
      <c r="BI2428" s="77"/>
    </row>
    <row r="2429" spans="1:61" x14ac:dyDescent="0.25">
      <c r="A2429" s="62" t="s">
        <v>632</v>
      </c>
      <c r="B2429" s="62" t="s">
        <v>632</v>
      </c>
      <c r="C2429" s="63"/>
      <c r="D2429" s="64"/>
      <c r="E2429" s="65"/>
      <c r="F2429" s="66"/>
      <c r="G2429" s="63"/>
      <c r="H2429" s="67"/>
      <c r="I2429" s="68"/>
      <c r="J2429" s="68"/>
      <c r="K2429" s="32"/>
      <c r="L2429" s="75">
        <v>2429</v>
      </c>
      <c r="M2429" s="75"/>
      <c r="N2429" s="70"/>
      <c r="O2429" s="77" t="s">
        <v>179</v>
      </c>
      <c r="P2429" s="79">
        <v>45088.620706018519</v>
      </c>
      <c r="Q2429" s="77" t="s">
        <v>3206</v>
      </c>
      <c r="R2429" s="77">
        <v>0</v>
      </c>
      <c r="S2429" s="77">
        <v>1</v>
      </c>
      <c r="T2429" s="77">
        <v>0</v>
      </c>
      <c r="U2429" s="77">
        <v>0</v>
      </c>
      <c r="V2429" s="77">
        <v>219</v>
      </c>
      <c r="W2429" s="82" t="s">
        <v>5112</v>
      </c>
      <c r="X2429" s="80" t="str">
        <f>HYPERLINK("https://bit.ly/43A19CU")</f>
        <v>https://bit.ly/43A19CU</v>
      </c>
      <c r="Y2429" s="77" t="s">
        <v>7063</v>
      </c>
      <c r="Z2429" s="77"/>
      <c r="AA2429" s="77"/>
      <c r="AB2429" s="77"/>
      <c r="AC2429" s="82" t="s">
        <v>8232</v>
      </c>
      <c r="AD2429" s="77" t="s">
        <v>8278</v>
      </c>
      <c r="AE2429" s="80" t="str">
        <f>HYPERLINK("https://twitter.com/smarttbot/status/1667907998801330177")</f>
        <v>https://twitter.com/smarttbot/status/1667907998801330177</v>
      </c>
      <c r="AF2429" s="79">
        <v>45088.620706018519</v>
      </c>
      <c r="AG2429" s="85">
        <v>45088</v>
      </c>
      <c r="AH2429" s="82" t="s">
        <v>10485</v>
      </c>
      <c r="AI2429" s="77" t="b">
        <v>0</v>
      </c>
      <c r="AJ2429" s="77"/>
      <c r="AK2429" s="77"/>
      <c r="AL2429" s="77"/>
      <c r="AM2429" s="77"/>
      <c r="AN2429" s="77"/>
      <c r="AO2429" s="77"/>
      <c r="AP2429" s="77"/>
      <c r="AQ2429" s="77"/>
      <c r="AR2429" s="77"/>
      <c r="AS2429" s="77"/>
      <c r="AT2429" s="77"/>
      <c r="AU2429" s="77"/>
      <c r="AV2429" s="80" t="str">
        <f>HYPERLINK("https://pbs.twimg.com/profile_images/1681764833190899713/QvsD8xjd_normal.jpg")</f>
        <v>https://pbs.twimg.com/profile_images/1681764833190899713/QvsD8xjd_normal.jpg</v>
      </c>
      <c r="AW2429" s="82" t="s">
        <v>15513</v>
      </c>
      <c r="AX2429" s="82" t="s">
        <v>15513</v>
      </c>
      <c r="AY2429" s="77"/>
      <c r="AZ2429" s="82" t="s">
        <v>17385</v>
      </c>
      <c r="BA2429" s="82" t="s">
        <v>17385</v>
      </c>
      <c r="BB2429" s="82" t="s">
        <v>17385</v>
      </c>
      <c r="BC2429" s="82" t="s">
        <v>15513</v>
      </c>
      <c r="BD2429" s="77">
        <v>70575051</v>
      </c>
      <c r="BE2429" s="77"/>
      <c r="BF2429" s="77"/>
      <c r="BG2429" s="77"/>
      <c r="BH2429" s="77"/>
      <c r="BI2429" s="77"/>
    </row>
    <row r="2430" spans="1:61" x14ac:dyDescent="0.25">
      <c r="A2430" s="62" t="s">
        <v>632</v>
      </c>
      <c r="B2430" s="62" t="s">
        <v>632</v>
      </c>
      <c r="C2430" s="63"/>
      <c r="D2430" s="64"/>
      <c r="E2430" s="65"/>
      <c r="F2430" s="66"/>
      <c r="G2430" s="63"/>
      <c r="H2430" s="67"/>
      <c r="I2430" s="68"/>
      <c r="J2430" s="68"/>
      <c r="K2430" s="32"/>
      <c r="L2430" s="75">
        <v>2430</v>
      </c>
      <c r="M2430" s="75"/>
      <c r="N2430" s="70"/>
      <c r="O2430" s="77" t="s">
        <v>179</v>
      </c>
      <c r="P2430" s="79">
        <v>45074.886793981481</v>
      </c>
      <c r="Q2430" s="77" t="s">
        <v>3207</v>
      </c>
      <c r="R2430" s="77">
        <v>0</v>
      </c>
      <c r="S2430" s="77">
        <v>2</v>
      </c>
      <c r="T2430" s="77">
        <v>0</v>
      </c>
      <c r="U2430" s="77">
        <v>0</v>
      </c>
      <c r="V2430" s="77">
        <v>210</v>
      </c>
      <c r="W2430" s="82" t="s">
        <v>4825</v>
      </c>
      <c r="X2430" s="80" t="str">
        <f>HYPERLINK("https://bit.ly/43nYr3e")</f>
        <v>https://bit.ly/43nYr3e</v>
      </c>
      <c r="Y2430" s="77" t="s">
        <v>7063</v>
      </c>
      <c r="Z2430" s="77"/>
      <c r="AA2430" s="77"/>
      <c r="AB2430" s="77"/>
      <c r="AC2430" s="82" t="s">
        <v>8232</v>
      </c>
      <c r="AD2430" s="77" t="s">
        <v>8279</v>
      </c>
      <c r="AE2430" s="80" t="str">
        <f>HYPERLINK("https://twitter.com/smarttbot/status/1662930992825352195")</f>
        <v>https://twitter.com/smarttbot/status/1662930992825352195</v>
      </c>
      <c r="AF2430" s="79">
        <v>45074.886793981481</v>
      </c>
      <c r="AG2430" s="85">
        <v>45074</v>
      </c>
      <c r="AH2430" s="82" t="s">
        <v>10486</v>
      </c>
      <c r="AI2430" s="77" t="b">
        <v>0</v>
      </c>
      <c r="AJ2430" s="77"/>
      <c r="AK2430" s="77"/>
      <c r="AL2430" s="77"/>
      <c r="AM2430" s="77"/>
      <c r="AN2430" s="77"/>
      <c r="AO2430" s="77"/>
      <c r="AP2430" s="77"/>
      <c r="AQ2430" s="77"/>
      <c r="AR2430" s="77"/>
      <c r="AS2430" s="77"/>
      <c r="AT2430" s="77"/>
      <c r="AU2430" s="77"/>
      <c r="AV2430" s="80" t="str">
        <f>HYPERLINK("https://pbs.twimg.com/profile_images/1681764833190899713/QvsD8xjd_normal.jpg")</f>
        <v>https://pbs.twimg.com/profile_images/1681764833190899713/QvsD8xjd_normal.jpg</v>
      </c>
      <c r="AW2430" s="82" t="s">
        <v>15514</v>
      </c>
      <c r="AX2430" s="82" t="s">
        <v>15514</v>
      </c>
      <c r="AY2430" s="77"/>
      <c r="AZ2430" s="82" t="s">
        <v>17385</v>
      </c>
      <c r="BA2430" s="82" t="s">
        <v>17385</v>
      </c>
      <c r="BB2430" s="82" t="s">
        <v>17385</v>
      </c>
      <c r="BC2430" s="82" t="s">
        <v>15514</v>
      </c>
      <c r="BD2430" s="77">
        <v>70575051</v>
      </c>
      <c r="BE2430" s="77"/>
      <c r="BF2430" s="77"/>
      <c r="BG2430" s="77"/>
      <c r="BH2430" s="77"/>
      <c r="BI2430" s="77"/>
    </row>
    <row r="2431" spans="1:61" x14ac:dyDescent="0.25">
      <c r="A2431" s="62" t="s">
        <v>632</v>
      </c>
      <c r="B2431" s="62" t="s">
        <v>632</v>
      </c>
      <c r="C2431" s="63"/>
      <c r="D2431" s="64"/>
      <c r="E2431" s="65"/>
      <c r="F2431" s="66"/>
      <c r="G2431" s="63"/>
      <c r="H2431" s="67"/>
      <c r="I2431" s="68"/>
      <c r="J2431" s="68"/>
      <c r="K2431" s="32"/>
      <c r="L2431" s="75">
        <v>2431</v>
      </c>
      <c r="M2431" s="75"/>
      <c r="N2431" s="70"/>
      <c r="O2431" s="77" t="s">
        <v>179</v>
      </c>
      <c r="P2431" s="79">
        <v>45048.454641203702</v>
      </c>
      <c r="Q2431" s="77" t="s">
        <v>3208</v>
      </c>
      <c r="R2431" s="77">
        <v>0</v>
      </c>
      <c r="S2431" s="77">
        <v>1</v>
      </c>
      <c r="T2431" s="77">
        <v>0</v>
      </c>
      <c r="U2431" s="77">
        <v>0</v>
      </c>
      <c r="V2431" s="77">
        <v>120</v>
      </c>
      <c r="W2431" s="82" t="s">
        <v>4835</v>
      </c>
      <c r="X2431" s="80" t="str">
        <f>HYPERLINK("https://bit.ly/3Nrtvdl")</f>
        <v>https://bit.ly/3Nrtvdl</v>
      </c>
      <c r="Y2431" s="77" t="s">
        <v>7063</v>
      </c>
      <c r="Z2431" s="77"/>
      <c r="AA2431" s="77"/>
      <c r="AB2431" s="77"/>
      <c r="AC2431" s="82" t="s">
        <v>8232</v>
      </c>
      <c r="AD2431" s="77" t="s">
        <v>8278</v>
      </c>
      <c r="AE2431" s="80" t="str">
        <f>HYPERLINK("https://twitter.com/smarttbot/status/1653352301237551104")</f>
        <v>https://twitter.com/smarttbot/status/1653352301237551104</v>
      </c>
      <c r="AF2431" s="79">
        <v>45048.454641203702</v>
      </c>
      <c r="AG2431" s="85">
        <v>45048</v>
      </c>
      <c r="AH2431" s="82" t="s">
        <v>10487</v>
      </c>
      <c r="AI2431" s="77" t="b">
        <v>0</v>
      </c>
      <c r="AJ2431" s="77"/>
      <c r="AK2431" s="77"/>
      <c r="AL2431" s="77"/>
      <c r="AM2431" s="77"/>
      <c r="AN2431" s="77"/>
      <c r="AO2431" s="77"/>
      <c r="AP2431" s="77"/>
      <c r="AQ2431" s="77"/>
      <c r="AR2431" s="77"/>
      <c r="AS2431" s="77"/>
      <c r="AT2431" s="77"/>
      <c r="AU2431" s="77"/>
      <c r="AV2431" s="80" t="str">
        <f>HYPERLINK("https://pbs.twimg.com/profile_images/1681764833190899713/QvsD8xjd_normal.jpg")</f>
        <v>https://pbs.twimg.com/profile_images/1681764833190899713/QvsD8xjd_normal.jpg</v>
      </c>
      <c r="AW2431" s="82" t="s">
        <v>15515</v>
      </c>
      <c r="AX2431" s="82" t="s">
        <v>15515</v>
      </c>
      <c r="AY2431" s="77"/>
      <c r="AZ2431" s="82" t="s">
        <v>17385</v>
      </c>
      <c r="BA2431" s="82" t="s">
        <v>17385</v>
      </c>
      <c r="BB2431" s="82" t="s">
        <v>17385</v>
      </c>
      <c r="BC2431" s="82" t="s">
        <v>15515</v>
      </c>
      <c r="BD2431" s="77">
        <v>70575051</v>
      </c>
      <c r="BE2431" s="77"/>
      <c r="BF2431" s="77"/>
      <c r="BG2431" s="77"/>
      <c r="BH2431" s="77"/>
      <c r="BI2431" s="77"/>
    </row>
    <row r="2432" spans="1:61" x14ac:dyDescent="0.25">
      <c r="A2432" s="62" t="s">
        <v>632</v>
      </c>
      <c r="B2432" s="62" t="s">
        <v>632</v>
      </c>
      <c r="C2432" s="63"/>
      <c r="D2432" s="64"/>
      <c r="E2432" s="65"/>
      <c r="F2432" s="66"/>
      <c r="G2432" s="63"/>
      <c r="H2432" s="67"/>
      <c r="I2432" s="68"/>
      <c r="J2432" s="68"/>
      <c r="K2432" s="32"/>
      <c r="L2432" s="75">
        <v>2432</v>
      </c>
      <c r="M2432" s="75"/>
      <c r="N2432" s="70"/>
      <c r="O2432" s="77" t="s">
        <v>179</v>
      </c>
      <c r="P2432" s="79">
        <v>45150.562106481484</v>
      </c>
      <c r="Q2432" s="77" t="s">
        <v>3209</v>
      </c>
      <c r="R2432" s="77">
        <v>0</v>
      </c>
      <c r="S2432" s="77">
        <v>1</v>
      </c>
      <c r="T2432" s="77">
        <v>0</v>
      </c>
      <c r="U2432" s="77">
        <v>0</v>
      </c>
      <c r="V2432" s="77">
        <v>151</v>
      </c>
      <c r="W2432" s="82" t="s">
        <v>6347</v>
      </c>
      <c r="X2432" s="80" t="str">
        <f>HYPERLINK("https://financenews.com.br/2023/08/companhias-que-divulgaram-informacoes-sobre-dividendos-e-jcp-na-semana-80/")</f>
        <v>https://financenews.com.br/2023/08/companhias-que-divulgaram-informacoes-sobre-dividendos-e-jcp-na-semana-80/</v>
      </c>
      <c r="Y2432" s="77" t="s">
        <v>7053</v>
      </c>
      <c r="Z2432" s="77"/>
      <c r="AA2432" s="77"/>
      <c r="AB2432" s="77"/>
      <c r="AC2432" s="82" t="s">
        <v>8232</v>
      </c>
      <c r="AD2432" s="77" t="s">
        <v>8278</v>
      </c>
      <c r="AE2432" s="80" t="str">
        <f>HYPERLINK("https://twitter.com/smarttbot/status/1690354809667297280")</f>
        <v>https://twitter.com/smarttbot/status/1690354809667297280</v>
      </c>
      <c r="AF2432" s="79">
        <v>45150.562106481484</v>
      </c>
      <c r="AG2432" s="85">
        <v>45150</v>
      </c>
      <c r="AH2432" s="82" t="s">
        <v>10488</v>
      </c>
      <c r="AI2432" s="77" t="b">
        <v>0</v>
      </c>
      <c r="AJ2432" s="77"/>
      <c r="AK2432" s="77"/>
      <c r="AL2432" s="77"/>
      <c r="AM2432" s="77"/>
      <c r="AN2432" s="77"/>
      <c r="AO2432" s="77"/>
      <c r="AP2432" s="77"/>
      <c r="AQ2432" s="77"/>
      <c r="AR2432" s="77"/>
      <c r="AS2432" s="77"/>
      <c r="AT2432" s="77"/>
      <c r="AU2432" s="77"/>
      <c r="AV2432" s="80" t="str">
        <f>HYPERLINK("https://pbs.twimg.com/profile_images/1681764833190899713/QvsD8xjd_normal.jpg")</f>
        <v>https://pbs.twimg.com/profile_images/1681764833190899713/QvsD8xjd_normal.jpg</v>
      </c>
      <c r="AW2432" s="82" t="s">
        <v>15516</v>
      </c>
      <c r="AX2432" s="82" t="s">
        <v>15516</v>
      </c>
      <c r="AY2432" s="77"/>
      <c r="AZ2432" s="82" t="s">
        <v>17385</v>
      </c>
      <c r="BA2432" s="82" t="s">
        <v>17385</v>
      </c>
      <c r="BB2432" s="82" t="s">
        <v>17385</v>
      </c>
      <c r="BC2432" s="82" t="s">
        <v>15516</v>
      </c>
      <c r="BD2432" s="77">
        <v>70575051</v>
      </c>
      <c r="BE2432" s="77"/>
      <c r="BF2432" s="77"/>
      <c r="BG2432" s="77"/>
      <c r="BH2432" s="77"/>
      <c r="BI2432" s="77"/>
    </row>
    <row r="2433" spans="1:61" x14ac:dyDescent="0.25">
      <c r="A2433" s="62" t="s">
        <v>632</v>
      </c>
      <c r="B2433" s="62" t="s">
        <v>632</v>
      </c>
      <c r="C2433" s="63"/>
      <c r="D2433" s="64"/>
      <c r="E2433" s="65"/>
      <c r="F2433" s="66"/>
      <c r="G2433" s="63"/>
      <c r="H2433" s="67"/>
      <c r="I2433" s="68"/>
      <c r="J2433" s="68"/>
      <c r="K2433" s="32"/>
      <c r="L2433" s="75">
        <v>2433</v>
      </c>
      <c r="M2433" s="75"/>
      <c r="N2433" s="70"/>
      <c r="O2433" s="77" t="s">
        <v>179</v>
      </c>
      <c r="P2433" s="79">
        <v>45149.731388888889</v>
      </c>
      <c r="Q2433" s="77" t="s">
        <v>3210</v>
      </c>
      <c r="R2433" s="77">
        <v>0</v>
      </c>
      <c r="S2433" s="77">
        <v>0</v>
      </c>
      <c r="T2433" s="77">
        <v>0</v>
      </c>
      <c r="U2433" s="77">
        <v>0</v>
      </c>
      <c r="V2433" s="77">
        <v>132</v>
      </c>
      <c r="W2433" s="82" t="s">
        <v>6348</v>
      </c>
      <c r="X2433" s="80" t="str">
        <f>HYPERLINK("https://financenews.com.br/2023/08/6-companhias-divulgaram-informacoes-sobre-proventos-confira-os-detalhes-2/")</f>
        <v>https://financenews.com.br/2023/08/6-companhias-divulgaram-informacoes-sobre-proventos-confira-os-detalhes-2/</v>
      </c>
      <c r="Y2433" s="77" t="s">
        <v>7053</v>
      </c>
      <c r="Z2433" s="77"/>
      <c r="AA2433" s="77"/>
      <c r="AB2433" s="77"/>
      <c r="AC2433" s="82" t="s">
        <v>8232</v>
      </c>
      <c r="AD2433" s="77" t="s">
        <v>8278</v>
      </c>
      <c r="AE2433" s="80" t="str">
        <f>HYPERLINK("https://twitter.com/smarttbot/status/1690053767373135872")</f>
        <v>https://twitter.com/smarttbot/status/1690053767373135872</v>
      </c>
      <c r="AF2433" s="79">
        <v>45149.731388888889</v>
      </c>
      <c r="AG2433" s="85">
        <v>45149</v>
      </c>
      <c r="AH2433" s="82" t="s">
        <v>10489</v>
      </c>
      <c r="AI2433" s="77" t="b">
        <v>0</v>
      </c>
      <c r="AJ2433" s="77"/>
      <c r="AK2433" s="77"/>
      <c r="AL2433" s="77"/>
      <c r="AM2433" s="77"/>
      <c r="AN2433" s="77"/>
      <c r="AO2433" s="77"/>
      <c r="AP2433" s="77"/>
      <c r="AQ2433" s="77"/>
      <c r="AR2433" s="77"/>
      <c r="AS2433" s="77"/>
      <c r="AT2433" s="77"/>
      <c r="AU2433" s="77"/>
      <c r="AV2433" s="80" t="str">
        <f>HYPERLINK("https://pbs.twimg.com/profile_images/1681764833190899713/QvsD8xjd_normal.jpg")</f>
        <v>https://pbs.twimg.com/profile_images/1681764833190899713/QvsD8xjd_normal.jpg</v>
      </c>
      <c r="AW2433" s="82" t="s">
        <v>15517</v>
      </c>
      <c r="AX2433" s="82" t="s">
        <v>15517</v>
      </c>
      <c r="AY2433" s="77"/>
      <c r="AZ2433" s="82" t="s">
        <v>17385</v>
      </c>
      <c r="BA2433" s="82" t="s">
        <v>17385</v>
      </c>
      <c r="BB2433" s="82" t="s">
        <v>17385</v>
      </c>
      <c r="BC2433" s="82" t="s">
        <v>15517</v>
      </c>
      <c r="BD2433" s="77">
        <v>70575051</v>
      </c>
      <c r="BE2433" s="77"/>
      <c r="BF2433" s="77"/>
      <c r="BG2433" s="77"/>
      <c r="BH2433" s="77"/>
      <c r="BI2433" s="77"/>
    </row>
    <row r="2434" spans="1:61" x14ac:dyDescent="0.25">
      <c r="A2434" s="62" t="s">
        <v>632</v>
      </c>
      <c r="B2434" s="62" t="s">
        <v>632</v>
      </c>
      <c r="C2434" s="63"/>
      <c r="D2434" s="64"/>
      <c r="E2434" s="65"/>
      <c r="F2434" s="66"/>
      <c r="G2434" s="63"/>
      <c r="H2434" s="67"/>
      <c r="I2434" s="68"/>
      <c r="J2434" s="68"/>
      <c r="K2434" s="32"/>
      <c r="L2434" s="75">
        <v>2434</v>
      </c>
      <c r="M2434" s="75"/>
      <c r="N2434" s="70"/>
      <c r="O2434" s="77" t="s">
        <v>179</v>
      </c>
      <c r="P2434" s="79">
        <v>45093.464606481481</v>
      </c>
      <c r="Q2434" s="77" t="s">
        <v>3211</v>
      </c>
      <c r="R2434" s="77">
        <v>0</v>
      </c>
      <c r="S2434" s="77">
        <v>3</v>
      </c>
      <c r="T2434" s="77">
        <v>0</v>
      </c>
      <c r="U2434" s="77">
        <v>0</v>
      </c>
      <c r="V2434" s="77">
        <v>242</v>
      </c>
      <c r="W2434" s="82" t="s">
        <v>6349</v>
      </c>
      <c r="X2434" s="80" t="str">
        <f>HYPERLINK("https://bit.ly/43UpenU")</f>
        <v>https://bit.ly/43UpenU</v>
      </c>
      <c r="Y2434" s="77" t="s">
        <v>7063</v>
      </c>
      <c r="Z2434" s="77"/>
      <c r="AA2434" s="77"/>
      <c r="AB2434" s="77"/>
      <c r="AC2434" s="82" t="s">
        <v>8232</v>
      </c>
      <c r="AD2434" s="77" t="s">
        <v>8278</v>
      </c>
      <c r="AE2434" s="80" t="str">
        <f>HYPERLINK("https://twitter.com/smarttbot/status/1669663367684931585")</f>
        <v>https://twitter.com/smarttbot/status/1669663367684931585</v>
      </c>
      <c r="AF2434" s="79">
        <v>45093.464606481481</v>
      </c>
      <c r="AG2434" s="85">
        <v>45093</v>
      </c>
      <c r="AH2434" s="82" t="s">
        <v>10490</v>
      </c>
      <c r="AI2434" s="77" t="b">
        <v>0</v>
      </c>
      <c r="AJ2434" s="77"/>
      <c r="AK2434" s="77"/>
      <c r="AL2434" s="77"/>
      <c r="AM2434" s="77"/>
      <c r="AN2434" s="77"/>
      <c r="AO2434" s="77"/>
      <c r="AP2434" s="77"/>
      <c r="AQ2434" s="77"/>
      <c r="AR2434" s="77"/>
      <c r="AS2434" s="77"/>
      <c r="AT2434" s="77"/>
      <c r="AU2434" s="77"/>
      <c r="AV2434" s="80" t="str">
        <f>HYPERLINK("https://pbs.twimg.com/profile_images/1681764833190899713/QvsD8xjd_normal.jpg")</f>
        <v>https://pbs.twimg.com/profile_images/1681764833190899713/QvsD8xjd_normal.jpg</v>
      </c>
      <c r="AW2434" s="82" t="s">
        <v>15518</v>
      </c>
      <c r="AX2434" s="82" t="s">
        <v>15518</v>
      </c>
      <c r="AY2434" s="77"/>
      <c r="AZ2434" s="82" t="s">
        <v>17385</v>
      </c>
      <c r="BA2434" s="82" t="s">
        <v>17385</v>
      </c>
      <c r="BB2434" s="82" t="s">
        <v>17385</v>
      </c>
      <c r="BC2434" s="82" t="s">
        <v>15518</v>
      </c>
      <c r="BD2434" s="77">
        <v>70575051</v>
      </c>
      <c r="BE2434" s="77"/>
      <c r="BF2434" s="77"/>
      <c r="BG2434" s="77"/>
      <c r="BH2434" s="77"/>
      <c r="BI2434" s="77"/>
    </row>
    <row r="2435" spans="1:61" x14ac:dyDescent="0.25">
      <c r="A2435" s="62" t="s">
        <v>632</v>
      </c>
      <c r="B2435" s="62" t="s">
        <v>632</v>
      </c>
      <c r="C2435" s="63"/>
      <c r="D2435" s="64"/>
      <c r="E2435" s="65"/>
      <c r="F2435" s="66"/>
      <c r="G2435" s="63"/>
      <c r="H2435" s="67"/>
      <c r="I2435" s="68"/>
      <c r="J2435" s="68"/>
      <c r="K2435" s="32"/>
      <c r="L2435" s="75">
        <v>2435</v>
      </c>
      <c r="M2435" s="75"/>
      <c r="N2435" s="70"/>
      <c r="O2435" s="77" t="s">
        <v>179</v>
      </c>
      <c r="P2435" s="79">
        <v>45091.45894675926</v>
      </c>
      <c r="Q2435" s="77" t="s">
        <v>3212</v>
      </c>
      <c r="R2435" s="77">
        <v>0</v>
      </c>
      <c r="S2435" s="77">
        <v>3</v>
      </c>
      <c r="T2435" s="77">
        <v>0</v>
      </c>
      <c r="U2435" s="77">
        <v>0</v>
      </c>
      <c r="V2435" s="77">
        <v>188</v>
      </c>
      <c r="W2435" s="82" t="s">
        <v>5112</v>
      </c>
      <c r="X2435" s="80" t="str">
        <f>HYPERLINK("https://bit.ly/42DLdhQ")</f>
        <v>https://bit.ly/42DLdhQ</v>
      </c>
      <c r="Y2435" s="77" t="s">
        <v>7063</v>
      </c>
      <c r="Z2435" s="77"/>
      <c r="AA2435" s="77"/>
      <c r="AB2435" s="77"/>
      <c r="AC2435" s="82" t="s">
        <v>8232</v>
      </c>
      <c r="AD2435" s="77" t="s">
        <v>8278</v>
      </c>
      <c r="AE2435" s="80" t="str">
        <f>HYPERLINK("https://twitter.com/smarttbot/status/1668936542943887361")</f>
        <v>https://twitter.com/smarttbot/status/1668936542943887361</v>
      </c>
      <c r="AF2435" s="79">
        <v>45091.45894675926</v>
      </c>
      <c r="AG2435" s="85">
        <v>45091</v>
      </c>
      <c r="AH2435" s="82" t="s">
        <v>10491</v>
      </c>
      <c r="AI2435" s="77" t="b">
        <v>0</v>
      </c>
      <c r="AJ2435" s="77"/>
      <c r="AK2435" s="77"/>
      <c r="AL2435" s="77"/>
      <c r="AM2435" s="77"/>
      <c r="AN2435" s="77"/>
      <c r="AO2435" s="77"/>
      <c r="AP2435" s="77"/>
      <c r="AQ2435" s="77"/>
      <c r="AR2435" s="77"/>
      <c r="AS2435" s="77"/>
      <c r="AT2435" s="77"/>
      <c r="AU2435" s="77"/>
      <c r="AV2435" s="80" t="str">
        <f>HYPERLINK("https://pbs.twimg.com/profile_images/1681764833190899713/QvsD8xjd_normal.jpg")</f>
        <v>https://pbs.twimg.com/profile_images/1681764833190899713/QvsD8xjd_normal.jpg</v>
      </c>
      <c r="AW2435" s="82" t="s">
        <v>15519</v>
      </c>
      <c r="AX2435" s="82" t="s">
        <v>15519</v>
      </c>
      <c r="AY2435" s="77"/>
      <c r="AZ2435" s="82" t="s">
        <v>17385</v>
      </c>
      <c r="BA2435" s="82" t="s">
        <v>17385</v>
      </c>
      <c r="BB2435" s="82" t="s">
        <v>17385</v>
      </c>
      <c r="BC2435" s="82" t="s">
        <v>15519</v>
      </c>
      <c r="BD2435" s="77">
        <v>70575051</v>
      </c>
      <c r="BE2435" s="77"/>
      <c r="BF2435" s="77"/>
      <c r="BG2435" s="77"/>
      <c r="BH2435" s="77"/>
      <c r="BI2435" s="77"/>
    </row>
    <row r="2436" spans="1:61" x14ac:dyDescent="0.25">
      <c r="A2436" s="62" t="s">
        <v>632</v>
      </c>
      <c r="B2436" s="62" t="s">
        <v>632</v>
      </c>
      <c r="C2436" s="63"/>
      <c r="D2436" s="64"/>
      <c r="E2436" s="65"/>
      <c r="F2436" s="66"/>
      <c r="G2436" s="63"/>
      <c r="H2436" s="67"/>
      <c r="I2436" s="68"/>
      <c r="J2436" s="68"/>
      <c r="K2436" s="32"/>
      <c r="L2436" s="75">
        <v>2436</v>
      </c>
      <c r="M2436" s="75"/>
      <c r="N2436" s="70"/>
      <c r="O2436" s="77" t="s">
        <v>179</v>
      </c>
      <c r="P2436" s="79">
        <v>45145.042951388888</v>
      </c>
      <c r="Q2436" s="77" t="s">
        <v>3213</v>
      </c>
      <c r="R2436" s="77">
        <v>0</v>
      </c>
      <c r="S2436" s="77">
        <v>0</v>
      </c>
      <c r="T2436" s="77">
        <v>0</v>
      </c>
      <c r="U2436" s="77">
        <v>0</v>
      </c>
      <c r="V2436" s="77">
        <v>306</v>
      </c>
      <c r="W2436" s="82" t="s">
        <v>6350</v>
      </c>
      <c r="X2436" s="80" t="str">
        <f>HYPERLINK("https://bit.ly/3KuAShS")</f>
        <v>https://bit.ly/3KuAShS</v>
      </c>
      <c r="Y2436" s="77" t="s">
        <v>7063</v>
      </c>
      <c r="Z2436" s="77"/>
      <c r="AA2436" s="77"/>
      <c r="AB2436" s="77"/>
      <c r="AC2436" s="82" t="s">
        <v>8232</v>
      </c>
      <c r="AD2436" s="77" t="s">
        <v>8278</v>
      </c>
      <c r="AE2436" s="80" t="str">
        <f>HYPERLINK("https://twitter.com/smarttbot/status/1688354735709978624")</f>
        <v>https://twitter.com/smarttbot/status/1688354735709978624</v>
      </c>
      <c r="AF2436" s="79">
        <v>45145.042951388888</v>
      </c>
      <c r="AG2436" s="85">
        <v>45145</v>
      </c>
      <c r="AH2436" s="82" t="s">
        <v>10492</v>
      </c>
      <c r="AI2436" s="77" t="b">
        <v>0</v>
      </c>
      <c r="AJ2436" s="77"/>
      <c r="AK2436" s="77"/>
      <c r="AL2436" s="77"/>
      <c r="AM2436" s="77"/>
      <c r="AN2436" s="77"/>
      <c r="AO2436" s="77"/>
      <c r="AP2436" s="77"/>
      <c r="AQ2436" s="77"/>
      <c r="AR2436" s="77"/>
      <c r="AS2436" s="77"/>
      <c r="AT2436" s="77"/>
      <c r="AU2436" s="77"/>
      <c r="AV2436" s="80" t="str">
        <f>HYPERLINK("https://pbs.twimg.com/profile_images/1681764833190899713/QvsD8xjd_normal.jpg")</f>
        <v>https://pbs.twimg.com/profile_images/1681764833190899713/QvsD8xjd_normal.jpg</v>
      </c>
      <c r="AW2436" s="82" t="s">
        <v>15520</v>
      </c>
      <c r="AX2436" s="82" t="s">
        <v>15520</v>
      </c>
      <c r="AY2436" s="77"/>
      <c r="AZ2436" s="82" t="s">
        <v>17385</v>
      </c>
      <c r="BA2436" s="82" t="s">
        <v>17385</v>
      </c>
      <c r="BB2436" s="82" t="s">
        <v>17385</v>
      </c>
      <c r="BC2436" s="82" t="s">
        <v>15520</v>
      </c>
      <c r="BD2436" s="77">
        <v>70575051</v>
      </c>
      <c r="BE2436" s="77"/>
      <c r="BF2436" s="77"/>
      <c r="BG2436" s="77"/>
      <c r="BH2436" s="77"/>
      <c r="BI2436" s="77"/>
    </row>
    <row r="2437" spans="1:61" x14ac:dyDescent="0.25">
      <c r="A2437" s="62" t="s">
        <v>632</v>
      </c>
      <c r="B2437" s="62" t="s">
        <v>632</v>
      </c>
      <c r="C2437" s="63"/>
      <c r="D2437" s="64"/>
      <c r="E2437" s="65"/>
      <c r="F2437" s="66"/>
      <c r="G2437" s="63"/>
      <c r="H2437" s="67"/>
      <c r="I2437" s="68"/>
      <c r="J2437" s="68"/>
      <c r="K2437" s="32"/>
      <c r="L2437" s="75">
        <v>2437</v>
      </c>
      <c r="M2437" s="75"/>
      <c r="N2437" s="70"/>
      <c r="O2437" s="77" t="s">
        <v>179</v>
      </c>
      <c r="P2437" s="79">
        <v>45144.942106481481</v>
      </c>
      <c r="Q2437" s="77" t="s">
        <v>3214</v>
      </c>
      <c r="R2437" s="77">
        <v>0</v>
      </c>
      <c r="S2437" s="77">
        <v>0</v>
      </c>
      <c r="T2437" s="77">
        <v>0</v>
      </c>
      <c r="U2437" s="77">
        <v>0</v>
      </c>
      <c r="V2437" s="77">
        <v>242</v>
      </c>
      <c r="W2437" s="82" t="s">
        <v>4825</v>
      </c>
      <c r="X2437" s="80" t="str">
        <f>HYPERLINK("https://financenews.com.br/2023/08/agenda-de-dividendo-da-semana-7/")</f>
        <v>https://financenews.com.br/2023/08/agenda-de-dividendo-da-semana-7/</v>
      </c>
      <c r="Y2437" s="77" t="s">
        <v>7053</v>
      </c>
      <c r="Z2437" s="77"/>
      <c r="AA2437" s="77"/>
      <c r="AB2437" s="77"/>
      <c r="AC2437" s="82" t="s">
        <v>8232</v>
      </c>
      <c r="AD2437" s="77" t="s">
        <v>8279</v>
      </c>
      <c r="AE2437" s="80" t="str">
        <f>HYPERLINK("https://twitter.com/smarttbot/status/1688318188935680000")</f>
        <v>https://twitter.com/smarttbot/status/1688318188935680000</v>
      </c>
      <c r="AF2437" s="79">
        <v>45144.942106481481</v>
      </c>
      <c r="AG2437" s="85">
        <v>45144</v>
      </c>
      <c r="AH2437" s="82" t="s">
        <v>10493</v>
      </c>
      <c r="AI2437" s="77" t="b">
        <v>0</v>
      </c>
      <c r="AJ2437" s="77"/>
      <c r="AK2437" s="77"/>
      <c r="AL2437" s="77"/>
      <c r="AM2437" s="77"/>
      <c r="AN2437" s="77"/>
      <c r="AO2437" s="77"/>
      <c r="AP2437" s="77"/>
      <c r="AQ2437" s="77"/>
      <c r="AR2437" s="77"/>
      <c r="AS2437" s="77"/>
      <c r="AT2437" s="77"/>
      <c r="AU2437" s="77"/>
      <c r="AV2437" s="80" t="str">
        <f>HYPERLINK("https://pbs.twimg.com/profile_images/1681764833190899713/QvsD8xjd_normal.jpg")</f>
        <v>https://pbs.twimg.com/profile_images/1681764833190899713/QvsD8xjd_normal.jpg</v>
      </c>
      <c r="AW2437" s="82" t="s">
        <v>15521</v>
      </c>
      <c r="AX2437" s="82" t="s">
        <v>15521</v>
      </c>
      <c r="AY2437" s="77"/>
      <c r="AZ2437" s="82" t="s">
        <v>17385</v>
      </c>
      <c r="BA2437" s="82" t="s">
        <v>17385</v>
      </c>
      <c r="BB2437" s="82" t="s">
        <v>17385</v>
      </c>
      <c r="BC2437" s="82" t="s">
        <v>15521</v>
      </c>
      <c r="BD2437" s="77">
        <v>70575051</v>
      </c>
      <c r="BE2437" s="77"/>
      <c r="BF2437" s="77"/>
      <c r="BG2437" s="77"/>
      <c r="BH2437" s="77"/>
      <c r="BI2437" s="77"/>
    </row>
    <row r="2438" spans="1:61" x14ac:dyDescent="0.25">
      <c r="A2438" s="62" t="s">
        <v>632</v>
      </c>
      <c r="B2438" s="62" t="s">
        <v>632</v>
      </c>
      <c r="C2438" s="63"/>
      <c r="D2438" s="64"/>
      <c r="E2438" s="65"/>
      <c r="F2438" s="66"/>
      <c r="G2438" s="63"/>
      <c r="H2438" s="67"/>
      <c r="I2438" s="68"/>
      <c r="J2438" s="68"/>
      <c r="K2438" s="32"/>
      <c r="L2438" s="75">
        <v>2438</v>
      </c>
      <c r="M2438" s="75"/>
      <c r="N2438" s="70"/>
      <c r="O2438" s="77" t="s">
        <v>179</v>
      </c>
      <c r="P2438" s="79">
        <v>45067.868298611109</v>
      </c>
      <c r="Q2438" s="77" t="s">
        <v>3215</v>
      </c>
      <c r="R2438" s="77">
        <v>0</v>
      </c>
      <c r="S2438" s="77">
        <v>1</v>
      </c>
      <c r="T2438" s="77">
        <v>0</v>
      </c>
      <c r="U2438" s="77">
        <v>0</v>
      </c>
      <c r="V2438" s="77">
        <v>255</v>
      </c>
      <c r="W2438" s="82" t="s">
        <v>4827</v>
      </c>
      <c r="X2438" s="80" t="str">
        <f>HYPERLINK("https://bit.ly/3BJvXFh")</f>
        <v>https://bit.ly/3BJvXFh</v>
      </c>
      <c r="Y2438" s="77" t="s">
        <v>7063</v>
      </c>
      <c r="Z2438" s="77"/>
      <c r="AA2438" s="77"/>
      <c r="AB2438" s="77"/>
      <c r="AC2438" s="82" t="s">
        <v>8232</v>
      </c>
      <c r="AD2438" s="77" t="s">
        <v>8278</v>
      </c>
      <c r="AE2438" s="80" t="str">
        <f>HYPERLINK("https://twitter.com/smarttbot/status/1660387575322877953")</f>
        <v>https://twitter.com/smarttbot/status/1660387575322877953</v>
      </c>
      <c r="AF2438" s="79">
        <v>45067.868298611109</v>
      </c>
      <c r="AG2438" s="85">
        <v>45067</v>
      </c>
      <c r="AH2438" s="82" t="s">
        <v>10494</v>
      </c>
      <c r="AI2438" s="77" t="b">
        <v>0</v>
      </c>
      <c r="AJ2438" s="77"/>
      <c r="AK2438" s="77"/>
      <c r="AL2438" s="77"/>
      <c r="AM2438" s="77"/>
      <c r="AN2438" s="77"/>
      <c r="AO2438" s="77"/>
      <c r="AP2438" s="77"/>
      <c r="AQ2438" s="77"/>
      <c r="AR2438" s="77"/>
      <c r="AS2438" s="77"/>
      <c r="AT2438" s="77"/>
      <c r="AU2438" s="77"/>
      <c r="AV2438" s="80" t="str">
        <f>HYPERLINK("https://pbs.twimg.com/profile_images/1681764833190899713/QvsD8xjd_normal.jpg")</f>
        <v>https://pbs.twimg.com/profile_images/1681764833190899713/QvsD8xjd_normal.jpg</v>
      </c>
      <c r="AW2438" s="82" t="s">
        <v>15522</v>
      </c>
      <c r="AX2438" s="82" t="s">
        <v>15522</v>
      </c>
      <c r="AY2438" s="77"/>
      <c r="AZ2438" s="82" t="s">
        <v>17385</v>
      </c>
      <c r="BA2438" s="82" t="s">
        <v>17385</v>
      </c>
      <c r="BB2438" s="82" t="s">
        <v>17385</v>
      </c>
      <c r="BC2438" s="82" t="s">
        <v>15522</v>
      </c>
      <c r="BD2438" s="77">
        <v>70575051</v>
      </c>
      <c r="BE2438" s="77"/>
      <c r="BF2438" s="77"/>
      <c r="BG2438" s="77"/>
      <c r="BH2438" s="77"/>
      <c r="BI2438" s="77"/>
    </row>
    <row r="2439" spans="1:61" x14ac:dyDescent="0.25">
      <c r="A2439" s="62" t="s">
        <v>632</v>
      </c>
      <c r="B2439" s="62" t="s">
        <v>632</v>
      </c>
      <c r="C2439" s="63"/>
      <c r="D2439" s="64"/>
      <c r="E2439" s="65"/>
      <c r="F2439" s="66"/>
      <c r="G2439" s="63"/>
      <c r="H2439" s="67"/>
      <c r="I2439" s="68"/>
      <c r="J2439" s="68"/>
      <c r="K2439" s="32"/>
      <c r="L2439" s="75">
        <v>2439</v>
      </c>
      <c r="M2439" s="75"/>
      <c r="N2439" s="70"/>
      <c r="O2439" s="77" t="s">
        <v>179</v>
      </c>
      <c r="P2439" s="79">
        <v>45143.566157407404</v>
      </c>
      <c r="Q2439" s="77" t="s">
        <v>3216</v>
      </c>
      <c r="R2439" s="77">
        <v>0</v>
      </c>
      <c r="S2439" s="77">
        <v>0</v>
      </c>
      <c r="T2439" s="77">
        <v>0</v>
      </c>
      <c r="U2439" s="77">
        <v>0</v>
      </c>
      <c r="V2439" s="77">
        <v>275</v>
      </c>
      <c r="W2439" s="82" t="s">
        <v>6351</v>
      </c>
      <c r="X2439" s="80" t="str">
        <f>HYPERLINK("https://bit.ly/3OqM8xb")</f>
        <v>https://bit.ly/3OqM8xb</v>
      </c>
      <c r="Y2439" s="77" t="s">
        <v>7063</v>
      </c>
      <c r="Z2439" s="77"/>
      <c r="AA2439" s="77"/>
      <c r="AB2439" s="77"/>
      <c r="AC2439" s="82" t="s">
        <v>8232</v>
      </c>
      <c r="AD2439" s="77" t="s">
        <v>8278</v>
      </c>
      <c r="AE2439" s="80" t="str">
        <f>HYPERLINK("https://twitter.com/smarttbot/status/1687819561280675840")</f>
        <v>https://twitter.com/smarttbot/status/1687819561280675840</v>
      </c>
      <c r="AF2439" s="79">
        <v>45143.566157407404</v>
      </c>
      <c r="AG2439" s="85">
        <v>45143</v>
      </c>
      <c r="AH2439" s="82" t="s">
        <v>10495</v>
      </c>
      <c r="AI2439" s="77" t="b">
        <v>0</v>
      </c>
      <c r="AJ2439" s="77"/>
      <c r="AK2439" s="77"/>
      <c r="AL2439" s="77"/>
      <c r="AM2439" s="77"/>
      <c r="AN2439" s="77"/>
      <c r="AO2439" s="77"/>
      <c r="AP2439" s="77"/>
      <c r="AQ2439" s="77"/>
      <c r="AR2439" s="77"/>
      <c r="AS2439" s="77"/>
      <c r="AT2439" s="77"/>
      <c r="AU2439" s="77"/>
      <c r="AV2439" s="80" t="str">
        <f>HYPERLINK("https://pbs.twimg.com/profile_images/1681764833190899713/QvsD8xjd_normal.jpg")</f>
        <v>https://pbs.twimg.com/profile_images/1681764833190899713/QvsD8xjd_normal.jpg</v>
      </c>
      <c r="AW2439" s="82" t="s">
        <v>15523</v>
      </c>
      <c r="AX2439" s="82" t="s">
        <v>15523</v>
      </c>
      <c r="AY2439" s="77"/>
      <c r="AZ2439" s="82" t="s">
        <v>17385</v>
      </c>
      <c r="BA2439" s="82" t="s">
        <v>17385</v>
      </c>
      <c r="BB2439" s="82" t="s">
        <v>17385</v>
      </c>
      <c r="BC2439" s="82" t="s">
        <v>15523</v>
      </c>
      <c r="BD2439" s="77">
        <v>70575051</v>
      </c>
      <c r="BE2439" s="77"/>
      <c r="BF2439" s="77"/>
      <c r="BG2439" s="77"/>
      <c r="BH2439" s="77"/>
      <c r="BI2439" s="77"/>
    </row>
    <row r="2440" spans="1:61" x14ac:dyDescent="0.25">
      <c r="A2440" s="62" t="s">
        <v>632</v>
      </c>
      <c r="B2440" s="62" t="s">
        <v>632</v>
      </c>
      <c r="C2440" s="63"/>
      <c r="D2440" s="64"/>
      <c r="E2440" s="65"/>
      <c r="F2440" s="66"/>
      <c r="G2440" s="63"/>
      <c r="H2440" s="67"/>
      <c r="I2440" s="68"/>
      <c r="J2440" s="68"/>
      <c r="K2440" s="32"/>
      <c r="L2440" s="75">
        <v>2440</v>
      </c>
      <c r="M2440" s="75"/>
      <c r="N2440" s="70"/>
      <c r="O2440" s="77" t="s">
        <v>179</v>
      </c>
      <c r="P2440" s="79">
        <v>45110.468043981484</v>
      </c>
      <c r="Q2440" s="77" t="s">
        <v>3217</v>
      </c>
      <c r="R2440" s="77">
        <v>0</v>
      </c>
      <c r="S2440" s="77">
        <v>3</v>
      </c>
      <c r="T2440" s="77">
        <v>0</v>
      </c>
      <c r="U2440" s="77">
        <v>0</v>
      </c>
      <c r="V2440" s="77">
        <v>181</v>
      </c>
      <c r="W2440" s="82" t="s">
        <v>6352</v>
      </c>
      <c r="X2440" s="80" t="str">
        <f>HYPERLINK("https://bit.ly/3JIK5mx")</f>
        <v>https://bit.ly/3JIK5mx</v>
      </c>
      <c r="Y2440" s="77" t="s">
        <v>7063</v>
      </c>
      <c r="Z2440" s="77"/>
      <c r="AA2440" s="77"/>
      <c r="AB2440" s="77"/>
      <c r="AC2440" s="82" t="s">
        <v>8232</v>
      </c>
      <c r="AD2440" s="77" t="s">
        <v>8278</v>
      </c>
      <c r="AE2440" s="80" t="str">
        <f>HYPERLINK("https://twitter.com/smarttbot/status/1675825205774544899")</f>
        <v>https://twitter.com/smarttbot/status/1675825205774544899</v>
      </c>
      <c r="AF2440" s="79">
        <v>45110.468043981484</v>
      </c>
      <c r="AG2440" s="85">
        <v>45110</v>
      </c>
      <c r="AH2440" s="82" t="s">
        <v>10496</v>
      </c>
      <c r="AI2440" s="77" t="b">
        <v>0</v>
      </c>
      <c r="AJ2440" s="77"/>
      <c r="AK2440" s="77"/>
      <c r="AL2440" s="77"/>
      <c r="AM2440" s="77"/>
      <c r="AN2440" s="77"/>
      <c r="AO2440" s="77"/>
      <c r="AP2440" s="77"/>
      <c r="AQ2440" s="77"/>
      <c r="AR2440" s="77"/>
      <c r="AS2440" s="77"/>
      <c r="AT2440" s="77"/>
      <c r="AU2440" s="77"/>
      <c r="AV2440" s="80" t="str">
        <f>HYPERLINK("https://pbs.twimg.com/profile_images/1681764833190899713/QvsD8xjd_normal.jpg")</f>
        <v>https://pbs.twimg.com/profile_images/1681764833190899713/QvsD8xjd_normal.jpg</v>
      </c>
      <c r="AW2440" s="82" t="s">
        <v>15524</v>
      </c>
      <c r="AX2440" s="82" t="s">
        <v>15524</v>
      </c>
      <c r="AY2440" s="77"/>
      <c r="AZ2440" s="82" t="s">
        <v>17385</v>
      </c>
      <c r="BA2440" s="82" t="s">
        <v>17385</v>
      </c>
      <c r="BB2440" s="82" t="s">
        <v>17385</v>
      </c>
      <c r="BC2440" s="82" t="s">
        <v>15524</v>
      </c>
      <c r="BD2440" s="77">
        <v>70575051</v>
      </c>
      <c r="BE2440" s="77"/>
      <c r="BF2440" s="77"/>
      <c r="BG2440" s="77"/>
      <c r="BH2440" s="77"/>
      <c r="BI2440" s="77"/>
    </row>
    <row r="2441" spans="1:61" x14ac:dyDescent="0.25">
      <c r="A2441" s="62" t="s">
        <v>632</v>
      </c>
      <c r="B2441" s="62" t="s">
        <v>632</v>
      </c>
      <c r="C2441" s="63"/>
      <c r="D2441" s="64"/>
      <c r="E2441" s="65"/>
      <c r="F2441" s="66"/>
      <c r="G2441" s="63"/>
      <c r="H2441" s="67"/>
      <c r="I2441" s="68"/>
      <c r="J2441" s="68"/>
      <c r="K2441" s="32"/>
      <c r="L2441" s="75">
        <v>2441</v>
      </c>
      <c r="M2441" s="75"/>
      <c r="N2441" s="70"/>
      <c r="O2441" s="77" t="s">
        <v>179</v>
      </c>
      <c r="P2441" s="79">
        <v>45109.894004629627</v>
      </c>
      <c r="Q2441" s="77" t="s">
        <v>3218</v>
      </c>
      <c r="R2441" s="77">
        <v>0</v>
      </c>
      <c r="S2441" s="77">
        <v>1</v>
      </c>
      <c r="T2441" s="77">
        <v>0</v>
      </c>
      <c r="U2441" s="77">
        <v>0</v>
      </c>
      <c r="V2441" s="77">
        <v>235</v>
      </c>
      <c r="W2441" s="82" t="s">
        <v>4825</v>
      </c>
      <c r="X2441" s="80" t="str">
        <f>HYPERLINK("https://bit.ly/3XCV8U8")</f>
        <v>https://bit.ly/3XCV8U8</v>
      </c>
      <c r="Y2441" s="77" t="s">
        <v>7063</v>
      </c>
      <c r="Z2441" s="77"/>
      <c r="AA2441" s="77"/>
      <c r="AB2441" s="77"/>
      <c r="AC2441" s="82" t="s">
        <v>8232</v>
      </c>
      <c r="AD2441" s="77" t="s">
        <v>8278</v>
      </c>
      <c r="AE2441" s="80" t="str">
        <f>HYPERLINK("https://twitter.com/smarttbot/status/1675617181126500352")</f>
        <v>https://twitter.com/smarttbot/status/1675617181126500352</v>
      </c>
      <c r="AF2441" s="79">
        <v>45109.894004629627</v>
      </c>
      <c r="AG2441" s="85">
        <v>45109</v>
      </c>
      <c r="AH2441" s="82" t="s">
        <v>10497</v>
      </c>
      <c r="AI2441" s="77" t="b">
        <v>0</v>
      </c>
      <c r="AJ2441" s="77"/>
      <c r="AK2441" s="77"/>
      <c r="AL2441" s="77"/>
      <c r="AM2441" s="77"/>
      <c r="AN2441" s="77"/>
      <c r="AO2441" s="77"/>
      <c r="AP2441" s="77"/>
      <c r="AQ2441" s="77"/>
      <c r="AR2441" s="77"/>
      <c r="AS2441" s="77"/>
      <c r="AT2441" s="77"/>
      <c r="AU2441" s="77"/>
      <c r="AV2441" s="80" t="str">
        <f>HYPERLINK("https://pbs.twimg.com/profile_images/1681764833190899713/QvsD8xjd_normal.jpg")</f>
        <v>https://pbs.twimg.com/profile_images/1681764833190899713/QvsD8xjd_normal.jpg</v>
      </c>
      <c r="AW2441" s="82" t="s">
        <v>15525</v>
      </c>
      <c r="AX2441" s="82" t="s">
        <v>15525</v>
      </c>
      <c r="AY2441" s="77"/>
      <c r="AZ2441" s="82" t="s">
        <v>17385</v>
      </c>
      <c r="BA2441" s="82" t="s">
        <v>17385</v>
      </c>
      <c r="BB2441" s="82" t="s">
        <v>17385</v>
      </c>
      <c r="BC2441" s="82" t="s">
        <v>15525</v>
      </c>
      <c r="BD2441" s="77">
        <v>70575051</v>
      </c>
      <c r="BE2441" s="77"/>
      <c r="BF2441" s="77"/>
      <c r="BG2441" s="77"/>
      <c r="BH2441" s="77"/>
      <c r="BI2441" s="77"/>
    </row>
    <row r="2442" spans="1:61" x14ac:dyDescent="0.25">
      <c r="A2442" s="62" t="s">
        <v>632</v>
      </c>
      <c r="B2442" s="62" t="s">
        <v>632</v>
      </c>
      <c r="C2442" s="63"/>
      <c r="D2442" s="64"/>
      <c r="E2442" s="65"/>
      <c r="F2442" s="66"/>
      <c r="G2442" s="63"/>
      <c r="H2442" s="67"/>
      <c r="I2442" s="68"/>
      <c r="J2442" s="68"/>
      <c r="K2442" s="32"/>
      <c r="L2442" s="75">
        <v>2442</v>
      </c>
      <c r="M2442" s="75"/>
      <c r="N2442" s="70"/>
      <c r="O2442" s="77" t="s">
        <v>179</v>
      </c>
      <c r="P2442" s="79">
        <v>45086.463564814818</v>
      </c>
      <c r="Q2442" s="77" t="s">
        <v>3219</v>
      </c>
      <c r="R2442" s="77">
        <v>0</v>
      </c>
      <c r="S2442" s="77">
        <v>1</v>
      </c>
      <c r="T2442" s="77">
        <v>0</v>
      </c>
      <c r="U2442" s="77">
        <v>0</v>
      </c>
      <c r="V2442" s="77">
        <v>179</v>
      </c>
      <c r="W2442" s="82" t="s">
        <v>6353</v>
      </c>
      <c r="X2442" s="80" t="str">
        <f>HYPERLINK("https://bit.ly/3qC4HGj")</f>
        <v>https://bit.ly/3qC4HGj</v>
      </c>
      <c r="Y2442" s="77" t="s">
        <v>7063</v>
      </c>
      <c r="Z2442" s="77"/>
      <c r="AA2442" s="77"/>
      <c r="AB2442" s="77"/>
      <c r="AC2442" s="82" t="s">
        <v>8232</v>
      </c>
      <c r="AD2442" s="77" t="s">
        <v>8278</v>
      </c>
      <c r="AE2442" s="80" t="str">
        <f>HYPERLINK("https://twitter.com/smarttbot/status/1667126276694454273")</f>
        <v>https://twitter.com/smarttbot/status/1667126276694454273</v>
      </c>
      <c r="AF2442" s="79">
        <v>45086.463564814818</v>
      </c>
      <c r="AG2442" s="85">
        <v>45086</v>
      </c>
      <c r="AH2442" s="82" t="s">
        <v>10498</v>
      </c>
      <c r="AI2442" s="77" t="b">
        <v>0</v>
      </c>
      <c r="AJ2442" s="77"/>
      <c r="AK2442" s="77"/>
      <c r="AL2442" s="77"/>
      <c r="AM2442" s="77"/>
      <c r="AN2442" s="77"/>
      <c r="AO2442" s="77"/>
      <c r="AP2442" s="77"/>
      <c r="AQ2442" s="77"/>
      <c r="AR2442" s="77"/>
      <c r="AS2442" s="77"/>
      <c r="AT2442" s="77"/>
      <c r="AU2442" s="77"/>
      <c r="AV2442" s="80" t="str">
        <f>HYPERLINK("https://pbs.twimg.com/profile_images/1681764833190899713/QvsD8xjd_normal.jpg")</f>
        <v>https://pbs.twimg.com/profile_images/1681764833190899713/QvsD8xjd_normal.jpg</v>
      </c>
      <c r="AW2442" s="82" t="s">
        <v>15526</v>
      </c>
      <c r="AX2442" s="82" t="s">
        <v>15526</v>
      </c>
      <c r="AY2442" s="77"/>
      <c r="AZ2442" s="82" t="s">
        <v>17385</v>
      </c>
      <c r="BA2442" s="82" t="s">
        <v>17385</v>
      </c>
      <c r="BB2442" s="82" t="s">
        <v>17385</v>
      </c>
      <c r="BC2442" s="82" t="s">
        <v>15526</v>
      </c>
      <c r="BD2442" s="77">
        <v>70575051</v>
      </c>
      <c r="BE2442" s="77"/>
      <c r="BF2442" s="77"/>
      <c r="BG2442" s="77"/>
      <c r="BH2442" s="77"/>
      <c r="BI2442" s="77"/>
    </row>
    <row r="2443" spans="1:61" x14ac:dyDescent="0.25">
      <c r="A2443" s="62" t="s">
        <v>632</v>
      </c>
      <c r="B2443" s="62" t="s">
        <v>632</v>
      </c>
      <c r="C2443" s="63"/>
      <c r="D2443" s="64"/>
      <c r="E2443" s="65"/>
      <c r="F2443" s="66"/>
      <c r="G2443" s="63"/>
      <c r="H2443" s="67"/>
      <c r="I2443" s="68"/>
      <c r="J2443" s="68"/>
      <c r="K2443" s="32"/>
      <c r="L2443" s="75">
        <v>2443</v>
      </c>
      <c r="M2443" s="75"/>
      <c r="N2443" s="70"/>
      <c r="O2443" s="77" t="s">
        <v>179</v>
      </c>
      <c r="P2443" s="79">
        <v>45153.717488425929</v>
      </c>
      <c r="Q2443" s="77" t="s">
        <v>3220</v>
      </c>
      <c r="R2443" s="77">
        <v>0</v>
      </c>
      <c r="S2443" s="77">
        <v>0</v>
      </c>
      <c r="T2443" s="77">
        <v>0</v>
      </c>
      <c r="U2443" s="77">
        <v>0</v>
      </c>
      <c r="V2443" s="77">
        <v>124</v>
      </c>
      <c r="W2443" s="82" t="s">
        <v>6354</v>
      </c>
      <c r="X2443" s="80" t="str">
        <f>HYPERLINK("https://financenews.com.br/2023/08/5-companhias-pagam-provento-nesta-terca-15-outras-2-tem-data-com-hoje-confira/")</f>
        <v>https://financenews.com.br/2023/08/5-companhias-pagam-provento-nesta-terca-15-outras-2-tem-data-com-hoje-confira/</v>
      </c>
      <c r="Y2443" s="77" t="s">
        <v>7053</v>
      </c>
      <c r="Z2443" s="77"/>
      <c r="AA2443" s="77"/>
      <c r="AB2443" s="77"/>
      <c r="AC2443" s="82" t="s">
        <v>8232</v>
      </c>
      <c r="AD2443" s="77" t="s">
        <v>8278</v>
      </c>
      <c r="AE2443" s="80" t="str">
        <f>HYPERLINK("https://twitter.com/smarttbot/status/1691498281996525583")</f>
        <v>https://twitter.com/smarttbot/status/1691498281996525583</v>
      </c>
      <c r="AF2443" s="79">
        <v>45153.717488425929</v>
      </c>
      <c r="AG2443" s="85">
        <v>45153</v>
      </c>
      <c r="AH2443" s="82" t="s">
        <v>10499</v>
      </c>
      <c r="AI2443" s="77" t="b">
        <v>0</v>
      </c>
      <c r="AJ2443" s="77"/>
      <c r="AK2443" s="77"/>
      <c r="AL2443" s="77"/>
      <c r="AM2443" s="77"/>
      <c r="AN2443" s="77"/>
      <c r="AO2443" s="77"/>
      <c r="AP2443" s="77"/>
      <c r="AQ2443" s="77"/>
      <c r="AR2443" s="77"/>
      <c r="AS2443" s="77"/>
      <c r="AT2443" s="77"/>
      <c r="AU2443" s="77"/>
      <c r="AV2443" s="80" t="str">
        <f>HYPERLINK("https://pbs.twimg.com/profile_images/1681764833190899713/QvsD8xjd_normal.jpg")</f>
        <v>https://pbs.twimg.com/profile_images/1681764833190899713/QvsD8xjd_normal.jpg</v>
      </c>
      <c r="AW2443" s="82" t="s">
        <v>15527</v>
      </c>
      <c r="AX2443" s="82" t="s">
        <v>15527</v>
      </c>
      <c r="AY2443" s="77"/>
      <c r="AZ2443" s="82" t="s">
        <v>17385</v>
      </c>
      <c r="BA2443" s="82" t="s">
        <v>17385</v>
      </c>
      <c r="BB2443" s="82" t="s">
        <v>17385</v>
      </c>
      <c r="BC2443" s="82" t="s">
        <v>15527</v>
      </c>
      <c r="BD2443" s="77">
        <v>70575051</v>
      </c>
      <c r="BE2443" s="77"/>
      <c r="BF2443" s="77"/>
      <c r="BG2443" s="77"/>
      <c r="BH2443" s="77"/>
      <c r="BI2443" s="77"/>
    </row>
    <row r="2444" spans="1:61" x14ac:dyDescent="0.25">
      <c r="A2444" s="62" t="s">
        <v>632</v>
      </c>
      <c r="B2444" s="62" t="s">
        <v>632</v>
      </c>
      <c r="C2444" s="63"/>
      <c r="D2444" s="64"/>
      <c r="E2444" s="65"/>
      <c r="F2444" s="66"/>
      <c r="G2444" s="63"/>
      <c r="H2444" s="67"/>
      <c r="I2444" s="68"/>
      <c r="J2444" s="68"/>
      <c r="K2444" s="32"/>
      <c r="L2444" s="75">
        <v>2444</v>
      </c>
      <c r="M2444" s="75"/>
      <c r="N2444" s="70"/>
      <c r="O2444" s="77" t="s">
        <v>179</v>
      </c>
      <c r="P2444" s="79">
        <v>45059.625879629632</v>
      </c>
      <c r="Q2444" s="77" t="s">
        <v>3221</v>
      </c>
      <c r="R2444" s="77">
        <v>0</v>
      </c>
      <c r="S2444" s="77">
        <v>2</v>
      </c>
      <c r="T2444" s="77">
        <v>0</v>
      </c>
      <c r="U2444" s="77">
        <v>0</v>
      </c>
      <c r="V2444" s="77">
        <v>144</v>
      </c>
      <c r="W2444" s="82" t="s">
        <v>5864</v>
      </c>
      <c r="X2444" s="80" t="str">
        <f>HYPERLINK("https://financenews.com.br/2023/05/companhias-que-divulgaram-informacoes-sobre-dividendos-e-jcp-na-semana-68/")</f>
        <v>https://financenews.com.br/2023/05/companhias-que-divulgaram-informacoes-sobre-dividendos-e-jcp-na-semana-68/</v>
      </c>
      <c r="Y2444" s="77" t="s">
        <v>7053</v>
      </c>
      <c r="Z2444" s="77"/>
      <c r="AA2444" s="77"/>
      <c r="AB2444" s="77"/>
      <c r="AC2444" s="82" t="s">
        <v>8232</v>
      </c>
      <c r="AD2444" s="77" t="s">
        <v>8278</v>
      </c>
      <c r="AE2444" s="80" t="str">
        <f>HYPERLINK("https://twitter.com/smarttbot/status/1657400623141212160")</f>
        <v>https://twitter.com/smarttbot/status/1657400623141212160</v>
      </c>
      <c r="AF2444" s="79">
        <v>45059.625879629632</v>
      </c>
      <c r="AG2444" s="85">
        <v>45059</v>
      </c>
      <c r="AH2444" s="82" t="s">
        <v>10500</v>
      </c>
      <c r="AI2444" s="77" t="b">
        <v>0</v>
      </c>
      <c r="AJ2444" s="77"/>
      <c r="AK2444" s="77"/>
      <c r="AL2444" s="77"/>
      <c r="AM2444" s="77"/>
      <c r="AN2444" s="77"/>
      <c r="AO2444" s="77"/>
      <c r="AP2444" s="77"/>
      <c r="AQ2444" s="77"/>
      <c r="AR2444" s="77"/>
      <c r="AS2444" s="77"/>
      <c r="AT2444" s="77"/>
      <c r="AU2444" s="77"/>
      <c r="AV2444" s="80" t="str">
        <f>HYPERLINK("https://pbs.twimg.com/profile_images/1681764833190899713/QvsD8xjd_normal.jpg")</f>
        <v>https://pbs.twimg.com/profile_images/1681764833190899713/QvsD8xjd_normal.jpg</v>
      </c>
      <c r="AW2444" s="82" t="s">
        <v>15528</v>
      </c>
      <c r="AX2444" s="82" t="s">
        <v>15528</v>
      </c>
      <c r="AY2444" s="77"/>
      <c r="AZ2444" s="82" t="s">
        <v>17385</v>
      </c>
      <c r="BA2444" s="82" t="s">
        <v>17385</v>
      </c>
      <c r="BB2444" s="82" t="s">
        <v>17385</v>
      </c>
      <c r="BC2444" s="82" t="s">
        <v>15528</v>
      </c>
      <c r="BD2444" s="77">
        <v>70575051</v>
      </c>
      <c r="BE2444" s="77"/>
      <c r="BF2444" s="77"/>
      <c r="BG2444" s="77"/>
      <c r="BH2444" s="77"/>
      <c r="BI2444" s="77"/>
    </row>
    <row r="2445" spans="1:61" x14ac:dyDescent="0.25">
      <c r="A2445" s="62" t="s">
        <v>632</v>
      </c>
      <c r="B2445" s="62" t="s">
        <v>632</v>
      </c>
      <c r="C2445" s="63"/>
      <c r="D2445" s="64"/>
      <c r="E2445" s="65"/>
      <c r="F2445" s="66"/>
      <c r="G2445" s="63"/>
      <c r="H2445" s="67"/>
      <c r="I2445" s="68"/>
      <c r="J2445" s="68"/>
      <c r="K2445" s="32"/>
      <c r="L2445" s="75">
        <v>2445</v>
      </c>
      <c r="M2445" s="75"/>
      <c r="N2445" s="70"/>
      <c r="O2445" s="77" t="s">
        <v>179</v>
      </c>
      <c r="P2445" s="79">
        <v>45157.631388888891</v>
      </c>
      <c r="Q2445" s="77" t="s">
        <v>3222</v>
      </c>
      <c r="R2445" s="77">
        <v>0</v>
      </c>
      <c r="S2445" s="77">
        <v>0</v>
      </c>
      <c r="T2445" s="77">
        <v>0</v>
      </c>
      <c r="U2445" s="77">
        <v>0</v>
      </c>
      <c r="V2445" s="77">
        <v>173</v>
      </c>
      <c r="W2445" s="82" t="s">
        <v>6355</v>
      </c>
      <c r="X2445" s="80" t="str">
        <f>HYPERLINK("https://bit.ly/47yo2cB")</f>
        <v>https://bit.ly/47yo2cB</v>
      </c>
      <c r="Y2445" s="77" t="s">
        <v>7063</v>
      </c>
      <c r="Z2445" s="77"/>
      <c r="AA2445" s="77"/>
      <c r="AB2445" s="77"/>
      <c r="AC2445" s="82" t="s">
        <v>8232</v>
      </c>
      <c r="AD2445" s="77" t="s">
        <v>8278</v>
      </c>
      <c r="AE2445" s="80" t="str">
        <f>HYPERLINK("https://twitter.com/smarttbot/status/1692916631423336815")</f>
        <v>https://twitter.com/smarttbot/status/1692916631423336815</v>
      </c>
      <c r="AF2445" s="79">
        <v>45157.631388888891</v>
      </c>
      <c r="AG2445" s="85">
        <v>45157</v>
      </c>
      <c r="AH2445" s="82" t="s">
        <v>10501</v>
      </c>
      <c r="AI2445" s="77" t="b">
        <v>0</v>
      </c>
      <c r="AJ2445" s="77"/>
      <c r="AK2445" s="77"/>
      <c r="AL2445" s="77"/>
      <c r="AM2445" s="77"/>
      <c r="AN2445" s="77"/>
      <c r="AO2445" s="77"/>
      <c r="AP2445" s="77"/>
      <c r="AQ2445" s="77"/>
      <c r="AR2445" s="77"/>
      <c r="AS2445" s="77"/>
      <c r="AT2445" s="77"/>
      <c r="AU2445" s="77"/>
      <c r="AV2445" s="80" t="str">
        <f>HYPERLINK("https://pbs.twimg.com/profile_images/1681764833190899713/QvsD8xjd_normal.jpg")</f>
        <v>https://pbs.twimg.com/profile_images/1681764833190899713/QvsD8xjd_normal.jpg</v>
      </c>
      <c r="AW2445" s="82" t="s">
        <v>15529</v>
      </c>
      <c r="AX2445" s="82" t="s">
        <v>15529</v>
      </c>
      <c r="AY2445" s="77"/>
      <c r="AZ2445" s="82" t="s">
        <v>17385</v>
      </c>
      <c r="BA2445" s="82" t="s">
        <v>17385</v>
      </c>
      <c r="BB2445" s="82" t="s">
        <v>17385</v>
      </c>
      <c r="BC2445" s="82" t="s">
        <v>15529</v>
      </c>
      <c r="BD2445" s="77">
        <v>70575051</v>
      </c>
      <c r="BE2445" s="77"/>
      <c r="BF2445" s="77"/>
      <c r="BG2445" s="77"/>
      <c r="BH2445" s="77"/>
      <c r="BI2445" s="77"/>
    </row>
    <row r="2446" spans="1:61" x14ac:dyDescent="0.25">
      <c r="A2446" s="62" t="s">
        <v>632</v>
      </c>
      <c r="B2446" s="62" t="s">
        <v>632</v>
      </c>
      <c r="C2446" s="63"/>
      <c r="D2446" s="64"/>
      <c r="E2446" s="65"/>
      <c r="F2446" s="66"/>
      <c r="G2446" s="63"/>
      <c r="H2446" s="67"/>
      <c r="I2446" s="68"/>
      <c r="J2446" s="68"/>
      <c r="K2446" s="32"/>
      <c r="L2446" s="75">
        <v>2446</v>
      </c>
      <c r="M2446" s="75"/>
      <c r="N2446" s="70"/>
      <c r="O2446" s="77" t="s">
        <v>179</v>
      </c>
      <c r="P2446" s="79">
        <v>45115.579155092593</v>
      </c>
      <c r="Q2446" s="77" t="s">
        <v>3223</v>
      </c>
      <c r="R2446" s="77">
        <v>0</v>
      </c>
      <c r="S2446" s="77">
        <v>0</v>
      </c>
      <c r="T2446" s="77">
        <v>0</v>
      </c>
      <c r="U2446" s="77">
        <v>0</v>
      </c>
      <c r="V2446" s="77">
        <v>143</v>
      </c>
      <c r="W2446" s="82" t="s">
        <v>4827</v>
      </c>
      <c r="X2446" s="80" t="str">
        <f>HYPERLINK("https://financenews.com.br/2023/07/agenda-de-dividendo-da-semana-3/")</f>
        <v>https://financenews.com.br/2023/07/agenda-de-dividendo-da-semana-3/</v>
      </c>
      <c r="Y2446" s="77" t="s">
        <v>7053</v>
      </c>
      <c r="Z2446" s="77"/>
      <c r="AA2446" s="77"/>
      <c r="AB2446" s="77"/>
      <c r="AC2446" s="82" t="s">
        <v>8232</v>
      </c>
      <c r="AD2446" s="77" t="s">
        <v>8279</v>
      </c>
      <c r="AE2446" s="80" t="str">
        <f>HYPERLINK("https://twitter.com/smarttbot/status/1677677414195896320")</f>
        <v>https://twitter.com/smarttbot/status/1677677414195896320</v>
      </c>
      <c r="AF2446" s="79">
        <v>45115.579155092593</v>
      </c>
      <c r="AG2446" s="85">
        <v>45115</v>
      </c>
      <c r="AH2446" s="82" t="s">
        <v>10502</v>
      </c>
      <c r="AI2446" s="77" t="b">
        <v>0</v>
      </c>
      <c r="AJ2446" s="77"/>
      <c r="AK2446" s="77"/>
      <c r="AL2446" s="77"/>
      <c r="AM2446" s="77"/>
      <c r="AN2446" s="77"/>
      <c r="AO2446" s="77"/>
      <c r="AP2446" s="77"/>
      <c r="AQ2446" s="77"/>
      <c r="AR2446" s="77"/>
      <c r="AS2446" s="77"/>
      <c r="AT2446" s="77"/>
      <c r="AU2446" s="77"/>
      <c r="AV2446" s="80" t="str">
        <f>HYPERLINK("https://pbs.twimg.com/profile_images/1681764833190899713/QvsD8xjd_normal.jpg")</f>
        <v>https://pbs.twimg.com/profile_images/1681764833190899713/QvsD8xjd_normal.jpg</v>
      </c>
      <c r="AW2446" s="82" t="s">
        <v>15530</v>
      </c>
      <c r="AX2446" s="82" t="s">
        <v>15530</v>
      </c>
      <c r="AY2446" s="77"/>
      <c r="AZ2446" s="82" t="s">
        <v>17385</v>
      </c>
      <c r="BA2446" s="82" t="s">
        <v>17385</v>
      </c>
      <c r="BB2446" s="82" t="s">
        <v>17385</v>
      </c>
      <c r="BC2446" s="82" t="s">
        <v>15530</v>
      </c>
      <c r="BD2446" s="77">
        <v>70575051</v>
      </c>
      <c r="BE2446" s="77"/>
      <c r="BF2446" s="77"/>
      <c r="BG2446" s="77"/>
      <c r="BH2446" s="77"/>
      <c r="BI2446" s="77"/>
    </row>
    <row r="2447" spans="1:61" x14ac:dyDescent="0.25">
      <c r="A2447" s="62" t="s">
        <v>632</v>
      </c>
      <c r="B2447" s="62" t="s">
        <v>632</v>
      </c>
      <c r="C2447" s="63"/>
      <c r="D2447" s="64"/>
      <c r="E2447" s="65"/>
      <c r="F2447" s="66"/>
      <c r="G2447" s="63"/>
      <c r="H2447" s="67"/>
      <c r="I2447" s="68"/>
      <c r="J2447" s="68"/>
      <c r="K2447" s="32"/>
      <c r="L2447" s="75">
        <v>2447</v>
      </c>
      <c r="M2447" s="75"/>
      <c r="N2447" s="70"/>
      <c r="O2447" s="77" t="s">
        <v>179</v>
      </c>
      <c r="P2447" s="79">
        <v>45108.572488425925</v>
      </c>
      <c r="Q2447" s="77" t="s">
        <v>3224</v>
      </c>
      <c r="R2447" s="77">
        <v>0</v>
      </c>
      <c r="S2447" s="77">
        <v>1</v>
      </c>
      <c r="T2447" s="77">
        <v>0</v>
      </c>
      <c r="U2447" s="77">
        <v>0</v>
      </c>
      <c r="V2447" s="77">
        <v>158</v>
      </c>
      <c r="W2447" s="82" t="s">
        <v>4825</v>
      </c>
      <c r="X2447" s="80" t="str">
        <f>HYPERLINK("https://financenews.com.br/2023/07/companhias-que-divulgaram-informacoes-sobre-dividendos-e-jcp-na-semana-75/")</f>
        <v>https://financenews.com.br/2023/07/companhias-que-divulgaram-informacoes-sobre-dividendos-e-jcp-na-semana-75/</v>
      </c>
      <c r="Y2447" s="77" t="s">
        <v>7053</v>
      </c>
      <c r="Z2447" s="77"/>
      <c r="AA2447" s="77"/>
      <c r="AB2447" s="77"/>
      <c r="AC2447" s="82" t="s">
        <v>8232</v>
      </c>
      <c r="AD2447" s="77" t="s">
        <v>8278</v>
      </c>
      <c r="AE2447" s="80" t="str">
        <f>HYPERLINK("https://twitter.com/smarttbot/status/1675138280512270339")</f>
        <v>https://twitter.com/smarttbot/status/1675138280512270339</v>
      </c>
      <c r="AF2447" s="79">
        <v>45108.572488425925</v>
      </c>
      <c r="AG2447" s="85">
        <v>45108</v>
      </c>
      <c r="AH2447" s="82" t="s">
        <v>10503</v>
      </c>
      <c r="AI2447" s="77" t="b">
        <v>0</v>
      </c>
      <c r="AJ2447" s="77"/>
      <c r="AK2447" s="77"/>
      <c r="AL2447" s="77"/>
      <c r="AM2447" s="77"/>
      <c r="AN2447" s="77"/>
      <c r="AO2447" s="77"/>
      <c r="AP2447" s="77"/>
      <c r="AQ2447" s="77"/>
      <c r="AR2447" s="77"/>
      <c r="AS2447" s="77"/>
      <c r="AT2447" s="77"/>
      <c r="AU2447" s="77"/>
      <c r="AV2447" s="80" t="str">
        <f>HYPERLINK("https://pbs.twimg.com/profile_images/1681764833190899713/QvsD8xjd_normal.jpg")</f>
        <v>https://pbs.twimg.com/profile_images/1681764833190899713/QvsD8xjd_normal.jpg</v>
      </c>
      <c r="AW2447" s="82" t="s">
        <v>15531</v>
      </c>
      <c r="AX2447" s="82" t="s">
        <v>15531</v>
      </c>
      <c r="AY2447" s="77"/>
      <c r="AZ2447" s="82" t="s">
        <v>17385</v>
      </c>
      <c r="BA2447" s="82" t="s">
        <v>17385</v>
      </c>
      <c r="BB2447" s="82" t="s">
        <v>17385</v>
      </c>
      <c r="BC2447" s="82" t="s">
        <v>15531</v>
      </c>
      <c r="BD2447" s="77">
        <v>70575051</v>
      </c>
      <c r="BE2447" s="77"/>
      <c r="BF2447" s="77"/>
      <c r="BG2447" s="77"/>
      <c r="BH2447" s="77"/>
      <c r="BI2447" s="77"/>
    </row>
    <row r="2448" spans="1:61" x14ac:dyDescent="0.25">
      <c r="A2448" s="62" t="s">
        <v>632</v>
      </c>
      <c r="B2448" s="62" t="s">
        <v>632</v>
      </c>
      <c r="C2448" s="63"/>
      <c r="D2448" s="64"/>
      <c r="E2448" s="65"/>
      <c r="F2448" s="66"/>
      <c r="G2448" s="63"/>
      <c r="H2448" s="67"/>
      <c r="I2448" s="68"/>
      <c r="J2448" s="68"/>
      <c r="K2448" s="32"/>
      <c r="L2448" s="75">
        <v>2448</v>
      </c>
      <c r="M2448" s="75"/>
      <c r="N2448" s="70"/>
      <c r="O2448" s="77" t="s">
        <v>179</v>
      </c>
      <c r="P2448" s="79">
        <v>45172.889189814814</v>
      </c>
      <c r="Q2448" s="77" t="s">
        <v>3225</v>
      </c>
      <c r="R2448" s="77">
        <v>0</v>
      </c>
      <c r="S2448" s="77">
        <v>1</v>
      </c>
      <c r="T2448" s="77">
        <v>0</v>
      </c>
      <c r="U2448" s="77">
        <v>0</v>
      </c>
      <c r="V2448" s="77">
        <v>225</v>
      </c>
      <c r="W2448" s="82" t="s">
        <v>4825</v>
      </c>
      <c r="X2448" s="80" t="str">
        <f>HYPERLINK("https://financenews.com.br/2023/09/agenda-de-dividendo-desta-semana/")</f>
        <v>https://financenews.com.br/2023/09/agenda-de-dividendo-desta-semana/</v>
      </c>
      <c r="Y2448" s="77" t="s">
        <v>7053</v>
      </c>
      <c r="Z2448" s="77"/>
      <c r="AA2448" s="77"/>
      <c r="AB2448" s="77"/>
      <c r="AC2448" s="82" t="s">
        <v>8232</v>
      </c>
      <c r="AD2448" s="77" t="s">
        <v>8278</v>
      </c>
      <c r="AE2448" s="80" t="str">
        <f>HYPERLINK("https://twitter.com/smarttbot/status/1698445874798440598")</f>
        <v>https://twitter.com/smarttbot/status/1698445874798440598</v>
      </c>
      <c r="AF2448" s="79">
        <v>45172.889189814814</v>
      </c>
      <c r="AG2448" s="85">
        <v>45172</v>
      </c>
      <c r="AH2448" s="82" t="s">
        <v>10504</v>
      </c>
      <c r="AI2448" s="77" t="b">
        <v>0</v>
      </c>
      <c r="AJ2448" s="77"/>
      <c r="AK2448" s="77"/>
      <c r="AL2448" s="77"/>
      <c r="AM2448" s="77"/>
      <c r="AN2448" s="77"/>
      <c r="AO2448" s="77"/>
      <c r="AP2448" s="77"/>
      <c r="AQ2448" s="77"/>
      <c r="AR2448" s="77"/>
      <c r="AS2448" s="77"/>
      <c r="AT2448" s="77"/>
      <c r="AU2448" s="77"/>
      <c r="AV2448" s="80" t="str">
        <f>HYPERLINK("https://pbs.twimg.com/profile_images/1681764833190899713/QvsD8xjd_normal.jpg")</f>
        <v>https://pbs.twimg.com/profile_images/1681764833190899713/QvsD8xjd_normal.jpg</v>
      </c>
      <c r="AW2448" s="82" t="s">
        <v>15532</v>
      </c>
      <c r="AX2448" s="82" t="s">
        <v>15532</v>
      </c>
      <c r="AY2448" s="77"/>
      <c r="AZ2448" s="82" t="s">
        <v>17385</v>
      </c>
      <c r="BA2448" s="82" t="s">
        <v>17385</v>
      </c>
      <c r="BB2448" s="82" t="s">
        <v>17385</v>
      </c>
      <c r="BC2448" s="82" t="s">
        <v>15532</v>
      </c>
      <c r="BD2448" s="77">
        <v>70575051</v>
      </c>
      <c r="BE2448" s="77"/>
      <c r="BF2448" s="77"/>
      <c r="BG2448" s="77"/>
      <c r="BH2448" s="77"/>
      <c r="BI2448" s="77"/>
    </row>
    <row r="2449" spans="1:61" x14ac:dyDescent="0.25">
      <c r="A2449" s="62" t="s">
        <v>632</v>
      </c>
      <c r="B2449" s="62" t="s">
        <v>632</v>
      </c>
      <c r="C2449" s="63"/>
      <c r="D2449" s="64"/>
      <c r="E2449" s="65"/>
      <c r="F2449" s="66"/>
      <c r="G2449" s="63"/>
      <c r="H2449" s="67"/>
      <c r="I2449" s="68"/>
      <c r="J2449" s="68"/>
      <c r="K2449" s="32"/>
      <c r="L2449" s="75">
        <v>2449</v>
      </c>
      <c r="M2449" s="75"/>
      <c r="N2449" s="70"/>
      <c r="O2449" s="77" t="s">
        <v>179</v>
      </c>
      <c r="P2449" s="79">
        <v>45129.589756944442</v>
      </c>
      <c r="Q2449" s="77" t="s">
        <v>3226</v>
      </c>
      <c r="R2449" s="77">
        <v>0</v>
      </c>
      <c r="S2449" s="77">
        <v>1</v>
      </c>
      <c r="T2449" s="77">
        <v>0</v>
      </c>
      <c r="U2449" s="77">
        <v>0</v>
      </c>
      <c r="V2449" s="77">
        <v>156</v>
      </c>
      <c r="W2449" s="82" t="s">
        <v>4827</v>
      </c>
      <c r="X2449" s="80" t="str">
        <f>HYPERLINK("https://financenews.com.br/2023/07/companhias-que-divulgaram-informacoes-sobre-dividendos-e-jcp-na-semana-77/")</f>
        <v>https://financenews.com.br/2023/07/companhias-que-divulgaram-informacoes-sobre-dividendos-e-jcp-na-semana-77/</v>
      </c>
      <c r="Y2449" s="77" t="s">
        <v>7053</v>
      </c>
      <c r="Z2449" s="77"/>
      <c r="AA2449" s="77"/>
      <c r="AB2449" s="77"/>
      <c r="AC2449" s="82" t="s">
        <v>8232</v>
      </c>
      <c r="AD2449" s="77" t="s">
        <v>8278</v>
      </c>
      <c r="AE2449" s="80" t="str">
        <f>HYPERLINK("https://twitter.com/smarttbot/status/1682754684619038720")</f>
        <v>https://twitter.com/smarttbot/status/1682754684619038720</v>
      </c>
      <c r="AF2449" s="79">
        <v>45129.589756944442</v>
      </c>
      <c r="AG2449" s="85">
        <v>45129</v>
      </c>
      <c r="AH2449" s="82" t="s">
        <v>10505</v>
      </c>
      <c r="AI2449" s="77" t="b">
        <v>0</v>
      </c>
      <c r="AJ2449" s="77"/>
      <c r="AK2449" s="77"/>
      <c r="AL2449" s="77"/>
      <c r="AM2449" s="77"/>
      <c r="AN2449" s="77"/>
      <c r="AO2449" s="77"/>
      <c r="AP2449" s="77"/>
      <c r="AQ2449" s="77"/>
      <c r="AR2449" s="77"/>
      <c r="AS2449" s="77"/>
      <c r="AT2449" s="77"/>
      <c r="AU2449" s="77"/>
      <c r="AV2449" s="80" t="str">
        <f>HYPERLINK("https://pbs.twimg.com/profile_images/1681764833190899713/QvsD8xjd_normal.jpg")</f>
        <v>https://pbs.twimg.com/profile_images/1681764833190899713/QvsD8xjd_normal.jpg</v>
      </c>
      <c r="AW2449" s="82" t="s">
        <v>15533</v>
      </c>
      <c r="AX2449" s="82" t="s">
        <v>15533</v>
      </c>
      <c r="AY2449" s="77"/>
      <c r="AZ2449" s="82" t="s">
        <v>17385</v>
      </c>
      <c r="BA2449" s="82" t="s">
        <v>17385</v>
      </c>
      <c r="BB2449" s="82" t="s">
        <v>17385</v>
      </c>
      <c r="BC2449" s="82" t="s">
        <v>15533</v>
      </c>
      <c r="BD2449" s="77">
        <v>70575051</v>
      </c>
      <c r="BE2449" s="77"/>
      <c r="BF2449" s="77"/>
      <c r="BG2449" s="77"/>
      <c r="BH2449" s="77"/>
      <c r="BI2449" s="77"/>
    </row>
    <row r="2450" spans="1:61" x14ac:dyDescent="0.25">
      <c r="A2450" s="62" t="s">
        <v>632</v>
      </c>
      <c r="B2450" s="62" t="s">
        <v>632</v>
      </c>
      <c r="C2450" s="63"/>
      <c r="D2450" s="64"/>
      <c r="E2450" s="65"/>
      <c r="F2450" s="66"/>
      <c r="G2450" s="63"/>
      <c r="H2450" s="67"/>
      <c r="I2450" s="68"/>
      <c r="J2450" s="68"/>
      <c r="K2450" s="32"/>
      <c r="L2450" s="75">
        <v>2450</v>
      </c>
      <c r="M2450" s="75"/>
      <c r="N2450" s="70"/>
      <c r="O2450" s="77" t="s">
        <v>179</v>
      </c>
      <c r="P2450" s="79">
        <v>45103.466631944444</v>
      </c>
      <c r="Q2450" s="77" t="s">
        <v>3227</v>
      </c>
      <c r="R2450" s="77">
        <v>0</v>
      </c>
      <c r="S2450" s="77">
        <v>3</v>
      </c>
      <c r="T2450" s="77">
        <v>0</v>
      </c>
      <c r="U2450" s="77">
        <v>0</v>
      </c>
      <c r="V2450" s="77">
        <v>204</v>
      </c>
      <c r="W2450" s="82" t="s">
        <v>4835</v>
      </c>
      <c r="X2450" s="80" t="str">
        <f>HYPERLINK("https://financenews.com.br/2023/06/mercados-nesta-segunda-minerio-petroleo-noticias-corporativas-e-outros-destaques-2/")</f>
        <v>https://financenews.com.br/2023/06/mercados-nesta-segunda-minerio-petroleo-noticias-corporativas-e-outros-destaques-2/</v>
      </c>
      <c r="Y2450" s="77" t="s">
        <v>7053</v>
      </c>
      <c r="Z2450" s="77"/>
      <c r="AA2450" s="77"/>
      <c r="AB2450" s="77"/>
      <c r="AC2450" s="82" t="s">
        <v>8232</v>
      </c>
      <c r="AD2450" s="77" t="s">
        <v>8278</v>
      </c>
      <c r="AE2450" s="80" t="str">
        <f>HYPERLINK("https://twitter.com/smarttbot/status/1673287981161955328")</f>
        <v>https://twitter.com/smarttbot/status/1673287981161955328</v>
      </c>
      <c r="AF2450" s="79">
        <v>45103.466631944444</v>
      </c>
      <c r="AG2450" s="85">
        <v>45103</v>
      </c>
      <c r="AH2450" s="82" t="s">
        <v>10506</v>
      </c>
      <c r="AI2450" s="77" t="b">
        <v>0</v>
      </c>
      <c r="AJ2450" s="77"/>
      <c r="AK2450" s="77"/>
      <c r="AL2450" s="77"/>
      <c r="AM2450" s="77"/>
      <c r="AN2450" s="77"/>
      <c r="AO2450" s="77"/>
      <c r="AP2450" s="77"/>
      <c r="AQ2450" s="77"/>
      <c r="AR2450" s="77"/>
      <c r="AS2450" s="77"/>
      <c r="AT2450" s="77"/>
      <c r="AU2450" s="77"/>
      <c r="AV2450" s="80" t="str">
        <f>HYPERLINK("https://pbs.twimg.com/profile_images/1681764833190899713/QvsD8xjd_normal.jpg")</f>
        <v>https://pbs.twimg.com/profile_images/1681764833190899713/QvsD8xjd_normal.jpg</v>
      </c>
      <c r="AW2450" s="82" t="s">
        <v>15534</v>
      </c>
      <c r="AX2450" s="82" t="s">
        <v>15534</v>
      </c>
      <c r="AY2450" s="77"/>
      <c r="AZ2450" s="82" t="s">
        <v>17385</v>
      </c>
      <c r="BA2450" s="82" t="s">
        <v>17385</v>
      </c>
      <c r="BB2450" s="82" t="s">
        <v>17385</v>
      </c>
      <c r="BC2450" s="82" t="s">
        <v>15534</v>
      </c>
      <c r="BD2450" s="77">
        <v>70575051</v>
      </c>
      <c r="BE2450" s="77"/>
      <c r="BF2450" s="77"/>
      <c r="BG2450" s="77"/>
      <c r="BH2450" s="77"/>
      <c r="BI2450" s="77"/>
    </row>
    <row r="2451" spans="1:61" x14ac:dyDescent="0.25">
      <c r="A2451" s="62" t="s">
        <v>632</v>
      </c>
      <c r="B2451" s="62" t="s">
        <v>632</v>
      </c>
      <c r="C2451" s="63"/>
      <c r="D2451" s="64"/>
      <c r="E2451" s="65"/>
      <c r="F2451" s="66"/>
      <c r="G2451" s="63"/>
      <c r="H2451" s="67"/>
      <c r="I2451" s="68"/>
      <c r="J2451" s="68"/>
      <c r="K2451" s="32"/>
      <c r="L2451" s="75">
        <v>2451</v>
      </c>
      <c r="M2451" s="75"/>
      <c r="N2451" s="70"/>
      <c r="O2451" s="77" t="s">
        <v>179</v>
      </c>
      <c r="P2451" s="79">
        <v>45102.949618055558</v>
      </c>
      <c r="Q2451" s="77" t="s">
        <v>3228</v>
      </c>
      <c r="R2451" s="77">
        <v>0</v>
      </c>
      <c r="S2451" s="77">
        <v>2</v>
      </c>
      <c r="T2451" s="77">
        <v>0</v>
      </c>
      <c r="U2451" s="77">
        <v>0</v>
      </c>
      <c r="V2451" s="77">
        <v>302</v>
      </c>
      <c r="W2451" s="82" t="s">
        <v>6356</v>
      </c>
      <c r="X2451" s="80" t="str">
        <f>HYPERLINK("https://financenews.com.br/2023/06/agenda-de-dividendos-da-semana-5/")</f>
        <v>https://financenews.com.br/2023/06/agenda-de-dividendos-da-semana-5/</v>
      </c>
      <c r="Y2451" s="77" t="s">
        <v>7053</v>
      </c>
      <c r="Z2451" s="77"/>
      <c r="AA2451" s="77"/>
      <c r="AB2451" s="77"/>
      <c r="AC2451" s="82" t="s">
        <v>8232</v>
      </c>
      <c r="AD2451" s="77" t="s">
        <v>8278</v>
      </c>
      <c r="AE2451" s="80" t="str">
        <f>HYPERLINK("https://twitter.com/smarttbot/status/1673100621967241220")</f>
        <v>https://twitter.com/smarttbot/status/1673100621967241220</v>
      </c>
      <c r="AF2451" s="79">
        <v>45102.949618055558</v>
      </c>
      <c r="AG2451" s="85">
        <v>45102</v>
      </c>
      <c r="AH2451" s="82" t="s">
        <v>10507</v>
      </c>
      <c r="AI2451" s="77" t="b">
        <v>0</v>
      </c>
      <c r="AJ2451" s="77"/>
      <c r="AK2451" s="77"/>
      <c r="AL2451" s="77"/>
      <c r="AM2451" s="77"/>
      <c r="AN2451" s="77"/>
      <c r="AO2451" s="77"/>
      <c r="AP2451" s="77"/>
      <c r="AQ2451" s="77"/>
      <c r="AR2451" s="77"/>
      <c r="AS2451" s="77"/>
      <c r="AT2451" s="77"/>
      <c r="AU2451" s="77"/>
      <c r="AV2451" s="80" t="str">
        <f>HYPERLINK("https://pbs.twimg.com/profile_images/1681764833190899713/QvsD8xjd_normal.jpg")</f>
        <v>https://pbs.twimg.com/profile_images/1681764833190899713/QvsD8xjd_normal.jpg</v>
      </c>
      <c r="AW2451" s="82" t="s">
        <v>15535</v>
      </c>
      <c r="AX2451" s="82" t="s">
        <v>15535</v>
      </c>
      <c r="AY2451" s="77"/>
      <c r="AZ2451" s="82" t="s">
        <v>17385</v>
      </c>
      <c r="BA2451" s="82" t="s">
        <v>17385</v>
      </c>
      <c r="BB2451" s="82" t="s">
        <v>17385</v>
      </c>
      <c r="BC2451" s="82" t="s">
        <v>15535</v>
      </c>
      <c r="BD2451" s="77">
        <v>70575051</v>
      </c>
      <c r="BE2451" s="77"/>
      <c r="BF2451" s="77"/>
      <c r="BG2451" s="77"/>
      <c r="BH2451" s="77"/>
      <c r="BI2451" s="77"/>
    </row>
    <row r="2452" spans="1:61" x14ac:dyDescent="0.25">
      <c r="A2452" s="62" t="s">
        <v>632</v>
      </c>
      <c r="B2452" s="62" t="s">
        <v>632</v>
      </c>
      <c r="C2452" s="63"/>
      <c r="D2452" s="64"/>
      <c r="E2452" s="65"/>
      <c r="F2452" s="66"/>
      <c r="G2452" s="63"/>
      <c r="H2452" s="67"/>
      <c r="I2452" s="68"/>
      <c r="J2452" s="68"/>
      <c r="K2452" s="32"/>
      <c r="L2452" s="75">
        <v>2452</v>
      </c>
      <c r="M2452" s="75"/>
      <c r="N2452" s="70"/>
      <c r="O2452" s="77" t="s">
        <v>179</v>
      </c>
      <c r="P2452" s="79">
        <v>45101.589270833334</v>
      </c>
      <c r="Q2452" s="77" t="s">
        <v>3229</v>
      </c>
      <c r="R2452" s="77">
        <v>0</v>
      </c>
      <c r="S2452" s="77">
        <v>1</v>
      </c>
      <c r="T2452" s="77">
        <v>0</v>
      </c>
      <c r="U2452" s="77">
        <v>0</v>
      </c>
      <c r="V2452" s="77">
        <v>172</v>
      </c>
      <c r="W2452" s="82" t="s">
        <v>6355</v>
      </c>
      <c r="X2452" s="80" t="str">
        <f>HYPERLINK("https://financenews.com.br/2023/06/companhias-que-divulgaram-informacoes-sobre-dividendos-e-jcp-na-semana-74/")</f>
        <v>https://financenews.com.br/2023/06/companhias-que-divulgaram-informacoes-sobre-dividendos-e-jcp-na-semana-74/</v>
      </c>
      <c r="Y2452" s="77" t="s">
        <v>7053</v>
      </c>
      <c r="Z2452" s="77"/>
      <c r="AA2452" s="77"/>
      <c r="AB2452" s="77"/>
      <c r="AC2452" s="82" t="s">
        <v>8232</v>
      </c>
      <c r="AD2452" s="77" t="s">
        <v>8278</v>
      </c>
      <c r="AE2452" s="80" t="str">
        <f>HYPERLINK("https://twitter.com/smarttbot/status/1672607649123168256")</f>
        <v>https://twitter.com/smarttbot/status/1672607649123168256</v>
      </c>
      <c r="AF2452" s="79">
        <v>45101.589270833334</v>
      </c>
      <c r="AG2452" s="85">
        <v>45101</v>
      </c>
      <c r="AH2452" s="82" t="s">
        <v>10508</v>
      </c>
      <c r="AI2452" s="77" t="b">
        <v>0</v>
      </c>
      <c r="AJ2452" s="77"/>
      <c r="AK2452" s="77"/>
      <c r="AL2452" s="77"/>
      <c r="AM2452" s="77"/>
      <c r="AN2452" s="77"/>
      <c r="AO2452" s="77"/>
      <c r="AP2452" s="77"/>
      <c r="AQ2452" s="77"/>
      <c r="AR2452" s="77"/>
      <c r="AS2452" s="77"/>
      <c r="AT2452" s="77"/>
      <c r="AU2452" s="77"/>
      <c r="AV2452" s="80" t="str">
        <f>HYPERLINK("https://pbs.twimg.com/profile_images/1681764833190899713/QvsD8xjd_normal.jpg")</f>
        <v>https://pbs.twimg.com/profile_images/1681764833190899713/QvsD8xjd_normal.jpg</v>
      </c>
      <c r="AW2452" s="82" t="s">
        <v>15536</v>
      </c>
      <c r="AX2452" s="82" t="s">
        <v>15536</v>
      </c>
      <c r="AY2452" s="77"/>
      <c r="AZ2452" s="82" t="s">
        <v>17385</v>
      </c>
      <c r="BA2452" s="82" t="s">
        <v>17385</v>
      </c>
      <c r="BB2452" s="82" t="s">
        <v>17385</v>
      </c>
      <c r="BC2452" s="82" t="s">
        <v>15536</v>
      </c>
      <c r="BD2452" s="77">
        <v>70575051</v>
      </c>
      <c r="BE2452" s="77"/>
      <c r="BF2452" s="77"/>
      <c r="BG2452" s="77"/>
      <c r="BH2452" s="77"/>
      <c r="BI2452" s="77"/>
    </row>
    <row r="2453" spans="1:61" x14ac:dyDescent="0.25">
      <c r="A2453" s="62" t="s">
        <v>632</v>
      </c>
      <c r="B2453" s="62" t="s">
        <v>632</v>
      </c>
      <c r="C2453" s="63"/>
      <c r="D2453" s="64"/>
      <c r="E2453" s="65"/>
      <c r="F2453" s="66"/>
      <c r="G2453" s="63"/>
      <c r="H2453" s="67"/>
      <c r="I2453" s="68"/>
      <c r="J2453" s="68"/>
      <c r="K2453" s="32"/>
      <c r="L2453" s="75">
        <v>2453</v>
      </c>
      <c r="M2453" s="75"/>
      <c r="N2453" s="70"/>
      <c r="O2453" s="77" t="s">
        <v>179</v>
      </c>
      <c r="P2453" s="79">
        <v>45082.457118055558</v>
      </c>
      <c r="Q2453" s="77" t="s">
        <v>3230</v>
      </c>
      <c r="R2453" s="77">
        <v>0</v>
      </c>
      <c r="S2453" s="77">
        <v>3</v>
      </c>
      <c r="T2453" s="77">
        <v>0</v>
      </c>
      <c r="U2453" s="77">
        <v>0</v>
      </c>
      <c r="V2453" s="77">
        <v>238</v>
      </c>
      <c r="W2453" s="82" t="s">
        <v>5637</v>
      </c>
      <c r="X2453" s="80" t="str">
        <f>HYPERLINK("https://bit.ly/3oKNmdB")</f>
        <v>https://bit.ly/3oKNmdB</v>
      </c>
      <c r="Y2453" s="77" t="s">
        <v>7063</v>
      </c>
      <c r="Z2453" s="77"/>
      <c r="AA2453" s="77"/>
      <c r="AB2453" s="77"/>
      <c r="AC2453" s="82" t="s">
        <v>8232</v>
      </c>
      <c r="AD2453" s="77" t="s">
        <v>8278</v>
      </c>
      <c r="AE2453" s="80" t="str">
        <f>HYPERLINK("https://twitter.com/smarttbot/status/1665674389310918660")</f>
        <v>https://twitter.com/smarttbot/status/1665674389310918660</v>
      </c>
      <c r="AF2453" s="79">
        <v>45082.457118055558</v>
      </c>
      <c r="AG2453" s="85">
        <v>45082</v>
      </c>
      <c r="AH2453" s="82" t="s">
        <v>10509</v>
      </c>
      <c r="AI2453" s="77" t="b">
        <v>0</v>
      </c>
      <c r="AJ2453" s="77"/>
      <c r="AK2453" s="77"/>
      <c r="AL2453" s="77"/>
      <c r="AM2453" s="77"/>
      <c r="AN2453" s="77"/>
      <c r="AO2453" s="77"/>
      <c r="AP2453" s="77"/>
      <c r="AQ2453" s="77"/>
      <c r="AR2453" s="77"/>
      <c r="AS2453" s="77"/>
      <c r="AT2453" s="77"/>
      <c r="AU2453" s="77"/>
      <c r="AV2453" s="80" t="str">
        <f>HYPERLINK("https://pbs.twimg.com/profile_images/1681764833190899713/QvsD8xjd_normal.jpg")</f>
        <v>https://pbs.twimg.com/profile_images/1681764833190899713/QvsD8xjd_normal.jpg</v>
      </c>
      <c r="AW2453" s="82" t="s">
        <v>15537</v>
      </c>
      <c r="AX2453" s="82" t="s">
        <v>15537</v>
      </c>
      <c r="AY2453" s="77"/>
      <c r="AZ2453" s="82" t="s">
        <v>17385</v>
      </c>
      <c r="BA2453" s="82" t="s">
        <v>17385</v>
      </c>
      <c r="BB2453" s="82" t="s">
        <v>17385</v>
      </c>
      <c r="BC2453" s="82" t="s">
        <v>15537</v>
      </c>
      <c r="BD2453" s="77">
        <v>70575051</v>
      </c>
      <c r="BE2453" s="77"/>
      <c r="BF2453" s="77"/>
      <c r="BG2453" s="77"/>
      <c r="BH2453" s="77"/>
      <c r="BI2453" s="77"/>
    </row>
    <row r="2454" spans="1:61" x14ac:dyDescent="0.25">
      <c r="A2454" s="62" t="s">
        <v>632</v>
      </c>
      <c r="B2454" s="62" t="s">
        <v>632</v>
      </c>
      <c r="C2454" s="63"/>
      <c r="D2454" s="64"/>
      <c r="E2454" s="65"/>
      <c r="F2454" s="66"/>
      <c r="G2454" s="63"/>
      <c r="H2454" s="67"/>
      <c r="I2454" s="68"/>
      <c r="J2454" s="68"/>
      <c r="K2454" s="32"/>
      <c r="L2454" s="75">
        <v>2454</v>
      </c>
      <c r="M2454" s="75"/>
      <c r="N2454" s="70"/>
      <c r="O2454" s="77" t="s">
        <v>179</v>
      </c>
      <c r="P2454" s="79">
        <v>45082.033425925925</v>
      </c>
      <c r="Q2454" s="77" t="s">
        <v>3231</v>
      </c>
      <c r="R2454" s="77">
        <v>0</v>
      </c>
      <c r="S2454" s="77">
        <v>3</v>
      </c>
      <c r="T2454" s="77">
        <v>0</v>
      </c>
      <c r="U2454" s="77">
        <v>0</v>
      </c>
      <c r="V2454" s="77">
        <v>253</v>
      </c>
      <c r="W2454" s="82" t="s">
        <v>6357</v>
      </c>
      <c r="X2454" s="80" t="str">
        <f>HYPERLINK("https://bit.ly/3oNyCL8")</f>
        <v>https://bit.ly/3oNyCL8</v>
      </c>
      <c r="Y2454" s="77" t="s">
        <v>7063</v>
      </c>
      <c r="Z2454" s="77"/>
      <c r="AA2454" s="77"/>
      <c r="AB2454" s="77"/>
      <c r="AC2454" s="82" t="s">
        <v>8232</v>
      </c>
      <c r="AD2454" s="77" t="s">
        <v>8278</v>
      </c>
      <c r="AE2454" s="80" t="str">
        <f>HYPERLINK("https://twitter.com/smarttbot/status/1665520845597429762")</f>
        <v>https://twitter.com/smarttbot/status/1665520845597429762</v>
      </c>
      <c r="AF2454" s="79">
        <v>45082.033425925925</v>
      </c>
      <c r="AG2454" s="85">
        <v>45082</v>
      </c>
      <c r="AH2454" s="82" t="s">
        <v>10510</v>
      </c>
      <c r="AI2454" s="77" t="b">
        <v>0</v>
      </c>
      <c r="AJ2454" s="77"/>
      <c r="AK2454" s="77"/>
      <c r="AL2454" s="77"/>
      <c r="AM2454" s="77"/>
      <c r="AN2454" s="77"/>
      <c r="AO2454" s="77"/>
      <c r="AP2454" s="77"/>
      <c r="AQ2454" s="77"/>
      <c r="AR2454" s="77"/>
      <c r="AS2454" s="77"/>
      <c r="AT2454" s="77"/>
      <c r="AU2454" s="77"/>
      <c r="AV2454" s="80" t="str">
        <f>HYPERLINK("https://pbs.twimg.com/profile_images/1681764833190899713/QvsD8xjd_normal.jpg")</f>
        <v>https://pbs.twimg.com/profile_images/1681764833190899713/QvsD8xjd_normal.jpg</v>
      </c>
      <c r="AW2454" s="82" t="s">
        <v>15538</v>
      </c>
      <c r="AX2454" s="82" t="s">
        <v>15538</v>
      </c>
      <c r="AY2454" s="77"/>
      <c r="AZ2454" s="82" t="s">
        <v>17385</v>
      </c>
      <c r="BA2454" s="82" t="s">
        <v>17385</v>
      </c>
      <c r="BB2454" s="82" t="s">
        <v>17385</v>
      </c>
      <c r="BC2454" s="82" t="s">
        <v>15538</v>
      </c>
      <c r="BD2454" s="77">
        <v>70575051</v>
      </c>
      <c r="BE2454" s="77"/>
      <c r="BF2454" s="77"/>
      <c r="BG2454" s="77"/>
      <c r="BH2454" s="77"/>
      <c r="BI2454" s="77"/>
    </row>
    <row r="2455" spans="1:61" x14ac:dyDescent="0.25">
      <c r="A2455" s="62" t="s">
        <v>632</v>
      </c>
      <c r="B2455" s="62" t="s">
        <v>632</v>
      </c>
      <c r="C2455" s="63"/>
      <c r="D2455" s="64"/>
      <c r="E2455" s="65"/>
      <c r="F2455" s="66"/>
      <c r="G2455" s="63"/>
      <c r="H2455" s="67"/>
      <c r="I2455" s="68"/>
      <c r="J2455" s="68"/>
      <c r="K2455" s="32"/>
      <c r="L2455" s="75">
        <v>2455</v>
      </c>
      <c r="M2455" s="75"/>
      <c r="N2455" s="70"/>
      <c r="O2455" s="77" t="s">
        <v>179</v>
      </c>
      <c r="P2455" s="79">
        <v>45081.646655092591</v>
      </c>
      <c r="Q2455" s="77" t="s">
        <v>3232</v>
      </c>
      <c r="R2455" s="77">
        <v>0</v>
      </c>
      <c r="S2455" s="77">
        <v>1</v>
      </c>
      <c r="T2455" s="77">
        <v>0</v>
      </c>
      <c r="U2455" s="77">
        <v>0</v>
      </c>
      <c r="V2455" s="77">
        <v>171</v>
      </c>
      <c r="W2455" s="82" t="s">
        <v>5112</v>
      </c>
      <c r="X2455" s="80" t="str">
        <f>HYPERLINK("https://bit.ly/3qii1PQ")</f>
        <v>https://bit.ly/3qii1PQ</v>
      </c>
      <c r="Y2455" s="77" t="s">
        <v>7063</v>
      </c>
      <c r="Z2455" s="77"/>
      <c r="AA2455" s="77"/>
      <c r="AB2455" s="77"/>
      <c r="AC2455" s="82" t="s">
        <v>8232</v>
      </c>
      <c r="AD2455" s="77" t="s">
        <v>8278</v>
      </c>
      <c r="AE2455" s="80" t="str">
        <f>HYPERLINK("https://twitter.com/smarttbot/status/1665380685278789634")</f>
        <v>https://twitter.com/smarttbot/status/1665380685278789634</v>
      </c>
      <c r="AF2455" s="79">
        <v>45081.646655092591</v>
      </c>
      <c r="AG2455" s="85">
        <v>45081</v>
      </c>
      <c r="AH2455" s="82" t="s">
        <v>10511</v>
      </c>
      <c r="AI2455" s="77" t="b">
        <v>0</v>
      </c>
      <c r="AJ2455" s="77"/>
      <c r="AK2455" s="77"/>
      <c r="AL2455" s="77"/>
      <c r="AM2455" s="77"/>
      <c r="AN2455" s="77"/>
      <c r="AO2455" s="77"/>
      <c r="AP2455" s="77"/>
      <c r="AQ2455" s="77"/>
      <c r="AR2455" s="77"/>
      <c r="AS2455" s="77"/>
      <c r="AT2455" s="77"/>
      <c r="AU2455" s="77"/>
      <c r="AV2455" s="80" t="str">
        <f>HYPERLINK("https://pbs.twimg.com/profile_images/1681764833190899713/QvsD8xjd_normal.jpg")</f>
        <v>https://pbs.twimg.com/profile_images/1681764833190899713/QvsD8xjd_normal.jpg</v>
      </c>
      <c r="AW2455" s="82" t="s">
        <v>15539</v>
      </c>
      <c r="AX2455" s="82" t="s">
        <v>15539</v>
      </c>
      <c r="AY2455" s="77"/>
      <c r="AZ2455" s="82" t="s">
        <v>17385</v>
      </c>
      <c r="BA2455" s="82" t="s">
        <v>17385</v>
      </c>
      <c r="BB2455" s="82" t="s">
        <v>17385</v>
      </c>
      <c r="BC2455" s="82" t="s">
        <v>15539</v>
      </c>
      <c r="BD2455" s="77">
        <v>70575051</v>
      </c>
      <c r="BE2455" s="77"/>
      <c r="BF2455" s="77"/>
      <c r="BG2455" s="77"/>
      <c r="BH2455" s="77"/>
      <c r="BI2455" s="77"/>
    </row>
    <row r="2456" spans="1:61" x14ac:dyDescent="0.25">
      <c r="A2456" s="62" t="s">
        <v>632</v>
      </c>
      <c r="B2456" s="62" t="s">
        <v>632</v>
      </c>
      <c r="C2456" s="63"/>
      <c r="D2456" s="64"/>
      <c r="E2456" s="65"/>
      <c r="F2456" s="66"/>
      <c r="G2456" s="63"/>
      <c r="H2456" s="67"/>
      <c r="I2456" s="68"/>
      <c r="J2456" s="68"/>
      <c r="K2456" s="32"/>
      <c r="L2456" s="75">
        <v>2456</v>
      </c>
      <c r="M2456" s="75"/>
      <c r="N2456" s="70"/>
      <c r="O2456" s="77" t="s">
        <v>179</v>
      </c>
      <c r="P2456" s="79">
        <v>45080.579340277778</v>
      </c>
      <c r="Q2456" s="77" t="s">
        <v>3233</v>
      </c>
      <c r="R2456" s="77">
        <v>0</v>
      </c>
      <c r="S2456" s="77">
        <v>3</v>
      </c>
      <c r="T2456" s="77">
        <v>0</v>
      </c>
      <c r="U2456" s="77">
        <v>0</v>
      </c>
      <c r="V2456" s="77">
        <v>174</v>
      </c>
      <c r="W2456" s="82" t="s">
        <v>6358</v>
      </c>
      <c r="X2456" s="80" t="str">
        <f>HYPERLINK("https://bit.ly/3CaM1zP")</f>
        <v>https://bit.ly/3CaM1zP</v>
      </c>
      <c r="Y2456" s="77" t="s">
        <v>7063</v>
      </c>
      <c r="Z2456" s="77"/>
      <c r="AA2456" s="77"/>
      <c r="AB2456" s="77"/>
      <c r="AC2456" s="82" t="s">
        <v>8232</v>
      </c>
      <c r="AD2456" s="77" t="s">
        <v>8278</v>
      </c>
      <c r="AE2456" s="80" t="str">
        <f>HYPERLINK("https://twitter.com/smarttbot/status/1664993903110438913")</f>
        <v>https://twitter.com/smarttbot/status/1664993903110438913</v>
      </c>
      <c r="AF2456" s="79">
        <v>45080.579340277778</v>
      </c>
      <c r="AG2456" s="85">
        <v>45080</v>
      </c>
      <c r="AH2456" s="82" t="s">
        <v>10269</v>
      </c>
      <c r="AI2456" s="77" t="b">
        <v>0</v>
      </c>
      <c r="AJ2456" s="77"/>
      <c r="AK2456" s="77"/>
      <c r="AL2456" s="77"/>
      <c r="AM2456" s="77"/>
      <c r="AN2456" s="77"/>
      <c r="AO2456" s="77"/>
      <c r="AP2456" s="77"/>
      <c r="AQ2456" s="77"/>
      <c r="AR2456" s="77"/>
      <c r="AS2456" s="77"/>
      <c r="AT2456" s="77"/>
      <c r="AU2456" s="77"/>
      <c r="AV2456" s="80" t="str">
        <f>HYPERLINK("https://pbs.twimg.com/profile_images/1681764833190899713/QvsD8xjd_normal.jpg")</f>
        <v>https://pbs.twimg.com/profile_images/1681764833190899713/QvsD8xjd_normal.jpg</v>
      </c>
      <c r="AW2456" s="82" t="s">
        <v>15540</v>
      </c>
      <c r="AX2456" s="82" t="s">
        <v>15540</v>
      </c>
      <c r="AY2456" s="77"/>
      <c r="AZ2456" s="82" t="s">
        <v>17385</v>
      </c>
      <c r="BA2456" s="82" t="s">
        <v>17385</v>
      </c>
      <c r="BB2456" s="82" t="s">
        <v>17385</v>
      </c>
      <c r="BC2456" s="82" t="s">
        <v>15540</v>
      </c>
      <c r="BD2456" s="77">
        <v>70575051</v>
      </c>
      <c r="BE2456" s="77"/>
      <c r="BF2456" s="77"/>
      <c r="BG2456" s="77"/>
      <c r="BH2456" s="77"/>
      <c r="BI2456" s="77"/>
    </row>
    <row r="2457" spans="1:61" x14ac:dyDescent="0.25">
      <c r="A2457" s="62" t="s">
        <v>633</v>
      </c>
      <c r="B2457" s="62" t="s">
        <v>731</v>
      </c>
      <c r="C2457" s="63"/>
      <c r="D2457" s="64"/>
      <c r="E2457" s="65"/>
      <c r="F2457" s="66"/>
      <c r="G2457" s="63"/>
      <c r="H2457" s="67"/>
      <c r="I2457" s="68"/>
      <c r="J2457" s="68"/>
      <c r="K2457" s="32"/>
      <c r="L2457" s="75">
        <v>2457</v>
      </c>
      <c r="M2457" s="75"/>
      <c r="N2457" s="70"/>
      <c r="O2457" s="77" t="s">
        <v>802</v>
      </c>
      <c r="P2457" s="79">
        <v>45130.607361111113</v>
      </c>
      <c r="Q2457" s="77" t="s">
        <v>3234</v>
      </c>
      <c r="R2457" s="77">
        <v>0</v>
      </c>
      <c r="S2457" s="77">
        <v>0</v>
      </c>
      <c r="T2457" s="77">
        <v>0</v>
      </c>
      <c r="U2457" s="77">
        <v>0</v>
      </c>
      <c r="V2457" s="77">
        <v>22</v>
      </c>
      <c r="W2457" s="82" t="s">
        <v>6359</v>
      </c>
      <c r="X2457" s="80" t="str">
        <f>HYPERLINK("https://youtu.be/FLN8foS4UVc")</f>
        <v>https://youtu.be/FLN8foS4UVc</v>
      </c>
      <c r="Y2457" s="77" t="s">
        <v>7064</v>
      </c>
      <c r="Z2457" s="77" t="s">
        <v>731</v>
      </c>
      <c r="AA2457" s="77" t="s">
        <v>8064</v>
      </c>
      <c r="AB2457" s="77" t="s">
        <v>8225</v>
      </c>
      <c r="AC2457" s="82" t="s">
        <v>8233</v>
      </c>
      <c r="AD2457" s="77" t="s">
        <v>8278</v>
      </c>
      <c r="AE2457" s="80" t="str">
        <f>HYPERLINK("https://twitter.com/fabiooliveira18/status/1683123449961611264")</f>
        <v>https://twitter.com/fabiooliveira18/status/1683123449961611264</v>
      </c>
      <c r="AF2457" s="79">
        <v>45130.607361111113</v>
      </c>
      <c r="AG2457" s="85">
        <v>45130</v>
      </c>
      <c r="AH2457" s="82" t="s">
        <v>10512</v>
      </c>
      <c r="AI2457" s="77" t="b">
        <v>0</v>
      </c>
      <c r="AJ2457" s="77"/>
      <c r="AK2457" s="77"/>
      <c r="AL2457" s="77"/>
      <c r="AM2457" s="77"/>
      <c r="AN2457" s="77"/>
      <c r="AO2457" s="77"/>
      <c r="AP2457" s="77"/>
      <c r="AQ2457" s="77" t="s">
        <v>12949</v>
      </c>
      <c r="AR2457" s="77"/>
      <c r="AS2457" s="77"/>
      <c r="AT2457" s="77"/>
      <c r="AU2457" s="77"/>
      <c r="AV2457" s="80" t="str">
        <f>HYPERLINK("https://pbs.twimg.com/media/F1un2s3WYAElie3.jpg")</f>
        <v>https://pbs.twimg.com/media/F1un2s3WYAElie3.jpg</v>
      </c>
      <c r="AW2457" s="82" t="s">
        <v>15541</v>
      </c>
      <c r="AX2457" s="82" t="s">
        <v>15541</v>
      </c>
      <c r="AY2457" s="77"/>
      <c r="AZ2457" s="82" t="s">
        <v>17385</v>
      </c>
      <c r="BA2457" s="82" t="s">
        <v>17385</v>
      </c>
      <c r="BB2457" s="82" t="s">
        <v>17385</v>
      </c>
      <c r="BC2457" s="82" t="s">
        <v>15541</v>
      </c>
      <c r="BD2457" s="77">
        <v>230005777</v>
      </c>
      <c r="BE2457" s="77"/>
      <c r="BF2457" s="77"/>
      <c r="BG2457" s="77"/>
      <c r="BH2457" s="77"/>
      <c r="BI2457" s="77"/>
    </row>
    <row r="2458" spans="1:61" x14ac:dyDescent="0.25">
      <c r="A2458" s="62" t="s">
        <v>634</v>
      </c>
      <c r="B2458" s="62" t="s">
        <v>634</v>
      </c>
      <c r="C2458" s="63"/>
      <c r="D2458" s="64"/>
      <c r="E2458" s="65"/>
      <c r="F2458" s="66"/>
      <c r="G2458" s="63"/>
      <c r="H2458" s="67"/>
      <c r="I2458" s="68"/>
      <c r="J2458" s="68"/>
      <c r="K2458" s="32"/>
      <c r="L2458" s="75">
        <v>2458</v>
      </c>
      <c r="M2458" s="75"/>
      <c r="N2458" s="70"/>
      <c r="O2458" s="77" t="s">
        <v>179</v>
      </c>
      <c r="P2458" s="79">
        <v>45159.823935185188</v>
      </c>
      <c r="Q2458" s="77" t="s">
        <v>3235</v>
      </c>
      <c r="R2458" s="77">
        <v>0</v>
      </c>
      <c r="S2458" s="77">
        <v>0</v>
      </c>
      <c r="T2458" s="77">
        <v>1</v>
      </c>
      <c r="U2458" s="77">
        <v>0</v>
      </c>
      <c r="V2458" s="77">
        <v>13</v>
      </c>
      <c r="W2458" s="82" t="s">
        <v>6360</v>
      </c>
      <c r="X2458" s="80" t="str">
        <f>HYPERLINK("http://wix.to/4gR0v6X")</f>
        <v>http://wix.to/4gR0v6X</v>
      </c>
      <c r="Y2458" s="77" t="s">
        <v>7080</v>
      </c>
      <c r="Z2458" s="77"/>
      <c r="AA2458" s="77"/>
      <c r="AB2458" s="77"/>
      <c r="AC2458" s="82" t="s">
        <v>8251</v>
      </c>
      <c r="AD2458" s="77" t="s">
        <v>8278</v>
      </c>
      <c r="AE2458" s="80" t="str">
        <f>HYPERLINK("https://twitter.com/descoletizado/status/1693711183097073668")</f>
        <v>https://twitter.com/descoletizado/status/1693711183097073668</v>
      </c>
      <c r="AF2458" s="79">
        <v>45159.823935185188</v>
      </c>
      <c r="AG2458" s="85">
        <v>45159</v>
      </c>
      <c r="AH2458" s="82" t="s">
        <v>10513</v>
      </c>
      <c r="AI2458" s="77" t="b">
        <v>0</v>
      </c>
      <c r="AJ2458" s="77"/>
      <c r="AK2458" s="77"/>
      <c r="AL2458" s="77"/>
      <c r="AM2458" s="77"/>
      <c r="AN2458" s="77"/>
      <c r="AO2458" s="77"/>
      <c r="AP2458" s="77"/>
      <c r="AQ2458" s="77"/>
      <c r="AR2458" s="77"/>
      <c r="AS2458" s="77"/>
      <c r="AT2458" s="77"/>
      <c r="AU2458" s="77"/>
      <c r="AV2458" s="80" t="str">
        <f>HYPERLINK("https://pbs.twimg.com/profile_images/1652432145950834689/7VLTmCZF_normal.jpg")</f>
        <v>https://pbs.twimg.com/profile_images/1652432145950834689/7VLTmCZF_normal.jpg</v>
      </c>
      <c r="AW2458" s="82" t="s">
        <v>15542</v>
      </c>
      <c r="AX2458" s="82" t="s">
        <v>15542</v>
      </c>
      <c r="AY2458" s="77"/>
      <c r="AZ2458" s="82" t="s">
        <v>17385</v>
      </c>
      <c r="BA2458" s="82" t="s">
        <v>17385</v>
      </c>
      <c r="BB2458" s="82" t="s">
        <v>17385</v>
      </c>
      <c r="BC2458" s="82" t="s">
        <v>15542</v>
      </c>
      <c r="BD2458" s="82" t="s">
        <v>17659</v>
      </c>
      <c r="BE2458" s="77"/>
      <c r="BF2458" s="77"/>
      <c r="BG2458" s="77"/>
      <c r="BH2458" s="77"/>
      <c r="BI2458" s="77"/>
    </row>
    <row r="2459" spans="1:61" x14ac:dyDescent="0.25">
      <c r="A2459" s="62" t="s">
        <v>635</v>
      </c>
      <c r="B2459" s="62" t="s">
        <v>731</v>
      </c>
      <c r="C2459" s="63"/>
      <c r="D2459" s="64"/>
      <c r="E2459" s="65"/>
      <c r="F2459" s="66"/>
      <c r="G2459" s="63"/>
      <c r="H2459" s="67"/>
      <c r="I2459" s="68"/>
      <c r="J2459" s="68"/>
      <c r="K2459" s="32"/>
      <c r="L2459" s="75">
        <v>2459</v>
      </c>
      <c r="M2459" s="75"/>
      <c r="N2459" s="70"/>
      <c r="O2459" s="77" t="s">
        <v>802</v>
      </c>
      <c r="P2459" s="79">
        <v>45060.513645833336</v>
      </c>
      <c r="Q2459" s="77" t="s">
        <v>3236</v>
      </c>
      <c r="R2459" s="77">
        <v>0</v>
      </c>
      <c r="S2459" s="77">
        <v>1</v>
      </c>
      <c r="T2459" s="77">
        <v>0</v>
      </c>
      <c r="U2459" s="77">
        <v>0</v>
      </c>
      <c r="V2459" s="77">
        <v>5</v>
      </c>
      <c r="W2459" s="82" t="s">
        <v>6361</v>
      </c>
      <c r="X2459" s="80" t="str">
        <f>HYPERLINK("https://youtu.be/QQY4EAe9v60")</f>
        <v>https://youtu.be/QQY4EAe9v60</v>
      </c>
      <c r="Y2459" s="77" t="s">
        <v>7064</v>
      </c>
      <c r="Z2459" s="77" t="s">
        <v>731</v>
      </c>
      <c r="AA2459" s="77" t="s">
        <v>8065</v>
      </c>
      <c r="AB2459" s="77" t="s">
        <v>8225</v>
      </c>
      <c r="AC2459" s="82" t="s">
        <v>8233</v>
      </c>
      <c r="AD2459" s="77" t="s">
        <v>8278</v>
      </c>
      <c r="AE2459" s="80" t="str">
        <f>HYPERLINK("https://twitter.com/cavalachepedro/status/1657722340799651842")</f>
        <v>https://twitter.com/cavalachepedro/status/1657722340799651842</v>
      </c>
      <c r="AF2459" s="79">
        <v>45060.513645833336</v>
      </c>
      <c r="AG2459" s="85">
        <v>45060</v>
      </c>
      <c r="AH2459" s="82" t="s">
        <v>10514</v>
      </c>
      <c r="AI2459" s="77" t="b">
        <v>1</v>
      </c>
      <c r="AJ2459" s="77"/>
      <c r="AK2459" s="77"/>
      <c r="AL2459" s="77"/>
      <c r="AM2459" s="77"/>
      <c r="AN2459" s="77"/>
      <c r="AO2459" s="77"/>
      <c r="AP2459" s="77"/>
      <c r="AQ2459" s="77" t="s">
        <v>12950</v>
      </c>
      <c r="AR2459" s="77"/>
      <c r="AS2459" s="77"/>
      <c r="AT2459" s="77"/>
      <c r="AU2459" s="77"/>
      <c r="AV2459" s="80" t="str">
        <f>HYPERLINK("https://pbs.twimg.com/media/FwFprj2WIAI5naS.jpg")</f>
        <v>https://pbs.twimg.com/media/FwFprj2WIAI5naS.jpg</v>
      </c>
      <c r="AW2459" s="82" t="s">
        <v>15543</v>
      </c>
      <c r="AX2459" s="82" t="s">
        <v>15543</v>
      </c>
      <c r="AY2459" s="77"/>
      <c r="AZ2459" s="82" t="s">
        <v>17385</v>
      </c>
      <c r="BA2459" s="82" t="s">
        <v>17385</v>
      </c>
      <c r="BB2459" s="82" t="s">
        <v>17385</v>
      </c>
      <c r="BC2459" s="82" t="s">
        <v>15543</v>
      </c>
      <c r="BD2459" s="82" t="s">
        <v>17660</v>
      </c>
      <c r="BE2459" s="77"/>
      <c r="BF2459" s="77"/>
      <c r="BG2459" s="77"/>
      <c r="BH2459" s="77"/>
      <c r="BI2459" s="77"/>
    </row>
    <row r="2460" spans="1:61" x14ac:dyDescent="0.25">
      <c r="A2460" s="62" t="s">
        <v>636</v>
      </c>
      <c r="B2460" s="62" t="s">
        <v>636</v>
      </c>
      <c r="C2460" s="63"/>
      <c r="D2460" s="64"/>
      <c r="E2460" s="65"/>
      <c r="F2460" s="66"/>
      <c r="G2460" s="63"/>
      <c r="H2460" s="67"/>
      <c r="I2460" s="68"/>
      <c r="J2460" s="68"/>
      <c r="K2460" s="32"/>
      <c r="L2460" s="75">
        <v>2460</v>
      </c>
      <c r="M2460" s="75"/>
      <c r="N2460" s="70"/>
      <c r="O2460" s="77" t="s">
        <v>179</v>
      </c>
      <c r="P2460" s="79">
        <v>45072.114942129629</v>
      </c>
      <c r="Q2460" s="77" t="s">
        <v>3237</v>
      </c>
      <c r="R2460" s="77">
        <v>0</v>
      </c>
      <c r="S2460" s="77">
        <v>0</v>
      </c>
      <c r="T2460" s="77">
        <v>0</v>
      </c>
      <c r="U2460" s="77">
        <v>0</v>
      </c>
      <c r="V2460" s="77">
        <v>44</v>
      </c>
      <c r="W2460" s="82" t="s">
        <v>6362</v>
      </c>
      <c r="X2460" s="77"/>
      <c r="Y2460" s="77"/>
      <c r="Z2460" s="77"/>
      <c r="AA2460" s="77" t="s">
        <v>8066</v>
      </c>
      <c r="AB2460" s="77" t="s">
        <v>8225</v>
      </c>
      <c r="AC2460" s="82" t="s">
        <v>8234</v>
      </c>
      <c r="AD2460" s="77" t="s">
        <v>8278</v>
      </c>
      <c r="AE2460" s="80" t="str">
        <f>HYPERLINK("https://twitter.com/edu_manthis/status/1661926510566014976")</f>
        <v>https://twitter.com/edu_manthis/status/1661926510566014976</v>
      </c>
      <c r="AF2460" s="79">
        <v>45072.114942129629</v>
      </c>
      <c r="AG2460" s="85">
        <v>45072</v>
      </c>
      <c r="AH2460" s="82" t="s">
        <v>10515</v>
      </c>
      <c r="AI2460" s="77" t="b">
        <v>0</v>
      </c>
      <c r="AJ2460" s="77"/>
      <c r="AK2460" s="77"/>
      <c r="AL2460" s="77"/>
      <c r="AM2460" s="77"/>
      <c r="AN2460" s="77"/>
      <c r="AO2460" s="77"/>
      <c r="AP2460" s="77"/>
      <c r="AQ2460" s="77" t="s">
        <v>12951</v>
      </c>
      <c r="AR2460" s="77"/>
      <c r="AS2460" s="77"/>
      <c r="AT2460" s="77"/>
      <c r="AU2460" s="77"/>
      <c r="AV2460" s="80" t="str">
        <f>HYPERLINK("https://pbs.twimg.com/media/FxBZWreWYAI6y1C.jpg")</f>
        <v>https://pbs.twimg.com/media/FxBZWreWYAI6y1C.jpg</v>
      </c>
      <c r="AW2460" s="82" t="s">
        <v>15544</v>
      </c>
      <c r="AX2460" s="82" t="s">
        <v>15544</v>
      </c>
      <c r="AY2460" s="77"/>
      <c r="AZ2460" s="82" t="s">
        <v>17385</v>
      </c>
      <c r="BA2460" s="82" t="s">
        <v>17385</v>
      </c>
      <c r="BB2460" s="82" t="s">
        <v>17385</v>
      </c>
      <c r="BC2460" s="82" t="s">
        <v>15544</v>
      </c>
      <c r="BD2460" s="82" t="s">
        <v>17661</v>
      </c>
      <c r="BE2460" s="77"/>
      <c r="BF2460" s="77"/>
      <c r="BG2460" s="77"/>
      <c r="BH2460" s="77"/>
      <c r="BI2460" s="77"/>
    </row>
    <row r="2461" spans="1:61" x14ac:dyDescent="0.25">
      <c r="A2461" s="62" t="s">
        <v>637</v>
      </c>
      <c r="B2461" s="62" t="s">
        <v>637</v>
      </c>
      <c r="C2461" s="63"/>
      <c r="D2461" s="64"/>
      <c r="E2461" s="65"/>
      <c r="F2461" s="66"/>
      <c r="G2461" s="63"/>
      <c r="H2461" s="67"/>
      <c r="I2461" s="68"/>
      <c r="J2461" s="68"/>
      <c r="K2461" s="32"/>
      <c r="L2461" s="75">
        <v>2461</v>
      </c>
      <c r="M2461" s="75"/>
      <c r="N2461" s="70"/>
      <c r="O2461" s="77" t="s">
        <v>179</v>
      </c>
      <c r="P2461" s="79">
        <v>45178.478472222225</v>
      </c>
      <c r="Q2461" s="77" t="s">
        <v>3238</v>
      </c>
      <c r="R2461" s="77">
        <v>0</v>
      </c>
      <c r="S2461" s="77">
        <v>1</v>
      </c>
      <c r="T2461" s="77">
        <v>0</v>
      </c>
      <c r="U2461" s="77">
        <v>0</v>
      </c>
      <c r="V2461" s="77">
        <v>88</v>
      </c>
      <c r="W2461" s="82" t="s">
        <v>6363</v>
      </c>
      <c r="X2461" s="80" t="str">
        <f>HYPERLINK("https://youtu.be/inZekBmKQnA?si=SmBMb46REfrOCSeU")</f>
        <v>https://youtu.be/inZekBmKQnA?si=SmBMb46REfrOCSeU</v>
      </c>
      <c r="Y2461" s="77" t="s">
        <v>7064</v>
      </c>
      <c r="Z2461" s="77"/>
      <c r="AA2461" s="77"/>
      <c r="AB2461" s="77"/>
      <c r="AC2461" s="82" t="s">
        <v>8234</v>
      </c>
      <c r="AD2461" s="77" t="s">
        <v>8278</v>
      </c>
      <c r="AE2461" s="80" t="str">
        <f>HYPERLINK("https://twitter.com/joaobppsp2070/status/1700471359665496194")</f>
        <v>https://twitter.com/joaobppsp2070/status/1700471359665496194</v>
      </c>
      <c r="AF2461" s="79">
        <v>45178.478472222225</v>
      </c>
      <c r="AG2461" s="85">
        <v>45178</v>
      </c>
      <c r="AH2461" s="82" t="s">
        <v>10012</v>
      </c>
      <c r="AI2461" s="77" t="b">
        <v>0</v>
      </c>
      <c r="AJ2461" s="77"/>
      <c r="AK2461" s="77"/>
      <c r="AL2461" s="77"/>
      <c r="AM2461" s="77"/>
      <c r="AN2461" s="77"/>
      <c r="AO2461" s="77"/>
      <c r="AP2461" s="77"/>
      <c r="AQ2461" s="77"/>
      <c r="AR2461" s="77"/>
      <c r="AS2461" s="77"/>
      <c r="AT2461" s="77"/>
      <c r="AU2461" s="77"/>
      <c r="AV2461" s="80" t="str">
        <f>HYPERLINK("https://abs.twimg.com/sticky/default_profile_images/default_profile_normal.png")</f>
        <v>https://abs.twimg.com/sticky/default_profile_images/default_profile_normal.png</v>
      </c>
      <c r="AW2461" s="82" t="s">
        <v>15545</v>
      </c>
      <c r="AX2461" s="82" t="s">
        <v>15545</v>
      </c>
      <c r="AY2461" s="77"/>
      <c r="AZ2461" s="82" t="s">
        <v>17385</v>
      </c>
      <c r="BA2461" s="82" t="s">
        <v>17385</v>
      </c>
      <c r="BB2461" s="82" t="s">
        <v>17385</v>
      </c>
      <c r="BC2461" s="82" t="s">
        <v>15545</v>
      </c>
      <c r="BD2461" s="82" t="s">
        <v>17662</v>
      </c>
      <c r="BE2461" s="77"/>
      <c r="BF2461" s="77"/>
      <c r="BG2461" s="77"/>
      <c r="BH2461" s="77"/>
      <c r="BI2461" s="77"/>
    </row>
    <row r="2462" spans="1:61" x14ac:dyDescent="0.25">
      <c r="A2462" s="62" t="s">
        <v>638</v>
      </c>
      <c r="B2462" s="62" t="s">
        <v>638</v>
      </c>
      <c r="C2462" s="63"/>
      <c r="D2462" s="64"/>
      <c r="E2462" s="65"/>
      <c r="F2462" s="66"/>
      <c r="G2462" s="63"/>
      <c r="H2462" s="67"/>
      <c r="I2462" s="68"/>
      <c r="J2462" s="68"/>
      <c r="K2462" s="32"/>
      <c r="L2462" s="75">
        <v>2462</v>
      </c>
      <c r="M2462" s="75"/>
      <c r="N2462" s="70"/>
      <c r="O2462" s="77" t="s">
        <v>179</v>
      </c>
      <c r="P2462" s="79">
        <v>45129.820138888892</v>
      </c>
      <c r="Q2462" s="77" t="s">
        <v>3239</v>
      </c>
      <c r="R2462" s="77">
        <v>0</v>
      </c>
      <c r="S2462" s="77">
        <v>0</v>
      </c>
      <c r="T2462" s="77">
        <v>0</v>
      </c>
      <c r="U2462" s="77">
        <v>0</v>
      </c>
      <c r="V2462" s="77">
        <v>94</v>
      </c>
      <c r="W2462" s="82" t="s">
        <v>6364</v>
      </c>
      <c r="X2462" s="77"/>
      <c r="Y2462" s="77"/>
      <c r="Z2462" s="77"/>
      <c r="AA2462" s="77" t="s">
        <v>8067</v>
      </c>
      <c r="AB2462" s="77" t="s">
        <v>8226</v>
      </c>
      <c r="AC2462" s="82" t="s">
        <v>8234</v>
      </c>
      <c r="AD2462" s="77" t="s">
        <v>8278</v>
      </c>
      <c r="AE2462" s="80" t="str">
        <f>HYPERLINK("https://twitter.com/cebolasurf/status/1682838174140338176")</f>
        <v>https://twitter.com/cebolasurf/status/1682838174140338176</v>
      </c>
      <c r="AF2462" s="79">
        <v>45129.820138888892</v>
      </c>
      <c r="AG2462" s="85">
        <v>45129</v>
      </c>
      <c r="AH2462" s="82" t="s">
        <v>8590</v>
      </c>
      <c r="AI2462" s="77" t="b">
        <v>0</v>
      </c>
      <c r="AJ2462" s="77"/>
      <c r="AK2462" s="77"/>
      <c r="AL2462" s="77"/>
      <c r="AM2462" s="77"/>
      <c r="AN2462" s="77"/>
      <c r="AO2462" s="77"/>
      <c r="AP2462" s="77"/>
      <c r="AQ2462" s="77" t="s">
        <v>12952</v>
      </c>
      <c r="AR2462" s="77"/>
      <c r="AS2462" s="77"/>
      <c r="AT2462" s="77"/>
      <c r="AU2462" s="77"/>
      <c r="AV2462" s="80" t="str">
        <f>HYPERLINK("https://pbs.twimg.com/media/F1qkZOgXgAI6RYu.jpg")</f>
        <v>https://pbs.twimg.com/media/F1qkZOgXgAI6RYu.jpg</v>
      </c>
      <c r="AW2462" s="82" t="s">
        <v>15546</v>
      </c>
      <c r="AX2462" s="82" t="s">
        <v>15546</v>
      </c>
      <c r="AY2462" s="77"/>
      <c r="AZ2462" s="82" t="s">
        <v>17385</v>
      </c>
      <c r="BA2462" s="82" t="s">
        <v>17385</v>
      </c>
      <c r="BB2462" s="82" t="s">
        <v>17385</v>
      </c>
      <c r="BC2462" s="82" t="s">
        <v>15546</v>
      </c>
      <c r="BD2462" s="82" t="s">
        <v>17663</v>
      </c>
      <c r="BE2462" s="77"/>
      <c r="BF2462" s="77"/>
      <c r="BG2462" s="77"/>
      <c r="BH2462" s="77"/>
      <c r="BI2462" s="77"/>
    </row>
    <row r="2463" spans="1:61" x14ac:dyDescent="0.25">
      <c r="A2463" s="62" t="s">
        <v>639</v>
      </c>
      <c r="B2463" s="62" t="s">
        <v>639</v>
      </c>
      <c r="C2463" s="63"/>
      <c r="D2463" s="64"/>
      <c r="E2463" s="65"/>
      <c r="F2463" s="66"/>
      <c r="G2463" s="63"/>
      <c r="H2463" s="67"/>
      <c r="I2463" s="68"/>
      <c r="J2463" s="68"/>
      <c r="K2463" s="32"/>
      <c r="L2463" s="75">
        <v>2463</v>
      </c>
      <c r="M2463" s="75"/>
      <c r="N2463" s="70"/>
      <c r="O2463" s="77" t="s">
        <v>179</v>
      </c>
      <c r="P2463" s="79">
        <v>45115.092037037037</v>
      </c>
      <c r="Q2463" s="77" t="s">
        <v>3240</v>
      </c>
      <c r="R2463" s="77">
        <v>1</v>
      </c>
      <c r="S2463" s="77">
        <v>0</v>
      </c>
      <c r="T2463" s="77">
        <v>0</v>
      </c>
      <c r="U2463" s="77">
        <v>0</v>
      </c>
      <c r="V2463" s="77">
        <v>21</v>
      </c>
      <c r="W2463" s="82" t="s">
        <v>4835</v>
      </c>
      <c r="X2463" s="80" t="str">
        <f>HYPERLINK("http://expressopb.net/?p=269386")</f>
        <v>http://expressopb.net/?p=269386</v>
      </c>
      <c r="Y2463" s="77" t="s">
        <v>7139</v>
      </c>
      <c r="Z2463" s="77"/>
      <c r="AA2463" s="77" t="s">
        <v>8068</v>
      </c>
      <c r="AB2463" s="77" t="s">
        <v>8225</v>
      </c>
      <c r="AC2463" s="82" t="s">
        <v>8243</v>
      </c>
      <c r="AD2463" s="77" t="s">
        <v>8278</v>
      </c>
      <c r="AE2463" s="80" t="str">
        <f>HYPERLINK("https://twitter.com/expressopb/status/1677500888078745601")</f>
        <v>https://twitter.com/expressopb/status/1677500888078745601</v>
      </c>
      <c r="AF2463" s="79">
        <v>45115.092037037037</v>
      </c>
      <c r="AG2463" s="85">
        <v>45115</v>
      </c>
      <c r="AH2463" s="82" t="s">
        <v>10516</v>
      </c>
      <c r="AI2463" s="77" t="b">
        <v>0</v>
      </c>
      <c r="AJ2463" s="77"/>
      <c r="AK2463" s="77"/>
      <c r="AL2463" s="77"/>
      <c r="AM2463" s="77"/>
      <c r="AN2463" s="77"/>
      <c r="AO2463" s="77"/>
      <c r="AP2463" s="77"/>
      <c r="AQ2463" s="77" t="s">
        <v>12953</v>
      </c>
      <c r="AR2463" s="77"/>
      <c r="AS2463" s="77"/>
      <c r="AT2463" s="77"/>
      <c r="AU2463" s="77"/>
      <c r="AV2463" s="80" t="str">
        <f>HYPERLINK("https://pbs.twimg.com/media/F0euKxwWAAEYso5.jpg")</f>
        <v>https://pbs.twimg.com/media/F0euKxwWAAEYso5.jpg</v>
      </c>
      <c r="AW2463" s="82" t="s">
        <v>15547</v>
      </c>
      <c r="AX2463" s="82" t="s">
        <v>15547</v>
      </c>
      <c r="AY2463" s="77"/>
      <c r="AZ2463" s="82" t="s">
        <v>17385</v>
      </c>
      <c r="BA2463" s="82" t="s">
        <v>17385</v>
      </c>
      <c r="BB2463" s="82" t="s">
        <v>17385</v>
      </c>
      <c r="BC2463" s="82" t="s">
        <v>15547</v>
      </c>
      <c r="BD2463" s="77">
        <v>60418599</v>
      </c>
      <c r="BE2463" s="77"/>
      <c r="BF2463" s="77"/>
      <c r="BG2463" s="77"/>
      <c r="BH2463" s="77"/>
      <c r="BI2463" s="77"/>
    </row>
    <row r="2464" spans="1:61" x14ac:dyDescent="0.25">
      <c r="A2464" s="62" t="s">
        <v>639</v>
      </c>
      <c r="B2464" s="62" t="s">
        <v>639</v>
      </c>
      <c r="C2464" s="63"/>
      <c r="D2464" s="64"/>
      <c r="E2464" s="65"/>
      <c r="F2464" s="66"/>
      <c r="G2464" s="63"/>
      <c r="H2464" s="67"/>
      <c r="I2464" s="68"/>
      <c r="J2464" s="68"/>
      <c r="K2464" s="32"/>
      <c r="L2464" s="75">
        <v>2464</v>
      </c>
      <c r="M2464" s="75"/>
      <c r="N2464" s="70"/>
      <c r="O2464" s="77" t="s">
        <v>179</v>
      </c>
      <c r="P2464" s="79">
        <v>45114.967002314814</v>
      </c>
      <c r="Q2464" s="77" t="s">
        <v>3241</v>
      </c>
      <c r="R2464" s="77">
        <v>0</v>
      </c>
      <c r="S2464" s="77">
        <v>0</v>
      </c>
      <c r="T2464" s="77">
        <v>0</v>
      </c>
      <c r="U2464" s="77">
        <v>0</v>
      </c>
      <c r="V2464" s="77">
        <v>15</v>
      </c>
      <c r="W2464" s="82" t="s">
        <v>4835</v>
      </c>
      <c r="X2464" s="80" t="str">
        <f>HYPERLINK("https://expressopb.net/2023/07/07/gestao-de-joyce-em-duas-estradas-esta-empenhada-para-conquistar-selo-unicef/")</f>
        <v>https://expressopb.net/2023/07/07/gestao-de-joyce-em-duas-estradas-esta-empenhada-para-conquistar-selo-unicef/</v>
      </c>
      <c r="Y2464" s="77" t="s">
        <v>7139</v>
      </c>
      <c r="Z2464" s="77"/>
      <c r="AA2464" s="77" t="s">
        <v>8069</v>
      </c>
      <c r="AB2464" s="77" t="s">
        <v>8225</v>
      </c>
      <c r="AC2464" s="82" t="s">
        <v>8243</v>
      </c>
      <c r="AD2464" s="77" t="s">
        <v>8278</v>
      </c>
      <c r="AE2464" s="80" t="str">
        <f>HYPERLINK("https://twitter.com/expressopb/status/1677455574282260481")</f>
        <v>https://twitter.com/expressopb/status/1677455574282260481</v>
      </c>
      <c r="AF2464" s="79">
        <v>45114.967002314814</v>
      </c>
      <c r="AG2464" s="85">
        <v>45114</v>
      </c>
      <c r="AH2464" s="82" t="s">
        <v>10517</v>
      </c>
      <c r="AI2464" s="77" t="b">
        <v>0</v>
      </c>
      <c r="AJ2464" s="77"/>
      <c r="AK2464" s="77"/>
      <c r="AL2464" s="77"/>
      <c r="AM2464" s="77"/>
      <c r="AN2464" s="77"/>
      <c r="AO2464" s="77"/>
      <c r="AP2464" s="77"/>
      <c r="AQ2464" s="77" t="s">
        <v>12954</v>
      </c>
      <c r="AR2464" s="77"/>
      <c r="AS2464" s="77"/>
      <c r="AT2464" s="77"/>
      <c r="AU2464" s="77"/>
      <c r="AV2464" s="80" t="str">
        <f>HYPERLINK("https://pbs.twimg.com/media/F0eE9LUX0AAu4DK.jpg")</f>
        <v>https://pbs.twimg.com/media/F0eE9LUX0AAu4DK.jpg</v>
      </c>
      <c r="AW2464" s="82" t="s">
        <v>15548</v>
      </c>
      <c r="AX2464" s="82" t="s">
        <v>15548</v>
      </c>
      <c r="AY2464" s="77"/>
      <c r="AZ2464" s="82" t="s">
        <v>17385</v>
      </c>
      <c r="BA2464" s="82" t="s">
        <v>17385</v>
      </c>
      <c r="BB2464" s="82" t="s">
        <v>17385</v>
      </c>
      <c r="BC2464" s="82" t="s">
        <v>15548</v>
      </c>
      <c r="BD2464" s="77">
        <v>60418599</v>
      </c>
      <c r="BE2464" s="77"/>
      <c r="BF2464" s="77"/>
      <c r="BG2464" s="77"/>
      <c r="BH2464" s="77"/>
      <c r="BI2464" s="77"/>
    </row>
    <row r="2465" spans="1:61" x14ac:dyDescent="0.25">
      <c r="A2465" s="62" t="s">
        <v>640</v>
      </c>
      <c r="B2465" s="62" t="s">
        <v>640</v>
      </c>
      <c r="C2465" s="63"/>
      <c r="D2465" s="64"/>
      <c r="E2465" s="65"/>
      <c r="F2465" s="66"/>
      <c r="G2465" s="63"/>
      <c r="H2465" s="67"/>
      <c r="I2465" s="68"/>
      <c r="J2465" s="68"/>
      <c r="K2465" s="32"/>
      <c r="L2465" s="75">
        <v>2465</v>
      </c>
      <c r="M2465" s="75"/>
      <c r="N2465" s="70"/>
      <c r="O2465" s="77" t="s">
        <v>179</v>
      </c>
      <c r="P2465" s="79">
        <v>45090.003078703703</v>
      </c>
      <c r="Q2465" s="77" t="s">
        <v>3242</v>
      </c>
      <c r="R2465" s="77">
        <v>0</v>
      </c>
      <c r="S2465" s="77">
        <v>0</v>
      </c>
      <c r="T2465" s="77">
        <v>3</v>
      </c>
      <c r="U2465" s="77">
        <v>0</v>
      </c>
      <c r="V2465" s="77">
        <v>76</v>
      </c>
      <c r="W2465" s="82" t="s">
        <v>6365</v>
      </c>
      <c r="X2465" s="80" t="str">
        <f>HYPERLINK("https://bit.ly/dominando_grafico")</f>
        <v>https://bit.ly/dominando_grafico</v>
      </c>
      <c r="Y2465" s="77" t="s">
        <v>7063</v>
      </c>
      <c r="Z2465" s="77"/>
      <c r="AA2465" s="77" t="s">
        <v>8070</v>
      </c>
      <c r="AB2465" s="77" t="s">
        <v>8227</v>
      </c>
      <c r="AC2465" s="82" t="s">
        <v>8232</v>
      </c>
      <c r="AD2465" s="77" t="s">
        <v>8278</v>
      </c>
      <c r="AE2465" s="80" t="str">
        <f>HYPERLINK("https://twitter.com/sef_multi/status/1668408953095483395")</f>
        <v>https://twitter.com/sef_multi/status/1668408953095483395</v>
      </c>
      <c r="AF2465" s="79">
        <v>45090.003078703703</v>
      </c>
      <c r="AG2465" s="85">
        <v>45090</v>
      </c>
      <c r="AH2465" s="82" t="s">
        <v>10518</v>
      </c>
      <c r="AI2465" s="77" t="b">
        <v>0</v>
      </c>
      <c r="AJ2465" s="77"/>
      <c r="AK2465" s="77"/>
      <c r="AL2465" s="77"/>
      <c r="AM2465" s="77"/>
      <c r="AN2465" s="77"/>
      <c r="AO2465" s="77"/>
      <c r="AP2465" s="77"/>
      <c r="AQ2465" s="77" t="s">
        <v>12955</v>
      </c>
      <c r="AR2465" s="77">
        <v>22166</v>
      </c>
      <c r="AS2465" s="77"/>
      <c r="AT2465" s="77"/>
      <c r="AU2465" s="77"/>
      <c r="AV2465" s="80" t="str">
        <f>HYPERLINK("https://pbs.twimg.com/ext_tw_video_thumb/1668408508629254146/pu/img/_oZYav0APz0uGXJq.jpg")</f>
        <v>https://pbs.twimg.com/ext_tw_video_thumb/1668408508629254146/pu/img/_oZYav0APz0uGXJq.jpg</v>
      </c>
      <c r="AW2465" s="82" t="s">
        <v>15549</v>
      </c>
      <c r="AX2465" s="82" t="s">
        <v>15549</v>
      </c>
      <c r="AY2465" s="77"/>
      <c r="AZ2465" s="82" t="s">
        <v>17385</v>
      </c>
      <c r="BA2465" s="82" t="s">
        <v>17385</v>
      </c>
      <c r="BB2465" s="82" t="s">
        <v>17385</v>
      </c>
      <c r="BC2465" s="82" t="s">
        <v>15549</v>
      </c>
      <c r="BD2465" s="82" t="s">
        <v>17664</v>
      </c>
      <c r="BE2465" s="77"/>
      <c r="BF2465" s="77"/>
      <c r="BG2465" s="77"/>
      <c r="BH2465" s="77"/>
      <c r="BI2465" s="77"/>
    </row>
    <row r="2466" spans="1:61" x14ac:dyDescent="0.25">
      <c r="A2466" s="62" t="s">
        <v>640</v>
      </c>
      <c r="B2466" s="62" t="s">
        <v>640</v>
      </c>
      <c r="C2466" s="63"/>
      <c r="D2466" s="64"/>
      <c r="E2466" s="65"/>
      <c r="F2466" s="66"/>
      <c r="G2466" s="63"/>
      <c r="H2466" s="67"/>
      <c r="I2466" s="68"/>
      <c r="J2466" s="68"/>
      <c r="K2466" s="32"/>
      <c r="L2466" s="75">
        <v>2466</v>
      </c>
      <c r="M2466" s="75"/>
      <c r="N2466" s="70"/>
      <c r="O2466" s="77" t="s">
        <v>179</v>
      </c>
      <c r="P2466" s="79">
        <v>45087.128078703703</v>
      </c>
      <c r="Q2466" s="77" t="s">
        <v>3243</v>
      </c>
      <c r="R2466" s="77">
        <v>0</v>
      </c>
      <c r="S2466" s="77">
        <v>2</v>
      </c>
      <c r="T2466" s="77">
        <v>2</v>
      </c>
      <c r="U2466" s="77">
        <v>0</v>
      </c>
      <c r="V2466" s="77">
        <v>119</v>
      </c>
      <c r="W2466" s="82" t="s">
        <v>6366</v>
      </c>
      <c r="X2466" s="80" t="str">
        <f>HYPERLINK("https://bit.ly/dominando_grafico")</f>
        <v>https://bit.ly/dominando_grafico</v>
      </c>
      <c r="Y2466" s="77" t="s">
        <v>7063</v>
      </c>
      <c r="Z2466" s="77"/>
      <c r="AA2466" s="77" t="s">
        <v>8071</v>
      </c>
      <c r="AB2466" s="77" t="s">
        <v>8227</v>
      </c>
      <c r="AC2466" s="82" t="s">
        <v>8232</v>
      </c>
      <c r="AD2466" s="77" t="s">
        <v>8278</v>
      </c>
      <c r="AE2466" s="80" t="str">
        <f>HYPERLINK("https://twitter.com/sef_multi/status/1667367088921407490")</f>
        <v>https://twitter.com/sef_multi/status/1667367088921407490</v>
      </c>
      <c r="AF2466" s="79">
        <v>45087.128078703703</v>
      </c>
      <c r="AG2466" s="85">
        <v>45087</v>
      </c>
      <c r="AH2466" s="82" t="s">
        <v>10519</v>
      </c>
      <c r="AI2466" s="77" t="b">
        <v>0</v>
      </c>
      <c r="AJ2466" s="77"/>
      <c r="AK2466" s="77"/>
      <c r="AL2466" s="77"/>
      <c r="AM2466" s="77"/>
      <c r="AN2466" s="77"/>
      <c r="AO2466" s="77"/>
      <c r="AP2466" s="77"/>
      <c r="AQ2466" s="77" t="s">
        <v>12956</v>
      </c>
      <c r="AR2466" s="77">
        <v>58665</v>
      </c>
      <c r="AS2466" s="77"/>
      <c r="AT2466" s="77"/>
      <c r="AU2466" s="77"/>
      <c r="AV2466" s="80" t="str">
        <f>HYPERLINK("https://pbs.twimg.com/ext_tw_video_thumb/1667365918916083712/pu/img/hYKImNDsW_LJB2S4.jpg")</f>
        <v>https://pbs.twimg.com/ext_tw_video_thumb/1667365918916083712/pu/img/hYKImNDsW_LJB2S4.jpg</v>
      </c>
      <c r="AW2466" s="82" t="s">
        <v>15550</v>
      </c>
      <c r="AX2466" s="82" t="s">
        <v>15550</v>
      </c>
      <c r="AY2466" s="77"/>
      <c r="AZ2466" s="82" t="s">
        <v>17385</v>
      </c>
      <c r="BA2466" s="82" t="s">
        <v>17385</v>
      </c>
      <c r="BB2466" s="82" t="s">
        <v>17385</v>
      </c>
      <c r="BC2466" s="82" t="s">
        <v>15550</v>
      </c>
      <c r="BD2466" s="82" t="s">
        <v>17664</v>
      </c>
      <c r="BE2466" s="77"/>
      <c r="BF2466" s="77"/>
      <c r="BG2466" s="77"/>
      <c r="BH2466" s="77"/>
      <c r="BI2466" s="77"/>
    </row>
    <row r="2467" spans="1:61" x14ac:dyDescent="0.25">
      <c r="A2467" s="62" t="s">
        <v>641</v>
      </c>
      <c r="B2467" s="62" t="s">
        <v>641</v>
      </c>
      <c r="C2467" s="63"/>
      <c r="D2467" s="64"/>
      <c r="E2467" s="65"/>
      <c r="F2467" s="66"/>
      <c r="G2467" s="63"/>
      <c r="H2467" s="67"/>
      <c r="I2467" s="68"/>
      <c r="J2467" s="68"/>
      <c r="K2467" s="32"/>
      <c r="L2467" s="75">
        <v>2467</v>
      </c>
      <c r="M2467" s="75"/>
      <c r="N2467" s="70"/>
      <c r="O2467" s="77" t="s">
        <v>179</v>
      </c>
      <c r="P2467" s="79">
        <v>45137.689409722225</v>
      </c>
      <c r="Q2467" s="77" t="s">
        <v>3244</v>
      </c>
      <c r="R2467" s="77">
        <v>3</v>
      </c>
      <c r="S2467" s="77">
        <v>30</v>
      </c>
      <c r="T2467" s="77">
        <v>4</v>
      </c>
      <c r="U2467" s="77">
        <v>0</v>
      </c>
      <c r="V2467" s="77">
        <v>14543</v>
      </c>
      <c r="W2467" s="82" t="s">
        <v>6367</v>
      </c>
      <c r="X2467" s="77"/>
      <c r="Y2467" s="77"/>
      <c r="Z2467" s="77"/>
      <c r="AA2467" s="77" t="s">
        <v>8072</v>
      </c>
      <c r="AB2467" s="77" t="s">
        <v>8225</v>
      </c>
      <c r="AC2467" s="82" t="s">
        <v>8233</v>
      </c>
      <c r="AD2467" s="77" t="s">
        <v>8278</v>
      </c>
      <c r="AE2467" s="80" t="str">
        <f>HYPERLINK("https://twitter.com/dicadehoje7/status/1685689902162165760")</f>
        <v>https://twitter.com/dicadehoje7/status/1685689902162165760</v>
      </c>
      <c r="AF2467" s="79">
        <v>45137.689409722225</v>
      </c>
      <c r="AG2467" s="85">
        <v>45137</v>
      </c>
      <c r="AH2467" s="82" t="s">
        <v>9951</v>
      </c>
      <c r="AI2467" s="77" t="b">
        <v>0</v>
      </c>
      <c r="AJ2467" s="77"/>
      <c r="AK2467" s="77"/>
      <c r="AL2467" s="77"/>
      <c r="AM2467" s="77"/>
      <c r="AN2467" s="77"/>
      <c r="AO2467" s="77"/>
      <c r="AP2467" s="77"/>
      <c r="AQ2467" s="77" t="s">
        <v>12957</v>
      </c>
      <c r="AR2467" s="77"/>
      <c r="AS2467" s="77"/>
      <c r="AT2467" s="77"/>
      <c r="AU2467" s="77"/>
      <c r="AV2467" s="80" t="str">
        <f>HYPERLINK("https://pbs.twimg.com/media/F2TGCBnWAAEU0A_.jpg")</f>
        <v>https://pbs.twimg.com/media/F2TGCBnWAAEU0A_.jpg</v>
      </c>
      <c r="AW2467" s="82" t="s">
        <v>15551</v>
      </c>
      <c r="AX2467" s="82" t="s">
        <v>15551</v>
      </c>
      <c r="AY2467" s="77"/>
      <c r="AZ2467" s="82" t="s">
        <v>17385</v>
      </c>
      <c r="BA2467" s="82" t="s">
        <v>17385</v>
      </c>
      <c r="BB2467" s="82" t="s">
        <v>17385</v>
      </c>
      <c r="BC2467" s="82" t="s">
        <v>15551</v>
      </c>
      <c r="BD2467" s="82" t="s">
        <v>17665</v>
      </c>
      <c r="BE2467" s="77"/>
      <c r="BF2467" s="77"/>
      <c r="BG2467" s="77"/>
      <c r="BH2467" s="77"/>
      <c r="BI2467" s="77"/>
    </row>
    <row r="2468" spans="1:61" x14ac:dyDescent="0.25">
      <c r="A2468" s="62" t="s">
        <v>642</v>
      </c>
      <c r="B2468" s="62" t="s">
        <v>642</v>
      </c>
      <c r="C2468" s="63"/>
      <c r="D2468" s="64"/>
      <c r="E2468" s="65"/>
      <c r="F2468" s="66"/>
      <c r="G2468" s="63"/>
      <c r="H2468" s="67"/>
      <c r="I2468" s="68"/>
      <c r="J2468" s="68"/>
      <c r="K2468" s="32"/>
      <c r="L2468" s="75">
        <v>2468</v>
      </c>
      <c r="M2468" s="75"/>
      <c r="N2468" s="70"/>
      <c r="O2468" s="77" t="s">
        <v>179</v>
      </c>
      <c r="P2468" s="79">
        <v>45044.52820601852</v>
      </c>
      <c r="Q2468" s="77" t="s">
        <v>3245</v>
      </c>
      <c r="R2468" s="77">
        <v>0</v>
      </c>
      <c r="S2468" s="77">
        <v>1</v>
      </c>
      <c r="T2468" s="77">
        <v>0</v>
      </c>
      <c r="U2468" s="77">
        <v>0</v>
      </c>
      <c r="V2468" s="77">
        <v>283</v>
      </c>
      <c r="W2468" s="82" t="s">
        <v>6368</v>
      </c>
      <c r="X2468" s="77"/>
      <c r="Y2468" s="77"/>
      <c r="Z2468" s="77"/>
      <c r="AA2468" s="77" t="s">
        <v>8073</v>
      </c>
      <c r="AB2468" s="77" t="s">
        <v>8225</v>
      </c>
      <c r="AC2468" s="82" t="s">
        <v>8235</v>
      </c>
      <c r="AD2468" s="77" t="s">
        <v>8278</v>
      </c>
      <c r="AE2468" s="80" t="str">
        <f>HYPERLINK("https://twitter.com/smartbrain_br/status/1651929412126867458")</f>
        <v>https://twitter.com/smartbrain_br/status/1651929412126867458</v>
      </c>
      <c r="AF2468" s="79">
        <v>45044.52820601852</v>
      </c>
      <c r="AG2468" s="85">
        <v>45044</v>
      </c>
      <c r="AH2468" s="82" t="s">
        <v>10520</v>
      </c>
      <c r="AI2468" s="77" t="b">
        <v>0</v>
      </c>
      <c r="AJ2468" s="77"/>
      <c r="AK2468" s="77"/>
      <c r="AL2468" s="77"/>
      <c r="AM2468" s="77"/>
      <c r="AN2468" s="77"/>
      <c r="AO2468" s="77"/>
      <c r="AP2468" s="77"/>
      <c r="AQ2468" s="77" t="s">
        <v>12958</v>
      </c>
      <c r="AR2468" s="77"/>
      <c r="AS2468" s="77"/>
      <c r="AT2468" s="77"/>
      <c r="AU2468" s="77"/>
      <c r="AV2468" s="80" t="str">
        <f>HYPERLINK("https://pbs.twimg.com/media/FuzVC8CXgAE5h50.jpg")</f>
        <v>https://pbs.twimg.com/media/FuzVC8CXgAE5h50.jpg</v>
      </c>
      <c r="AW2468" s="82" t="s">
        <v>15552</v>
      </c>
      <c r="AX2468" s="82" t="s">
        <v>15552</v>
      </c>
      <c r="AY2468" s="77"/>
      <c r="AZ2468" s="82" t="s">
        <v>17385</v>
      </c>
      <c r="BA2468" s="82" t="s">
        <v>17385</v>
      </c>
      <c r="BB2468" s="82" t="s">
        <v>17385</v>
      </c>
      <c r="BC2468" s="82" t="s">
        <v>15552</v>
      </c>
      <c r="BD2468" s="82" t="s">
        <v>17666</v>
      </c>
      <c r="BE2468" s="77"/>
      <c r="BF2468" s="77"/>
      <c r="BG2468" s="77"/>
      <c r="BH2468" s="77"/>
      <c r="BI2468" s="77"/>
    </row>
    <row r="2469" spans="1:61" x14ac:dyDescent="0.25">
      <c r="A2469" s="62" t="s">
        <v>642</v>
      </c>
      <c r="B2469" s="62" t="s">
        <v>642</v>
      </c>
      <c r="C2469" s="63"/>
      <c r="D2469" s="64"/>
      <c r="E2469" s="65"/>
      <c r="F2469" s="66"/>
      <c r="G2469" s="63"/>
      <c r="H2469" s="67"/>
      <c r="I2469" s="68"/>
      <c r="J2469" s="68"/>
      <c r="K2469" s="32"/>
      <c r="L2469" s="75">
        <v>2469</v>
      </c>
      <c r="M2469" s="75"/>
      <c r="N2469" s="70"/>
      <c r="O2469" s="77" t="s">
        <v>179</v>
      </c>
      <c r="P2469" s="79">
        <v>45097.833912037036</v>
      </c>
      <c r="Q2469" s="77" t="s">
        <v>3246</v>
      </c>
      <c r="R2469" s="77">
        <v>0</v>
      </c>
      <c r="S2469" s="77">
        <v>0</v>
      </c>
      <c r="T2469" s="77">
        <v>0</v>
      </c>
      <c r="U2469" s="77">
        <v>0</v>
      </c>
      <c r="V2469" s="77">
        <v>27</v>
      </c>
      <c r="W2469" s="82" t="s">
        <v>6369</v>
      </c>
      <c r="X2469" s="77"/>
      <c r="Y2469" s="77"/>
      <c r="Z2469" s="77"/>
      <c r="AA2469" s="77" t="s">
        <v>8074</v>
      </c>
      <c r="AB2469" s="77" t="s">
        <v>8225</v>
      </c>
      <c r="AC2469" s="82" t="s">
        <v>8235</v>
      </c>
      <c r="AD2469" s="77" t="s">
        <v>8278</v>
      </c>
      <c r="AE2469" s="80" t="str">
        <f>HYPERLINK("https://twitter.com/smartbrain_br/status/1671246750735007747")</f>
        <v>https://twitter.com/smartbrain_br/status/1671246750735007747</v>
      </c>
      <c r="AF2469" s="79">
        <v>45097.833912037036</v>
      </c>
      <c r="AG2469" s="85">
        <v>45097</v>
      </c>
      <c r="AH2469" s="82" t="s">
        <v>10521</v>
      </c>
      <c r="AI2469" s="77" t="b">
        <v>0</v>
      </c>
      <c r="AJ2469" s="77"/>
      <c r="AK2469" s="77"/>
      <c r="AL2469" s="77"/>
      <c r="AM2469" s="77"/>
      <c r="AN2469" s="77"/>
      <c r="AO2469" s="77"/>
      <c r="AP2469" s="77"/>
      <c r="AQ2469" s="77" t="s">
        <v>12959</v>
      </c>
      <c r="AR2469" s="77"/>
      <c r="AS2469" s="77"/>
      <c r="AT2469" s="77"/>
      <c r="AU2469" s="77"/>
      <c r="AV2469" s="80" t="str">
        <f>HYPERLINK("https://pbs.twimg.com/media/FzF2EEcX0AEcszx.jpg")</f>
        <v>https://pbs.twimg.com/media/FzF2EEcX0AEcszx.jpg</v>
      </c>
      <c r="AW2469" s="82" t="s">
        <v>15553</v>
      </c>
      <c r="AX2469" s="82" t="s">
        <v>15553</v>
      </c>
      <c r="AY2469" s="77"/>
      <c r="AZ2469" s="82" t="s">
        <v>17385</v>
      </c>
      <c r="BA2469" s="82" t="s">
        <v>17385</v>
      </c>
      <c r="BB2469" s="82" t="s">
        <v>17385</v>
      </c>
      <c r="BC2469" s="82" t="s">
        <v>15553</v>
      </c>
      <c r="BD2469" s="82" t="s">
        <v>17666</v>
      </c>
      <c r="BE2469" s="77"/>
      <c r="BF2469" s="77"/>
      <c r="BG2469" s="77"/>
      <c r="BH2469" s="77"/>
      <c r="BI2469" s="77"/>
    </row>
    <row r="2470" spans="1:61" x14ac:dyDescent="0.25">
      <c r="A2470" s="62" t="s">
        <v>642</v>
      </c>
      <c r="B2470" s="62" t="s">
        <v>642</v>
      </c>
      <c r="C2470" s="63"/>
      <c r="D2470" s="64"/>
      <c r="E2470" s="65"/>
      <c r="F2470" s="66"/>
      <c r="G2470" s="63"/>
      <c r="H2470" s="67"/>
      <c r="I2470" s="68"/>
      <c r="J2470" s="68"/>
      <c r="K2470" s="32"/>
      <c r="L2470" s="75">
        <v>2470</v>
      </c>
      <c r="M2470" s="75"/>
      <c r="N2470" s="70"/>
      <c r="O2470" s="77" t="s">
        <v>179</v>
      </c>
      <c r="P2470" s="79">
        <v>45059.625543981485</v>
      </c>
      <c r="Q2470" s="77" t="s">
        <v>3247</v>
      </c>
      <c r="R2470" s="77">
        <v>0</v>
      </c>
      <c r="S2470" s="77">
        <v>0</v>
      </c>
      <c r="T2470" s="77">
        <v>0</v>
      </c>
      <c r="U2470" s="77">
        <v>0</v>
      </c>
      <c r="V2470" s="77">
        <v>27</v>
      </c>
      <c r="W2470" s="82" t="s">
        <v>6370</v>
      </c>
      <c r="X2470" s="80" t="str">
        <f>HYPERLINK("https://carteiras.smartbrain.com.br/big-data")</f>
        <v>https://carteiras.smartbrain.com.br/big-data</v>
      </c>
      <c r="Y2470" s="77" t="s">
        <v>7053</v>
      </c>
      <c r="Z2470" s="77"/>
      <c r="AA2470" s="77" t="s">
        <v>8075</v>
      </c>
      <c r="AB2470" s="77" t="s">
        <v>8225</v>
      </c>
      <c r="AC2470" s="82" t="s">
        <v>8235</v>
      </c>
      <c r="AD2470" s="77" t="s">
        <v>8278</v>
      </c>
      <c r="AE2470" s="80" t="str">
        <f>HYPERLINK("https://twitter.com/smartbrain_br/status/1657400503347683330")</f>
        <v>https://twitter.com/smartbrain_br/status/1657400503347683330</v>
      </c>
      <c r="AF2470" s="79">
        <v>45059.625543981485</v>
      </c>
      <c r="AG2470" s="85">
        <v>45059</v>
      </c>
      <c r="AH2470" s="82" t="s">
        <v>10522</v>
      </c>
      <c r="AI2470" s="77" t="b">
        <v>0</v>
      </c>
      <c r="AJ2470" s="77"/>
      <c r="AK2470" s="77"/>
      <c r="AL2470" s="77"/>
      <c r="AM2470" s="77"/>
      <c r="AN2470" s="77"/>
      <c r="AO2470" s="77"/>
      <c r="AP2470" s="77"/>
      <c r="AQ2470" s="77" t="s">
        <v>12960</v>
      </c>
      <c r="AR2470" s="77"/>
      <c r="AS2470" s="77"/>
      <c r="AT2470" s="77"/>
      <c r="AU2470" s="77"/>
      <c r="AV2470" s="80" t="str">
        <f>HYPERLINK("https://pbs.twimg.com/media/FwBE-XLWYAALhLI.jpg")</f>
        <v>https://pbs.twimg.com/media/FwBE-XLWYAALhLI.jpg</v>
      </c>
      <c r="AW2470" s="82" t="s">
        <v>15554</v>
      </c>
      <c r="AX2470" s="82" t="s">
        <v>15554</v>
      </c>
      <c r="AY2470" s="77"/>
      <c r="AZ2470" s="82" t="s">
        <v>17385</v>
      </c>
      <c r="BA2470" s="82" t="s">
        <v>17385</v>
      </c>
      <c r="BB2470" s="82" t="s">
        <v>17385</v>
      </c>
      <c r="BC2470" s="82" t="s">
        <v>15554</v>
      </c>
      <c r="BD2470" s="82" t="s">
        <v>17666</v>
      </c>
      <c r="BE2470" s="77"/>
      <c r="BF2470" s="77"/>
      <c r="BG2470" s="77"/>
      <c r="BH2470" s="77"/>
      <c r="BI2470" s="77"/>
    </row>
    <row r="2471" spans="1:61" x14ac:dyDescent="0.25">
      <c r="A2471" s="62" t="s">
        <v>642</v>
      </c>
      <c r="B2471" s="62" t="s">
        <v>642</v>
      </c>
      <c r="C2471" s="63"/>
      <c r="D2471" s="64"/>
      <c r="E2471" s="65"/>
      <c r="F2471" s="66"/>
      <c r="G2471" s="63"/>
      <c r="H2471" s="67"/>
      <c r="I2471" s="68"/>
      <c r="J2471" s="68"/>
      <c r="K2471" s="32"/>
      <c r="L2471" s="75">
        <v>2471</v>
      </c>
      <c r="M2471" s="75"/>
      <c r="N2471" s="70"/>
      <c r="O2471" s="77" t="s">
        <v>179</v>
      </c>
      <c r="P2471" s="79">
        <v>45058.66715277778</v>
      </c>
      <c r="Q2471" s="77" t="s">
        <v>3248</v>
      </c>
      <c r="R2471" s="77">
        <v>0</v>
      </c>
      <c r="S2471" s="77">
        <v>0</v>
      </c>
      <c r="T2471" s="77">
        <v>0</v>
      </c>
      <c r="U2471" s="77">
        <v>0</v>
      </c>
      <c r="V2471" s="77">
        <v>24</v>
      </c>
      <c r="W2471" s="82" t="s">
        <v>6371</v>
      </c>
      <c r="X2471" s="80" t="str">
        <f>HYPERLINK("https://carteiras.smartbrain.com.br/big-data")</f>
        <v>https://carteiras.smartbrain.com.br/big-data</v>
      </c>
      <c r="Y2471" s="77" t="s">
        <v>7053</v>
      </c>
      <c r="Z2471" s="77"/>
      <c r="AA2471" s="77" t="s">
        <v>8076</v>
      </c>
      <c r="AB2471" s="77" t="s">
        <v>8225</v>
      </c>
      <c r="AC2471" s="82" t="s">
        <v>8235</v>
      </c>
      <c r="AD2471" s="77" t="s">
        <v>8278</v>
      </c>
      <c r="AE2471" s="80" t="str">
        <f>HYPERLINK("https://twitter.com/smartbrain_br/status/1657053191572275201")</f>
        <v>https://twitter.com/smartbrain_br/status/1657053191572275201</v>
      </c>
      <c r="AF2471" s="79">
        <v>45058.66715277778</v>
      </c>
      <c r="AG2471" s="85">
        <v>45058</v>
      </c>
      <c r="AH2471" s="82" t="s">
        <v>8790</v>
      </c>
      <c r="AI2471" s="77" t="b">
        <v>0</v>
      </c>
      <c r="AJ2471" s="77"/>
      <c r="AK2471" s="77"/>
      <c r="AL2471" s="77"/>
      <c r="AM2471" s="77"/>
      <c r="AN2471" s="77"/>
      <c r="AO2471" s="77"/>
      <c r="AP2471" s="77"/>
      <c r="AQ2471" s="77" t="s">
        <v>12961</v>
      </c>
      <c r="AR2471" s="77"/>
      <c r="AS2471" s="77"/>
      <c r="AT2471" s="77"/>
      <c r="AU2471" s="77"/>
      <c r="AV2471" s="80" t="str">
        <f>HYPERLINK("https://pbs.twimg.com/media/Fv8JGLcXsAEFGbD.jpg")</f>
        <v>https://pbs.twimg.com/media/Fv8JGLcXsAEFGbD.jpg</v>
      </c>
      <c r="AW2471" s="82" t="s">
        <v>15555</v>
      </c>
      <c r="AX2471" s="82" t="s">
        <v>15555</v>
      </c>
      <c r="AY2471" s="77"/>
      <c r="AZ2471" s="82" t="s">
        <v>17385</v>
      </c>
      <c r="BA2471" s="82" t="s">
        <v>17385</v>
      </c>
      <c r="BB2471" s="82" t="s">
        <v>17385</v>
      </c>
      <c r="BC2471" s="82" t="s">
        <v>15555</v>
      </c>
      <c r="BD2471" s="82" t="s">
        <v>17666</v>
      </c>
      <c r="BE2471" s="77"/>
      <c r="BF2471" s="77"/>
      <c r="BG2471" s="77"/>
      <c r="BH2471" s="77"/>
      <c r="BI2471" s="77"/>
    </row>
    <row r="2472" spans="1:61" x14ac:dyDescent="0.25">
      <c r="A2472" s="62" t="s">
        <v>642</v>
      </c>
      <c r="B2472" s="62" t="s">
        <v>642</v>
      </c>
      <c r="C2472" s="63"/>
      <c r="D2472" s="64"/>
      <c r="E2472" s="65"/>
      <c r="F2472" s="66"/>
      <c r="G2472" s="63"/>
      <c r="H2472" s="67"/>
      <c r="I2472" s="68"/>
      <c r="J2472" s="68"/>
      <c r="K2472" s="32"/>
      <c r="L2472" s="75">
        <v>2472</v>
      </c>
      <c r="M2472" s="75"/>
      <c r="N2472" s="70"/>
      <c r="O2472" s="77" t="s">
        <v>179</v>
      </c>
      <c r="P2472" s="79">
        <v>45104.625509259262</v>
      </c>
      <c r="Q2472" s="77" t="s">
        <v>3249</v>
      </c>
      <c r="R2472" s="77">
        <v>0</v>
      </c>
      <c r="S2472" s="77">
        <v>1</v>
      </c>
      <c r="T2472" s="77">
        <v>0</v>
      </c>
      <c r="U2472" s="77">
        <v>0</v>
      </c>
      <c r="V2472" s="77">
        <v>33</v>
      </c>
      <c r="W2472" s="82" t="s">
        <v>6372</v>
      </c>
      <c r="X2472" s="77"/>
      <c r="Y2472" s="77"/>
      <c r="Z2472" s="77"/>
      <c r="AA2472" s="77" t="s">
        <v>8077</v>
      </c>
      <c r="AB2472" s="77" t="s">
        <v>8225</v>
      </c>
      <c r="AC2472" s="82" t="s">
        <v>8235</v>
      </c>
      <c r="AD2472" s="77" t="s">
        <v>8278</v>
      </c>
      <c r="AE2472" s="80" t="str">
        <f>HYPERLINK("https://twitter.com/smartbrain_br/status/1673707943131316225")</f>
        <v>https://twitter.com/smartbrain_br/status/1673707943131316225</v>
      </c>
      <c r="AF2472" s="79">
        <v>45104.625509259262</v>
      </c>
      <c r="AG2472" s="85">
        <v>45104</v>
      </c>
      <c r="AH2472" s="82" t="s">
        <v>10523</v>
      </c>
      <c r="AI2472" s="77" t="b">
        <v>0</v>
      </c>
      <c r="AJ2472" s="77"/>
      <c r="AK2472" s="77"/>
      <c r="AL2472" s="77"/>
      <c r="AM2472" s="77"/>
      <c r="AN2472" s="77"/>
      <c r="AO2472" s="77"/>
      <c r="AP2472" s="77"/>
      <c r="AQ2472" s="77" t="s">
        <v>12962</v>
      </c>
      <c r="AR2472" s="77"/>
      <c r="AS2472" s="77"/>
      <c r="AT2472" s="77"/>
      <c r="AU2472" s="77"/>
      <c r="AV2472" s="80" t="str">
        <f>HYPERLINK("https://pbs.twimg.com/media/Fzo0gNPX0AAz5bW.jpg")</f>
        <v>https://pbs.twimg.com/media/Fzo0gNPX0AAz5bW.jpg</v>
      </c>
      <c r="AW2472" s="82" t="s">
        <v>15556</v>
      </c>
      <c r="AX2472" s="82" t="s">
        <v>15556</v>
      </c>
      <c r="AY2472" s="77"/>
      <c r="AZ2472" s="82" t="s">
        <v>17385</v>
      </c>
      <c r="BA2472" s="82" t="s">
        <v>17385</v>
      </c>
      <c r="BB2472" s="82" t="s">
        <v>17385</v>
      </c>
      <c r="BC2472" s="82" t="s">
        <v>15556</v>
      </c>
      <c r="BD2472" s="82" t="s">
        <v>17666</v>
      </c>
      <c r="BE2472" s="77"/>
      <c r="BF2472" s="77"/>
      <c r="BG2472" s="77"/>
      <c r="BH2472" s="77"/>
      <c r="BI2472" s="77"/>
    </row>
    <row r="2473" spans="1:61" x14ac:dyDescent="0.25">
      <c r="A2473" s="62" t="s">
        <v>642</v>
      </c>
      <c r="B2473" s="62" t="s">
        <v>642</v>
      </c>
      <c r="C2473" s="63"/>
      <c r="D2473" s="64"/>
      <c r="E2473" s="65"/>
      <c r="F2473" s="66"/>
      <c r="G2473" s="63"/>
      <c r="H2473" s="67"/>
      <c r="I2473" s="68"/>
      <c r="J2473" s="68"/>
      <c r="K2473" s="32"/>
      <c r="L2473" s="75">
        <v>2473</v>
      </c>
      <c r="M2473" s="75"/>
      <c r="N2473" s="70"/>
      <c r="O2473" s="77" t="s">
        <v>179</v>
      </c>
      <c r="P2473" s="79">
        <v>45118.708773148152</v>
      </c>
      <c r="Q2473" s="77" t="s">
        <v>3250</v>
      </c>
      <c r="R2473" s="77">
        <v>0</v>
      </c>
      <c r="S2473" s="77">
        <v>0</v>
      </c>
      <c r="T2473" s="77">
        <v>0</v>
      </c>
      <c r="U2473" s="77">
        <v>0</v>
      </c>
      <c r="V2473" s="77">
        <v>44</v>
      </c>
      <c r="W2473" s="82" t="s">
        <v>6373</v>
      </c>
      <c r="X2473" s="80" t="str">
        <f>HYPERLINK("https://carteiras.smartbrain.com.br/big-data")</f>
        <v>https://carteiras.smartbrain.com.br/big-data</v>
      </c>
      <c r="Y2473" s="77" t="s">
        <v>7053</v>
      </c>
      <c r="Z2473" s="77"/>
      <c r="AA2473" s="77" t="s">
        <v>8078</v>
      </c>
      <c r="AB2473" s="77" t="s">
        <v>8225</v>
      </c>
      <c r="AC2473" s="82" t="s">
        <v>8235</v>
      </c>
      <c r="AD2473" s="77" t="s">
        <v>8278</v>
      </c>
      <c r="AE2473" s="80" t="str">
        <f>HYPERLINK("https://twitter.com/smartbrain_br/status/1678811547072593930")</f>
        <v>https://twitter.com/smartbrain_br/status/1678811547072593930</v>
      </c>
      <c r="AF2473" s="79">
        <v>45118.708773148152</v>
      </c>
      <c r="AG2473" s="85">
        <v>45118</v>
      </c>
      <c r="AH2473" s="82" t="s">
        <v>10524</v>
      </c>
      <c r="AI2473" s="77" t="b">
        <v>0</v>
      </c>
      <c r="AJ2473" s="77"/>
      <c r="AK2473" s="77"/>
      <c r="AL2473" s="77"/>
      <c r="AM2473" s="77"/>
      <c r="AN2473" s="77"/>
      <c r="AO2473" s="77"/>
      <c r="AP2473" s="77"/>
      <c r="AQ2473" s="77" t="s">
        <v>12963</v>
      </c>
      <c r="AR2473" s="77"/>
      <c r="AS2473" s="77"/>
      <c r="AT2473" s="77"/>
      <c r="AU2473" s="77"/>
      <c r="AV2473" s="80" t="str">
        <f>HYPERLINK("https://pbs.twimg.com/media/F0xWNJfWAAcuRQN.jpg")</f>
        <v>https://pbs.twimg.com/media/F0xWNJfWAAcuRQN.jpg</v>
      </c>
      <c r="AW2473" s="82" t="s">
        <v>15557</v>
      </c>
      <c r="AX2473" s="82" t="s">
        <v>15557</v>
      </c>
      <c r="AY2473" s="77"/>
      <c r="AZ2473" s="82" t="s">
        <v>17385</v>
      </c>
      <c r="BA2473" s="82" t="s">
        <v>17385</v>
      </c>
      <c r="BB2473" s="82" t="s">
        <v>17385</v>
      </c>
      <c r="BC2473" s="82" t="s">
        <v>15557</v>
      </c>
      <c r="BD2473" s="82" t="s">
        <v>17666</v>
      </c>
      <c r="BE2473" s="77"/>
      <c r="BF2473" s="77"/>
      <c r="BG2473" s="77"/>
      <c r="BH2473" s="77"/>
      <c r="BI2473" s="77"/>
    </row>
    <row r="2474" spans="1:61" x14ac:dyDescent="0.25">
      <c r="A2474" s="62" t="s">
        <v>642</v>
      </c>
      <c r="B2474" s="62" t="s">
        <v>642</v>
      </c>
      <c r="C2474" s="63"/>
      <c r="D2474" s="64"/>
      <c r="E2474" s="65"/>
      <c r="F2474" s="66"/>
      <c r="G2474" s="63"/>
      <c r="H2474" s="67"/>
      <c r="I2474" s="68"/>
      <c r="J2474" s="68"/>
      <c r="K2474" s="32"/>
      <c r="L2474" s="75">
        <v>2474</v>
      </c>
      <c r="M2474" s="75"/>
      <c r="N2474" s="70"/>
      <c r="O2474" s="77" t="s">
        <v>179</v>
      </c>
      <c r="P2474" s="79">
        <v>45093.833865740744</v>
      </c>
      <c r="Q2474" s="77" t="s">
        <v>3251</v>
      </c>
      <c r="R2474" s="77">
        <v>0</v>
      </c>
      <c r="S2474" s="77">
        <v>0</v>
      </c>
      <c r="T2474" s="77">
        <v>0</v>
      </c>
      <c r="U2474" s="77">
        <v>0</v>
      </c>
      <c r="V2474" s="77">
        <v>313</v>
      </c>
      <c r="W2474" s="82" t="s">
        <v>6374</v>
      </c>
      <c r="X2474" s="77"/>
      <c r="Y2474" s="77"/>
      <c r="Z2474" s="77"/>
      <c r="AA2474" s="77" t="s">
        <v>8079</v>
      </c>
      <c r="AB2474" s="77" t="s">
        <v>8225</v>
      </c>
      <c r="AC2474" s="82" t="s">
        <v>8235</v>
      </c>
      <c r="AD2474" s="77" t="s">
        <v>8278</v>
      </c>
      <c r="AE2474" s="80" t="str">
        <f>HYPERLINK("https://twitter.com/smartbrain_br/status/1669797183489449990")</f>
        <v>https://twitter.com/smartbrain_br/status/1669797183489449990</v>
      </c>
      <c r="AF2474" s="79">
        <v>45093.833865740744</v>
      </c>
      <c r="AG2474" s="85">
        <v>45093</v>
      </c>
      <c r="AH2474" s="82" t="s">
        <v>10525</v>
      </c>
      <c r="AI2474" s="77" t="b">
        <v>0</v>
      </c>
      <c r="AJ2474" s="77"/>
      <c r="AK2474" s="77"/>
      <c r="AL2474" s="77"/>
      <c r="AM2474" s="77"/>
      <c r="AN2474" s="77"/>
      <c r="AO2474" s="77"/>
      <c r="AP2474" s="77"/>
      <c r="AQ2474" s="77" t="s">
        <v>12964</v>
      </c>
      <c r="AR2474" s="77"/>
      <c r="AS2474" s="77"/>
      <c r="AT2474" s="77"/>
      <c r="AU2474" s="77"/>
      <c r="AV2474" s="80" t="str">
        <f>HYPERLINK("https://pbs.twimg.com/media/FyxPsJIWIBI_4Pe.jpg")</f>
        <v>https://pbs.twimg.com/media/FyxPsJIWIBI_4Pe.jpg</v>
      </c>
      <c r="AW2474" s="82" t="s">
        <v>15558</v>
      </c>
      <c r="AX2474" s="82" t="s">
        <v>15558</v>
      </c>
      <c r="AY2474" s="77"/>
      <c r="AZ2474" s="82" t="s">
        <v>17385</v>
      </c>
      <c r="BA2474" s="82" t="s">
        <v>17385</v>
      </c>
      <c r="BB2474" s="82" t="s">
        <v>17385</v>
      </c>
      <c r="BC2474" s="82" t="s">
        <v>15558</v>
      </c>
      <c r="BD2474" s="82" t="s">
        <v>17666</v>
      </c>
      <c r="BE2474" s="77"/>
      <c r="BF2474" s="77"/>
      <c r="BG2474" s="77"/>
      <c r="BH2474" s="77"/>
      <c r="BI2474" s="77"/>
    </row>
    <row r="2475" spans="1:61" x14ac:dyDescent="0.25">
      <c r="A2475" s="62" t="s">
        <v>642</v>
      </c>
      <c r="B2475" s="62" t="s">
        <v>642</v>
      </c>
      <c r="C2475" s="63"/>
      <c r="D2475" s="64"/>
      <c r="E2475" s="65"/>
      <c r="F2475" s="66"/>
      <c r="G2475" s="63"/>
      <c r="H2475" s="67"/>
      <c r="I2475" s="68"/>
      <c r="J2475" s="68"/>
      <c r="K2475" s="32"/>
      <c r="L2475" s="75">
        <v>2475</v>
      </c>
      <c r="M2475" s="75"/>
      <c r="N2475" s="70"/>
      <c r="O2475" s="77" t="s">
        <v>179</v>
      </c>
      <c r="P2475" s="79">
        <v>45092.625543981485</v>
      </c>
      <c r="Q2475" s="77" t="s">
        <v>3252</v>
      </c>
      <c r="R2475" s="77">
        <v>0</v>
      </c>
      <c r="S2475" s="77">
        <v>1</v>
      </c>
      <c r="T2475" s="77">
        <v>0</v>
      </c>
      <c r="U2475" s="77">
        <v>0</v>
      </c>
      <c r="V2475" s="77">
        <v>40</v>
      </c>
      <c r="W2475" s="82" t="s">
        <v>6370</v>
      </c>
      <c r="X2475" s="77"/>
      <c r="Y2475" s="77"/>
      <c r="Z2475" s="77"/>
      <c r="AA2475" s="77" t="s">
        <v>8080</v>
      </c>
      <c r="AB2475" s="77" t="s">
        <v>8225</v>
      </c>
      <c r="AC2475" s="82" t="s">
        <v>8235</v>
      </c>
      <c r="AD2475" s="77" t="s">
        <v>8278</v>
      </c>
      <c r="AE2475" s="80" t="str">
        <f>HYPERLINK("https://twitter.com/smartbrain_br/status/1669359300622577664")</f>
        <v>https://twitter.com/smartbrain_br/status/1669359300622577664</v>
      </c>
      <c r="AF2475" s="79">
        <v>45092.625543981485</v>
      </c>
      <c r="AG2475" s="85">
        <v>45092</v>
      </c>
      <c r="AH2475" s="82" t="s">
        <v>10522</v>
      </c>
      <c r="AI2475" s="77" t="b">
        <v>0</v>
      </c>
      <c r="AJ2475" s="77"/>
      <c r="AK2475" s="77"/>
      <c r="AL2475" s="77"/>
      <c r="AM2475" s="77"/>
      <c r="AN2475" s="77"/>
      <c r="AO2475" s="77"/>
      <c r="AP2475" s="77"/>
      <c r="AQ2475" s="77" t="s">
        <v>12965</v>
      </c>
      <c r="AR2475" s="77"/>
      <c r="AS2475" s="77"/>
      <c r="AT2475" s="77"/>
      <c r="AU2475" s="77"/>
      <c r="AV2475" s="80" t="str">
        <f>HYPERLINK("https://pbs.twimg.com/media/FyrBb-9akAAv64s.jpg")</f>
        <v>https://pbs.twimg.com/media/FyrBb-9akAAv64s.jpg</v>
      </c>
      <c r="AW2475" s="82" t="s">
        <v>15559</v>
      </c>
      <c r="AX2475" s="82" t="s">
        <v>15559</v>
      </c>
      <c r="AY2475" s="77"/>
      <c r="AZ2475" s="82" t="s">
        <v>17385</v>
      </c>
      <c r="BA2475" s="82" t="s">
        <v>17385</v>
      </c>
      <c r="BB2475" s="82" t="s">
        <v>17385</v>
      </c>
      <c r="BC2475" s="82" t="s">
        <v>15559</v>
      </c>
      <c r="BD2475" s="82" t="s">
        <v>17666</v>
      </c>
      <c r="BE2475" s="77"/>
      <c r="BF2475" s="77"/>
      <c r="BG2475" s="77"/>
      <c r="BH2475" s="77"/>
      <c r="BI2475" s="77"/>
    </row>
    <row r="2476" spans="1:61" x14ac:dyDescent="0.25">
      <c r="A2476" s="62" t="s">
        <v>642</v>
      </c>
      <c r="B2476" s="62" t="s">
        <v>642</v>
      </c>
      <c r="C2476" s="63"/>
      <c r="D2476" s="64"/>
      <c r="E2476" s="65"/>
      <c r="F2476" s="66"/>
      <c r="G2476" s="63"/>
      <c r="H2476" s="67"/>
      <c r="I2476" s="68"/>
      <c r="J2476" s="68"/>
      <c r="K2476" s="32"/>
      <c r="L2476" s="75">
        <v>2476</v>
      </c>
      <c r="M2476" s="75"/>
      <c r="N2476" s="70"/>
      <c r="O2476" s="77" t="s">
        <v>179</v>
      </c>
      <c r="P2476" s="79">
        <v>45091.750520833331</v>
      </c>
      <c r="Q2476" s="77" t="s">
        <v>3253</v>
      </c>
      <c r="R2476" s="77">
        <v>0</v>
      </c>
      <c r="S2476" s="77">
        <v>0</v>
      </c>
      <c r="T2476" s="77">
        <v>0</v>
      </c>
      <c r="U2476" s="77">
        <v>0</v>
      </c>
      <c r="V2476" s="77">
        <v>52</v>
      </c>
      <c r="W2476" s="82" t="s">
        <v>6375</v>
      </c>
      <c r="X2476" s="77"/>
      <c r="Y2476" s="77"/>
      <c r="Z2476" s="77"/>
      <c r="AA2476" s="77" t="s">
        <v>8081</v>
      </c>
      <c r="AB2476" s="77" t="s">
        <v>8226</v>
      </c>
      <c r="AC2476" s="82" t="s">
        <v>8235</v>
      </c>
      <c r="AD2476" s="77" t="s">
        <v>8278</v>
      </c>
      <c r="AE2476" s="80" t="str">
        <f>HYPERLINK("https://twitter.com/smartbrain_br/status/1669042205393051677")</f>
        <v>https://twitter.com/smartbrain_br/status/1669042205393051677</v>
      </c>
      <c r="AF2476" s="79">
        <v>45091.750520833331</v>
      </c>
      <c r="AG2476" s="85">
        <v>45091</v>
      </c>
      <c r="AH2476" s="82" t="s">
        <v>10526</v>
      </c>
      <c r="AI2476" s="77" t="b">
        <v>0</v>
      </c>
      <c r="AJ2476" s="77"/>
      <c r="AK2476" s="77"/>
      <c r="AL2476" s="77"/>
      <c r="AM2476" s="77"/>
      <c r="AN2476" s="77"/>
      <c r="AO2476" s="77"/>
      <c r="AP2476" s="77"/>
      <c r="AQ2476" s="77" t="s">
        <v>12966</v>
      </c>
      <c r="AR2476" s="77"/>
      <c r="AS2476" s="77"/>
      <c r="AT2476" s="77"/>
      <c r="AU2476" s="77"/>
      <c r="AV2476" s="80" t="str">
        <f>HYPERLINK("https://pbs.twimg.com/media/FymhCo6XgAARR6W.jpg")</f>
        <v>https://pbs.twimg.com/media/FymhCo6XgAARR6W.jpg</v>
      </c>
      <c r="AW2476" s="82" t="s">
        <v>15560</v>
      </c>
      <c r="AX2476" s="82" t="s">
        <v>15560</v>
      </c>
      <c r="AY2476" s="77"/>
      <c r="AZ2476" s="82" t="s">
        <v>17385</v>
      </c>
      <c r="BA2476" s="82" t="s">
        <v>17385</v>
      </c>
      <c r="BB2476" s="82" t="s">
        <v>17385</v>
      </c>
      <c r="BC2476" s="82" t="s">
        <v>15560</v>
      </c>
      <c r="BD2476" s="82" t="s">
        <v>17666</v>
      </c>
      <c r="BE2476" s="77"/>
      <c r="BF2476" s="77"/>
      <c r="BG2476" s="77"/>
      <c r="BH2476" s="77"/>
      <c r="BI2476" s="77"/>
    </row>
    <row r="2477" spans="1:61" x14ac:dyDescent="0.25">
      <c r="A2477" s="62" t="s">
        <v>642</v>
      </c>
      <c r="B2477" s="62" t="s">
        <v>642</v>
      </c>
      <c r="C2477" s="63"/>
      <c r="D2477" s="64"/>
      <c r="E2477" s="65"/>
      <c r="F2477" s="66"/>
      <c r="G2477" s="63"/>
      <c r="H2477" s="67"/>
      <c r="I2477" s="68"/>
      <c r="J2477" s="68"/>
      <c r="K2477" s="32"/>
      <c r="L2477" s="75">
        <v>2477</v>
      </c>
      <c r="M2477" s="75"/>
      <c r="N2477" s="70"/>
      <c r="O2477" s="77" t="s">
        <v>179</v>
      </c>
      <c r="P2477" s="79">
        <v>45111.802233796298</v>
      </c>
      <c r="Q2477" s="77" t="s">
        <v>3254</v>
      </c>
      <c r="R2477" s="77">
        <v>0</v>
      </c>
      <c r="S2477" s="77">
        <v>1</v>
      </c>
      <c r="T2477" s="77">
        <v>0</v>
      </c>
      <c r="U2477" s="77">
        <v>0</v>
      </c>
      <c r="V2477" s="77">
        <v>36</v>
      </c>
      <c r="W2477" s="82" t="s">
        <v>6376</v>
      </c>
      <c r="X2477" s="77"/>
      <c r="Y2477" s="77"/>
      <c r="Z2477" s="77"/>
      <c r="AA2477" s="77" t="s">
        <v>8082</v>
      </c>
      <c r="AB2477" s="77" t="s">
        <v>8225</v>
      </c>
      <c r="AC2477" s="82" t="s">
        <v>8235</v>
      </c>
      <c r="AD2477" s="77" t="s">
        <v>8278</v>
      </c>
      <c r="AE2477" s="80" t="str">
        <f>HYPERLINK("https://twitter.com/smartbrain_br/status/1676308702935015429")</f>
        <v>https://twitter.com/smartbrain_br/status/1676308702935015429</v>
      </c>
      <c r="AF2477" s="79">
        <v>45111.802233796298</v>
      </c>
      <c r="AG2477" s="85">
        <v>45111</v>
      </c>
      <c r="AH2477" s="82" t="s">
        <v>10527</v>
      </c>
      <c r="AI2477" s="77" t="b">
        <v>0</v>
      </c>
      <c r="AJ2477" s="77"/>
      <c r="AK2477" s="77"/>
      <c r="AL2477" s="77"/>
      <c r="AM2477" s="77"/>
      <c r="AN2477" s="77"/>
      <c r="AO2477" s="77"/>
      <c r="AP2477" s="77"/>
      <c r="AQ2477" s="77" t="s">
        <v>12967</v>
      </c>
      <c r="AR2477" s="77"/>
      <c r="AS2477" s="77"/>
      <c r="AT2477" s="77"/>
      <c r="AU2477" s="77"/>
      <c r="AV2477" s="80" t="str">
        <f>HYPERLINK("https://pbs.twimg.com/media/F0Nx4duWcA8g7Xd.jpg")</f>
        <v>https://pbs.twimg.com/media/F0Nx4duWcA8g7Xd.jpg</v>
      </c>
      <c r="AW2477" s="82" t="s">
        <v>15561</v>
      </c>
      <c r="AX2477" s="82" t="s">
        <v>15561</v>
      </c>
      <c r="AY2477" s="77"/>
      <c r="AZ2477" s="82" t="s">
        <v>17385</v>
      </c>
      <c r="BA2477" s="82" t="s">
        <v>17385</v>
      </c>
      <c r="BB2477" s="82" t="s">
        <v>17385</v>
      </c>
      <c r="BC2477" s="82" t="s">
        <v>15561</v>
      </c>
      <c r="BD2477" s="82" t="s">
        <v>17666</v>
      </c>
      <c r="BE2477" s="77"/>
      <c r="BF2477" s="77"/>
      <c r="BG2477" s="77"/>
      <c r="BH2477" s="77"/>
      <c r="BI2477" s="77"/>
    </row>
    <row r="2478" spans="1:61" x14ac:dyDescent="0.25">
      <c r="A2478" s="62" t="s">
        <v>642</v>
      </c>
      <c r="B2478" s="62" t="s">
        <v>642</v>
      </c>
      <c r="C2478" s="63"/>
      <c r="D2478" s="64"/>
      <c r="E2478" s="65"/>
      <c r="F2478" s="66"/>
      <c r="G2478" s="63"/>
      <c r="H2478" s="67"/>
      <c r="I2478" s="68"/>
      <c r="J2478" s="68"/>
      <c r="K2478" s="32"/>
      <c r="L2478" s="75">
        <v>2478</v>
      </c>
      <c r="M2478" s="75"/>
      <c r="N2478" s="70"/>
      <c r="O2478" s="77" t="s">
        <v>179</v>
      </c>
      <c r="P2478" s="79">
        <v>45078.703020833331</v>
      </c>
      <c r="Q2478" s="77" t="s">
        <v>3255</v>
      </c>
      <c r="R2478" s="77">
        <v>0</v>
      </c>
      <c r="S2478" s="77">
        <v>0</v>
      </c>
      <c r="T2478" s="77">
        <v>0</v>
      </c>
      <c r="U2478" s="77">
        <v>0</v>
      </c>
      <c r="V2478" s="77">
        <v>225</v>
      </c>
      <c r="W2478" s="82" t="s">
        <v>6377</v>
      </c>
      <c r="X2478" s="77"/>
      <c r="Y2478" s="77"/>
      <c r="Z2478" s="77"/>
      <c r="AA2478" s="77" t="s">
        <v>8083</v>
      </c>
      <c r="AB2478" s="77" t="s">
        <v>8225</v>
      </c>
      <c r="AC2478" s="82" t="s">
        <v>8235</v>
      </c>
      <c r="AD2478" s="77" t="s">
        <v>8278</v>
      </c>
      <c r="AE2478" s="80" t="str">
        <f>HYPERLINK("https://twitter.com/smartbrain_br/status/1664313949741891599")</f>
        <v>https://twitter.com/smartbrain_br/status/1664313949741891599</v>
      </c>
      <c r="AF2478" s="79">
        <v>45078.703020833331</v>
      </c>
      <c r="AG2478" s="85">
        <v>45078</v>
      </c>
      <c r="AH2478" s="82" t="s">
        <v>10528</v>
      </c>
      <c r="AI2478" s="77" t="b">
        <v>0</v>
      </c>
      <c r="AJ2478" s="77"/>
      <c r="AK2478" s="77"/>
      <c r="AL2478" s="77"/>
      <c r="AM2478" s="77"/>
      <c r="AN2478" s="77"/>
      <c r="AO2478" s="77"/>
      <c r="AP2478" s="77"/>
      <c r="AQ2478" s="77" t="s">
        <v>12968</v>
      </c>
      <c r="AR2478" s="77"/>
      <c r="AS2478" s="77"/>
      <c r="AT2478" s="77"/>
      <c r="AU2478" s="77"/>
      <c r="AV2478" s="80" t="str">
        <f>HYPERLINK("https://pbs.twimg.com/media/FxjUt7MXoAE-V23.jpg")</f>
        <v>https://pbs.twimg.com/media/FxjUt7MXoAE-V23.jpg</v>
      </c>
      <c r="AW2478" s="82" t="s">
        <v>15562</v>
      </c>
      <c r="AX2478" s="82" t="s">
        <v>15562</v>
      </c>
      <c r="AY2478" s="77"/>
      <c r="AZ2478" s="82" t="s">
        <v>17385</v>
      </c>
      <c r="BA2478" s="82" t="s">
        <v>17385</v>
      </c>
      <c r="BB2478" s="82" t="s">
        <v>17385</v>
      </c>
      <c r="BC2478" s="82" t="s">
        <v>15562</v>
      </c>
      <c r="BD2478" s="82" t="s">
        <v>17666</v>
      </c>
      <c r="BE2478" s="77"/>
      <c r="BF2478" s="77"/>
      <c r="BG2478" s="77"/>
      <c r="BH2478" s="77"/>
      <c r="BI2478" s="77"/>
    </row>
    <row r="2479" spans="1:61" x14ac:dyDescent="0.25">
      <c r="A2479" s="62" t="s">
        <v>642</v>
      </c>
      <c r="B2479" s="62" t="s">
        <v>642</v>
      </c>
      <c r="C2479" s="63"/>
      <c r="D2479" s="64"/>
      <c r="E2479" s="65"/>
      <c r="F2479" s="66"/>
      <c r="G2479" s="63"/>
      <c r="H2479" s="67"/>
      <c r="I2479" s="68"/>
      <c r="J2479" s="68"/>
      <c r="K2479" s="32"/>
      <c r="L2479" s="75">
        <v>2479</v>
      </c>
      <c r="M2479" s="75"/>
      <c r="N2479" s="70"/>
      <c r="O2479" s="77" t="s">
        <v>179</v>
      </c>
      <c r="P2479" s="79">
        <v>45062.500474537039</v>
      </c>
      <c r="Q2479" s="77" t="s">
        <v>3256</v>
      </c>
      <c r="R2479" s="77">
        <v>0</v>
      </c>
      <c r="S2479" s="77">
        <v>0</v>
      </c>
      <c r="T2479" s="77">
        <v>0</v>
      </c>
      <c r="U2479" s="77">
        <v>0</v>
      </c>
      <c r="V2479" s="77">
        <v>279</v>
      </c>
      <c r="W2479" s="82" t="s">
        <v>6378</v>
      </c>
      <c r="X2479" s="80" t="str">
        <f>HYPERLINK("https://carteiras.smartbrain.com.br/big-data")</f>
        <v>https://carteiras.smartbrain.com.br/big-data</v>
      </c>
      <c r="Y2479" s="77" t="s">
        <v>7053</v>
      </c>
      <c r="Z2479" s="77"/>
      <c r="AA2479" s="77" t="s">
        <v>8084</v>
      </c>
      <c r="AB2479" s="77" t="s">
        <v>8225</v>
      </c>
      <c r="AC2479" s="82" t="s">
        <v>8235</v>
      </c>
      <c r="AD2479" s="77" t="s">
        <v>8278</v>
      </c>
      <c r="AE2479" s="80" t="str">
        <f>HYPERLINK("https://twitter.com/smartbrain_br/status/1658442344151105538")</f>
        <v>https://twitter.com/smartbrain_br/status/1658442344151105538</v>
      </c>
      <c r="AF2479" s="79">
        <v>45062.500474537039</v>
      </c>
      <c r="AG2479" s="85">
        <v>45062</v>
      </c>
      <c r="AH2479" s="82" t="s">
        <v>10529</v>
      </c>
      <c r="AI2479" s="77" t="b">
        <v>0</v>
      </c>
      <c r="AJ2479" s="77"/>
      <c r="AK2479" s="77"/>
      <c r="AL2479" s="77"/>
      <c r="AM2479" s="77"/>
      <c r="AN2479" s="77"/>
      <c r="AO2479" s="77"/>
      <c r="AP2479" s="77"/>
      <c r="AQ2479" s="77" t="s">
        <v>12969</v>
      </c>
      <c r="AR2479" s="77"/>
      <c r="AS2479" s="77"/>
      <c r="AT2479" s="77"/>
      <c r="AU2479" s="77"/>
      <c r="AV2479" s="80" t="str">
        <f>HYPERLINK("https://pbs.twimg.com/media/FwP4hfTWwAIRuP6.jpg")</f>
        <v>https://pbs.twimg.com/media/FwP4hfTWwAIRuP6.jpg</v>
      </c>
      <c r="AW2479" s="82" t="s">
        <v>15563</v>
      </c>
      <c r="AX2479" s="82" t="s">
        <v>15563</v>
      </c>
      <c r="AY2479" s="77"/>
      <c r="AZ2479" s="82" t="s">
        <v>17385</v>
      </c>
      <c r="BA2479" s="82" t="s">
        <v>17385</v>
      </c>
      <c r="BB2479" s="82" t="s">
        <v>17385</v>
      </c>
      <c r="BC2479" s="82" t="s">
        <v>15563</v>
      </c>
      <c r="BD2479" s="82" t="s">
        <v>17666</v>
      </c>
      <c r="BE2479" s="77"/>
      <c r="BF2479" s="77"/>
      <c r="BG2479" s="77"/>
      <c r="BH2479" s="77"/>
      <c r="BI2479" s="77"/>
    </row>
    <row r="2480" spans="1:61" x14ac:dyDescent="0.25">
      <c r="A2480" s="62" t="s">
        <v>643</v>
      </c>
      <c r="B2480" s="62" t="s">
        <v>643</v>
      </c>
      <c r="C2480" s="63"/>
      <c r="D2480" s="64"/>
      <c r="E2480" s="65"/>
      <c r="F2480" s="66"/>
      <c r="G2480" s="63"/>
      <c r="H2480" s="67"/>
      <c r="I2480" s="68"/>
      <c r="J2480" s="68"/>
      <c r="K2480" s="32"/>
      <c r="L2480" s="75">
        <v>2480</v>
      </c>
      <c r="M2480" s="75"/>
      <c r="N2480" s="70"/>
      <c r="O2480" s="77" t="s">
        <v>179</v>
      </c>
      <c r="P2480" s="79">
        <v>45064.099247685182</v>
      </c>
      <c r="Q2480" s="77" t="s">
        <v>3257</v>
      </c>
      <c r="R2480" s="77">
        <v>0</v>
      </c>
      <c r="S2480" s="77">
        <v>0</v>
      </c>
      <c r="T2480" s="77">
        <v>0</v>
      </c>
      <c r="U2480" s="77">
        <v>0</v>
      </c>
      <c r="V2480" s="77">
        <v>11</v>
      </c>
      <c r="W2480" s="82" t="s">
        <v>6379</v>
      </c>
      <c r="X2480" s="80" t="str">
        <f>HYPERLINK("https://piauinet.com.br/economia/valor-da-petrobras-cai-r-848-bilhoes-desde-a-eleicao-de-lula/")</f>
        <v>https://piauinet.com.br/economia/valor-da-petrobras-cai-r-848-bilhoes-desde-a-eleicao-de-lula/</v>
      </c>
      <c r="Y2480" s="77" t="s">
        <v>7053</v>
      </c>
      <c r="Z2480" s="77"/>
      <c r="AA2480" s="77" t="s">
        <v>8085</v>
      </c>
      <c r="AB2480" s="77" t="s">
        <v>8225</v>
      </c>
      <c r="AC2480" s="82" t="s">
        <v>8243</v>
      </c>
      <c r="AD2480" s="77" t="s">
        <v>8278</v>
      </c>
      <c r="AE2480" s="80" t="str">
        <f>HYPERLINK("https://twitter.com/piauinet/status/1659021717195423744")</f>
        <v>https://twitter.com/piauinet/status/1659021717195423744</v>
      </c>
      <c r="AF2480" s="79">
        <v>45064.099247685182</v>
      </c>
      <c r="AG2480" s="85">
        <v>45064</v>
      </c>
      <c r="AH2480" s="82" t="s">
        <v>10530</v>
      </c>
      <c r="AI2480" s="77" t="b">
        <v>0</v>
      </c>
      <c r="AJ2480" s="77"/>
      <c r="AK2480" s="77"/>
      <c r="AL2480" s="77"/>
      <c r="AM2480" s="77"/>
      <c r="AN2480" s="77"/>
      <c r="AO2480" s="77"/>
      <c r="AP2480" s="77"/>
      <c r="AQ2480" s="77" t="s">
        <v>12970</v>
      </c>
      <c r="AR2480" s="77"/>
      <c r="AS2480" s="77"/>
      <c r="AT2480" s="77"/>
      <c r="AU2480" s="77"/>
      <c r="AV2480" s="80" t="str">
        <f>HYPERLINK("https://pbs.twimg.com/media/FwYHdcXXgAM5MCI.jpg")</f>
        <v>https://pbs.twimg.com/media/FwYHdcXXgAM5MCI.jpg</v>
      </c>
      <c r="AW2480" s="82" t="s">
        <v>15564</v>
      </c>
      <c r="AX2480" s="82" t="s">
        <v>15564</v>
      </c>
      <c r="AY2480" s="77"/>
      <c r="AZ2480" s="82" t="s">
        <v>17385</v>
      </c>
      <c r="BA2480" s="82" t="s">
        <v>17385</v>
      </c>
      <c r="BB2480" s="82" t="s">
        <v>17385</v>
      </c>
      <c r="BC2480" s="82" t="s">
        <v>15564</v>
      </c>
      <c r="BD2480" s="77">
        <v>118477795</v>
      </c>
      <c r="BE2480" s="77"/>
      <c r="BF2480" s="77"/>
      <c r="BG2480" s="77"/>
      <c r="BH2480" s="77"/>
      <c r="BI2480" s="77"/>
    </row>
    <row r="2481" spans="1:61" x14ac:dyDescent="0.25">
      <c r="A2481" s="62" t="s">
        <v>644</v>
      </c>
      <c r="B2481" s="62" t="s">
        <v>644</v>
      </c>
      <c r="C2481" s="63"/>
      <c r="D2481" s="64"/>
      <c r="E2481" s="65"/>
      <c r="F2481" s="66"/>
      <c r="G2481" s="63"/>
      <c r="H2481" s="67"/>
      <c r="I2481" s="68"/>
      <c r="J2481" s="68"/>
      <c r="K2481" s="32"/>
      <c r="L2481" s="75">
        <v>2481</v>
      </c>
      <c r="M2481" s="75"/>
      <c r="N2481" s="70"/>
      <c r="O2481" s="77" t="s">
        <v>800</v>
      </c>
      <c r="P2481" s="79">
        <v>45194.84138888889</v>
      </c>
      <c r="Q2481" s="77" t="s">
        <v>3258</v>
      </c>
      <c r="R2481" s="77">
        <v>0</v>
      </c>
      <c r="S2481" s="77">
        <v>0</v>
      </c>
      <c r="T2481" s="77">
        <v>0</v>
      </c>
      <c r="U2481" s="77">
        <v>0</v>
      </c>
      <c r="V2481" s="77">
        <v>8</v>
      </c>
      <c r="W2481" s="82" t="s">
        <v>6380</v>
      </c>
      <c r="X2481" s="77"/>
      <c r="Y2481" s="77"/>
      <c r="Z2481" s="77"/>
      <c r="AA2481" s="77"/>
      <c r="AB2481" s="77"/>
      <c r="AC2481" s="82" t="s">
        <v>8232</v>
      </c>
      <c r="AD2481" s="77" t="s">
        <v>8278</v>
      </c>
      <c r="AE2481" s="80" t="str">
        <f>HYPERLINK("https://twitter.com/indiabrazilcha1/status/1706401085223588226")</f>
        <v>https://twitter.com/indiabrazilcha1/status/1706401085223588226</v>
      </c>
      <c r="AF2481" s="79">
        <v>45194.84138888889</v>
      </c>
      <c r="AG2481" s="85">
        <v>45194</v>
      </c>
      <c r="AH2481" s="82" t="s">
        <v>10531</v>
      </c>
      <c r="AI2481" s="77"/>
      <c r="AJ2481" s="77"/>
      <c r="AK2481" s="77"/>
      <c r="AL2481" s="77"/>
      <c r="AM2481" s="77"/>
      <c r="AN2481" s="77"/>
      <c r="AO2481" s="77"/>
      <c r="AP2481" s="77"/>
      <c r="AQ2481" s="77"/>
      <c r="AR2481" s="77"/>
      <c r="AS2481" s="77"/>
      <c r="AT2481" s="77"/>
      <c r="AU2481" s="77"/>
      <c r="AV2481" s="80" t="str">
        <f>HYPERLINK("https://pbs.twimg.com/profile_images/1697581430467895296/gpcNl6Gw_normal.jpg")</f>
        <v>https://pbs.twimg.com/profile_images/1697581430467895296/gpcNl6Gw_normal.jpg</v>
      </c>
      <c r="AW2481" s="82" t="s">
        <v>15565</v>
      </c>
      <c r="AX2481" s="82" t="s">
        <v>17210</v>
      </c>
      <c r="AY2481" s="82" t="s">
        <v>17374</v>
      </c>
      <c r="AZ2481" s="82" t="s">
        <v>17423</v>
      </c>
      <c r="BA2481" s="82" t="s">
        <v>17385</v>
      </c>
      <c r="BB2481" s="82" t="s">
        <v>17385</v>
      </c>
      <c r="BC2481" s="82" t="s">
        <v>17423</v>
      </c>
      <c r="BD2481" s="82" t="s">
        <v>17374</v>
      </c>
      <c r="BE2481" s="77"/>
      <c r="BF2481" s="77"/>
      <c r="BG2481" s="77"/>
      <c r="BH2481" s="77"/>
      <c r="BI2481" s="77"/>
    </row>
    <row r="2482" spans="1:61" x14ac:dyDescent="0.25">
      <c r="A2482" s="62" t="s">
        <v>645</v>
      </c>
      <c r="B2482" s="62" t="s">
        <v>645</v>
      </c>
      <c r="C2482" s="63"/>
      <c r="D2482" s="64"/>
      <c r="E2482" s="65"/>
      <c r="F2482" s="66"/>
      <c r="G2482" s="63"/>
      <c r="H2482" s="67"/>
      <c r="I2482" s="68"/>
      <c r="J2482" s="68"/>
      <c r="K2482" s="32"/>
      <c r="L2482" s="75">
        <v>2482</v>
      </c>
      <c r="M2482" s="75"/>
      <c r="N2482" s="70"/>
      <c r="O2482" s="77" t="s">
        <v>179</v>
      </c>
      <c r="P2482" s="79">
        <v>45172.031701388885</v>
      </c>
      <c r="Q2482" s="77" t="s">
        <v>3259</v>
      </c>
      <c r="R2482" s="77">
        <v>0</v>
      </c>
      <c r="S2482" s="77">
        <v>0</v>
      </c>
      <c r="T2482" s="77">
        <v>1</v>
      </c>
      <c r="U2482" s="77">
        <v>0</v>
      </c>
      <c r="V2482" s="77">
        <v>181</v>
      </c>
      <c r="W2482" s="82" t="s">
        <v>6381</v>
      </c>
      <c r="X2482" s="80" t="str">
        <f>HYPERLINK("https://bit.ly/StocksSetembro")</f>
        <v>https://bit.ly/StocksSetembro</v>
      </c>
      <c r="Y2482" s="77" t="s">
        <v>7063</v>
      </c>
      <c r="Z2482" s="77"/>
      <c r="AA2482" s="77" t="s">
        <v>8086</v>
      </c>
      <c r="AB2482" s="77" t="s">
        <v>8225</v>
      </c>
      <c r="AC2482" s="82" t="s">
        <v>8232</v>
      </c>
      <c r="AD2482" s="77" t="s">
        <v>8278</v>
      </c>
      <c r="AE2482" s="80" t="str">
        <f>HYPERLINK("https://twitter.com/trading_jazz/status/1698135129183428865")</f>
        <v>https://twitter.com/trading_jazz/status/1698135129183428865</v>
      </c>
      <c r="AF2482" s="79">
        <v>45172.031701388885</v>
      </c>
      <c r="AG2482" s="85">
        <v>45172</v>
      </c>
      <c r="AH2482" s="82" t="s">
        <v>10532</v>
      </c>
      <c r="AI2482" s="77" t="b">
        <v>0</v>
      </c>
      <c r="AJ2482" s="77"/>
      <c r="AK2482" s="77"/>
      <c r="AL2482" s="77"/>
      <c r="AM2482" s="77"/>
      <c r="AN2482" s="77"/>
      <c r="AO2482" s="77"/>
      <c r="AP2482" s="77"/>
      <c r="AQ2482" s="77" t="s">
        <v>12971</v>
      </c>
      <c r="AR2482" s="77"/>
      <c r="AS2482" s="77"/>
      <c r="AT2482" s="77"/>
      <c r="AU2482" s="77"/>
      <c r="AV2482" s="80" t="str">
        <f>HYPERLINK("https://pbs.twimg.com/media/F5D81AMW8AEn3i9.jpg")</f>
        <v>https://pbs.twimg.com/media/F5D81AMW8AEn3i9.jpg</v>
      </c>
      <c r="AW2482" s="82" t="s">
        <v>15566</v>
      </c>
      <c r="AX2482" s="82" t="s">
        <v>15566</v>
      </c>
      <c r="AY2482" s="77"/>
      <c r="AZ2482" s="82" t="s">
        <v>17385</v>
      </c>
      <c r="BA2482" s="82" t="s">
        <v>17385</v>
      </c>
      <c r="BB2482" s="82" t="s">
        <v>17385</v>
      </c>
      <c r="BC2482" s="82" t="s">
        <v>15566</v>
      </c>
      <c r="BD2482" s="77">
        <v>281238704</v>
      </c>
      <c r="BE2482" s="77"/>
      <c r="BF2482" s="77"/>
      <c r="BG2482" s="77"/>
      <c r="BH2482" s="77"/>
      <c r="BI2482" s="77"/>
    </row>
    <row r="2483" spans="1:61" x14ac:dyDescent="0.25">
      <c r="A2483" s="62" t="s">
        <v>646</v>
      </c>
      <c r="B2483" s="62" t="s">
        <v>646</v>
      </c>
      <c r="C2483" s="63"/>
      <c r="D2483" s="64"/>
      <c r="E2483" s="65"/>
      <c r="F2483" s="66"/>
      <c r="G2483" s="63"/>
      <c r="H2483" s="67"/>
      <c r="I2483" s="68"/>
      <c r="J2483" s="68"/>
      <c r="K2483" s="32"/>
      <c r="L2483" s="75">
        <v>2483</v>
      </c>
      <c r="M2483" s="75"/>
      <c r="N2483" s="70"/>
      <c r="O2483" s="77" t="s">
        <v>179</v>
      </c>
      <c r="P2483" s="79">
        <v>45086.549571759257</v>
      </c>
      <c r="Q2483" s="77" t="s">
        <v>3260</v>
      </c>
      <c r="R2483" s="77">
        <v>0</v>
      </c>
      <c r="S2483" s="77">
        <v>0</v>
      </c>
      <c r="T2483" s="77">
        <v>0</v>
      </c>
      <c r="U2483" s="77">
        <v>0</v>
      </c>
      <c r="V2483" s="77">
        <v>45</v>
      </c>
      <c r="W2483" s="82" t="s">
        <v>6382</v>
      </c>
      <c r="X2483" s="80" t="str">
        <f>HYPERLINK("https://tinyurl.com/2az8ddyb")</f>
        <v>https://tinyurl.com/2az8ddyb</v>
      </c>
      <c r="Y2483" s="77" t="s">
        <v>7068</v>
      </c>
      <c r="Z2483" s="77"/>
      <c r="AA2483" s="77"/>
      <c r="AB2483" s="77"/>
      <c r="AC2483" s="82" t="s">
        <v>8274</v>
      </c>
      <c r="AD2483" s="77" t="s">
        <v>8278</v>
      </c>
      <c r="AE2483" s="80" t="str">
        <f>HYPERLINK("https://twitter.com/pauta_economica/status/1667157443732807682")</f>
        <v>https://twitter.com/pauta_economica/status/1667157443732807682</v>
      </c>
      <c r="AF2483" s="79">
        <v>45086.549571759257</v>
      </c>
      <c r="AG2483" s="85">
        <v>45086</v>
      </c>
      <c r="AH2483" s="82" t="s">
        <v>10533</v>
      </c>
      <c r="AI2483" s="77" t="b">
        <v>0</v>
      </c>
      <c r="AJ2483" s="77"/>
      <c r="AK2483" s="77"/>
      <c r="AL2483" s="77"/>
      <c r="AM2483" s="77"/>
      <c r="AN2483" s="77"/>
      <c r="AO2483" s="77"/>
      <c r="AP2483" s="77"/>
      <c r="AQ2483" s="77"/>
      <c r="AR2483" s="77"/>
      <c r="AS2483" s="77"/>
      <c r="AT2483" s="77"/>
      <c r="AU2483" s="77"/>
      <c r="AV2483" s="80" t="str">
        <f>HYPERLINK("https://pbs.twimg.com/profile_images/1588668531910082561/XEi-lXiu_normal.jpg")</f>
        <v>https://pbs.twimg.com/profile_images/1588668531910082561/XEi-lXiu_normal.jpg</v>
      </c>
      <c r="AW2483" s="82" t="s">
        <v>15567</v>
      </c>
      <c r="AX2483" s="82" t="s">
        <v>15567</v>
      </c>
      <c r="AY2483" s="77"/>
      <c r="AZ2483" s="82" t="s">
        <v>17385</v>
      </c>
      <c r="BA2483" s="82" t="s">
        <v>17385</v>
      </c>
      <c r="BB2483" s="82" t="s">
        <v>17385</v>
      </c>
      <c r="BC2483" s="82" t="s">
        <v>15567</v>
      </c>
      <c r="BD2483" s="82" t="s">
        <v>17667</v>
      </c>
      <c r="BE2483" s="77"/>
      <c r="BF2483" s="77"/>
      <c r="BG2483" s="77"/>
      <c r="BH2483" s="77"/>
      <c r="BI2483" s="77"/>
    </row>
    <row r="2484" spans="1:61" x14ac:dyDescent="0.25">
      <c r="A2484" s="62" t="s">
        <v>646</v>
      </c>
      <c r="B2484" s="62" t="s">
        <v>646</v>
      </c>
      <c r="C2484" s="63"/>
      <c r="D2484" s="64"/>
      <c r="E2484" s="65"/>
      <c r="F2484" s="66"/>
      <c r="G2484" s="63"/>
      <c r="H2484" s="67"/>
      <c r="I2484" s="68"/>
      <c r="J2484" s="68"/>
      <c r="K2484" s="32"/>
      <c r="L2484" s="75">
        <v>2484</v>
      </c>
      <c r="M2484" s="75"/>
      <c r="N2484" s="70"/>
      <c r="O2484" s="77" t="s">
        <v>179</v>
      </c>
      <c r="P2484" s="79">
        <v>45086.535682870373</v>
      </c>
      <c r="Q2484" s="77" t="s">
        <v>3261</v>
      </c>
      <c r="R2484" s="77">
        <v>0</v>
      </c>
      <c r="S2484" s="77">
        <v>0</v>
      </c>
      <c r="T2484" s="77">
        <v>0</v>
      </c>
      <c r="U2484" s="77">
        <v>0</v>
      </c>
      <c r="V2484" s="77">
        <v>52</v>
      </c>
      <c r="W2484" s="82" t="s">
        <v>6382</v>
      </c>
      <c r="X2484" s="80" t="str">
        <f>HYPERLINK("https://tinyurl.com/2br8ex59")</f>
        <v>https://tinyurl.com/2br8ex59</v>
      </c>
      <c r="Y2484" s="77" t="s">
        <v>7068</v>
      </c>
      <c r="Z2484" s="77"/>
      <c r="AA2484" s="77"/>
      <c r="AB2484" s="77"/>
      <c r="AC2484" s="82" t="s">
        <v>8274</v>
      </c>
      <c r="AD2484" s="77" t="s">
        <v>8278</v>
      </c>
      <c r="AE2484" s="80" t="str">
        <f>HYPERLINK("https://twitter.com/pauta_economica/status/1667152409334824965")</f>
        <v>https://twitter.com/pauta_economica/status/1667152409334824965</v>
      </c>
      <c r="AF2484" s="79">
        <v>45086.535682870373</v>
      </c>
      <c r="AG2484" s="85">
        <v>45086</v>
      </c>
      <c r="AH2484" s="82" t="s">
        <v>10534</v>
      </c>
      <c r="AI2484" s="77" t="b">
        <v>0</v>
      </c>
      <c r="AJ2484" s="77"/>
      <c r="AK2484" s="77"/>
      <c r="AL2484" s="77"/>
      <c r="AM2484" s="77"/>
      <c r="AN2484" s="77"/>
      <c r="AO2484" s="77"/>
      <c r="AP2484" s="77"/>
      <c r="AQ2484" s="77"/>
      <c r="AR2484" s="77"/>
      <c r="AS2484" s="77"/>
      <c r="AT2484" s="77"/>
      <c r="AU2484" s="77"/>
      <c r="AV2484" s="80" t="str">
        <f>HYPERLINK("https://pbs.twimg.com/profile_images/1588668531910082561/XEi-lXiu_normal.jpg")</f>
        <v>https://pbs.twimg.com/profile_images/1588668531910082561/XEi-lXiu_normal.jpg</v>
      </c>
      <c r="AW2484" s="82" t="s">
        <v>15568</v>
      </c>
      <c r="AX2484" s="82" t="s">
        <v>15568</v>
      </c>
      <c r="AY2484" s="77"/>
      <c r="AZ2484" s="82" t="s">
        <v>17385</v>
      </c>
      <c r="BA2484" s="82" t="s">
        <v>17385</v>
      </c>
      <c r="BB2484" s="82" t="s">
        <v>17385</v>
      </c>
      <c r="BC2484" s="82" t="s">
        <v>15568</v>
      </c>
      <c r="BD2484" s="82" t="s">
        <v>17667</v>
      </c>
      <c r="BE2484" s="77"/>
      <c r="BF2484" s="77"/>
      <c r="BG2484" s="77"/>
      <c r="BH2484" s="77"/>
      <c r="BI2484" s="77"/>
    </row>
    <row r="2485" spans="1:61" x14ac:dyDescent="0.25">
      <c r="A2485" s="62" t="s">
        <v>646</v>
      </c>
      <c r="B2485" s="62" t="s">
        <v>646</v>
      </c>
      <c r="C2485" s="63"/>
      <c r="D2485" s="64"/>
      <c r="E2485" s="65"/>
      <c r="F2485" s="66"/>
      <c r="G2485" s="63"/>
      <c r="H2485" s="67"/>
      <c r="I2485" s="68"/>
      <c r="J2485" s="68"/>
      <c r="K2485" s="32"/>
      <c r="L2485" s="75">
        <v>2485</v>
      </c>
      <c r="M2485" s="75"/>
      <c r="N2485" s="70"/>
      <c r="O2485" s="77" t="s">
        <v>179</v>
      </c>
      <c r="P2485" s="79">
        <v>45086.528726851851</v>
      </c>
      <c r="Q2485" s="77" t="s">
        <v>3262</v>
      </c>
      <c r="R2485" s="77">
        <v>0</v>
      </c>
      <c r="S2485" s="77">
        <v>0</v>
      </c>
      <c r="T2485" s="77">
        <v>0</v>
      </c>
      <c r="U2485" s="77">
        <v>0</v>
      </c>
      <c r="V2485" s="77">
        <v>38</v>
      </c>
      <c r="W2485" s="82" t="s">
        <v>6382</v>
      </c>
      <c r="X2485" s="80" t="str">
        <f>HYPERLINK("https://tinyurl.com/2bydvjyu")</f>
        <v>https://tinyurl.com/2bydvjyu</v>
      </c>
      <c r="Y2485" s="77" t="s">
        <v>7068</v>
      </c>
      <c r="Z2485" s="77"/>
      <c r="AA2485" s="77"/>
      <c r="AB2485" s="77"/>
      <c r="AC2485" s="82" t="s">
        <v>8274</v>
      </c>
      <c r="AD2485" s="77" t="s">
        <v>8278</v>
      </c>
      <c r="AE2485" s="80" t="str">
        <f>HYPERLINK("https://twitter.com/pauta_economica/status/1667149891200483329")</f>
        <v>https://twitter.com/pauta_economica/status/1667149891200483329</v>
      </c>
      <c r="AF2485" s="79">
        <v>45086.528726851851</v>
      </c>
      <c r="AG2485" s="85">
        <v>45086</v>
      </c>
      <c r="AH2485" s="82" t="s">
        <v>10535</v>
      </c>
      <c r="AI2485" s="77" t="b">
        <v>0</v>
      </c>
      <c r="AJ2485" s="77"/>
      <c r="AK2485" s="77"/>
      <c r="AL2485" s="77"/>
      <c r="AM2485" s="77"/>
      <c r="AN2485" s="77"/>
      <c r="AO2485" s="77"/>
      <c r="AP2485" s="77"/>
      <c r="AQ2485" s="77"/>
      <c r="AR2485" s="77"/>
      <c r="AS2485" s="77"/>
      <c r="AT2485" s="77"/>
      <c r="AU2485" s="77"/>
      <c r="AV2485" s="80" t="str">
        <f>HYPERLINK("https://pbs.twimg.com/profile_images/1588668531910082561/XEi-lXiu_normal.jpg")</f>
        <v>https://pbs.twimg.com/profile_images/1588668531910082561/XEi-lXiu_normal.jpg</v>
      </c>
      <c r="AW2485" s="82" t="s">
        <v>15569</v>
      </c>
      <c r="AX2485" s="82" t="s">
        <v>15569</v>
      </c>
      <c r="AY2485" s="77"/>
      <c r="AZ2485" s="82" t="s">
        <v>17385</v>
      </c>
      <c r="BA2485" s="82" t="s">
        <v>17385</v>
      </c>
      <c r="BB2485" s="82" t="s">
        <v>17385</v>
      </c>
      <c r="BC2485" s="82" t="s">
        <v>15569</v>
      </c>
      <c r="BD2485" s="82" t="s">
        <v>17667</v>
      </c>
      <c r="BE2485" s="77"/>
      <c r="BF2485" s="77"/>
      <c r="BG2485" s="77"/>
      <c r="BH2485" s="77"/>
      <c r="BI2485" s="77"/>
    </row>
    <row r="2486" spans="1:61" x14ac:dyDescent="0.25">
      <c r="A2486" s="62" t="s">
        <v>646</v>
      </c>
      <c r="B2486" s="62" t="s">
        <v>646</v>
      </c>
      <c r="C2486" s="63"/>
      <c r="D2486" s="64"/>
      <c r="E2486" s="65"/>
      <c r="F2486" s="66"/>
      <c r="G2486" s="63"/>
      <c r="H2486" s="67"/>
      <c r="I2486" s="68"/>
      <c r="J2486" s="68"/>
      <c r="K2486" s="32"/>
      <c r="L2486" s="75">
        <v>2486</v>
      </c>
      <c r="M2486" s="75"/>
      <c r="N2486" s="70"/>
      <c r="O2486" s="77" t="s">
        <v>179</v>
      </c>
      <c r="P2486" s="79">
        <v>45086.521747685183</v>
      </c>
      <c r="Q2486" s="77" t="s">
        <v>3263</v>
      </c>
      <c r="R2486" s="77">
        <v>0</v>
      </c>
      <c r="S2486" s="77">
        <v>0</v>
      </c>
      <c r="T2486" s="77">
        <v>0</v>
      </c>
      <c r="U2486" s="77">
        <v>0</v>
      </c>
      <c r="V2486" s="77">
        <v>129</v>
      </c>
      <c r="W2486" s="82" t="s">
        <v>6382</v>
      </c>
      <c r="X2486" s="80" t="str">
        <f>HYPERLINK("https://tinyurl.com/2dahnp4e")</f>
        <v>https://tinyurl.com/2dahnp4e</v>
      </c>
      <c r="Y2486" s="77" t="s">
        <v>7068</v>
      </c>
      <c r="Z2486" s="77"/>
      <c r="AA2486" s="77"/>
      <c r="AB2486" s="77"/>
      <c r="AC2486" s="82" t="s">
        <v>8274</v>
      </c>
      <c r="AD2486" s="77" t="s">
        <v>8278</v>
      </c>
      <c r="AE2486" s="80" t="str">
        <f>HYPERLINK("https://twitter.com/pauta_economica/status/1667147361980760064")</f>
        <v>https://twitter.com/pauta_economica/status/1667147361980760064</v>
      </c>
      <c r="AF2486" s="79">
        <v>45086.521747685183</v>
      </c>
      <c r="AG2486" s="85">
        <v>45086</v>
      </c>
      <c r="AH2486" s="82" t="s">
        <v>10536</v>
      </c>
      <c r="AI2486" s="77" t="b">
        <v>0</v>
      </c>
      <c r="AJ2486" s="77"/>
      <c r="AK2486" s="77"/>
      <c r="AL2486" s="77"/>
      <c r="AM2486" s="77"/>
      <c r="AN2486" s="77"/>
      <c r="AO2486" s="77"/>
      <c r="AP2486" s="77"/>
      <c r="AQ2486" s="77"/>
      <c r="AR2486" s="77"/>
      <c r="AS2486" s="77"/>
      <c r="AT2486" s="77"/>
      <c r="AU2486" s="77"/>
      <c r="AV2486" s="80" t="str">
        <f>HYPERLINK("https://pbs.twimg.com/profile_images/1588668531910082561/XEi-lXiu_normal.jpg")</f>
        <v>https://pbs.twimg.com/profile_images/1588668531910082561/XEi-lXiu_normal.jpg</v>
      </c>
      <c r="AW2486" s="82" t="s">
        <v>15570</v>
      </c>
      <c r="AX2486" s="82" t="s">
        <v>15570</v>
      </c>
      <c r="AY2486" s="77"/>
      <c r="AZ2486" s="82" t="s">
        <v>17385</v>
      </c>
      <c r="BA2486" s="82" t="s">
        <v>17385</v>
      </c>
      <c r="BB2486" s="82" t="s">
        <v>17385</v>
      </c>
      <c r="BC2486" s="82" t="s">
        <v>15570</v>
      </c>
      <c r="BD2486" s="82" t="s">
        <v>17667</v>
      </c>
      <c r="BE2486" s="77"/>
      <c r="BF2486" s="77"/>
      <c r="BG2486" s="77"/>
      <c r="BH2486" s="77"/>
      <c r="BI2486" s="77"/>
    </row>
    <row r="2487" spans="1:61" x14ac:dyDescent="0.25">
      <c r="A2487" s="62" t="s">
        <v>646</v>
      </c>
      <c r="B2487" s="62" t="s">
        <v>646</v>
      </c>
      <c r="C2487" s="63"/>
      <c r="D2487" s="64"/>
      <c r="E2487" s="65"/>
      <c r="F2487" s="66"/>
      <c r="G2487" s="63"/>
      <c r="H2487" s="67"/>
      <c r="I2487" s="68"/>
      <c r="J2487" s="68"/>
      <c r="K2487" s="32"/>
      <c r="L2487" s="75">
        <v>2487</v>
      </c>
      <c r="M2487" s="75"/>
      <c r="N2487" s="70"/>
      <c r="O2487" s="77" t="s">
        <v>179</v>
      </c>
      <c r="P2487" s="79">
        <v>45086.514803240738</v>
      </c>
      <c r="Q2487" s="77" t="s">
        <v>3264</v>
      </c>
      <c r="R2487" s="77">
        <v>0</v>
      </c>
      <c r="S2487" s="77">
        <v>0</v>
      </c>
      <c r="T2487" s="77">
        <v>0</v>
      </c>
      <c r="U2487" s="77">
        <v>0</v>
      </c>
      <c r="V2487" s="77">
        <v>42</v>
      </c>
      <c r="W2487" s="82" t="s">
        <v>6382</v>
      </c>
      <c r="X2487" s="80" t="str">
        <f>HYPERLINK("https://tinyurl.com/2c7l8sge")</f>
        <v>https://tinyurl.com/2c7l8sge</v>
      </c>
      <c r="Y2487" s="77" t="s">
        <v>7068</v>
      </c>
      <c r="Z2487" s="77"/>
      <c r="AA2487" s="77"/>
      <c r="AB2487" s="77"/>
      <c r="AC2487" s="82" t="s">
        <v>8274</v>
      </c>
      <c r="AD2487" s="77" t="s">
        <v>8278</v>
      </c>
      <c r="AE2487" s="80" t="str">
        <f>HYPERLINK("https://twitter.com/pauta_economica/status/1667144844706295809")</f>
        <v>https://twitter.com/pauta_economica/status/1667144844706295809</v>
      </c>
      <c r="AF2487" s="79">
        <v>45086.514803240738</v>
      </c>
      <c r="AG2487" s="85">
        <v>45086</v>
      </c>
      <c r="AH2487" s="82" t="s">
        <v>10537</v>
      </c>
      <c r="AI2487" s="77" t="b">
        <v>0</v>
      </c>
      <c r="AJ2487" s="77"/>
      <c r="AK2487" s="77"/>
      <c r="AL2487" s="77"/>
      <c r="AM2487" s="77"/>
      <c r="AN2487" s="77"/>
      <c r="AO2487" s="77"/>
      <c r="AP2487" s="77"/>
      <c r="AQ2487" s="77"/>
      <c r="AR2487" s="77"/>
      <c r="AS2487" s="77"/>
      <c r="AT2487" s="77"/>
      <c r="AU2487" s="77"/>
      <c r="AV2487" s="80" t="str">
        <f>HYPERLINK("https://pbs.twimg.com/profile_images/1588668531910082561/XEi-lXiu_normal.jpg")</f>
        <v>https://pbs.twimg.com/profile_images/1588668531910082561/XEi-lXiu_normal.jpg</v>
      </c>
      <c r="AW2487" s="82" t="s">
        <v>15571</v>
      </c>
      <c r="AX2487" s="82" t="s">
        <v>15571</v>
      </c>
      <c r="AY2487" s="77"/>
      <c r="AZ2487" s="82" t="s">
        <v>17385</v>
      </c>
      <c r="BA2487" s="82" t="s">
        <v>17385</v>
      </c>
      <c r="BB2487" s="82" t="s">
        <v>17385</v>
      </c>
      <c r="BC2487" s="82" t="s">
        <v>15571</v>
      </c>
      <c r="BD2487" s="82" t="s">
        <v>17667</v>
      </c>
      <c r="BE2487" s="77"/>
      <c r="BF2487" s="77"/>
      <c r="BG2487" s="77"/>
      <c r="BH2487" s="77"/>
      <c r="BI2487" s="77"/>
    </row>
    <row r="2488" spans="1:61" x14ac:dyDescent="0.25">
      <c r="A2488" s="62" t="s">
        <v>646</v>
      </c>
      <c r="B2488" s="62" t="s">
        <v>646</v>
      </c>
      <c r="C2488" s="63"/>
      <c r="D2488" s="64"/>
      <c r="E2488" s="65"/>
      <c r="F2488" s="66"/>
      <c r="G2488" s="63"/>
      <c r="H2488" s="67"/>
      <c r="I2488" s="68"/>
      <c r="J2488" s="68"/>
      <c r="K2488" s="32"/>
      <c r="L2488" s="75">
        <v>2488</v>
      </c>
      <c r="M2488" s="75"/>
      <c r="N2488" s="70"/>
      <c r="O2488" s="77" t="s">
        <v>179</v>
      </c>
      <c r="P2488" s="79">
        <v>45086.5078587963</v>
      </c>
      <c r="Q2488" s="77" t="s">
        <v>3265</v>
      </c>
      <c r="R2488" s="77">
        <v>0</v>
      </c>
      <c r="S2488" s="77">
        <v>0</v>
      </c>
      <c r="T2488" s="77">
        <v>0</v>
      </c>
      <c r="U2488" s="77">
        <v>0</v>
      </c>
      <c r="V2488" s="77">
        <v>51</v>
      </c>
      <c r="W2488" s="82" t="s">
        <v>6382</v>
      </c>
      <c r="X2488" s="80" t="str">
        <f>HYPERLINK("https://tinyurl.com/28rcxtux")</f>
        <v>https://tinyurl.com/28rcxtux</v>
      </c>
      <c r="Y2488" s="77" t="s">
        <v>7068</v>
      </c>
      <c r="Z2488" s="77"/>
      <c r="AA2488" s="77"/>
      <c r="AB2488" s="77"/>
      <c r="AC2488" s="82" t="s">
        <v>8274</v>
      </c>
      <c r="AD2488" s="77" t="s">
        <v>8278</v>
      </c>
      <c r="AE2488" s="80" t="str">
        <f>HYPERLINK("https://twitter.com/pauta_economica/status/1667142326500597761")</f>
        <v>https://twitter.com/pauta_economica/status/1667142326500597761</v>
      </c>
      <c r="AF2488" s="79">
        <v>45086.5078587963</v>
      </c>
      <c r="AG2488" s="85">
        <v>45086</v>
      </c>
      <c r="AH2488" s="82" t="s">
        <v>10538</v>
      </c>
      <c r="AI2488" s="77" t="b">
        <v>0</v>
      </c>
      <c r="AJ2488" s="77"/>
      <c r="AK2488" s="77"/>
      <c r="AL2488" s="77"/>
      <c r="AM2488" s="77"/>
      <c r="AN2488" s="77"/>
      <c r="AO2488" s="77"/>
      <c r="AP2488" s="77"/>
      <c r="AQ2488" s="77"/>
      <c r="AR2488" s="77"/>
      <c r="AS2488" s="77"/>
      <c r="AT2488" s="77"/>
      <c r="AU2488" s="77"/>
      <c r="AV2488" s="80" t="str">
        <f>HYPERLINK("https://pbs.twimg.com/profile_images/1588668531910082561/XEi-lXiu_normal.jpg")</f>
        <v>https://pbs.twimg.com/profile_images/1588668531910082561/XEi-lXiu_normal.jpg</v>
      </c>
      <c r="AW2488" s="82" t="s">
        <v>15572</v>
      </c>
      <c r="AX2488" s="82" t="s">
        <v>15572</v>
      </c>
      <c r="AY2488" s="77"/>
      <c r="AZ2488" s="82" t="s">
        <v>17385</v>
      </c>
      <c r="BA2488" s="82" t="s">
        <v>17385</v>
      </c>
      <c r="BB2488" s="82" t="s">
        <v>17385</v>
      </c>
      <c r="BC2488" s="82" t="s">
        <v>15572</v>
      </c>
      <c r="BD2488" s="82" t="s">
        <v>17667</v>
      </c>
      <c r="BE2488" s="77"/>
      <c r="BF2488" s="77"/>
      <c r="BG2488" s="77"/>
      <c r="BH2488" s="77"/>
      <c r="BI2488" s="77"/>
    </row>
    <row r="2489" spans="1:61" x14ac:dyDescent="0.25">
      <c r="A2489" s="62" t="s">
        <v>646</v>
      </c>
      <c r="B2489" s="62" t="s">
        <v>646</v>
      </c>
      <c r="C2489" s="63"/>
      <c r="D2489" s="64"/>
      <c r="E2489" s="65"/>
      <c r="F2489" s="66"/>
      <c r="G2489" s="63"/>
      <c r="H2489" s="67"/>
      <c r="I2489" s="68"/>
      <c r="J2489" s="68"/>
      <c r="K2489" s="32"/>
      <c r="L2489" s="75">
        <v>2489</v>
      </c>
      <c r="M2489" s="75"/>
      <c r="N2489" s="70"/>
      <c r="O2489" s="77" t="s">
        <v>179</v>
      </c>
      <c r="P2489" s="79">
        <v>45086.380960648145</v>
      </c>
      <c r="Q2489" s="77" t="s">
        <v>3266</v>
      </c>
      <c r="R2489" s="77">
        <v>0</v>
      </c>
      <c r="S2489" s="77">
        <v>0</v>
      </c>
      <c r="T2489" s="77">
        <v>0</v>
      </c>
      <c r="U2489" s="77">
        <v>0</v>
      </c>
      <c r="V2489" s="77">
        <v>23</v>
      </c>
      <c r="W2489" s="82" t="s">
        <v>6382</v>
      </c>
      <c r="X2489" s="80" t="str">
        <f>HYPERLINK("https://tinyurl.com/229rsazc")</f>
        <v>https://tinyurl.com/229rsazc</v>
      </c>
      <c r="Y2489" s="77" t="s">
        <v>7068</v>
      </c>
      <c r="Z2489" s="77"/>
      <c r="AA2489" s="77"/>
      <c r="AB2489" s="77"/>
      <c r="AC2489" s="82" t="s">
        <v>8274</v>
      </c>
      <c r="AD2489" s="77" t="s">
        <v>8278</v>
      </c>
      <c r="AE2489" s="80" t="str">
        <f>HYPERLINK("https://twitter.com/pauta_economica/status/1667096339342143488")</f>
        <v>https://twitter.com/pauta_economica/status/1667096339342143488</v>
      </c>
      <c r="AF2489" s="79">
        <v>45086.380960648145</v>
      </c>
      <c r="AG2489" s="85">
        <v>45086</v>
      </c>
      <c r="AH2489" s="82" t="s">
        <v>10539</v>
      </c>
      <c r="AI2489" s="77" t="b">
        <v>0</v>
      </c>
      <c r="AJ2489" s="77"/>
      <c r="AK2489" s="77"/>
      <c r="AL2489" s="77"/>
      <c r="AM2489" s="77"/>
      <c r="AN2489" s="77"/>
      <c r="AO2489" s="77"/>
      <c r="AP2489" s="77"/>
      <c r="AQ2489" s="77"/>
      <c r="AR2489" s="77"/>
      <c r="AS2489" s="77"/>
      <c r="AT2489" s="77"/>
      <c r="AU2489" s="77"/>
      <c r="AV2489" s="80" t="str">
        <f>HYPERLINK("https://pbs.twimg.com/profile_images/1588668531910082561/XEi-lXiu_normal.jpg")</f>
        <v>https://pbs.twimg.com/profile_images/1588668531910082561/XEi-lXiu_normal.jpg</v>
      </c>
      <c r="AW2489" s="82" t="s">
        <v>15573</v>
      </c>
      <c r="AX2489" s="82" t="s">
        <v>15573</v>
      </c>
      <c r="AY2489" s="77"/>
      <c r="AZ2489" s="82" t="s">
        <v>17385</v>
      </c>
      <c r="BA2489" s="82" t="s">
        <v>17385</v>
      </c>
      <c r="BB2489" s="82" t="s">
        <v>17385</v>
      </c>
      <c r="BC2489" s="82" t="s">
        <v>15573</v>
      </c>
      <c r="BD2489" s="82" t="s">
        <v>17667</v>
      </c>
      <c r="BE2489" s="77"/>
      <c r="BF2489" s="77"/>
      <c r="BG2489" s="77"/>
      <c r="BH2489" s="77"/>
      <c r="BI2489" s="77"/>
    </row>
    <row r="2490" spans="1:61" x14ac:dyDescent="0.25">
      <c r="A2490" s="62" t="s">
        <v>646</v>
      </c>
      <c r="B2490" s="62" t="s">
        <v>646</v>
      </c>
      <c r="C2490" s="63"/>
      <c r="D2490" s="64"/>
      <c r="E2490" s="65"/>
      <c r="F2490" s="66"/>
      <c r="G2490" s="63"/>
      <c r="H2490" s="67"/>
      <c r="I2490" s="68"/>
      <c r="J2490" s="68"/>
      <c r="K2490" s="32"/>
      <c r="L2490" s="75">
        <v>2490</v>
      </c>
      <c r="M2490" s="75"/>
      <c r="N2490" s="70"/>
      <c r="O2490" s="77" t="s">
        <v>179</v>
      </c>
      <c r="P2490" s="79">
        <v>45086.297326388885</v>
      </c>
      <c r="Q2490" s="77" t="s">
        <v>3267</v>
      </c>
      <c r="R2490" s="77">
        <v>0</v>
      </c>
      <c r="S2490" s="77">
        <v>0</v>
      </c>
      <c r="T2490" s="77">
        <v>0</v>
      </c>
      <c r="U2490" s="77">
        <v>0</v>
      </c>
      <c r="V2490" s="77">
        <v>23</v>
      </c>
      <c r="W2490" s="82" t="s">
        <v>6382</v>
      </c>
      <c r="X2490" s="80" t="str">
        <f>HYPERLINK("https://tinyurl.com/27kjwbf2")</f>
        <v>https://tinyurl.com/27kjwbf2</v>
      </c>
      <c r="Y2490" s="77" t="s">
        <v>7068</v>
      </c>
      <c r="Z2490" s="77"/>
      <c r="AA2490" s="77"/>
      <c r="AB2490" s="77"/>
      <c r="AC2490" s="82" t="s">
        <v>8274</v>
      </c>
      <c r="AD2490" s="77" t="s">
        <v>8278</v>
      </c>
      <c r="AE2490" s="80" t="str">
        <f>HYPERLINK("https://twitter.com/pauta_economica/status/1667066033667026944")</f>
        <v>https://twitter.com/pauta_economica/status/1667066033667026944</v>
      </c>
      <c r="AF2490" s="79">
        <v>45086.297326388885</v>
      </c>
      <c r="AG2490" s="85">
        <v>45086</v>
      </c>
      <c r="AH2490" s="82" t="s">
        <v>10540</v>
      </c>
      <c r="AI2490" s="77" t="b">
        <v>0</v>
      </c>
      <c r="AJ2490" s="77"/>
      <c r="AK2490" s="77"/>
      <c r="AL2490" s="77"/>
      <c r="AM2490" s="77"/>
      <c r="AN2490" s="77"/>
      <c r="AO2490" s="77"/>
      <c r="AP2490" s="77"/>
      <c r="AQ2490" s="77"/>
      <c r="AR2490" s="77"/>
      <c r="AS2490" s="77"/>
      <c r="AT2490" s="77"/>
      <c r="AU2490" s="77"/>
      <c r="AV2490" s="80" t="str">
        <f>HYPERLINK("https://pbs.twimg.com/profile_images/1588668531910082561/XEi-lXiu_normal.jpg")</f>
        <v>https://pbs.twimg.com/profile_images/1588668531910082561/XEi-lXiu_normal.jpg</v>
      </c>
      <c r="AW2490" s="82" t="s">
        <v>15574</v>
      </c>
      <c r="AX2490" s="82" t="s">
        <v>15574</v>
      </c>
      <c r="AY2490" s="77"/>
      <c r="AZ2490" s="82" t="s">
        <v>17385</v>
      </c>
      <c r="BA2490" s="82" t="s">
        <v>17385</v>
      </c>
      <c r="BB2490" s="82" t="s">
        <v>17385</v>
      </c>
      <c r="BC2490" s="82" t="s">
        <v>15574</v>
      </c>
      <c r="BD2490" s="82" t="s">
        <v>17667</v>
      </c>
      <c r="BE2490" s="77"/>
      <c r="BF2490" s="77"/>
      <c r="BG2490" s="77"/>
      <c r="BH2490" s="77"/>
      <c r="BI2490" s="77"/>
    </row>
    <row r="2491" spans="1:61" x14ac:dyDescent="0.25">
      <c r="A2491" s="62" t="s">
        <v>646</v>
      </c>
      <c r="B2491" s="62" t="s">
        <v>646</v>
      </c>
      <c r="C2491" s="63"/>
      <c r="D2491" s="64"/>
      <c r="E2491" s="65"/>
      <c r="F2491" s="66"/>
      <c r="G2491" s="63"/>
      <c r="H2491" s="67"/>
      <c r="I2491" s="68"/>
      <c r="J2491" s="68"/>
      <c r="K2491" s="32"/>
      <c r="L2491" s="75">
        <v>2491</v>
      </c>
      <c r="M2491" s="75"/>
      <c r="N2491" s="70"/>
      <c r="O2491" s="77" t="s">
        <v>179</v>
      </c>
      <c r="P2491" s="79">
        <v>45086.269421296296</v>
      </c>
      <c r="Q2491" s="77" t="s">
        <v>3268</v>
      </c>
      <c r="R2491" s="77">
        <v>0</v>
      </c>
      <c r="S2491" s="77">
        <v>0</v>
      </c>
      <c r="T2491" s="77">
        <v>0</v>
      </c>
      <c r="U2491" s="77">
        <v>0</v>
      </c>
      <c r="V2491" s="77">
        <v>20</v>
      </c>
      <c r="W2491" s="82" t="s">
        <v>6382</v>
      </c>
      <c r="X2491" s="80" t="str">
        <f>HYPERLINK("https://tinyurl.com/2yoedhy4")</f>
        <v>https://tinyurl.com/2yoedhy4</v>
      </c>
      <c r="Y2491" s="77" t="s">
        <v>7068</v>
      </c>
      <c r="Z2491" s="77"/>
      <c r="AA2491" s="77"/>
      <c r="AB2491" s="77"/>
      <c r="AC2491" s="82" t="s">
        <v>8274</v>
      </c>
      <c r="AD2491" s="77" t="s">
        <v>8278</v>
      </c>
      <c r="AE2491" s="80" t="str">
        <f>HYPERLINK("https://twitter.com/pauta_economica/status/1667055919413248000")</f>
        <v>https://twitter.com/pauta_economica/status/1667055919413248000</v>
      </c>
      <c r="AF2491" s="79">
        <v>45086.269421296296</v>
      </c>
      <c r="AG2491" s="85">
        <v>45086</v>
      </c>
      <c r="AH2491" s="82" t="s">
        <v>10541</v>
      </c>
      <c r="AI2491" s="77" t="b">
        <v>0</v>
      </c>
      <c r="AJ2491" s="77"/>
      <c r="AK2491" s="77"/>
      <c r="AL2491" s="77"/>
      <c r="AM2491" s="77"/>
      <c r="AN2491" s="77"/>
      <c r="AO2491" s="77"/>
      <c r="AP2491" s="77"/>
      <c r="AQ2491" s="77"/>
      <c r="AR2491" s="77"/>
      <c r="AS2491" s="77"/>
      <c r="AT2491" s="77"/>
      <c r="AU2491" s="77"/>
      <c r="AV2491" s="80" t="str">
        <f>HYPERLINK("https://pbs.twimg.com/profile_images/1588668531910082561/XEi-lXiu_normal.jpg")</f>
        <v>https://pbs.twimg.com/profile_images/1588668531910082561/XEi-lXiu_normal.jpg</v>
      </c>
      <c r="AW2491" s="82" t="s">
        <v>15575</v>
      </c>
      <c r="AX2491" s="82" t="s">
        <v>15575</v>
      </c>
      <c r="AY2491" s="77"/>
      <c r="AZ2491" s="82" t="s">
        <v>17385</v>
      </c>
      <c r="BA2491" s="82" t="s">
        <v>17385</v>
      </c>
      <c r="BB2491" s="82" t="s">
        <v>17385</v>
      </c>
      <c r="BC2491" s="82" t="s">
        <v>15575</v>
      </c>
      <c r="BD2491" s="82" t="s">
        <v>17667</v>
      </c>
      <c r="BE2491" s="77"/>
      <c r="BF2491" s="77"/>
      <c r="BG2491" s="77"/>
      <c r="BH2491" s="77"/>
      <c r="BI2491" s="77"/>
    </row>
    <row r="2492" spans="1:61" x14ac:dyDescent="0.25">
      <c r="A2492" s="62" t="s">
        <v>646</v>
      </c>
      <c r="B2492" s="62" t="s">
        <v>646</v>
      </c>
      <c r="C2492" s="63"/>
      <c r="D2492" s="64"/>
      <c r="E2492" s="65"/>
      <c r="F2492" s="66"/>
      <c r="G2492" s="63"/>
      <c r="H2492" s="67"/>
      <c r="I2492" s="68"/>
      <c r="J2492" s="68"/>
      <c r="K2492" s="32"/>
      <c r="L2492" s="75">
        <v>2492</v>
      </c>
      <c r="M2492" s="75"/>
      <c r="N2492" s="70"/>
      <c r="O2492" s="77" t="s">
        <v>179</v>
      </c>
      <c r="P2492" s="79">
        <v>45086.213425925926</v>
      </c>
      <c r="Q2492" s="77" t="s">
        <v>3269</v>
      </c>
      <c r="R2492" s="77">
        <v>0</v>
      </c>
      <c r="S2492" s="77">
        <v>0</v>
      </c>
      <c r="T2492" s="77">
        <v>0</v>
      </c>
      <c r="U2492" s="77">
        <v>0</v>
      </c>
      <c r="V2492" s="77">
        <v>77</v>
      </c>
      <c r="W2492" s="82" t="s">
        <v>6382</v>
      </c>
      <c r="X2492" s="80" t="str">
        <f>HYPERLINK("https://tinyurl.com/2cfrwzr7")</f>
        <v>https://tinyurl.com/2cfrwzr7</v>
      </c>
      <c r="Y2492" s="77" t="s">
        <v>7068</v>
      </c>
      <c r="Z2492" s="77"/>
      <c r="AA2492" s="77"/>
      <c r="AB2492" s="77"/>
      <c r="AC2492" s="82" t="s">
        <v>8274</v>
      </c>
      <c r="AD2492" s="77" t="s">
        <v>8278</v>
      </c>
      <c r="AE2492" s="80" t="str">
        <f>HYPERLINK("https://twitter.com/pauta_economica/status/1667035629962526721")</f>
        <v>https://twitter.com/pauta_economica/status/1667035629962526721</v>
      </c>
      <c r="AF2492" s="79">
        <v>45086.213425925926</v>
      </c>
      <c r="AG2492" s="85">
        <v>45086</v>
      </c>
      <c r="AH2492" s="82" t="s">
        <v>10542</v>
      </c>
      <c r="AI2492" s="77" t="b">
        <v>0</v>
      </c>
      <c r="AJ2492" s="77"/>
      <c r="AK2492" s="77"/>
      <c r="AL2492" s="77"/>
      <c r="AM2492" s="77"/>
      <c r="AN2492" s="77"/>
      <c r="AO2492" s="77"/>
      <c r="AP2492" s="77"/>
      <c r="AQ2492" s="77"/>
      <c r="AR2492" s="77"/>
      <c r="AS2492" s="77"/>
      <c r="AT2492" s="77"/>
      <c r="AU2492" s="77"/>
      <c r="AV2492" s="80" t="str">
        <f>HYPERLINK("https://pbs.twimg.com/profile_images/1588668531910082561/XEi-lXiu_normal.jpg")</f>
        <v>https://pbs.twimg.com/profile_images/1588668531910082561/XEi-lXiu_normal.jpg</v>
      </c>
      <c r="AW2492" s="82" t="s">
        <v>15576</v>
      </c>
      <c r="AX2492" s="82" t="s">
        <v>15576</v>
      </c>
      <c r="AY2492" s="77"/>
      <c r="AZ2492" s="82" t="s">
        <v>17385</v>
      </c>
      <c r="BA2492" s="82" t="s">
        <v>17385</v>
      </c>
      <c r="BB2492" s="82" t="s">
        <v>17385</v>
      </c>
      <c r="BC2492" s="82" t="s">
        <v>15576</v>
      </c>
      <c r="BD2492" s="82" t="s">
        <v>17667</v>
      </c>
      <c r="BE2492" s="77"/>
      <c r="BF2492" s="77"/>
      <c r="BG2492" s="77"/>
      <c r="BH2492" s="77"/>
      <c r="BI2492" s="77"/>
    </row>
    <row r="2493" spans="1:61" x14ac:dyDescent="0.25">
      <c r="A2493" s="62" t="s">
        <v>646</v>
      </c>
      <c r="B2493" s="62" t="s">
        <v>646</v>
      </c>
      <c r="C2493" s="63"/>
      <c r="D2493" s="64"/>
      <c r="E2493" s="65"/>
      <c r="F2493" s="66"/>
      <c r="G2493" s="63"/>
      <c r="H2493" s="67"/>
      <c r="I2493" s="68"/>
      <c r="J2493" s="68"/>
      <c r="K2493" s="32"/>
      <c r="L2493" s="75">
        <v>2493</v>
      </c>
      <c r="M2493" s="75"/>
      <c r="N2493" s="70"/>
      <c r="O2493" s="77" t="s">
        <v>179</v>
      </c>
      <c r="P2493" s="79">
        <v>45086.185497685183</v>
      </c>
      <c r="Q2493" s="77" t="s">
        <v>3270</v>
      </c>
      <c r="R2493" s="77">
        <v>0</v>
      </c>
      <c r="S2493" s="77">
        <v>0</v>
      </c>
      <c r="T2493" s="77">
        <v>0</v>
      </c>
      <c r="U2493" s="77">
        <v>1</v>
      </c>
      <c r="V2493" s="77">
        <v>99</v>
      </c>
      <c r="W2493" s="82" t="s">
        <v>6382</v>
      </c>
      <c r="X2493" s="80" t="str">
        <f>HYPERLINK("https://tinyurl.com/23a4afgg")</f>
        <v>https://tinyurl.com/23a4afgg</v>
      </c>
      <c r="Y2493" s="77" t="s">
        <v>7068</v>
      </c>
      <c r="Z2493" s="77"/>
      <c r="AA2493" s="77"/>
      <c r="AB2493" s="77"/>
      <c r="AC2493" s="82" t="s">
        <v>8274</v>
      </c>
      <c r="AD2493" s="77" t="s">
        <v>8278</v>
      </c>
      <c r="AE2493" s="80" t="str">
        <f>HYPERLINK("https://twitter.com/pauta_economica/status/1667025508662386689")</f>
        <v>https://twitter.com/pauta_economica/status/1667025508662386689</v>
      </c>
      <c r="AF2493" s="79">
        <v>45086.185497685183</v>
      </c>
      <c r="AG2493" s="85">
        <v>45086</v>
      </c>
      <c r="AH2493" s="82" t="s">
        <v>10543</v>
      </c>
      <c r="AI2493" s="77" t="b">
        <v>0</v>
      </c>
      <c r="AJ2493" s="77"/>
      <c r="AK2493" s="77"/>
      <c r="AL2493" s="77"/>
      <c r="AM2493" s="77"/>
      <c r="AN2493" s="77"/>
      <c r="AO2493" s="77"/>
      <c r="AP2493" s="77"/>
      <c r="AQ2493" s="77"/>
      <c r="AR2493" s="77"/>
      <c r="AS2493" s="77"/>
      <c r="AT2493" s="77"/>
      <c r="AU2493" s="77"/>
      <c r="AV2493" s="80" t="str">
        <f>HYPERLINK("https://pbs.twimg.com/profile_images/1588668531910082561/XEi-lXiu_normal.jpg")</f>
        <v>https://pbs.twimg.com/profile_images/1588668531910082561/XEi-lXiu_normal.jpg</v>
      </c>
      <c r="AW2493" s="82" t="s">
        <v>15577</v>
      </c>
      <c r="AX2493" s="82" t="s">
        <v>15577</v>
      </c>
      <c r="AY2493" s="77"/>
      <c r="AZ2493" s="82" t="s">
        <v>17385</v>
      </c>
      <c r="BA2493" s="82" t="s">
        <v>17385</v>
      </c>
      <c r="BB2493" s="82" t="s">
        <v>17385</v>
      </c>
      <c r="BC2493" s="82" t="s">
        <v>15577</v>
      </c>
      <c r="BD2493" s="82" t="s">
        <v>17667</v>
      </c>
      <c r="BE2493" s="77"/>
      <c r="BF2493" s="77"/>
      <c r="BG2493" s="77"/>
      <c r="BH2493" s="77"/>
      <c r="BI2493" s="77"/>
    </row>
    <row r="2494" spans="1:61" x14ac:dyDescent="0.25">
      <c r="A2494" s="62" t="s">
        <v>646</v>
      </c>
      <c r="B2494" s="62" t="s">
        <v>646</v>
      </c>
      <c r="C2494" s="63"/>
      <c r="D2494" s="64"/>
      <c r="E2494" s="65"/>
      <c r="F2494" s="66"/>
      <c r="G2494" s="63"/>
      <c r="H2494" s="67"/>
      <c r="I2494" s="68"/>
      <c r="J2494" s="68"/>
      <c r="K2494" s="32"/>
      <c r="L2494" s="75">
        <v>2494</v>
      </c>
      <c r="M2494" s="75"/>
      <c r="N2494" s="70"/>
      <c r="O2494" s="77" t="s">
        <v>179</v>
      </c>
      <c r="P2494" s="79">
        <v>45086.157581018517</v>
      </c>
      <c r="Q2494" s="77" t="s">
        <v>3271</v>
      </c>
      <c r="R2494" s="77">
        <v>0</v>
      </c>
      <c r="S2494" s="77">
        <v>0</v>
      </c>
      <c r="T2494" s="77">
        <v>0</v>
      </c>
      <c r="U2494" s="77">
        <v>0</v>
      </c>
      <c r="V2494" s="77">
        <v>22</v>
      </c>
      <c r="W2494" s="82" t="s">
        <v>6382</v>
      </c>
      <c r="X2494" s="80" t="str">
        <f>HYPERLINK("https://tinyurl.com/2aakamnb")</f>
        <v>https://tinyurl.com/2aakamnb</v>
      </c>
      <c r="Y2494" s="77" t="s">
        <v>7068</v>
      </c>
      <c r="Z2494" s="77"/>
      <c r="AA2494" s="77"/>
      <c r="AB2494" s="77"/>
      <c r="AC2494" s="82" t="s">
        <v>8274</v>
      </c>
      <c r="AD2494" s="77" t="s">
        <v>8278</v>
      </c>
      <c r="AE2494" s="80" t="str">
        <f>HYPERLINK("https://twitter.com/pauta_economica/status/1667015392143835136")</f>
        <v>https://twitter.com/pauta_economica/status/1667015392143835136</v>
      </c>
      <c r="AF2494" s="79">
        <v>45086.157581018517</v>
      </c>
      <c r="AG2494" s="85">
        <v>45086</v>
      </c>
      <c r="AH2494" s="82" t="s">
        <v>10544</v>
      </c>
      <c r="AI2494" s="77" t="b">
        <v>0</v>
      </c>
      <c r="AJ2494" s="77"/>
      <c r="AK2494" s="77"/>
      <c r="AL2494" s="77"/>
      <c r="AM2494" s="77"/>
      <c r="AN2494" s="77"/>
      <c r="AO2494" s="77"/>
      <c r="AP2494" s="77"/>
      <c r="AQ2494" s="77"/>
      <c r="AR2494" s="77"/>
      <c r="AS2494" s="77"/>
      <c r="AT2494" s="77"/>
      <c r="AU2494" s="77"/>
      <c r="AV2494" s="80" t="str">
        <f>HYPERLINK("https://pbs.twimg.com/profile_images/1588668531910082561/XEi-lXiu_normal.jpg")</f>
        <v>https://pbs.twimg.com/profile_images/1588668531910082561/XEi-lXiu_normal.jpg</v>
      </c>
      <c r="AW2494" s="82" t="s">
        <v>15578</v>
      </c>
      <c r="AX2494" s="82" t="s">
        <v>15578</v>
      </c>
      <c r="AY2494" s="77"/>
      <c r="AZ2494" s="82" t="s">
        <v>17385</v>
      </c>
      <c r="BA2494" s="82" t="s">
        <v>17385</v>
      </c>
      <c r="BB2494" s="82" t="s">
        <v>17385</v>
      </c>
      <c r="BC2494" s="82" t="s">
        <v>15578</v>
      </c>
      <c r="BD2494" s="82" t="s">
        <v>17667</v>
      </c>
      <c r="BE2494" s="77"/>
      <c r="BF2494" s="77"/>
      <c r="BG2494" s="77"/>
      <c r="BH2494" s="77"/>
      <c r="BI2494" s="77"/>
    </row>
    <row r="2495" spans="1:61" x14ac:dyDescent="0.25">
      <c r="A2495" s="62" t="s">
        <v>646</v>
      </c>
      <c r="B2495" s="62" t="s">
        <v>646</v>
      </c>
      <c r="C2495" s="63"/>
      <c r="D2495" s="64"/>
      <c r="E2495" s="65"/>
      <c r="F2495" s="66"/>
      <c r="G2495" s="63"/>
      <c r="H2495" s="67"/>
      <c r="I2495" s="68"/>
      <c r="J2495" s="68"/>
      <c r="K2495" s="32"/>
      <c r="L2495" s="75">
        <v>2495</v>
      </c>
      <c r="M2495" s="75"/>
      <c r="N2495" s="70"/>
      <c r="O2495" s="77" t="s">
        <v>179</v>
      </c>
      <c r="P2495" s="79">
        <v>45086.129710648151</v>
      </c>
      <c r="Q2495" s="77" t="s">
        <v>3272</v>
      </c>
      <c r="R2495" s="77">
        <v>0</v>
      </c>
      <c r="S2495" s="77">
        <v>0</v>
      </c>
      <c r="T2495" s="77">
        <v>0</v>
      </c>
      <c r="U2495" s="77">
        <v>0</v>
      </c>
      <c r="V2495" s="77">
        <v>106</v>
      </c>
      <c r="W2495" s="82" t="s">
        <v>6382</v>
      </c>
      <c r="X2495" s="80" t="str">
        <f>HYPERLINK("https://tinyurl.com/29l9je7r")</f>
        <v>https://tinyurl.com/29l9je7r</v>
      </c>
      <c r="Y2495" s="77" t="s">
        <v>7068</v>
      </c>
      <c r="Z2495" s="77"/>
      <c r="AA2495" s="77"/>
      <c r="AB2495" s="77"/>
      <c r="AC2495" s="82" t="s">
        <v>8274</v>
      </c>
      <c r="AD2495" s="77" t="s">
        <v>8278</v>
      </c>
      <c r="AE2495" s="80" t="str">
        <f>HYPERLINK("https://twitter.com/pauta_economica/status/1667005291483877376")</f>
        <v>https://twitter.com/pauta_economica/status/1667005291483877376</v>
      </c>
      <c r="AF2495" s="79">
        <v>45086.129710648151</v>
      </c>
      <c r="AG2495" s="85">
        <v>45086</v>
      </c>
      <c r="AH2495" s="82" t="s">
        <v>10545</v>
      </c>
      <c r="AI2495" s="77" t="b">
        <v>0</v>
      </c>
      <c r="AJ2495" s="77"/>
      <c r="AK2495" s="77"/>
      <c r="AL2495" s="77"/>
      <c r="AM2495" s="77"/>
      <c r="AN2495" s="77"/>
      <c r="AO2495" s="77"/>
      <c r="AP2495" s="77"/>
      <c r="AQ2495" s="77"/>
      <c r="AR2495" s="77"/>
      <c r="AS2495" s="77"/>
      <c r="AT2495" s="77"/>
      <c r="AU2495" s="77"/>
      <c r="AV2495" s="80" t="str">
        <f>HYPERLINK("https://pbs.twimg.com/profile_images/1588668531910082561/XEi-lXiu_normal.jpg")</f>
        <v>https://pbs.twimg.com/profile_images/1588668531910082561/XEi-lXiu_normal.jpg</v>
      </c>
      <c r="AW2495" s="82" t="s">
        <v>15579</v>
      </c>
      <c r="AX2495" s="82" t="s">
        <v>15579</v>
      </c>
      <c r="AY2495" s="77"/>
      <c r="AZ2495" s="82" t="s">
        <v>17385</v>
      </c>
      <c r="BA2495" s="82" t="s">
        <v>17385</v>
      </c>
      <c r="BB2495" s="82" t="s">
        <v>17385</v>
      </c>
      <c r="BC2495" s="82" t="s">
        <v>15579</v>
      </c>
      <c r="BD2495" s="82" t="s">
        <v>17667</v>
      </c>
      <c r="BE2495" s="77"/>
      <c r="BF2495" s="77"/>
      <c r="BG2495" s="77"/>
      <c r="BH2495" s="77"/>
      <c r="BI2495" s="77"/>
    </row>
    <row r="2496" spans="1:61" x14ac:dyDescent="0.25">
      <c r="A2496" s="62" t="s">
        <v>646</v>
      </c>
      <c r="B2496" s="62" t="s">
        <v>646</v>
      </c>
      <c r="C2496" s="63"/>
      <c r="D2496" s="64"/>
      <c r="E2496" s="65"/>
      <c r="F2496" s="66"/>
      <c r="G2496" s="63"/>
      <c r="H2496" s="67"/>
      <c r="I2496" s="68"/>
      <c r="J2496" s="68"/>
      <c r="K2496" s="32"/>
      <c r="L2496" s="75">
        <v>2496</v>
      </c>
      <c r="M2496" s="75"/>
      <c r="N2496" s="70"/>
      <c r="O2496" s="77" t="s">
        <v>179</v>
      </c>
      <c r="P2496" s="79">
        <v>45086.101875</v>
      </c>
      <c r="Q2496" s="77" t="s">
        <v>3273</v>
      </c>
      <c r="R2496" s="77">
        <v>0</v>
      </c>
      <c r="S2496" s="77">
        <v>0</v>
      </c>
      <c r="T2496" s="77">
        <v>0</v>
      </c>
      <c r="U2496" s="77">
        <v>0</v>
      </c>
      <c r="V2496" s="77">
        <v>43</v>
      </c>
      <c r="W2496" s="82" t="s">
        <v>6382</v>
      </c>
      <c r="X2496" s="80" t="str">
        <f>HYPERLINK("https://tinyurl.com/2yqnnzhu")</f>
        <v>https://tinyurl.com/2yqnnzhu</v>
      </c>
      <c r="Y2496" s="77" t="s">
        <v>7068</v>
      </c>
      <c r="Z2496" s="77"/>
      <c r="AA2496" s="77"/>
      <c r="AB2496" s="77"/>
      <c r="AC2496" s="82" t="s">
        <v>8274</v>
      </c>
      <c r="AD2496" s="77" t="s">
        <v>8278</v>
      </c>
      <c r="AE2496" s="80" t="str">
        <f>HYPERLINK("https://twitter.com/pauta_economica/status/1666995203515793409")</f>
        <v>https://twitter.com/pauta_economica/status/1666995203515793409</v>
      </c>
      <c r="AF2496" s="79">
        <v>45086.101875</v>
      </c>
      <c r="AG2496" s="85">
        <v>45086</v>
      </c>
      <c r="AH2496" s="82" t="s">
        <v>10546</v>
      </c>
      <c r="AI2496" s="77" t="b">
        <v>0</v>
      </c>
      <c r="AJ2496" s="77"/>
      <c r="AK2496" s="77"/>
      <c r="AL2496" s="77"/>
      <c r="AM2496" s="77"/>
      <c r="AN2496" s="77"/>
      <c r="AO2496" s="77"/>
      <c r="AP2496" s="77"/>
      <c r="AQ2496" s="77"/>
      <c r="AR2496" s="77"/>
      <c r="AS2496" s="77"/>
      <c r="AT2496" s="77"/>
      <c r="AU2496" s="77"/>
      <c r="AV2496" s="80" t="str">
        <f>HYPERLINK("https://pbs.twimg.com/profile_images/1588668531910082561/XEi-lXiu_normal.jpg")</f>
        <v>https://pbs.twimg.com/profile_images/1588668531910082561/XEi-lXiu_normal.jpg</v>
      </c>
      <c r="AW2496" s="82" t="s">
        <v>15580</v>
      </c>
      <c r="AX2496" s="82" t="s">
        <v>15580</v>
      </c>
      <c r="AY2496" s="77"/>
      <c r="AZ2496" s="82" t="s">
        <v>17385</v>
      </c>
      <c r="BA2496" s="82" t="s">
        <v>17385</v>
      </c>
      <c r="BB2496" s="82" t="s">
        <v>17385</v>
      </c>
      <c r="BC2496" s="82" t="s">
        <v>15580</v>
      </c>
      <c r="BD2496" s="82" t="s">
        <v>17667</v>
      </c>
      <c r="BE2496" s="77"/>
      <c r="BF2496" s="77"/>
      <c r="BG2496" s="77"/>
      <c r="BH2496" s="77"/>
      <c r="BI2496" s="77"/>
    </row>
    <row r="2497" spans="1:61" x14ac:dyDescent="0.25">
      <c r="A2497" s="62" t="s">
        <v>646</v>
      </c>
      <c r="B2497" s="62" t="s">
        <v>646</v>
      </c>
      <c r="C2497" s="63"/>
      <c r="D2497" s="64"/>
      <c r="E2497" s="65"/>
      <c r="F2497" s="66"/>
      <c r="G2497" s="63"/>
      <c r="H2497" s="67"/>
      <c r="I2497" s="68"/>
      <c r="J2497" s="68"/>
      <c r="K2497" s="32"/>
      <c r="L2497" s="75">
        <v>2497</v>
      </c>
      <c r="M2497" s="75"/>
      <c r="N2497" s="70"/>
      <c r="O2497" s="77" t="s">
        <v>179</v>
      </c>
      <c r="P2497" s="79">
        <v>45086.074074074073</v>
      </c>
      <c r="Q2497" s="77" t="s">
        <v>3274</v>
      </c>
      <c r="R2497" s="77">
        <v>0</v>
      </c>
      <c r="S2497" s="77">
        <v>0</v>
      </c>
      <c r="T2497" s="77">
        <v>0</v>
      </c>
      <c r="U2497" s="77">
        <v>0</v>
      </c>
      <c r="V2497" s="77">
        <v>53</v>
      </c>
      <c r="W2497" s="82" t="s">
        <v>6382</v>
      </c>
      <c r="X2497" s="80" t="str">
        <f>HYPERLINK("https://tinyurl.com/23vhg4md")</f>
        <v>https://tinyurl.com/23vhg4md</v>
      </c>
      <c r="Y2497" s="77" t="s">
        <v>7068</v>
      </c>
      <c r="Z2497" s="77"/>
      <c r="AA2497" s="77"/>
      <c r="AB2497" s="77"/>
      <c r="AC2497" s="82" t="s">
        <v>8274</v>
      </c>
      <c r="AD2497" s="77" t="s">
        <v>8278</v>
      </c>
      <c r="AE2497" s="80" t="str">
        <f>HYPERLINK("https://twitter.com/pauta_economica/status/1666985128659152896")</f>
        <v>https://twitter.com/pauta_economica/status/1666985128659152896</v>
      </c>
      <c r="AF2497" s="79">
        <v>45086.074074074073</v>
      </c>
      <c r="AG2497" s="85">
        <v>45086</v>
      </c>
      <c r="AH2497" s="82" t="s">
        <v>10547</v>
      </c>
      <c r="AI2497" s="77" t="b">
        <v>0</v>
      </c>
      <c r="AJ2497" s="77"/>
      <c r="AK2497" s="77"/>
      <c r="AL2497" s="77"/>
      <c r="AM2497" s="77"/>
      <c r="AN2497" s="77"/>
      <c r="AO2497" s="77"/>
      <c r="AP2497" s="77"/>
      <c r="AQ2497" s="77"/>
      <c r="AR2497" s="77"/>
      <c r="AS2497" s="77"/>
      <c r="AT2497" s="77"/>
      <c r="AU2497" s="77"/>
      <c r="AV2497" s="80" t="str">
        <f>HYPERLINK("https://pbs.twimg.com/profile_images/1588668531910082561/XEi-lXiu_normal.jpg")</f>
        <v>https://pbs.twimg.com/profile_images/1588668531910082561/XEi-lXiu_normal.jpg</v>
      </c>
      <c r="AW2497" s="82" t="s">
        <v>15581</v>
      </c>
      <c r="AX2497" s="82" t="s">
        <v>15581</v>
      </c>
      <c r="AY2497" s="77"/>
      <c r="AZ2497" s="82" t="s">
        <v>17385</v>
      </c>
      <c r="BA2497" s="82" t="s">
        <v>17385</v>
      </c>
      <c r="BB2497" s="82" t="s">
        <v>17385</v>
      </c>
      <c r="BC2497" s="82" t="s">
        <v>15581</v>
      </c>
      <c r="BD2497" s="82" t="s">
        <v>17667</v>
      </c>
      <c r="BE2497" s="77"/>
      <c r="BF2497" s="77"/>
      <c r="BG2497" s="77"/>
      <c r="BH2497" s="77"/>
      <c r="BI2497" s="77"/>
    </row>
    <row r="2498" spans="1:61" x14ac:dyDescent="0.25">
      <c r="A2498" s="62" t="s">
        <v>646</v>
      </c>
      <c r="B2498" s="62" t="s">
        <v>646</v>
      </c>
      <c r="C2498" s="63"/>
      <c r="D2498" s="64"/>
      <c r="E2498" s="65"/>
      <c r="F2498" s="66"/>
      <c r="G2498" s="63"/>
      <c r="H2498" s="67"/>
      <c r="I2498" s="68"/>
      <c r="J2498" s="68"/>
      <c r="K2498" s="32"/>
      <c r="L2498" s="75">
        <v>2498</v>
      </c>
      <c r="M2498" s="75"/>
      <c r="N2498" s="70"/>
      <c r="O2498" s="77" t="s">
        <v>179</v>
      </c>
      <c r="P2498" s="79">
        <v>45055.363298611112</v>
      </c>
      <c r="Q2498" s="77" t="s">
        <v>3275</v>
      </c>
      <c r="R2498" s="77">
        <v>0</v>
      </c>
      <c r="S2498" s="77">
        <v>0</v>
      </c>
      <c r="T2498" s="77">
        <v>0</v>
      </c>
      <c r="U2498" s="77">
        <v>0</v>
      </c>
      <c r="V2498" s="77">
        <v>25</v>
      </c>
      <c r="W2498" s="82" t="s">
        <v>6382</v>
      </c>
      <c r="X2498" s="80" t="str">
        <f>HYPERLINK("https://tinyurl.com/2mbjzcbl")</f>
        <v>https://tinyurl.com/2mbjzcbl</v>
      </c>
      <c r="Y2498" s="77" t="s">
        <v>7068</v>
      </c>
      <c r="Z2498" s="77"/>
      <c r="AA2498" s="77"/>
      <c r="AB2498" s="77"/>
      <c r="AC2498" s="82" t="s">
        <v>8275</v>
      </c>
      <c r="AD2498" s="77" t="s">
        <v>8278</v>
      </c>
      <c r="AE2498" s="80" t="str">
        <f>HYPERLINK("https://twitter.com/pauta_economica/status/1655855914597990402")</f>
        <v>https://twitter.com/pauta_economica/status/1655855914597990402</v>
      </c>
      <c r="AF2498" s="79">
        <v>45055.363298611112</v>
      </c>
      <c r="AG2498" s="85">
        <v>45055</v>
      </c>
      <c r="AH2498" s="82" t="s">
        <v>10548</v>
      </c>
      <c r="AI2498" s="77" t="b">
        <v>0</v>
      </c>
      <c r="AJ2498" s="77"/>
      <c r="AK2498" s="77"/>
      <c r="AL2498" s="77"/>
      <c r="AM2498" s="77"/>
      <c r="AN2498" s="77"/>
      <c r="AO2498" s="77"/>
      <c r="AP2498" s="77"/>
      <c r="AQ2498" s="77"/>
      <c r="AR2498" s="77"/>
      <c r="AS2498" s="77"/>
      <c r="AT2498" s="77"/>
      <c r="AU2498" s="77"/>
      <c r="AV2498" s="80" t="str">
        <f>HYPERLINK("https://pbs.twimg.com/profile_images/1588668531910082561/XEi-lXiu_normal.jpg")</f>
        <v>https://pbs.twimg.com/profile_images/1588668531910082561/XEi-lXiu_normal.jpg</v>
      </c>
      <c r="AW2498" s="82" t="s">
        <v>15582</v>
      </c>
      <c r="AX2498" s="82" t="s">
        <v>15582</v>
      </c>
      <c r="AY2498" s="77"/>
      <c r="AZ2498" s="82" t="s">
        <v>17385</v>
      </c>
      <c r="BA2498" s="82" t="s">
        <v>17385</v>
      </c>
      <c r="BB2498" s="82" t="s">
        <v>17385</v>
      </c>
      <c r="BC2498" s="82" t="s">
        <v>15582</v>
      </c>
      <c r="BD2498" s="82" t="s">
        <v>17667</v>
      </c>
      <c r="BE2498" s="77"/>
      <c r="BF2498" s="77"/>
      <c r="BG2498" s="77"/>
      <c r="BH2498" s="77"/>
      <c r="BI2498" s="77"/>
    </row>
    <row r="2499" spans="1:61" x14ac:dyDescent="0.25">
      <c r="A2499" s="62" t="s">
        <v>646</v>
      </c>
      <c r="B2499" s="62" t="s">
        <v>646</v>
      </c>
      <c r="C2499" s="63"/>
      <c r="D2499" s="64"/>
      <c r="E2499" s="65"/>
      <c r="F2499" s="66"/>
      <c r="G2499" s="63"/>
      <c r="H2499" s="67"/>
      <c r="I2499" s="68"/>
      <c r="J2499" s="68"/>
      <c r="K2499" s="32"/>
      <c r="L2499" s="75">
        <v>2499</v>
      </c>
      <c r="M2499" s="75"/>
      <c r="N2499" s="70"/>
      <c r="O2499" s="77" t="s">
        <v>179</v>
      </c>
      <c r="P2499" s="79">
        <v>45055.224004629628</v>
      </c>
      <c r="Q2499" s="77" t="s">
        <v>3276</v>
      </c>
      <c r="R2499" s="77">
        <v>0</v>
      </c>
      <c r="S2499" s="77">
        <v>0</v>
      </c>
      <c r="T2499" s="77">
        <v>0</v>
      </c>
      <c r="U2499" s="77">
        <v>0</v>
      </c>
      <c r="V2499" s="77">
        <v>19</v>
      </c>
      <c r="W2499" s="82" t="s">
        <v>6382</v>
      </c>
      <c r="X2499" s="80" t="str">
        <f>HYPERLINK("https://tinyurl.com/2kzoox6m")</f>
        <v>https://tinyurl.com/2kzoox6m</v>
      </c>
      <c r="Y2499" s="77" t="s">
        <v>7068</v>
      </c>
      <c r="Z2499" s="77"/>
      <c r="AA2499" s="77"/>
      <c r="AB2499" s="77"/>
      <c r="AC2499" s="82" t="s">
        <v>8275</v>
      </c>
      <c r="AD2499" s="77" t="s">
        <v>8278</v>
      </c>
      <c r="AE2499" s="80" t="str">
        <f>HYPERLINK("https://twitter.com/pauta_economica/status/1655805439253118976")</f>
        <v>https://twitter.com/pauta_economica/status/1655805439253118976</v>
      </c>
      <c r="AF2499" s="79">
        <v>45055.224004629628</v>
      </c>
      <c r="AG2499" s="85">
        <v>45055</v>
      </c>
      <c r="AH2499" s="82" t="s">
        <v>10549</v>
      </c>
      <c r="AI2499" s="77" t="b">
        <v>0</v>
      </c>
      <c r="AJ2499" s="77"/>
      <c r="AK2499" s="77"/>
      <c r="AL2499" s="77"/>
      <c r="AM2499" s="77"/>
      <c r="AN2499" s="77"/>
      <c r="AO2499" s="77"/>
      <c r="AP2499" s="77"/>
      <c r="AQ2499" s="77"/>
      <c r="AR2499" s="77"/>
      <c r="AS2499" s="77"/>
      <c r="AT2499" s="77"/>
      <c r="AU2499" s="77"/>
      <c r="AV2499" s="80" t="str">
        <f>HYPERLINK("https://pbs.twimg.com/profile_images/1588668531910082561/XEi-lXiu_normal.jpg")</f>
        <v>https://pbs.twimg.com/profile_images/1588668531910082561/XEi-lXiu_normal.jpg</v>
      </c>
      <c r="AW2499" s="82" t="s">
        <v>15583</v>
      </c>
      <c r="AX2499" s="82" t="s">
        <v>15583</v>
      </c>
      <c r="AY2499" s="77"/>
      <c r="AZ2499" s="82" t="s">
        <v>17385</v>
      </c>
      <c r="BA2499" s="82" t="s">
        <v>17385</v>
      </c>
      <c r="BB2499" s="82" t="s">
        <v>17385</v>
      </c>
      <c r="BC2499" s="82" t="s">
        <v>15583</v>
      </c>
      <c r="BD2499" s="82" t="s">
        <v>17667</v>
      </c>
      <c r="BE2499" s="77"/>
      <c r="BF2499" s="77"/>
      <c r="BG2499" s="77"/>
      <c r="BH2499" s="77"/>
      <c r="BI2499" s="77"/>
    </row>
    <row r="2500" spans="1:61" x14ac:dyDescent="0.25">
      <c r="A2500" s="62" t="s">
        <v>646</v>
      </c>
      <c r="B2500" s="62" t="s">
        <v>646</v>
      </c>
      <c r="C2500" s="63"/>
      <c r="D2500" s="64"/>
      <c r="E2500" s="65"/>
      <c r="F2500" s="66"/>
      <c r="G2500" s="63"/>
      <c r="H2500" s="67"/>
      <c r="I2500" s="68"/>
      <c r="J2500" s="68"/>
      <c r="K2500" s="32"/>
      <c r="L2500" s="75">
        <v>2500</v>
      </c>
      <c r="M2500" s="75"/>
      <c r="N2500" s="70"/>
      <c r="O2500" s="77" t="s">
        <v>179</v>
      </c>
      <c r="P2500" s="79">
        <v>45055.196215277778</v>
      </c>
      <c r="Q2500" s="77" t="s">
        <v>3277</v>
      </c>
      <c r="R2500" s="77">
        <v>0</v>
      </c>
      <c r="S2500" s="77">
        <v>1</v>
      </c>
      <c r="T2500" s="77">
        <v>0</v>
      </c>
      <c r="U2500" s="77">
        <v>0</v>
      </c>
      <c r="V2500" s="77">
        <v>81</v>
      </c>
      <c r="W2500" s="82" t="s">
        <v>6382</v>
      </c>
      <c r="X2500" s="80" t="str">
        <f>HYPERLINK("https://tinyurl.com/2z7qexvz")</f>
        <v>https://tinyurl.com/2z7qexvz</v>
      </c>
      <c r="Y2500" s="77" t="s">
        <v>7068</v>
      </c>
      <c r="Z2500" s="77"/>
      <c r="AA2500" s="77"/>
      <c r="AB2500" s="77"/>
      <c r="AC2500" s="82" t="s">
        <v>8275</v>
      </c>
      <c r="AD2500" s="77" t="s">
        <v>8278</v>
      </c>
      <c r="AE2500" s="80" t="str">
        <f>HYPERLINK("https://twitter.com/pauta_economica/status/1655795367206584320")</f>
        <v>https://twitter.com/pauta_economica/status/1655795367206584320</v>
      </c>
      <c r="AF2500" s="79">
        <v>45055.196215277778</v>
      </c>
      <c r="AG2500" s="85">
        <v>45055</v>
      </c>
      <c r="AH2500" s="82" t="s">
        <v>10550</v>
      </c>
      <c r="AI2500" s="77" t="b">
        <v>0</v>
      </c>
      <c r="AJ2500" s="77"/>
      <c r="AK2500" s="77"/>
      <c r="AL2500" s="77"/>
      <c r="AM2500" s="77"/>
      <c r="AN2500" s="77"/>
      <c r="AO2500" s="77"/>
      <c r="AP2500" s="77"/>
      <c r="AQ2500" s="77"/>
      <c r="AR2500" s="77"/>
      <c r="AS2500" s="77"/>
      <c r="AT2500" s="77"/>
      <c r="AU2500" s="77"/>
      <c r="AV2500" s="80" t="str">
        <f>HYPERLINK("https://pbs.twimg.com/profile_images/1588668531910082561/XEi-lXiu_normal.jpg")</f>
        <v>https://pbs.twimg.com/profile_images/1588668531910082561/XEi-lXiu_normal.jpg</v>
      </c>
      <c r="AW2500" s="82" t="s">
        <v>15584</v>
      </c>
      <c r="AX2500" s="82" t="s">
        <v>15584</v>
      </c>
      <c r="AY2500" s="77"/>
      <c r="AZ2500" s="82" t="s">
        <v>17385</v>
      </c>
      <c r="BA2500" s="82" t="s">
        <v>17385</v>
      </c>
      <c r="BB2500" s="82" t="s">
        <v>17385</v>
      </c>
      <c r="BC2500" s="82" t="s">
        <v>15584</v>
      </c>
      <c r="BD2500" s="82" t="s">
        <v>17667</v>
      </c>
      <c r="BE2500" s="77"/>
      <c r="BF2500" s="77"/>
      <c r="BG2500" s="77"/>
      <c r="BH2500" s="77"/>
      <c r="BI2500" s="77"/>
    </row>
    <row r="2501" spans="1:61" x14ac:dyDescent="0.25">
      <c r="A2501" s="62" t="s">
        <v>646</v>
      </c>
      <c r="B2501" s="62" t="s">
        <v>646</v>
      </c>
      <c r="C2501" s="63"/>
      <c r="D2501" s="64"/>
      <c r="E2501" s="65"/>
      <c r="F2501" s="66"/>
      <c r="G2501" s="63"/>
      <c r="H2501" s="67"/>
      <c r="I2501" s="68"/>
      <c r="J2501" s="68"/>
      <c r="K2501" s="32"/>
      <c r="L2501" s="75">
        <v>2501</v>
      </c>
      <c r="M2501" s="75"/>
      <c r="N2501" s="70"/>
      <c r="O2501" s="77" t="s">
        <v>179</v>
      </c>
      <c r="P2501" s="79">
        <v>45055.084756944445</v>
      </c>
      <c r="Q2501" s="77" t="s">
        <v>3278</v>
      </c>
      <c r="R2501" s="77">
        <v>0</v>
      </c>
      <c r="S2501" s="77">
        <v>0</v>
      </c>
      <c r="T2501" s="77">
        <v>0</v>
      </c>
      <c r="U2501" s="77">
        <v>0</v>
      </c>
      <c r="V2501" s="77">
        <v>26</v>
      </c>
      <c r="W2501" s="82" t="s">
        <v>6382</v>
      </c>
      <c r="X2501" s="80" t="str">
        <f>HYPERLINK("https://tinyurl.com/2kgkveev")</f>
        <v>https://tinyurl.com/2kgkveev</v>
      </c>
      <c r="Y2501" s="77" t="s">
        <v>7068</v>
      </c>
      <c r="Z2501" s="77"/>
      <c r="AA2501" s="77"/>
      <c r="AB2501" s="77"/>
      <c r="AC2501" s="82" t="s">
        <v>8275</v>
      </c>
      <c r="AD2501" s="77" t="s">
        <v>8278</v>
      </c>
      <c r="AE2501" s="80" t="str">
        <f>HYPERLINK("https://twitter.com/pauta_economica/status/1655754974599557129")</f>
        <v>https://twitter.com/pauta_economica/status/1655754974599557129</v>
      </c>
      <c r="AF2501" s="79">
        <v>45055.084756944445</v>
      </c>
      <c r="AG2501" s="85">
        <v>45055</v>
      </c>
      <c r="AH2501" s="82" t="s">
        <v>10551</v>
      </c>
      <c r="AI2501" s="77" t="b">
        <v>0</v>
      </c>
      <c r="AJ2501" s="77"/>
      <c r="AK2501" s="77"/>
      <c r="AL2501" s="77"/>
      <c r="AM2501" s="77"/>
      <c r="AN2501" s="77"/>
      <c r="AO2501" s="77"/>
      <c r="AP2501" s="77"/>
      <c r="AQ2501" s="77"/>
      <c r="AR2501" s="77"/>
      <c r="AS2501" s="77"/>
      <c r="AT2501" s="77"/>
      <c r="AU2501" s="77"/>
      <c r="AV2501" s="80" t="str">
        <f>HYPERLINK("https://pbs.twimg.com/profile_images/1588668531910082561/XEi-lXiu_normal.jpg")</f>
        <v>https://pbs.twimg.com/profile_images/1588668531910082561/XEi-lXiu_normal.jpg</v>
      </c>
      <c r="AW2501" s="82" t="s">
        <v>15585</v>
      </c>
      <c r="AX2501" s="82" t="s">
        <v>15585</v>
      </c>
      <c r="AY2501" s="77"/>
      <c r="AZ2501" s="82" t="s">
        <v>17385</v>
      </c>
      <c r="BA2501" s="82" t="s">
        <v>17385</v>
      </c>
      <c r="BB2501" s="82" t="s">
        <v>17385</v>
      </c>
      <c r="BC2501" s="82" t="s">
        <v>15585</v>
      </c>
      <c r="BD2501" s="82" t="s">
        <v>17667</v>
      </c>
      <c r="BE2501" s="77"/>
      <c r="BF2501" s="77"/>
      <c r="BG2501" s="77"/>
      <c r="BH2501" s="77"/>
      <c r="BI2501" s="77"/>
    </row>
    <row r="2502" spans="1:61" x14ac:dyDescent="0.25">
      <c r="A2502" s="62" t="s">
        <v>646</v>
      </c>
      <c r="B2502" s="62" t="s">
        <v>646</v>
      </c>
      <c r="C2502" s="63"/>
      <c r="D2502" s="64"/>
      <c r="E2502" s="65"/>
      <c r="F2502" s="66"/>
      <c r="G2502" s="63"/>
      <c r="H2502" s="67"/>
      <c r="I2502" s="68"/>
      <c r="J2502" s="68"/>
      <c r="K2502" s="32"/>
      <c r="L2502" s="75">
        <v>2502</v>
      </c>
      <c r="M2502" s="75"/>
      <c r="N2502" s="70"/>
      <c r="O2502" s="77" t="s">
        <v>179</v>
      </c>
      <c r="P2502" s="79">
        <v>45055.056967592594</v>
      </c>
      <c r="Q2502" s="77" t="s">
        <v>3279</v>
      </c>
      <c r="R2502" s="77">
        <v>0</v>
      </c>
      <c r="S2502" s="77">
        <v>1</v>
      </c>
      <c r="T2502" s="77">
        <v>0</v>
      </c>
      <c r="U2502" s="77">
        <v>0</v>
      </c>
      <c r="V2502" s="77">
        <v>58</v>
      </c>
      <c r="W2502" s="82" t="s">
        <v>6382</v>
      </c>
      <c r="X2502" s="80" t="str">
        <f>HYPERLINK("https://tinyurl.com/2zs7nf9e")</f>
        <v>https://tinyurl.com/2zs7nf9e</v>
      </c>
      <c r="Y2502" s="77" t="s">
        <v>7068</v>
      </c>
      <c r="Z2502" s="77"/>
      <c r="AA2502" s="77"/>
      <c r="AB2502" s="77"/>
      <c r="AC2502" s="82" t="s">
        <v>8275</v>
      </c>
      <c r="AD2502" s="77" t="s">
        <v>8278</v>
      </c>
      <c r="AE2502" s="80" t="str">
        <f>HYPERLINK("https://twitter.com/pauta_economica/status/1655744905052815360")</f>
        <v>https://twitter.com/pauta_economica/status/1655744905052815360</v>
      </c>
      <c r="AF2502" s="79">
        <v>45055.056967592594</v>
      </c>
      <c r="AG2502" s="85">
        <v>45055</v>
      </c>
      <c r="AH2502" s="82" t="s">
        <v>10552</v>
      </c>
      <c r="AI2502" s="77" t="b">
        <v>0</v>
      </c>
      <c r="AJ2502" s="77"/>
      <c r="AK2502" s="77"/>
      <c r="AL2502" s="77"/>
      <c r="AM2502" s="77"/>
      <c r="AN2502" s="77"/>
      <c r="AO2502" s="77"/>
      <c r="AP2502" s="77"/>
      <c r="AQ2502" s="77"/>
      <c r="AR2502" s="77"/>
      <c r="AS2502" s="77"/>
      <c r="AT2502" s="77"/>
      <c r="AU2502" s="77"/>
      <c r="AV2502" s="80" t="str">
        <f>HYPERLINK("https://pbs.twimg.com/profile_images/1588668531910082561/XEi-lXiu_normal.jpg")</f>
        <v>https://pbs.twimg.com/profile_images/1588668531910082561/XEi-lXiu_normal.jpg</v>
      </c>
      <c r="AW2502" s="82" t="s">
        <v>15586</v>
      </c>
      <c r="AX2502" s="82" t="s">
        <v>15586</v>
      </c>
      <c r="AY2502" s="77"/>
      <c r="AZ2502" s="82" t="s">
        <v>17385</v>
      </c>
      <c r="BA2502" s="82" t="s">
        <v>17385</v>
      </c>
      <c r="BB2502" s="82" t="s">
        <v>17385</v>
      </c>
      <c r="BC2502" s="82" t="s">
        <v>15586</v>
      </c>
      <c r="BD2502" s="82" t="s">
        <v>17667</v>
      </c>
      <c r="BE2502" s="77"/>
      <c r="BF2502" s="77"/>
      <c r="BG2502" s="77"/>
      <c r="BH2502" s="77"/>
      <c r="BI2502" s="77"/>
    </row>
    <row r="2503" spans="1:61" x14ac:dyDescent="0.25">
      <c r="A2503" s="62" t="s">
        <v>646</v>
      </c>
      <c r="B2503" s="62" t="s">
        <v>646</v>
      </c>
      <c r="C2503" s="63"/>
      <c r="D2503" s="64"/>
      <c r="E2503" s="65"/>
      <c r="F2503" s="66"/>
      <c r="G2503" s="63"/>
      <c r="H2503" s="67"/>
      <c r="I2503" s="68"/>
      <c r="J2503" s="68"/>
      <c r="K2503" s="32"/>
      <c r="L2503" s="75">
        <v>2503</v>
      </c>
      <c r="M2503" s="75"/>
      <c r="N2503" s="70"/>
      <c r="O2503" s="77" t="s">
        <v>179</v>
      </c>
      <c r="P2503" s="79">
        <v>45055.028993055559</v>
      </c>
      <c r="Q2503" s="77" t="s">
        <v>3280</v>
      </c>
      <c r="R2503" s="77">
        <v>0</v>
      </c>
      <c r="S2503" s="77">
        <v>0</v>
      </c>
      <c r="T2503" s="77">
        <v>0</v>
      </c>
      <c r="U2503" s="77">
        <v>0</v>
      </c>
      <c r="V2503" s="77">
        <v>31</v>
      </c>
      <c r="W2503" s="82" t="s">
        <v>6382</v>
      </c>
      <c r="X2503" s="80" t="str">
        <f>HYPERLINK("https://tinyurl.com/2fyf99p8")</f>
        <v>https://tinyurl.com/2fyf99p8</v>
      </c>
      <c r="Y2503" s="77" t="s">
        <v>7068</v>
      </c>
      <c r="Z2503" s="77"/>
      <c r="AA2503" s="77"/>
      <c r="AB2503" s="77"/>
      <c r="AC2503" s="82" t="s">
        <v>8275</v>
      </c>
      <c r="AD2503" s="77" t="s">
        <v>8278</v>
      </c>
      <c r="AE2503" s="80" t="str">
        <f>HYPERLINK("https://twitter.com/pauta_economica/status/1655734768711999488")</f>
        <v>https://twitter.com/pauta_economica/status/1655734768711999488</v>
      </c>
      <c r="AF2503" s="79">
        <v>45055.028993055559</v>
      </c>
      <c r="AG2503" s="85">
        <v>45055</v>
      </c>
      <c r="AH2503" s="82" t="s">
        <v>10553</v>
      </c>
      <c r="AI2503" s="77" t="b">
        <v>0</v>
      </c>
      <c r="AJ2503" s="77"/>
      <c r="AK2503" s="77"/>
      <c r="AL2503" s="77"/>
      <c r="AM2503" s="77"/>
      <c r="AN2503" s="77"/>
      <c r="AO2503" s="77"/>
      <c r="AP2503" s="77"/>
      <c r="AQ2503" s="77"/>
      <c r="AR2503" s="77"/>
      <c r="AS2503" s="77"/>
      <c r="AT2503" s="77"/>
      <c r="AU2503" s="77"/>
      <c r="AV2503" s="80" t="str">
        <f>HYPERLINK("https://pbs.twimg.com/profile_images/1588668531910082561/XEi-lXiu_normal.jpg")</f>
        <v>https://pbs.twimg.com/profile_images/1588668531910082561/XEi-lXiu_normal.jpg</v>
      </c>
      <c r="AW2503" s="82" t="s">
        <v>15587</v>
      </c>
      <c r="AX2503" s="82" t="s">
        <v>15587</v>
      </c>
      <c r="AY2503" s="77"/>
      <c r="AZ2503" s="82" t="s">
        <v>17385</v>
      </c>
      <c r="BA2503" s="82" t="s">
        <v>17385</v>
      </c>
      <c r="BB2503" s="82" t="s">
        <v>17385</v>
      </c>
      <c r="BC2503" s="82" t="s">
        <v>15587</v>
      </c>
      <c r="BD2503" s="82" t="s">
        <v>17667</v>
      </c>
      <c r="BE2503" s="77"/>
      <c r="BF2503" s="77"/>
      <c r="BG2503" s="77"/>
      <c r="BH2503" s="77"/>
      <c r="BI2503" s="77"/>
    </row>
    <row r="2504" spans="1:61" x14ac:dyDescent="0.25">
      <c r="A2504" s="62" t="s">
        <v>646</v>
      </c>
      <c r="B2504" s="62" t="s">
        <v>646</v>
      </c>
      <c r="C2504" s="63"/>
      <c r="D2504" s="64"/>
      <c r="E2504" s="65"/>
      <c r="F2504" s="66"/>
      <c r="G2504" s="63"/>
      <c r="H2504" s="67"/>
      <c r="I2504" s="68"/>
      <c r="J2504" s="68"/>
      <c r="K2504" s="32"/>
      <c r="L2504" s="75">
        <v>2504</v>
      </c>
      <c r="M2504" s="75"/>
      <c r="N2504" s="70"/>
      <c r="O2504" s="77" t="s">
        <v>179</v>
      </c>
      <c r="P2504" s="79">
        <v>45055.001087962963</v>
      </c>
      <c r="Q2504" s="77" t="s">
        <v>3281</v>
      </c>
      <c r="R2504" s="77">
        <v>0</v>
      </c>
      <c r="S2504" s="77">
        <v>0</v>
      </c>
      <c r="T2504" s="77">
        <v>0</v>
      </c>
      <c r="U2504" s="77">
        <v>0</v>
      </c>
      <c r="V2504" s="77">
        <v>47</v>
      </c>
      <c r="W2504" s="82" t="s">
        <v>6382</v>
      </c>
      <c r="X2504" s="80" t="str">
        <f>HYPERLINK("https://tinyurl.com/2zvogtee")</f>
        <v>https://tinyurl.com/2zvogtee</v>
      </c>
      <c r="Y2504" s="77" t="s">
        <v>7068</v>
      </c>
      <c r="Z2504" s="77"/>
      <c r="AA2504" s="77"/>
      <c r="AB2504" s="77"/>
      <c r="AC2504" s="82" t="s">
        <v>8275</v>
      </c>
      <c r="AD2504" s="77" t="s">
        <v>8278</v>
      </c>
      <c r="AE2504" s="80" t="str">
        <f>HYPERLINK("https://twitter.com/pauta_economica/status/1655724654764384257")</f>
        <v>https://twitter.com/pauta_economica/status/1655724654764384257</v>
      </c>
      <c r="AF2504" s="79">
        <v>45055.001087962963</v>
      </c>
      <c r="AG2504" s="85">
        <v>45055</v>
      </c>
      <c r="AH2504" s="82" t="s">
        <v>10554</v>
      </c>
      <c r="AI2504" s="77" t="b">
        <v>0</v>
      </c>
      <c r="AJ2504" s="77"/>
      <c r="AK2504" s="77"/>
      <c r="AL2504" s="77"/>
      <c r="AM2504" s="77"/>
      <c r="AN2504" s="77"/>
      <c r="AO2504" s="77"/>
      <c r="AP2504" s="77"/>
      <c r="AQ2504" s="77"/>
      <c r="AR2504" s="77"/>
      <c r="AS2504" s="77"/>
      <c r="AT2504" s="77"/>
      <c r="AU2504" s="77"/>
      <c r="AV2504" s="80" t="str">
        <f>HYPERLINK("https://pbs.twimg.com/profile_images/1588668531910082561/XEi-lXiu_normal.jpg")</f>
        <v>https://pbs.twimg.com/profile_images/1588668531910082561/XEi-lXiu_normal.jpg</v>
      </c>
      <c r="AW2504" s="82" t="s">
        <v>15588</v>
      </c>
      <c r="AX2504" s="82" t="s">
        <v>15588</v>
      </c>
      <c r="AY2504" s="77"/>
      <c r="AZ2504" s="82" t="s">
        <v>17385</v>
      </c>
      <c r="BA2504" s="82" t="s">
        <v>17385</v>
      </c>
      <c r="BB2504" s="82" t="s">
        <v>17385</v>
      </c>
      <c r="BC2504" s="82" t="s">
        <v>15588</v>
      </c>
      <c r="BD2504" s="82" t="s">
        <v>17667</v>
      </c>
      <c r="BE2504" s="77"/>
      <c r="BF2504" s="77"/>
      <c r="BG2504" s="77"/>
      <c r="BH2504" s="77"/>
      <c r="BI2504" s="77"/>
    </row>
    <row r="2505" spans="1:61" x14ac:dyDescent="0.25">
      <c r="A2505" s="62" t="s">
        <v>646</v>
      </c>
      <c r="B2505" s="62" t="s">
        <v>646</v>
      </c>
      <c r="C2505" s="63"/>
      <c r="D2505" s="64"/>
      <c r="E2505" s="65"/>
      <c r="F2505" s="66"/>
      <c r="G2505" s="63"/>
      <c r="H2505" s="67"/>
      <c r="I2505" s="68"/>
      <c r="J2505" s="68"/>
      <c r="K2505" s="32"/>
      <c r="L2505" s="75">
        <v>2505</v>
      </c>
      <c r="M2505" s="75"/>
      <c r="N2505" s="70"/>
      <c r="O2505" s="77" t="s">
        <v>179</v>
      </c>
      <c r="P2505" s="79">
        <v>45054.973287037035</v>
      </c>
      <c r="Q2505" s="77" t="s">
        <v>3282</v>
      </c>
      <c r="R2505" s="77">
        <v>0</v>
      </c>
      <c r="S2505" s="77">
        <v>0</v>
      </c>
      <c r="T2505" s="77">
        <v>0</v>
      </c>
      <c r="U2505" s="77">
        <v>0</v>
      </c>
      <c r="V2505" s="77">
        <v>31</v>
      </c>
      <c r="W2505" s="82" t="s">
        <v>6382</v>
      </c>
      <c r="X2505" s="80" t="str">
        <f>HYPERLINK("https://tinyurl.com/2ox9pt7k")</f>
        <v>https://tinyurl.com/2ox9pt7k</v>
      </c>
      <c r="Y2505" s="77" t="s">
        <v>7068</v>
      </c>
      <c r="Z2505" s="77"/>
      <c r="AA2505" s="77"/>
      <c r="AB2505" s="77"/>
      <c r="AC2505" s="82" t="s">
        <v>8275</v>
      </c>
      <c r="AD2505" s="77" t="s">
        <v>8278</v>
      </c>
      <c r="AE2505" s="80" t="str">
        <f>HYPERLINK("https://twitter.com/pauta_economica/status/1655714580054650881")</f>
        <v>https://twitter.com/pauta_economica/status/1655714580054650881</v>
      </c>
      <c r="AF2505" s="79">
        <v>45054.973287037035</v>
      </c>
      <c r="AG2505" s="85">
        <v>45054</v>
      </c>
      <c r="AH2505" s="82" t="s">
        <v>10555</v>
      </c>
      <c r="AI2505" s="77" t="b">
        <v>0</v>
      </c>
      <c r="AJ2505" s="77"/>
      <c r="AK2505" s="77"/>
      <c r="AL2505" s="77"/>
      <c r="AM2505" s="77"/>
      <c r="AN2505" s="77"/>
      <c r="AO2505" s="77"/>
      <c r="AP2505" s="77"/>
      <c r="AQ2505" s="77"/>
      <c r="AR2505" s="77"/>
      <c r="AS2505" s="77"/>
      <c r="AT2505" s="77"/>
      <c r="AU2505" s="77"/>
      <c r="AV2505" s="80" t="str">
        <f>HYPERLINK("https://pbs.twimg.com/profile_images/1588668531910082561/XEi-lXiu_normal.jpg")</f>
        <v>https://pbs.twimg.com/profile_images/1588668531910082561/XEi-lXiu_normal.jpg</v>
      </c>
      <c r="AW2505" s="82" t="s">
        <v>15589</v>
      </c>
      <c r="AX2505" s="82" t="s">
        <v>15589</v>
      </c>
      <c r="AY2505" s="77"/>
      <c r="AZ2505" s="82" t="s">
        <v>17385</v>
      </c>
      <c r="BA2505" s="82" t="s">
        <v>17385</v>
      </c>
      <c r="BB2505" s="82" t="s">
        <v>17385</v>
      </c>
      <c r="BC2505" s="82" t="s">
        <v>15589</v>
      </c>
      <c r="BD2505" s="82" t="s">
        <v>17667</v>
      </c>
      <c r="BE2505" s="77"/>
      <c r="BF2505" s="77"/>
      <c r="BG2505" s="77"/>
      <c r="BH2505" s="77"/>
      <c r="BI2505" s="77"/>
    </row>
    <row r="2506" spans="1:61" x14ac:dyDescent="0.25">
      <c r="A2506" s="62" t="s">
        <v>646</v>
      </c>
      <c r="B2506" s="62" t="s">
        <v>646</v>
      </c>
      <c r="C2506" s="63"/>
      <c r="D2506" s="64"/>
      <c r="E2506" s="65"/>
      <c r="F2506" s="66"/>
      <c r="G2506" s="63"/>
      <c r="H2506" s="67"/>
      <c r="I2506" s="68"/>
      <c r="J2506" s="68"/>
      <c r="K2506" s="32"/>
      <c r="L2506" s="75">
        <v>2506</v>
      </c>
      <c r="M2506" s="75"/>
      <c r="N2506" s="70"/>
      <c r="O2506" s="77" t="s">
        <v>179</v>
      </c>
      <c r="P2506" s="79">
        <v>45054.945439814815</v>
      </c>
      <c r="Q2506" s="77" t="s">
        <v>3283</v>
      </c>
      <c r="R2506" s="77">
        <v>0</v>
      </c>
      <c r="S2506" s="77">
        <v>0</v>
      </c>
      <c r="T2506" s="77">
        <v>0</v>
      </c>
      <c r="U2506" s="77">
        <v>0</v>
      </c>
      <c r="V2506" s="77">
        <v>72</v>
      </c>
      <c r="W2506" s="82" t="s">
        <v>6382</v>
      </c>
      <c r="X2506" s="80" t="str">
        <f>HYPERLINK("https://tinyurl.com/2qe88rgf")</f>
        <v>https://tinyurl.com/2qe88rgf</v>
      </c>
      <c r="Y2506" s="77" t="s">
        <v>7068</v>
      </c>
      <c r="Z2506" s="77"/>
      <c r="AA2506" s="77"/>
      <c r="AB2506" s="77"/>
      <c r="AC2506" s="82" t="s">
        <v>8275</v>
      </c>
      <c r="AD2506" s="77" t="s">
        <v>8278</v>
      </c>
      <c r="AE2506" s="80" t="str">
        <f>HYPERLINK("https://twitter.com/pauta_economica/status/1655704488383062024")</f>
        <v>https://twitter.com/pauta_economica/status/1655704488383062024</v>
      </c>
      <c r="AF2506" s="79">
        <v>45054.945439814815</v>
      </c>
      <c r="AG2506" s="85">
        <v>45054</v>
      </c>
      <c r="AH2506" s="82" t="s">
        <v>10556</v>
      </c>
      <c r="AI2506" s="77" t="b">
        <v>0</v>
      </c>
      <c r="AJ2506" s="77"/>
      <c r="AK2506" s="77"/>
      <c r="AL2506" s="77"/>
      <c r="AM2506" s="77"/>
      <c r="AN2506" s="77"/>
      <c r="AO2506" s="77"/>
      <c r="AP2506" s="77"/>
      <c r="AQ2506" s="77"/>
      <c r="AR2506" s="77"/>
      <c r="AS2506" s="77"/>
      <c r="AT2506" s="77"/>
      <c r="AU2506" s="77"/>
      <c r="AV2506" s="80" t="str">
        <f>HYPERLINK("https://pbs.twimg.com/profile_images/1588668531910082561/XEi-lXiu_normal.jpg")</f>
        <v>https://pbs.twimg.com/profile_images/1588668531910082561/XEi-lXiu_normal.jpg</v>
      </c>
      <c r="AW2506" s="82" t="s">
        <v>15590</v>
      </c>
      <c r="AX2506" s="82" t="s">
        <v>15590</v>
      </c>
      <c r="AY2506" s="77"/>
      <c r="AZ2506" s="82" t="s">
        <v>17385</v>
      </c>
      <c r="BA2506" s="82" t="s">
        <v>17385</v>
      </c>
      <c r="BB2506" s="82" t="s">
        <v>17385</v>
      </c>
      <c r="BC2506" s="82" t="s">
        <v>15590</v>
      </c>
      <c r="BD2506" s="82" t="s">
        <v>17667</v>
      </c>
      <c r="BE2506" s="77"/>
      <c r="BF2506" s="77"/>
      <c r="BG2506" s="77"/>
      <c r="BH2506" s="77"/>
      <c r="BI2506" s="77"/>
    </row>
    <row r="2507" spans="1:61" x14ac:dyDescent="0.25">
      <c r="A2507" s="62" t="s">
        <v>646</v>
      </c>
      <c r="B2507" s="62" t="s">
        <v>646</v>
      </c>
      <c r="C2507" s="63"/>
      <c r="D2507" s="64"/>
      <c r="E2507" s="65"/>
      <c r="F2507" s="66"/>
      <c r="G2507" s="63"/>
      <c r="H2507" s="67"/>
      <c r="I2507" s="68"/>
      <c r="J2507" s="68"/>
      <c r="K2507" s="32"/>
      <c r="L2507" s="75">
        <v>2507</v>
      </c>
      <c r="M2507" s="75"/>
      <c r="N2507" s="70"/>
      <c r="O2507" s="77" t="s">
        <v>179</v>
      </c>
      <c r="P2507" s="79">
        <v>45054.917650462965</v>
      </c>
      <c r="Q2507" s="77" t="s">
        <v>3284</v>
      </c>
      <c r="R2507" s="77">
        <v>0</v>
      </c>
      <c r="S2507" s="77">
        <v>0</v>
      </c>
      <c r="T2507" s="77">
        <v>0</v>
      </c>
      <c r="U2507" s="77">
        <v>0</v>
      </c>
      <c r="V2507" s="77">
        <v>76</v>
      </c>
      <c r="W2507" s="82" t="s">
        <v>6382</v>
      </c>
      <c r="X2507" s="80" t="str">
        <f>HYPERLINK("https://tinyurl.com/2eyws67q")</f>
        <v>https://tinyurl.com/2eyws67q</v>
      </c>
      <c r="Y2507" s="77" t="s">
        <v>7068</v>
      </c>
      <c r="Z2507" s="77"/>
      <c r="AA2507" s="77"/>
      <c r="AB2507" s="77"/>
      <c r="AC2507" s="82" t="s">
        <v>8275</v>
      </c>
      <c r="AD2507" s="77" t="s">
        <v>8278</v>
      </c>
      <c r="AE2507" s="80" t="str">
        <f>HYPERLINK("https://twitter.com/pauta_economica/status/1655694417846476802")</f>
        <v>https://twitter.com/pauta_economica/status/1655694417846476802</v>
      </c>
      <c r="AF2507" s="79">
        <v>45054.917650462965</v>
      </c>
      <c r="AG2507" s="85">
        <v>45054</v>
      </c>
      <c r="AH2507" s="82" t="s">
        <v>10557</v>
      </c>
      <c r="AI2507" s="77" t="b">
        <v>0</v>
      </c>
      <c r="AJ2507" s="77"/>
      <c r="AK2507" s="77"/>
      <c r="AL2507" s="77"/>
      <c r="AM2507" s="77"/>
      <c r="AN2507" s="77"/>
      <c r="AO2507" s="77"/>
      <c r="AP2507" s="77"/>
      <c r="AQ2507" s="77"/>
      <c r="AR2507" s="77"/>
      <c r="AS2507" s="77"/>
      <c r="AT2507" s="77"/>
      <c r="AU2507" s="77"/>
      <c r="AV2507" s="80" t="str">
        <f>HYPERLINK("https://pbs.twimg.com/profile_images/1588668531910082561/XEi-lXiu_normal.jpg")</f>
        <v>https://pbs.twimg.com/profile_images/1588668531910082561/XEi-lXiu_normal.jpg</v>
      </c>
      <c r="AW2507" s="82" t="s">
        <v>15591</v>
      </c>
      <c r="AX2507" s="82" t="s">
        <v>15591</v>
      </c>
      <c r="AY2507" s="77"/>
      <c r="AZ2507" s="82" t="s">
        <v>17385</v>
      </c>
      <c r="BA2507" s="82" t="s">
        <v>17385</v>
      </c>
      <c r="BB2507" s="82" t="s">
        <v>17385</v>
      </c>
      <c r="BC2507" s="82" t="s">
        <v>15591</v>
      </c>
      <c r="BD2507" s="82" t="s">
        <v>17667</v>
      </c>
      <c r="BE2507" s="77"/>
      <c r="BF2507" s="77"/>
      <c r="BG2507" s="77"/>
      <c r="BH2507" s="77"/>
      <c r="BI2507" s="77"/>
    </row>
    <row r="2508" spans="1:61" x14ac:dyDescent="0.25">
      <c r="A2508" s="62" t="s">
        <v>646</v>
      </c>
      <c r="B2508" s="62" t="s">
        <v>646</v>
      </c>
      <c r="C2508" s="63"/>
      <c r="D2508" s="64"/>
      <c r="E2508" s="65"/>
      <c r="F2508" s="66"/>
      <c r="G2508" s="63"/>
      <c r="H2508" s="67"/>
      <c r="I2508" s="68"/>
      <c r="J2508" s="68"/>
      <c r="K2508" s="32"/>
      <c r="L2508" s="75">
        <v>2508</v>
      </c>
      <c r="M2508" s="75"/>
      <c r="N2508" s="70"/>
      <c r="O2508" s="77" t="s">
        <v>179</v>
      </c>
      <c r="P2508" s="79">
        <v>45054.889710648145</v>
      </c>
      <c r="Q2508" s="77" t="s">
        <v>3285</v>
      </c>
      <c r="R2508" s="77">
        <v>0</v>
      </c>
      <c r="S2508" s="77">
        <v>0</v>
      </c>
      <c r="T2508" s="77">
        <v>0</v>
      </c>
      <c r="U2508" s="77">
        <v>0</v>
      </c>
      <c r="V2508" s="77">
        <v>90</v>
      </c>
      <c r="W2508" s="82" t="s">
        <v>6382</v>
      </c>
      <c r="X2508" s="80" t="str">
        <f>HYPERLINK("https://tinyurl.com/2qsjnrg7")</f>
        <v>https://tinyurl.com/2qsjnrg7</v>
      </c>
      <c r="Y2508" s="77" t="s">
        <v>7068</v>
      </c>
      <c r="Z2508" s="77"/>
      <c r="AA2508" s="77"/>
      <c r="AB2508" s="77"/>
      <c r="AC2508" s="82" t="s">
        <v>8275</v>
      </c>
      <c r="AD2508" s="77" t="s">
        <v>8278</v>
      </c>
      <c r="AE2508" s="80" t="str">
        <f>HYPERLINK("https://twitter.com/pauta_economica/status/1655684295053156354")</f>
        <v>https://twitter.com/pauta_economica/status/1655684295053156354</v>
      </c>
      <c r="AF2508" s="79">
        <v>45054.889710648145</v>
      </c>
      <c r="AG2508" s="85">
        <v>45054</v>
      </c>
      <c r="AH2508" s="82" t="s">
        <v>10558</v>
      </c>
      <c r="AI2508" s="77" t="b">
        <v>0</v>
      </c>
      <c r="AJ2508" s="77"/>
      <c r="AK2508" s="77"/>
      <c r="AL2508" s="77"/>
      <c r="AM2508" s="77"/>
      <c r="AN2508" s="77"/>
      <c r="AO2508" s="77"/>
      <c r="AP2508" s="77"/>
      <c r="AQ2508" s="77"/>
      <c r="AR2508" s="77"/>
      <c r="AS2508" s="77"/>
      <c r="AT2508" s="77"/>
      <c r="AU2508" s="77"/>
      <c r="AV2508" s="80" t="str">
        <f>HYPERLINK("https://pbs.twimg.com/profile_images/1588668531910082561/XEi-lXiu_normal.jpg")</f>
        <v>https://pbs.twimg.com/profile_images/1588668531910082561/XEi-lXiu_normal.jpg</v>
      </c>
      <c r="AW2508" s="82" t="s">
        <v>15592</v>
      </c>
      <c r="AX2508" s="82" t="s">
        <v>15592</v>
      </c>
      <c r="AY2508" s="77"/>
      <c r="AZ2508" s="82" t="s">
        <v>17385</v>
      </c>
      <c r="BA2508" s="82" t="s">
        <v>17385</v>
      </c>
      <c r="BB2508" s="82" t="s">
        <v>17385</v>
      </c>
      <c r="BC2508" s="82" t="s">
        <v>15592</v>
      </c>
      <c r="BD2508" s="82" t="s">
        <v>17667</v>
      </c>
      <c r="BE2508" s="77"/>
      <c r="BF2508" s="77"/>
      <c r="BG2508" s="77"/>
      <c r="BH2508" s="77"/>
      <c r="BI2508" s="77"/>
    </row>
    <row r="2509" spans="1:61" x14ac:dyDescent="0.25">
      <c r="A2509" s="62" t="s">
        <v>646</v>
      </c>
      <c r="B2509" s="62" t="s">
        <v>646</v>
      </c>
      <c r="C2509" s="63"/>
      <c r="D2509" s="64"/>
      <c r="E2509" s="65"/>
      <c r="F2509" s="66"/>
      <c r="G2509" s="63"/>
      <c r="H2509" s="67"/>
      <c r="I2509" s="68"/>
      <c r="J2509" s="68"/>
      <c r="K2509" s="32"/>
      <c r="L2509" s="75">
        <v>2509</v>
      </c>
      <c r="M2509" s="75"/>
      <c r="N2509" s="70"/>
      <c r="O2509" s="77" t="s">
        <v>179</v>
      </c>
      <c r="P2509" s="79">
        <v>45054.806180555555</v>
      </c>
      <c r="Q2509" s="77" t="s">
        <v>3286</v>
      </c>
      <c r="R2509" s="77">
        <v>0</v>
      </c>
      <c r="S2509" s="77">
        <v>0</v>
      </c>
      <c r="T2509" s="77">
        <v>0</v>
      </c>
      <c r="U2509" s="77">
        <v>0</v>
      </c>
      <c r="V2509" s="77">
        <v>30</v>
      </c>
      <c r="W2509" s="82" t="s">
        <v>6382</v>
      </c>
      <c r="X2509" s="80" t="str">
        <f>HYPERLINK("https://tinyurl.com/2omah9lb")</f>
        <v>https://tinyurl.com/2omah9lb</v>
      </c>
      <c r="Y2509" s="77" t="s">
        <v>7068</v>
      </c>
      <c r="Z2509" s="77"/>
      <c r="AA2509" s="77"/>
      <c r="AB2509" s="77"/>
      <c r="AC2509" s="82" t="s">
        <v>8275</v>
      </c>
      <c r="AD2509" s="77" t="s">
        <v>8278</v>
      </c>
      <c r="AE2509" s="80" t="str">
        <f>HYPERLINK("https://twitter.com/pauta_economica/status/1655654023079272477")</f>
        <v>https://twitter.com/pauta_economica/status/1655654023079272477</v>
      </c>
      <c r="AF2509" s="79">
        <v>45054.806180555555</v>
      </c>
      <c r="AG2509" s="85">
        <v>45054</v>
      </c>
      <c r="AH2509" s="82" t="s">
        <v>10559</v>
      </c>
      <c r="AI2509" s="77" t="b">
        <v>0</v>
      </c>
      <c r="AJ2509" s="77"/>
      <c r="AK2509" s="77"/>
      <c r="AL2509" s="77"/>
      <c r="AM2509" s="77"/>
      <c r="AN2509" s="77"/>
      <c r="AO2509" s="77"/>
      <c r="AP2509" s="77"/>
      <c r="AQ2509" s="77"/>
      <c r="AR2509" s="77"/>
      <c r="AS2509" s="77"/>
      <c r="AT2509" s="77"/>
      <c r="AU2509" s="77"/>
      <c r="AV2509" s="80" t="str">
        <f>HYPERLINK("https://pbs.twimg.com/profile_images/1588668531910082561/XEi-lXiu_normal.jpg")</f>
        <v>https://pbs.twimg.com/profile_images/1588668531910082561/XEi-lXiu_normal.jpg</v>
      </c>
      <c r="AW2509" s="82" t="s">
        <v>15593</v>
      </c>
      <c r="AX2509" s="82" t="s">
        <v>15593</v>
      </c>
      <c r="AY2509" s="77"/>
      <c r="AZ2509" s="82" t="s">
        <v>17385</v>
      </c>
      <c r="BA2509" s="82" t="s">
        <v>17385</v>
      </c>
      <c r="BB2509" s="82" t="s">
        <v>17385</v>
      </c>
      <c r="BC2509" s="82" t="s">
        <v>15593</v>
      </c>
      <c r="BD2509" s="82" t="s">
        <v>17667</v>
      </c>
      <c r="BE2509" s="77"/>
      <c r="BF2509" s="77"/>
      <c r="BG2509" s="77"/>
      <c r="BH2509" s="77"/>
      <c r="BI2509" s="77"/>
    </row>
    <row r="2510" spans="1:61" x14ac:dyDescent="0.25">
      <c r="A2510" s="62" t="s">
        <v>646</v>
      </c>
      <c r="B2510" s="62" t="s">
        <v>646</v>
      </c>
      <c r="C2510" s="63"/>
      <c r="D2510" s="64"/>
      <c r="E2510" s="65"/>
      <c r="F2510" s="66"/>
      <c r="G2510" s="63"/>
      <c r="H2510" s="67"/>
      <c r="I2510" s="68"/>
      <c r="J2510" s="68"/>
      <c r="K2510" s="32"/>
      <c r="L2510" s="75">
        <v>2510</v>
      </c>
      <c r="M2510" s="75"/>
      <c r="N2510" s="70"/>
      <c r="O2510" s="77" t="s">
        <v>179</v>
      </c>
      <c r="P2510" s="79">
        <v>45054.778240740743</v>
      </c>
      <c r="Q2510" s="77" t="s">
        <v>3287</v>
      </c>
      <c r="R2510" s="77">
        <v>0</v>
      </c>
      <c r="S2510" s="77">
        <v>0</v>
      </c>
      <c r="T2510" s="77">
        <v>0</v>
      </c>
      <c r="U2510" s="77">
        <v>0</v>
      </c>
      <c r="V2510" s="77">
        <v>32</v>
      </c>
      <c r="W2510" s="82" t="s">
        <v>6382</v>
      </c>
      <c r="X2510" s="80" t="str">
        <f>HYPERLINK("https://tinyurl.com/2ml6afv9")</f>
        <v>https://tinyurl.com/2ml6afv9</v>
      </c>
      <c r="Y2510" s="77" t="s">
        <v>7068</v>
      </c>
      <c r="Z2510" s="77"/>
      <c r="AA2510" s="77"/>
      <c r="AB2510" s="77"/>
      <c r="AC2510" s="82" t="s">
        <v>8275</v>
      </c>
      <c r="AD2510" s="77" t="s">
        <v>8278</v>
      </c>
      <c r="AE2510" s="80" t="str">
        <f>HYPERLINK("https://twitter.com/pauta_economica/status/1655643900629876741")</f>
        <v>https://twitter.com/pauta_economica/status/1655643900629876741</v>
      </c>
      <c r="AF2510" s="79">
        <v>45054.778240740743</v>
      </c>
      <c r="AG2510" s="85">
        <v>45054</v>
      </c>
      <c r="AH2510" s="82" t="s">
        <v>10560</v>
      </c>
      <c r="AI2510" s="77" t="b">
        <v>0</v>
      </c>
      <c r="AJ2510" s="77"/>
      <c r="AK2510" s="77"/>
      <c r="AL2510" s="77"/>
      <c r="AM2510" s="77"/>
      <c r="AN2510" s="77"/>
      <c r="AO2510" s="77"/>
      <c r="AP2510" s="77"/>
      <c r="AQ2510" s="77"/>
      <c r="AR2510" s="77"/>
      <c r="AS2510" s="77"/>
      <c r="AT2510" s="77"/>
      <c r="AU2510" s="77"/>
      <c r="AV2510" s="80" t="str">
        <f>HYPERLINK("https://pbs.twimg.com/profile_images/1588668531910082561/XEi-lXiu_normal.jpg")</f>
        <v>https://pbs.twimg.com/profile_images/1588668531910082561/XEi-lXiu_normal.jpg</v>
      </c>
      <c r="AW2510" s="82" t="s">
        <v>15594</v>
      </c>
      <c r="AX2510" s="82" t="s">
        <v>15594</v>
      </c>
      <c r="AY2510" s="77"/>
      <c r="AZ2510" s="82" t="s">
        <v>17385</v>
      </c>
      <c r="BA2510" s="82" t="s">
        <v>17385</v>
      </c>
      <c r="BB2510" s="82" t="s">
        <v>17385</v>
      </c>
      <c r="BC2510" s="82" t="s">
        <v>15594</v>
      </c>
      <c r="BD2510" s="82" t="s">
        <v>17667</v>
      </c>
      <c r="BE2510" s="77"/>
      <c r="BF2510" s="77"/>
      <c r="BG2510" s="77"/>
      <c r="BH2510" s="77"/>
      <c r="BI2510" s="77"/>
    </row>
    <row r="2511" spans="1:61" x14ac:dyDescent="0.25">
      <c r="A2511" s="62" t="s">
        <v>646</v>
      </c>
      <c r="B2511" s="62" t="s">
        <v>646</v>
      </c>
      <c r="C2511" s="63"/>
      <c r="D2511" s="64"/>
      <c r="E2511" s="65"/>
      <c r="F2511" s="66"/>
      <c r="G2511" s="63"/>
      <c r="H2511" s="67"/>
      <c r="I2511" s="68"/>
      <c r="J2511" s="68"/>
      <c r="K2511" s="32"/>
      <c r="L2511" s="75">
        <v>2511</v>
      </c>
      <c r="M2511" s="75"/>
      <c r="N2511" s="70"/>
      <c r="O2511" s="77" t="s">
        <v>179</v>
      </c>
      <c r="P2511" s="79">
        <v>45054.722488425927</v>
      </c>
      <c r="Q2511" s="77" t="s">
        <v>3288</v>
      </c>
      <c r="R2511" s="77">
        <v>0</v>
      </c>
      <c r="S2511" s="77">
        <v>0</v>
      </c>
      <c r="T2511" s="77">
        <v>0</v>
      </c>
      <c r="U2511" s="77">
        <v>0</v>
      </c>
      <c r="V2511" s="77">
        <v>20</v>
      </c>
      <c r="W2511" s="82" t="s">
        <v>6382</v>
      </c>
      <c r="X2511" s="80" t="str">
        <f>HYPERLINK("https://tinyurl.com/2nu2z5oc")</f>
        <v>https://tinyurl.com/2nu2z5oc</v>
      </c>
      <c r="Y2511" s="77" t="s">
        <v>7068</v>
      </c>
      <c r="Z2511" s="77"/>
      <c r="AA2511" s="77"/>
      <c r="AB2511" s="77"/>
      <c r="AC2511" s="82" t="s">
        <v>8275</v>
      </c>
      <c r="AD2511" s="77" t="s">
        <v>8278</v>
      </c>
      <c r="AE2511" s="80" t="str">
        <f>HYPERLINK("https://twitter.com/pauta_economica/status/1655623696701173783")</f>
        <v>https://twitter.com/pauta_economica/status/1655623696701173783</v>
      </c>
      <c r="AF2511" s="79">
        <v>45054.722488425927</v>
      </c>
      <c r="AG2511" s="85">
        <v>45054</v>
      </c>
      <c r="AH2511" s="82" t="s">
        <v>10561</v>
      </c>
      <c r="AI2511" s="77" t="b">
        <v>0</v>
      </c>
      <c r="AJ2511" s="77"/>
      <c r="AK2511" s="77"/>
      <c r="AL2511" s="77"/>
      <c r="AM2511" s="77"/>
      <c r="AN2511" s="77"/>
      <c r="AO2511" s="77"/>
      <c r="AP2511" s="77"/>
      <c r="AQ2511" s="77"/>
      <c r="AR2511" s="77"/>
      <c r="AS2511" s="77"/>
      <c r="AT2511" s="77"/>
      <c r="AU2511" s="77"/>
      <c r="AV2511" s="80" t="str">
        <f>HYPERLINK("https://pbs.twimg.com/profile_images/1588668531910082561/XEi-lXiu_normal.jpg")</f>
        <v>https://pbs.twimg.com/profile_images/1588668531910082561/XEi-lXiu_normal.jpg</v>
      </c>
      <c r="AW2511" s="82" t="s">
        <v>15595</v>
      </c>
      <c r="AX2511" s="82" t="s">
        <v>15595</v>
      </c>
      <c r="AY2511" s="77"/>
      <c r="AZ2511" s="82" t="s">
        <v>17385</v>
      </c>
      <c r="BA2511" s="82" t="s">
        <v>17385</v>
      </c>
      <c r="BB2511" s="82" t="s">
        <v>17385</v>
      </c>
      <c r="BC2511" s="82" t="s">
        <v>15595</v>
      </c>
      <c r="BD2511" s="82" t="s">
        <v>17667</v>
      </c>
      <c r="BE2511" s="77"/>
      <c r="BF2511" s="77"/>
      <c r="BG2511" s="77"/>
      <c r="BH2511" s="77"/>
      <c r="BI2511" s="77"/>
    </row>
    <row r="2512" spans="1:61" x14ac:dyDescent="0.25">
      <c r="A2512" s="62" t="s">
        <v>646</v>
      </c>
      <c r="B2512" s="62" t="s">
        <v>646</v>
      </c>
      <c r="C2512" s="63"/>
      <c r="D2512" s="64"/>
      <c r="E2512" s="65"/>
      <c r="F2512" s="66"/>
      <c r="G2512" s="63"/>
      <c r="H2512" s="67"/>
      <c r="I2512" s="68"/>
      <c r="J2512" s="68"/>
      <c r="K2512" s="32"/>
      <c r="L2512" s="75">
        <v>2512</v>
      </c>
      <c r="M2512" s="75"/>
      <c r="N2512" s="70"/>
      <c r="O2512" s="77" t="s">
        <v>179</v>
      </c>
      <c r="P2512" s="79">
        <v>45054.694641203707</v>
      </c>
      <c r="Q2512" s="77" t="s">
        <v>3289</v>
      </c>
      <c r="R2512" s="77">
        <v>0</v>
      </c>
      <c r="S2512" s="77">
        <v>0</v>
      </c>
      <c r="T2512" s="77">
        <v>0</v>
      </c>
      <c r="U2512" s="77">
        <v>0</v>
      </c>
      <c r="V2512" s="77">
        <v>31</v>
      </c>
      <c r="W2512" s="82" t="s">
        <v>6382</v>
      </c>
      <c r="X2512" s="80" t="str">
        <f>HYPERLINK("https://tinyurl.com/2kbmhlrs")</f>
        <v>https://tinyurl.com/2kbmhlrs</v>
      </c>
      <c r="Y2512" s="77" t="s">
        <v>7068</v>
      </c>
      <c r="Z2512" s="77"/>
      <c r="AA2512" s="77"/>
      <c r="AB2512" s="77"/>
      <c r="AC2512" s="82" t="s">
        <v>8275</v>
      </c>
      <c r="AD2512" s="77" t="s">
        <v>8278</v>
      </c>
      <c r="AE2512" s="80" t="str">
        <f>HYPERLINK("https://twitter.com/pauta_economica/status/1655613601237856256")</f>
        <v>https://twitter.com/pauta_economica/status/1655613601237856256</v>
      </c>
      <c r="AF2512" s="79">
        <v>45054.694641203707</v>
      </c>
      <c r="AG2512" s="85">
        <v>45054</v>
      </c>
      <c r="AH2512" s="82" t="s">
        <v>10562</v>
      </c>
      <c r="AI2512" s="77" t="b">
        <v>0</v>
      </c>
      <c r="AJ2512" s="77"/>
      <c r="AK2512" s="77"/>
      <c r="AL2512" s="77"/>
      <c r="AM2512" s="77"/>
      <c r="AN2512" s="77"/>
      <c r="AO2512" s="77"/>
      <c r="AP2512" s="77"/>
      <c r="AQ2512" s="77"/>
      <c r="AR2512" s="77"/>
      <c r="AS2512" s="77"/>
      <c r="AT2512" s="77"/>
      <c r="AU2512" s="77"/>
      <c r="AV2512" s="80" t="str">
        <f>HYPERLINK("https://pbs.twimg.com/profile_images/1588668531910082561/XEi-lXiu_normal.jpg")</f>
        <v>https://pbs.twimg.com/profile_images/1588668531910082561/XEi-lXiu_normal.jpg</v>
      </c>
      <c r="AW2512" s="82" t="s">
        <v>15596</v>
      </c>
      <c r="AX2512" s="82" t="s">
        <v>15596</v>
      </c>
      <c r="AY2512" s="77"/>
      <c r="AZ2512" s="82" t="s">
        <v>17385</v>
      </c>
      <c r="BA2512" s="82" t="s">
        <v>17385</v>
      </c>
      <c r="BB2512" s="82" t="s">
        <v>17385</v>
      </c>
      <c r="BC2512" s="82" t="s">
        <v>15596</v>
      </c>
      <c r="BD2512" s="82" t="s">
        <v>17667</v>
      </c>
      <c r="BE2512" s="77"/>
      <c r="BF2512" s="77"/>
      <c r="BG2512" s="77"/>
      <c r="BH2512" s="77"/>
      <c r="BI2512" s="77"/>
    </row>
    <row r="2513" spans="1:61" x14ac:dyDescent="0.25">
      <c r="A2513" s="62" t="s">
        <v>646</v>
      </c>
      <c r="B2513" s="62" t="s">
        <v>646</v>
      </c>
      <c r="C2513" s="63"/>
      <c r="D2513" s="64"/>
      <c r="E2513" s="65"/>
      <c r="F2513" s="66"/>
      <c r="G2513" s="63"/>
      <c r="H2513" s="67"/>
      <c r="I2513" s="68"/>
      <c r="J2513" s="68"/>
      <c r="K2513" s="32"/>
      <c r="L2513" s="75">
        <v>2513</v>
      </c>
      <c r="M2513" s="75"/>
      <c r="N2513" s="70"/>
      <c r="O2513" s="77" t="s">
        <v>179</v>
      </c>
      <c r="P2513" s="79">
        <v>45054.666273148148</v>
      </c>
      <c r="Q2513" s="77" t="s">
        <v>3290</v>
      </c>
      <c r="R2513" s="77">
        <v>0</v>
      </c>
      <c r="S2513" s="77">
        <v>0</v>
      </c>
      <c r="T2513" s="77">
        <v>0</v>
      </c>
      <c r="U2513" s="77">
        <v>0</v>
      </c>
      <c r="V2513" s="77">
        <v>25</v>
      </c>
      <c r="W2513" s="82" t="s">
        <v>6382</v>
      </c>
      <c r="X2513" s="80" t="str">
        <f>HYPERLINK("https://tinyurl.com/2gegj3rj")</f>
        <v>https://tinyurl.com/2gegj3rj</v>
      </c>
      <c r="Y2513" s="77" t="s">
        <v>7068</v>
      </c>
      <c r="Z2513" s="77"/>
      <c r="AA2513" s="77"/>
      <c r="AB2513" s="77"/>
      <c r="AC2513" s="82" t="s">
        <v>8275</v>
      </c>
      <c r="AD2513" s="77" t="s">
        <v>8278</v>
      </c>
      <c r="AE2513" s="80" t="str">
        <f>HYPERLINK("https://twitter.com/pauta_economica/status/1655603324631040000")</f>
        <v>https://twitter.com/pauta_economica/status/1655603324631040000</v>
      </c>
      <c r="AF2513" s="79">
        <v>45054.666273148148</v>
      </c>
      <c r="AG2513" s="85">
        <v>45054</v>
      </c>
      <c r="AH2513" s="82" t="s">
        <v>10563</v>
      </c>
      <c r="AI2513" s="77" t="b">
        <v>0</v>
      </c>
      <c r="AJ2513" s="77"/>
      <c r="AK2513" s="77"/>
      <c r="AL2513" s="77"/>
      <c r="AM2513" s="77"/>
      <c r="AN2513" s="77"/>
      <c r="AO2513" s="77"/>
      <c r="AP2513" s="77"/>
      <c r="AQ2513" s="77"/>
      <c r="AR2513" s="77"/>
      <c r="AS2513" s="77"/>
      <c r="AT2513" s="77"/>
      <c r="AU2513" s="77"/>
      <c r="AV2513" s="80" t="str">
        <f>HYPERLINK("https://pbs.twimg.com/profile_images/1588668531910082561/XEi-lXiu_normal.jpg")</f>
        <v>https://pbs.twimg.com/profile_images/1588668531910082561/XEi-lXiu_normal.jpg</v>
      </c>
      <c r="AW2513" s="82" t="s">
        <v>15597</v>
      </c>
      <c r="AX2513" s="82" t="s">
        <v>15597</v>
      </c>
      <c r="AY2513" s="77"/>
      <c r="AZ2513" s="82" t="s">
        <v>17385</v>
      </c>
      <c r="BA2513" s="82" t="s">
        <v>17385</v>
      </c>
      <c r="BB2513" s="82" t="s">
        <v>17385</v>
      </c>
      <c r="BC2513" s="82" t="s">
        <v>15597</v>
      </c>
      <c r="BD2513" s="82" t="s">
        <v>17667</v>
      </c>
      <c r="BE2513" s="77"/>
      <c r="BF2513" s="77"/>
      <c r="BG2513" s="77"/>
      <c r="BH2513" s="77"/>
      <c r="BI2513" s="77"/>
    </row>
    <row r="2514" spans="1:61" x14ac:dyDescent="0.25">
      <c r="A2514" s="62" t="s">
        <v>646</v>
      </c>
      <c r="B2514" s="62" t="s">
        <v>646</v>
      </c>
      <c r="C2514" s="63"/>
      <c r="D2514" s="64"/>
      <c r="E2514" s="65"/>
      <c r="F2514" s="66"/>
      <c r="G2514" s="63"/>
      <c r="H2514" s="67"/>
      <c r="I2514" s="68"/>
      <c r="J2514" s="68"/>
      <c r="K2514" s="32"/>
      <c r="L2514" s="75">
        <v>2514</v>
      </c>
      <c r="M2514" s="75"/>
      <c r="N2514" s="70"/>
      <c r="O2514" s="77" t="s">
        <v>179</v>
      </c>
      <c r="P2514" s="79">
        <v>45054.638333333336</v>
      </c>
      <c r="Q2514" s="77" t="s">
        <v>3291</v>
      </c>
      <c r="R2514" s="77">
        <v>0</v>
      </c>
      <c r="S2514" s="77">
        <v>0</v>
      </c>
      <c r="T2514" s="77">
        <v>0</v>
      </c>
      <c r="U2514" s="77">
        <v>0</v>
      </c>
      <c r="V2514" s="77">
        <v>26</v>
      </c>
      <c r="W2514" s="82" t="s">
        <v>6382</v>
      </c>
      <c r="X2514" s="80" t="str">
        <f>HYPERLINK("https://tinyurl.com/2gpo4gn6")</f>
        <v>https://tinyurl.com/2gpo4gn6</v>
      </c>
      <c r="Y2514" s="77" t="s">
        <v>7068</v>
      </c>
      <c r="Z2514" s="77"/>
      <c r="AA2514" s="77"/>
      <c r="AB2514" s="77"/>
      <c r="AC2514" s="82" t="s">
        <v>8275</v>
      </c>
      <c r="AD2514" s="77" t="s">
        <v>8278</v>
      </c>
      <c r="AE2514" s="80" t="str">
        <f>HYPERLINK("https://twitter.com/pauta_economica/status/1655593198696185864")</f>
        <v>https://twitter.com/pauta_economica/status/1655593198696185864</v>
      </c>
      <c r="AF2514" s="79">
        <v>45054.638333333336</v>
      </c>
      <c r="AG2514" s="85">
        <v>45054</v>
      </c>
      <c r="AH2514" s="82" t="s">
        <v>10564</v>
      </c>
      <c r="AI2514" s="77" t="b">
        <v>0</v>
      </c>
      <c r="AJ2514" s="77"/>
      <c r="AK2514" s="77"/>
      <c r="AL2514" s="77"/>
      <c r="AM2514" s="77"/>
      <c r="AN2514" s="77"/>
      <c r="AO2514" s="77"/>
      <c r="AP2514" s="77"/>
      <c r="AQ2514" s="77"/>
      <c r="AR2514" s="77"/>
      <c r="AS2514" s="77"/>
      <c r="AT2514" s="77"/>
      <c r="AU2514" s="77"/>
      <c r="AV2514" s="80" t="str">
        <f>HYPERLINK("https://pbs.twimg.com/profile_images/1588668531910082561/XEi-lXiu_normal.jpg")</f>
        <v>https://pbs.twimg.com/profile_images/1588668531910082561/XEi-lXiu_normal.jpg</v>
      </c>
      <c r="AW2514" s="82" t="s">
        <v>15598</v>
      </c>
      <c r="AX2514" s="82" t="s">
        <v>15598</v>
      </c>
      <c r="AY2514" s="77"/>
      <c r="AZ2514" s="82" t="s">
        <v>17385</v>
      </c>
      <c r="BA2514" s="82" t="s">
        <v>17385</v>
      </c>
      <c r="BB2514" s="82" t="s">
        <v>17385</v>
      </c>
      <c r="BC2514" s="82" t="s">
        <v>15598</v>
      </c>
      <c r="BD2514" s="82" t="s">
        <v>17667</v>
      </c>
      <c r="BE2514" s="77"/>
      <c r="BF2514" s="77"/>
      <c r="BG2514" s="77"/>
      <c r="BH2514" s="77"/>
      <c r="BI2514" s="77"/>
    </row>
    <row r="2515" spans="1:61" x14ac:dyDescent="0.25">
      <c r="A2515" s="62" t="s">
        <v>646</v>
      </c>
      <c r="B2515" s="62" t="s">
        <v>646</v>
      </c>
      <c r="C2515" s="63"/>
      <c r="D2515" s="64"/>
      <c r="E2515" s="65"/>
      <c r="F2515" s="66"/>
      <c r="G2515" s="63"/>
      <c r="H2515" s="67"/>
      <c r="I2515" s="68"/>
      <c r="J2515" s="68"/>
      <c r="K2515" s="32"/>
      <c r="L2515" s="75">
        <v>2515</v>
      </c>
      <c r="M2515" s="75"/>
      <c r="N2515" s="70"/>
      <c r="O2515" s="77" t="s">
        <v>179</v>
      </c>
      <c r="P2515" s="79">
        <v>45054.610520833332</v>
      </c>
      <c r="Q2515" s="77" t="s">
        <v>3292</v>
      </c>
      <c r="R2515" s="77">
        <v>0</v>
      </c>
      <c r="S2515" s="77">
        <v>0</v>
      </c>
      <c r="T2515" s="77">
        <v>0</v>
      </c>
      <c r="U2515" s="77">
        <v>0</v>
      </c>
      <c r="V2515" s="77">
        <v>21</v>
      </c>
      <c r="W2515" s="82" t="s">
        <v>6382</v>
      </c>
      <c r="X2515" s="80" t="str">
        <f>HYPERLINK("https://tinyurl.com/2oah293h")</f>
        <v>https://tinyurl.com/2oah293h</v>
      </c>
      <c r="Y2515" s="77" t="s">
        <v>7068</v>
      </c>
      <c r="Z2515" s="77"/>
      <c r="AA2515" s="77"/>
      <c r="AB2515" s="77"/>
      <c r="AC2515" s="82" t="s">
        <v>8275</v>
      </c>
      <c r="AD2515" s="77" t="s">
        <v>8278</v>
      </c>
      <c r="AE2515" s="80" t="str">
        <f>HYPERLINK("https://twitter.com/pauta_economica/status/1655583119708237826")</f>
        <v>https://twitter.com/pauta_economica/status/1655583119708237826</v>
      </c>
      <c r="AF2515" s="79">
        <v>45054.610520833332</v>
      </c>
      <c r="AG2515" s="85">
        <v>45054</v>
      </c>
      <c r="AH2515" s="82" t="s">
        <v>10565</v>
      </c>
      <c r="AI2515" s="77" t="b">
        <v>0</v>
      </c>
      <c r="AJ2515" s="77"/>
      <c r="AK2515" s="77"/>
      <c r="AL2515" s="77"/>
      <c r="AM2515" s="77"/>
      <c r="AN2515" s="77"/>
      <c r="AO2515" s="77"/>
      <c r="AP2515" s="77"/>
      <c r="AQ2515" s="77"/>
      <c r="AR2515" s="77"/>
      <c r="AS2515" s="77"/>
      <c r="AT2515" s="77"/>
      <c r="AU2515" s="77"/>
      <c r="AV2515" s="80" t="str">
        <f>HYPERLINK("https://pbs.twimg.com/profile_images/1588668531910082561/XEi-lXiu_normal.jpg")</f>
        <v>https://pbs.twimg.com/profile_images/1588668531910082561/XEi-lXiu_normal.jpg</v>
      </c>
      <c r="AW2515" s="82" t="s">
        <v>15599</v>
      </c>
      <c r="AX2515" s="82" t="s">
        <v>15599</v>
      </c>
      <c r="AY2515" s="77"/>
      <c r="AZ2515" s="82" t="s">
        <v>17385</v>
      </c>
      <c r="BA2515" s="82" t="s">
        <v>17385</v>
      </c>
      <c r="BB2515" s="82" t="s">
        <v>17385</v>
      </c>
      <c r="BC2515" s="82" t="s">
        <v>15599</v>
      </c>
      <c r="BD2515" s="82" t="s">
        <v>17667</v>
      </c>
      <c r="BE2515" s="77"/>
      <c r="BF2515" s="77"/>
      <c r="BG2515" s="77"/>
      <c r="BH2515" s="77"/>
      <c r="BI2515" s="77"/>
    </row>
    <row r="2516" spans="1:61" x14ac:dyDescent="0.25">
      <c r="A2516" s="62" t="s">
        <v>646</v>
      </c>
      <c r="B2516" s="62" t="s">
        <v>646</v>
      </c>
      <c r="C2516" s="63"/>
      <c r="D2516" s="64"/>
      <c r="E2516" s="65"/>
      <c r="F2516" s="66"/>
      <c r="G2516" s="63"/>
      <c r="H2516" s="67"/>
      <c r="I2516" s="68"/>
      <c r="J2516" s="68"/>
      <c r="K2516" s="32"/>
      <c r="L2516" s="75">
        <v>2516</v>
      </c>
      <c r="M2516" s="75"/>
      <c r="N2516" s="70"/>
      <c r="O2516" s="77" t="s">
        <v>179</v>
      </c>
      <c r="P2516" s="79">
        <v>45054.608194444445</v>
      </c>
      <c r="Q2516" s="77" t="s">
        <v>3293</v>
      </c>
      <c r="R2516" s="77">
        <v>0</v>
      </c>
      <c r="S2516" s="77">
        <v>0</v>
      </c>
      <c r="T2516" s="77">
        <v>0</v>
      </c>
      <c r="U2516" s="77">
        <v>0</v>
      </c>
      <c r="V2516" s="77">
        <v>21</v>
      </c>
      <c r="W2516" s="82" t="s">
        <v>6382</v>
      </c>
      <c r="X2516" s="80" t="str">
        <f>HYPERLINK("https://tinyurl.com/2ksxat4n")</f>
        <v>https://tinyurl.com/2ksxat4n</v>
      </c>
      <c r="Y2516" s="77" t="s">
        <v>7068</v>
      </c>
      <c r="Z2516" s="77"/>
      <c r="AA2516" s="77"/>
      <c r="AB2516" s="77"/>
      <c r="AC2516" s="82" t="s">
        <v>8275</v>
      </c>
      <c r="AD2516" s="77" t="s">
        <v>8278</v>
      </c>
      <c r="AE2516" s="80" t="str">
        <f>HYPERLINK("https://twitter.com/pauta_economica/status/1655582277512855561")</f>
        <v>https://twitter.com/pauta_economica/status/1655582277512855561</v>
      </c>
      <c r="AF2516" s="79">
        <v>45054.608194444445</v>
      </c>
      <c r="AG2516" s="85">
        <v>45054</v>
      </c>
      <c r="AH2516" s="82" t="s">
        <v>8305</v>
      </c>
      <c r="AI2516" s="77" t="b">
        <v>0</v>
      </c>
      <c r="AJ2516" s="77"/>
      <c r="AK2516" s="77"/>
      <c r="AL2516" s="77"/>
      <c r="AM2516" s="77"/>
      <c r="AN2516" s="77"/>
      <c r="AO2516" s="77"/>
      <c r="AP2516" s="77"/>
      <c r="AQ2516" s="77"/>
      <c r="AR2516" s="77"/>
      <c r="AS2516" s="77"/>
      <c r="AT2516" s="77"/>
      <c r="AU2516" s="77"/>
      <c r="AV2516" s="80" t="str">
        <f>HYPERLINK("https://pbs.twimg.com/profile_images/1588668531910082561/XEi-lXiu_normal.jpg")</f>
        <v>https://pbs.twimg.com/profile_images/1588668531910082561/XEi-lXiu_normal.jpg</v>
      </c>
      <c r="AW2516" s="82" t="s">
        <v>15600</v>
      </c>
      <c r="AX2516" s="82" t="s">
        <v>15600</v>
      </c>
      <c r="AY2516" s="77"/>
      <c r="AZ2516" s="82" t="s">
        <v>17385</v>
      </c>
      <c r="BA2516" s="82" t="s">
        <v>17385</v>
      </c>
      <c r="BB2516" s="82" t="s">
        <v>17385</v>
      </c>
      <c r="BC2516" s="82" t="s">
        <v>15600</v>
      </c>
      <c r="BD2516" s="82" t="s">
        <v>17667</v>
      </c>
      <c r="BE2516" s="77"/>
      <c r="BF2516" s="77"/>
      <c r="BG2516" s="77"/>
      <c r="BH2516" s="77"/>
      <c r="BI2516" s="77"/>
    </row>
    <row r="2517" spans="1:61" x14ac:dyDescent="0.25">
      <c r="A2517" s="62" t="s">
        <v>646</v>
      </c>
      <c r="B2517" s="62" t="s">
        <v>646</v>
      </c>
      <c r="C2517" s="63"/>
      <c r="D2517" s="64"/>
      <c r="E2517" s="65"/>
      <c r="F2517" s="66"/>
      <c r="G2517" s="63"/>
      <c r="H2517" s="67"/>
      <c r="I2517" s="68"/>
      <c r="J2517" s="68"/>
      <c r="K2517" s="32"/>
      <c r="L2517" s="75">
        <v>2517</v>
      </c>
      <c r="M2517" s="75"/>
      <c r="N2517" s="70"/>
      <c r="O2517" s="77" t="s">
        <v>179</v>
      </c>
      <c r="P2517" s="79">
        <v>45054.594212962962</v>
      </c>
      <c r="Q2517" s="77" t="s">
        <v>3294</v>
      </c>
      <c r="R2517" s="77">
        <v>0</v>
      </c>
      <c r="S2517" s="77">
        <v>0</v>
      </c>
      <c r="T2517" s="77">
        <v>0</v>
      </c>
      <c r="U2517" s="77">
        <v>0</v>
      </c>
      <c r="V2517" s="77">
        <v>40</v>
      </c>
      <c r="W2517" s="82" t="s">
        <v>6382</v>
      </c>
      <c r="X2517" s="80" t="str">
        <f>HYPERLINK("https://tinyurl.com/2qm3eyuz")</f>
        <v>https://tinyurl.com/2qm3eyuz</v>
      </c>
      <c r="Y2517" s="77" t="s">
        <v>7068</v>
      </c>
      <c r="Z2517" s="77"/>
      <c r="AA2517" s="77"/>
      <c r="AB2517" s="77"/>
      <c r="AC2517" s="82" t="s">
        <v>8275</v>
      </c>
      <c r="AD2517" s="77" t="s">
        <v>8278</v>
      </c>
      <c r="AE2517" s="80" t="str">
        <f>HYPERLINK("https://twitter.com/pauta_economica/status/1655577210424524819")</f>
        <v>https://twitter.com/pauta_economica/status/1655577210424524819</v>
      </c>
      <c r="AF2517" s="79">
        <v>45054.594212962962</v>
      </c>
      <c r="AG2517" s="85">
        <v>45054</v>
      </c>
      <c r="AH2517" s="82" t="s">
        <v>9048</v>
      </c>
      <c r="AI2517" s="77" t="b">
        <v>0</v>
      </c>
      <c r="AJ2517" s="77"/>
      <c r="AK2517" s="77"/>
      <c r="AL2517" s="77"/>
      <c r="AM2517" s="77"/>
      <c r="AN2517" s="77"/>
      <c r="AO2517" s="77"/>
      <c r="AP2517" s="77"/>
      <c r="AQ2517" s="77"/>
      <c r="AR2517" s="77"/>
      <c r="AS2517" s="77"/>
      <c r="AT2517" s="77"/>
      <c r="AU2517" s="77"/>
      <c r="AV2517" s="80" t="str">
        <f>HYPERLINK("https://pbs.twimg.com/profile_images/1588668531910082561/XEi-lXiu_normal.jpg")</f>
        <v>https://pbs.twimg.com/profile_images/1588668531910082561/XEi-lXiu_normal.jpg</v>
      </c>
      <c r="AW2517" s="82" t="s">
        <v>15601</v>
      </c>
      <c r="AX2517" s="82" t="s">
        <v>15601</v>
      </c>
      <c r="AY2517" s="77"/>
      <c r="AZ2517" s="82" t="s">
        <v>17385</v>
      </c>
      <c r="BA2517" s="82" t="s">
        <v>17385</v>
      </c>
      <c r="BB2517" s="82" t="s">
        <v>17385</v>
      </c>
      <c r="BC2517" s="82" t="s">
        <v>15601</v>
      </c>
      <c r="BD2517" s="82" t="s">
        <v>17667</v>
      </c>
      <c r="BE2517" s="77"/>
      <c r="BF2517" s="77"/>
      <c r="BG2517" s="77"/>
      <c r="BH2517" s="77"/>
      <c r="BI2517" s="77"/>
    </row>
    <row r="2518" spans="1:61" x14ac:dyDescent="0.25">
      <c r="A2518" s="62" t="s">
        <v>646</v>
      </c>
      <c r="B2518" s="62" t="s">
        <v>646</v>
      </c>
      <c r="C2518" s="63"/>
      <c r="D2518" s="64"/>
      <c r="E2518" s="65"/>
      <c r="F2518" s="66"/>
      <c r="G2518" s="63"/>
      <c r="H2518" s="67"/>
      <c r="I2518" s="68"/>
      <c r="J2518" s="68"/>
      <c r="K2518" s="32"/>
      <c r="L2518" s="75">
        <v>2518</v>
      </c>
      <c r="M2518" s="75"/>
      <c r="N2518" s="70"/>
      <c r="O2518" s="77" t="s">
        <v>179</v>
      </c>
      <c r="P2518" s="79">
        <v>45054.587280092594</v>
      </c>
      <c r="Q2518" s="77" t="s">
        <v>3295</v>
      </c>
      <c r="R2518" s="77">
        <v>0</v>
      </c>
      <c r="S2518" s="77">
        <v>0</v>
      </c>
      <c r="T2518" s="77">
        <v>0</v>
      </c>
      <c r="U2518" s="77">
        <v>0</v>
      </c>
      <c r="V2518" s="77">
        <v>19</v>
      </c>
      <c r="W2518" s="82" t="s">
        <v>6382</v>
      </c>
      <c r="X2518" s="80" t="str">
        <f>HYPERLINK("https://tinyurl.com/2oq7etex")</f>
        <v>https://tinyurl.com/2oq7etex</v>
      </c>
      <c r="Y2518" s="77" t="s">
        <v>7068</v>
      </c>
      <c r="Z2518" s="77"/>
      <c r="AA2518" s="77"/>
      <c r="AB2518" s="77"/>
      <c r="AC2518" s="82" t="s">
        <v>8275</v>
      </c>
      <c r="AD2518" s="77" t="s">
        <v>8278</v>
      </c>
      <c r="AE2518" s="80" t="str">
        <f>HYPERLINK("https://twitter.com/pauta_economica/status/1655574696430034953")</f>
        <v>https://twitter.com/pauta_economica/status/1655574696430034953</v>
      </c>
      <c r="AF2518" s="79">
        <v>45054.587280092594</v>
      </c>
      <c r="AG2518" s="85">
        <v>45054</v>
      </c>
      <c r="AH2518" s="82" t="s">
        <v>10566</v>
      </c>
      <c r="AI2518" s="77" t="b">
        <v>0</v>
      </c>
      <c r="AJ2518" s="77"/>
      <c r="AK2518" s="77"/>
      <c r="AL2518" s="77"/>
      <c r="AM2518" s="77"/>
      <c r="AN2518" s="77"/>
      <c r="AO2518" s="77"/>
      <c r="AP2518" s="77"/>
      <c r="AQ2518" s="77"/>
      <c r="AR2518" s="77"/>
      <c r="AS2518" s="77"/>
      <c r="AT2518" s="77"/>
      <c r="AU2518" s="77"/>
      <c r="AV2518" s="80" t="str">
        <f>HYPERLINK("https://pbs.twimg.com/profile_images/1588668531910082561/XEi-lXiu_normal.jpg")</f>
        <v>https://pbs.twimg.com/profile_images/1588668531910082561/XEi-lXiu_normal.jpg</v>
      </c>
      <c r="AW2518" s="82" t="s">
        <v>15602</v>
      </c>
      <c r="AX2518" s="82" t="s">
        <v>15602</v>
      </c>
      <c r="AY2518" s="77"/>
      <c r="AZ2518" s="82" t="s">
        <v>17385</v>
      </c>
      <c r="BA2518" s="82" t="s">
        <v>17385</v>
      </c>
      <c r="BB2518" s="82" t="s">
        <v>17385</v>
      </c>
      <c r="BC2518" s="82" t="s">
        <v>15602</v>
      </c>
      <c r="BD2518" s="82" t="s">
        <v>17667</v>
      </c>
      <c r="BE2518" s="77"/>
      <c r="BF2518" s="77"/>
      <c r="BG2518" s="77"/>
      <c r="BH2518" s="77"/>
      <c r="BI2518" s="77"/>
    </row>
    <row r="2519" spans="1:61" x14ac:dyDescent="0.25">
      <c r="A2519" s="62" t="s">
        <v>646</v>
      </c>
      <c r="B2519" s="62" t="s">
        <v>646</v>
      </c>
      <c r="C2519" s="63"/>
      <c r="D2519" s="64"/>
      <c r="E2519" s="65"/>
      <c r="F2519" s="66"/>
      <c r="G2519" s="63"/>
      <c r="H2519" s="67"/>
      <c r="I2519" s="68"/>
      <c r="J2519" s="68"/>
      <c r="K2519" s="32"/>
      <c r="L2519" s="75">
        <v>2519</v>
      </c>
      <c r="M2519" s="75"/>
      <c r="N2519" s="70"/>
      <c r="O2519" s="77" t="s">
        <v>179</v>
      </c>
      <c r="P2519" s="79">
        <v>45054.582604166666</v>
      </c>
      <c r="Q2519" s="77" t="s">
        <v>3296</v>
      </c>
      <c r="R2519" s="77">
        <v>0</v>
      </c>
      <c r="S2519" s="77">
        <v>0</v>
      </c>
      <c r="T2519" s="77">
        <v>0</v>
      </c>
      <c r="U2519" s="77">
        <v>0</v>
      </c>
      <c r="V2519" s="77">
        <v>46</v>
      </c>
      <c r="W2519" s="82" t="s">
        <v>6382</v>
      </c>
      <c r="X2519" s="80" t="str">
        <f>HYPERLINK("https://tinyurl.com/2npwva7z")</f>
        <v>https://tinyurl.com/2npwva7z</v>
      </c>
      <c r="Y2519" s="77" t="s">
        <v>7068</v>
      </c>
      <c r="Z2519" s="77"/>
      <c r="AA2519" s="77"/>
      <c r="AB2519" s="77"/>
      <c r="AC2519" s="82" t="s">
        <v>8275</v>
      </c>
      <c r="AD2519" s="77" t="s">
        <v>8278</v>
      </c>
      <c r="AE2519" s="80" t="str">
        <f>HYPERLINK("https://twitter.com/pauta_economica/status/1655573001767616515")</f>
        <v>https://twitter.com/pauta_economica/status/1655573001767616515</v>
      </c>
      <c r="AF2519" s="79">
        <v>45054.582604166666</v>
      </c>
      <c r="AG2519" s="85">
        <v>45054</v>
      </c>
      <c r="AH2519" s="82" t="s">
        <v>9497</v>
      </c>
      <c r="AI2519" s="77" t="b">
        <v>0</v>
      </c>
      <c r="AJ2519" s="77"/>
      <c r="AK2519" s="77"/>
      <c r="AL2519" s="77"/>
      <c r="AM2519" s="77"/>
      <c r="AN2519" s="77"/>
      <c r="AO2519" s="77"/>
      <c r="AP2519" s="77"/>
      <c r="AQ2519" s="77"/>
      <c r="AR2519" s="77"/>
      <c r="AS2519" s="77"/>
      <c r="AT2519" s="77"/>
      <c r="AU2519" s="77"/>
      <c r="AV2519" s="80" t="str">
        <f>HYPERLINK("https://pbs.twimg.com/profile_images/1588668531910082561/XEi-lXiu_normal.jpg")</f>
        <v>https://pbs.twimg.com/profile_images/1588668531910082561/XEi-lXiu_normal.jpg</v>
      </c>
      <c r="AW2519" s="82" t="s">
        <v>15603</v>
      </c>
      <c r="AX2519" s="82" t="s">
        <v>15603</v>
      </c>
      <c r="AY2519" s="77"/>
      <c r="AZ2519" s="82" t="s">
        <v>17385</v>
      </c>
      <c r="BA2519" s="82" t="s">
        <v>17385</v>
      </c>
      <c r="BB2519" s="82" t="s">
        <v>17385</v>
      </c>
      <c r="BC2519" s="82" t="s">
        <v>15603</v>
      </c>
      <c r="BD2519" s="82" t="s">
        <v>17667</v>
      </c>
      <c r="BE2519" s="77"/>
      <c r="BF2519" s="77"/>
      <c r="BG2519" s="77"/>
      <c r="BH2519" s="77"/>
      <c r="BI2519" s="77"/>
    </row>
    <row r="2520" spans="1:61" x14ac:dyDescent="0.25">
      <c r="A2520" s="62" t="s">
        <v>646</v>
      </c>
      <c r="B2520" s="62" t="s">
        <v>646</v>
      </c>
      <c r="C2520" s="63"/>
      <c r="D2520" s="64"/>
      <c r="E2520" s="65"/>
      <c r="F2520" s="66"/>
      <c r="G2520" s="63"/>
      <c r="H2520" s="67"/>
      <c r="I2520" s="68"/>
      <c r="J2520" s="68"/>
      <c r="K2520" s="32"/>
      <c r="L2520" s="75">
        <v>2520</v>
      </c>
      <c r="M2520" s="75"/>
      <c r="N2520" s="70"/>
      <c r="O2520" s="77" t="s">
        <v>179</v>
      </c>
      <c r="P2520" s="79">
        <v>45054.573344907411</v>
      </c>
      <c r="Q2520" s="77" t="s">
        <v>3297</v>
      </c>
      <c r="R2520" s="77">
        <v>0</v>
      </c>
      <c r="S2520" s="77">
        <v>0</v>
      </c>
      <c r="T2520" s="77">
        <v>0</v>
      </c>
      <c r="U2520" s="77">
        <v>0</v>
      </c>
      <c r="V2520" s="77">
        <v>145</v>
      </c>
      <c r="W2520" s="82" t="s">
        <v>6382</v>
      </c>
      <c r="X2520" s="80" t="str">
        <f>HYPERLINK("https://tinyurl.com/2pyedkub")</f>
        <v>https://tinyurl.com/2pyedkub</v>
      </c>
      <c r="Y2520" s="77" t="s">
        <v>7068</v>
      </c>
      <c r="Z2520" s="77"/>
      <c r="AA2520" s="77"/>
      <c r="AB2520" s="77"/>
      <c r="AC2520" s="82" t="s">
        <v>8275</v>
      </c>
      <c r="AD2520" s="77" t="s">
        <v>8278</v>
      </c>
      <c r="AE2520" s="80" t="str">
        <f>HYPERLINK("https://twitter.com/pauta_economica/status/1655569646752350210")</f>
        <v>https://twitter.com/pauta_economica/status/1655569646752350210</v>
      </c>
      <c r="AF2520" s="79">
        <v>45054.573344907411</v>
      </c>
      <c r="AG2520" s="85">
        <v>45054</v>
      </c>
      <c r="AH2520" s="82" t="s">
        <v>10567</v>
      </c>
      <c r="AI2520" s="77" t="b">
        <v>0</v>
      </c>
      <c r="AJ2520" s="77"/>
      <c r="AK2520" s="77"/>
      <c r="AL2520" s="77"/>
      <c r="AM2520" s="77"/>
      <c r="AN2520" s="77"/>
      <c r="AO2520" s="77"/>
      <c r="AP2520" s="77"/>
      <c r="AQ2520" s="77"/>
      <c r="AR2520" s="77"/>
      <c r="AS2520" s="77"/>
      <c r="AT2520" s="77"/>
      <c r="AU2520" s="77"/>
      <c r="AV2520" s="80" t="str">
        <f>HYPERLINK("https://pbs.twimg.com/profile_images/1588668531910082561/XEi-lXiu_normal.jpg")</f>
        <v>https://pbs.twimg.com/profile_images/1588668531910082561/XEi-lXiu_normal.jpg</v>
      </c>
      <c r="AW2520" s="82" t="s">
        <v>15604</v>
      </c>
      <c r="AX2520" s="82" t="s">
        <v>15604</v>
      </c>
      <c r="AY2520" s="77"/>
      <c r="AZ2520" s="82" t="s">
        <v>17385</v>
      </c>
      <c r="BA2520" s="82" t="s">
        <v>17385</v>
      </c>
      <c r="BB2520" s="82" t="s">
        <v>17385</v>
      </c>
      <c r="BC2520" s="82" t="s">
        <v>15604</v>
      </c>
      <c r="BD2520" s="82" t="s">
        <v>17667</v>
      </c>
      <c r="BE2520" s="77"/>
      <c r="BF2520" s="77"/>
      <c r="BG2520" s="77"/>
      <c r="BH2520" s="77"/>
      <c r="BI2520" s="77"/>
    </row>
    <row r="2521" spans="1:61" x14ac:dyDescent="0.25">
      <c r="A2521" s="62" t="s">
        <v>646</v>
      </c>
      <c r="B2521" s="62" t="s">
        <v>646</v>
      </c>
      <c r="C2521" s="63"/>
      <c r="D2521" s="64"/>
      <c r="E2521" s="65"/>
      <c r="F2521" s="66"/>
      <c r="G2521" s="63"/>
      <c r="H2521" s="67"/>
      <c r="I2521" s="68"/>
      <c r="J2521" s="68"/>
      <c r="K2521" s="32"/>
      <c r="L2521" s="75">
        <v>2521</v>
      </c>
      <c r="M2521" s="75"/>
      <c r="N2521" s="70"/>
      <c r="O2521" s="77" t="s">
        <v>179</v>
      </c>
      <c r="P2521" s="79">
        <v>45054.552499999998</v>
      </c>
      <c r="Q2521" s="77" t="s">
        <v>3298</v>
      </c>
      <c r="R2521" s="77">
        <v>0</v>
      </c>
      <c r="S2521" s="77">
        <v>0</v>
      </c>
      <c r="T2521" s="77">
        <v>0</v>
      </c>
      <c r="U2521" s="77">
        <v>0</v>
      </c>
      <c r="V2521" s="77">
        <v>22</v>
      </c>
      <c r="W2521" s="82" t="s">
        <v>6382</v>
      </c>
      <c r="X2521" s="80" t="str">
        <f>HYPERLINK("https://tinyurl.com/2p3jzzla")</f>
        <v>https://tinyurl.com/2p3jzzla</v>
      </c>
      <c r="Y2521" s="77" t="s">
        <v>7068</v>
      </c>
      <c r="Z2521" s="77"/>
      <c r="AA2521" s="77"/>
      <c r="AB2521" s="77"/>
      <c r="AC2521" s="82" t="s">
        <v>8275</v>
      </c>
      <c r="AD2521" s="77" t="s">
        <v>8278</v>
      </c>
      <c r="AE2521" s="80" t="str">
        <f>HYPERLINK("https://twitter.com/pauta_economica/status/1655562094463393795")</f>
        <v>https://twitter.com/pauta_economica/status/1655562094463393795</v>
      </c>
      <c r="AF2521" s="79">
        <v>45054.552499999998</v>
      </c>
      <c r="AG2521" s="85">
        <v>45054</v>
      </c>
      <c r="AH2521" s="82" t="s">
        <v>10568</v>
      </c>
      <c r="AI2521" s="77" t="b">
        <v>0</v>
      </c>
      <c r="AJ2521" s="77"/>
      <c r="AK2521" s="77"/>
      <c r="AL2521" s="77"/>
      <c r="AM2521" s="77"/>
      <c r="AN2521" s="77"/>
      <c r="AO2521" s="77"/>
      <c r="AP2521" s="77"/>
      <c r="AQ2521" s="77"/>
      <c r="AR2521" s="77"/>
      <c r="AS2521" s="77"/>
      <c r="AT2521" s="77"/>
      <c r="AU2521" s="77"/>
      <c r="AV2521" s="80" t="str">
        <f>HYPERLINK("https://pbs.twimg.com/profile_images/1588668531910082561/XEi-lXiu_normal.jpg")</f>
        <v>https://pbs.twimg.com/profile_images/1588668531910082561/XEi-lXiu_normal.jpg</v>
      </c>
      <c r="AW2521" s="82" t="s">
        <v>15605</v>
      </c>
      <c r="AX2521" s="82" t="s">
        <v>15605</v>
      </c>
      <c r="AY2521" s="77"/>
      <c r="AZ2521" s="82" t="s">
        <v>17385</v>
      </c>
      <c r="BA2521" s="82" t="s">
        <v>17385</v>
      </c>
      <c r="BB2521" s="82" t="s">
        <v>17385</v>
      </c>
      <c r="BC2521" s="82" t="s">
        <v>15605</v>
      </c>
      <c r="BD2521" s="82" t="s">
        <v>17667</v>
      </c>
      <c r="BE2521" s="77"/>
      <c r="BF2521" s="77"/>
      <c r="BG2521" s="77"/>
      <c r="BH2521" s="77"/>
      <c r="BI2521" s="77"/>
    </row>
    <row r="2522" spans="1:61" x14ac:dyDescent="0.25">
      <c r="A2522" s="62" t="s">
        <v>646</v>
      </c>
      <c r="B2522" s="62" t="s">
        <v>646</v>
      </c>
      <c r="C2522" s="63"/>
      <c r="D2522" s="64"/>
      <c r="E2522" s="65"/>
      <c r="F2522" s="66"/>
      <c r="G2522" s="63"/>
      <c r="H2522" s="67"/>
      <c r="I2522" s="68"/>
      <c r="J2522" s="68"/>
      <c r="K2522" s="32"/>
      <c r="L2522" s="75">
        <v>2522</v>
      </c>
      <c r="M2522" s="75"/>
      <c r="N2522" s="70"/>
      <c r="O2522" s="77" t="s">
        <v>179</v>
      </c>
      <c r="P2522" s="79">
        <v>45054.538587962961</v>
      </c>
      <c r="Q2522" s="77" t="s">
        <v>3299</v>
      </c>
      <c r="R2522" s="77">
        <v>0</v>
      </c>
      <c r="S2522" s="77">
        <v>0</v>
      </c>
      <c r="T2522" s="77">
        <v>0</v>
      </c>
      <c r="U2522" s="77">
        <v>0</v>
      </c>
      <c r="V2522" s="77">
        <v>32</v>
      </c>
      <c r="W2522" s="82" t="s">
        <v>6382</v>
      </c>
      <c r="X2522" s="80" t="str">
        <f>HYPERLINK("https://tinyurl.com/2j4clor7")</f>
        <v>https://tinyurl.com/2j4clor7</v>
      </c>
      <c r="Y2522" s="77" t="s">
        <v>7068</v>
      </c>
      <c r="Z2522" s="77"/>
      <c r="AA2522" s="77"/>
      <c r="AB2522" s="77"/>
      <c r="AC2522" s="82" t="s">
        <v>8275</v>
      </c>
      <c r="AD2522" s="77" t="s">
        <v>8278</v>
      </c>
      <c r="AE2522" s="80" t="str">
        <f>HYPERLINK("https://twitter.com/pauta_economica/status/1655557050900856834")</f>
        <v>https://twitter.com/pauta_economica/status/1655557050900856834</v>
      </c>
      <c r="AF2522" s="79">
        <v>45054.538587962961</v>
      </c>
      <c r="AG2522" s="85">
        <v>45054</v>
      </c>
      <c r="AH2522" s="82" t="s">
        <v>10569</v>
      </c>
      <c r="AI2522" s="77" t="b">
        <v>0</v>
      </c>
      <c r="AJ2522" s="77"/>
      <c r="AK2522" s="77"/>
      <c r="AL2522" s="77"/>
      <c r="AM2522" s="77"/>
      <c r="AN2522" s="77"/>
      <c r="AO2522" s="77"/>
      <c r="AP2522" s="77"/>
      <c r="AQ2522" s="77"/>
      <c r="AR2522" s="77"/>
      <c r="AS2522" s="77"/>
      <c r="AT2522" s="77"/>
      <c r="AU2522" s="77"/>
      <c r="AV2522" s="80" t="str">
        <f>HYPERLINK("https://pbs.twimg.com/profile_images/1588668531910082561/XEi-lXiu_normal.jpg")</f>
        <v>https://pbs.twimg.com/profile_images/1588668531910082561/XEi-lXiu_normal.jpg</v>
      </c>
      <c r="AW2522" s="82" t="s">
        <v>15606</v>
      </c>
      <c r="AX2522" s="82" t="s">
        <v>15606</v>
      </c>
      <c r="AY2522" s="77"/>
      <c r="AZ2522" s="82" t="s">
        <v>17385</v>
      </c>
      <c r="BA2522" s="82" t="s">
        <v>17385</v>
      </c>
      <c r="BB2522" s="82" t="s">
        <v>17385</v>
      </c>
      <c r="BC2522" s="82" t="s">
        <v>15606</v>
      </c>
      <c r="BD2522" s="82" t="s">
        <v>17667</v>
      </c>
      <c r="BE2522" s="77"/>
      <c r="BF2522" s="77"/>
      <c r="BG2522" s="77"/>
      <c r="BH2522" s="77"/>
      <c r="BI2522" s="77"/>
    </row>
    <row r="2523" spans="1:61" x14ac:dyDescent="0.25">
      <c r="A2523" s="62" t="s">
        <v>646</v>
      </c>
      <c r="B2523" s="62" t="s">
        <v>646</v>
      </c>
      <c r="C2523" s="63"/>
      <c r="D2523" s="64"/>
      <c r="E2523" s="65"/>
      <c r="F2523" s="66"/>
      <c r="G2523" s="63"/>
      <c r="H2523" s="67"/>
      <c r="I2523" s="68"/>
      <c r="J2523" s="68"/>
      <c r="K2523" s="32"/>
      <c r="L2523" s="75">
        <v>2523</v>
      </c>
      <c r="M2523" s="75"/>
      <c r="N2523" s="70"/>
      <c r="O2523" s="77" t="s">
        <v>179</v>
      </c>
      <c r="P2523" s="79">
        <v>45054.524571759262</v>
      </c>
      <c r="Q2523" s="77" t="s">
        <v>3300</v>
      </c>
      <c r="R2523" s="77">
        <v>0</v>
      </c>
      <c r="S2523" s="77">
        <v>0</v>
      </c>
      <c r="T2523" s="77">
        <v>0</v>
      </c>
      <c r="U2523" s="77">
        <v>0</v>
      </c>
      <c r="V2523" s="77">
        <v>26</v>
      </c>
      <c r="W2523" s="82" t="s">
        <v>6382</v>
      </c>
      <c r="X2523" s="80" t="str">
        <f>HYPERLINK("https://tinyurl.com/2gpgjudr")</f>
        <v>https://tinyurl.com/2gpgjudr</v>
      </c>
      <c r="Y2523" s="77" t="s">
        <v>7068</v>
      </c>
      <c r="Z2523" s="77"/>
      <c r="AA2523" s="77"/>
      <c r="AB2523" s="77"/>
      <c r="AC2523" s="82" t="s">
        <v>8275</v>
      </c>
      <c r="AD2523" s="77" t="s">
        <v>8278</v>
      </c>
      <c r="AE2523" s="80" t="str">
        <f>HYPERLINK("https://twitter.com/pauta_economica/status/1655551974027214850")</f>
        <v>https://twitter.com/pauta_economica/status/1655551974027214850</v>
      </c>
      <c r="AF2523" s="79">
        <v>45054.524571759262</v>
      </c>
      <c r="AG2523" s="85">
        <v>45054</v>
      </c>
      <c r="AH2523" s="82" t="s">
        <v>10570</v>
      </c>
      <c r="AI2523" s="77" t="b">
        <v>0</v>
      </c>
      <c r="AJ2523" s="77"/>
      <c r="AK2523" s="77"/>
      <c r="AL2523" s="77"/>
      <c r="AM2523" s="77"/>
      <c r="AN2523" s="77"/>
      <c r="AO2523" s="77"/>
      <c r="AP2523" s="77"/>
      <c r="AQ2523" s="77"/>
      <c r="AR2523" s="77"/>
      <c r="AS2523" s="77"/>
      <c r="AT2523" s="77"/>
      <c r="AU2523" s="77"/>
      <c r="AV2523" s="80" t="str">
        <f>HYPERLINK("https://pbs.twimg.com/profile_images/1588668531910082561/XEi-lXiu_normal.jpg")</f>
        <v>https://pbs.twimg.com/profile_images/1588668531910082561/XEi-lXiu_normal.jpg</v>
      </c>
      <c r="AW2523" s="82" t="s">
        <v>15607</v>
      </c>
      <c r="AX2523" s="82" t="s">
        <v>15607</v>
      </c>
      <c r="AY2523" s="77"/>
      <c r="AZ2523" s="82" t="s">
        <v>17385</v>
      </c>
      <c r="BA2523" s="82" t="s">
        <v>17385</v>
      </c>
      <c r="BB2523" s="82" t="s">
        <v>17385</v>
      </c>
      <c r="BC2523" s="82" t="s">
        <v>15607</v>
      </c>
      <c r="BD2523" s="82" t="s">
        <v>17667</v>
      </c>
      <c r="BE2523" s="77"/>
      <c r="BF2523" s="77"/>
      <c r="BG2523" s="77"/>
      <c r="BH2523" s="77"/>
      <c r="BI2523" s="77"/>
    </row>
    <row r="2524" spans="1:61" x14ac:dyDescent="0.25">
      <c r="A2524" s="62" t="s">
        <v>646</v>
      </c>
      <c r="B2524" s="62" t="s">
        <v>646</v>
      </c>
      <c r="C2524" s="63"/>
      <c r="D2524" s="64"/>
      <c r="E2524" s="65"/>
      <c r="F2524" s="66"/>
      <c r="G2524" s="63"/>
      <c r="H2524" s="67"/>
      <c r="I2524" s="68"/>
      <c r="J2524" s="68"/>
      <c r="K2524" s="32"/>
      <c r="L2524" s="75">
        <v>2524</v>
      </c>
      <c r="M2524" s="75"/>
      <c r="N2524" s="70"/>
      <c r="O2524" s="77" t="s">
        <v>179</v>
      </c>
      <c r="P2524" s="79">
        <v>45054.510185185187</v>
      </c>
      <c r="Q2524" s="77" t="s">
        <v>3301</v>
      </c>
      <c r="R2524" s="77">
        <v>0</v>
      </c>
      <c r="S2524" s="77">
        <v>0</v>
      </c>
      <c r="T2524" s="77">
        <v>0</v>
      </c>
      <c r="U2524" s="77">
        <v>0</v>
      </c>
      <c r="V2524" s="77">
        <v>31</v>
      </c>
      <c r="W2524" s="82" t="s">
        <v>6382</v>
      </c>
      <c r="X2524" s="80" t="str">
        <f>HYPERLINK("https://tinyurl.com/2ec2vz7u")</f>
        <v>https://tinyurl.com/2ec2vz7u</v>
      </c>
      <c r="Y2524" s="77" t="s">
        <v>7068</v>
      </c>
      <c r="Z2524" s="77"/>
      <c r="AA2524" s="77"/>
      <c r="AB2524" s="77"/>
      <c r="AC2524" s="82" t="s">
        <v>8275</v>
      </c>
      <c r="AD2524" s="77" t="s">
        <v>8278</v>
      </c>
      <c r="AE2524" s="80" t="str">
        <f>HYPERLINK("https://twitter.com/pauta_economica/status/1655546759546798080")</f>
        <v>https://twitter.com/pauta_economica/status/1655546759546798080</v>
      </c>
      <c r="AF2524" s="79">
        <v>45054.510185185187</v>
      </c>
      <c r="AG2524" s="85">
        <v>45054</v>
      </c>
      <c r="AH2524" s="82" t="s">
        <v>10571</v>
      </c>
      <c r="AI2524" s="77" t="b">
        <v>0</v>
      </c>
      <c r="AJ2524" s="77"/>
      <c r="AK2524" s="77"/>
      <c r="AL2524" s="77"/>
      <c r="AM2524" s="77"/>
      <c r="AN2524" s="77"/>
      <c r="AO2524" s="77"/>
      <c r="AP2524" s="77"/>
      <c r="AQ2524" s="77"/>
      <c r="AR2524" s="77"/>
      <c r="AS2524" s="77"/>
      <c r="AT2524" s="77"/>
      <c r="AU2524" s="77"/>
      <c r="AV2524" s="80" t="str">
        <f>HYPERLINK("https://pbs.twimg.com/profile_images/1588668531910082561/XEi-lXiu_normal.jpg")</f>
        <v>https://pbs.twimg.com/profile_images/1588668531910082561/XEi-lXiu_normal.jpg</v>
      </c>
      <c r="AW2524" s="82" t="s">
        <v>15608</v>
      </c>
      <c r="AX2524" s="82" t="s">
        <v>15608</v>
      </c>
      <c r="AY2524" s="77"/>
      <c r="AZ2524" s="82" t="s">
        <v>17385</v>
      </c>
      <c r="BA2524" s="82" t="s">
        <v>17385</v>
      </c>
      <c r="BB2524" s="82" t="s">
        <v>17385</v>
      </c>
      <c r="BC2524" s="82" t="s">
        <v>15608</v>
      </c>
      <c r="BD2524" s="82" t="s">
        <v>17667</v>
      </c>
      <c r="BE2524" s="77"/>
      <c r="BF2524" s="77"/>
      <c r="BG2524" s="77"/>
      <c r="BH2524" s="77"/>
      <c r="BI2524" s="77"/>
    </row>
    <row r="2525" spans="1:61" x14ac:dyDescent="0.25">
      <c r="A2525" s="62" t="s">
        <v>646</v>
      </c>
      <c r="B2525" s="62" t="s">
        <v>646</v>
      </c>
      <c r="C2525" s="63"/>
      <c r="D2525" s="64"/>
      <c r="E2525" s="65"/>
      <c r="F2525" s="66"/>
      <c r="G2525" s="63"/>
      <c r="H2525" s="67"/>
      <c r="I2525" s="68"/>
      <c r="J2525" s="68"/>
      <c r="K2525" s="32"/>
      <c r="L2525" s="75">
        <v>2525</v>
      </c>
      <c r="M2525" s="75"/>
      <c r="N2525" s="70"/>
      <c r="O2525" s="77" t="s">
        <v>179</v>
      </c>
      <c r="P2525" s="79">
        <v>45053.772256944445</v>
      </c>
      <c r="Q2525" s="77" t="s">
        <v>3302</v>
      </c>
      <c r="R2525" s="77">
        <v>0</v>
      </c>
      <c r="S2525" s="77">
        <v>0</v>
      </c>
      <c r="T2525" s="77">
        <v>0</v>
      </c>
      <c r="U2525" s="77">
        <v>0</v>
      </c>
      <c r="V2525" s="77">
        <v>27</v>
      </c>
      <c r="W2525" s="82" t="s">
        <v>6382</v>
      </c>
      <c r="X2525" s="80" t="str">
        <f>HYPERLINK("https://tinyurl.com/2qm9t5ym")</f>
        <v>https://tinyurl.com/2qm9t5ym</v>
      </c>
      <c r="Y2525" s="77" t="s">
        <v>7068</v>
      </c>
      <c r="Z2525" s="77"/>
      <c r="AA2525" s="77"/>
      <c r="AB2525" s="77"/>
      <c r="AC2525" s="82" t="s">
        <v>8275</v>
      </c>
      <c r="AD2525" s="77" t="s">
        <v>8278</v>
      </c>
      <c r="AE2525" s="80" t="str">
        <f>HYPERLINK("https://twitter.com/pauta_economica/status/1655279343864610817")</f>
        <v>https://twitter.com/pauta_economica/status/1655279343864610817</v>
      </c>
      <c r="AF2525" s="79">
        <v>45053.772256944445</v>
      </c>
      <c r="AG2525" s="85">
        <v>45053</v>
      </c>
      <c r="AH2525" s="82" t="s">
        <v>10572</v>
      </c>
      <c r="AI2525" s="77" t="b">
        <v>0</v>
      </c>
      <c r="AJ2525" s="77"/>
      <c r="AK2525" s="77"/>
      <c r="AL2525" s="77"/>
      <c r="AM2525" s="77"/>
      <c r="AN2525" s="77"/>
      <c r="AO2525" s="77"/>
      <c r="AP2525" s="77"/>
      <c r="AQ2525" s="77"/>
      <c r="AR2525" s="77"/>
      <c r="AS2525" s="77"/>
      <c r="AT2525" s="77"/>
      <c r="AU2525" s="77"/>
      <c r="AV2525" s="80" t="str">
        <f>HYPERLINK("https://pbs.twimg.com/profile_images/1588668531910082561/XEi-lXiu_normal.jpg")</f>
        <v>https://pbs.twimg.com/profile_images/1588668531910082561/XEi-lXiu_normal.jpg</v>
      </c>
      <c r="AW2525" s="82" t="s">
        <v>15609</v>
      </c>
      <c r="AX2525" s="82" t="s">
        <v>15609</v>
      </c>
      <c r="AY2525" s="77"/>
      <c r="AZ2525" s="82" t="s">
        <v>17385</v>
      </c>
      <c r="BA2525" s="82" t="s">
        <v>17385</v>
      </c>
      <c r="BB2525" s="82" t="s">
        <v>17385</v>
      </c>
      <c r="BC2525" s="82" t="s">
        <v>15609</v>
      </c>
      <c r="BD2525" s="82" t="s">
        <v>17667</v>
      </c>
      <c r="BE2525" s="77"/>
      <c r="BF2525" s="77"/>
      <c r="BG2525" s="77"/>
      <c r="BH2525" s="77"/>
      <c r="BI2525" s="77"/>
    </row>
    <row r="2526" spans="1:61" x14ac:dyDescent="0.25">
      <c r="A2526" s="62" t="s">
        <v>646</v>
      </c>
      <c r="B2526" s="62" t="s">
        <v>646</v>
      </c>
      <c r="C2526" s="63"/>
      <c r="D2526" s="64"/>
      <c r="E2526" s="65"/>
      <c r="F2526" s="66"/>
      <c r="G2526" s="63"/>
      <c r="H2526" s="67"/>
      <c r="I2526" s="68"/>
      <c r="J2526" s="68"/>
      <c r="K2526" s="32"/>
      <c r="L2526" s="75">
        <v>2526</v>
      </c>
      <c r="M2526" s="75"/>
      <c r="N2526" s="70"/>
      <c r="O2526" s="77" t="s">
        <v>179</v>
      </c>
      <c r="P2526" s="79">
        <v>45053.716377314813</v>
      </c>
      <c r="Q2526" s="77" t="s">
        <v>3303</v>
      </c>
      <c r="R2526" s="77">
        <v>0</v>
      </c>
      <c r="S2526" s="77">
        <v>0</v>
      </c>
      <c r="T2526" s="77">
        <v>0</v>
      </c>
      <c r="U2526" s="77">
        <v>0</v>
      </c>
      <c r="V2526" s="77">
        <v>28</v>
      </c>
      <c r="W2526" s="82" t="s">
        <v>6382</v>
      </c>
      <c r="X2526" s="80" t="str">
        <f>HYPERLINK("https://tinyurl.com/2hfx34fs")</f>
        <v>https://tinyurl.com/2hfx34fs</v>
      </c>
      <c r="Y2526" s="77" t="s">
        <v>7068</v>
      </c>
      <c r="Z2526" s="77"/>
      <c r="AA2526" s="77"/>
      <c r="AB2526" s="77"/>
      <c r="AC2526" s="82" t="s">
        <v>8275</v>
      </c>
      <c r="AD2526" s="77" t="s">
        <v>8278</v>
      </c>
      <c r="AE2526" s="80" t="str">
        <f>HYPERLINK("https://twitter.com/pauta_economica/status/1655259090459717633")</f>
        <v>https://twitter.com/pauta_economica/status/1655259090459717633</v>
      </c>
      <c r="AF2526" s="79">
        <v>45053.716377314813</v>
      </c>
      <c r="AG2526" s="85">
        <v>45053</v>
      </c>
      <c r="AH2526" s="82" t="s">
        <v>10573</v>
      </c>
      <c r="AI2526" s="77" t="b">
        <v>0</v>
      </c>
      <c r="AJ2526" s="77"/>
      <c r="AK2526" s="77"/>
      <c r="AL2526" s="77"/>
      <c r="AM2526" s="77"/>
      <c r="AN2526" s="77"/>
      <c r="AO2526" s="77"/>
      <c r="AP2526" s="77"/>
      <c r="AQ2526" s="77"/>
      <c r="AR2526" s="77"/>
      <c r="AS2526" s="77"/>
      <c r="AT2526" s="77"/>
      <c r="AU2526" s="77"/>
      <c r="AV2526" s="80" t="str">
        <f>HYPERLINK("https://pbs.twimg.com/profile_images/1588668531910082561/XEi-lXiu_normal.jpg")</f>
        <v>https://pbs.twimg.com/profile_images/1588668531910082561/XEi-lXiu_normal.jpg</v>
      </c>
      <c r="AW2526" s="82" t="s">
        <v>15610</v>
      </c>
      <c r="AX2526" s="82" t="s">
        <v>15610</v>
      </c>
      <c r="AY2526" s="77"/>
      <c r="AZ2526" s="82" t="s">
        <v>17385</v>
      </c>
      <c r="BA2526" s="82" t="s">
        <v>17385</v>
      </c>
      <c r="BB2526" s="82" t="s">
        <v>17385</v>
      </c>
      <c r="BC2526" s="82" t="s">
        <v>15610</v>
      </c>
      <c r="BD2526" s="82" t="s">
        <v>17667</v>
      </c>
      <c r="BE2526" s="77"/>
      <c r="BF2526" s="77"/>
      <c r="BG2526" s="77"/>
      <c r="BH2526" s="77"/>
      <c r="BI2526" s="77"/>
    </row>
    <row r="2527" spans="1:61" x14ac:dyDescent="0.25">
      <c r="A2527" s="62" t="s">
        <v>646</v>
      </c>
      <c r="B2527" s="62" t="s">
        <v>646</v>
      </c>
      <c r="C2527" s="63"/>
      <c r="D2527" s="64"/>
      <c r="E2527" s="65"/>
      <c r="F2527" s="66"/>
      <c r="G2527" s="63"/>
      <c r="H2527" s="67"/>
      <c r="I2527" s="68"/>
      <c r="J2527" s="68"/>
      <c r="K2527" s="32"/>
      <c r="L2527" s="75">
        <v>2527</v>
      </c>
      <c r="M2527" s="75"/>
      <c r="N2527" s="70"/>
      <c r="O2527" s="77" t="s">
        <v>179</v>
      </c>
      <c r="P2527" s="79">
        <v>45053.660462962966</v>
      </c>
      <c r="Q2527" s="77" t="s">
        <v>3304</v>
      </c>
      <c r="R2527" s="77">
        <v>0</v>
      </c>
      <c r="S2527" s="77">
        <v>0</v>
      </c>
      <c r="T2527" s="77">
        <v>0</v>
      </c>
      <c r="U2527" s="77">
        <v>0</v>
      </c>
      <c r="V2527" s="77">
        <v>25</v>
      </c>
      <c r="W2527" s="82" t="s">
        <v>6382</v>
      </c>
      <c r="X2527" s="80" t="str">
        <f>HYPERLINK("https://tinyurl.com/2e6bons8")</f>
        <v>https://tinyurl.com/2e6bons8</v>
      </c>
      <c r="Y2527" s="77" t="s">
        <v>7068</v>
      </c>
      <c r="Z2527" s="77"/>
      <c r="AA2527" s="77"/>
      <c r="AB2527" s="77"/>
      <c r="AC2527" s="82" t="s">
        <v>8275</v>
      </c>
      <c r="AD2527" s="77" t="s">
        <v>8278</v>
      </c>
      <c r="AE2527" s="80" t="str">
        <f>HYPERLINK("https://twitter.com/pauta_economica/status/1655238829886898177")</f>
        <v>https://twitter.com/pauta_economica/status/1655238829886898177</v>
      </c>
      <c r="AF2527" s="79">
        <v>45053.660462962966</v>
      </c>
      <c r="AG2527" s="85">
        <v>45053</v>
      </c>
      <c r="AH2527" s="82" t="s">
        <v>10574</v>
      </c>
      <c r="AI2527" s="77" t="b">
        <v>0</v>
      </c>
      <c r="AJ2527" s="77"/>
      <c r="AK2527" s="77"/>
      <c r="AL2527" s="77"/>
      <c r="AM2527" s="77"/>
      <c r="AN2527" s="77"/>
      <c r="AO2527" s="77"/>
      <c r="AP2527" s="77"/>
      <c r="AQ2527" s="77"/>
      <c r="AR2527" s="77"/>
      <c r="AS2527" s="77"/>
      <c r="AT2527" s="77"/>
      <c r="AU2527" s="77"/>
      <c r="AV2527" s="80" t="str">
        <f>HYPERLINK("https://pbs.twimg.com/profile_images/1588668531910082561/XEi-lXiu_normal.jpg")</f>
        <v>https://pbs.twimg.com/profile_images/1588668531910082561/XEi-lXiu_normal.jpg</v>
      </c>
      <c r="AW2527" s="82" t="s">
        <v>15611</v>
      </c>
      <c r="AX2527" s="82" t="s">
        <v>15611</v>
      </c>
      <c r="AY2527" s="77"/>
      <c r="AZ2527" s="82" t="s">
        <v>17385</v>
      </c>
      <c r="BA2527" s="82" t="s">
        <v>17385</v>
      </c>
      <c r="BB2527" s="82" t="s">
        <v>17385</v>
      </c>
      <c r="BC2527" s="82" t="s">
        <v>15611</v>
      </c>
      <c r="BD2527" s="82" t="s">
        <v>17667</v>
      </c>
      <c r="BE2527" s="77"/>
      <c r="BF2527" s="77"/>
      <c r="BG2527" s="77"/>
      <c r="BH2527" s="77"/>
      <c r="BI2527" s="77"/>
    </row>
    <row r="2528" spans="1:61" x14ac:dyDescent="0.25">
      <c r="A2528" s="62" t="s">
        <v>646</v>
      </c>
      <c r="B2528" s="62" t="s">
        <v>646</v>
      </c>
      <c r="C2528" s="63"/>
      <c r="D2528" s="64"/>
      <c r="E2528" s="65"/>
      <c r="F2528" s="66"/>
      <c r="G2528" s="63"/>
      <c r="H2528" s="67"/>
      <c r="I2528" s="68"/>
      <c r="J2528" s="68"/>
      <c r="K2528" s="32"/>
      <c r="L2528" s="75">
        <v>2528</v>
      </c>
      <c r="M2528" s="75"/>
      <c r="N2528" s="70"/>
      <c r="O2528" s="77" t="s">
        <v>179</v>
      </c>
      <c r="P2528" s="79">
        <v>45043.592048611114</v>
      </c>
      <c r="Q2528" s="77" t="s">
        <v>3305</v>
      </c>
      <c r="R2528" s="77">
        <v>0</v>
      </c>
      <c r="S2528" s="77">
        <v>0</v>
      </c>
      <c r="T2528" s="77">
        <v>0</v>
      </c>
      <c r="U2528" s="77">
        <v>0</v>
      </c>
      <c r="V2528" s="77">
        <v>46</v>
      </c>
      <c r="W2528" s="82" t="s">
        <v>6382</v>
      </c>
      <c r="X2528" s="80" t="str">
        <f>HYPERLINK("https://tinyurl.com/28zdxq4d")</f>
        <v>https://tinyurl.com/28zdxq4d</v>
      </c>
      <c r="Y2528" s="77" t="s">
        <v>7068</v>
      </c>
      <c r="Z2528" s="77"/>
      <c r="AA2528" s="77"/>
      <c r="AB2528" s="77"/>
      <c r="AC2528" s="82" t="s">
        <v>8275</v>
      </c>
      <c r="AD2528" s="77" t="s">
        <v>8278</v>
      </c>
      <c r="AE2528" s="80" t="str">
        <f>HYPERLINK("https://twitter.com/pauta_economica/status/1651590158930550784")</f>
        <v>https://twitter.com/pauta_economica/status/1651590158930550784</v>
      </c>
      <c r="AF2528" s="79">
        <v>45043.592048611114</v>
      </c>
      <c r="AG2528" s="85">
        <v>45043</v>
      </c>
      <c r="AH2528" s="82" t="s">
        <v>10575</v>
      </c>
      <c r="AI2528" s="77" t="b">
        <v>0</v>
      </c>
      <c r="AJ2528" s="77"/>
      <c r="AK2528" s="77"/>
      <c r="AL2528" s="77"/>
      <c r="AM2528" s="77"/>
      <c r="AN2528" s="77"/>
      <c r="AO2528" s="77"/>
      <c r="AP2528" s="77"/>
      <c r="AQ2528" s="77"/>
      <c r="AR2528" s="77"/>
      <c r="AS2528" s="77"/>
      <c r="AT2528" s="77"/>
      <c r="AU2528" s="77"/>
      <c r="AV2528" s="80" t="str">
        <f>HYPERLINK("https://pbs.twimg.com/profile_images/1588668531910082561/XEi-lXiu_normal.jpg")</f>
        <v>https://pbs.twimg.com/profile_images/1588668531910082561/XEi-lXiu_normal.jpg</v>
      </c>
      <c r="AW2528" s="82" t="s">
        <v>15612</v>
      </c>
      <c r="AX2528" s="82" t="s">
        <v>15612</v>
      </c>
      <c r="AY2528" s="77"/>
      <c r="AZ2528" s="82" t="s">
        <v>17385</v>
      </c>
      <c r="BA2528" s="82" t="s">
        <v>17385</v>
      </c>
      <c r="BB2528" s="82" t="s">
        <v>17385</v>
      </c>
      <c r="BC2528" s="82" t="s">
        <v>15612</v>
      </c>
      <c r="BD2528" s="82" t="s">
        <v>17667</v>
      </c>
      <c r="BE2528" s="77"/>
      <c r="BF2528" s="77"/>
      <c r="BG2528" s="77"/>
      <c r="BH2528" s="77"/>
      <c r="BI2528" s="77"/>
    </row>
    <row r="2529" spans="1:61" x14ac:dyDescent="0.25">
      <c r="A2529" s="62" t="s">
        <v>646</v>
      </c>
      <c r="B2529" s="62" t="s">
        <v>646</v>
      </c>
      <c r="C2529" s="63"/>
      <c r="D2529" s="64"/>
      <c r="E2529" s="65"/>
      <c r="F2529" s="66"/>
      <c r="G2529" s="63"/>
      <c r="H2529" s="67"/>
      <c r="I2529" s="68"/>
      <c r="J2529" s="68"/>
      <c r="K2529" s="32"/>
      <c r="L2529" s="75">
        <v>2529</v>
      </c>
      <c r="M2529" s="75"/>
      <c r="N2529" s="70"/>
      <c r="O2529" s="77" t="s">
        <v>179</v>
      </c>
      <c r="P2529" s="79">
        <v>45043.58452546296</v>
      </c>
      <c r="Q2529" s="77" t="s">
        <v>3306</v>
      </c>
      <c r="R2529" s="77">
        <v>0</v>
      </c>
      <c r="S2529" s="77">
        <v>0</v>
      </c>
      <c r="T2529" s="77">
        <v>0</v>
      </c>
      <c r="U2529" s="77">
        <v>0</v>
      </c>
      <c r="V2529" s="77">
        <v>25</v>
      </c>
      <c r="W2529" s="82" t="s">
        <v>6382</v>
      </c>
      <c r="X2529" s="80" t="str">
        <f>HYPERLINK("https://tinyurl.com/26c2urt8")</f>
        <v>https://tinyurl.com/26c2urt8</v>
      </c>
      <c r="Y2529" s="77" t="s">
        <v>7068</v>
      </c>
      <c r="Z2529" s="77"/>
      <c r="AA2529" s="77"/>
      <c r="AB2529" s="77"/>
      <c r="AC2529" s="82" t="s">
        <v>8275</v>
      </c>
      <c r="AD2529" s="77" t="s">
        <v>8278</v>
      </c>
      <c r="AE2529" s="80" t="str">
        <f>HYPERLINK("https://twitter.com/pauta_economica/status/1651587433580961792")</f>
        <v>https://twitter.com/pauta_economica/status/1651587433580961792</v>
      </c>
      <c r="AF2529" s="79">
        <v>45043.58452546296</v>
      </c>
      <c r="AG2529" s="85">
        <v>45043</v>
      </c>
      <c r="AH2529" s="82" t="s">
        <v>10576</v>
      </c>
      <c r="AI2529" s="77" t="b">
        <v>0</v>
      </c>
      <c r="AJ2529" s="77"/>
      <c r="AK2529" s="77"/>
      <c r="AL2529" s="77"/>
      <c r="AM2529" s="77"/>
      <c r="AN2529" s="77"/>
      <c r="AO2529" s="77"/>
      <c r="AP2529" s="77"/>
      <c r="AQ2529" s="77"/>
      <c r="AR2529" s="77"/>
      <c r="AS2529" s="77"/>
      <c r="AT2529" s="77"/>
      <c r="AU2529" s="77"/>
      <c r="AV2529" s="80" t="str">
        <f>HYPERLINK("https://pbs.twimg.com/profile_images/1588668531910082561/XEi-lXiu_normal.jpg")</f>
        <v>https://pbs.twimg.com/profile_images/1588668531910082561/XEi-lXiu_normal.jpg</v>
      </c>
      <c r="AW2529" s="82" t="s">
        <v>15613</v>
      </c>
      <c r="AX2529" s="82" t="s">
        <v>15613</v>
      </c>
      <c r="AY2529" s="77"/>
      <c r="AZ2529" s="82" t="s">
        <v>17385</v>
      </c>
      <c r="BA2529" s="82" t="s">
        <v>17385</v>
      </c>
      <c r="BB2529" s="82" t="s">
        <v>17385</v>
      </c>
      <c r="BC2529" s="82" t="s">
        <v>15613</v>
      </c>
      <c r="BD2529" s="82" t="s">
        <v>17667</v>
      </c>
      <c r="BE2529" s="77"/>
      <c r="BF2529" s="77"/>
      <c r="BG2529" s="77"/>
      <c r="BH2529" s="77"/>
      <c r="BI2529" s="77"/>
    </row>
    <row r="2530" spans="1:61" x14ac:dyDescent="0.25">
      <c r="A2530" s="62" t="s">
        <v>646</v>
      </c>
      <c r="B2530" s="62" t="s">
        <v>646</v>
      </c>
      <c r="C2530" s="63"/>
      <c r="D2530" s="64"/>
      <c r="E2530" s="65"/>
      <c r="F2530" s="66"/>
      <c r="G2530" s="63"/>
      <c r="H2530" s="67"/>
      <c r="I2530" s="68"/>
      <c r="J2530" s="68"/>
      <c r="K2530" s="32"/>
      <c r="L2530" s="75">
        <v>2530</v>
      </c>
      <c r="M2530" s="75"/>
      <c r="N2530" s="70"/>
      <c r="O2530" s="77" t="s">
        <v>179</v>
      </c>
      <c r="P2530" s="79">
        <v>45043.577002314814</v>
      </c>
      <c r="Q2530" s="77" t="s">
        <v>3307</v>
      </c>
      <c r="R2530" s="77">
        <v>0</v>
      </c>
      <c r="S2530" s="77">
        <v>0</v>
      </c>
      <c r="T2530" s="77">
        <v>0</v>
      </c>
      <c r="U2530" s="77">
        <v>0</v>
      </c>
      <c r="V2530" s="77">
        <v>40</v>
      </c>
      <c r="W2530" s="82" t="s">
        <v>6382</v>
      </c>
      <c r="X2530" s="80" t="str">
        <f>HYPERLINK("https://tinyurl.com/2xsllgm6")</f>
        <v>https://tinyurl.com/2xsllgm6</v>
      </c>
      <c r="Y2530" s="77" t="s">
        <v>7068</v>
      </c>
      <c r="Z2530" s="77"/>
      <c r="AA2530" s="77"/>
      <c r="AB2530" s="77"/>
      <c r="AC2530" s="82" t="s">
        <v>8275</v>
      </c>
      <c r="AD2530" s="77" t="s">
        <v>8278</v>
      </c>
      <c r="AE2530" s="80" t="str">
        <f>HYPERLINK("https://twitter.com/pauta_economica/status/1651584706394177539")</f>
        <v>https://twitter.com/pauta_economica/status/1651584706394177539</v>
      </c>
      <c r="AF2530" s="79">
        <v>45043.577002314814</v>
      </c>
      <c r="AG2530" s="85">
        <v>45043</v>
      </c>
      <c r="AH2530" s="82" t="s">
        <v>10577</v>
      </c>
      <c r="AI2530" s="77" t="b">
        <v>0</v>
      </c>
      <c r="AJ2530" s="77"/>
      <c r="AK2530" s="77"/>
      <c r="AL2530" s="77"/>
      <c r="AM2530" s="77"/>
      <c r="AN2530" s="77"/>
      <c r="AO2530" s="77"/>
      <c r="AP2530" s="77"/>
      <c r="AQ2530" s="77"/>
      <c r="AR2530" s="77"/>
      <c r="AS2530" s="77"/>
      <c r="AT2530" s="77"/>
      <c r="AU2530" s="77"/>
      <c r="AV2530" s="80" t="str">
        <f>HYPERLINK("https://pbs.twimg.com/profile_images/1588668531910082561/XEi-lXiu_normal.jpg")</f>
        <v>https://pbs.twimg.com/profile_images/1588668531910082561/XEi-lXiu_normal.jpg</v>
      </c>
      <c r="AW2530" s="82" t="s">
        <v>15614</v>
      </c>
      <c r="AX2530" s="82" t="s">
        <v>15614</v>
      </c>
      <c r="AY2530" s="77"/>
      <c r="AZ2530" s="82" t="s">
        <v>17385</v>
      </c>
      <c r="BA2530" s="82" t="s">
        <v>17385</v>
      </c>
      <c r="BB2530" s="82" t="s">
        <v>17385</v>
      </c>
      <c r="BC2530" s="82" t="s">
        <v>15614</v>
      </c>
      <c r="BD2530" s="82" t="s">
        <v>17667</v>
      </c>
      <c r="BE2530" s="77"/>
      <c r="BF2530" s="77"/>
      <c r="BG2530" s="77"/>
      <c r="BH2530" s="77"/>
      <c r="BI2530" s="77"/>
    </row>
    <row r="2531" spans="1:61" x14ac:dyDescent="0.25">
      <c r="A2531" s="62" t="s">
        <v>646</v>
      </c>
      <c r="B2531" s="62" t="s">
        <v>646</v>
      </c>
      <c r="C2531" s="63"/>
      <c r="D2531" s="64"/>
      <c r="E2531" s="65"/>
      <c r="F2531" s="66"/>
      <c r="G2531" s="63"/>
      <c r="H2531" s="67"/>
      <c r="I2531" s="68"/>
      <c r="J2531" s="68"/>
      <c r="K2531" s="32"/>
      <c r="L2531" s="75">
        <v>2531</v>
      </c>
      <c r="M2531" s="75"/>
      <c r="N2531" s="70"/>
      <c r="O2531" s="77" t="s">
        <v>179</v>
      </c>
      <c r="P2531" s="79">
        <v>45043.5700462963</v>
      </c>
      <c r="Q2531" s="77" t="s">
        <v>3308</v>
      </c>
      <c r="R2531" s="77">
        <v>0</v>
      </c>
      <c r="S2531" s="77">
        <v>0</v>
      </c>
      <c r="T2531" s="77">
        <v>0</v>
      </c>
      <c r="U2531" s="77">
        <v>0</v>
      </c>
      <c r="V2531" s="77">
        <v>146</v>
      </c>
      <c r="W2531" s="82" t="s">
        <v>6382</v>
      </c>
      <c r="X2531" s="80" t="str">
        <f>HYPERLINK("https://tinyurl.com/2yqlzx4c")</f>
        <v>https://tinyurl.com/2yqlzx4c</v>
      </c>
      <c r="Y2531" s="77" t="s">
        <v>7068</v>
      </c>
      <c r="Z2531" s="77"/>
      <c r="AA2531" s="77"/>
      <c r="AB2531" s="77"/>
      <c r="AC2531" s="82" t="s">
        <v>8275</v>
      </c>
      <c r="AD2531" s="77" t="s">
        <v>8278</v>
      </c>
      <c r="AE2531" s="80" t="str">
        <f>HYPERLINK("https://twitter.com/pauta_economica/status/1651582184690515968")</f>
        <v>https://twitter.com/pauta_economica/status/1651582184690515968</v>
      </c>
      <c r="AF2531" s="79">
        <v>45043.5700462963</v>
      </c>
      <c r="AG2531" s="85">
        <v>45043</v>
      </c>
      <c r="AH2531" s="82" t="s">
        <v>10578</v>
      </c>
      <c r="AI2531" s="77" t="b">
        <v>0</v>
      </c>
      <c r="AJ2531" s="77"/>
      <c r="AK2531" s="77"/>
      <c r="AL2531" s="77"/>
      <c r="AM2531" s="77"/>
      <c r="AN2531" s="77"/>
      <c r="AO2531" s="77"/>
      <c r="AP2531" s="77"/>
      <c r="AQ2531" s="77"/>
      <c r="AR2531" s="77"/>
      <c r="AS2531" s="77"/>
      <c r="AT2531" s="77"/>
      <c r="AU2531" s="77"/>
      <c r="AV2531" s="80" t="str">
        <f>HYPERLINK("https://pbs.twimg.com/profile_images/1588668531910082561/XEi-lXiu_normal.jpg")</f>
        <v>https://pbs.twimg.com/profile_images/1588668531910082561/XEi-lXiu_normal.jpg</v>
      </c>
      <c r="AW2531" s="82" t="s">
        <v>15615</v>
      </c>
      <c r="AX2531" s="82" t="s">
        <v>15615</v>
      </c>
      <c r="AY2531" s="77"/>
      <c r="AZ2531" s="82" t="s">
        <v>17385</v>
      </c>
      <c r="BA2531" s="82" t="s">
        <v>17385</v>
      </c>
      <c r="BB2531" s="82" t="s">
        <v>17385</v>
      </c>
      <c r="BC2531" s="82" t="s">
        <v>15615</v>
      </c>
      <c r="BD2531" s="82" t="s">
        <v>17667</v>
      </c>
      <c r="BE2531" s="77"/>
      <c r="BF2531" s="77"/>
      <c r="BG2531" s="77"/>
      <c r="BH2531" s="77"/>
      <c r="BI2531" s="77"/>
    </row>
    <row r="2532" spans="1:61" x14ac:dyDescent="0.25">
      <c r="A2532" s="62" t="s">
        <v>646</v>
      </c>
      <c r="B2532" s="62" t="s">
        <v>646</v>
      </c>
      <c r="C2532" s="63"/>
      <c r="D2532" s="64"/>
      <c r="E2532" s="65"/>
      <c r="F2532" s="66"/>
      <c r="G2532" s="63"/>
      <c r="H2532" s="67"/>
      <c r="I2532" s="68"/>
      <c r="J2532" s="68"/>
      <c r="K2532" s="32"/>
      <c r="L2532" s="75">
        <v>2532</v>
      </c>
      <c r="M2532" s="75"/>
      <c r="N2532" s="70"/>
      <c r="O2532" s="77" t="s">
        <v>179</v>
      </c>
      <c r="P2532" s="79">
        <v>45043.563090277778</v>
      </c>
      <c r="Q2532" s="77" t="s">
        <v>3309</v>
      </c>
      <c r="R2532" s="77">
        <v>0</v>
      </c>
      <c r="S2532" s="77">
        <v>0</v>
      </c>
      <c r="T2532" s="77">
        <v>0</v>
      </c>
      <c r="U2532" s="77">
        <v>0</v>
      </c>
      <c r="V2532" s="77">
        <v>93</v>
      </c>
      <c r="W2532" s="82" t="s">
        <v>6382</v>
      </c>
      <c r="X2532" s="80" t="str">
        <f>HYPERLINK("https://economiaempauta.com/dividendos-e-jcp-tupy-tupy3-altera-valores-por-acao-do-total-de-r-4136-milhoes/?feed_id=42786&amp;_unique_id=644a790aec40b")</f>
        <v>https://economiaempauta.com/dividendos-e-jcp-tupy-tupy3-altera-valores-por-acao-do-total-de-r-4136-milhoes/?feed_id=42786&amp;_unique_id=644a790aec40b</v>
      </c>
      <c r="Y2532" s="77" t="s">
        <v>7140</v>
      </c>
      <c r="Z2532" s="77"/>
      <c r="AA2532" s="77"/>
      <c r="AB2532" s="77"/>
      <c r="AC2532" s="82" t="s">
        <v>8275</v>
      </c>
      <c r="AD2532" s="77" t="s">
        <v>8278</v>
      </c>
      <c r="AE2532" s="80" t="str">
        <f>HYPERLINK("https://twitter.com/pauta_economica/status/1651579663578193921")</f>
        <v>https://twitter.com/pauta_economica/status/1651579663578193921</v>
      </c>
      <c r="AF2532" s="79">
        <v>45043.563090277778</v>
      </c>
      <c r="AG2532" s="85">
        <v>45043</v>
      </c>
      <c r="AH2532" s="82" t="s">
        <v>8578</v>
      </c>
      <c r="AI2532" s="77" t="b">
        <v>0</v>
      </c>
      <c r="AJ2532" s="77"/>
      <c r="AK2532" s="77"/>
      <c r="AL2532" s="77"/>
      <c r="AM2532" s="77"/>
      <c r="AN2532" s="77"/>
      <c r="AO2532" s="77"/>
      <c r="AP2532" s="77"/>
      <c r="AQ2532" s="77"/>
      <c r="AR2532" s="77"/>
      <c r="AS2532" s="77"/>
      <c r="AT2532" s="77"/>
      <c r="AU2532" s="77"/>
      <c r="AV2532" s="80" t="str">
        <f>HYPERLINK("https://pbs.twimg.com/profile_images/1588668531910082561/XEi-lXiu_normal.jpg")</f>
        <v>https://pbs.twimg.com/profile_images/1588668531910082561/XEi-lXiu_normal.jpg</v>
      </c>
      <c r="AW2532" s="82" t="s">
        <v>15616</v>
      </c>
      <c r="AX2532" s="82" t="s">
        <v>15616</v>
      </c>
      <c r="AY2532" s="77"/>
      <c r="AZ2532" s="82" t="s">
        <v>17385</v>
      </c>
      <c r="BA2532" s="82" t="s">
        <v>17385</v>
      </c>
      <c r="BB2532" s="82" t="s">
        <v>17385</v>
      </c>
      <c r="BC2532" s="82" t="s">
        <v>15616</v>
      </c>
      <c r="BD2532" s="82" t="s">
        <v>17667</v>
      </c>
      <c r="BE2532" s="77"/>
      <c r="BF2532" s="77"/>
      <c r="BG2532" s="77"/>
      <c r="BH2532" s="77"/>
      <c r="BI2532" s="77"/>
    </row>
    <row r="2533" spans="1:61" x14ac:dyDescent="0.25">
      <c r="A2533" s="62" t="s">
        <v>646</v>
      </c>
      <c r="B2533" s="62" t="s">
        <v>646</v>
      </c>
      <c r="C2533" s="63"/>
      <c r="D2533" s="64"/>
      <c r="E2533" s="65"/>
      <c r="F2533" s="66"/>
      <c r="G2533" s="63"/>
      <c r="H2533" s="67"/>
      <c r="I2533" s="68"/>
      <c r="J2533" s="68"/>
      <c r="K2533" s="32"/>
      <c r="L2533" s="75">
        <v>2533</v>
      </c>
      <c r="M2533" s="75"/>
      <c r="N2533" s="70"/>
      <c r="O2533" s="77" t="s">
        <v>179</v>
      </c>
      <c r="P2533" s="79">
        <v>45043.549201388887</v>
      </c>
      <c r="Q2533" s="77" t="s">
        <v>3310</v>
      </c>
      <c r="R2533" s="77">
        <v>0</v>
      </c>
      <c r="S2533" s="77">
        <v>0</v>
      </c>
      <c r="T2533" s="77">
        <v>0</v>
      </c>
      <c r="U2533" s="77">
        <v>0</v>
      </c>
      <c r="V2533" s="77">
        <v>13</v>
      </c>
      <c r="W2533" s="82" t="s">
        <v>6382</v>
      </c>
      <c r="X2533" s="80" t="str">
        <f>HYPERLINK("https://tinyurl.com/2d9xbc32")</f>
        <v>https://tinyurl.com/2d9xbc32</v>
      </c>
      <c r="Y2533" s="77" t="s">
        <v>7068</v>
      </c>
      <c r="Z2533" s="77"/>
      <c r="AA2533" s="77"/>
      <c r="AB2533" s="77"/>
      <c r="AC2533" s="82" t="s">
        <v>8275</v>
      </c>
      <c r="AD2533" s="77" t="s">
        <v>8278</v>
      </c>
      <c r="AE2533" s="80" t="str">
        <f>HYPERLINK("https://twitter.com/pauta_economica/status/1651574632141422597")</f>
        <v>https://twitter.com/pauta_economica/status/1651574632141422597</v>
      </c>
      <c r="AF2533" s="79">
        <v>45043.549201388887</v>
      </c>
      <c r="AG2533" s="85">
        <v>45043</v>
      </c>
      <c r="AH2533" s="82" t="s">
        <v>10579</v>
      </c>
      <c r="AI2533" s="77" t="b">
        <v>0</v>
      </c>
      <c r="AJ2533" s="77"/>
      <c r="AK2533" s="77"/>
      <c r="AL2533" s="77"/>
      <c r="AM2533" s="77"/>
      <c r="AN2533" s="77"/>
      <c r="AO2533" s="77"/>
      <c r="AP2533" s="77"/>
      <c r="AQ2533" s="77"/>
      <c r="AR2533" s="77"/>
      <c r="AS2533" s="77"/>
      <c r="AT2533" s="77"/>
      <c r="AU2533" s="77"/>
      <c r="AV2533" s="80" t="str">
        <f>HYPERLINK("https://pbs.twimg.com/profile_images/1588668531910082561/XEi-lXiu_normal.jpg")</f>
        <v>https://pbs.twimg.com/profile_images/1588668531910082561/XEi-lXiu_normal.jpg</v>
      </c>
      <c r="AW2533" s="82" t="s">
        <v>15617</v>
      </c>
      <c r="AX2533" s="82" t="s">
        <v>15617</v>
      </c>
      <c r="AY2533" s="77"/>
      <c r="AZ2533" s="82" t="s">
        <v>17385</v>
      </c>
      <c r="BA2533" s="82" t="s">
        <v>17385</v>
      </c>
      <c r="BB2533" s="82" t="s">
        <v>17385</v>
      </c>
      <c r="BC2533" s="82" t="s">
        <v>15617</v>
      </c>
      <c r="BD2533" s="82" t="s">
        <v>17667</v>
      </c>
      <c r="BE2533" s="77"/>
      <c r="BF2533" s="77"/>
      <c r="BG2533" s="77"/>
      <c r="BH2533" s="77"/>
      <c r="BI2533" s="77"/>
    </row>
    <row r="2534" spans="1:61" x14ac:dyDescent="0.25">
      <c r="A2534" s="62" t="s">
        <v>646</v>
      </c>
      <c r="B2534" s="62" t="s">
        <v>646</v>
      </c>
      <c r="C2534" s="63"/>
      <c r="D2534" s="64"/>
      <c r="E2534" s="65"/>
      <c r="F2534" s="66"/>
      <c r="G2534" s="63"/>
      <c r="H2534" s="67"/>
      <c r="I2534" s="68"/>
      <c r="J2534" s="68"/>
      <c r="K2534" s="32"/>
      <c r="L2534" s="75">
        <v>2534</v>
      </c>
      <c r="M2534" s="75"/>
      <c r="N2534" s="70"/>
      <c r="O2534" s="77" t="s">
        <v>179</v>
      </c>
      <c r="P2534" s="79">
        <v>45043.541701388887</v>
      </c>
      <c r="Q2534" s="77" t="s">
        <v>3311</v>
      </c>
      <c r="R2534" s="77">
        <v>0</v>
      </c>
      <c r="S2534" s="77">
        <v>0</v>
      </c>
      <c r="T2534" s="77">
        <v>0</v>
      </c>
      <c r="U2534" s="77">
        <v>0</v>
      </c>
      <c r="V2534" s="77">
        <v>41</v>
      </c>
      <c r="W2534" s="82" t="s">
        <v>6382</v>
      </c>
      <c r="X2534" s="80" t="str">
        <f>HYPERLINK("https://tinyurl.com/28b99zcf")</f>
        <v>https://tinyurl.com/28b99zcf</v>
      </c>
      <c r="Y2534" s="77" t="s">
        <v>7068</v>
      </c>
      <c r="Z2534" s="77"/>
      <c r="AA2534" s="77"/>
      <c r="AB2534" s="77"/>
      <c r="AC2534" s="82" t="s">
        <v>8275</v>
      </c>
      <c r="AD2534" s="77" t="s">
        <v>8278</v>
      </c>
      <c r="AE2534" s="80" t="str">
        <f>HYPERLINK("https://twitter.com/pauta_economica/status/1651571914266103810")</f>
        <v>https://twitter.com/pauta_economica/status/1651571914266103810</v>
      </c>
      <c r="AF2534" s="79">
        <v>45043.541701388887</v>
      </c>
      <c r="AG2534" s="85">
        <v>45043</v>
      </c>
      <c r="AH2534" s="82" t="s">
        <v>8624</v>
      </c>
      <c r="AI2534" s="77" t="b">
        <v>0</v>
      </c>
      <c r="AJ2534" s="77"/>
      <c r="AK2534" s="77"/>
      <c r="AL2534" s="77"/>
      <c r="AM2534" s="77"/>
      <c r="AN2534" s="77"/>
      <c r="AO2534" s="77"/>
      <c r="AP2534" s="77"/>
      <c r="AQ2534" s="77"/>
      <c r="AR2534" s="77"/>
      <c r="AS2534" s="77"/>
      <c r="AT2534" s="77"/>
      <c r="AU2534" s="77"/>
      <c r="AV2534" s="80" t="str">
        <f>HYPERLINK("https://pbs.twimg.com/profile_images/1588668531910082561/XEi-lXiu_normal.jpg")</f>
        <v>https://pbs.twimg.com/profile_images/1588668531910082561/XEi-lXiu_normal.jpg</v>
      </c>
      <c r="AW2534" s="82" t="s">
        <v>15618</v>
      </c>
      <c r="AX2534" s="82" t="s">
        <v>15618</v>
      </c>
      <c r="AY2534" s="77"/>
      <c r="AZ2534" s="82" t="s">
        <v>17385</v>
      </c>
      <c r="BA2534" s="82" t="s">
        <v>17385</v>
      </c>
      <c r="BB2534" s="82" t="s">
        <v>17385</v>
      </c>
      <c r="BC2534" s="82" t="s">
        <v>15618</v>
      </c>
      <c r="BD2534" s="82" t="s">
        <v>17667</v>
      </c>
      <c r="BE2534" s="77"/>
      <c r="BF2534" s="77"/>
      <c r="BG2534" s="77"/>
      <c r="BH2534" s="77"/>
      <c r="BI2534" s="77"/>
    </row>
    <row r="2535" spans="1:61" x14ac:dyDescent="0.25">
      <c r="A2535" s="62" t="s">
        <v>646</v>
      </c>
      <c r="B2535" s="62" t="s">
        <v>646</v>
      </c>
      <c r="C2535" s="63"/>
      <c r="D2535" s="64"/>
      <c r="E2535" s="65"/>
      <c r="F2535" s="66"/>
      <c r="G2535" s="63"/>
      <c r="H2535" s="67"/>
      <c r="I2535" s="68"/>
      <c r="J2535" s="68"/>
      <c r="K2535" s="32"/>
      <c r="L2535" s="75">
        <v>2535</v>
      </c>
      <c r="M2535" s="75"/>
      <c r="N2535" s="70"/>
      <c r="O2535" s="77" t="s">
        <v>179</v>
      </c>
      <c r="P2535" s="79">
        <v>45043.527766203704</v>
      </c>
      <c r="Q2535" s="77" t="s">
        <v>3312</v>
      </c>
      <c r="R2535" s="77">
        <v>0</v>
      </c>
      <c r="S2535" s="77">
        <v>0</v>
      </c>
      <c r="T2535" s="77">
        <v>0</v>
      </c>
      <c r="U2535" s="77">
        <v>0</v>
      </c>
      <c r="V2535" s="77">
        <v>27</v>
      </c>
      <c r="W2535" s="82" t="s">
        <v>6382</v>
      </c>
      <c r="X2535" s="80" t="str">
        <f>HYPERLINK("https://tinyurl.com/24wkemmw")</f>
        <v>https://tinyurl.com/24wkemmw</v>
      </c>
      <c r="Y2535" s="77" t="s">
        <v>7068</v>
      </c>
      <c r="Z2535" s="77"/>
      <c r="AA2535" s="77"/>
      <c r="AB2535" s="77"/>
      <c r="AC2535" s="82" t="s">
        <v>8275</v>
      </c>
      <c r="AD2535" s="77" t="s">
        <v>8278</v>
      </c>
      <c r="AE2535" s="80" t="str">
        <f>HYPERLINK("https://twitter.com/pauta_economica/status/1651566861987852288")</f>
        <v>https://twitter.com/pauta_economica/status/1651566861987852288</v>
      </c>
      <c r="AF2535" s="79">
        <v>45043.527766203704</v>
      </c>
      <c r="AG2535" s="85">
        <v>45043</v>
      </c>
      <c r="AH2535" s="82" t="s">
        <v>10580</v>
      </c>
      <c r="AI2535" s="77" t="b">
        <v>0</v>
      </c>
      <c r="AJ2535" s="77"/>
      <c r="AK2535" s="77"/>
      <c r="AL2535" s="77"/>
      <c r="AM2535" s="77"/>
      <c r="AN2535" s="77"/>
      <c r="AO2535" s="77"/>
      <c r="AP2535" s="77"/>
      <c r="AQ2535" s="77"/>
      <c r="AR2535" s="77"/>
      <c r="AS2535" s="77"/>
      <c r="AT2535" s="77"/>
      <c r="AU2535" s="77"/>
      <c r="AV2535" s="80" t="str">
        <f>HYPERLINK("https://pbs.twimg.com/profile_images/1588668531910082561/XEi-lXiu_normal.jpg")</f>
        <v>https://pbs.twimg.com/profile_images/1588668531910082561/XEi-lXiu_normal.jpg</v>
      </c>
      <c r="AW2535" s="82" t="s">
        <v>15619</v>
      </c>
      <c r="AX2535" s="82" t="s">
        <v>15619</v>
      </c>
      <c r="AY2535" s="77"/>
      <c r="AZ2535" s="82" t="s">
        <v>17385</v>
      </c>
      <c r="BA2535" s="82" t="s">
        <v>17385</v>
      </c>
      <c r="BB2535" s="82" t="s">
        <v>17385</v>
      </c>
      <c r="BC2535" s="82" t="s">
        <v>15619</v>
      </c>
      <c r="BD2535" s="82" t="s">
        <v>17667</v>
      </c>
      <c r="BE2535" s="77"/>
      <c r="BF2535" s="77"/>
      <c r="BG2535" s="77"/>
      <c r="BH2535" s="77"/>
      <c r="BI2535" s="77"/>
    </row>
    <row r="2536" spans="1:61" x14ac:dyDescent="0.25">
      <c r="A2536" s="62" t="s">
        <v>646</v>
      </c>
      <c r="B2536" s="62" t="s">
        <v>646</v>
      </c>
      <c r="C2536" s="63"/>
      <c r="D2536" s="64"/>
      <c r="E2536" s="65"/>
      <c r="F2536" s="66"/>
      <c r="G2536" s="63"/>
      <c r="H2536" s="67"/>
      <c r="I2536" s="68"/>
      <c r="J2536" s="68"/>
      <c r="K2536" s="32"/>
      <c r="L2536" s="75">
        <v>2536</v>
      </c>
      <c r="M2536" s="75"/>
      <c r="N2536" s="70"/>
      <c r="O2536" s="77" t="s">
        <v>179</v>
      </c>
      <c r="P2536" s="79">
        <v>45043.520810185182</v>
      </c>
      <c r="Q2536" s="77" t="s">
        <v>3313</v>
      </c>
      <c r="R2536" s="77">
        <v>0</v>
      </c>
      <c r="S2536" s="77">
        <v>0</v>
      </c>
      <c r="T2536" s="77">
        <v>0</v>
      </c>
      <c r="U2536" s="77">
        <v>0</v>
      </c>
      <c r="V2536" s="77">
        <v>23</v>
      </c>
      <c r="W2536" s="82" t="s">
        <v>6382</v>
      </c>
      <c r="X2536" s="80" t="str">
        <f>HYPERLINK("https://tinyurl.com/23jyxae3")</f>
        <v>https://tinyurl.com/23jyxae3</v>
      </c>
      <c r="Y2536" s="77" t="s">
        <v>7068</v>
      </c>
      <c r="Z2536" s="77"/>
      <c r="AA2536" s="77"/>
      <c r="AB2536" s="77"/>
      <c r="AC2536" s="82" t="s">
        <v>8275</v>
      </c>
      <c r="AD2536" s="77" t="s">
        <v>8278</v>
      </c>
      <c r="AE2536" s="80" t="str">
        <f>HYPERLINK("https://twitter.com/pauta_economica/status/1651564342796582918")</f>
        <v>https://twitter.com/pauta_economica/status/1651564342796582918</v>
      </c>
      <c r="AF2536" s="79">
        <v>45043.520810185182</v>
      </c>
      <c r="AG2536" s="85">
        <v>45043</v>
      </c>
      <c r="AH2536" s="82" t="s">
        <v>10581</v>
      </c>
      <c r="AI2536" s="77" t="b">
        <v>0</v>
      </c>
      <c r="AJ2536" s="77"/>
      <c r="AK2536" s="77"/>
      <c r="AL2536" s="77"/>
      <c r="AM2536" s="77"/>
      <c r="AN2536" s="77"/>
      <c r="AO2536" s="77"/>
      <c r="AP2536" s="77"/>
      <c r="AQ2536" s="77"/>
      <c r="AR2536" s="77"/>
      <c r="AS2536" s="77"/>
      <c r="AT2536" s="77"/>
      <c r="AU2536" s="77"/>
      <c r="AV2536" s="80" t="str">
        <f>HYPERLINK("https://pbs.twimg.com/profile_images/1588668531910082561/XEi-lXiu_normal.jpg")</f>
        <v>https://pbs.twimg.com/profile_images/1588668531910082561/XEi-lXiu_normal.jpg</v>
      </c>
      <c r="AW2536" s="82" t="s">
        <v>15620</v>
      </c>
      <c r="AX2536" s="82" t="s">
        <v>15620</v>
      </c>
      <c r="AY2536" s="77"/>
      <c r="AZ2536" s="82" t="s">
        <v>17385</v>
      </c>
      <c r="BA2536" s="82" t="s">
        <v>17385</v>
      </c>
      <c r="BB2536" s="82" t="s">
        <v>17385</v>
      </c>
      <c r="BC2536" s="82" t="s">
        <v>15620</v>
      </c>
      <c r="BD2536" s="82" t="s">
        <v>17667</v>
      </c>
      <c r="BE2536" s="77"/>
      <c r="BF2536" s="77"/>
      <c r="BG2536" s="77"/>
      <c r="BH2536" s="77"/>
      <c r="BI2536" s="77"/>
    </row>
    <row r="2537" spans="1:61" x14ac:dyDescent="0.25">
      <c r="A2537" s="62" t="s">
        <v>646</v>
      </c>
      <c r="B2537" s="62" t="s">
        <v>646</v>
      </c>
      <c r="C2537" s="63"/>
      <c r="D2537" s="64"/>
      <c r="E2537" s="65"/>
      <c r="F2537" s="66"/>
      <c r="G2537" s="63"/>
      <c r="H2537" s="67"/>
      <c r="I2537" s="68"/>
      <c r="J2537" s="68"/>
      <c r="K2537" s="32"/>
      <c r="L2537" s="75">
        <v>2537</v>
      </c>
      <c r="M2537" s="75"/>
      <c r="N2537" s="70"/>
      <c r="O2537" s="77" t="s">
        <v>179</v>
      </c>
      <c r="P2537" s="79">
        <v>45043.513854166667</v>
      </c>
      <c r="Q2537" s="77" t="s">
        <v>3314</v>
      </c>
      <c r="R2537" s="77">
        <v>0</v>
      </c>
      <c r="S2537" s="77">
        <v>0</v>
      </c>
      <c r="T2537" s="77">
        <v>0</v>
      </c>
      <c r="U2537" s="77">
        <v>0</v>
      </c>
      <c r="V2537" s="77">
        <v>24</v>
      </c>
      <c r="W2537" s="82" t="s">
        <v>6382</v>
      </c>
      <c r="X2537" s="80" t="str">
        <f>HYPERLINK("https://tinyurl.com/22orm3t7")</f>
        <v>https://tinyurl.com/22orm3t7</v>
      </c>
      <c r="Y2537" s="77" t="s">
        <v>7068</v>
      </c>
      <c r="Z2537" s="77"/>
      <c r="AA2537" s="77"/>
      <c r="AB2537" s="77"/>
      <c r="AC2537" s="82" t="s">
        <v>8275</v>
      </c>
      <c r="AD2537" s="77" t="s">
        <v>8278</v>
      </c>
      <c r="AE2537" s="80" t="str">
        <f>HYPERLINK("https://twitter.com/pauta_economica/status/1651561821537546241")</f>
        <v>https://twitter.com/pauta_economica/status/1651561821537546241</v>
      </c>
      <c r="AF2537" s="79">
        <v>45043.513854166667</v>
      </c>
      <c r="AG2537" s="85">
        <v>45043</v>
      </c>
      <c r="AH2537" s="82" t="s">
        <v>10582</v>
      </c>
      <c r="AI2537" s="77" t="b">
        <v>0</v>
      </c>
      <c r="AJ2537" s="77"/>
      <c r="AK2537" s="77"/>
      <c r="AL2537" s="77"/>
      <c r="AM2537" s="77"/>
      <c r="AN2537" s="77"/>
      <c r="AO2537" s="77"/>
      <c r="AP2537" s="77"/>
      <c r="AQ2537" s="77"/>
      <c r="AR2537" s="77"/>
      <c r="AS2537" s="77"/>
      <c r="AT2537" s="77"/>
      <c r="AU2537" s="77"/>
      <c r="AV2537" s="80" t="str">
        <f>HYPERLINK("https://pbs.twimg.com/profile_images/1588668531910082561/XEi-lXiu_normal.jpg")</f>
        <v>https://pbs.twimg.com/profile_images/1588668531910082561/XEi-lXiu_normal.jpg</v>
      </c>
      <c r="AW2537" s="82" t="s">
        <v>15621</v>
      </c>
      <c r="AX2537" s="82" t="s">
        <v>15621</v>
      </c>
      <c r="AY2537" s="77"/>
      <c r="AZ2537" s="82" t="s">
        <v>17385</v>
      </c>
      <c r="BA2537" s="82" t="s">
        <v>17385</v>
      </c>
      <c r="BB2537" s="82" t="s">
        <v>17385</v>
      </c>
      <c r="BC2537" s="82" t="s">
        <v>15621</v>
      </c>
      <c r="BD2537" s="82" t="s">
        <v>17667</v>
      </c>
      <c r="BE2537" s="77"/>
      <c r="BF2537" s="77"/>
      <c r="BG2537" s="77"/>
      <c r="BH2537" s="77"/>
      <c r="BI2537" s="77"/>
    </row>
    <row r="2538" spans="1:61" x14ac:dyDescent="0.25">
      <c r="A2538" s="62" t="s">
        <v>646</v>
      </c>
      <c r="B2538" s="62" t="s">
        <v>646</v>
      </c>
      <c r="C2538" s="63"/>
      <c r="D2538" s="64"/>
      <c r="E2538" s="65"/>
      <c r="F2538" s="66"/>
      <c r="G2538" s="63"/>
      <c r="H2538" s="67"/>
      <c r="I2538" s="68"/>
      <c r="J2538" s="68"/>
      <c r="K2538" s="32"/>
      <c r="L2538" s="75">
        <v>2538</v>
      </c>
      <c r="M2538" s="75"/>
      <c r="N2538" s="70"/>
      <c r="O2538" s="77" t="s">
        <v>179</v>
      </c>
      <c r="P2538" s="79">
        <v>45089.556747685187</v>
      </c>
      <c r="Q2538" s="77" t="s">
        <v>3315</v>
      </c>
      <c r="R2538" s="77">
        <v>0</v>
      </c>
      <c r="S2538" s="77">
        <v>0</v>
      </c>
      <c r="T2538" s="77">
        <v>0</v>
      </c>
      <c r="U2538" s="77">
        <v>0</v>
      </c>
      <c r="V2538" s="77">
        <v>33</v>
      </c>
      <c r="W2538" s="82" t="s">
        <v>6382</v>
      </c>
      <c r="X2538" s="80" t="str">
        <f>HYPERLINK("https://tinyurl.com/279e4esu")</f>
        <v>https://tinyurl.com/279e4esu</v>
      </c>
      <c r="Y2538" s="77" t="s">
        <v>7068</v>
      </c>
      <c r="Z2538" s="77"/>
      <c r="AA2538" s="77"/>
      <c r="AB2538" s="77"/>
      <c r="AC2538" s="82" t="s">
        <v>8274</v>
      </c>
      <c r="AD2538" s="77" t="s">
        <v>8278</v>
      </c>
      <c r="AE2538" s="80" t="str">
        <f>HYPERLINK("https://twitter.com/pauta_economica/status/1668247207701520391")</f>
        <v>https://twitter.com/pauta_economica/status/1668247207701520391</v>
      </c>
      <c r="AF2538" s="79">
        <v>45089.556747685187</v>
      </c>
      <c r="AG2538" s="85">
        <v>45089</v>
      </c>
      <c r="AH2538" s="82" t="s">
        <v>10583</v>
      </c>
      <c r="AI2538" s="77" t="b">
        <v>0</v>
      </c>
      <c r="AJ2538" s="77"/>
      <c r="AK2538" s="77"/>
      <c r="AL2538" s="77"/>
      <c r="AM2538" s="77"/>
      <c r="AN2538" s="77"/>
      <c r="AO2538" s="77"/>
      <c r="AP2538" s="77"/>
      <c r="AQ2538" s="77"/>
      <c r="AR2538" s="77"/>
      <c r="AS2538" s="77"/>
      <c r="AT2538" s="77"/>
      <c r="AU2538" s="77"/>
      <c r="AV2538" s="80" t="str">
        <f>HYPERLINK("https://pbs.twimg.com/profile_images/1588668531910082561/XEi-lXiu_normal.jpg")</f>
        <v>https://pbs.twimg.com/profile_images/1588668531910082561/XEi-lXiu_normal.jpg</v>
      </c>
      <c r="AW2538" s="82" t="s">
        <v>15622</v>
      </c>
      <c r="AX2538" s="82" t="s">
        <v>15622</v>
      </c>
      <c r="AY2538" s="77"/>
      <c r="AZ2538" s="82" t="s">
        <v>17385</v>
      </c>
      <c r="BA2538" s="82" t="s">
        <v>17385</v>
      </c>
      <c r="BB2538" s="82" t="s">
        <v>17385</v>
      </c>
      <c r="BC2538" s="82" t="s">
        <v>15622</v>
      </c>
      <c r="BD2538" s="82" t="s">
        <v>17667</v>
      </c>
      <c r="BE2538" s="77"/>
      <c r="BF2538" s="77"/>
      <c r="BG2538" s="77"/>
      <c r="BH2538" s="77"/>
      <c r="BI2538" s="77"/>
    </row>
    <row r="2539" spans="1:61" x14ac:dyDescent="0.25">
      <c r="A2539" s="62" t="s">
        <v>646</v>
      </c>
      <c r="B2539" s="62" t="s">
        <v>646</v>
      </c>
      <c r="C2539" s="63"/>
      <c r="D2539" s="64"/>
      <c r="E2539" s="65"/>
      <c r="F2539" s="66"/>
      <c r="G2539" s="63"/>
      <c r="H2539" s="67"/>
      <c r="I2539" s="68"/>
      <c r="J2539" s="68"/>
      <c r="K2539" s="32"/>
      <c r="L2539" s="75">
        <v>2539</v>
      </c>
      <c r="M2539" s="75"/>
      <c r="N2539" s="70"/>
      <c r="O2539" s="77" t="s">
        <v>179</v>
      </c>
      <c r="P2539" s="79">
        <v>45089.549803240741</v>
      </c>
      <c r="Q2539" s="77" t="s">
        <v>3316</v>
      </c>
      <c r="R2539" s="77">
        <v>0</v>
      </c>
      <c r="S2539" s="77">
        <v>1</v>
      </c>
      <c r="T2539" s="77">
        <v>0</v>
      </c>
      <c r="U2539" s="77">
        <v>0</v>
      </c>
      <c r="V2539" s="77">
        <v>61</v>
      </c>
      <c r="W2539" s="82" t="s">
        <v>6382</v>
      </c>
      <c r="X2539" s="80" t="str">
        <f>HYPERLINK("https://tinyurl.com/2cc9o5pj")</f>
        <v>https://tinyurl.com/2cc9o5pj</v>
      </c>
      <c r="Y2539" s="77" t="s">
        <v>7068</v>
      </c>
      <c r="Z2539" s="77"/>
      <c r="AA2539" s="77"/>
      <c r="AB2539" s="77"/>
      <c r="AC2539" s="82" t="s">
        <v>8274</v>
      </c>
      <c r="AD2539" s="77" t="s">
        <v>8278</v>
      </c>
      <c r="AE2539" s="80" t="str">
        <f>HYPERLINK("https://twitter.com/pauta_economica/status/1668244692310409217")</f>
        <v>https://twitter.com/pauta_economica/status/1668244692310409217</v>
      </c>
      <c r="AF2539" s="79">
        <v>45089.549803240741</v>
      </c>
      <c r="AG2539" s="85">
        <v>45089</v>
      </c>
      <c r="AH2539" s="82" t="s">
        <v>10584</v>
      </c>
      <c r="AI2539" s="77" t="b">
        <v>0</v>
      </c>
      <c r="AJ2539" s="77"/>
      <c r="AK2539" s="77"/>
      <c r="AL2539" s="77"/>
      <c r="AM2539" s="77"/>
      <c r="AN2539" s="77"/>
      <c r="AO2539" s="77"/>
      <c r="AP2539" s="77"/>
      <c r="AQ2539" s="77"/>
      <c r="AR2539" s="77"/>
      <c r="AS2539" s="77"/>
      <c r="AT2539" s="77"/>
      <c r="AU2539" s="77"/>
      <c r="AV2539" s="80" t="str">
        <f>HYPERLINK("https://pbs.twimg.com/profile_images/1588668531910082561/XEi-lXiu_normal.jpg")</f>
        <v>https://pbs.twimg.com/profile_images/1588668531910082561/XEi-lXiu_normal.jpg</v>
      </c>
      <c r="AW2539" s="82" t="s">
        <v>15623</v>
      </c>
      <c r="AX2539" s="82" t="s">
        <v>15623</v>
      </c>
      <c r="AY2539" s="77"/>
      <c r="AZ2539" s="82" t="s">
        <v>17385</v>
      </c>
      <c r="BA2539" s="82" t="s">
        <v>17385</v>
      </c>
      <c r="BB2539" s="82" t="s">
        <v>17385</v>
      </c>
      <c r="BC2539" s="82" t="s">
        <v>15623</v>
      </c>
      <c r="BD2539" s="82" t="s">
        <v>17667</v>
      </c>
      <c r="BE2539" s="77"/>
      <c r="BF2539" s="77"/>
      <c r="BG2539" s="77"/>
      <c r="BH2539" s="77"/>
      <c r="BI2539" s="77"/>
    </row>
    <row r="2540" spans="1:61" x14ac:dyDescent="0.25">
      <c r="A2540" s="62" t="s">
        <v>646</v>
      </c>
      <c r="B2540" s="62" t="s">
        <v>646</v>
      </c>
      <c r="C2540" s="63"/>
      <c r="D2540" s="64"/>
      <c r="E2540" s="65"/>
      <c r="F2540" s="66"/>
      <c r="G2540" s="63"/>
      <c r="H2540" s="67"/>
      <c r="I2540" s="68"/>
      <c r="J2540" s="68"/>
      <c r="K2540" s="32"/>
      <c r="L2540" s="75">
        <v>2540</v>
      </c>
      <c r="M2540" s="75"/>
      <c r="N2540" s="70"/>
      <c r="O2540" s="77" t="s">
        <v>179</v>
      </c>
      <c r="P2540" s="79">
        <v>45089.542858796296</v>
      </c>
      <c r="Q2540" s="77" t="s">
        <v>3317</v>
      </c>
      <c r="R2540" s="77">
        <v>0</v>
      </c>
      <c r="S2540" s="77">
        <v>1</v>
      </c>
      <c r="T2540" s="77">
        <v>0</v>
      </c>
      <c r="U2540" s="77">
        <v>0</v>
      </c>
      <c r="V2540" s="77">
        <v>58</v>
      </c>
      <c r="W2540" s="82" t="s">
        <v>6382</v>
      </c>
      <c r="X2540" s="80" t="str">
        <f>HYPERLINK("https://tinyurl.com/29byfa2q")</f>
        <v>https://tinyurl.com/29byfa2q</v>
      </c>
      <c r="Y2540" s="77" t="s">
        <v>7068</v>
      </c>
      <c r="Z2540" s="77"/>
      <c r="AA2540" s="77"/>
      <c r="AB2540" s="77"/>
      <c r="AC2540" s="82" t="s">
        <v>8274</v>
      </c>
      <c r="AD2540" s="77" t="s">
        <v>8278</v>
      </c>
      <c r="AE2540" s="80" t="str">
        <f>HYPERLINK("https://twitter.com/pauta_economica/status/1668242174088019971")</f>
        <v>https://twitter.com/pauta_economica/status/1668242174088019971</v>
      </c>
      <c r="AF2540" s="79">
        <v>45089.542858796296</v>
      </c>
      <c r="AG2540" s="85">
        <v>45089</v>
      </c>
      <c r="AH2540" s="82" t="s">
        <v>10585</v>
      </c>
      <c r="AI2540" s="77" t="b">
        <v>0</v>
      </c>
      <c r="AJ2540" s="77"/>
      <c r="AK2540" s="77"/>
      <c r="AL2540" s="77"/>
      <c r="AM2540" s="77"/>
      <c r="AN2540" s="77"/>
      <c r="AO2540" s="77"/>
      <c r="AP2540" s="77"/>
      <c r="AQ2540" s="77"/>
      <c r="AR2540" s="77"/>
      <c r="AS2540" s="77"/>
      <c r="AT2540" s="77"/>
      <c r="AU2540" s="77"/>
      <c r="AV2540" s="80" t="str">
        <f>HYPERLINK("https://pbs.twimg.com/profile_images/1588668531910082561/XEi-lXiu_normal.jpg")</f>
        <v>https://pbs.twimg.com/profile_images/1588668531910082561/XEi-lXiu_normal.jpg</v>
      </c>
      <c r="AW2540" s="82" t="s">
        <v>15624</v>
      </c>
      <c r="AX2540" s="82" t="s">
        <v>15624</v>
      </c>
      <c r="AY2540" s="77"/>
      <c r="AZ2540" s="82" t="s">
        <v>17385</v>
      </c>
      <c r="BA2540" s="82" t="s">
        <v>17385</v>
      </c>
      <c r="BB2540" s="82" t="s">
        <v>17385</v>
      </c>
      <c r="BC2540" s="82" t="s">
        <v>15624</v>
      </c>
      <c r="BD2540" s="82" t="s">
        <v>17667</v>
      </c>
      <c r="BE2540" s="77"/>
      <c r="BF2540" s="77"/>
      <c r="BG2540" s="77"/>
      <c r="BH2540" s="77"/>
      <c r="BI2540" s="77"/>
    </row>
    <row r="2541" spans="1:61" x14ac:dyDescent="0.25">
      <c r="A2541" s="62" t="s">
        <v>646</v>
      </c>
      <c r="B2541" s="62" t="s">
        <v>646</v>
      </c>
      <c r="C2541" s="63"/>
      <c r="D2541" s="64"/>
      <c r="E2541" s="65"/>
      <c r="F2541" s="66"/>
      <c r="G2541" s="63"/>
      <c r="H2541" s="67"/>
      <c r="I2541" s="68"/>
      <c r="J2541" s="68"/>
      <c r="K2541" s="32"/>
      <c r="L2541" s="75">
        <v>2541</v>
      </c>
      <c r="M2541" s="75"/>
      <c r="N2541" s="70"/>
      <c r="O2541" s="77" t="s">
        <v>179</v>
      </c>
      <c r="P2541" s="79">
        <v>45089.535856481481</v>
      </c>
      <c r="Q2541" s="77" t="s">
        <v>3318</v>
      </c>
      <c r="R2541" s="77">
        <v>0</v>
      </c>
      <c r="S2541" s="77">
        <v>1</v>
      </c>
      <c r="T2541" s="77">
        <v>0</v>
      </c>
      <c r="U2541" s="77">
        <v>0</v>
      </c>
      <c r="V2541" s="77">
        <v>227</v>
      </c>
      <c r="W2541" s="82" t="s">
        <v>6382</v>
      </c>
      <c r="X2541" s="80" t="str">
        <f>HYPERLINK("https://tinyurl.com/25jm5j9r")</f>
        <v>https://tinyurl.com/25jm5j9r</v>
      </c>
      <c r="Y2541" s="77" t="s">
        <v>7068</v>
      </c>
      <c r="Z2541" s="77"/>
      <c r="AA2541" s="77"/>
      <c r="AB2541" s="77"/>
      <c r="AC2541" s="82" t="s">
        <v>8274</v>
      </c>
      <c r="AD2541" s="77" t="s">
        <v>8278</v>
      </c>
      <c r="AE2541" s="80" t="str">
        <f>HYPERLINK("https://twitter.com/pauta_economica/status/1668239636957741058")</f>
        <v>https://twitter.com/pauta_economica/status/1668239636957741058</v>
      </c>
      <c r="AF2541" s="79">
        <v>45089.535856481481</v>
      </c>
      <c r="AG2541" s="85">
        <v>45089</v>
      </c>
      <c r="AH2541" s="82" t="s">
        <v>10586</v>
      </c>
      <c r="AI2541" s="77" t="b">
        <v>0</v>
      </c>
      <c r="AJ2541" s="77"/>
      <c r="AK2541" s="77"/>
      <c r="AL2541" s="77"/>
      <c r="AM2541" s="77"/>
      <c r="AN2541" s="77"/>
      <c r="AO2541" s="77"/>
      <c r="AP2541" s="77"/>
      <c r="AQ2541" s="77"/>
      <c r="AR2541" s="77"/>
      <c r="AS2541" s="77"/>
      <c r="AT2541" s="77"/>
      <c r="AU2541" s="77"/>
      <c r="AV2541" s="80" t="str">
        <f>HYPERLINK("https://pbs.twimg.com/profile_images/1588668531910082561/XEi-lXiu_normal.jpg")</f>
        <v>https://pbs.twimg.com/profile_images/1588668531910082561/XEi-lXiu_normal.jpg</v>
      </c>
      <c r="AW2541" s="82" t="s">
        <v>15625</v>
      </c>
      <c r="AX2541" s="82" t="s">
        <v>15625</v>
      </c>
      <c r="AY2541" s="77"/>
      <c r="AZ2541" s="82" t="s">
        <v>17385</v>
      </c>
      <c r="BA2541" s="82" t="s">
        <v>17385</v>
      </c>
      <c r="BB2541" s="82" t="s">
        <v>17385</v>
      </c>
      <c r="BC2541" s="82" t="s">
        <v>15625</v>
      </c>
      <c r="BD2541" s="82" t="s">
        <v>17667</v>
      </c>
      <c r="BE2541" s="77"/>
      <c r="BF2541" s="77"/>
      <c r="BG2541" s="77"/>
      <c r="BH2541" s="77"/>
      <c r="BI2541" s="77"/>
    </row>
    <row r="2542" spans="1:61" x14ac:dyDescent="0.25">
      <c r="A2542" s="62" t="s">
        <v>646</v>
      </c>
      <c r="B2542" s="62" t="s">
        <v>646</v>
      </c>
      <c r="C2542" s="63"/>
      <c r="D2542" s="64"/>
      <c r="E2542" s="65"/>
      <c r="F2542" s="66"/>
      <c r="G2542" s="63"/>
      <c r="H2542" s="67"/>
      <c r="I2542" s="68"/>
      <c r="J2542" s="68"/>
      <c r="K2542" s="32"/>
      <c r="L2542" s="75">
        <v>2542</v>
      </c>
      <c r="M2542" s="75"/>
      <c r="N2542" s="70"/>
      <c r="O2542" s="77" t="s">
        <v>179</v>
      </c>
      <c r="P2542" s="79">
        <v>45089.528877314813</v>
      </c>
      <c r="Q2542" s="77" t="s">
        <v>3319</v>
      </c>
      <c r="R2542" s="77">
        <v>0</v>
      </c>
      <c r="S2542" s="77">
        <v>0</v>
      </c>
      <c r="T2542" s="77">
        <v>0</v>
      </c>
      <c r="U2542" s="77">
        <v>0</v>
      </c>
      <c r="V2542" s="77">
        <v>31</v>
      </c>
      <c r="W2542" s="82" t="s">
        <v>6382</v>
      </c>
      <c r="X2542" s="80" t="str">
        <f>HYPERLINK("https://tinyurl.com/262ntpvm")</f>
        <v>https://tinyurl.com/262ntpvm</v>
      </c>
      <c r="Y2542" s="77" t="s">
        <v>7068</v>
      </c>
      <c r="Z2542" s="77"/>
      <c r="AA2542" s="77"/>
      <c r="AB2542" s="77"/>
      <c r="AC2542" s="82" t="s">
        <v>8274</v>
      </c>
      <c r="AD2542" s="77" t="s">
        <v>8278</v>
      </c>
      <c r="AE2542" s="80" t="str">
        <f>HYPERLINK("https://twitter.com/pauta_economica/status/1668237108484399109")</f>
        <v>https://twitter.com/pauta_economica/status/1668237108484399109</v>
      </c>
      <c r="AF2542" s="79">
        <v>45089.528877314813</v>
      </c>
      <c r="AG2542" s="85">
        <v>45089</v>
      </c>
      <c r="AH2542" s="82" t="s">
        <v>10587</v>
      </c>
      <c r="AI2542" s="77" t="b">
        <v>0</v>
      </c>
      <c r="AJ2542" s="77"/>
      <c r="AK2542" s="77"/>
      <c r="AL2542" s="77"/>
      <c r="AM2542" s="77"/>
      <c r="AN2542" s="77"/>
      <c r="AO2542" s="77"/>
      <c r="AP2542" s="77"/>
      <c r="AQ2542" s="77"/>
      <c r="AR2542" s="77"/>
      <c r="AS2542" s="77"/>
      <c r="AT2542" s="77"/>
      <c r="AU2542" s="77"/>
      <c r="AV2542" s="80" t="str">
        <f>HYPERLINK("https://pbs.twimg.com/profile_images/1588668531910082561/XEi-lXiu_normal.jpg")</f>
        <v>https://pbs.twimg.com/profile_images/1588668531910082561/XEi-lXiu_normal.jpg</v>
      </c>
      <c r="AW2542" s="82" t="s">
        <v>15626</v>
      </c>
      <c r="AX2542" s="82" t="s">
        <v>15626</v>
      </c>
      <c r="AY2542" s="77"/>
      <c r="AZ2542" s="82" t="s">
        <v>17385</v>
      </c>
      <c r="BA2542" s="82" t="s">
        <v>17385</v>
      </c>
      <c r="BB2542" s="82" t="s">
        <v>17385</v>
      </c>
      <c r="BC2542" s="82" t="s">
        <v>15626</v>
      </c>
      <c r="BD2542" s="82" t="s">
        <v>17667</v>
      </c>
      <c r="BE2542" s="77"/>
      <c r="BF2542" s="77"/>
      <c r="BG2542" s="77"/>
      <c r="BH2542" s="77"/>
      <c r="BI2542" s="77"/>
    </row>
    <row r="2543" spans="1:61" x14ac:dyDescent="0.25">
      <c r="A2543" s="62" t="s">
        <v>646</v>
      </c>
      <c r="B2543" s="62" t="s">
        <v>646</v>
      </c>
      <c r="C2543" s="63"/>
      <c r="D2543" s="64"/>
      <c r="E2543" s="65"/>
      <c r="F2543" s="66"/>
      <c r="G2543" s="63"/>
      <c r="H2543" s="67"/>
      <c r="I2543" s="68"/>
      <c r="J2543" s="68"/>
      <c r="K2543" s="32"/>
      <c r="L2543" s="75">
        <v>2543</v>
      </c>
      <c r="M2543" s="75"/>
      <c r="N2543" s="70"/>
      <c r="O2543" s="77" t="s">
        <v>179</v>
      </c>
      <c r="P2543" s="79">
        <v>45089.521921296298</v>
      </c>
      <c r="Q2543" s="77" t="s">
        <v>3320</v>
      </c>
      <c r="R2543" s="77">
        <v>0</v>
      </c>
      <c r="S2543" s="77">
        <v>0</v>
      </c>
      <c r="T2543" s="77">
        <v>0</v>
      </c>
      <c r="U2543" s="77">
        <v>0</v>
      </c>
      <c r="V2543" s="77">
        <v>152</v>
      </c>
      <c r="W2543" s="82" t="s">
        <v>6382</v>
      </c>
      <c r="X2543" s="80" t="str">
        <f>HYPERLINK("https://tinyurl.com/2c3t7kbo")</f>
        <v>https://tinyurl.com/2c3t7kbo</v>
      </c>
      <c r="Y2543" s="77" t="s">
        <v>7068</v>
      </c>
      <c r="Z2543" s="77"/>
      <c r="AA2543" s="77"/>
      <c r="AB2543" s="77"/>
      <c r="AC2543" s="82" t="s">
        <v>8274</v>
      </c>
      <c r="AD2543" s="77" t="s">
        <v>8278</v>
      </c>
      <c r="AE2543" s="80" t="str">
        <f>HYPERLINK("https://twitter.com/pauta_economica/status/1668234586659205121")</f>
        <v>https://twitter.com/pauta_economica/status/1668234586659205121</v>
      </c>
      <c r="AF2543" s="79">
        <v>45089.521921296298</v>
      </c>
      <c r="AG2543" s="85">
        <v>45089</v>
      </c>
      <c r="AH2543" s="82" t="s">
        <v>10588</v>
      </c>
      <c r="AI2543" s="77" t="b">
        <v>0</v>
      </c>
      <c r="AJ2543" s="77"/>
      <c r="AK2543" s="77"/>
      <c r="AL2543" s="77"/>
      <c r="AM2543" s="77"/>
      <c r="AN2543" s="77"/>
      <c r="AO2543" s="77"/>
      <c r="AP2543" s="77"/>
      <c r="AQ2543" s="77"/>
      <c r="AR2543" s="77"/>
      <c r="AS2543" s="77"/>
      <c r="AT2543" s="77"/>
      <c r="AU2543" s="77"/>
      <c r="AV2543" s="80" t="str">
        <f>HYPERLINK("https://pbs.twimg.com/profile_images/1588668531910082561/XEi-lXiu_normal.jpg")</f>
        <v>https://pbs.twimg.com/profile_images/1588668531910082561/XEi-lXiu_normal.jpg</v>
      </c>
      <c r="AW2543" s="82" t="s">
        <v>15627</v>
      </c>
      <c r="AX2543" s="82" t="s">
        <v>15627</v>
      </c>
      <c r="AY2543" s="77"/>
      <c r="AZ2543" s="82" t="s">
        <v>17385</v>
      </c>
      <c r="BA2543" s="82" t="s">
        <v>17385</v>
      </c>
      <c r="BB2543" s="82" t="s">
        <v>17385</v>
      </c>
      <c r="BC2543" s="82" t="s">
        <v>15627</v>
      </c>
      <c r="BD2543" s="82" t="s">
        <v>17667</v>
      </c>
      <c r="BE2543" s="77"/>
      <c r="BF2543" s="77"/>
      <c r="BG2543" s="77"/>
      <c r="BH2543" s="77"/>
      <c r="BI2543" s="77"/>
    </row>
    <row r="2544" spans="1:61" x14ac:dyDescent="0.25">
      <c r="A2544" s="62" t="s">
        <v>646</v>
      </c>
      <c r="B2544" s="62" t="s">
        <v>646</v>
      </c>
      <c r="C2544" s="63"/>
      <c r="D2544" s="64"/>
      <c r="E2544" s="65"/>
      <c r="F2544" s="66"/>
      <c r="G2544" s="63"/>
      <c r="H2544" s="67"/>
      <c r="I2544" s="68"/>
      <c r="J2544" s="68"/>
      <c r="K2544" s="32"/>
      <c r="L2544" s="75">
        <v>2544</v>
      </c>
      <c r="M2544" s="75"/>
      <c r="N2544" s="70"/>
      <c r="O2544" s="77" t="s">
        <v>179</v>
      </c>
      <c r="P2544" s="79">
        <v>45078.715578703705</v>
      </c>
      <c r="Q2544" s="77" t="s">
        <v>3321</v>
      </c>
      <c r="R2544" s="77">
        <v>0</v>
      </c>
      <c r="S2544" s="77">
        <v>0</v>
      </c>
      <c r="T2544" s="77">
        <v>0</v>
      </c>
      <c r="U2544" s="77">
        <v>0</v>
      </c>
      <c r="V2544" s="77">
        <v>41</v>
      </c>
      <c r="W2544" s="82" t="s">
        <v>6382</v>
      </c>
      <c r="X2544" s="80" t="str">
        <f>HYPERLINK("https://tinyurl.com/2osrrfts")</f>
        <v>https://tinyurl.com/2osrrfts</v>
      </c>
      <c r="Y2544" s="77" t="s">
        <v>7068</v>
      </c>
      <c r="Z2544" s="77"/>
      <c r="AA2544" s="77"/>
      <c r="AB2544" s="77"/>
      <c r="AC2544" s="82" t="s">
        <v>8274</v>
      </c>
      <c r="AD2544" s="77" t="s">
        <v>8278</v>
      </c>
      <c r="AE2544" s="80" t="str">
        <f>HYPERLINK("https://twitter.com/pauta_economica/status/1664318499823534080")</f>
        <v>https://twitter.com/pauta_economica/status/1664318499823534080</v>
      </c>
      <c r="AF2544" s="79">
        <v>45078.715578703705</v>
      </c>
      <c r="AG2544" s="85">
        <v>45078</v>
      </c>
      <c r="AH2544" s="82" t="s">
        <v>10589</v>
      </c>
      <c r="AI2544" s="77" t="b">
        <v>0</v>
      </c>
      <c r="AJ2544" s="77"/>
      <c r="AK2544" s="77"/>
      <c r="AL2544" s="77"/>
      <c r="AM2544" s="77"/>
      <c r="AN2544" s="77"/>
      <c r="AO2544" s="77"/>
      <c r="AP2544" s="77"/>
      <c r="AQ2544" s="77"/>
      <c r="AR2544" s="77"/>
      <c r="AS2544" s="77"/>
      <c r="AT2544" s="77"/>
      <c r="AU2544" s="77"/>
      <c r="AV2544" s="80" t="str">
        <f>HYPERLINK("https://pbs.twimg.com/profile_images/1588668531910082561/XEi-lXiu_normal.jpg")</f>
        <v>https://pbs.twimg.com/profile_images/1588668531910082561/XEi-lXiu_normal.jpg</v>
      </c>
      <c r="AW2544" s="82" t="s">
        <v>15628</v>
      </c>
      <c r="AX2544" s="82" t="s">
        <v>15628</v>
      </c>
      <c r="AY2544" s="77"/>
      <c r="AZ2544" s="82" t="s">
        <v>17385</v>
      </c>
      <c r="BA2544" s="82" t="s">
        <v>17385</v>
      </c>
      <c r="BB2544" s="82" t="s">
        <v>17385</v>
      </c>
      <c r="BC2544" s="82" t="s">
        <v>15628</v>
      </c>
      <c r="BD2544" s="82" t="s">
        <v>17667</v>
      </c>
      <c r="BE2544" s="77"/>
      <c r="BF2544" s="77"/>
      <c r="BG2544" s="77"/>
      <c r="BH2544" s="77"/>
      <c r="BI2544" s="77"/>
    </row>
    <row r="2545" spans="1:61" x14ac:dyDescent="0.25">
      <c r="A2545" s="62" t="s">
        <v>646</v>
      </c>
      <c r="B2545" s="62" t="s">
        <v>646</v>
      </c>
      <c r="C2545" s="63"/>
      <c r="D2545" s="64"/>
      <c r="E2545" s="65"/>
      <c r="F2545" s="66"/>
      <c r="G2545" s="63"/>
      <c r="H2545" s="67"/>
      <c r="I2545" s="68"/>
      <c r="J2545" s="68"/>
      <c r="K2545" s="32"/>
      <c r="L2545" s="75">
        <v>2545</v>
      </c>
      <c r="M2545" s="75"/>
      <c r="N2545" s="70"/>
      <c r="O2545" s="77" t="s">
        <v>179</v>
      </c>
      <c r="P2545" s="79">
        <v>45078.659675925926</v>
      </c>
      <c r="Q2545" s="77" t="s">
        <v>3322</v>
      </c>
      <c r="R2545" s="77">
        <v>0</v>
      </c>
      <c r="S2545" s="77">
        <v>1</v>
      </c>
      <c r="T2545" s="77">
        <v>0</v>
      </c>
      <c r="U2545" s="77">
        <v>0</v>
      </c>
      <c r="V2545" s="77">
        <v>46</v>
      </c>
      <c r="W2545" s="82" t="s">
        <v>6382</v>
      </c>
      <c r="X2545" s="80" t="str">
        <f>HYPERLINK("https://tinyurl.com/2esedzj8")</f>
        <v>https://tinyurl.com/2esedzj8</v>
      </c>
      <c r="Y2545" s="77" t="s">
        <v>7068</v>
      </c>
      <c r="Z2545" s="77"/>
      <c r="AA2545" s="77"/>
      <c r="AB2545" s="77"/>
      <c r="AC2545" s="82" t="s">
        <v>8274</v>
      </c>
      <c r="AD2545" s="77" t="s">
        <v>8278</v>
      </c>
      <c r="AE2545" s="80" t="str">
        <f>HYPERLINK("https://twitter.com/pauta_economica/status/1664298240911503360")</f>
        <v>https://twitter.com/pauta_economica/status/1664298240911503360</v>
      </c>
      <c r="AF2545" s="79">
        <v>45078.659675925926</v>
      </c>
      <c r="AG2545" s="85">
        <v>45078</v>
      </c>
      <c r="AH2545" s="82" t="s">
        <v>10590</v>
      </c>
      <c r="AI2545" s="77" t="b">
        <v>0</v>
      </c>
      <c r="AJ2545" s="77"/>
      <c r="AK2545" s="77"/>
      <c r="AL2545" s="77"/>
      <c r="AM2545" s="77"/>
      <c r="AN2545" s="77"/>
      <c r="AO2545" s="77"/>
      <c r="AP2545" s="77"/>
      <c r="AQ2545" s="77"/>
      <c r="AR2545" s="77"/>
      <c r="AS2545" s="77"/>
      <c r="AT2545" s="77"/>
      <c r="AU2545" s="77"/>
      <c r="AV2545" s="80" t="str">
        <f>HYPERLINK("https://pbs.twimg.com/profile_images/1588668531910082561/XEi-lXiu_normal.jpg")</f>
        <v>https://pbs.twimg.com/profile_images/1588668531910082561/XEi-lXiu_normal.jpg</v>
      </c>
      <c r="AW2545" s="82" t="s">
        <v>15629</v>
      </c>
      <c r="AX2545" s="82" t="s">
        <v>15629</v>
      </c>
      <c r="AY2545" s="77"/>
      <c r="AZ2545" s="82" t="s">
        <v>17385</v>
      </c>
      <c r="BA2545" s="82" t="s">
        <v>17385</v>
      </c>
      <c r="BB2545" s="82" t="s">
        <v>17385</v>
      </c>
      <c r="BC2545" s="82" t="s">
        <v>15629</v>
      </c>
      <c r="BD2545" s="82" t="s">
        <v>17667</v>
      </c>
      <c r="BE2545" s="77"/>
      <c r="BF2545" s="77"/>
      <c r="BG2545" s="77"/>
      <c r="BH2545" s="77"/>
      <c r="BI2545" s="77"/>
    </row>
    <row r="2546" spans="1:61" x14ac:dyDescent="0.25">
      <c r="A2546" s="62" t="s">
        <v>646</v>
      </c>
      <c r="B2546" s="62" t="s">
        <v>646</v>
      </c>
      <c r="C2546" s="63"/>
      <c r="D2546" s="64"/>
      <c r="E2546" s="65"/>
      <c r="F2546" s="66"/>
      <c r="G2546" s="63"/>
      <c r="H2546" s="67"/>
      <c r="I2546" s="68"/>
      <c r="J2546" s="68"/>
      <c r="K2546" s="32"/>
      <c r="L2546" s="75">
        <v>2546</v>
      </c>
      <c r="M2546" s="75"/>
      <c r="N2546" s="70"/>
      <c r="O2546" s="77" t="s">
        <v>179</v>
      </c>
      <c r="P2546" s="79">
        <v>45078.631863425922</v>
      </c>
      <c r="Q2546" s="77" t="s">
        <v>3323</v>
      </c>
      <c r="R2546" s="77">
        <v>0</v>
      </c>
      <c r="S2546" s="77">
        <v>0</v>
      </c>
      <c r="T2546" s="77">
        <v>0</v>
      </c>
      <c r="U2546" s="77">
        <v>0</v>
      </c>
      <c r="V2546" s="77">
        <v>28</v>
      </c>
      <c r="W2546" s="82" t="s">
        <v>6382</v>
      </c>
      <c r="X2546" s="80" t="str">
        <f>HYPERLINK("https://tinyurl.com/2gmtoqn6")</f>
        <v>https://tinyurl.com/2gmtoqn6</v>
      </c>
      <c r="Y2546" s="77" t="s">
        <v>7068</v>
      </c>
      <c r="Z2546" s="77"/>
      <c r="AA2546" s="77"/>
      <c r="AB2546" s="77"/>
      <c r="AC2546" s="82" t="s">
        <v>8274</v>
      </c>
      <c r="AD2546" s="77" t="s">
        <v>8278</v>
      </c>
      <c r="AE2546" s="80" t="str">
        <f>HYPERLINK("https://twitter.com/pauta_economica/status/1664288162422685699")</f>
        <v>https://twitter.com/pauta_economica/status/1664288162422685699</v>
      </c>
      <c r="AF2546" s="79">
        <v>45078.631863425922</v>
      </c>
      <c r="AG2546" s="85">
        <v>45078</v>
      </c>
      <c r="AH2546" s="82" t="s">
        <v>10591</v>
      </c>
      <c r="AI2546" s="77" t="b">
        <v>0</v>
      </c>
      <c r="AJ2546" s="77"/>
      <c r="AK2546" s="77"/>
      <c r="AL2546" s="77"/>
      <c r="AM2546" s="77"/>
      <c r="AN2546" s="77"/>
      <c r="AO2546" s="77"/>
      <c r="AP2546" s="77"/>
      <c r="AQ2546" s="77"/>
      <c r="AR2546" s="77"/>
      <c r="AS2546" s="77"/>
      <c r="AT2546" s="77"/>
      <c r="AU2546" s="77"/>
      <c r="AV2546" s="80" t="str">
        <f>HYPERLINK("https://pbs.twimg.com/profile_images/1588668531910082561/XEi-lXiu_normal.jpg")</f>
        <v>https://pbs.twimg.com/profile_images/1588668531910082561/XEi-lXiu_normal.jpg</v>
      </c>
      <c r="AW2546" s="82" t="s">
        <v>15630</v>
      </c>
      <c r="AX2546" s="82" t="s">
        <v>15630</v>
      </c>
      <c r="AY2546" s="77"/>
      <c r="AZ2546" s="82" t="s">
        <v>17385</v>
      </c>
      <c r="BA2546" s="82" t="s">
        <v>17385</v>
      </c>
      <c r="BB2546" s="82" t="s">
        <v>17385</v>
      </c>
      <c r="BC2546" s="82" t="s">
        <v>15630</v>
      </c>
      <c r="BD2546" s="82" t="s">
        <v>17667</v>
      </c>
      <c r="BE2546" s="77"/>
      <c r="BF2546" s="77"/>
      <c r="BG2546" s="77"/>
      <c r="BH2546" s="77"/>
      <c r="BI2546" s="77"/>
    </row>
    <row r="2547" spans="1:61" x14ac:dyDescent="0.25">
      <c r="A2547" s="62" t="s">
        <v>646</v>
      </c>
      <c r="B2547" s="62" t="s">
        <v>646</v>
      </c>
      <c r="C2547" s="63"/>
      <c r="D2547" s="64"/>
      <c r="E2547" s="65"/>
      <c r="F2547" s="66"/>
      <c r="G2547" s="63"/>
      <c r="H2547" s="67"/>
      <c r="I2547" s="68"/>
      <c r="J2547" s="68"/>
      <c r="K2547" s="32"/>
      <c r="L2547" s="75">
        <v>2547</v>
      </c>
      <c r="M2547" s="75"/>
      <c r="N2547" s="70"/>
      <c r="O2547" s="77" t="s">
        <v>179</v>
      </c>
      <c r="P2547" s="79">
        <v>45078.576215277775</v>
      </c>
      <c r="Q2547" s="77" t="s">
        <v>3324</v>
      </c>
      <c r="R2547" s="77">
        <v>0</v>
      </c>
      <c r="S2547" s="77">
        <v>0</v>
      </c>
      <c r="T2547" s="77">
        <v>0</v>
      </c>
      <c r="U2547" s="77">
        <v>0</v>
      </c>
      <c r="V2547" s="77">
        <v>60</v>
      </c>
      <c r="W2547" s="82" t="s">
        <v>6382</v>
      </c>
      <c r="X2547" s="80" t="str">
        <f>HYPERLINK("https://tinyurl.com/2eq3udvt")</f>
        <v>https://tinyurl.com/2eq3udvt</v>
      </c>
      <c r="Y2547" s="77" t="s">
        <v>7068</v>
      </c>
      <c r="Z2547" s="77"/>
      <c r="AA2547" s="77"/>
      <c r="AB2547" s="77"/>
      <c r="AC2547" s="82" t="s">
        <v>8274</v>
      </c>
      <c r="AD2547" s="77" t="s">
        <v>8278</v>
      </c>
      <c r="AE2547" s="80" t="str">
        <f>HYPERLINK("https://twitter.com/pauta_economica/status/1664267996251176962")</f>
        <v>https://twitter.com/pauta_economica/status/1664267996251176962</v>
      </c>
      <c r="AF2547" s="79">
        <v>45078.576215277775</v>
      </c>
      <c r="AG2547" s="85">
        <v>45078</v>
      </c>
      <c r="AH2547" s="82" t="s">
        <v>10592</v>
      </c>
      <c r="AI2547" s="77" t="b">
        <v>0</v>
      </c>
      <c r="AJ2547" s="77"/>
      <c r="AK2547" s="77"/>
      <c r="AL2547" s="77"/>
      <c r="AM2547" s="77"/>
      <c r="AN2547" s="77"/>
      <c r="AO2547" s="77"/>
      <c r="AP2547" s="77"/>
      <c r="AQ2547" s="77"/>
      <c r="AR2547" s="77"/>
      <c r="AS2547" s="77"/>
      <c r="AT2547" s="77"/>
      <c r="AU2547" s="77"/>
      <c r="AV2547" s="80" t="str">
        <f>HYPERLINK("https://pbs.twimg.com/profile_images/1588668531910082561/XEi-lXiu_normal.jpg")</f>
        <v>https://pbs.twimg.com/profile_images/1588668531910082561/XEi-lXiu_normal.jpg</v>
      </c>
      <c r="AW2547" s="82" t="s">
        <v>15631</v>
      </c>
      <c r="AX2547" s="82" t="s">
        <v>15631</v>
      </c>
      <c r="AY2547" s="77"/>
      <c r="AZ2547" s="82" t="s">
        <v>17385</v>
      </c>
      <c r="BA2547" s="82" t="s">
        <v>17385</v>
      </c>
      <c r="BB2547" s="82" t="s">
        <v>17385</v>
      </c>
      <c r="BC2547" s="82" t="s">
        <v>15631</v>
      </c>
      <c r="BD2547" s="82" t="s">
        <v>17667</v>
      </c>
      <c r="BE2547" s="77"/>
      <c r="BF2547" s="77"/>
      <c r="BG2547" s="77"/>
      <c r="BH2547" s="77"/>
      <c r="BI2547" s="77"/>
    </row>
    <row r="2548" spans="1:61" x14ac:dyDescent="0.25">
      <c r="A2548" s="62" t="s">
        <v>646</v>
      </c>
      <c r="B2548" s="62" t="s">
        <v>646</v>
      </c>
      <c r="C2548" s="63"/>
      <c r="D2548" s="64"/>
      <c r="E2548" s="65"/>
      <c r="F2548" s="66"/>
      <c r="G2548" s="63"/>
      <c r="H2548" s="67"/>
      <c r="I2548" s="68"/>
      <c r="J2548" s="68"/>
      <c r="K2548" s="32"/>
      <c r="L2548" s="75">
        <v>2548</v>
      </c>
      <c r="M2548" s="75"/>
      <c r="N2548" s="70"/>
      <c r="O2548" s="77" t="s">
        <v>179</v>
      </c>
      <c r="P2548" s="79">
        <v>45078.574467592596</v>
      </c>
      <c r="Q2548" s="77" t="s">
        <v>3325</v>
      </c>
      <c r="R2548" s="77">
        <v>0</v>
      </c>
      <c r="S2548" s="77">
        <v>0</v>
      </c>
      <c r="T2548" s="77">
        <v>0</v>
      </c>
      <c r="U2548" s="77">
        <v>0</v>
      </c>
      <c r="V2548" s="77">
        <v>20</v>
      </c>
      <c r="W2548" s="82" t="s">
        <v>6382</v>
      </c>
      <c r="X2548" s="80" t="str">
        <f>HYPERLINK("https://tinyurl.com/2lelgeza")</f>
        <v>https://tinyurl.com/2lelgeza</v>
      </c>
      <c r="Y2548" s="77" t="s">
        <v>7068</v>
      </c>
      <c r="Z2548" s="77"/>
      <c r="AA2548" s="77"/>
      <c r="AB2548" s="77"/>
      <c r="AC2548" s="82" t="s">
        <v>8274</v>
      </c>
      <c r="AD2548" s="77" t="s">
        <v>8278</v>
      </c>
      <c r="AE2548" s="80" t="str">
        <f>HYPERLINK("https://twitter.com/pauta_economica/status/1664267362932236290")</f>
        <v>https://twitter.com/pauta_economica/status/1664267362932236290</v>
      </c>
      <c r="AF2548" s="79">
        <v>45078.574467592596</v>
      </c>
      <c r="AG2548" s="85">
        <v>45078</v>
      </c>
      <c r="AH2548" s="82" t="s">
        <v>10593</v>
      </c>
      <c r="AI2548" s="77" t="b">
        <v>0</v>
      </c>
      <c r="AJ2548" s="77"/>
      <c r="AK2548" s="77"/>
      <c r="AL2548" s="77"/>
      <c r="AM2548" s="77"/>
      <c r="AN2548" s="77"/>
      <c r="AO2548" s="77"/>
      <c r="AP2548" s="77"/>
      <c r="AQ2548" s="77"/>
      <c r="AR2548" s="77"/>
      <c r="AS2548" s="77"/>
      <c r="AT2548" s="77"/>
      <c r="AU2548" s="77"/>
      <c r="AV2548" s="80" t="str">
        <f>HYPERLINK("https://pbs.twimg.com/profile_images/1588668531910082561/XEi-lXiu_normal.jpg")</f>
        <v>https://pbs.twimg.com/profile_images/1588668531910082561/XEi-lXiu_normal.jpg</v>
      </c>
      <c r="AW2548" s="82" t="s">
        <v>15632</v>
      </c>
      <c r="AX2548" s="82" t="s">
        <v>15632</v>
      </c>
      <c r="AY2548" s="77"/>
      <c r="AZ2548" s="82" t="s">
        <v>17385</v>
      </c>
      <c r="BA2548" s="82" t="s">
        <v>17385</v>
      </c>
      <c r="BB2548" s="82" t="s">
        <v>17385</v>
      </c>
      <c r="BC2548" s="82" t="s">
        <v>15632</v>
      </c>
      <c r="BD2548" s="82" t="s">
        <v>17667</v>
      </c>
      <c r="BE2548" s="77"/>
      <c r="BF2548" s="77"/>
      <c r="BG2548" s="77"/>
      <c r="BH2548" s="77"/>
      <c r="BI2548" s="77"/>
    </row>
    <row r="2549" spans="1:61" x14ac:dyDescent="0.25">
      <c r="A2549" s="62" t="s">
        <v>646</v>
      </c>
      <c r="B2549" s="62" t="s">
        <v>646</v>
      </c>
      <c r="C2549" s="63"/>
      <c r="D2549" s="64"/>
      <c r="E2549" s="65"/>
      <c r="F2549" s="66"/>
      <c r="G2549" s="63"/>
      <c r="H2549" s="67"/>
      <c r="I2549" s="68"/>
      <c r="J2549" s="68"/>
      <c r="K2549" s="32"/>
      <c r="L2549" s="75">
        <v>2549</v>
      </c>
      <c r="M2549" s="75"/>
      <c r="N2549" s="70"/>
      <c r="O2549" s="77" t="s">
        <v>179</v>
      </c>
      <c r="P2549" s="79">
        <v>45078.567523148151</v>
      </c>
      <c r="Q2549" s="77" t="s">
        <v>3326</v>
      </c>
      <c r="R2549" s="77">
        <v>0</v>
      </c>
      <c r="S2549" s="77">
        <v>1</v>
      </c>
      <c r="T2549" s="77">
        <v>0</v>
      </c>
      <c r="U2549" s="77">
        <v>0</v>
      </c>
      <c r="V2549" s="77">
        <v>103</v>
      </c>
      <c r="W2549" s="82" t="s">
        <v>6382</v>
      </c>
      <c r="X2549" s="80" t="str">
        <f>HYPERLINK("https://tinyurl.com/2pmes6pq")</f>
        <v>https://tinyurl.com/2pmes6pq</v>
      </c>
      <c r="Y2549" s="77" t="s">
        <v>7068</v>
      </c>
      <c r="Z2549" s="77"/>
      <c r="AA2549" s="77"/>
      <c r="AB2549" s="77"/>
      <c r="AC2549" s="82" t="s">
        <v>8274</v>
      </c>
      <c r="AD2549" s="77" t="s">
        <v>8278</v>
      </c>
      <c r="AE2549" s="80" t="str">
        <f>HYPERLINK("https://twitter.com/pauta_economica/status/1664264844864806912")</f>
        <v>https://twitter.com/pauta_economica/status/1664264844864806912</v>
      </c>
      <c r="AF2549" s="79">
        <v>45078.567523148151</v>
      </c>
      <c r="AG2549" s="85">
        <v>45078</v>
      </c>
      <c r="AH2549" s="82" t="s">
        <v>10594</v>
      </c>
      <c r="AI2549" s="77" t="b">
        <v>0</v>
      </c>
      <c r="AJ2549" s="77"/>
      <c r="AK2549" s="77"/>
      <c r="AL2549" s="77"/>
      <c r="AM2549" s="77"/>
      <c r="AN2549" s="77"/>
      <c r="AO2549" s="77"/>
      <c r="AP2549" s="77"/>
      <c r="AQ2549" s="77"/>
      <c r="AR2549" s="77"/>
      <c r="AS2549" s="77"/>
      <c r="AT2549" s="77"/>
      <c r="AU2549" s="77"/>
      <c r="AV2549" s="80" t="str">
        <f>HYPERLINK("https://pbs.twimg.com/profile_images/1588668531910082561/XEi-lXiu_normal.jpg")</f>
        <v>https://pbs.twimg.com/profile_images/1588668531910082561/XEi-lXiu_normal.jpg</v>
      </c>
      <c r="AW2549" s="82" t="s">
        <v>15633</v>
      </c>
      <c r="AX2549" s="82" t="s">
        <v>15633</v>
      </c>
      <c r="AY2549" s="77"/>
      <c r="AZ2549" s="82" t="s">
        <v>17385</v>
      </c>
      <c r="BA2549" s="82" t="s">
        <v>17385</v>
      </c>
      <c r="BB2549" s="82" t="s">
        <v>17385</v>
      </c>
      <c r="BC2549" s="82" t="s">
        <v>15633</v>
      </c>
      <c r="BD2549" s="82" t="s">
        <v>17667</v>
      </c>
      <c r="BE2549" s="77"/>
      <c r="BF2549" s="77"/>
      <c r="BG2549" s="77"/>
      <c r="BH2549" s="77"/>
      <c r="BI2549" s="77"/>
    </row>
    <row r="2550" spans="1:61" x14ac:dyDescent="0.25">
      <c r="A2550" s="62" t="s">
        <v>646</v>
      </c>
      <c r="B2550" s="62" t="s">
        <v>646</v>
      </c>
      <c r="C2550" s="63"/>
      <c r="D2550" s="64"/>
      <c r="E2550" s="65"/>
      <c r="F2550" s="66"/>
      <c r="G2550" s="63"/>
      <c r="H2550" s="67"/>
      <c r="I2550" s="68"/>
      <c r="J2550" s="68"/>
      <c r="K2550" s="32"/>
      <c r="L2550" s="75">
        <v>2550</v>
      </c>
      <c r="M2550" s="75"/>
      <c r="N2550" s="70"/>
      <c r="O2550" s="77" t="s">
        <v>179</v>
      </c>
      <c r="P2550" s="79">
        <v>45078.496805555558</v>
      </c>
      <c r="Q2550" s="77" t="s">
        <v>3327</v>
      </c>
      <c r="R2550" s="77">
        <v>0</v>
      </c>
      <c r="S2550" s="77">
        <v>0</v>
      </c>
      <c r="T2550" s="77">
        <v>0</v>
      </c>
      <c r="U2550" s="77">
        <v>0</v>
      </c>
      <c r="V2550" s="77">
        <v>44</v>
      </c>
      <c r="W2550" s="82" t="s">
        <v>6382</v>
      </c>
      <c r="X2550" s="80" t="str">
        <f>HYPERLINK("https://tinyurl.com/2odmn7pw")</f>
        <v>https://tinyurl.com/2odmn7pw</v>
      </c>
      <c r="Y2550" s="77" t="s">
        <v>7068</v>
      </c>
      <c r="Z2550" s="77"/>
      <c r="AA2550" s="77"/>
      <c r="AB2550" s="77"/>
      <c r="AC2550" s="82" t="s">
        <v>8274</v>
      </c>
      <c r="AD2550" s="77" t="s">
        <v>8278</v>
      </c>
      <c r="AE2550" s="80" t="str">
        <f>HYPERLINK("https://twitter.com/pauta_economica/status/1664239219936567298")</f>
        <v>https://twitter.com/pauta_economica/status/1664239219936567298</v>
      </c>
      <c r="AF2550" s="79">
        <v>45078.496805555558</v>
      </c>
      <c r="AG2550" s="85">
        <v>45078</v>
      </c>
      <c r="AH2550" s="82" t="s">
        <v>10595</v>
      </c>
      <c r="AI2550" s="77" t="b">
        <v>0</v>
      </c>
      <c r="AJ2550" s="77"/>
      <c r="AK2550" s="77"/>
      <c r="AL2550" s="77"/>
      <c r="AM2550" s="77"/>
      <c r="AN2550" s="77"/>
      <c r="AO2550" s="77"/>
      <c r="AP2550" s="77"/>
      <c r="AQ2550" s="77"/>
      <c r="AR2550" s="77"/>
      <c r="AS2550" s="77"/>
      <c r="AT2550" s="77"/>
      <c r="AU2550" s="77"/>
      <c r="AV2550" s="80" t="str">
        <f>HYPERLINK("https://pbs.twimg.com/profile_images/1588668531910082561/XEi-lXiu_normal.jpg")</f>
        <v>https://pbs.twimg.com/profile_images/1588668531910082561/XEi-lXiu_normal.jpg</v>
      </c>
      <c r="AW2550" s="82" t="s">
        <v>15634</v>
      </c>
      <c r="AX2550" s="82" t="s">
        <v>15634</v>
      </c>
      <c r="AY2550" s="77"/>
      <c r="AZ2550" s="82" t="s">
        <v>17385</v>
      </c>
      <c r="BA2550" s="82" t="s">
        <v>17385</v>
      </c>
      <c r="BB2550" s="82" t="s">
        <v>17385</v>
      </c>
      <c r="BC2550" s="82" t="s">
        <v>15634</v>
      </c>
      <c r="BD2550" s="82" t="s">
        <v>17667</v>
      </c>
      <c r="BE2550" s="77"/>
      <c r="BF2550" s="77"/>
      <c r="BG2550" s="77"/>
      <c r="BH2550" s="77"/>
      <c r="BI2550" s="77"/>
    </row>
    <row r="2551" spans="1:61" x14ac:dyDescent="0.25">
      <c r="A2551" s="62" t="s">
        <v>646</v>
      </c>
      <c r="B2551" s="62" t="s">
        <v>646</v>
      </c>
      <c r="C2551" s="63"/>
      <c r="D2551" s="64"/>
      <c r="E2551" s="65"/>
      <c r="F2551" s="66"/>
      <c r="G2551" s="63"/>
      <c r="H2551" s="67"/>
      <c r="I2551" s="68"/>
      <c r="J2551" s="68"/>
      <c r="K2551" s="32"/>
      <c r="L2551" s="75">
        <v>2551</v>
      </c>
      <c r="M2551" s="75"/>
      <c r="N2551" s="70"/>
      <c r="O2551" s="77" t="s">
        <v>179</v>
      </c>
      <c r="P2551" s="79">
        <v>45078.490983796299</v>
      </c>
      <c r="Q2551" s="77" t="s">
        <v>3328</v>
      </c>
      <c r="R2551" s="77">
        <v>0</v>
      </c>
      <c r="S2551" s="77">
        <v>0</v>
      </c>
      <c r="T2551" s="77">
        <v>0</v>
      </c>
      <c r="U2551" s="77">
        <v>0</v>
      </c>
      <c r="V2551" s="77">
        <v>64</v>
      </c>
      <c r="W2551" s="82" t="s">
        <v>6382</v>
      </c>
      <c r="X2551" s="80" t="str">
        <f>HYPERLINK("https://tinyurl.com/2h74x4ms")</f>
        <v>https://tinyurl.com/2h74x4ms</v>
      </c>
      <c r="Y2551" s="77" t="s">
        <v>7068</v>
      </c>
      <c r="Z2551" s="77"/>
      <c r="AA2551" s="77"/>
      <c r="AB2551" s="77"/>
      <c r="AC2551" s="82" t="s">
        <v>8274</v>
      </c>
      <c r="AD2551" s="77" t="s">
        <v>8278</v>
      </c>
      <c r="AE2551" s="80" t="str">
        <f>HYPERLINK("https://twitter.com/pauta_economica/status/1664237107169177600")</f>
        <v>https://twitter.com/pauta_economica/status/1664237107169177600</v>
      </c>
      <c r="AF2551" s="79">
        <v>45078.490983796299</v>
      </c>
      <c r="AG2551" s="85">
        <v>45078</v>
      </c>
      <c r="AH2551" s="82" t="s">
        <v>10596</v>
      </c>
      <c r="AI2551" s="77" t="b">
        <v>0</v>
      </c>
      <c r="AJ2551" s="77"/>
      <c r="AK2551" s="77"/>
      <c r="AL2551" s="77"/>
      <c r="AM2551" s="77"/>
      <c r="AN2551" s="77"/>
      <c r="AO2551" s="77"/>
      <c r="AP2551" s="77"/>
      <c r="AQ2551" s="77"/>
      <c r="AR2551" s="77"/>
      <c r="AS2551" s="77"/>
      <c r="AT2551" s="77"/>
      <c r="AU2551" s="77"/>
      <c r="AV2551" s="80" t="str">
        <f>HYPERLINK("https://pbs.twimg.com/profile_images/1588668531910082561/XEi-lXiu_normal.jpg")</f>
        <v>https://pbs.twimg.com/profile_images/1588668531910082561/XEi-lXiu_normal.jpg</v>
      </c>
      <c r="AW2551" s="82" t="s">
        <v>15635</v>
      </c>
      <c r="AX2551" s="82" t="s">
        <v>15635</v>
      </c>
      <c r="AY2551" s="77"/>
      <c r="AZ2551" s="82" t="s">
        <v>17385</v>
      </c>
      <c r="BA2551" s="82" t="s">
        <v>17385</v>
      </c>
      <c r="BB2551" s="82" t="s">
        <v>17385</v>
      </c>
      <c r="BC2551" s="82" t="s">
        <v>15635</v>
      </c>
      <c r="BD2551" s="82" t="s">
        <v>17667</v>
      </c>
      <c r="BE2551" s="77"/>
      <c r="BF2551" s="77"/>
      <c r="BG2551" s="77"/>
      <c r="BH2551" s="77"/>
      <c r="BI2551" s="77"/>
    </row>
    <row r="2552" spans="1:61" x14ac:dyDescent="0.25">
      <c r="A2552" s="62" t="s">
        <v>646</v>
      </c>
      <c r="B2552" s="62" t="s">
        <v>646</v>
      </c>
      <c r="C2552" s="63"/>
      <c r="D2552" s="64"/>
      <c r="E2552" s="65"/>
      <c r="F2552" s="66"/>
      <c r="G2552" s="63"/>
      <c r="H2552" s="67"/>
      <c r="I2552" s="68"/>
      <c r="J2552" s="68"/>
      <c r="K2552" s="32"/>
      <c r="L2552" s="75">
        <v>2552</v>
      </c>
      <c r="M2552" s="75"/>
      <c r="N2552" s="70"/>
      <c r="O2552" s="77" t="s">
        <v>179</v>
      </c>
      <c r="P2552" s="79">
        <v>45078.489803240744</v>
      </c>
      <c r="Q2552" s="77" t="s">
        <v>3329</v>
      </c>
      <c r="R2552" s="77">
        <v>0</v>
      </c>
      <c r="S2552" s="77">
        <v>0</v>
      </c>
      <c r="T2552" s="77">
        <v>0</v>
      </c>
      <c r="U2552" s="77">
        <v>0</v>
      </c>
      <c r="V2552" s="77">
        <v>155</v>
      </c>
      <c r="W2552" s="82" t="s">
        <v>6382</v>
      </c>
      <c r="X2552" s="80" t="str">
        <f>HYPERLINK("https://tinyurl.com/2mxorgwp")</f>
        <v>https://tinyurl.com/2mxorgwp</v>
      </c>
      <c r="Y2552" s="77" t="s">
        <v>7068</v>
      </c>
      <c r="Z2552" s="77"/>
      <c r="AA2552" s="77"/>
      <c r="AB2552" s="77"/>
      <c r="AC2552" s="82" t="s">
        <v>8274</v>
      </c>
      <c r="AD2552" s="77" t="s">
        <v>8278</v>
      </c>
      <c r="AE2552" s="80" t="str">
        <f>HYPERLINK("https://twitter.com/pauta_economica/status/1664236680679768067")</f>
        <v>https://twitter.com/pauta_economica/status/1664236680679768067</v>
      </c>
      <c r="AF2552" s="79">
        <v>45078.489803240744</v>
      </c>
      <c r="AG2552" s="85">
        <v>45078</v>
      </c>
      <c r="AH2552" s="82" t="s">
        <v>10597</v>
      </c>
      <c r="AI2552" s="77" t="b">
        <v>0</v>
      </c>
      <c r="AJ2552" s="77"/>
      <c r="AK2552" s="77"/>
      <c r="AL2552" s="77"/>
      <c r="AM2552" s="77"/>
      <c r="AN2552" s="77"/>
      <c r="AO2552" s="77"/>
      <c r="AP2552" s="77"/>
      <c r="AQ2552" s="77"/>
      <c r="AR2552" s="77"/>
      <c r="AS2552" s="77"/>
      <c r="AT2552" s="77"/>
      <c r="AU2552" s="77"/>
      <c r="AV2552" s="80" t="str">
        <f>HYPERLINK("https://pbs.twimg.com/profile_images/1588668531910082561/XEi-lXiu_normal.jpg")</f>
        <v>https://pbs.twimg.com/profile_images/1588668531910082561/XEi-lXiu_normal.jpg</v>
      </c>
      <c r="AW2552" s="82" t="s">
        <v>15636</v>
      </c>
      <c r="AX2552" s="82" t="s">
        <v>15636</v>
      </c>
      <c r="AY2552" s="77"/>
      <c r="AZ2552" s="82" t="s">
        <v>17385</v>
      </c>
      <c r="BA2552" s="82" t="s">
        <v>17385</v>
      </c>
      <c r="BB2552" s="82" t="s">
        <v>17385</v>
      </c>
      <c r="BC2552" s="82" t="s">
        <v>15636</v>
      </c>
      <c r="BD2552" s="82" t="s">
        <v>17667</v>
      </c>
      <c r="BE2552" s="77"/>
      <c r="BF2552" s="77"/>
      <c r="BG2552" s="77"/>
      <c r="BH2552" s="77"/>
      <c r="BI2552" s="77"/>
    </row>
    <row r="2553" spans="1:61" x14ac:dyDescent="0.25">
      <c r="A2553" s="62" t="s">
        <v>646</v>
      </c>
      <c r="B2553" s="62" t="s">
        <v>646</v>
      </c>
      <c r="C2553" s="63"/>
      <c r="D2553" s="64"/>
      <c r="E2553" s="65"/>
      <c r="F2553" s="66"/>
      <c r="G2553" s="63"/>
      <c r="H2553" s="67"/>
      <c r="I2553" s="68"/>
      <c r="J2553" s="68"/>
      <c r="K2553" s="32"/>
      <c r="L2553" s="75">
        <v>2553</v>
      </c>
      <c r="M2553" s="75"/>
      <c r="N2553" s="70"/>
      <c r="O2553" s="77" t="s">
        <v>179</v>
      </c>
      <c r="P2553" s="79">
        <v>45078.482824074075</v>
      </c>
      <c r="Q2553" s="77" t="s">
        <v>3330</v>
      </c>
      <c r="R2553" s="77">
        <v>0</v>
      </c>
      <c r="S2553" s="77">
        <v>0</v>
      </c>
      <c r="T2553" s="77">
        <v>0</v>
      </c>
      <c r="U2553" s="77">
        <v>0</v>
      </c>
      <c r="V2553" s="77">
        <v>112</v>
      </c>
      <c r="W2553" s="82" t="s">
        <v>6382</v>
      </c>
      <c r="X2553" s="80" t="str">
        <f>HYPERLINK("https://tinyurl.com/2e4wg3ol")</f>
        <v>https://tinyurl.com/2e4wg3ol</v>
      </c>
      <c r="Y2553" s="77" t="s">
        <v>7068</v>
      </c>
      <c r="Z2553" s="77"/>
      <c r="AA2553" s="77"/>
      <c r="AB2553" s="77"/>
      <c r="AC2553" s="82" t="s">
        <v>8274</v>
      </c>
      <c r="AD2553" s="77" t="s">
        <v>8278</v>
      </c>
      <c r="AE2553" s="80" t="str">
        <f>HYPERLINK("https://twitter.com/pauta_economica/status/1664234150595903492")</f>
        <v>https://twitter.com/pauta_economica/status/1664234150595903492</v>
      </c>
      <c r="AF2553" s="79">
        <v>45078.482824074075</v>
      </c>
      <c r="AG2553" s="85">
        <v>45078</v>
      </c>
      <c r="AH2553" s="82" t="s">
        <v>10598</v>
      </c>
      <c r="AI2553" s="77" t="b">
        <v>0</v>
      </c>
      <c r="AJ2553" s="77"/>
      <c r="AK2553" s="77"/>
      <c r="AL2553" s="77"/>
      <c r="AM2553" s="77"/>
      <c r="AN2553" s="77"/>
      <c r="AO2553" s="77"/>
      <c r="AP2553" s="77"/>
      <c r="AQ2553" s="77"/>
      <c r="AR2553" s="77"/>
      <c r="AS2553" s="77"/>
      <c r="AT2553" s="77"/>
      <c r="AU2553" s="77"/>
      <c r="AV2553" s="80" t="str">
        <f>HYPERLINK("https://pbs.twimg.com/profile_images/1588668531910082561/XEi-lXiu_normal.jpg")</f>
        <v>https://pbs.twimg.com/profile_images/1588668531910082561/XEi-lXiu_normal.jpg</v>
      </c>
      <c r="AW2553" s="82" t="s">
        <v>15637</v>
      </c>
      <c r="AX2553" s="82" t="s">
        <v>15637</v>
      </c>
      <c r="AY2553" s="77"/>
      <c r="AZ2553" s="82" t="s">
        <v>17385</v>
      </c>
      <c r="BA2553" s="82" t="s">
        <v>17385</v>
      </c>
      <c r="BB2553" s="82" t="s">
        <v>17385</v>
      </c>
      <c r="BC2553" s="82" t="s">
        <v>15637</v>
      </c>
      <c r="BD2553" s="82" t="s">
        <v>17667</v>
      </c>
      <c r="BE2553" s="77"/>
      <c r="BF2553" s="77"/>
      <c r="BG2553" s="77"/>
      <c r="BH2553" s="77"/>
      <c r="BI2553" s="77"/>
    </row>
    <row r="2554" spans="1:61" x14ac:dyDescent="0.25">
      <c r="A2554" s="62" t="s">
        <v>646</v>
      </c>
      <c r="B2554" s="62" t="s">
        <v>646</v>
      </c>
      <c r="C2554" s="63"/>
      <c r="D2554" s="64"/>
      <c r="E2554" s="65"/>
      <c r="F2554" s="66"/>
      <c r="G2554" s="63"/>
      <c r="H2554" s="67"/>
      <c r="I2554" s="68"/>
      <c r="J2554" s="68"/>
      <c r="K2554" s="32"/>
      <c r="L2554" s="75">
        <v>2554</v>
      </c>
      <c r="M2554" s="75"/>
      <c r="N2554" s="70"/>
      <c r="O2554" s="77" t="s">
        <v>179</v>
      </c>
      <c r="P2554" s="79">
        <v>45062.787222222221</v>
      </c>
      <c r="Q2554" s="77" t="s">
        <v>3331</v>
      </c>
      <c r="R2554" s="77">
        <v>0</v>
      </c>
      <c r="S2554" s="77">
        <v>0</v>
      </c>
      <c r="T2554" s="77">
        <v>0</v>
      </c>
      <c r="U2554" s="77">
        <v>0</v>
      </c>
      <c r="V2554" s="77">
        <v>89</v>
      </c>
      <c r="W2554" s="82" t="s">
        <v>6382</v>
      </c>
      <c r="X2554" s="80" t="str">
        <f>HYPERLINK("https://tinyurl.com/2er4gtuq")</f>
        <v>https://tinyurl.com/2er4gtuq</v>
      </c>
      <c r="Y2554" s="77" t="s">
        <v>7068</v>
      </c>
      <c r="Z2554" s="77"/>
      <c r="AA2554" s="77"/>
      <c r="AB2554" s="77"/>
      <c r="AC2554" s="82" t="s">
        <v>8275</v>
      </c>
      <c r="AD2554" s="77" t="s">
        <v>8278</v>
      </c>
      <c r="AE2554" s="80" t="str">
        <f>HYPERLINK("https://twitter.com/pauta_economica/status/1658546254572290048")</f>
        <v>https://twitter.com/pauta_economica/status/1658546254572290048</v>
      </c>
      <c r="AF2554" s="79">
        <v>45062.787222222221</v>
      </c>
      <c r="AG2554" s="85">
        <v>45062</v>
      </c>
      <c r="AH2554" s="82" t="s">
        <v>10599</v>
      </c>
      <c r="AI2554" s="77" t="b">
        <v>0</v>
      </c>
      <c r="AJ2554" s="77"/>
      <c r="AK2554" s="77"/>
      <c r="AL2554" s="77"/>
      <c r="AM2554" s="77"/>
      <c r="AN2554" s="77"/>
      <c r="AO2554" s="77"/>
      <c r="AP2554" s="77"/>
      <c r="AQ2554" s="77"/>
      <c r="AR2554" s="77"/>
      <c r="AS2554" s="77"/>
      <c r="AT2554" s="77"/>
      <c r="AU2554" s="77"/>
      <c r="AV2554" s="80" t="str">
        <f>HYPERLINK("https://pbs.twimg.com/profile_images/1588668531910082561/XEi-lXiu_normal.jpg")</f>
        <v>https://pbs.twimg.com/profile_images/1588668531910082561/XEi-lXiu_normal.jpg</v>
      </c>
      <c r="AW2554" s="82" t="s">
        <v>15638</v>
      </c>
      <c r="AX2554" s="82" t="s">
        <v>15638</v>
      </c>
      <c r="AY2554" s="77"/>
      <c r="AZ2554" s="82" t="s">
        <v>17385</v>
      </c>
      <c r="BA2554" s="82" t="s">
        <v>17385</v>
      </c>
      <c r="BB2554" s="82" t="s">
        <v>17385</v>
      </c>
      <c r="BC2554" s="82" t="s">
        <v>15638</v>
      </c>
      <c r="BD2554" s="82" t="s">
        <v>17667</v>
      </c>
      <c r="BE2554" s="77"/>
      <c r="BF2554" s="77"/>
      <c r="BG2554" s="77"/>
      <c r="BH2554" s="77"/>
      <c r="BI2554" s="77"/>
    </row>
    <row r="2555" spans="1:61" x14ac:dyDescent="0.25">
      <c r="A2555" s="62" t="s">
        <v>646</v>
      </c>
      <c r="B2555" s="62" t="s">
        <v>646</v>
      </c>
      <c r="C2555" s="63"/>
      <c r="D2555" s="64"/>
      <c r="E2555" s="65"/>
      <c r="F2555" s="66"/>
      <c r="G2555" s="63"/>
      <c r="H2555" s="67"/>
      <c r="I2555" s="68"/>
      <c r="J2555" s="68"/>
      <c r="K2555" s="32"/>
      <c r="L2555" s="75">
        <v>2555</v>
      </c>
      <c r="M2555" s="75"/>
      <c r="N2555" s="70"/>
      <c r="O2555" s="77" t="s">
        <v>179</v>
      </c>
      <c r="P2555" s="79">
        <v>45062.731516203705</v>
      </c>
      <c r="Q2555" s="77" t="s">
        <v>3332</v>
      </c>
      <c r="R2555" s="77">
        <v>0</v>
      </c>
      <c r="S2555" s="77">
        <v>0</v>
      </c>
      <c r="T2555" s="77">
        <v>0</v>
      </c>
      <c r="U2555" s="77">
        <v>0</v>
      </c>
      <c r="V2555" s="77">
        <v>29</v>
      </c>
      <c r="W2555" s="82" t="s">
        <v>6382</v>
      </c>
      <c r="X2555" s="80" t="str">
        <f>HYPERLINK("https://tinyurl.com/2kluyfqy")</f>
        <v>https://tinyurl.com/2kluyfqy</v>
      </c>
      <c r="Y2555" s="77" t="s">
        <v>7068</v>
      </c>
      <c r="Z2555" s="77"/>
      <c r="AA2555" s="77"/>
      <c r="AB2555" s="77"/>
      <c r="AC2555" s="82" t="s">
        <v>8275</v>
      </c>
      <c r="AD2555" s="77" t="s">
        <v>8278</v>
      </c>
      <c r="AE2555" s="80" t="str">
        <f>HYPERLINK("https://twitter.com/pauta_economica/status/1658526069714976799")</f>
        <v>https://twitter.com/pauta_economica/status/1658526069714976799</v>
      </c>
      <c r="AF2555" s="79">
        <v>45062.731516203705</v>
      </c>
      <c r="AG2555" s="85">
        <v>45062</v>
      </c>
      <c r="AH2555" s="82" t="s">
        <v>10600</v>
      </c>
      <c r="AI2555" s="77" t="b">
        <v>0</v>
      </c>
      <c r="AJ2555" s="77"/>
      <c r="AK2555" s="77"/>
      <c r="AL2555" s="77"/>
      <c r="AM2555" s="77"/>
      <c r="AN2555" s="77"/>
      <c r="AO2555" s="77"/>
      <c r="AP2555" s="77"/>
      <c r="AQ2555" s="77"/>
      <c r="AR2555" s="77"/>
      <c r="AS2555" s="77"/>
      <c r="AT2555" s="77"/>
      <c r="AU2555" s="77"/>
      <c r="AV2555" s="80" t="str">
        <f>HYPERLINK("https://pbs.twimg.com/profile_images/1588668531910082561/XEi-lXiu_normal.jpg")</f>
        <v>https://pbs.twimg.com/profile_images/1588668531910082561/XEi-lXiu_normal.jpg</v>
      </c>
      <c r="AW2555" s="82" t="s">
        <v>15639</v>
      </c>
      <c r="AX2555" s="82" t="s">
        <v>15639</v>
      </c>
      <c r="AY2555" s="77"/>
      <c r="AZ2555" s="82" t="s">
        <v>17385</v>
      </c>
      <c r="BA2555" s="82" t="s">
        <v>17385</v>
      </c>
      <c r="BB2555" s="82" t="s">
        <v>17385</v>
      </c>
      <c r="BC2555" s="82" t="s">
        <v>15639</v>
      </c>
      <c r="BD2555" s="82" t="s">
        <v>17667</v>
      </c>
      <c r="BE2555" s="77"/>
      <c r="BF2555" s="77"/>
      <c r="BG2555" s="77"/>
      <c r="BH2555" s="77"/>
      <c r="BI2555" s="77"/>
    </row>
    <row r="2556" spans="1:61" x14ac:dyDescent="0.25">
      <c r="A2556" s="62" t="s">
        <v>646</v>
      </c>
      <c r="B2556" s="62" t="s">
        <v>646</v>
      </c>
      <c r="C2556" s="63"/>
      <c r="D2556" s="64"/>
      <c r="E2556" s="65"/>
      <c r="F2556" s="66"/>
      <c r="G2556" s="63"/>
      <c r="H2556" s="67"/>
      <c r="I2556" s="68"/>
      <c r="J2556" s="68"/>
      <c r="K2556" s="32"/>
      <c r="L2556" s="75">
        <v>2556</v>
      </c>
      <c r="M2556" s="75"/>
      <c r="N2556" s="70"/>
      <c r="O2556" s="77" t="s">
        <v>179</v>
      </c>
      <c r="P2556" s="79">
        <v>45062.703715277778</v>
      </c>
      <c r="Q2556" s="77" t="s">
        <v>3333</v>
      </c>
      <c r="R2556" s="77">
        <v>0</v>
      </c>
      <c r="S2556" s="77">
        <v>0</v>
      </c>
      <c r="T2556" s="77">
        <v>0</v>
      </c>
      <c r="U2556" s="77">
        <v>0</v>
      </c>
      <c r="V2556" s="77">
        <v>77</v>
      </c>
      <c r="W2556" s="82" t="s">
        <v>6382</v>
      </c>
      <c r="X2556" s="80" t="str">
        <f>HYPERLINK("https://tinyurl.com/2ealzdas")</f>
        <v>https://tinyurl.com/2ealzdas</v>
      </c>
      <c r="Y2556" s="77" t="s">
        <v>7068</v>
      </c>
      <c r="Z2556" s="77"/>
      <c r="AA2556" s="77"/>
      <c r="AB2556" s="77"/>
      <c r="AC2556" s="82" t="s">
        <v>8275</v>
      </c>
      <c r="AD2556" s="77" t="s">
        <v>8278</v>
      </c>
      <c r="AE2556" s="80" t="str">
        <f>HYPERLINK("https://twitter.com/pauta_economica/status/1658515993692340241")</f>
        <v>https://twitter.com/pauta_economica/status/1658515993692340241</v>
      </c>
      <c r="AF2556" s="79">
        <v>45062.703715277778</v>
      </c>
      <c r="AG2556" s="85">
        <v>45062</v>
      </c>
      <c r="AH2556" s="82" t="s">
        <v>10601</v>
      </c>
      <c r="AI2556" s="77" t="b">
        <v>0</v>
      </c>
      <c r="AJ2556" s="77"/>
      <c r="AK2556" s="77"/>
      <c r="AL2556" s="77"/>
      <c r="AM2556" s="77"/>
      <c r="AN2556" s="77"/>
      <c r="AO2556" s="77"/>
      <c r="AP2556" s="77"/>
      <c r="AQ2556" s="77"/>
      <c r="AR2556" s="77"/>
      <c r="AS2556" s="77"/>
      <c r="AT2556" s="77"/>
      <c r="AU2556" s="77"/>
      <c r="AV2556" s="80" t="str">
        <f>HYPERLINK("https://pbs.twimg.com/profile_images/1588668531910082561/XEi-lXiu_normal.jpg")</f>
        <v>https://pbs.twimg.com/profile_images/1588668531910082561/XEi-lXiu_normal.jpg</v>
      </c>
      <c r="AW2556" s="82" t="s">
        <v>15640</v>
      </c>
      <c r="AX2556" s="82" t="s">
        <v>15640</v>
      </c>
      <c r="AY2556" s="77"/>
      <c r="AZ2556" s="82" t="s">
        <v>17385</v>
      </c>
      <c r="BA2556" s="82" t="s">
        <v>17385</v>
      </c>
      <c r="BB2556" s="82" t="s">
        <v>17385</v>
      </c>
      <c r="BC2556" s="82" t="s">
        <v>15640</v>
      </c>
      <c r="BD2556" s="82" t="s">
        <v>17667</v>
      </c>
      <c r="BE2556" s="77"/>
      <c r="BF2556" s="77"/>
      <c r="BG2556" s="77"/>
      <c r="BH2556" s="77"/>
      <c r="BI2556" s="77"/>
    </row>
    <row r="2557" spans="1:61" x14ac:dyDescent="0.25">
      <c r="A2557" s="62" t="s">
        <v>646</v>
      </c>
      <c r="B2557" s="62" t="s">
        <v>646</v>
      </c>
      <c r="C2557" s="63"/>
      <c r="D2557" s="64"/>
      <c r="E2557" s="65"/>
      <c r="F2557" s="66"/>
      <c r="G2557" s="63"/>
      <c r="H2557" s="67"/>
      <c r="I2557" s="68"/>
      <c r="J2557" s="68"/>
      <c r="K2557" s="32"/>
      <c r="L2557" s="75">
        <v>2557</v>
      </c>
      <c r="M2557" s="75"/>
      <c r="N2557" s="70"/>
      <c r="O2557" s="77" t="s">
        <v>179</v>
      </c>
      <c r="P2557" s="79">
        <v>45062.675775462965</v>
      </c>
      <c r="Q2557" s="77" t="s">
        <v>3334</v>
      </c>
      <c r="R2557" s="77">
        <v>0</v>
      </c>
      <c r="S2557" s="77">
        <v>0</v>
      </c>
      <c r="T2557" s="77">
        <v>0</v>
      </c>
      <c r="U2557" s="77">
        <v>0</v>
      </c>
      <c r="V2557" s="77">
        <v>31</v>
      </c>
      <c r="W2557" s="82" t="s">
        <v>6382</v>
      </c>
      <c r="X2557" s="80" t="str">
        <f>HYPERLINK("https://tinyurl.com/2msnqnbd")</f>
        <v>https://tinyurl.com/2msnqnbd</v>
      </c>
      <c r="Y2557" s="77" t="s">
        <v>7068</v>
      </c>
      <c r="Z2557" s="77"/>
      <c r="AA2557" s="77"/>
      <c r="AB2557" s="77"/>
      <c r="AC2557" s="82" t="s">
        <v>8275</v>
      </c>
      <c r="AD2557" s="77" t="s">
        <v>8278</v>
      </c>
      <c r="AE2557" s="80" t="str">
        <f>HYPERLINK("https://twitter.com/pauta_economica/status/1658505870462910466")</f>
        <v>https://twitter.com/pauta_economica/status/1658505870462910466</v>
      </c>
      <c r="AF2557" s="79">
        <v>45062.675775462965</v>
      </c>
      <c r="AG2557" s="85">
        <v>45062</v>
      </c>
      <c r="AH2557" s="82" t="s">
        <v>10602</v>
      </c>
      <c r="AI2557" s="77" t="b">
        <v>0</v>
      </c>
      <c r="AJ2557" s="77"/>
      <c r="AK2557" s="77"/>
      <c r="AL2557" s="77"/>
      <c r="AM2557" s="77"/>
      <c r="AN2557" s="77"/>
      <c r="AO2557" s="77"/>
      <c r="AP2557" s="77"/>
      <c r="AQ2557" s="77"/>
      <c r="AR2557" s="77"/>
      <c r="AS2557" s="77"/>
      <c r="AT2557" s="77"/>
      <c r="AU2557" s="77"/>
      <c r="AV2557" s="80" t="str">
        <f>HYPERLINK("https://pbs.twimg.com/profile_images/1588668531910082561/XEi-lXiu_normal.jpg")</f>
        <v>https://pbs.twimg.com/profile_images/1588668531910082561/XEi-lXiu_normal.jpg</v>
      </c>
      <c r="AW2557" s="82" t="s">
        <v>15641</v>
      </c>
      <c r="AX2557" s="82" t="s">
        <v>15641</v>
      </c>
      <c r="AY2557" s="77"/>
      <c r="AZ2557" s="82" t="s">
        <v>17385</v>
      </c>
      <c r="BA2557" s="82" t="s">
        <v>17385</v>
      </c>
      <c r="BB2557" s="82" t="s">
        <v>17385</v>
      </c>
      <c r="BC2557" s="82" t="s">
        <v>15641</v>
      </c>
      <c r="BD2557" s="82" t="s">
        <v>17667</v>
      </c>
      <c r="BE2557" s="77"/>
      <c r="BF2557" s="77"/>
      <c r="BG2557" s="77"/>
      <c r="BH2557" s="77"/>
      <c r="BI2557" s="77"/>
    </row>
    <row r="2558" spans="1:61" x14ac:dyDescent="0.25">
      <c r="A2558" s="62" t="s">
        <v>646</v>
      </c>
      <c r="B2558" s="62" t="s">
        <v>646</v>
      </c>
      <c r="C2558" s="63"/>
      <c r="D2558" s="64"/>
      <c r="E2558" s="65"/>
      <c r="F2558" s="66"/>
      <c r="G2558" s="63"/>
      <c r="H2558" s="67"/>
      <c r="I2558" s="68"/>
      <c r="J2558" s="68"/>
      <c r="K2558" s="32"/>
      <c r="L2558" s="75">
        <v>2558</v>
      </c>
      <c r="M2558" s="75"/>
      <c r="N2558" s="70"/>
      <c r="O2558" s="77" t="s">
        <v>179</v>
      </c>
      <c r="P2558" s="79">
        <v>45062.647951388892</v>
      </c>
      <c r="Q2558" s="77" t="s">
        <v>3335</v>
      </c>
      <c r="R2558" s="77">
        <v>0</v>
      </c>
      <c r="S2558" s="77">
        <v>0</v>
      </c>
      <c r="T2558" s="77">
        <v>0</v>
      </c>
      <c r="U2558" s="77">
        <v>0</v>
      </c>
      <c r="V2558" s="77">
        <v>18</v>
      </c>
      <c r="W2558" s="82" t="s">
        <v>6382</v>
      </c>
      <c r="X2558" s="80" t="str">
        <f>HYPERLINK("https://tinyurl.com/2zx84odf")</f>
        <v>https://tinyurl.com/2zx84odf</v>
      </c>
      <c r="Y2558" s="77" t="s">
        <v>7068</v>
      </c>
      <c r="Z2558" s="77"/>
      <c r="AA2558" s="77"/>
      <c r="AB2558" s="77"/>
      <c r="AC2558" s="82" t="s">
        <v>8275</v>
      </c>
      <c r="AD2558" s="77" t="s">
        <v>8278</v>
      </c>
      <c r="AE2558" s="80" t="str">
        <f>HYPERLINK("https://twitter.com/pauta_economica/status/1658495786408091649")</f>
        <v>https://twitter.com/pauta_economica/status/1658495786408091649</v>
      </c>
      <c r="AF2558" s="79">
        <v>45062.647951388892</v>
      </c>
      <c r="AG2558" s="85">
        <v>45062</v>
      </c>
      <c r="AH2558" s="82" t="s">
        <v>10603</v>
      </c>
      <c r="AI2558" s="77" t="b">
        <v>0</v>
      </c>
      <c r="AJ2558" s="77"/>
      <c r="AK2558" s="77"/>
      <c r="AL2558" s="77"/>
      <c r="AM2558" s="77"/>
      <c r="AN2558" s="77"/>
      <c r="AO2558" s="77"/>
      <c r="AP2558" s="77"/>
      <c r="AQ2558" s="77"/>
      <c r="AR2558" s="77"/>
      <c r="AS2558" s="77"/>
      <c r="AT2558" s="77"/>
      <c r="AU2558" s="77"/>
      <c r="AV2558" s="80" t="str">
        <f>HYPERLINK("https://pbs.twimg.com/profile_images/1588668531910082561/XEi-lXiu_normal.jpg")</f>
        <v>https://pbs.twimg.com/profile_images/1588668531910082561/XEi-lXiu_normal.jpg</v>
      </c>
      <c r="AW2558" s="82" t="s">
        <v>15642</v>
      </c>
      <c r="AX2558" s="82" t="s">
        <v>15642</v>
      </c>
      <c r="AY2558" s="77"/>
      <c r="AZ2558" s="82" t="s">
        <v>17385</v>
      </c>
      <c r="BA2558" s="82" t="s">
        <v>17385</v>
      </c>
      <c r="BB2558" s="82" t="s">
        <v>17385</v>
      </c>
      <c r="BC2558" s="82" t="s">
        <v>15642</v>
      </c>
      <c r="BD2558" s="82" t="s">
        <v>17667</v>
      </c>
      <c r="BE2558" s="77"/>
      <c r="BF2558" s="77"/>
      <c r="BG2558" s="77"/>
      <c r="BH2558" s="77"/>
      <c r="BI2558" s="77"/>
    </row>
    <row r="2559" spans="1:61" x14ac:dyDescent="0.25">
      <c r="A2559" s="62" t="s">
        <v>646</v>
      </c>
      <c r="B2559" s="62" t="s">
        <v>646</v>
      </c>
      <c r="C2559" s="63"/>
      <c r="D2559" s="64"/>
      <c r="E2559" s="65"/>
      <c r="F2559" s="66"/>
      <c r="G2559" s="63"/>
      <c r="H2559" s="67"/>
      <c r="I2559" s="68"/>
      <c r="J2559" s="68"/>
      <c r="K2559" s="32"/>
      <c r="L2559" s="75">
        <v>2559</v>
      </c>
      <c r="M2559" s="75"/>
      <c r="N2559" s="70"/>
      <c r="O2559" s="77" t="s">
        <v>179</v>
      </c>
      <c r="P2559" s="79">
        <v>45062.536064814813</v>
      </c>
      <c r="Q2559" s="77" t="s">
        <v>3336</v>
      </c>
      <c r="R2559" s="77">
        <v>0</v>
      </c>
      <c r="S2559" s="77">
        <v>0</v>
      </c>
      <c r="T2559" s="77">
        <v>0</v>
      </c>
      <c r="U2559" s="77">
        <v>0</v>
      </c>
      <c r="V2559" s="77">
        <v>285</v>
      </c>
      <c r="W2559" s="82" t="s">
        <v>6382</v>
      </c>
      <c r="X2559" s="80" t="str">
        <f>HYPERLINK("https://tinyurl.com/2j3av63a")</f>
        <v>https://tinyurl.com/2j3av63a</v>
      </c>
      <c r="Y2559" s="77" t="s">
        <v>7068</v>
      </c>
      <c r="Z2559" s="77"/>
      <c r="AA2559" s="77"/>
      <c r="AB2559" s="77"/>
      <c r="AC2559" s="82" t="s">
        <v>8275</v>
      </c>
      <c r="AD2559" s="77" t="s">
        <v>8278</v>
      </c>
      <c r="AE2559" s="80" t="str">
        <f>HYPERLINK("https://twitter.com/pauta_economica/status/1658455240209838080")</f>
        <v>https://twitter.com/pauta_economica/status/1658455240209838080</v>
      </c>
      <c r="AF2559" s="79">
        <v>45062.536064814813</v>
      </c>
      <c r="AG2559" s="85">
        <v>45062</v>
      </c>
      <c r="AH2559" s="82" t="s">
        <v>10604</v>
      </c>
      <c r="AI2559" s="77" t="b">
        <v>0</v>
      </c>
      <c r="AJ2559" s="77"/>
      <c r="AK2559" s="77"/>
      <c r="AL2559" s="77"/>
      <c r="AM2559" s="77"/>
      <c r="AN2559" s="77"/>
      <c r="AO2559" s="77"/>
      <c r="AP2559" s="77"/>
      <c r="AQ2559" s="77"/>
      <c r="AR2559" s="77"/>
      <c r="AS2559" s="77"/>
      <c r="AT2559" s="77"/>
      <c r="AU2559" s="77"/>
      <c r="AV2559" s="80" t="str">
        <f>HYPERLINK("https://pbs.twimg.com/profile_images/1588668531910082561/XEi-lXiu_normal.jpg")</f>
        <v>https://pbs.twimg.com/profile_images/1588668531910082561/XEi-lXiu_normal.jpg</v>
      </c>
      <c r="AW2559" s="82" t="s">
        <v>15643</v>
      </c>
      <c r="AX2559" s="82" t="s">
        <v>15643</v>
      </c>
      <c r="AY2559" s="77"/>
      <c r="AZ2559" s="82" t="s">
        <v>17385</v>
      </c>
      <c r="BA2559" s="82" t="s">
        <v>17385</v>
      </c>
      <c r="BB2559" s="82" t="s">
        <v>17385</v>
      </c>
      <c r="BC2559" s="82" t="s">
        <v>15643</v>
      </c>
      <c r="BD2559" s="82" t="s">
        <v>17667</v>
      </c>
      <c r="BE2559" s="77"/>
      <c r="BF2559" s="77"/>
      <c r="BG2559" s="77"/>
      <c r="BH2559" s="77"/>
      <c r="BI2559" s="77"/>
    </row>
    <row r="2560" spans="1:61" x14ac:dyDescent="0.25">
      <c r="A2560" s="62" t="s">
        <v>646</v>
      </c>
      <c r="B2560" s="62" t="s">
        <v>646</v>
      </c>
      <c r="C2560" s="63"/>
      <c r="D2560" s="64"/>
      <c r="E2560" s="65"/>
      <c r="F2560" s="66"/>
      <c r="G2560" s="63"/>
      <c r="H2560" s="67"/>
      <c r="I2560" s="68"/>
      <c r="J2560" s="68"/>
      <c r="K2560" s="32"/>
      <c r="L2560" s="75">
        <v>2560</v>
      </c>
      <c r="M2560" s="75"/>
      <c r="N2560" s="70"/>
      <c r="O2560" s="77" t="s">
        <v>179</v>
      </c>
      <c r="P2560" s="79">
        <v>45062.526817129627</v>
      </c>
      <c r="Q2560" s="77" t="s">
        <v>3337</v>
      </c>
      <c r="R2560" s="77">
        <v>0</v>
      </c>
      <c r="S2560" s="77">
        <v>0</v>
      </c>
      <c r="T2560" s="77">
        <v>0</v>
      </c>
      <c r="U2560" s="77">
        <v>0</v>
      </c>
      <c r="V2560" s="77">
        <v>20</v>
      </c>
      <c r="W2560" s="82" t="s">
        <v>6382</v>
      </c>
      <c r="X2560" s="80" t="str">
        <f>HYPERLINK("https://tinyurl.com/2kjw279p")</f>
        <v>https://tinyurl.com/2kjw279p</v>
      </c>
      <c r="Y2560" s="77" t="s">
        <v>7068</v>
      </c>
      <c r="Z2560" s="77"/>
      <c r="AA2560" s="77"/>
      <c r="AB2560" s="77"/>
      <c r="AC2560" s="82" t="s">
        <v>8275</v>
      </c>
      <c r="AD2560" s="77" t="s">
        <v>8278</v>
      </c>
      <c r="AE2560" s="80" t="str">
        <f>HYPERLINK("https://twitter.com/pauta_economica/status/1658451887736094721")</f>
        <v>https://twitter.com/pauta_economica/status/1658451887736094721</v>
      </c>
      <c r="AF2560" s="79">
        <v>45062.526817129627</v>
      </c>
      <c r="AG2560" s="85">
        <v>45062</v>
      </c>
      <c r="AH2560" s="82" t="s">
        <v>10605</v>
      </c>
      <c r="AI2560" s="77" t="b">
        <v>0</v>
      </c>
      <c r="AJ2560" s="77"/>
      <c r="AK2560" s="77"/>
      <c r="AL2560" s="77"/>
      <c r="AM2560" s="77"/>
      <c r="AN2560" s="77"/>
      <c r="AO2560" s="77"/>
      <c r="AP2560" s="77"/>
      <c r="AQ2560" s="77"/>
      <c r="AR2560" s="77"/>
      <c r="AS2560" s="77"/>
      <c r="AT2560" s="77"/>
      <c r="AU2560" s="77"/>
      <c r="AV2560" s="80" t="str">
        <f>HYPERLINK("https://pbs.twimg.com/profile_images/1588668531910082561/XEi-lXiu_normal.jpg")</f>
        <v>https://pbs.twimg.com/profile_images/1588668531910082561/XEi-lXiu_normal.jpg</v>
      </c>
      <c r="AW2560" s="82" t="s">
        <v>15644</v>
      </c>
      <c r="AX2560" s="82" t="s">
        <v>15644</v>
      </c>
      <c r="AY2560" s="77"/>
      <c r="AZ2560" s="82" t="s">
        <v>17385</v>
      </c>
      <c r="BA2560" s="82" t="s">
        <v>17385</v>
      </c>
      <c r="BB2560" s="82" t="s">
        <v>17385</v>
      </c>
      <c r="BC2560" s="82" t="s">
        <v>15644</v>
      </c>
      <c r="BD2560" s="82" t="s">
        <v>17667</v>
      </c>
      <c r="BE2560" s="77"/>
      <c r="BF2560" s="77"/>
      <c r="BG2560" s="77"/>
      <c r="BH2560" s="77"/>
      <c r="BI2560" s="77"/>
    </row>
    <row r="2561" spans="1:61" x14ac:dyDescent="0.25">
      <c r="A2561" s="62" t="s">
        <v>646</v>
      </c>
      <c r="B2561" s="62" t="s">
        <v>646</v>
      </c>
      <c r="C2561" s="63"/>
      <c r="D2561" s="64"/>
      <c r="E2561" s="65"/>
      <c r="F2561" s="66"/>
      <c r="G2561" s="63"/>
      <c r="H2561" s="67"/>
      <c r="I2561" s="68"/>
      <c r="J2561" s="68"/>
      <c r="K2561" s="32"/>
      <c r="L2561" s="75">
        <v>2561</v>
      </c>
      <c r="M2561" s="75"/>
      <c r="N2561" s="70"/>
      <c r="O2561" s="77" t="s">
        <v>179</v>
      </c>
      <c r="P2561" s="79">
        <v>45062.519872685189</v>
      </c>
      <c r="Q2561" s="77" t="s">
        <v>3338</v>
      </c>
      <c r="R2561" s="77">
        <v>0</v>
      </c>
      <c r="S2561" s="77">
        <v>0</v>
      </c>
      <c r="T2561" s="77">
        <v>0</v>
      </c>
      <c r="U2561" s="77">
        <v>0</v>
      </c>
      <c r="V2561" s="77">
        <v>24</v>
      </c>
      <c r="W2561" s="82" t="s">
        <v>6382</v>
      </c>
      <c r="X2561" s="80" t="str">
        <f>HYPERLINK("https://tinyurl.com/2lmasfe4")</f>
        <v>https://tinyurl.com/2lmasfe4</v>
      </c>
      <c r="Y2561" s="77" t="s">
        <v>7068</v>
      </c>
      <c r="Z2561" s="77"/>
      <c r="AA2561" s="77"/>
      <c r="AB2561" s="77"/>
      <c r="AC2561" s="82" t="s">
        <v>8275</v>
      </c>
      <c r="AD2561" s="77" t="s">
        <v>8278</v>
      </c>
      <c r="AE2561" s="80" t="str">
        <f>HYPERLINK("https://twitter.com/pauta_economica/status/1658449371296419840")</f>
        <v>https://twitter.com/pauta_economica/status/1658449371296419840</v>
      </c>
      <c r="AF2561" s="79">
        <v>45062.519872685189</v>
      </c>
      <c r="AG2561" s="85">
        <v>45062</v>
      </c>
      <c r="AH2561" s="82" t="s">
        <v>10606</v>
      </c>
      <c r="AI2561" s="77" t="b">
        <v>0</v>
      </c>
      <c r="AJ2561" s="77"/>
      <c r="AK2561" s="77"/>
      <c r="AL2561" s="77"/>
      <c r="AM2561" s="77"/>
      <c r="AN2561" s="77"/>
      <c r="AO2561" s="77"/>
      <c r="AP2561" s="77"/>
      <c r="AQ2561" s="77"/>
      <c r="AR2561" s="77"/>
      <c r="AS2561" s="77"/>
      <c r="AT2561" s="77"/>
      <c r="AU2561" s="77"/>
      <c r="AV2561" s="80" t="str">
        <f>HYPERLINK("https://pbs.twimg.com/profile_images/1588668531910082561/XEi-lXiu_normal.jpg")</f>
        <v>https://pbs.twimg.com/profile_images/1588668531910082561/XEi-lXiu_normal.jpg</v>
      </c>
      <c r="AW2561" s="82" t="s">
        <v>15645</v>
      </c>
      <c r="AX2561" s="82" t="s">
        <v>15645</v>
      </c>
      <c r="AY2561" s="77"/>
      <c r="AZ2561" s="82" t="s">
        <v>17385</v>
      </c>
      <c r="BA2561" s="82" t="s">
        <v>17385</v>
      </c>
      <c r="BB2561" s="82" t="s">
        <v>17385</v>
      </c>
      <c r="BC2561" s="82" t="s">
        <v>15645</v>
      </c>
      <c r="BD2561" s="82" t="s">
        <v>17667</v>
      </c>
      <c r="BE2561" s="77"/>
      <c r="BF2561" s="77"/>
      <c r="BG2561" s="77"/>
      <c r="BH2561" s="77"/>
      <c r="BI2561" s="77"/>
    </row>
    <row r="2562" spans="1:61" x14ac:dyDescent="0.25">
      <c r="A2562" s="62" t="s">
        <v>646</v>
      </c>
      <c r="B2562" s="62" t="s">
        <v>646</v>
      </c>
      <c r="C2562" s="63"/>
      <c r="D2562" s="64"/>
      <c r="E2562" s="65"/>
      <c r="F2562" s="66"/>
      <c r="G2562" s="63"/>
      <c r="H2562" s="67"/>
      <c r="I2562" s="68"/>
      <c r="J2562" s="68"/>
      <c r="K2562" s="32"/>
      <c r="L2562" s="75">
        <v>2562</v>
      </c>
      <c r="M2562" s="75"/>
      <c r="N2562" s="70"/>
      <c r="O2562" s="77" t="s">
        <v>179</v>
      </c>
      <c r="P2562" s="79">
        <v>45062.505486111113</v>
      </c>
      <c r="Q2562" s="77" t="s">
        <v>3339</v>
      </c>
      <c r="R2562" s="77">
        <v>0</v>
      </c>
      <c r="S2562" s="77">
        <v>0</v>
      </c>
      <c r="T2562" s="77">
        <v>0</v>
      </c>
      <c r="U2562" s="77">
        <v>0</v>
      </c>
      <c r="V2562" s="77">
        <v>28</v>
      </c>
      <c r="W2562" s="82" t="s">
        <v>6382</v>
      </c>
      <c r="X2562" s="80" t="str">
        <f>HYPERLINK("https://tinyurl.com/2gh9th2o")</f>
        <v>https://tinyurl.com/2gh9th2o</v>
      </c>
      <c r="Y2562" s="77" t="s">
        <v>7068</v>
      </c>
      <c r="Z2562" s="77"/>
      <c r="AA2562" s="77"/>
      <c r="AB2562" s="77"/>
      <c r="AC2562" s="82" t="s">
        <v>8275</v>
      </c>
      <c r="AD2562" s="77" t="s">
        <v>8278</v>
      </c>
      <c r="AE2562" s="80" t="str">
        <f>HYPERLINK("https://twitter.com/pauta_economica/status/1658444159328428032")</f>
        <v>https://twitter.com/pauta_economica/status/1658444159328428032</v>
      </c>
      <c r="AF2562" s="79">
        <v>45062.505486111113</v>
      </c>
      <c r="AG2562" s="85">
        <v>45062</v>
      </c>
      <c r="AH2562" s="82" t="s">
        <v>10607</v>
      </c>
      <c r="AI2562" s="77" t="b">
        <v>0</v>
      </c>
      <c r="AJ2562" s="77"/>
      <c r="AK2562" s="77"/>
      <c r="AL2562" s="77"/>
      <c r="AM2562" s="77"/>
      <c r="AN2562" s="77"/>
      <c r="AO2562" s="77"/>
      <c r="AP2562" s="77"/>
      <c r="AQ2562" s="77"/>
      <c r="AR2562" s="77"/>
      <c r="AS2562" s="77"/>
      <c r="AT2562" s="77"/>
      <c r="AU2562" s="77"/>
      <c r="AV2562" s="80" t="str">
        <f>HYPERLINK("https://pbs.twimg.com/profile_images/1588668531910082561/XEi-lXiu_normal.jpg")</f>
        <v>https://pbs.twimg.com/profile_images/1588668531910082561/XEi-lXiu_normal.jpg</v>
      </c>
      <c r="AW2562" s="82" t="s">
        <v>15646</v>
      </c>
      <c r="AX2562" s="82" t="s">
        <v>15646</v>
      </c>
      <c r="AY2562" s="77"/>
      <c r="AZ2562" s="82" t="s">
        <v>17385</v>
      </c>
      <c r="BA2562" s="82" t="s">
        <v>17385</v>
      </c>
      <c r="BB2562" s="82" t="s">
        <v>17385</v>
      </c>
      <c r="BC2562" s="82" t="s">
        <v>15646</v>
      </c>
      <c r="BD2562" s="82" t="s">
        <v>17667</v>
      </c>
      <c r="BE2562" s="77"/>
      <c r="BF2562" s="77"/>
      <c r="BG2562" s="77"/>
      <c r="BH2562" s="77"/>
      <c r="BI2562" s="77"/>
    </row>
    <row r="2563" spans="1:61" x14ac:dyDescent="0.25">
      <c r="A2563" s="62" t="s">
        <v>646</v>
      </c>
      <c r="B2563" s="62" t="s">
        <v>646</v>
      </c>
      <c r="C2563" s="63"/>
      <c r="D2563" s="64"/>
      <c r="E2563" s="65"/>
      <c r="F2563" s="66"/>
      <c r="G2563" s="63"/>
      <c r="H2563" s="67"/>
      <c r="I2563" s="68"/>
      <c r="J2563" s="68"/>
      <c r="K2563" s="32"/>
      <c r="L2563" s="75">
        <v>2563</v>
      </c>
      <c r="M2563" s="75"/>
      <c r="N2563" s="70"/>
      <c r="O2563" s="77" t="s">
        <v>179</v>
      </c>
      <c r="P2563" s="79">
        <v>45062.090509259258</v>
      </c>
      <c r="Q2563" s="77" t="s">
        <v>3340</v>
      </c>
      <c r="R2563" s="77">
        <v>0</v>
      </c>
      <c r="S2563" s="77">
        <v>1</v>
      </c>
      <c r="T2563" s="77">
        <v>0</v>
      </c>
      <c r="U2563" s="77">
        <v>0</v>
      </c>
      <c r="V2563" s="77">
        <v>49</v>
      </c>
      <c r="W2563" s="82" t="s">
        <v>6382</v>
      </c>
      <c r="X2563" s="80" t="str">
        <f>HYPERLINK("https://tinyurl.com/2jmaq5kc")</f>
        <v>https://tinyurl.com/2jmaq5kc</v>
      </c>
      <c r="Y2563" s="77" t="s">
        <v>7068</v>
      </c>
      <c r="Z2563" s="77"/>
      <c r="AA2563" s="77"/>
      <c r="AB2563" s="77"/>
      <c r="AC2563" s="82" t="s">
        <v>8275</v>
      </c>
      <c r="AD2563" s="77" t="s">
        <v>8278</v>
      </c>
      <c r="AE2563" s="80" t="str">
        <f>HYPERLINK("https://twitter.com/pauta_economica/status/1658293774244560897")</f>
        <v>https://twitter.com/pauta_economica/status/1658293774244560897</v>
      </c>
      <c r="AF2563" s="79">
        <v>45062.090509259258</v>
      </c>
      <c r="AG2563" s="85">
        <v>45062</v>
      </c>
      <c r="AH2563" s="82" t="s">
        <v>10608</v>
      </c>
      <c r="AI2563" s="77" t="b">
        <v>0</v>
      </c>
      <c r="AJ2563" s="77"/>
      <c r="AK2563" s="77"/>
      <c r="AL2563" s="77"/>
      <c r="AM2563" s="77"/>
      <c r="AN2563" s="77"/>
      <c r="AO2563" s="77"/>
      <c r="AP2563" s="77"/>
      <c r="AQ2563" s="77"/>
      <c r="AR2563" s="77"/>
      <c r="AS2563" s="77"/>
      <c r="AT2563" s="77"/>
      <c r="AU2563" s="77"/>
      <c r="AV2563" s="80" t="str">
        <f>HYPERLINK("https://pbs.twimg.com/profile_images/1588668531910082561/XEi-lXiu_normal.jpg")</f>
        <v>https://pbs.twimg.com/profile_images/1588668531910082561/XEi-lXiu_normal.jpg</v>
      </c>
      <c r="AW2563" s="82" t="s">
        <v>15647</v>
      </c>
      <c r="AX2563" s="82" t="s">
        <v>15647</v>
      </c>
      <c r="AY2563" s="77"/>
      <c r="AZ2563" s="82" t="s">
        <v>17385</v>
      </c>
      <c r="BA2563" s="82" t="s">
        <v>17385</v>
      </c>
      <c r="BB2563" s="82" t="s">
        <v>17385</v>
      </c>
      <c r="BC2563" s="82" t="s">
        <v>15647</v>
      </c>
      <c r="BD2563" s="82" t="s">
        <v>17667</v>
      </c>
      <c r="BE2563" s="77"/>
      <c r="BF2563" s="77"/>
      <c r="BG2563" s="77"/>
      <c r="BH2563" s="77"/>
      <c r="BI2563" s="77"/>
    </row>
    <row r="2564" spans="1:61" x14ac:dyDescent="0.25">
      <c r="A2564" s="62" t="s">
        <v>646</v>
      </c>
      <c r="B2564" s="62" t="s">
        <v>646</v>
      </c>
      <c r="C2564" s="63"/>
      <c r="D2564" s="64"/>
      <c r="E2564" s="65"/>
      <c r="F2564" s="66"/>
      <c r="G2564" s="63"/>
      <c r="H2564" s="67"/>
      <c r="I2564" s="68"/>
      <c r="J2564" s="68"/>
      <c r="K2564" s="32"/>
      <c r="L2564" s="75">
        <v>2564</v>
      </c>
      <c r="M2564" s="75"/>
      <c r="N2564" s="70"/>
      <c r="O2564" s="77" t="s">
        <v>179</v>
      </c>
      <c r="P2564" s="79">
        <v>45062.062673611108</v>
      </c>
      <c r="Q2564" s="77" t="s">
        <v>3341</v>
      </c>
      <c r="R2564" s="77">
        <v>0</v>
      </c>
      <c r="S2564" s="77">
        <v>0</v>
      </c>
      <c r="T2564" s="77">
        <v>0</v>
      </c>
      <c r="U2564" s="77">
        <v>0</v>
      </c>
      <c r="V2564" s="77">
        <v>32</v>
      </c>
      <c r="W2564" s="82" t="s">
        <v>6382</v>
      </c>
      <c r="X2564" s="80" t="str">
        <f>HYPERLINK("https://tinyurl.com/2ptytght")</f>
        <v>https://tinyurl.com/2ptytght</v>
      </c>
      <c r="Y2564" s="77" t="s">
        <v>7068</v>
      </c>
      <c r="Z2564" s="77"/>
      <c r="AA2564" s="77"/>
      <c r="AB2564" s="77"/>
      <c r="AC2564" s="82" t="s">
        <v>8275</v>
      </c>
      <c r="AD2564" s="77" t="s">
        <v>8278</v>
      </c>
      <c r="AE2564" s="80" t="str">
        <f>HYPERLINK("https://twitter.com/pauta_economica/status/1658283687857778691")</f>
        <v>https://twitter.com/pauta_economica/status/1658283687857778691</v>
      </c>
      <c r="AF2564" s="79">
        <v>45062.062673611108</v>
      </c>
      <c r="AG2564" s="85">
        <v>45062</v>
      </c>
      <c r="AH2564" s="82" t="s">
        <v>10609</v>
      </c>
      <c r="AI2564" s="77" t="b">
        <v>0</v>
      </c>
      <c r="AJ2564" s="77"/>
      <c r="AK2564" s="77"/>
      <c r="AL2564" s="77"/>
      <c r="AM2564" s="77"/>
      <c r="AN2564" s="77"/>
      <c r="AO2564" s="77"/>
      <c r="AP2564" s="77"/>
      <c r="AQ2564" s="77"/>
      <c r="AR2564" s="77"/>
      <c r="AS2564" s="77"/>
      <c r="AT2564" s="77"/>
      <c r="AU2564" s="77"/>
      <c r="AV2564" s="80" t="str">
        <f>HYPERLINK("https://pbs.twimg.com/profile_images/1588668531910082561/XEi-lXiu_normal.jpg")</f>
        <v>https://pbs.twimg.com/profile_images/1588668531910082561/XEi-lXiu_normal.jpg</v>
      </c>
      <c r="AW2564" s="82" t="s">
        <v>15648</v>
      </c>
      <c r="AX2564" s="82" t="s">
        <v>15648</v>
      </c>
      <c r="AY2564" s="77"/>
      <c r="AZ2564" s="82" t="s">
        <v>17385</v>
      </c>
      <c r="BA2564" s="82" t="s">
        <v>17385</v>
      </c>
      <c r="BB2564" s="82" t="s">
        <v>17385</v>
      </c>
      <c r="BC2564" s="82" t="s">
        <v>15648</v>
      </c>
      <c r="BD2564" s="82" t="s">
        <v>17667</v>
      </c>
      <c r="BE2564" s="77"/>
      <c r="BF2564" s="77"/>
      <c r="BG2564" s="77"/>
      <c r="BH2564" s="77"/>
      <c r="BI2564" s="77"/>
    </row>
    <row r="2565" spans="1:61" x14ac:dyDescent="0.25">
      <c r="A2565" s="62" t="s">
        <v>646</v>
      </c>
      <c r="B2565" s="62" t="s">
        <v>646</v>
      </c>
      <c r="C2565" s="63"/>
      <c r="D2565" s="64"/>
      <c r="E2565" s="65"/>
      <c r="F2565" s="66"/>
      <c r="G2565" s="63"/>
      <c r="H2565" s="67"/>
      <c r="I2565" s="68"/>
      <c r="J2565" s="68"/>
      <c r="K2565" s="32"/>
      <c r="L2565" s="75">
        <v>2565</v>
      </c>
      <c r="M2565" s="75"/>
      <c r="N2565" s="70"/>
      <c r="O2565" s="77" t="s">
        <v>179</v>
      </c>
      <c r="P2565" s="79">
        <v>45061.979166666664</v>
      </c>
      <c r="Q2565" s="77" t="s">
        <v>3342</v>
      </c>
      <c r="R2565" s="77">
        <v>0</v>
      </c>
      <c r="S2565" s="77">
        <v>0</v>
      </c>
      <c r="T2565" s="77">
        <v>0</v>
      </c>
      <c r="U2565" s="77">
        <v>0</v>
      </c>
      <c r="V2565" s="77">
        <v>51</v>
      </c>
      <c r="W2565" s="82" t="s">
        <v>6382</v>
      </c>
      <c r="X2565" s="80" t="str">
        <f>HYPERLINK("https://tinyurl.com/2j7s8mbj")</f>
        <v>https://tinyurl.com/2j7s8mbj</v>
      </c>
      <c r="Y2565" s="77" t="s">
        <v>7068</v>
      </c>
      <c r="Z2565" s="77"/>
      <c r="AA2565" s="77"/>
      <c r="AB2565" s="77"/>
      <c r="AC2565" s="82" t="s">
        <v>8275</v>
      </c>
      <c r="AD2565" s="77" t="s">
        <v>8278</v>
      </c>
      <c r="AE2565" s="80" t="str">
        <f>HYPERLINK("https://twitter.com/pauta_economica/status/1658253428366229507")</f>
        <v>https://twitter.com/pauta_economica/status/1658253428366229507</v>
      </c>
      <c r="AF2565" s="79">
        <v>45061.979166666664</v>
      </c>
      <c r="AG2565" s="85">
        <v>45061</v>
      </c>
      <c r="AH2565" s="82" t="s">
        <v>10005</v>
      </c>
      <c r="AI2565" s="77" t="b">
        <v>0</v>
      </c>
      <c r="AJ2565" s="77"/>
      <c r="AK2565" s="77"/>
      <c r="AL2565" s="77"/>
      <c r="AM2565" s="77"/>
      <c r="AN2565" s="77"/>
      <c r="AO2565" s="77"/>
      <c r="AP2565" s="77"/>
      <c r="AQ2565" s="77"/>
      <c r="AR2565" s="77"/>
      <c r="AS2565" s="77"/>
      <c r="AT2565" s="77"/>
      <c r="AU2565" s="77"/>
      <c r="AV2565" s="80" t="str">
        <f>HYPERLINK("https://pbs.twimg.com/profile_images/1588668531910082561/XEi-lXiu_normal.jpg")</f>
        <v>https://pbs.twimg.com/profile_images/1588668531910082561/XEi-lXiu_normal.jpg</v>
      </c>
      <c r="AW2565" s="82" t="s">
        <v>15649</v>
      </c>
      <c r="AX2565" s="82" t="s">
        <v>15649</v>
      </c>
      <c r="AY2565" s="77"/>
      <c r="AZ2565" s="82" t="s">
        <v>17385</v>
      </c>
      <c r="BA2565" s="82" t="s">
        <v>17385</v>
      </c>
      <c r="BB2565" s="82" t="s">
        <v>17385</v>
      </c>
      <c r="BC2565" s="82" t="s">
        <v>15649</v>
      </c>
      <c r="BD2565" s="82" t="s">
        <v>17667</v>
      </c>
      <c r="BE2565" s="77"/>
      <c r="BF2565" s="77"/>
      <c r="BG2565" s="77"/>
      <c r="BH2565" s="77"/>
      <c r="BI2565" s="77"/>
    </row>
    <row r="2566" spans="1:61" x14ac:dyDescent="0.25">
      <c r="A2566" s="62" t="s">
        <v>646</v>
      </c>
      <c r="B2566" s="62" t="s">
        <v>646</v>
      </c>
      <c r="C2566" s="63"/>
      <c r="D2566" s="64"/>
      <c r="E2566" s="65"/>
      <c r="F2566" s="66"/>
      <c r="G2566" s="63"/>
      <c r="H2566" s="67"/>
      <c r="I2566" s="68"/>
      <c r="J2566" s="68"/>
      <c r="K2566" s="32"/>
      <c r="L2566" s="75">
        <v>2566</v>
      </c>
      <c r="M2566" s="75"/>
      <c r="N2566" s="70"/>
      <c r="O2566" s="77" t="s">
        <v>179</v>
      </c>
      <c r="P2566" s="79">
        <v>45061.951388888891</v>
      </c>
      <c r="Q2566" s="77" t="s">
        <v>3343</v>
      </c>
      <c r="R2566" s="77">
        <v>0</v>
      </c>
      <c r="S2566" s="77">
        <v>0</v>
      </c>
      <c r="T2566" s="77">
        <v>0</v>
      </c>
      <c r="U2566" s="77">
        <v>0</v>
      </c>
      <c r="V2566" s="77">
        <v>117</v>
      </c>
      <c r="W2566" s="82" t="s">
        <v>6382</v>
      </c>
      <c r="X2566" s="80" t="str">
        <f>HYPERLINK("https://tinyurl.com/2nu5xlmd")</f>
        <v>https://tinyurl.com/2nu5xlmd</v>
      </c>
      <c r="Y2566" s="77" t="s">
        <v>7068</v>
      </c>
      <c r="Z2566" s="77"/>
      <c r="AA2566" s="77"/>
      <c r="AB2566" s="77"/>
      <c r="AC2566" s="82" t="s">
        <v>8275</v>
      </c>
      <c r="AD2566" s="77" t="s">
        <v>8278</v>
      </c>
      <c r="AE2566" s="80" t="str">
        <f>HYPERLINK("https://twitter.com/pauta_economica/status/1658243362502189058")</f>
        <v>https://twitter.com/pauta_economica/status/1658243362502189058</v>
      </c>
      <c r="AF2566" s="79">
        <v>45061.951388888891</v>
      </c>
      <c r="AG2566" s="85">
        <v>45061</v>
      </c>
      <c r="AH2566" s="82" t="s">
        <v>10610</v>
      </c>
      <c r="AI2566" s="77" t="b">
        <v>0</v>
      </c>
      <c r="AJ2566" s="77"/>
      <c r="AK2566" s="77"/>
      <c r="AL2566" s="77"/>
      <c r="AM2566" s="77"/>
      <c r="AN2566" s="77"/>
      <c r="AO2566" s="77"/>
      <c r="AP2566" s="77"/>
      <c r="AQ2566" s="77"/>
      <c r="AR2566" s="77"/>
      <c r="AS2566" s="77"/>
      <c r="AT2566" s="77"/>
      <c r="AU2566" s="77"/>
      <c r="AV2566" s="80" t="str">
        <f>HYPERLINK("https://pbs.twimg.com/profile_images/1588668531910082561/XEi-lXiu_normal.jpg")</f>
        <v>https://pbs.twimg.com/profile_images/1588668531910082561/XEi-lXiu_normal.jpg</v>
      </c>
      <c r="AW2566" s="82" t="s">
        <v>15650</v>
      </c>
      <c r="AX2566" s="82" t="s">
        <v>15650</v>
      </c>
      <c r="AY2566" s="77"/>
      <c r="AZ2566" s="82" t="s">
        <v>17385</v>
      </c>
      <c r="BA2566" s="82" t="s">
        <v>17385</v>
      </c>
      <c r="BB2566" s="82" t="s">
        <v>17385</v>
      </c>
      <c r="BC2566" s="82" t="s">
        <v>15650</v>
      </c>
      <c r="BD2566" s="82" t="s">
        <v>17667</v>
      </c>
      <c r="BE2566" s="77"/>
      <c r="BF2566" s="77"/>
      <c r="BG2566" s="77"/>
      <c r="BH2566" s="77"/>
      <c r="BI2566" s="77"/>
    </row>
    <row r="2567" spans="1:61" x14ac:dyDescent="0.25">
      <c r="A2567" s="62" t="s">
        <v>646</v>
      </c>
      <c r="B2567" s="62" t="s">
        <v>646</v>
      </c>
      <c r="C2567" s="63"/>
      <c r="D2567" s="64"/>
      <c r="E2567" s="65"/>
      <c r="F2567" s="66"/>
      <c r="G2567" s="63"/>
      <c r="H2567" s="67"/>
      <c r="I2567" s="68"/>
      <c r="J2567" s="68"/>
      <c r="K2567" s="32"/>
      <c r="L2567" s="75">
        <v>2567</v>
      </c>
      <c r="M2567" s="75"/>
      <c r="N2567" s="70"/>
      <c r="O2567" s="77" t="s">
        <v>179</v>
      </c>
      <c r="P2567" s="79">
        <v>45061.867974537039</v>
      </c>
      <c r="Q2567" s="77" t="s">
        <v>3344</v>
      </c>
      <c r="R2567" s="77">
        <v>0</v>
      </c>
      <c r="S2567" s="77">
        <v>0</v>
      </c>
      <c r="T2567" s="77">
        <v>0</v>
      </c>
      <c r="U2567" s="77">
        <v>0</v>
      </c>
      <c r="V2567" s="77">
        <v>80</v>
      </c>
      <c r="W2567" s="82" t="s">
        <v>6382</v>
      </c>
      <c r="X2567" s="80" t="str">
        <f>HYPERLINK("https://tinyurl.com/2mc2p9ft")</f>
        <v>https://tinyurl.com/2mc2p9ft</v>
      </c>
      <c r="Y2567" s="77" t="s">
        <v>7068</v>
      </c>
      <c r="Z2567" s="77"/>
      <c r="AA2567" s="77"/>
      <c r="AB2567" s="77"/>
      <c r="AC2567" s="82" t="s">
        <v>8275</v>
      </c>
      <c r="AD2567" s="77" t="s">
        <v>8278</v>
      </c>
      <c r="AE2567" s="80" t="str">
        <f>HYPERLINK("https://twitter.com/pauta_economica/status/1658213132030844953")</f>
        <v>https://twitter.com/pauta_economica/status/1658213132030844953</v>
      </c>
      <c r="AF2567" s="79">
        <v>45061.867974537039</v>
      </c>
      <c r="AG2567" s="85">
        <v>45061</v>
      </c>
      <c r="AH2567" s="82" t="s">
        <v>10611</v>
      </c>
      <c r="AI2567" s="77" t="b">
        <v>0</v>
      </c>
      <c r="AJ2567" s="77"/>
      <c r="AK2567" s="77"/>
      <c r="AL2567" s="77"/>
      <c r="AM2567" s="77"/>
      <c r="AN2567" s="77"/>
      <c r="AO2567" s="77"/>
      <c r="AP2567" s="77"/>
      <c r="AQ2567" s="77"/>
      <c r="AR2567" s="77"/>
      <c r="AS2567" s="77"/>
      <c r="AT2567" s="77"/>
      <c r="AU2567" s="77"/>
      <c r="AV2567" s="80" t="str">
        <f>HYPERLINK("https://pbs.twimg.com/profile_images/1588668531910082561/XEi-lXiu_normal.jpg")</f>
        <v>https://pbs.twimg.com/profile_images/1588668531910082561/XEi-lXiu_normal.jpg</v>
      </c>
      <c r="AW2567" s="82" t="s">
        <v>15651</v>
      </c>
      <c r="AX2567" s="82" t="s">
        <v>15651</v>
      </c>
      <c r="AY2567" s="77"/>
      <c r="AZ2567" s="82" t="s">
        <v>17385</v>
      </c>
      <c r="BA2567" s="82" t="s">
        <v>17385</v>
      </c>
      <c r="BB2567" s="82" t="s">
        <v>17385</v>
      </c>
      <c r="BC2567" s="82" t="s">
        <v>15651</v>
      </c>
      <c r="BD2567" s="82" t="s">
        <v>17667</v>
      </c>
      <c r="BE2567" s="77"/>
      <c r="BF2567" s="77"/>
      <c r="BG2567" s="77"/>
      <c r="BH2567" s="77"/>
      <c r="BI2567" s="77"/>
    </row>
    <row r="2568" spans="1:61" x14ac:dyDescent="0.25">
      <c r="A2568" s="62" t="s">
        <v>646</v>
      </c>
      <c r="B2568" s="62" t="s">
        <v>646</v>
      </c>
      <c r="C2568" s="63"/>
      <c r="D2568" s="64"/>
      <c r="E2568" s="65"/>
      <c r="F2568" s="66"/>
      <c r="G2568" s="63"/>
      <c r="H2568" s="67"/>
      <c r="I2568" s="68"/>
      <c r="J2568" s="68"/>
      <c r="K2568" s="32"/>
      <c r="L2568" s="75">
        <v>2568</v>
      </c>
      <c r="M2568" s="75"/>
      <c r="N2568" s="70"/>
      <c r="O2568" s="77" t="s">
        <v>179</v>
      </c>
      <c r="P2568" s="79">
        <v>45061.840069444443</v>
      </c>
      <c r="Q2568" s="77" t="s">
        <v>3345</v>
      </c>
      <c r="R2568" s="77">
        <v>0</v>
      </c>
      <c r="S2568" s="77">
        <v>0</v>
      </c>
      <c r="T2568" s="77">
        <v>0</v>
      </c>
      <c r="U2568" s="77">
        <v>0</v>
      </c>
      <c r="V2568" s="77">
        <v>28</v>
      </c>
      <c r="W2568" s="82" t="s">
        <v>6382</v>
      </c>
      <c r="X2568" s="80" t="str">
        <f>HYPERLINK("https://tinyurl.com/2zrvzhcn")</f>
        <v>https://tinyurl.com/2zrvzhcn</v>
      </c>
      <c r="Y2568" s="77" t="s">
        <v>7068</v>
      </c>
      <c r="Z2568" s="77"/>
      <c r="AA2568" s="77"/>
      <c r="AB2568" s="77"/>
      <c r="AC2568" s="82" t="s">
        <v>8275</v>
      </c>
      <c r="AD2568" s="77" t="s">
        <v>8278</v>
      </c>
      <c r="AE2568" s="80" t="str">
        <f>HYPERLINK("https://twitter.com/pauta_economica/status/1658203018787975168")</f>
        <v>https://twitter.com/pauta_economica/status/1658203018787975168</v>
      </c>
      <c r="AF2568" s="79">
        <v>45061.840069444443</v>
      </c>
      <c r="AG2568" s="85">
        <v>45061</v>
      </c>
      <c r="AH2568" s="82" t="s">
        <v>10612</v>
      </c>
      <c r="AI2568" s="77" t="b">
        <v>0</v>
      </c>
      <c r="AJ2568" s="77"/>
      <c r="AK2568" s="77"/>
      <c r="AL2568" s="77"/>
      <c r="AM2568" s="77"/>
      <c r="AN2568" s="77"/>
      <c r="AO2568" s="77"/>
      <c r="AP2568" s="77"/>
      <c r="AQ2568" s="77"/>
      <c r="AR2568" s="77"/>
      <c r="AS2568" s="77"/>
      <c r="AT2568" s="77"/>
      <c r="AU2568" s="77"/>
      <c r="AV2568" s="80" t="str">
        <f>HYPERLINK("https://pbs.twimg.com/profile_images/1588668531910082561/XEi-lXiu_normal.jpg")</f>
        <v>https://pbs.twimg.com/profile_images/1588668531910082561/XEi-lXiu_normal.jpg</v>
      </c>
      <c r="AW2568" s="82" t="s">
        <v>15652</v>
      </c>
      <c r="AX2568" s="82" t="s">
        <v>15652</v>
      </c>
      <c r="AY2568" s="77"/>
      <c r="AZ2568" s="82" t="s">
        <v>17385</v>
      </c>
      <c r="BA2568" s="82" t="s">
        <v>17385</v>
      </c>
      <c r="BB2568" s="82" t="s">
        <v>17385</v>
      </c>
      <c r="BC2568" s="82" t="s">
        <v>15652</v>
      </c>
      <c r="BD2568" s="82" t="s">
        <v>17667</v>
      </c>
      <c r="BE2568" s="77"/>
      <c r="BF2568" s="77"/>
      <c r="BG2568" s="77"/>
      <c r="BH2568" s="77"/>
      <c r="BI2568" s="77"/>
    </row>
    <row r="2569" spans="1:61" x14ac:dyDescent="0.25">
      <c r="A2569" s="62" t="s">
        <v>646</v>
      </c>
      <c r="B2569" s="62" t="s">
        <v>646</v>
      </c>
      <c r="C2569" s="63"/>
      <c r="D2569" s="64"/>
      <c r="E2569" s="65"/>
      <c r="F2569" s="66"/>
      <c r="G2569" s="63"/>
      <c r="H2569" s="67"/>
      <c r="I2569" s="68"/>
      <c r="J2569" s="68"/>
      <c r="K2569" s="32"/>
      <c r="L2569" s="75">
        <v>2569</v>
      </c>
      <c r="M2569" s="75"/>
      <c r="N2569" s="70"/>
      <c r="O2569" s="77" t="s">
        <v>179</v>
      </c>
      <c r="P2569" s="79">
        <v>45061.784479166665</v>
      </c>
      <c r="Q2569" s="77" t="s">
        <v>3346</v>
      </c>
      <c r="R2569" s="77">
        <v>0</v>
      </c>
      <c r="S2569" s="77">
        <v>0</v>
      </c>
      <c r="T2569" s="77">
        <v>0</v>
      </c>
      <c r="U2569" s="77">
        <v>0</v>
      </c>
      <c r="V2569" s="77">
        <v>31</v>
      </c>
      <c r="W2569" s="82" t="s">
        <v>6382</v>
      </c>
      <c r="X2569" s="80" t="str">
        <f>HYPERLINK("https://tinyurl.com/2lqh8zk4")</f>
        <v>https://tinyurl.com/2lqh8zk4</v>
      </c>
      <c r="Y2569" s="77" t="s">
        <v>7068</v>
      </c>
      <c r="Z2569" s="77"/>
      <c r="AA2569" s="77"/>
      <c r="AB2569" s="77"/>
      <c r="AC2569" s="82" t="s">
        <v>8275</v>
      </c>
      <c r="AD2569" s="77" t="s">
        <v>8278</v>
      </c>
      <c r="AE2569" s="80" t="str">
        <f>HYPERLINK("https://twitter.com/pauta_economica/status/1658182875655594035")</f>
        <v>https://twitter.com/pauta_economica/status/1658182875655594035</v>
      </c>
      <c r="AF2569" s="79">
        <v>45061.784479166665</v>
      </c>
      <c r="AG2569" s="85">
        <v>45061</v>
      </c>
      <c r="AH2569" s="82" t="s">
        <v>10613</v>
      </c>
      <c r="AI2569" s="77" t="b">
        <v>0</v>
      </c>
      <c r="AJ2569" s="77"/>
      <c r="AK2569" s="77"/>
      <c r="AL2569" s="77"/>
      <c r="AM2569" s="77"/>
      <c r="AN2569" s="77"/>
      <c r="AO2569" s="77"/>
      <c r="AP2569" s="77"/>
      <c r="AQ2569" s="77"/>
      <c r="AR2569" s="77"/>
      <c r="AS2569" s="77"/>
      <c r="AT2569" s="77"/>
      <c r="AU2569" s="77"/>
      <c r="AV2569" s="80" t="str">
        <f>HYPERLINK("https://pbs.twimg.com/profile_images/1588668531910082561/XEi-lXiu_normal.jpg")</f>
        <v>https://pbs.twimg.com/profile_images/1588668531910082561/XEi-lXiu_normal.jpg</v>
      </c>
      <c r="AW2569" s="82" t="s">
        <v>15653</v>
      </c>
      <c r="AX2569" s="82" t="s">
        <v>15653</v>
      </c>
      <c r="AY2569" s="77"/>
      <c r="AZ2569" s="82" t="s">
        <v>17385</v>
      </c>
      <c r="BA2569" s="82" t="s">
        <v>17385</v>
      </c>
      <c r="BB2569" s="82" t="s">
        <v>17385</v>
      </c>
      <c r="BC2569" s="82" t="s">
        <v>15653</v>
      </c>
      <c r="BD2569" s="82" t="s">
        <v>17667</v>
      </c>
      <c r="BE2569" s="77"/>
      <c r="BF2569" s="77"/>
      <c r="BG2569" s="77"/>
      <c r="BH2569" s="77"/>
      <c r="BI2569" s="77"/>
    </row>
    <row r="2570" spans="1:61" x14ac:dyDescent="0.25">
      <c r="A2570" s="62" t="s">
        <v>646</v>
      </c>
      <c r="B2570" s="62" t="s">
        <v>646</v>
      </c>
      <c r="C2570" s="63"/>
      <c r="D2570" s="64"/>
      <c r="E2570" s="65"/>
      <c r="F2570" s="66"/>
      <c r="G2570" s="63"/>
      <c r="H2570" s="67"/>
      <c r="I2570" s="68"/>
      <c r="J2570" s="68"/>
      <c r="K2570" s="32"/>
      <c r="L2570" s="75">
        <v>2570</v>
      </c>
      <c r="M2570" s="75"/>
      <c r="N2570" s="70"/>
      <c r="O2570" s="77" t="s">
        <v>179</v>
      </c>
      <c r="P2570" s="79">
        <v>45049.422662037039</v>
      </c>
      <c r="Q2570" s="77" t="s">
        <v>3347</v>
      </c>
      <c r="R2570" s="77">
        <v>0</v>
      </c>
      <c r="S2570" s="77">
        <v>0</v>
      </c>
      <c r="T2570" s="77">
        <v>0</v>
      </c>
      <c r="U2570" s="77">
        <v>0</v>
      </c>
      <c r="V2570" s="77">
        <v>60</v>
      </c>
      <c r="W2570" s="82" t="s">
        <v>6382</v>
      </c>
      <c r="X2570" s="80" t="str">
        <f>HYPERLINK("https://tinyurl.com/2kmr9fz3")</f>
        <v>https://tinyurl.com/2kmr9fz3</v>
      </c>
      <c r="Y2570" s="77" t="s">
        <v>7068</v>
      </c>
      <c r="Z2570" s="77"/>
      <c r="AA2570" s="77"/>
      <c r="AB2570" s="77"/>
      <c r="AC2570" s="82" t="s">
        <v>8275</v>
      </c>
      <c r="AD2570" s="77" t="s">
        <v>8278</v>
      </c>
      <c r="AE2570" s="80" t="str">
        <f>HYPERLINK("https://twitter.com/pauta_economica/status/1653703103781142530")</f>
        <v>https://twitter.com/pauta_economica/status/1653703103781142530</v>
      </c>
      <c r="AF2570" s="79">
        <v>45049.422662037039</v>
      </c>
      <c r="AG2570" s="85">
        <v>45049</v>
      </c>
      <c r="AH2570" s="82" t="s">
        <v>10614</v>
      </c>
      <c r="AI2570" s="77" t="b">
        <v>0</v>
      </c>
      <c r="AJ2570" s="77"/>
      <c r="AK2570" s="77"/>
      <c r="AL2570" s="77"/>
      <c r="AM2570" s="77"/>
      <c r="AN2570" s="77"/>
      <c r="AO2570" s="77"/>
      <c r="AP2570" s="77"/>
      <c r="AQ2570" s="77"/>
      <c r="AR2570" s="77"/>
      <c r="AS2570" s="77"/>
      <c r="AT2570" s="77"/>
      <c r="AU2570" s="77"/>
      <c r="AV2570" s="80" t="str">
        <f>HYPERLINK("https://pbs.twimg.com/profile_images/1588668531910082561/XEi-lXiu_normal.jpg")</f>
        <v>https://pbs.twimg.com/profile_images/1588668531910082561/XEi-lXiu_normal.jpg</v>
      </c>
      <c r="AW2570" s="82" t="s">
        <v>15654</v>
      </c>
      <c r="AX2570" s="82" t="s">
        <v>15654</v>
      </c>
      <c r="AY2570" s="77"/>
      <c r="AZ2570" s="82" t="s">
        <v>17385</v>
      </c>
      <c r="BA2570" s="82" t="s">
        <v>17385</v>
      </c>
      <c r="BB2570" s="82" t="s">
        <v>17385</v>
      </c>
      <c r="BC2570" s="82" t="s">
        <v>15654</v>
      </c>
      <c r="BD2570" s="82" t="s">
        <v>17667</v>
      </c>
      <c r="BE2570" s="77"/>
      <c r="BF2570" s="77"/>
      <c r="BG2570" s="77"/>
      <c r="BH2570" s="77"/>
      <c r="BI2570" s="77"/>
    </row>
    <row r="2571" spans="1:61" x14ac:dyDescent="0.25">
      <c r="A2571" s="62" t="s">
        <v>646</v>
      </c>
      <c r="B2571" s="62" t="s">
        <v>646</v>
      </c>
      <c r="C2571" s="63"/>
      <c r="D2571" s="64"/>
      <c r="E2571" s="65"/>
      <c r="F2571" s="66"/>
      <c r="G2571" s="63"/>
      <c r="H2571" s="67"/>
      <c r="I2571" s="68"/>
      <c r="J2571" s="68"/>
      <c r="K2571" s="32"/>
      <c r="L2571" s="75">
        <v>2571</v>
      </c>
      <c r="M2571" s="75"/>
      <c r="N2571" s="70"/>
      <c r="O2571" s="77" t="s">
        <v>179</v>
      </c>
      <c r="P2571" s="79">
        <v>45049.171655092592</v>
      </c>
      <c r="Q2571" s="77" t="s">
        <v>3348</v>
      </c>
      <c r="R2571" s="77">
        <v>0</v>
      </c>
      <c r="S2571" s="77">
        <v>0</v>
      </c>
      <c r="T2571" s="77">
        <v>0</v>
      </c>
      <c r="U2571" s="77">
        <v>0</v>
      </c>
      <c r="V2571" s="77">
        <v>28</v>
      </c>
      <c r="W2571" s="82" t="s">
        <v>6382</v>
      </c>
      <c r="X2571" s="80" t="str">
        <f>HYPERLINK("https://tinyurl.com/2oox7ram")</f>
        <v>https://tinyurl.com/2oox7ram</v>
      </c>
      <c r="Y2571" s="77" t="s">
        <v>7068</v>
      </c>
      <c r="Z2571" s="77"/>
      <c r="AA2571" s="77"/>
      <c r="AB2571" s="77"/>
      <c r="AC2571" s="82" t="s">
        <v>8275</v>
      </c>
      <c r="AD2571" s="77" t="s">
        <v>8278</v>
      </c>
      <c r="AE2571" s="80" t="str">
        <f>HYPERLINK("https://twitter.com/pauta_economica/status/1653612140232572929")</f>
        <v>https://twitter.com/pauta_economica/status/1653612140232572929</v>
      </c>
      <c r="AF2571" s="79">
        <v>45049.171655092592</v>
      </c>
      <c r="AG2571" s="85">
        <v>45049</v>
      </c>
      <c r="AH2571" s="82" t="s">
        <v>10615</v>
      </c>
      <c r="AI2571" s="77" t="b">
        <v>0</v>
      </c>
      <c r="AJ2571" s="77"/>
      <c r="AK2571" s="77"/>
      <c r="AL2571" s="77"/>
      <c r="AM2571" s="77"/>
      <c r="AN2571" s="77"/>
      <c r="AO2571" s="77"/>
      <c r="AP2571" s="77"/>
      <c r="AQ2571" s="77"/>
      <c r="AR2571" s="77"/>
      <c r="AS2571" s="77"/>
      <c r="AT2571" s="77"/>
      <c r="AU2571" s="77"/>
      <c r="AV2571" s="80" t="str">
        <f>HYPERLINK("https://pbs.twimg.com/profile_images/1588668531910082561/XEi-lXiu_normal.jpg")</f>
        <v>https://pbs.twimg.com/profile_images/1588668531910082561/XEi-lXiu_normal.jpg</v>
      </c>
      <c r="AW2571" s="82" t="s">
        <v>15655</v>
      </c>
      <c r="AX2571" s="82" t="s">
        <v>15655</v>
      </c>
      <c r="AY2571" s="77"/>
      <c r="AZ2571" s="82" t="s">
        <v>17385</v>
      </c>
      <c r="BA2571" s="82" t="s">
        <v>17385</v>
      </c>
      <c r="BB2571" s="82" t="s">
        <v>17385</v>
      </c>
      <c r="BC2571" s="82" t="s">
        <v>15655</v>
      </c>
      <c r="BD2571" s="82" t="s">
        <v>17667</v>
      </c>
      <c r="BE2571" s="77"/>
      <c r="BF2571" s="77"/>
      <c r="BG2571" s="77"/>
      <c r="BH2571" s="77"/>
      <c r="BI2571" s="77"/>
    </row>
    <row r="2572" spans="1:61" x14ac:dyDescent="0.25">
      <c r="A2572" s="62" t="s">
        <v>646</v>
      </c>
      <c r="B2572" s="62" t="s">
        <v>646</v>
      </c>
      <c r="C2572" s="63"/>
      <c r="D2572" s="64"/>
      <c r="E2572" s="65"/>
      <c r="F2572" s="66"/>
      <c r="G2572" s="63"/>
      <c r="H2572" s="67"/>
      <c r="I2572" s="68"/>
      <c r="J2572" s="68"/>
      <c r="K2572" s="32"/>
      <c r="L2572" s="75">
        <v>2572</v>
      </c>
      <c r="M2572" s="75"/>
      <c r="N2572" s="70"/>
      <c r="O2572" s="77" t="s">
        <v>179</v>
      </c>
      <c r="P2572" s="79">
        <v>45049.115682870368</v>
      </c>
      <c r="Q2572" s="77" t="s">
        <v>3349</v>
      </c>
      <c r="R2572" s="77">
        <v>0</v>
      </c>
      <c r="S2572" s="77">
        <v>0</v>
      </c>
      <c r="T2572" s="77">
        <v>0</v>
      </c>
      <c r="U2572" s="77">
        <v>0</v>
      </c>
      <c r="V2572" s="77">
        <v>56</v>
      </c>
      <c r="W2572" s="82" t="s">
        <v>6382</v>
      </c>
      <c r="X2572" s="80" t="str">
        <f>HYPERLINK("https://tinyurl.com/2zg9oct6")</f>
        <v>https://tinyurl.com/2zg9oct6</v>
      </c>
      <c r="Y2572" s="77" t="s">
        <v>7068</v>
      </c>
      <c r="Z2572" s="77"/>
      <c r="AA2572" s="77"/>
      <c r="AB2572" s="77"/>
      <c r="AC2572" s="82" t="s">
        <v>8275</v>
      </c>
      <c r="AD2572" s="77" t="s">
        <v>8278</v>
      </c>
      <c r="AE2572" s="80" t="str">
        <f>HYPERLINK("https://twitter.com/pauta_economica/status/1653591855462858753")</f>
        <v>https://twitter.com/pauta_economica/status/1653591855462858753</v>
      </c>
      <c r="AF2572" s="79">
        <v>45049.115682870368</v>
      </c>
      <c r="AG2572" s="85">
        <v>45049</v>
      </c>
      <c r="AH2572" s="82" t="s">
        <v>10616</v>
      </c>
      <c r="AI2572" s="77" t="b">
        <v>0</v>
      </c>
      <c r="AJ2572" s="77"/>
      <c r="AK2572" s="77"/>
      <c r="AL2572" s="77"/>
      <c r="AM2572" s="77"/>
      <c r="AN2572" s="77"/>
      <c r="AO2572" s="77"/>
      <c r="AP2572" s="77"/>
      <c r="AQ2572" s="77"/>
      <c r="AR2572" s="77"/>
      <c r="AS2572" s="77"/>
      <c r="AT2572" s="77"/>
      <c r="AU2572" s="77"/>
      <c r="AV2572" s="80" t="str">
        <f>HYPERLINK("https://pbs.twimg.com/profile_images/1588668531910082561/XEi-lXiu_normal.jpg")</f>
        <v>https://pbs.twimg.com/profile_images/1588668531910082561/XEi-lXiu_normal.jpg</v>
      </c>
      <c r="AW2572" s="82" t="s">
        <v>15656</v>
      </c>
      <c r="AX2572" s="82" t="s">
        <v>15656</v>
      </c>
      <c r="AY2572" s="77"/>
      <c r="AZ2572" s="82" t="s">
        <v>17385</v>
      </c>
      <c r="BA2572" s="82" t="s">
        <v>17385</v>
      </c>
      <c r="BB2572" s="82" t="s">
        <v>17385</v>
      </c>
      <c r="BC2572" s="82" t="s">
        <v>15656</v>
      </c>
      <c r="BD2572" s="82" t="s">
        <v>17667</v>
      </c>
      <c r="BE2572" s="77"/>
      <c r="BF2572" s="77"/>
      <c r="BG2572" s="77"/>
      <c r="BH2572" s="77"/>
      <c r="BI2572" s="77"/>
    </row>
    <row r="2573" spans="1:61" x14ac:dyDescent="0.25">
      <c r="A2573" s="62" t="s">
        <v>646</v>
      </c>
      <c r="B2573" s="62" t="s">
        <v>646</v>
      </c>
      <c r="C2573" s="63"/>
      <c r="D2573" s="64"/>
      <c r="E2573" s="65"/>
      <c r="F2573" s="66"/>
      <c r="G2573" s="63"/>
      <c r="H2573" s="67"/>
      <c r="I2573" s="68"/>
      <c r="J2573" s="68"/>
      <c r="K2573" s="32"/>
      <c r="L2573" s="75">
        <v>2573</v>
      </c>
      <c r="M2573" s="75"/>
      <c r="N2573" s="70"/>
      <c r="O2573" s="77" t="s">
        <v>179</v>
      </c>
      <c r="P2573" s="79">
        <v>45049.087881944448</v>
      </c>
      <c r="Q2573" s="77" t="s">
        <v>3350</v>
      </c>
      <c r="R2573" s="77">
        <v>0</v>
      </c>
      <c r="S2573" s="77">
        <v>2</v>
      </c>
      <c r="T2573" s="77">
        <v>0</v>
      </c>
      <c r="U2573" s="77">
        <v>0</v>
      </c>
      <c r="V2573" s="77">
        <v>29</v>
      </c>
      <c r="W2573" s="82" t="s">
        <v>6382</v>
      </c>
      <c r="X2573" s="80" t="str">
        <f>HYPERLINK("https://tinyurl.com/2jqweab2")</f>
        <v>https://tinyurl.com/2jqweab2</v>
      </c>
      <c r="Y2573" s="77" t="s">
        <v>7068</v>
      </c>
      <c r="Z2573" s="77"/>
      <c r="AA2573" s="77"/>
      <c r="AB2573" s="77"/>
      <c r="AC2573" s="82" t="s">
        <v>8275</v>
      </c>
      <c r="AD2573" s="77" t="s">
        <v>8278</v>
      </c>
      <c r="AE2573" s="80" t="str">
        <f>HYPERLINK("https://twitter.com/pauta_economica/status/1653581781801508864")</f>
        <v>https://twitter.com/pauta_economica/status/1653581781801508864</v>
      </c>
      <c r="AF2573" s="79">
        <v>45049.087881944448</v>
      </c>
      <c r="AG2573" s="85">
        <v>45049</v>
      </c>
      <c r="AH2573" s="82" t="s">
        <v>10617</v>
      </c>
      <c r="AI2573" s="77" t="b">
        <v>0</v>
      </c>
      <c r="AJ2573" s="77"/>
      <c r="AK2573" s="77"/>
      <c r="AL2573" s="77"/>
      <c r="AM2573" s="77"/>
      <c r="AN2573" s="77"/>
      <c r="AO2573" s="77"/>
      <c r="AP2573" s="77"/>
      <c r="AQ2573" s="77"/>
      <c r="AR2573" s="77"/>
      <c r="AS2573" s="77"/>
      <c r="AT2573" s="77"/>
      <c r="AU2573" s="77"/>
      <c r="AV2573" s="80" t="str">
        <f>HYPERLINK("https://pbs.twimg.com/profile_images/1588668531910082561/XEi-lXiu_normal.jpg")</f>
        <v>https://pbs.twimg.com/profile_images/1588668531910082561/XEi-lXiu_normal.jpg</v>
      </c>
      <c r="AW2573" s="82" t="s">
        <v>15657</v>
      </c>
      <c r="AX2573" s="82" t="s">
        <v>15657</v>
      </c>
      <c r="AY2573" s="77"/>
      <c r="AZ2573" s="82" t="s">
        <v>17385</v>
      </c>
      <c r="BA2573" s="82" t="s">
        <v>17385</v>
      </c>
      <c r="BB2573" s="82" t="s">
        <v>17385</v>
      </c>
      <c r="BC2573" s="82" t="s">
        <v>15657</v>
      </c>
      <c r="BD2573" s="82" t="s">
        <v>17667</v>
      </c>
      <c r="BE2573" s="77"/>
      <c r="BF2573" s="77"/>
      <c r="BG2573" s="77"/>
      <c r="BH2573" s="77"/>
      <c r="BI2573" s="77"/>
    </row>
    <row r="2574" spans="1:61" x14ac:dyDescent="0.25">
      <c r="A2574" s="62" t="s">
        <v>646</v>
      </c>
      <c r="B2574" s="62" t="s">
        <v>646</v>
      </c>
      <c r="C2574" s="63"/>
      <c r="D2574" s="64"/>
      <c r="E2574" s="65"/>
      <c r="F2574" s="66"/>
      <c r="G2574" s="63"/>
      <c r="H2574" s="67"/>
      <c r="I2574" s="68"/>
      <c r="J2574" s="68"/>
      <c r="K2574" s="32"/>
      <c r="L2574" s="75">
        <v>2574</v>
      </c>
      <c r="M2574" s="75"/>
      <c r="N2574" s="70"/>
      <c r="O2574" s="77" t="s">
        <v>179</v>
      </c>
      <c r="P2574" s="79">
        <v>45049.05976851852</v>
      </c>
      <c r="Q2574" s="77" t="s">
        <v>3351</v>
      </c>
      <c r="R2574" s="77">
        <v>0</v>
      </c>
      <c r="S2574" s="77">
        <v>2</v>
      </c>
      <c r="T2574" s="77">
        <v>0</v>
      </c>
      <c r="U2574" s="77">
        <v>0</v>
      </c>
      <c r="V2574" s="77">
        <v>29</v>
      </c>
      <c r="W2574" s="82" t="s">
        <v>6382</v>
      </c>
      <c r="X2574" s="80" t="str">
        <f>HYPERLINK("https://tinyurl.com/2j68xj8m")</f>
        <v>https://tinyurl.com/2j68xj8m</v>
      </c>
      <c r="Y2574" s="77" t="s">
        <v>7068</v>
      </c>
      <c r="Z2574" s="77"/>
      <c r="AA2574" s="77"/>
      <c r="AB2574" s="77"/>
      <c r="AC2574" s="82" t="s">
        <v>8275</v>
      </c>
      <c r="AD2574" s="77" t="s">
        <v>8278</v>
      </c>
      <c r="AE2574" s="80" t="str">
        <f>HYPERLINK("https://twitter.com/pauta_economica/status/1653571595426840576")</f>
        <v>https://twitter.com/pauta_economica/status/1653571595426840576</v>
      </c>
      <c r="AF2574" s="79">
        <v>45049.05976851852</v>
      </c>
      <c r="AG2574" s="85">
        <v>45049</v>
      </c>
      <c r="AH2574" s="82" t="s">
        <v>10618</v>
      </c>
      <c r="AI2574" s="77" t="b">
        <v>0</v>
      </c>
      <c r="AJ2574" s="77"/>
      <c r="AK2574" s="77"/>
      <c r="AL2574" s="77"/>
      <c r="AM2574" s="77"/>
      <c r="AN2574" s="77"/>
      <c r="AO2574" s="77"/>
      <c r="AP2574" s="77"/>
      <c r="AQ2574" s="77"/>
      <c r="AR2574" s="77"/>
      <c r="AS2574" s="77"/>
      <c r="AT2574" s="77"/>
      <c r="AU2574" s="77"/>
      <c r="AV2574" s="80" t="str">
        <f>HYPERLINK("https://pbs.twimg.com/profile_images/1588668531910082561/XEi-lXiu_normal.jpg")</f>
        <v>https://pbs.twimg.com/profile_images/1588668531910082561/XEi-lXiu_normal.jpg</v>
      </c>
      <c r="AW2574" s="82" t="s">
        <v>15658</v>
      </c>
      <c r="AX2574" s="82" t="s">
        <v>15658</v>
      </c>
      <c r="AY2574" s="77"/>
      <c r="AZ2574" s="82" t="s">
        <v>17385</v>
      </c>
      <c r="BA2574" s="82" t="s">
        <v>17385</v>
      </c>
      <c r="BB2574" s="82" t="s">
        <v>17385</v>
      </c>
      <c r="BC2574" s="82" t="s">
        <v>15658</v>
      </c>
      <c r="BD2574" s="82" t="s">
        <v>17667</v>
      </c>
      <c r="BE2574" s="77"/>
      <c r="BF2574" s="77"/>
      <c r="BG2574" s="77"/>
      <c r="BH2574" s="77"/>
      <c r="BI2574" s="77"/>
    </row>
    <row r="2575" spans="1:61" x14ac:dyDescent="0.25">
      <c r="A2575" s="62" t="s">
        <v>646</v>
      </c>
      <c r="B2575" s="62" t="s">
        <v>646</v>
      </c>
      <c r="C2575" s="63"/>
      <c r="D2575" s="64"/>
      <c r="E2575" s="65"/>
      <c r="F2575" s="66"/>
      <c r="G2575" s="63"/>
      <c r="H2575" s="67"/>
      <c r="I2575" s="68"/>
      <c r="J2575" s="68"/>
      <c r="K2575" s="32"/>
      <c r="L2575" s="75">
        <v>2575</v>
      </c>
      <c r="M2575" s="75"/>
      <c r="N2575" s="70"/>
      <c r="O2575" s="77" t="s">
        <v>179</v>
      </c>
      <c r="P2575" s="79">
        <v>45049.004131944443</v>
      </c>
      <c r="Q2575" s="77" t="s">
        <v>3352</v>
      </c>
      <c r="R2575" s="77">
        <v>0</v>
      </c>
      <c r="S2575" s="77">
        <v>0</v>
      </c>
      <c r="T2575" s="77">
        <v>0</v>
      </c>
      <c r="U2575" s="77">
        <v>0</v>
      </c>
      <c r="V2575" s="77">
        <v>24</v>
      </c>
      <c r="W2575" s="82" t="s">
        <v>6382</v>
      </c>
      <c r="X2575" s="80" t="str">
        <f>HYPERLINK("https://tinyurl.com/2e3uxu6v")</f>
        <v>https://tinyurl.com/2e3uxu6v</v>
      </c>
      <c r="Y2575" s="77" t="s">
        <v>7068</v>
      </c>
      <c r="Z2575" s="77"/>
      <c r="AA2575" s="77"/>
      <c r="AB2575" s="77"/>
      <c r="AC2575" s="82" t="s">
        <v>8275</v>
      </c>
      <c r="AD2575" s="77" t="s">
        <v>8278</v>
      </c>
      <c r="AE2575" s="80" t="str">
        <f>HYPERLINK("https://twitter.com/pauta_economica/status/1653551431608147968")</f>
        <v>https://twitter.com/pauta_economica/status/1653551431608147968</v>
      </c>
      <c r="AF2575" s="79">
        <v>45049.004131944443</v>
      </c>
      <c r="AG2575" s="85">
        <v>45049</v>
      </c>
      <c r="AH2575" s="82" t="s">
        <v>10619</v>
      </c>
      <c r="AI2575" s="77" t="b">
        <v>0</v>
      </c>
      <c r="AJ2575" s="77"/>
      <c r="AK2575" s="77"/>
      <c r="AL2575" s="77"/>
      <c r="AM2575" s="77"/>
      <c r="AN2575" s="77"/>
      <c r="AO2575" s="77"/>
      <c r="AP2575" s="77"/>
      <c r="AQ2575" s="77"/>
      <c r="AR2575" s="77"/>
      <c r="AS2575" s="77"/>
      <c r="AT2575" s="77"/>
      <c r="AU2575" s="77"/>
      <c r="AV2575" s="80" t="str">
        <f>HYPERLINK("https://pbs.twimg.com/profile_images/1588668531910082561/XEi-lXiu_normal.jpg")</f>
        <v>https://pbs.twimg.com/profile_images/1588668531910082561/XEi-lXiu_normal.jpg</v>
      </c>
      <c r="AW2575" s="82" t="s">
        <v>15659</v>
      </c>
      <c r="AX2575" s="82" t="s">
        <v>15659</v>
      </c>
      <c r="AY2575" s="77"/>
      <c r="AZ2575" s="82" t="s">
        <v>17385</v>
      </c>
      <c r="BA2575" s="82" t="s">
        <v>17385</v>
      </c>
      <c r="BB2575" s="82" t="s">
        <v>17385</v>
      </c>
      <c r="BC2575" s="82" t="s">
        <v>15659</v>
      </c>
      <c r="BD2575" s="82" t="s">
        <v>17667</v>
      </c>
      <c r="BE2575" s="77"/>
      <c r="BF2575" s="77"/>
      <c r="BG2575" s="77"/>
      <c r="BH2575" s="77"/>
      <c r="BI2575" s="77"/>
    </row>
    <row r="2576" spans="1:61" x14ac:dyDescent="0.25">
      <c r="A2576" s="62" t="s">
        <v>646</v>
      </c>
      <c r="B2576" s="62" t="s">
        <v>646</v>
      </c>
      <c r="C2576" s="63"/>
      <c r="D2576" s="64"/>
      <c r="E2576" s="65"/>
      <c r="F2576" s="66"/>
      <c r="G2576" s="63"/>
      <c r="H2576" s="67"/>
      <c r="I2576" s="68"/>
      <c r="J2576" s="68"/>
      <c r="K2576" s="32"/>
      <c r="L2576" s="75">
        <v>2576</v>
      </c>
      <c r="M2576" s="75"/>
      <c r="N2576" s="70"/>
      <c r="O2576" s="77" t="s">
        <v>179</v>
      </c>
      <c r="P2576" s="79">
        <v>45048.920706018522</v>
      </c>
      <c r="Q2576" s="77" t="s">
        <v>3353</v>
      </c>
      <c r="R2576" s="77">
        <v>0</v>
      </c>
      <c r="S2576" s="77">
        <v>0</v>
      </c>
      <c r="T2576" s="77">
        <v>0</v>
      </c>
      <c r="U2576" s="77">
        <v>0</v>
      </c>
      <c r="V2576" s="77">
        <v>50</v>
      </c>
      <c r="W2576" s="82" t="s">
        <v>6382</v>
      </c>
      <c r="X2576" s="80" t="str">
        <f>HYPERLINK("https://tinyurl.com/2zbzoy9y")</f>
        <v>https://tinyurl.com/2zbzoy9y</v>
      </c>
      <c r="Y2576" s="77" t="s">
        <v>7068</v>
      </c>
      <c r="Z2576" s="77"/>
      <c r="AA2576" s="77"/>
      <c r="AB2576" s="77"/>
      <c r="AC2576" s="82" t="s">
        <v>8275</v>
      </c>
      <c r="AD2576" s="77" t="s">
        <v>8278</v>
      </c>
      <c r="AE2576" s="80" t="str">
        <f>HYPERLINK("https://twitter.com/pauta_economica/status/1653521199656316931")</f>
        <v>https://twitter.com/pauta_economica/status/1653521199656316931</v>
      </c>
      <c r="AF2576" s="79">
        <v>45048.920706018522</v>
      </c>
      <c r="AG2576" s="85">
        <v>45048</v>
      </c>
      <c r="AH2576" s="82" t="s">
        <v>10620</v>
      </c>
      <c r="AI2576" s="77" t="b">
        <v>0</v>
      </c>
      <c r="AJ2576" s="77"/>
      <c r="AK2576" s="77"/>
      <c r="AL2576" s="77"/>
      <c r="AM2576" s="77"/>
      <c r="AN2576" s="77"/>
      <c r="AO2576" s="77"/>
      <c r="AP2576" s="77"/>
      <c r="AQ2576" s="77"/>
      <c r="AR2576" s="77"/>
      <c r="AS2576" s="77"/>
      <c r="AT2576" s="77"/>
      <c r="AU2576" s="77"/>
      <c r="AV2576" s="80" t="str">
        <f>HYPERLINK("https://pbs.twimg.com/profile_images/1588668531910082561/XEi-lXiu_normal.jpg")</f>
        <v>https://pbs.twimg.com/profile_images/1588668531910082561/XEi-lXiu_normal.jpg</v>
      </c>
      <c r="AW2576" s="82" t="s">
        <v>15660</v>
      </c>
      <c r="AX2576" s="82" t="s">
        <v>15660</v>
      </c>
      <c r="AY2576" s="77"/>
      <c r="AZ2576" s="82" t="s">
        <v>17385</v>
      </c>
      <c r="BA2576" s="82" t="s">
        <v>17385</v>
      </c>
      <c r="BB2576" s="82" t="s">
        <v>17385</v>
      </c>
      <c r="BC2576" s="82" t="s">
        <v>15660</v>
      </c>
      <c r="BD2576" s="82" t="s">
        <v>17667</v>
      </c>
      <c r="BE2576" s="77"/>
      <c r="BF2576" s="77"/>
      <c r="BG2576" s="77"/>
      <c r="BH2576" s="77"/>
      <c r="BI2576" s="77"/>
    </row>
    <row r="2577" spans="1:61" x14ac:dyDescent="0.25">
      <c r="A2577" s="62" t="s">
        <v>646</v>
      </c>
      <c r="B2577" s="62" t="s">
        <v>646</v>
      </c>
      <c r="C2577" s="63"/>
      <c r="D2577" s="64"/>
      <c r="E2577" s="65"/>
      <c r="F2577" s="66"/>
      <c r="G2577" s="63"/>
      <c r="H2577" s="67"/>
      <c r="I2577" s="68"/>
      <c r="J2577" s="68"/>
      <c r="K2577" s="32"/>
      <c r="L2577" s="75">
        <v>2577</v>
      </c>
      <c r="M2577" s="75"/>
      <c r="N2577" s="70"/>
      <c r="O2577" s="77" t="s">
        <v>179</v>
      </c>
      <c r="P2577" s="79">
        <v>45048.893009259256</v>
      </c>
      <c r="Q2577" s="77" t="s">
        <v>3354</v>
      </c>
      <c r="R2577" s="77">
        <v>0</v>
      </c>
      <c r="S2577" s="77">
        <v>0</v>
      </c>
      <c r="T2577" s="77">
        <v>0</v>
      </c>
      <c r="U2577" s="77">
        <v>0</v>
      </c>
      <c r="V2577" s="77">
        <v>33</v>
      </c>
      <c r="W2577" s="82" t="s">
        <v>6382</v>
      </c>
      <c r="X2577" s="80" t="str">
        <f>HYPERLINK("https://tinyurl.com/2fyxbab2")</f>
        <v>https://tinyurl.com/2fyxbab2</v>
      </c>
      <c r="Y2577" s="77" t="s">
        <v>7068</v>
      </c>
      <c r="Z2577" s="77"/>
      <c r="AA2577" s="77"/>
      <c r="AB2577" s="77"/>
      <c r="AC2577" s="82" t="s">
        <v>8275</v>
      </c>
      <c r="AD2577" s="77" t="s">
        <v>8278</v>
      </c>
      <c r="AE2577" s="80" t="str">
        <f>HYPERLINK("https://twitter.com/pauta_economica/status/1653511163223711745")</f>
        <v>https://twitter.com/pauta_economica/status/1653511163223711745</v>
      </c>
      <c r="AF2577" s="79">
        <v>45048.893009259256</v>
      </c>
      <c r="AG2577" s="85">
        <v>45048</v>
      </c>
      <c r="AH2577" s="82" t="s">
        <v>10621</v>
      </c>
      <c r="AI2577" s="77" t="b">
        <v>0</v>
      </c>
      <c r="AJ2577" s="77"/>
      <c r="AK2577" s="77"/>
      <c r="AL2577" s="77"/>
      <c r="AM2577" s="77"/>
      <c r="AN2577" s="77"/>
      <c r="AO2577" s="77"/>
      <c r="AP2577" s="77"/>
      <c r="AQ2577" s="77"/>
      <c r="AR2577" s="77"/>
      <c r="AS2577" s="77"/>
      <c r="AT2577" s="77"/>
      <c r="AU2577" s="77"/>
      <c r="AV2577" s="80" t="str">
        <f>HYPERLINK("https://pbs.twimg.com/profile_images/1588668531910082561/XEi-lXiu_normal.jpg")</f>
        <v>https://pbs.twimg.com/profile_images/1588668531910082561/XEi-lXiu_normal.jpg</v>
      </c>
      <c r="AW2577" s="82" t="s">
        <v>15661</v>
      </c>
      <c r="AX2577" s="82" t="s">
        <v>15661</v>
      </c>
      <c r="AY2577" s="77"/>
      <c r="AZ2577" s="82" t="s">
        <v>17385</v>
      </c>
      <c r="BA2577" s="82" t="s">
        <v>17385</v>
      </c>
      <c r="BB2577" s="82" t="s">
        <v>17385</v>
      </c>
      <c r="BC2577" s="82" t="s">
        <v>15661</v>
      </c>
      <c r="BD2577" s="82" t="s">
        <v>17667</v>
      </c>
      <c r="BE2577" s="77"/>
      <c r="BF2577" s="77"/>
      <c r="BG2577" s="77"/>
      <c r="BH2577" s="77"/>
      <c r="BI2577" s="77"/>
    </row>
    <row r="2578" spans="1:61" x14ac:dyDescent="0.25">
      <c r="A2578" s="62" t="s">
        <v>646</v>
      </c>
      <c r="B2578" s="62" t="s">
        <v>646</v>
      </c>
      <c r="C2578" s="63"/>
      <c r="D2578" s="64"/>
      <c r="E2578" s="65"/>
      <c r="F2578" s="66"/>
      <c r="G2578" s="63"/>
      <c r="H2578" s="67"/>
      <c r="I2578" s="68"/>
      <c r="J2578" s="68"/>
      <c r="K2578" s="32"/>
      <c r="L2578" s="75">
        <v>2578</v>
      </c>
      <c r="M2578" s="75"/>
      <c r="N2578" s="70"/>
      <c r="O2578" s="77" t="s">
        <v>179</v>
      </c>
      <c r="P2578" s="79">
        <v>45048.865081018521</v>
      </c>
      <c r="Q2578" s="77" t="s">
        <v>3355</v>
      </c>
      <c r="R2578" s="77">
        <v>0</v>
      </c>
      <c r="S2578" s="77">
        <v>0</v>
      </c>
      <c r="T2578" s="77">
        <v>0</v>
      </c>
      <c r="U2578" s="77">
        <v>0</v>
      </c>
      <c r="V2578" s="77">
        <v>31</v>
      </c>
      <c r="W2578" s="82" t="s">
        <v>6382</v>
      </c>
      <c r="X2578" s="80" t="str">
        <f>HYPERLINK("https://tinyurl.com/2qghpmlj")</f>
        <v>https://tinyurl.com/2qghpmlj</v>
      </c>
      <c r="Y2578" s="77" t="s">
        <v>7068</v>
      </c>
      <c r="Z2578" s="77"/>
      <c r="AA2578" s="77"/>
      <c r="AB2578" s="77"/>
      <c r="AC2578" s="82" t="s">
        <v>8275</v>
      </c>
      <c r="AD2578" s="77" t="s">
        <v>8278</v>
      </c>
      <c r="AE2578" s="80" t="str">
        <f>HYPERLINK("https://twitter.com/pauta_economica/status/1653501039528628252")</f>
        <v>https://twitter.com/pauta_economica/status/1653501039528628252</v>
      </c>
      <c r="AF2578" s="79">
        <v>45048.865081018521</v>
      </c>
      <c r="AG2578" s="85">
        <v>45048</v>
      </c>
      <c r="AH2578" s="82" t="s">
        <v>10622</v>
      </c>
      <c r="AI2578" s="77" t="b">
        <v>0</v>
      </c>
      <c r="AJ2578" s="77"/>
      <c r="AK2578" s="77"/>
      <c r="AL2578" s="77"/>
      <c r="AM2578" s="77"/>
      <c r="AN2578" s="77"/>
      <c r="AO2578" s="77"/>
      <c r="AP2578" s="77"/>
      <c r="AQ2578" s="77"/>
      <c r="AR2578" s="77"/>
      <c r="AS2578" s="77"/>
      <c r="AT2578" s="77"/>
      <c r="AU2578" s="77"/>
      <c r="AV2578" s="80" t="str">
        <f>HYPERLINK("https://pbs.twimg.com/profile_images/1588668531910082561/XEi-lXiu_normal.jpg")</f>
        <v>https://pbs.twimg.com/profile_images/1588668531910082561/XEi-lXiu_normal.jpg</v>
      </c>
      <c r="AW2578" s="82" t="s">
        <v>15662</v>
      </c>
      <c r="AX2578" s="82" t="s">
        <v>15662</v>
      </c>
      <c r="AY2578" s="77"/>
      <c r="AZ2578" s="82" t="s">
        <v>17385</v>
      </c>
      <c r="BA2578" s="82" t="s">
        <v>17385</v>
      </c>
      <c r="BB2578" s="82" t="s">
        <v>17385</v>
      </c>
      <c r="BC2578" s="82" t="s">
        <v>15662</v>
      </c>
      <c r="BD2578" s="82" t="s">
        <v>17667</v>
      </c>
      <c r="BE2578" s="77"/>
      <c r="BF2578" s="77"/>
      <c r="BG2578" s="77"/>
      <c r="BH2578" s="77"/>
      <c r="BI2578" s="77"/>
    </row>
    <row r="2579" spans="1:61" x14ac:dyDescent="0.25">
      <c r="A2579" s="62" t="s">
        <v>646</v>
      </c>
      <c r="B2579" s="62" t="s">
        <v>646</v>
      </c>
      <c r="C2579" s="63"/>
      <c r="D2579" s="64"/>
      <c r="E2579" s="65"/>
      <c r="F2579" s="66"/>
      <c r="G2579" s="63"/>
      <c r="H2579" s="67"/>
      <c r="I2579" s="68"/>
      <c r="J2579" s="68"/>
      <c r="K2579" s="32"/>
      <c r="L2579" s="75">
        <v>2579</v>
      </c>
      <c r="M2579" s="75"/>
      <c r="N2579" s="70"/>
      <c r="O2579" s="77" t="s">
        <v>179</v>
      </c>
      <c r="P2579" s="79">
        <v>45048.837291666663</v>
      </c>
      <c r="Q2579" s="77" t="s">
        <v>3356</v>
      </c>
      <c r="R2579" s="77">
        <v>0</v>
      </c>
      <c r="S2579" s="77">
        <v>0</v>
      </c>
      <c r="T2579" s="77">
        <v>0</v>
      </c>
      <c r="U2579" s="77">
        <v>0</v>
      </c>
      <c r="V2579" s="77">
        <v>35</v>
      </c>
      <c r="W2579" s="82" t="s">
        <v>6382</v>
      </c>
      <c r="X2579" s="80" t="str">
        <f>HYPERLINK("https://tinyurl.com/2zaewtcv")</f>
        <v>https://tinyurl.com/2zaewtcv</v>
      </c>
      <c r="Y2579" s="77" t="s">
        <v>7068</v>
      </c>
      <c r="Z2579" s="77"/>
      <c r="AA2579" s="77"/>
      <c r="AB2579" s="77"/>
      <c r="AC2579" s="82" t="s">
        <v>8275</v>
      </c>
      <c r="AD2579" s="77" t="s">
        <v>8278</v>
      </c>
      <c r="AE2579" s="80" t="str">
        <f>HYPERLINK("https://twitter.com/pauta_economica/status/1653490971764465665")</f>
        <v>https://twitter.com/pauta_economica/status/1653490971764465665</v>
      </c>
      <c r="AF2579" s="79">
        <v>45048.837291666663</v>
      </c>
      <c r="AG2579" s="85">
        <v>45048</v>
      </c>
      <c r="AH2579" s="82" t="s">
        <v>10623</v>
      </c>
      <c r="AI2579" s="77" t="b">
        <v>0</v>
      </c>
      <c r="AJ2579" s="77"/>
      <c r="AK2579" s="77"/>
      <c r="AL2579" s="77"/>
      <c r="AM2579" s="77"/>
      <c r="AN2579" s="77"/>
      <c r="AO2579" s="77"/>
      <c r="AP2579" s="77"/>
      <c r="AQ2579" s="77"/>
      <c r="AR2579" s="77"/>
      <c r="AS2579" s="77"/>
      <c r="AT2579" s="77"/>
      <c r="AU2579" s="77"/>
      <c r="AV2579" s="80" t="str">
        <f>HYPERLINK("https://pbs.twimg.com/profile_images/1588668531910082561/XEi-lXiu_normal.jpg")</f>
        <v>https://pbs.twimg.com/profile_images/1588668531910082561/XEi-lXiu_normal.jpg</v>
      </c>
      <c r="AW2579" s="82" t="s">
        <v>15663</v>
      </c>
      <c r="AX2579" s="82" t="s">
        <v>15663</v>
      </c>
      <c r="AY2579" s="77"/>
      <c r="AZ2579" s="82" t="s">
        <v>17385</v>
      </c>
      <c r="BA2579" s="82" t="s">
        <v>17385</v>
      </c>
      <c r="BB2579" s="82" t="s">
        <v>17385</v>
      </c>
      <c r="BC2579" s="82" t="s">
        <v>15663</v>
      </c>
      <c r="BD2579" s="82" t="s">
        <v>17667</v>
      </c>
      <c r="BE2579" s="77"/>
      <c r="BF2579" s="77"/>
      <c r="BG2579" s="77"/>
      <c r="BH2579" s="77"/>
      <c r="BI2579" s="77"/>
    </row>
    <row r="2580" spans="1:61" x14ac:dyDescent="0.25">
      <c r="A2580" s="62" t="s">
        <v>646</v>
      </c>
      <c r="B2580" s="62" t="s">
        <v>646</v>
      </c>
      <c r="C2580" s="63"/>
      <c r="D2580" s="64"/>
      <c r="E2580" s="65"/>
      <c r="F2580" s="66"/>
      <c r="G2580" s="63"/>
      <c r="H2580" s="67"/>
      <c r="I2580" s="68"/>
      <c r="J2580" s="68"/>
      <c r="K2580" s="32"/>
      <c r="L2580" s="75">
        <v>2580</v>
      </c>
      <c r="M2580" s="75"/>
      <c r="N2580" s="70"/>
      <c r="O2580" s="77" t="s">
        <v>179</v>
      </c>
      <c r="P2580" s="79">
        <v>45048.809386574074</v>
      </c>
      <c r="Q2580" s="77" t="s">
        <v>3357</v>
      </c>
      <c r="R2580" s="77">
        <v>0</v>
      </c>
      <c r="S2580" s="77">
        <v>0</v>
      </c>
      <c r="T2580" s="77">
        <v>0</v>
      </c>
      <c r="U2580" s="77">
        <v>0</v>
      </c>
      <c r="V2580" s="77">
        <v>28</v>
      </c>
      <c r="W2580" s="82" t="s">
        <v>6382</v>
      </c>
      <c r="X2580" s="80" t="str">
        <f>HYPERLINK("https://tinyurl.com/2znwagxf")</f>
        <v>https://tinyurl.com/2znwagxf</v>
      </c>
      <c r="Y2580" s="77" t="s">
        <v>7068</v>
      </c>
      <c r="Z2580" s="77"/>
      <c r="AA2580" s="77"/>
      <c r="AB2580" s="77"/>
      <c r="AC2580" s="82" t="s">
        <v>8275</v>
      </c>
      <c r="AD2580" s="77" t="s">
        <v>8278</v>
      </c>
      <c r="AE2580" s="80" t="str">
        <f>HYPERLINK("https://twitter.com/pauta_economica/status/1653480857494081536")</f>
        <v>https://twitter.com/pauta_economica/status/1653480857494081536</v>
      </c>
      <c r="AF2580" s="79">
        <v>45048.809386574074</v>
      </c>
      <c r="AG2580" s="85">
        <v>45048</v>
      </c>
      <c r="AH2580" s="82" t="s">
        <v>10624</v>
      </c>
      <c r="AI2580" s="77" t="b">
        <v>0</v>
      </c>
      <c r="AJ2580" s="77"/>
      <c r="AK2580" s="77"/>
      <c r="AL2580" s="77"/>
      <c r="AM2580" s="77"/>
      <c r="AN2580" s="77"/>
      <c r="AO2580" s="77"/>
      <c r="AP2580" s="77"/>
      <c r="AQ2580" s="77"/>
      <c r="AR2580" s="77"/>
      <c r="AS2580" s="77"/>
      <c r="AT2580" s="77"/>
      <c r="AU2580" s="77"/>
      <c r="AV2580" s="80" t="str">
        <f>HYPERLINK("https://pbs.twimg.com/profile_images/1588668531910082561/XEi-lXiu_normal.jpg")</f>
        <v>https://pbs.twimg.com/profile_images/1588668531910082561/XEi-lXiu_normal.jpg</v>
      </c>
      <c r="AW2580" s="82" t="s">
        <v>15664</v>
      </c>
      <c r="AX2580" s="82" t="s">
        <v>15664</v>
      </c>
      <c r="AY2580" s="77"/>
      <c r="AZ2580" s="82" t="s">
        <v>17385</v>
      </c>
      <c r="BA2580" s="82" t="s">
        <v>17385</v>
      </c>
      <c r="BB2580" s="82" t="s">
        <v>17385</v>
      </c>
      <c r="BC2580" s="82" t="s">
        <v>15664</v>
      </c>
      <c r="BD2580" s="82" t="s">
        <v>17667</v>
      </c>
      <c r="BE2580" s="77"/>
      <c r="BF2580" s="77"/>
      <c r="BG2580" s="77"/>
      <c r="BH2580" s="77"/>
      <c r="BI2580" s="77"/>
    </row>
    <row r="2581" spans="1:61" x14ac:dyDescent="0.25">
      <c r="A2581" s="62" t="s">
        <v>646</v>
      </c>
      <c r="B2581" s="62" t="s">
        <v>646</v>
      </c>
      <c r="C2581" s="63"/>
      <c r="D2581" s="64"/>
      <c r="E2581" s="65"/>
      <c r="F2581" s="66"/>
      <c r="G2581" s="63"/>
      <c r="H2581" s="67"/>
      <c r="I2581" s="68"/>
      <c r="J2581" s="68"/>
      <c r="K2581" s="32"/>
      <c r="L2581" s="75">
        <v>2581</v>
      </c>
      <c r="M2581" s="75"/>
      <c r="N2581" s="70"/>
      <c r="O2581" s="77" t="s">
        <v>179</v>
      </c>
      <c r="P2581" s="79">
        <v>45048.781481481485</v>
      </c>
      <c r="Q2581" s="77" t="s">
        <v>3358</v>
      </c>
      <c r="R2581" s="77">
        <v>0</v>
      </c>
      <c r="S2581" s="77">
        <v>0</v>
      </c>
      <c r="T2581" s="77">
        <v>0</v>
      </c>
      <c r="U2581" s="77">
        <v>0</v>
      </c>
      <c r="V2581" s="77">
        <v>29</v>
      </c>
      <c r="W2581" s="82" t="s">
        <v>6382</v>
      </c>
      <c r="X2581" s="80" t="str">
        <f>HYPERLINK("https://tinyurl.com/2kp9x9jx")</f>
        <v>https://tinyurl.com/2kp9x9jx</v>
      </c>
      <c r="Y2581" s="77" t="s">
        <v>7068</v>
      </c>
      <c r="Z2581" s="77"/>
      <c r="AA2581" s="77"/>
      <c r="AB2581" s="77"/>
      <c r="AC2581" s="82" t="s">
        <v>8275</v>
      </c>
      <c r="AD2581" s="77" t="s">
        <v>8278</v>
      </c>
      <c r="AE2581" s="80" t="str">
        <f>HYPERLINK("https://twitter.com/pauta_economica/status/1653470746432159751")</f>
        <v>https://twitter.com/pauta_economica/status/1653470746432159751</v>
      </c>
      <c r="AF2581" s="79">
        <v>45048.781481481485</v>
      </c>
      <c r="AG2581" s="85">
        <v>45048</v>
      </c>
      <c r="AH2581" s="82" t="s">
        <v>10625</v>
      </c>
      <c r="AI2581" s="77" t="b">
        <v>0</v>
      </c>
      <c r="AJ2581" s="77"/>
      <c r="AK2581" s="77"/>
      <c r="AL2581" s="77"/>
      <c r="AM2581" s="77"/>
      <c r="AN2581" s="77"/>
      <c r="AO2581" s="77"/>
      <c r="AP2581" s="77"/>
      <c r="AQ2581" s="77"/>
      <c r="AR2581" s="77"/>
      <c r="AS2581" s="77"/>
      <c r="AT2581" s="77"/>
      <c r="AU2581" s="77"/>
      <c r="AV2581" s="80" t="str">
        <f>HYPERLINK("https://pbs.twimg.com/profile_images/1588668531910082561/XEi-lXiu_normal.jpg")</f>
        <v>https://pbs.twimg.com/profile_images/1588668531910082561/XEi-lXiu_normal.jpg</v>
      </c>
      <c r="AW2581" s="82" t="s">
        <v>15665</v>
      </c>
      <c r="AX2581" s="82" t="s">
        <v>15665</v>
      </c>
      <c r="AY2581" s="77"/>
      <c r="AZ2581" s="82" t="s">
        <v>17385</v>
      </c>
      <c r="BA2581" s="82" t="s">
        <v>17385</v>
      </c>
      <c r="BB2581" s="82" t="s">
        <v>17385</v>
      </c>
      <c r="BC2581" s="82" t="s">
        <v>15665</v>
      </c>
      <c r="BD2581" s="82" t="s">
        <v>17667</v>
      </c>
      <c r="BE2581" s="77"/>
      <c r="BF2581" s="77"/>
      <c r="BG2581" s="77"/>
      <c r="BH2581" s="77"/>
      <c r="BI2581" s="77"/>
    </row>
    <row r="2582" spans="1:61" x14ac:dyDescent="0.25">
      <c r="A2582" s="62" t="s">
        <v>646</v>
      </c>
      <c r="B2582" s="62" t="s">
        <v>646</v>
      </c>
      <c r="C2582" s="63"/>
      <c r="D2582" s="64"/>
      <c r="E2582" s="65"/>
      <c r="F2582" s="66"/>
      <c r="G2582" s="63"/>
      <c r="H2582" s="67"/>
      <c r="I2582" s="68"/>
      <c r="J2582" s="68"/>
      <c r="K2582" s="32"/>
      <c r="L2582" s="75">
        <v>2582</v>
      </c>
      <c r="M2582" s="75"/>
      <c r="N2582" s="70"/>
      <c r="O2582" s="77" t="s">
        <v>179</v>
      </c>
      <c r="P2582" s="79">
        <v>45048.753564814811</v>
      </c>
      <c r="Q2582" s="77" t="s">
        <v>3359</v>
      </c>
      <c r="R2582" s="77">
        <v>0</v>
      </c>
      <c r="S2582" s="77">
        <v>0</v>
      </c>
      <c r="T2582" s="77">
        <v>0</v>
      </c>
      <c r="U2582" s="77">
        <v>0</v>
      </c>
      <c r="V2582" s="77">
        <v>40</v>
      </c>
      <c r="W2582" s="82" t="s">
        <v>6382</v>
      </c>
      <c r="X2582" s="80" t="str">
        <f>HYPERLINK("https://tinyurl.com/2m93nq7o")</f>
        <v>https://tinyurl.com/2m93nq7o</v>
      </c>
      <c r="Y2582" s="77" t="s">
        <v>7068</v>
      </c>
      <c r="Z2582" s="77"/>
      <c r="AA2582" s="77"/>
      <c r="AB2582" s="77"/>
      <c r="AC2582" s="82" t="s">
        <v>8275</v>
      </c>
      <c r="AD2582" s="77" t="s">
        <v>8278</v>
      </c>
      <c r="AE2582" s="80" t="str">
        <f>HYPERLINK("https://twitter.com/pauta_economica/status/1653460629250883586")</f>
        <v>https://twitter.com/pauta_economica/status/1653460629250883586</v>
      </c>
      <c r="AF2582" s="79">
        <v>45048.753564814811</v>
      </c>
      <c r="AG2582" s="85">
        <v>45048</v>
      </c>
      <c r="AH2582" s="82" t="s">
        <v>10626</v>
      </c>
      <c r="AI2582" s="77" t="b">
        <v>0</v>
      </c>
      <c r="AJ2582" s="77"/>
      <c r="AK2582" s="77"/>
      <c r="AL2582" s="77"/>
      <c r="AM2582" s="77"/>
      <c r="AN2582" s="77"/>
      <c r="AO2582" s="77"/>
      <c r="AP2582" s="77"/>
      <c r="AQ2582" s="77"/>
      <c r="AR2582" s="77"/>
      <c r="AS2582" s="77"/>
      <c r="AT2582" s="77"/>
      <c r="AU2582" s="77"/>
      <c r="AV2582" s="80" t="str">
        <f>HYPERLINK("https://pbs.twimg.com/profile_images/1588668531910082561/XEi-lXiu_normal.jpg")</f>
        <v>https://pbs.twimg.com/profile_images/1588668531910082561/XEi-lXiu_normal.jpg</v>
      </c>
      <c r="AW2582" s="82" t="s">
        <v>15666</v>
      </c>
      <c r="AX2582" s="82" t="s">
        <v>15666</v>
      </c>
      <c r="AY2582" s="77"/>
      <c r="AZ2582" s="82" t="s">
        <v>17385</v>
      </c>
      <c r="BA2582" s="82" t="s">
        <v>17385</v>
      </c>
      <c r="BB2582" s="82" t="s">
        <v>17385</v>
      </c>
      <c r="BC2582" s="82" t="s">
        <v>15666</v>
      </c>
      <c r="BD2582" s="82" t="s">
        <v>17667</v>
      </c>
      <c r="BE2582" s="77"/>
      <c r="BF2582" s="77"/>
      <c r="BG2582" s="77"/>
      <c r="BH2582" s="77"/>
      <c r="BI2582" s="77"/>
    </row>
    <row r="2583" spans="1:61" x14ac:dyDescent="0.25">
      <c r="A2583" s="62" t="s">
        <v>646</v>
      </c>
      <c r="B2583" s="62" t="s">
        <v>646</v>
      </c>
      <c r="C2583" s="63"/>
      <c r="D2583" s="64"/>
      <c r="E2583" s="65"/>
      <c r="F2583" s="66"/>
      <c r="G2583" s="63"/>
      <c r="H2583" s="67"/>
      <c r="I2583" s="68"/>
      <c r="J2583" s="68"/>
      <c r="K2583" s="32"/>
      <c r="L2583" s="75">
        <v>2583</v>
      </c>
      <c r="M2583" s="75"/>
      <c r="N2583" s="70"/>
      <c r="O2583" s="77" t="s">
        <v>179</v>
      </c>
      <c r="P2583" s="79">
        <v>45048.725763888891</v>
      </c>
      <c r="Q2583" s="77" t="s">
        <v>3360</v>
      </c>
      <c r="R2583" s="77">
        <v>0</v>
      </c>
      <c r="S2583" s="77">
        <v>0</v>
      </c>
      <c r="T2583" s="77">
        <v>0</v>
      </c>
      <c r="U2583" s="77">
        <v>0</v>
      </c>
      <c r="V2583" s="77">
        <v>25</v>
      </c>
      <c r="W2583" s="82" t="s">
        <v>6382</v>
      </c>
      <c r="X2583" s="80" t="str">
        <f>HYPERLINK("https://tinyurl.com/2go2hlw2")</f>
        <v>https://tinyurl.com/2go2hlw2</v>
      </c>
      <c r="Y2583" s="77" t="s">
        <v>7068</v>
      </c>
      <c r="Z2583" s="77"/>
      <c r="AA2583" s="77"/>
      <c r="AB2583" s="77"/>
      <c r="AC2583" s="82" t="s">
        <v>8275</v>
      </c>
      <c r="AD2583" s="77" t="s">
        <v>8278</v>
      </c>
      <c r="AE2583" s="80" t="str">
        <f>HYPERLINK("https://twitter.com/pauta_economica/status/1653450552661901324")</f>
        <v>https://twitter.com/pauta_economica/status/1653450552661901324</v>
      </c>
      <c r="AF2583" s="79">
        <v>45048.725763888891</v>
      </c>
      <c r="AG2583" s="85">
        <v>45048</v>
      </c>
      <c r="AH2583" s="82" t="s">
        <v>10627</v>
      </c>
      <c r="AI2583" s="77" t="b">
        <v>0</v>
      </c>
      <c r="AJ2583" s="77"/>
      <c r="AK2583" s="77"/>
      <c r="AL2583" s="77"/>
      <c r="AM2583" s="77"/>
      <c r="AN2583" s="77"/>
      <c r="AO2583" s="77"/>
      <c r="AP2583" s="77"/>
      <c r="AQ2583" s="77"/>
      <c r="AR2583" s="77"/>
      <c r="AS2583" s="77"/>
      <c r="AT2583" s="77"/>
      <c r="AU2583" s="77"/>
      <c r="AV2583" s="80" t="str">
        <f>HYPERLINK("https://pbs.twimg.com/profile_images/1588668531910082561/XEi-lXiu_normal.jpg")</f>
        <v>https://pbs.twimg.com/profile_images/1588668531910082561/XEi-lXiu_normal.jpg</v>
      </c>
      <c r="AW2583" s="82" t="s">
        <v>15667</v>
      </c>
      <c r="AX2583" s="82" t="s">
        <v>15667</v>
      </c>
      <c r="AY2583" s="77"/>
      <c r="AZ2583" s="82" t="s">
        <v>17385</v>
      </c>
      <c r="BA2583" s="82" t="s">
        <v>17385</v>
      </c>
      <c r="BB2583" s="82" t="s">
        <v>17385</v>
      </c>
      <c r="BC2583" s="82" t="s">
        <v>15667</v>
      </c>
      <c r="BD2583" s="82" t="s">
        <v>17667</v>
      </c>
      <c r="BE2583" s="77"/>
      <c r="BF2583" s="77"/>
      <c r="BG2583" s="77"/>
      <c r="BH2583" s="77"/>
      <c r="BI2583" s="77"/>
    </row>
    <row r="2584" spans="1:61" x14ac:dyDescent="0.25">
      <c r="A2584" s="62" t="s">
        <v>646</v>
      </c>
      <c r="B2584" s="62" t="s">
        <v>646</v>
      </c>
      <c r="C2584" s="63"/>
      <c r="D2584" s="64"/>
      <c r="E2584" s="65"/>
      <c r="F2584" s="66"/>
      <c r="G2584" s="63"/>
      <c r="H2584" s="67"/>
      <c r="I2584" s="68"/>
      <c r="J2584" s="68"/>
      <c r="K2584" s="32"/>
      <c r="L2584" s="75">
        <v>2584</v>
      </c>
      <c r="M2584" s="75"/>
      <c r="N2584" s="70"/>
      <c r="O2584" s="77" t="s">
        <v>179</v>
      </c>
      <c r="P2584" s="79">
        <v>45048.697870370372</v>
      </c>
      <c r="Q2584" s="77" t="s">
        <v>3361</v>
      </c>
      <c r="R2584" s="77">
        <v>0</v>
      </c>
      <c r="S2584" s="77">
        <v>0</v>
      </c>
      <c r="T2584" s="77">
        <v>0</v>
      </c>
      <c r="U2584" s="77">
        <v>0</v>
      </c>
      <c r="V2584" s="77">
        <v>36</v>
      </c>
      <c r="W2584" s="82" t="s">
        <v>6382</v>
      </c>
      <c r="X2584" s="80" t="str">
        <f>HYPERLINK("https://tinyurl.com/2zkrpm9p")</f>
        <v>https://tinyurl.com/2zkrpm9p</v>
      </c>
      <c r="Y2584" s="77" t="s">
        <v>7068</v>
      </c>
      <c r="Z2584" s="77"/>
      <c r="AA2584" s="77"/>
      <c r="AB2584" s="77"/>
      <c r="AC2584" s="82" t="s">
        <v>8275</v>
      </c>
      <c r="AD2584" s="77" t="s">
        <v>8278</v>
      </c>
      <c r="AE2584" s="80" t="str">
        <f>HYPERLINK("https://twitter.com/pauta_economica/status/1653440448185217025")</f>
        <v>https://twitter.com/pauta_economica/status/1653440448185217025</v>
      </c>
      <c r="AF2584" s="79">
        <v>45048.697870370372</v>
      </c>
      <c r="AG2584" s="85">
        <v>45048</v>
      </c>
      <c r="AH2584" s="82" t="s">
        <v>10628</v>
      </c>
      <c r="AI2584" s="77" t="b">
        <v>0</v>
      </c>
      <c r="AJ2584" s="77"/>
      <c r="AK2584" s="77"/>
      <c r="AL2584" s="77"/>
      <c r="AM2584" s="77"/>
      <c r="AN2584" s="77"/>
      <c r="AO2584" s="77"/>
      <c r="AP2584" s="77"/>
      <c r="AQ2584" s="77"/>
      <c r="AR2584" s="77"/>
      <c r="AS2584" s="77"/>
      <c r="AT2584" s="77"/>
      <c r="AU2584" s="77"/>
      <c r="AV2584" s="80" t="str">
        <f>HYPERLINK("https://pbs.twimg.com/profile_images/1588668531910082561/XEi-lXiu_normal.jpg")</f>
        <v>https://pbs.twimg.com/profile_images/1588668531910082561/XEi-lXiu_normal.jpg</v>
      </c>
      <c r="AW2584" s="82" t="s">
        <v>15668</v>
      </c>
      <c r="AX2584" s="82" t="s">
        <v>15668</v>
      </c>
      <c r="AY2584" s="77"/>
      <c r="AZ2584" s="82" t="s">
        <v>17385</v>
      </c>
      <c r="BA2584" s="82" t="s">
        <v>17385</v>
      </c>
      <c r="BB2584" s="82" t="s">
        <v>17385</v>
      </c>
      <c r="BC2584" s="82" t="s">
        <v>15668</v>
      </c>
      <c r="BD2584" s="82" t="s">
        <v>17667</v>
      </c>
      <c r="BE2584" s="77"/>
      <c r="BF2584" s="77"/>
      <c r="BG2584" s="77"/>
      <c r="BH2584" s="77"/>
      <c r="BI2584" s="77"/>
    </row>
    <row r="2585" spans="1:61" x14ac:dyDescent="0.25">
      <c r="A2585" s="62" t="s">
        <v>646</v>
      </c>
      <c r="B2585" s="62" t="s">
        <v>646</v>
      </c>
      <c r="C2585" s="63"/>
      <c r="D2585" s="64"/>
      <c r="E2585" s="65"/>
      <c r="F2585" s="66"/>
      <c r="G2585" s="63"/>
      <c r="H2585" s="67"/>
      <c r="I2585" s="68"/>
      <c r="J2585" s="68"/>
      <c r="K2585" s="32"/>
      <c r="L2585" s="75">
        <v>2585</v>
      </c>
      <c r="M2585" s="75"/>
      <c r="N2585" s="70"/>
      <c r="O2585" s="77" t="s">
        <v>179</v>
      </c>
      <c r="P2585" s="79">
        <v>45048.670069444444</v>
      </c>
      <c r="Q2585" s="77" t="s">
        <v>3362</v>
      </c>
      <c r="R2585" s="77">
        <v>0</v>
      </c>
      <c r="S2585" s="77">
        <v>0</v>
      </c>
      <c r="T2585" s="77">
        <v>0</v>
      </c>
      <c r="U2585" s="77">
        <v>0</v>
      </c>
      <c r="V2585" s="77">
        <v>23</v>
      </c>
      <c r="W2585" s="82" t="s">
        <v>6382</v>
      </c>
      <c r="X2585" s="80" t="str">
        <f>HYPERLINK("https://tinyurl.com/2fawoed6")</f>
        <v>https://tinyurl.com/2fawoed6</v>
      </c>
      <c r="Y2585" s="77" t="s">
        <v>7068</v>
      </c>
      <c r="Z2585" s="77"/>
      <c r="AA2585" s="77"/>
      <c r="AB2585" s="77"/>
      <c r="AC2585" s="82" t="s">
        <v>8275</v>
      </c>
      <c r="AD2585" s="77" t="s">
        <v>8278</v>
      </c>
      <c r="AE2585" s="80" t="str">
        <f>HYPERLINK("https://twitter.com/pauta_economica/status/1653430369998307329")</f>
        <v>https://twitter.com/pauta_economica/status/1653430369998307329</v>
      </c>
      <c r="AF2585" s="79">
        <v>45048.670069444444</v>
      </c>
      <c r="AG2585" s="85">
        <v>45048</v>
      </c>
      <c r="AH2585" s="82" t="s">
        <v>10629</v>
      </c>
      <c r="AI2585" s="77" t="b">
        <v>0</v>
      </c>
      <c r="AJ2585" s="77"/>
      <c r="AK2585" s="77"/>
      <c r="AL2585" s="77"/>
      <c r="AM2585" s="77"/>
      <c r="AN2585" s="77"/>
      <c r="AO2585" s="77"/>
      <c r="AP2585" s="77"/>
      <c r="AQ2585" s="77"/>
      <c r="AR2585" s="77"/>
      <c r="AS2585" s="77"/>
      <c r="AT2585" s="77"/>
      <c r="AU2585" s="77"/>
      <c r="AV2585" s="80" t="str">
        <f>HYPERLINK("https://pbs.twimg.com/profile_images/1588668531910082561/XEi-lXiu_normal.jpg")</f>
        <v>https://pbs.twimg.com/profile_images/1588668531910082561/XEi-lXiu_normal.jpg</v>
      </c>
      <c r="AW2585" s="82" t="s">
        <v>15669</v>
      </c>
      <c r="AX2585" s="82" t="s">
        <v>15669</v>
      </c>
      <c r="AY2585" s="77"/>
      <c r="AZ2585" s="82" t="s">
        <v>17385</v>
      </c>
      <c r="BA2585" s="82" t="s">
        <v>17385</v>
      </c>
      <c r="BB2585" s="82" t="s">
        <v>17385</v>
      </c>
      <c r="BC2585" s="82" t="s">
        <v>15669</v>
      </c>
      <c r="BD2585" s="82" t="s">
        <v>17667</v>
      </c>
      <c r="BE2585" s="77"/>
      <c r="BF2585" s="77"/>
      <c r="BG2585" s="77"/>
      <c r="BH2585" s="77"/>
      <c r="BI2585" s="77"/>
    </row>
    <row r="2586" spans="1:61" x14ac:dyDescent="0.25">
      <c r="A2586" s="62" t="s">
        <v>646</v>
      </c>
      <c r="B2586" s="62" t="s">
        <v>646</v>
      </c>
      <c r="C2586" s="63"/>
      <c r="D2586" s="64"/>
      <c r="E2586" s="65"/>
      <c r="F2586" s="66"/>
      <c r="G2586" s="63"/>
      <c r="H2586" s="67"/>
      <c r="I2586" s="68"/>
      <c r="J2586" s="68"/>
      <c r="K2586" s="32"/>
      <c r="L2586" s="75">
        <v>2586</v>
      </c>
      <c r="M2586" s="75"/>
      <c r="N2586" s="70"/>
      <c r="O2586" s="77" t="s">
        <v>179</v>
      </c>
      <c r="P2586" s="79">
        <v>45048.642210648148</v>
      </c>
      <c r="Q2586" s="77" t="s">
        <v>3363</v>
      </c>
      <c r="R2586" s="77">
        <v>0</v>
      </c>
      <c r="S2586" s="77">
        <v>0</v>
      </c>
      <c r="T2586" s="77">
        <v>0</v>
      </c>
      <c r="U2586" s="77">
        <v>0</v>
      </c>
      <c r="V2586" s="77">
        <v>26</v>
      </c>
      <c r="W2586" s="82" t="s">
        <v>6382</v>
      </c>
      <c r="X2586" s="80" t="str">
        <f>HYPERLINK("https://tinyurl.com/2h5njopy")</f>
        <v>https://tinyurl.com/2h5njopy</v>
      </c>
      <c r="Y2586" s="77" t="s">
        <v>7068</v>
      </c>
      <c r="Z2586" s="77"/>
      <c r="AA2586" s="77"/>
      <c r="AB2586" s="77"/>
      <c r="AC2586" s="82" t="s">
        <v>8275</v>
      </c>
      <c r="AD2586" s="77" t="s">
        <v>8278</v>
      </c>
      <c r="AE2586" s="80" t="str">
        <f>HYPERLINK("https://twitter.com/pauta_economica/status/1653420274547662848")</f>
        <v>https://twitter.com/pauta_economica/status/1653420274547662848</v>
      </c>
      <c r="AF2586" s="79">
        <v>45048.642210648148</v>
      </c>
      <c r="AG2586" s="85">
        <v>45048</v>
      </c>
      <c r="AH2586" s="82" t="s">
        <v>10630</v>
      </c>
      <c r="AI2586" s="77" t="b">
        <v>0</v>
      </c>
      <c r="AJ2586" s="77"/>
      <c r="AK2586" s="77"/>
      <c r="AL2586" s="77"/>
      <c r="AM2586" s="77"/>
      <c r="AN2586" s="77"/>
      <c r="AO2586" s="77"/>
      <c r="AP2586" s="77"/>
      <c r="AQ2586" s="77"/>
      <c r="AR2586" s="77"/>
      <c r="AS2586" s="77"/>
      <c r="AT2586" s="77"/>
      <c r="AU2586" s="77"/>
      <c r="AV2586" s="80" t="str">
        <f>HYPERLINK("https://pbs.twimg.com/profile_images/1588668531910082561/XEi-lXiu_normal.jpg")</f>
        <v>https://pbs.twimg.com/profile_images/1588668531910082561/XEi-lXiu_normal.jpg</v>
      </c>
      <c r="AW2586" s="82" t="s">
        <v>15670</v>
      </c>
      <c r="AX2586" s="82" t="s">
        <v>15670</v>
      </c>
      <c r="AY2586" s="77"/>
      <c r="AZ2586" s="82" t="s">
        <v>17385</v>
      </c>
      <c r="BA2586" s="82" t="s">
        <v>17385</v>
      </c>
      <c r="BB2586" s="82" t="s">
        <v>17385</v>
      </c>
      <c r="BC2586" s="82" t="s">
        <v>15670</v>
      </c>
      <c r="BD2586" s="82" t="s">
        <v>17667</v>
      </c>
      <c r="BE2586" s="77"/>
      <c r="BF2586" s="77"/>
      <c r="BG2586" s="77"/>
      <c r="BH2586" s="77"/>
      <c r="BI2586" s="77"/>
    </row>
    <row r="2587" spans="1:61" x14ac:dyDescent="0.25">
      <c r="A2587" s="62" t="s">
        <v>646</v>
      </c>
      <c r="B2587" s="62" t="s">
        <v>646</v>
      </c>
      <c r="C2587" s="63"/>
      <c r="D2587" s="64"/>
      <c r="E2587" s="65"/>
      <c r="F2587" s="66"/>
      <c r="G2587" s="63"/>
      <c r="H2587" s="67"/>
      <c r="I2587" s="68"/>
      <c r="J2587" s="68"/>
      <c r="K2587" s="32"/>
      <c r="L2587" s="75">
        <v>2587</v>
      </c>
      <c r="M2587" s="75"/>
      <c r="N2587" s="70"/>
      <c r="O2587" s="77" t="s">
        <v>179</v>
      </c>
      <c r="P2587" s="79">
        <v>45048.614386574074</v>
      </c>
      <c r="Q2587" s="77" t="s">
        <v>3364</v>
      </c>
      <c r="R2587" s="77">
        <v>0</v>
      </c>
      <c r="S2587" s="77">
        <v>0</v>
      </c>
      <c r="T2587" s="77">
        <v>0</v>
      </c>
      <c r="U2587" s="77">
        <v>0</v>
      </c>
      <c r="V2587" s="77">
        <v>30</v>
      </c>
      <c r="W2587" s="82" t="s">
        <v>6382</v>
      </c>
      <c r="X2587" s="80" t="str">
        <f>HYPERLINK("https://tinyurl.com/2jh6wysb")</f>
        <v>https://tinyurl.com/2jh6wysb</v>
      </c>
      <c r="Y2587" s="77" t="s">
        <v>7068</v>
      </c>
      <c r="Z2587" s="77"/>
      <c r="AA2587" s="77"/>
      <c r="AB2587" s="77"/>
      <c r="AC2587" s="82" t="s">
        <v>8275</v>
      </c>
      <c r="AD2587" s="77" t="s">
        <v>8278</v>
      </c>
      <c r="AE2587" s="80" t="str">
        <f>HYPERLINK("https://twitter.com/pauta_economica/status/1653410193693089793")</f>
        <v>https://twitter.com/pauta_economica/status/1653410193693089793</v>
      </c>
      <c r="AF2587" s="79">
        <v>45048.614386574074</v>
      </c>
      <c r="AG2587" s="85">
        <v>45048</v>
      </c>
      <c r="AH2587" s="82" t="s">
        <v>10631</v>
      </c>
      <c r="AI2587" s="77" t="b">
        <v>0</v>
      </c>
      <c r="AJ2587" s="77"/>
      <c r="AK2587" s="77"/>
      <c r="AL2587" s="77"/>
      <c r="AM2587" s="77"/>
      <c r="AN2587" s="77"/>
      <c r="AO2587" s="77"/>
      <c r="AP2587" s="77"/>
      <c r="AQ2587" s="77"/>
      <c r="AR2587" s="77"/>
      <c r="AS2587" s="77"/>
      <c r="AT2587" s="77"/>
      <c r="AU2587" s="77"/>
      <c r="AV2587" s="80" t="str">
        <f>HYPERLINK("https://pbs.twimg.com/profile_images/1588668531910082561/XEi-lXiu_normal.jpg")</f>
        <v>https://pbs.twimg.com/profile_images/1588668531910082561/XEi-lXiu_normal.jpg</v>
      </c>
      <c r="AW2587" s="82" t="s">
        <v>15671</v>
      </c>
      <c r="AX2587" s="82" t="s">
        <v>15671</v>
      </c>
      <c r="AY2587" s="77"/>
      <c r="AZ2587" s="82" t="s">
        <v>17385</v>
      </c>
      <c r="BA2587" s="82" t="s">
        <v>17385</v>
      </c>
      <c r="BB2587" s="82" t="s">
        <v>17385</v>
      </c>
      <c r="BC2587" s="82" t="s">
        <v>15671</v>
      </c>
      <c r="BD2587" s="82" t="s">
        <v>17667</v>
      </c>
      <c r="BE2587" s="77"/>
      <c r="BF2587" s="77"/>
      <c r="BG2587" s="77"/>
      <c r="BH2587" s="77"/>
      <c r="BI2587" s="77"/>
    </row>
    <row r="2588" spans="1:61" x14ac:dyDescent="0.25">
      <c r="A2588" s="62" t="s">
        <v>646</v>
      </c>
      <c r="B2588" s="62" t="s">
        <v>646</v>
      </c>
      <c r="C2588" s="63"/>
      <c r="D2588" s="64"/>
      <c r="E2588" s="65"/>
      <c r="F2588" s="66"/>
      <c r="G2588" s="63"/>
      <c r="H2588" s="67"/>
      <c r="I2588" s="68"/>
      <c r="J2588" s="68"/>
      <c r="K2588" s="32"/>
      <c r="L2588" s="75">
        <v>2588</v>
      </c>
      <c r="M2588" s="75"/>
      <c r="N2588" s="70"/>
      <c r="O2588" s="77" t="s">
        <v>179</v>
      </c>
      <c r="P2588" s="79">
        <v>45048.586562500001</v>
      </c>
      <c r="Q2588" s="77" t="s">
        <v>3365</v>
      </c>
      <c r="R2588" s="77">
        <v>0</v>
      </c>
      <c r="S2588" s="77">
        <v>0</v>
      </c>
      <c r="T2588" s="77">
        <v>0</v>
      </c>
      <c r="U2588" s="77">
        <v>0</v>
      </c>
      <c r="V2588" s="77">
        <v>30</v>
      </c>
      <c r="W2588" s="82" t="s">
        <v>6382</v>
      </c>
      <c r="X2588" s="80" t="str">
        <f>HYPERLINK("https://tinyurl.com/2fqk4y4c")</f>
        <v>https://tinyurl.com/2fqk4y4c</v>
      </c>
      <c r="Y2588" s="77" t="s">
        <v>7068</v>
      </c>
      <c r="Z2588" s="77"/>
      <c r="AA2588" s="77"/>
      <c r="AB2588" s="77"/>
      <c r="AC2588" s="82" t="s">
        <v>8275</v>
      </c>
      <c r="AD2588" s="77" t="s">
        <v>8278</v>
      </c>
      <c r="AE2588" s="80" t="str">
        <f>HYPERLINK("https://twitter.com/pauta_economica/status/1653400109244088321")</f>
        <v>https://twitter.com/pauta_economica/status/1653400109244088321</v>
      </c>
      <c r="AF2588" s="79">
        <v>45048.586562500001</v>
      </c>
      <c r="AG2588" s="85">
        <v>45048</v>
      </c>
      <c r="AH2588" s="82" t="s">
        <v>10632</v>
      </c>
      <c r="AI2588" s="77" t="b">
        <v>0</v>
      </c>
      <c r="AJ2588" s="77"/>
      <c r="AK2588" s="77"/>
      <c r="AL2588" s="77"/>
      <c r="AM2588" s="77"/>
      <c r="AN2588" s="77"/>
      <c r="AO2588" s="77"/>
      <c r="AP2588" s="77"/>
      <c r="AQ2588" s="77"/>
      <c r="AR2588" s="77"/>
      <c r="AS2588" s="77"/>
      <c r="AT2588" s="77"/>
      <c r="AU2588" s="77"/>
      <c r="AV2588" s="80" t="str">
        <f>HYPERLINK("https://pbs.twimg.com/profile_images/1588668531910082561/XEi-lXiu_normal.jpg")</f>
        <v>https://pbs.twimg.com/profile_images/1588668531910082561/XEi-lXiu_normal.jpg</v>
      </c>
      <c r="AW2588" s="82" t="s">
        <v>15672</v>
      </c>
      <c r="AX2588" s="82" t="s">
        <v>15672</v>
      </c>
      <c r="AY2588" s="77"/>
      <c r="AZ2588" s="82" t="s">
        <v>17385</v>
      </c>
      <c r="BA2588" s="82" t="s">
        <v>17385</v>
      </c>
      <c r="BB2588" s="82" t="s">
        <v>17385</v>
      </c>
      <c r="BC2588" s="82" t="s">
        <v>15672</v>
      </c>
      <c r="BD2588" s="82" t="s">
        <v>17667</v>
      </c>
      <c r="BE2588" s="77"/>
      <c r="BF2588" s="77"/>
      <c r="BG2588" s="77"/>
      <c r="BH2588" s="77"/>
      <c r="BI2588" s="77"/>
    </row>
    <row r="2589" spans="1:61" x14ac:dyDescent="0.25">
      <c r="A2589" s="62" t="s">
        <v>646</v>
      </c>
      <c r="B2589" s="62" t="s">
        <v>646</v>
      </c>
      <c r="C2589" s="63"/>
      <c r="D2589" s="64"/>
      <c r="E2589" s="65"/>
      <c r="F2589" s="66"/>
      <c r="G2589" s="63"/>
      <c r="H2589" s="67"/>
      <c r="I2589" s="68"/>
      <c r="J2589" s="68"/>
      <c r="K2589" s="32"/>
      <c r="L2589" s="75">
        <v>2589</v>
      </c>
      <c r="M2589" s="75"/>
      <c r="N2589" s="70"/>
      <c r="O2589" s="77" t="s">
        <v>179</v>
      </c>
      <c r="P2589" s="79">
        <v>45048.570231481484</v>
      </c>
      <c r="Q2589" s="77" t="s">
        <v>3366</v>
      </c>
      <c r="R2589" s="77">
        <v>0</v>
      </c>
      <c r="S2589" s="77">
        <v>0</v>
      </c>
      <c r="T2589" s="77">
        <v>0</v>
      </c>
      <c r="U2589" s="77">
        <v>0</v>
      </c>
      <c r="V2589" s="77">
        <v>40</v>
      </c>
      <c r="W2589" s="82" t="s">
        <v>6382</v>
      </c>
      <c r="X2589" s="80" t="str">
        <f>HYPERLINK("https://tinyurl.com/2zm5j954")</f>
        <v>https://tinyurl.com/2zm5j954</v>
      </c>
      <c r="Y2589" s="77" t="s">
        <v>7068</v>
      </c>
      <c r="Z2589" s="77"/>
      <c r="AA2589" s="77"/>
      <c r="AB2589" s="77"/>
      <c r="AC2589" s="82" t="s">
        <v>8275</v>
      </c>
      <c r="AD2589" s="77" t="s">
        <v>8278</v>
      </c>
      <c r="AE2589" s="80" t="str">
        <f>HYPERLINK("https://twitter.com/pauta_economica/status/1653394192964493314")</f>
        <v>https://twitter.com/pauta_economica/status/1653394192964493314</v>
      </c>
      <c r="AF2589" s="79">
        <v>45048.570231481484</v>
      </c>
      <c r="AG2589" s="85">
        <v>45048</v>
      </c>
      <c r="AH2589" s="82" t="s">
        <v>10633</v>
      </c>
      <c r="AI2589" s="77" t="b">
        <v>0</v>
      </c>
      <c r="AJ2589" s="77"/>
      <c r="AK2589" s="77"/>
      <c r="AL2589" s="77"/>
      <c r="AM2589" s="77"/>
      <c r="AN2589" s="77"/>
      <c r="AO2589" s="77"/>
      <c r="AP2589" s="77"/>
      <c r="AQ2589" s="77"/>
      <c r="AR2589" s="77"/>
      <c r="AS2589" s="77"/>
      <c r="AT2589" s="77"/>
      <c r="AU2589" s="77"/>
      <c r="AV2589" s="80" t="str">
        <f>HYPERLINK("https://pbs.twimg.com/profile_images/1588668531910082561/XEi-lXiu_normal.jpg")</f>
        <v>https://pbs.twimg.com/profile_images/1588668531910082561/XEi-lXiu_normal.jpg</v>
      </c>
      <c r="AW2589" s="82" t="s">
        <v>15673</v>
      </c>
      <c r="AX2589" s="82" t="s">
        <v>15673</v>
      </c>
      <c r="AY2589" s="77"/>
      <c r="AZ2589" s="82" t="s">
        <v>17385</v>
      </c>
      <c r="BA2589" s="82" t="s">
        <v>17385</v>
      </c>
      <c r="BB2589" s="82" t="s">
        <v>17385</v>
      </c>
      <c r="BC2589" s="82" t="s">
        <v>15673</v>
      </c>
      <c r="BD2589" s="82" t="s">
        <v>17667</v>
      </c>
      <c r="BE2589" s="77"/>
      <c r="BF2589" s="77"/>
      <c r="BG2589" s="77"/>
      <c r="BH2589" s="77"/>
      <c r="BI2589" s="77"/>
    </row>
    <row r="2590" spans="1:61" x14ac:dyDescent="0.25">
      <c r="A2590" s="62" t="s">
        <v>646</v>
      </c>
      <c r="B2590" s="62" t="s">
        <v>646</v>
      </c>
      <c r="C2590" s="63"/>
      <c r="D2590" s="64"/>
      <c r="E2590" s="65"/>
      <c r="F2590" s="66"/>
      <c r="G2590" s="63"/>
      <c r="H2590" s="67"/>
      <c r="I2590" s="68"/>
      <c r="J2590" s="68"/>
      <c r="K2590" s="32"/>
      <c r="L2590" s="75">
        <v>2590</v>
      </c>
      <c r="M2590" s="75"/>
      <c r="N2590" s="70"/>
      <c r="O2590" s="77" t="s">
        <v>179</v>
      </c>
      <c r="P2590" s="79">
        <v>45048.56322916667</v>
      </c>
      <c r="Q2590" s="77" t="s">
        <v>3367</v>
      </c>
      <c r="R2590" s="77">
        <v>0</v>
      </c>
      <c r="S2590" s="77">
        <v>0</v>
      </c>
      <c r="T2590" s="77">
        <v>0</v>
      </c>
      <c r="U2590" s="77">
        <v>0</v>
      </c>
      <c r="V2590" s="77">
        <v>34</v>
      </c>
      <c r="W2590" s="82" t="s">
        <v>6382</v>
      </c>
      <c r="X2590" s="80" t="str">
        <f>HYPERLINK("https://economiaempauta.com/bolsas-da-asia-surpresa-do-bc-derruba-mercado-da-australia-hsbc-impulsiona-hong-kong/?feed_id=43428&amp;_unique_id=645110969f344")</f>
        <v>https://economiaempauta.com/bolsas-da-asia-surpresa-do-bc-derruba-mercado-da-australia-hsbc-impulsiona-hong-kong/?feed_id=43428&amp;_unique_id=645110969f344</v>
      </c>
      <c r="Y2590" s="77" t="s">
        <v>7140</v>
      </c>
      <c r="Z2590" s="77"/>
      <c r="AA2590" s="77"/>
      <c r="AB2590" s="77"/>
      <c r="AC2590" s="82" t="s">
        <v>8275</v>
      </c>
      <c r="AD2590" s="77" t="s">
        <v>8278</v>
      </c>
      <c r="AE2590" s="80" t="str">
        <f>HYPERLINK("https://twitter.com/pauta_economica/status/1653391654160572421")</f>
        <v>https://twitter.com/pauta_economica/status/1653391654160572421</v>
      </c>
      <c r="AF2590" s="79">
        <v>45048.56322916667</v>
      </c>
      <c r="AG2590" s="85">
        <v>45048</v>
      </c>
      <c r="AH2590" s="82" t="s">
        <v>10634</v>
      </c>
      <c r="AI2590" s="77" t="b">
        <v>0</v>
      </c>
      <c r="AJ2590" s="77"/>
      <c r="AK2590" s="77"/>
      <c r="AL2590" s="77"/>
      <c r="AM2590" s="77"/>
      <c r="AN2590" s="77"/>
      <c r="AO2590" s="77"/>
      <c r="AP2590" s="77"/>
      <c r="AQ2590" s="77"/>
      <c r="AR2590" s="77"/>
      <c r="AS2590" s="77"/>
      <c r="AT2590" s="77"/>
      <c r="AU2590" s="77"/>
      <c r="AV2590" s="80" t="str">
        <f>HYPERLINK("https://pbs.twimg.com/profile_images/1588668531910082561/XEi-lXiu_normal.jpg")</f>
        <v>https://pbs.twimg.com/profile_images/1588668531910082561/XEi-lXiu_normal.jpg</v>
      </c>
      <c r="AW2590" s="82" t="s">
        <v>15674</v>
      </c>
      <c r="AX2590" s="82" t="s">
        <v>15674</v>
      </c>
      <c r="AY2590" s="77"/>
      <c r="AZ2590" s="82" t="s">
        <v>17385</v>
      </c>
      <c r="BA2590" s="82" t="s">
        <v>17385</v>
      </c>
      <c r="BB2590" s="82" t="s">
        <v>17385</v>
      </c>
      <c r="BC2590" s="82" t="s">
        <v>15674</v>
      </c>
      <c r="BD2590" s="82" t="s">
        <v>17667</v>
      </c>
      <c r="BE2590" s="77"/>
      <c r="BF2590" s="77"/>
      <c r="BG2590" s="77"/>
      <c r="BH2590" s="77"/>
      <c r="BI2590" s="77"/>
    </row>
    <row r="2591" spans="1:61" x14ac:dyDescent="0.25">
      <c r="A2591" s="62" t="s">
        <v>646</v>
      </c>
      <c r="B2591" s="62" t="s">
        <v>646</v>
      </c>
      <c r="C2591" s="63"/>
      <c r="D2591" s="64"/>
      <c r="E2591" s="65"/>
      <c r="F2591" s="66"/>
      <c r="G2591" s="63"/>
      <c r="H2591" s="67"/>
      <c r="I2591" s="68"/>
      <c r="J2591" s="68"/>
      <c r="K2591" s="32"/>
      <c r="L2591" s="75">
        <v>2591</v>
      </c>
      <c r="M2591" s="75"/>
      <c r="N2591" s="70"/>
      <c r="O2591" s="77" t="s">
        <v>179</v>
      </c>
      <c r="P2591" s="79">
        <v>45048.557986111111</v>
      </c>
      <c r="Q2591" s="77" t="s">
        <v>3368</v>
      </c>
      <c r="R2591" s="77">
        <v>0</v>
      </c>
      <c r="S2591" s="77">
        <v>0</v>
      </c>
      <c r="T2591" s="77">
        <v>0</v>
      </c>
      <c r="U2591" s="77">
        <v>0</v>
      </c>
      <c r="V2591" s="77">
        <v>64</v>
      </c>
      <c r="W2591" s="82" t="s">
        <v>6382</v>
      </c>
      <c r="X2591" s="80" t="str">
        <f>HYPERLINK("https://tinyurl.com/2kweylxq")</f>
        <v>https://tinyurl.com/2kweylxq</v>
      </c>
      <c r="Y2591" s="77" t="s">
        <v>7068</v>
      </c>
      <c r="Z2591" s="77"/>
      <c r="AA2591" s="77"/>
      <c r="AB2591" s="77"/>
      <c r="AC2591" s="82" t="s">
        <v>8275</v>
      </c>
      <c r="AD2591" s="77" t="s">
        <v>8278</v>
      </c>
      <c r="AE2591" s="80" t="str">
        <f>HYPERLINK("https://twitter.com/pauta_economica/status/1653389755080400896")</f>
        <v>https://twitter.com/pauta_economica/status/1653389755080400896</v>
      </c>
      <c r="AF2591" s="79">
        <v>45048.557986111111</v>
      </c>
      <c r="AG2591" s="85">
        <v>45048</v>
      </c>
      <c r="AH2591" s="82" t="s">
        <v>10635</v>
      </c>
      <c r="AI2591" s="77" t="b">
        <v>0</v>
      </c>
      <c r="AJ2591" s="77"/>
      <c r="AK2591" s="77"/>
      <c r="AL2591" s="77"/>
      <c r="AM2591" s="77"/>
      <c r="AN2591" s="77"/>
      <c r="AO2591" s="77"/>
      <c r="AP2591" s="77"/>
      <c r="AQ2591" s="77"/>
      <c r="AR2591" s="77"/>
      <c r="AS2591" s="77"/>
      <c r="AT2591" s="77"/>
      <c r="AU2591" s="77"/>
      <c r="AV2591" s="80" t="str">
        <f>HYPERLINK("https://pbs.twimg.com/profile_images/1588668531910082561/XEi-lXiu_normal.jpg")</f>
        <v>https://pbs.twimg.com/profile_images/1588668531910082561/XEi-lXiu_normal.jpg</v>
      </c>
      <c r="AW2591" s="82" t="s">
        <v>15675</v>
      </c>
      <c r="AX2591" s="82" t="s">
        <v>15675</v>
      </c>
      <c r="AY2591" s="77"/>
      <c r="AZ2591" s="82" t="s">
        <v>17385</v>
      </c>
      <c r="BA2591" s="82" t="s">
        <v>17385</v>
      </c>
      <c r="BB2591" s="82" t="s">
        <v>17385</v>
      </c>
      <c r="BC2591" s="82" t="s">
        <v>15675</v>
      </c>
      <c r="BD2591" s="82" t="s">
        <v>17667</v>
      </c>
      <c r="BE2591" s="77"/>
      <c r="BF2591" s="77"/>
      <c r="BG2591" s="77"/>
      <c r="BH2591" s="77"/>
      <c r="BI2591" s="77"/>
    </row>
    <row r="2592" spans="1:61" x14ac:dyDescent="0.25">
      <c r="A2592" s="62" t="s">
        <v>646</v>
      </c>
      <c r="B2592" s="62" t="s">
        <v>646</v>
      </c>
      <c r="C2592" s="63"/>
      <c r="D2592" s="64"/>
      <c r="E2592" s="65"/>
      <c r="F2592" s="66"/>
      <c r="G2592" s="63"/>
      <c r="H2592" s="67"/>
      <c r="I2592" s="68"/>
      <c r="J2592" s="68"/>
      <c r="K2592" s="32"/>
      <c r="L2592" s="75">
        <v>2592</v>
      </c>
      <c r="M2592" s="75"/>
      <c r="N2592" s="70"/>
      <c r="O2592" s="77" t="s">
        <v>179</v>
      </c>
      <c r="P2592" s="79">
        <v>45048.548171296294</v>
      </c>
      <c r="Q2592" s="77" t="s">
        <v>3369</v>
      </c>
      <c r="R2592" s="77">
        <v>0</v>
      </c>
      <c r="S2592" s="77">
        <v>0</v>
      </c>
      <c r="T2592" s="77">
        <v>0</v>
      </c>
      <c r="U2592" s="77">
        <v>0</v>
      </c>
      <c r="V2592" s="77">
        <v>17</v>
      </c>
      <c r="W2592" s="82" t="s">
        <v>6382</v>
      </c>
      <c r="X2592" s="80" t="str">
        <f>HYPERLINK("https://tinyurl.com/2j57eosh")</f>
        <v>https://tinyurl.com/2j57eosh</v>
      </c>
      <c r="Y2592" s="77" t="s">
        <v>7068</v>
      </c>
      <c r="Z2592" s="77"/>
      <c r="AA2592" s="77"/>
      <c r="AB2592" s="77"/>
      <c r="AC2592" s="82" t="s">
        <v>8275</v>
      </c>
      <c r="AD2592" s="77" t="s">
        <v>8278</v>
      </c>
      <c r="AE2592" s="80" t="str">
        <f>HYPERLINK("https://twitter.com/pauta_economica/status/1653386197467553793")</f>
        <v>https://twitter.com/pauta_economica/status/1653386197467553793</v>
      </c>
      <c r="AF2592" s="79">
        <v>45048.548171296294</v>
      </c>
      <c r="AG2592" s="85">
        <v>45048</v>
      </c>
      <c r="AH2592" s="82" t="s">
        <v>10636</v>
      </c>
      <c r="AI2592" s="77" t="b">
        <v>0</v>
      </c>
      <c r="AJ2592" s="77"/>
      <c r="AK2592" s="77"/>
      <c r="AL2592" s="77"/>
      <c r="AM2592" s="77"/>
      <c r="AN2592" s="77"/>
      <c r="AO2592" s="77"/>
      <c r="AP2592" s="77"/>
      <c r="AQ2592" s="77"/>
      <c r="AR2592" s="77"/>
      <c r="AS2592" s="77"/>
      <c r="AT2592" s="77"/>
      <c r="AU2592" s="77"/>
      <c r="AV2592" s="80" t="str">
        <f>HYPERLINK("https://pbs.twimg.com/profile_images/1588668531910082561/XEi-lXiu_normal.jpg")</f>
        <v>https://pbs.twimg.com/profile_images/1588668531910082561/XEi-lXiu_normal.jpg</v>
      </c>
      <c r="AW2592" s="82" t="s">
        <v>15676</v>
      </c>
      <c r="AX2592" s="82" t="s">
        <v>15676</v>
      </c>
      <c r="AY2592" s="77"/>
      <c r="AZ2592" s="82" t="s">
        <v>17385</v>
      </c>
      <c r="BA2592" s="82" t="s">
        <v>17385</v>
      </c>
      <c r="BB2592" s="82" t="s">
        <v>17385</v>
      </c>
      <c r="BC2592" s="82" t="s">
        <v>15676</v>
      </c>
      <c r="BD2592" s="82" t="s">
        <v>17667</v>
      </c>
      <c r="BE2592" s="77"/>
      <c r="BF2592" s="77"/>
      <c r="BG2592" s="77"/>
      <c r="BH2592" s="77"/>
      <c r="BI2592" s="77"/>
    </row>
    <row r="2593" spans="1:61" x14ac:dyDescent="0.25">
      <c r="A2593" s="62" t="s">
        <v>646</v>
      </c>
      <c r="B2593" s="62" t="s">
        <v>646</v>
      </c>
      <c r="C2593" s="63"/>
      <c r="D2593" s="64"/>
      <c r="E2593" s="65"/>
      <c r="F2593" s="66"/>
      <c r="G2593" s="63"/>
      <c r="H2593" s="67"/>
      <c r="I2593" s="68"/>
      <c r="J2593" s="68"/>
      <c r="K2593" s="32"/>
      <c r="L2593" s="75">
        <v>2593</v>
      </c>
      <c r="M2593" s="75"/>
      <c r="N2593" s="70"/>
      <c r="O2593" s="77" t="s">
        <v>179</v>
      </c>
      <c r="P2593" s="79">
        <v>45048.541215277779</v>
      </c>
      <c r="Q2593" s="77" t="s">
        <v>3370</v>
      </c>
      <c r="R2593" s="77">
        <v>0</v>
      </c>
      <c r="S2593" s="77">
        <v>0</v>
      </c>
      <c r="T2593" s="77">
        <v>0</v>
      </c>
      <c r="U2593" s="77">
        <v>0</v>
      </c>
      <c r="V2593" s="77">
        <v>21</v>
      </c>
      <c r="W2593" s="82" t="s">
        <v>6382</v>
      </c>
      <c r="X2593" s="80" t="str">
        <f>HYPERLINK("https://tinyurl.com/2frccte5")</f>
        <v>https://tinyurl.com/2frccte5</v>
      </c>
      <c r="Y2593" s="77" t="s">
        <v>7068</v>
      </c>
      <c r="Z2593" s="77"/>
      <c r="AA2593" s="77"/>
      <c r="AB2593" s="77"/>
      <c r="AC2593" s="82" t="s">
        <v>8275</v>
      </c>
      <c r="AD2593" s="77" t="s">
        <v>8278</v>
      </c>
      <c r="AE2593" s="80" t="str">
        <f>HYPERLINK("https://twitter.com/pauta_economica/status/1653383676409925634")</f>
        <v>https://twitter.com/pauta_economica/status/1653383676409925634</v>
      </c>
      <c r="AF2593" s="79">
        <v>45048.541215277779</v>
      </c>
      <c r="AG2593" s="85">
        <v>45048</v>
      </c>
      <c r="AH2593" s="82" t="s">
        <v>10637</v>
      </c>
      <c r="AI2593" s="77" t="b">
        <v>0</v>
      </c>
      <c r="AJ2593" s="77"/>
      <c r="AK2593" s="77"/>
      <c r="AL2593" s="77"/>
      <c r="AM2593" s="77"/>
      <c r="AN2593" s="77"/>
      <c r="AO2593" s="77"/>
      <c r="AP2593" s="77"/>
      <c r="AQ2593" s="77"/>
      <c r="AR2593" s="77"/>
      <c r="AS2593" s="77"/>
      <c r="AT2593" s="77"/>
      <c r="AU2593" s="77"/>
      <c r="AV2593" s="80" t="str">
        <f>HYPERLINK("https://pbs.twimg.com/profile_images/1588668531910082561/XEi-lXiu_normal.jpg")</f>
        <v>https://pbs.twimg.com/profile_images/1588668531910082561/XEi-lXiu_normal.jpg</v>
      </c>
      <c r="AW2593" s="82" t="s">
        <v>15677</v>
      </c>
      <c r="AX2593" s="82" t="s">
        <v>15677</v>
      </c>
      <c r="AY2593" s="77"/>
      <c r="AZ2593" s="82" t="s">
        <v>17385</v>
      </c>
      <c r="BA2593" s="82" t="s">
        <v>17385</v>
      </c>
      <c r="BB2593" s="82" t="s">
        <v>17385</v>
      </c>
      <c r="BC2593" s="82" t="s">
        <v>15677</v>
      </c>
      <c r="BD2593" s="82" t="s">
        <v>17667</v>
      </c>
      <c r="BE2593" s="77"/>
      <c r="BF2593" s="77"/>
      <c r="BG2593" s="77"/>
      <c r="BH2593" s="77"/>
      <c r="BI2593" s="77"/>
    </row>
    <row r="2594" spans="1:61" x14ac:dyDescent="0.25">
      <c r="A2594" s="62" t="s">
        <v>646</v>
      </c>
      <c r="B2594" s="62" t="s">
        <v>646</v>
      </c>
      <c r="C2594" s="63"/>
      <c r="D2594" s="64"/>
      <c r="E2594" s="65"/>
      <c r="F2594" s="66"/>
      <c r="G2594" s="63"/>
      <c r="H2594" s="67"/>
      <c r="I2594" s="68"/>
      <c r="J2594" s="68"/>
      <c r="K2594" s="32"/>
      <c r="L2594" s="75">
        <v>2594</v>
      </c>
      <c r="M2594" s="75"/>
      <c r="N2594" s="70"/>
      <c r="O2594" s="77" t="s">
        <v>179</v>
      </c>
      <c r="P2594" s="79">
        <v>45048.53020833333</v>
      </c>
      <c r="Q2594" s="77" t="s">
        <v>3371</v>
      </c>
      <c r="R2594" s="77">
        <v>0</v>
      </c>
      <c r="S2594" s="77">
        <v>0</v>
      </c>
      <c r="T2594" s="77">
        <v>0</v>
      </c>
      <c r="U2594" s="77">
        <v>0</v>
      </c>
      <c r="V2594" s="77">
        <v>19</v>
      </c>
      <c r="W2594" s="82" t="s">
        <v>6382</v>
      </c>
      <c r="X2594" s="80" t="str">
        <f>HYPERLINK("https://tinyurl.com/2hxd7qqp")</f>
        <v>https://tinyurl.com/2hxd7qqp</v>
      </c>
      <c r="Y2594" s="77" t="s">
        <v>7068</v>
      </c>
      <c r="Z2594" s="77"/>
      <c r="AA2594" s="77"/>
      <c r="AB2594" s="77"/>
      <c r="AC2594" s="82" t="s">
        <v>8275</v>
      </c>
      <c r="AD2594" s="77" t="s">
        <v>8278</v>
      </c>
      <c r="AE2594" s="80" t="str">
        <f>HYPERLINK("https://twitter.com/pauta_economica/status/1653379685898674176")</f>
        <v>https://twitter.com/pauta_economica/status/1653379685898674176</v>
      </c>
      <c r="AF2594" s="79">
        <v>45048.53020833333</v>
      </c>
      <c r="AG2594" s="85">
        <v>45048</v>
      </c>
      <c r="AH2594" s="82" t="s">
        <v>10638</v>
      </c>
      <c r="AI2594" s="77" t="b">
        <v>0</v>
      </c>
      <c r="AJ2594" s="77"/>
      <c r="AK2594" s="77"/>
      <c r="AL2594" s="77"/>
      <c r="AM2594" s="77"/>
      <c r="AN2594" s="77"/>
      <c r="AO2594" s="77"/>
      <c r="AP2594" s="77"/>
      <c r="AQ2594" s="77"/>
      <c r="AR2594" s="77"/>
      <c r="AS2594" s="77"/>
      <c r="AT2594" s="77"/>
      <c r="AU2594" s="77"/>
      <c r="AV2594" s="80" t="str">
        <f>HYPERLINK("https://pbs.twimg.com/profile_images/1588668531910082561/XEi-lXiu_normal.jpg")</f>
        <v>https://pbs.twimg.com/profile_images/1588668531910082561/XEi-lXiu_normal.jpg</v>
      </c>
      <c r="AW2594" s="82" t="s">
        <v>15678</v>
      </c>
      <c r="AX2594" s="82" t="s">
        <v>15678</v>
      </c>
      <c r="AY2594" s="77"/>
      <c r="AZ2594" s="82" t="s">
        <v>17385</v>
      </c>
      <c r="BA2594" s="82" t="s">
        <v>17385</v>
      </c>
      <c r="BB2594" s="82" t="s">
        <v>17385</v>
      </c>
      <c r="BC2594" s="82" t="s">
        <v>15678</v>
      </c>
      <c r="BD2594" s="82" t="s">
        <v>17667</v>
      </c>
      <c r="BE2594" s="77"/>
      <c r="BF2594" s="77"/>
      <c r="BG2594" s="77"/>
      <c r="BH2594" s="77"/>
      <c r="BI2594" s="77"/>
    </row>
    <row r="2595" spans="1:61" x14ac:dyDescent="0.25">
      <c r="A2595" s="62" t="s">
        <v>646</v>
      </c>
      <c r="B2595" s="62" t="s">
        <v>646</v>
      </c>
      <c r="C2595" s="63"/>
      <c r="D2595" s="64"/>
      <c r="E2595" s="65"/>
      <c r="F2595" s="66"/>
      <c r="G2595" s="63"/>
      <c r="H2595" s="67"/>
      <c r="I2595" s="68"/>
      <c r="J2595" s="68"/>
      <c r="K2595" s="32"/>
      <c r="L2595" s="75">
        <v>2595</v>
      </c>
      <c r="M2595" s="75"/>
      <c r="N2595" s="70"/>
      <c r="O2595" s="77" t="s">
        <v>179</v>
      </c>
      <c r="P2595" s="79">
        <v>45048.527268518519</v>
      </c>
      <c r="Q2595" s="77" t="s">
        <v>3372</v>
      </c>
      <c r="R2595" s="77">
        <v>0</v>
      </c>
      <c r="S2595" s="77">
        <v>0</v>
      </c>
      <c r="T2595" s="77">
        <v>0</v>
      </c>
      <c r="U2595" s="77">
        <v>0</v>
      </c>
      <c r="V2595" s="77">
        <v>42</v>
      </c>
      <c r="W2595" s="82" t="s">
        <v>6382</v>
      </c>
      <c r="X2595" s="80" t="str">
        <f>HYPERLINK("https://tinyurl.com/2gwodfnn")</f>
        <v>https://tinyurl.com/2gwodfnn</v>
      </c>
      <c r="Y2595" s="77" t="s">
        <v>7068</v>
      </c>
      <c r="Z2595" s="77"/>
      <c r="AA2595" s="77"/>
      <c r="AB2595" s="77"/>
      <c r="AC2595" s="82" t="s">
        <v>8275</v>
      </c>
      <c r="AD2595" s="77" t="s">
        <v>8278</v>
      </c>
      <c r="AE2595" s="80" t="str">
        <f>HYPERLINK("https://twitter.com/pauta_economica/status/1653378621031997441")</f>
        <v>https://twitter.com/pauta_economica/status/1653378621031997441</v>
      </c>
      <c r="AF2595" s="79">
        <v>45048.527268518519</v>
      </c>
      <c r="AG2595" s="85">
        <v>45048</v>
      </c>
      <c r="AH2595" s="82" t="s">
        <v>10639</v>
      </c>
      <c r="AI2595" s="77" t="b">
        <v>0</v>
      </c>
      <c r="AJ2595" s="77"/>
      <c r="AK2595" s="77"/>
      <c r="AL2595" s="77"/>
      <c r="AM2595" s="77"/>
      <c r="AN2595" s="77"/>
      <c r="AO2595" s="77"/>
      <c r="AP2595" s="77"/>
      <c r="AQ2595" s="77"/>
      <c r="AR2595" s="77"/>
      <c r="AS2595" s="77"/>
      <c r="AT2595" s="77"/>
      <c r="AU2595" s="77"/>
      <c r="AV2595" s="80" t="str">
        <f>HYPERLINK("https://pbs.twimg.com/profile_images/1588668531910082561/XEi-lXiu_normal.jpg")</f>
        <v>https://pbs.twimg.com/profile_images/1588668531910082561/XEi-lXiu_normal.jpg</v>
      </c>
      <c r="AW2595" s="82" t="s">
        <v>15679</v>
      </c>
      <c r="AX2595" s="82" t="s">
        <v>15679</v>
      </c>
      <c r="AY2595" s="77"/>
      <c r="AZ2595" s="82" t="s">
        <v>17385</v>
      </c>
      <c r="BA2595" s="82" t="s">
        <v>17385</v>
      </c>
      <c r="BB2595" s="82" t="s">
        <v>17385</v>
      </c>
      <c r="BC2595" s="82" t="s">
        <v>15679</v>
      </c>
      <c r="BD2595" s="82" t="s">
        <v>17667</v>
      </c>
      <c r="BE2595" s="77"/>
      <c r="BF2595" s="77"/>
      <c r="BG2595" s="77"/>
      <c r="BH2595" s="77"/>
      <c r="BI2595" s="77"/>
    </row>
    <row r="2596" spans="1:61" x14ac:dyDescent="0.25">
      <c r="A2596" s="62" t="s">
        <v>646</v>
      </c>
      <c r="B2596" s="62" t="s">
        <v>646</v>
      </c>
      <c r="C2596" s="63"/>
      <c r="D2596" s="64"/>
      <c r="E2596" s="65"/>
      <c r="F2596" s="66"/>
      <c r="G2596" s="63"/>
      <c r="H2596" s="67"/>
      <c r="I2596" s="68"/>
      <c r="J2596" s="68"/>
      <c r="K2596" s="32"/>
      <c r="L2596" s="75">
        <v>2596</v>
      </c>
      <c r="M2596" s="75"/>
      <c r="N2596" s="70"/>
      <c r="O2596" s="77" t="s">
        <v>179</v>
      </c>
      <c r="P2596" s="79">
        <v>45048.513321759259</v>
      </c>
      <c r="Q2596" s="77" t="s">
        <v>3373</v>
      </c>
      <c r="R2596" s="77">
        <v>0</v>
      </c>
      <c r="S2596" s="77">
        <v>0</v>
      </c>
      <c r="T2596" s="77">
        <v>0</v>
      </c>
      <c r="U2596" s="77">
        <v>0</v>
      </c>
      <c r="V2596" s="77">
        <v>27</v>
      </c>
      <c r="W2596" s="82" t="s">
        <v>6382</v>
      </c>
      <c r="X2596" s="80" t="str">
        <f>HYPERLINK("https://tinyurl.com/2quqqunh")</f>
        <v>https://tinyurl.com/2quqqunh</v>
      </c>
      <c r="Y2596" s="77" t="s">
        <v>7068</v>
      </c>
      <c r="Z2596" s="77"/>
      <c r="AA2596" s="77"/>
      <c r="AB2596" s="77"/>
      <c r="AC2596" s="82" t="s">
        <v>8275</v>
      </c>
      <c r="AD2596" s="77" t="s">
        <v>8278</v>
      </c>
      <c r="AE2596" s="80" t="str">
        <f>HYPERLINK("https://twitter.com/pauta_economica/status/1653373568825081858")</f>
        <v>https://twitter.com/pauta_economica/status/1653373568825081858</v>
      </c>
      <c r="AF2596" s="79">
        <v>45048.513321759259</v>
      </c>
      <c r="AG2596" s="85">
        <v>45048</v>
      </c>
      <c r="AH2596" s="82" t="s">
        <v>10640</v>
      </c>
      <c r="AI2596" s="77" t="b">
        <v>0</v>
      </c>
      <c r="AJ2596" s="77"/>
      <c r="AK2596" s="77"/>
      <c r="AL2596" s="77"/>
      <c r="AM2596" s="77"/>
      <c r="AN2596" s="77"/>
      <c r="AO2596" s="77"/>
      <c r="AP2596" s="77"/>
      <c r="AQ2596" s="77"/>
      <c r="AR2596" s="77"/>
      <c r="AS2596" s="77"/>
      <c r="AT2596" s="77"/>
      <c r="AU2596" s="77"/>
      <c r="AV2596" s="80" t="str">
        <f>HYPERLINK("https://pbs.twimg.com/profile_images/1588668531910082561/XEi-lXiu_normal.jpg")</f>
        <v>https://pbs.twimg.com/profile_images/1588668531910082561/XEi-lXiu_normal.jpg</v>
      </c>
      <c r="AW2596" s="82" t="s">
        <v>15680</v>
      </c>
      <c r="AX2596" s="82" t="s">
        <v>15680</v>
      </c>
      <c r="AY2596" s="77"/>
      <c r="AZ2596" s="82" t="s">
        <v>17385</v>
      </c>
      <c r="BA2596" s="82" t="s">
        <v>17385</v>
      </c>
      <c r="BB2596" s="82" t="s">
        <v>17385</v>
      </c>
      <c r="BC2596" s="82" t="s">
        <v>15680</v>
      </c>
      <c r="BD2596" s="82" t="s">
        <v>17667</v>
      </c>
      <c r="BE2596" s="77"/>
      <c r="BF2596" s="77"/>
      <c r="BG2596" s="77"/>
      <c r="BH2596" s="77"/>
      <c r="BI2596" s="77"/>
    </row>
    <row r="2597" spans="1:61" x14ac:dyDescent="0.25">
      <c r="A2597" s="62" t="s">
        <v>646</v>
      </c>
      <c r="B2597" s="62" t="s">
        <v>646</v>
      </c>
      <c r="C2597" s="63"/>
      <c r="D2597" s="64"/>
      <c r="E2597" s="65"/>
      <c r="F2597" s="66"/>
      <c r="G2597" s="63"/>
      <c r="H2597" s="67"/>
      <c r="I2597" s="68"/>
      <c r="J2597" s="68"/>
      <c r="K2597" s="32"/>
      <c r="L2597" s="75">
        <v>2597</v>
      </c>
      <c r="M2597" s="75"/>
      <c r="N2597" s="70"/>
      <c r="O2597" s="77" t="s">
        <v>179</v>
      </c>
      <c r="P2597" s="79">
        <v>45048.506377314814</v>
      </c>
      <c r="Q2597" s="77" t="s">
        <v>3374</v>
      </c>
      <c r="R2597" s="77">
        <v>0</v>
      </c>
      <c r="S2597" s="77">
        <v>0</v>
      </c>
      <c r="T2597" s="77">
        <v>0</v>
      </c>
      <c r="U2597" s="77">
        <v>0</v>
      </c>
      <c r="V2597" s="77">
        <v>20</v>
      </c>
      <c r="W2597" s="82" t="s">
        <v>6382</v>
      </c>
      <c r="X2597" s="80" t="str">
        <f>HYPERLINK("https://tinyurl.com/2mdnqqpb")</f>
        <v>https://tinyurl.com/2mdnqqpb</v>
      </c>
      <c r="Y2597" s="77" t="s">
        <v>7068</v>
      </c>
      <c r="Z2597" s="77"/>
      <c r="AA2597" s="77"/>
      <c r="AB2597" s="77"/>
      <c r="AC2597" s="82" t="s">
        <v>8275</v>
      </c>
      <c r="AD2597" s="77" t="s">
        <v>8278</v>
      </c>
      <c r="AE2597" s="80" t="str">
        <f>HYPERLINK("https://twitter.com/pauta_economica/status/1653371050254630914")</f>
        <v>https://twitter.com/pauta_economica/status/1653371050254630914</v>
      </c>
      <c r="AF2597" s="79">
        <v>45048.506377314814</v>
      </c>
      <c r="AG2597" s="85">
        <v>45048</v>
      </c>
      <c r="AH2597" s="82" t="s">
        <v>10641</v>
      </c>
      <c r="AI2597" s="77" t="b">
        <v>0</v>
      </c>
      <c r="AJ2597" s="77"/>
      <c r="AK2597" s="77"/>
      <c r="AL2597" s="77"/>
      <c r="AM2597" s="77"/>
      <c r="AN2597" s="77"/>
      <c r="AO2597" s="77"/>
      <c r="AP2597" s="77"/>
      <c r="AQ2597" s="77"/>
      <c r="AR2597" s="77"/>
      <c r="AS2597" s="77"/>
      <c r="AT2597" s="77"/>
      <c r="AU2597" s="77"/>
      <c r="AV2597" s="80" t="str">
        <f>HYPERLINK("https://pbs.twimg.com/profile_images/1588668531910082561/XEi-lXiu_normal.jpg")</f>
        <v>https://pbs.twimg.com/profile_images/1588668531910082561/XEi-lXiu_normal.jpg</v>
      </c>
      <c r="AW2597" s="82" t="s">
        <v>15681</v>
      </c>
      <c r="AX2597" s="82" t="s">
        <v>15681</v>
      </c>
      <c r="AY2597" s="77"/>
      <c r="AZ2597" s="82" t="s">
        <v>17385</v>
      </c>
      <c r="BA2597" s="82" t="s">
        <v>17385</v>
      </c>
      <c r="BB2597" s="82" t="s">
        <v>17385</v>
      </c>
      <c r="BC2597" s="82" t="s">
        <v>15681</v>
      </c>
      <c r="BD2597" s="82" t="s">
        <v>17667</v>
      </c>
      <c r="BE2597" s="77"/>
      <c r="BF2597" s="77"/>
      <c r="BG2597" s="77"/>
      <c r="BH2597" s="77"/>
      <c r="BI2597" s="77"/>
    </row>
    <row r="2598" spans="1:61" x14ac:dyDescent="0.25">
      <c r="A2598" s="62" t="s">
        <v>646</v>
      </c>
      <c r="B2598" s="62" t="s">
        <v>646</v>
      </c>
      <c r="C2598" s="63"/>
      <c r="D2598" s="64"/>
      <c r="E2598" s="65"/>
      <c r="F2598" s="66"/>
      <c r="G2598" s="63"/>
      <c r="H2598" s="67"/>
      <c r="I2598" s="68"/>
      <c r="J2598" s="68"/>
      <c r="K2598" s="32"/>
      <c r="L2598" s="75">
        <v>2598</v>
      </c>
      <c r="M2598" s="75"/>
      <c r="N2598" s="70"/>
      <c r="O2598" s="77" t="s">
        <v>179</v>
      </c>
      <c r="P2598" s="79">
        <v>45182.23510416667</v>
      </c>
      <c r="Q2598" s="77" t="s">
        <v>3375</v>
      </c>
      <c r="R2598" s="77">
        <v>0</v>
      </c>
      <c r="S2598" s="77">
        <v>0</v>
      </c>
      <c r="T2598" s="77">
        <v>0</v>
      </c>
      <c r="U2598" s="77">
        <v>0</v>
      </c>
      <c r="V2598" s="77">
        <v>69</v>
      </c>
      <c r="W2598" s="82" t="s">
        <v>6382</v>
      </c>
      <c r="X2598" s="80" t="str">
        <f>HYPERLINK("https://tinyurl.com/ytmhzbvr")</f>
        <v>https://tinyurl.com/ytmhzbvr</v>
      </c>
      <c r="Y2598" s="77" t="s">
        <v>7068</v>
      </c>
      <c r="Z2598" s="77"/>
      <c r="AA2598" s="77"/>
      <c r="AB2598" s="77"/>
      <c r="AC2598" s="82" t="s">
        <v>8276</v>
      </c>
      <c r="AD2598" s="77" t="s">
        <v>8278</v>
      </c>
      <c r="AE2598" s="80" t="str">
        <f>HYPERLINK("https://twitter.com/pauta_economica/status/1701832720895115548")</f>
        <v>https://twitter.com/pauta_economica/status/1701832720895115548</v>
      </c>
      <c r="AF2598" s="79">
        <v>45182.23510416667</v>
      </c>
      <c r="AG2598" s="85">
        <v>45182</v>
      </c>
      <c r="AH2598" s="82" t="s">
        <v>10642</v>
      </c>
      <c r="AI2598" s="77" t="b">
        <v>0</v>
      </c>
      <c r="AJ2598" s="77"/>
      <c r="AK2598" s="77"/>
      <c r="AL2598" s="77"/>
      <c r="AM2598" s="77"/>
      <c r="AN2598" s="77"/>
      <c r="AO2598" s="77"/>
      <c r="AP2598" s="77"/>
      <c r="AQ2598" s="77"/>
      <c r="AR2598" s="77"/>
      <c r="AS2598" s="77"/>
      <c r="AT2598" s="77"/>
      <c r="AU2598" s="77"/>
      <c r="AV2598" s="80" t="str">
        <f>HYPERLINK("https://pbs.twimg.com/profile_images/1588668531910082561/XEi-lXiu_normal.jpg")</f>
        <v>https://pbs.twimg.com/profile_images/1588668531910082561/XEi-lXiu_normal.jpg</v>
      </c>
      <c r="AW2598" s="82" t="s">
        <v>15682</v>
      </c>
      <c r="AX2598" s="82" t="s">
        <v>15682</v>
      </c>
      <c r="AY2598" s="77"/>
      <c r="AZ2598" s="82" t="s">
        <v>17385</v>
      </c>
      <c r="BA2598" s="82" t="s">
        <v>17385</v>
      </c>
      <c r="BB2598" s="82" t="s">
        <v>17385</v>
      </c>
      <c r="BC2598" s="82" t="s">
        <v>15682</v>
      </c>
      <c r="BD2598" s="82" t="s">
        <v>17667</v>
      </c>
      <c r="BE2598" s="77"/>
      <c r="BF2598" s="77"/>
      <c r="BG2598" s="77"/>
      <c r="BH2598" s="77"/>
      <c r="BI2598" s="77"/>
    </row>
    <row r="2599" spans="1:61" x14ac:dyDescent="0.25">
      <c r="A2599" s="62" t="s">
        <v>646</v>
      </c>
      <c r="B2599" s="62" t="s">
        <v>646</v>
      </c>
      <c r="C2599" s="63"/>
      <c r="D2599" s="64"/>
      <c r="E2599" s="65"/>
      <c r="F2599" s="66"/>
      <c r="G2599" s="63"/>
      <c r="H2599" s="67"/>
      <c r="I2599" s="68"/>
      <c r="J2599" s="68"/>
      <c r="K2599" s="32"/>
      <c r="L2599" s="75">
        <v>2599</v>
      </c>
      <c r="M2599" s="75"/>
      <c r="N2599" s="70"/>
      <c r="O2599" s="77" t="s">
        <v>179</v>
      </c>
      <c r="P2599" s="79">
        <v>45090.92496527778</v>
      </c>
      <c r="Q2599" s="77" t="s">
        <v>3376</v>
      </c>
      <c r="R2599" s="77">
        <v>0</v>
      </c>
      <c r="S2599" s="77">
        <v>0</v>
      </c>
      <c r="T2599" s="77">
        <v>0</v>
      </c>
      <c r="U2599" s="77">
        <v>0</v>
      </c>
      <c r="V2599" s="77">
        <v>77</v>
      </c>
      <c r="W2599" s="82" t="s">
        <v>6382</v>
      </c>
      <c r="X2599" s="80" t="str">
        <f>HYPERLINK("https://tinyurl.com/24fsorhn")</f>
        <v>https://tinyurl.com/24fsorhn</v>
      </c>
      <c r="Y2599" s="77" t="s">
        <v>7068</v>
      </c>
      <c r="Z2599" s="77"/>
      <c r="AA2599" s="77"/>
      <c r="AB2599" s="77"/>
      <c r="AC2599" s="82" t="s">
        <v>8274</v>
      </c>
      <c r="AD2599" s="77" t="s">
        <v>8278</v>
      </c>
      <c r="AE2599" s="80" t="str">
        <f>HYPERLINK("https://twitter.com/pauta_economica/status/1668743033540468736")</f>
        <v>https://twitter.com/pauta_economica/status/1668743033540468736</v>
      </c>
      <c r="AF2599" s="79">
        <v>45090.92496527778</v>
      </c>
      <c r="AG2599" s="85">
        <v>45090</v>
      </c>
      <c r="AH2599" s="82" t="s">
        <v>10643</v>
      </c>
      <c r="AI2599" s="77" t="b">
        <v>0</v>
      </c>
      <c r="AJ2599" s="77"/>
      <c r="AK2599" s="77"/>
      <c r="AL2599" s="77"/>
      <c r="AM2599" s="77"/>
      <c r="AN2599" s="77"/>
      <c r="AO2599" s="77"/>
      <c r="AP2599" s="77"/>
      <c r="AQ2599" s="77"/>
      <c r="AR2599" s="77"/>
      <c r="AS2599" s="77"/>
      <c r="AT2599" s="77"/>
      <c r="AU2599" s="77"/>
      <c r="AV2599" s="80" t="str">
        <f>HYPERLINK("https://pbs.twimg.com/profile_images/1588668531910082561/XEi-lXiu_normal.jpg")</f>
        <v>https://pbs.twimg.com/profile_images/1588668531910082561/XEi-lXiu_normal.jpg</v>
      </c>
      <c r="AW2599" s="82" t="s">
        <v>15683</v>
      </c>
      <c r="AX2599" s="82" t="s">
        <v>15683</v>
      </c>
      <c r="AY2599" s="77"/>
      <c r="AZ2599" s="82" t="s">
        <v>17385</v>
      </c>
      <c r="BA2599" s="82" t="s">
        <v>17385</v>
      </c>
      <c r="BB2599" s="82" t="s">
        <v>17385</v>
      </c>
      <c r="BC2599" s="82" t="s">
        <v>15683</v>
      </c>
      <c r="BD2599" s="82" t="s">
        <v>17667</v>
      </c>
      <c r="BE2599" s="77"/>
      <c r="BF2599" s="77"/>
      <c r="BG2599" s="77"/>
      <c r="BH2599" s="77"/>
      <c r="BI2599" s="77"/>
    </row>
    <row r="2600" spans="1:61" x14ac:dyDescent="0.25">
      <c r="A2600" s="62" t="s">
        <v>646</v>
      </c>
      <c r="B2600" s="62" t="s">
        <v>646</v>
      </c>
      <c r="C2600" s="63"/>
      <c r="D2600" s="64"/>
      <c r="E2600" s="65"/>
      <c r="F2600" s="66"/>
      <c r="G2600" s="63"/>
      <c r="H2600" s="67"/>
      <c r="I2600" s="68"/>
      <c r="J2600" s="68"/>
      <c r="K2600" s="32"/>
      <c r="L2600" s="75">
        <v>2600</v>
      </c>
      <c r="M2600" s="75"/>
      <c r="N2600" s="70"/>
      <c r="O2600" s="77" t="s">
        <v>179</v>
      </c>
      <c r="P2600" s="79">
        <v>45090.897187499999</v>
      </c>
      <c r="Q2600" s="77" t="s">
        <v>3377</v>
      </c>
      <c r="R2600" s="77">
        <v>0</v>
      </c>
      <c r="S2600" s="77">
        <v>0</v>
      </c>
      <c r="T2600" s="77">
        <v>0</v>
      </c>
      <c r="U2600" s="77">
        <v>0</v>
      </c>
      <c r="V2600" s="77">
        <v>27</v>
      </c>
      <c r="W2600" s="82" t="s">
        <v>6382</v>
      </c>
      <c r="X2600" s="80" t="str">
        <f>HYPERLINK("https://tinyurl.com/29em67gx")</f>
        <v>https://tinyurl.com/29em67gx</v>
      </c>
      <c r="Y2600" s="77" t="s">
        <v>7068</v>
      </c>
      <c r="Z2600" s="77"/>
      <c r="AA2600" s="77"/>
      <c r="AB2600" s="77"/>
      <c r="AC2600" s="82" t="s">
        <v>8274</v>
      </c>
      <c r="AD2600" s="77" t="s">
        <v>8278</v>
      </c>
      <c r="AE2600" s="80" t="str">
        <f>HYPERLINK("https://twitter.com/pauta_economica/status/1668732966732808193")</f>
        <v>https://twitter.com/pauta_economica/status/1668732966732808193</v>
      </c>
      <c r="AF2600" s="79">
        <v>45090.897187499999</v>
      </c>
      <c r="AG2600" s="85">
        <v>45090</v>
      </c>
      <c r="AH2600" s="82" t="s">
        <v>10644</v>
      </c>
      <c r="AI2600" s="77" t="b">
        <v>0</v>
      </c>
      <c r="AJ2600" s="77"/>
      <c r="AK2600" s="77"/>
      <c r="AL2600" s="77"/>
      <c r="AM2600" s="77"/>
      <c r="AN2600" s="77"/>
      <c r="AO2600" s="77"/>
      <c r="AP2600" s="77"/>
      <c r="AQ2600" s="77"/>
      <c r="AR2600" s="77"/>
      <c r="AS2600" s="77"/>
      <c r="AT2600" s="77"/>
      <c r="AU2600" s="77"/>
      <c r="AV2600" s="80" t="str">
        <f>HYPERLINK("https://pbs.twimg.com/profile_images/1588668531910082561/XEi-lXiu_normal.jpg")</f>
        <v>https://pbs.twimg.com/profile_images/1588668531910082561/XEi-lXiu_normal.jpg</v>
      </c>
      <c r="AW2600" s="82" t="s">
        <v>15684</v>
      </c>
      <c r="AX2600" s="82" t="s">
        <v>15684</v>
      </c>
      <c r="AY2600" s="77"/>
      <c r="AZ2600" s="82" t="s">
        <v>17385</v>
      </c>
      <c r="BA2600" s="82" t="s">
        <v>17385</v>
      </c>
      <c r="BB2600" s="82" t="s">
        <v>17385</v>
      </c>
      <c r="BC2600" s="82" t="s">
        <v>15684</v>
      </c>
      <c r="BD2600" s="82" t="s">
        <v>17667</v>
      </c>
      <c r="BE2600" s="77"/>
      <c r="BF2600" s="77"/>
      <c r="BG2600" s="77"/>
      <c r="BH2600" s="77"/>
      <c r="BI2600" s="77"/>
    </row>
    <row r="2601" spans="1:61" x14ac:dyDescent="0.25">
      <c r="A2601" s="62" t="s">
        <v>646</v>
      </c>
      <c r="B2601" s="62" t="s">
        <v>646</v>
      </c>
      <c r="C2601" s="63"/>
      <c r="D2601" s="64"/>
      <c r="E2601" s="65"/>
      <c r="F2601" s="66"/>
      <c r="G2601" s="63"/>
      <c r="H2601" s="67"/>
      <c r="I2601" s="68"/>
      <c r="J2601" s="68"/>
      <c r="K2601" s="32"/>
      <c r="L2601" s="75">
        <v>2601</v>
      </c>
      <c r="M2601" s="75"/>
      <c r="N2601" s="70"/>
      <c r="O2601" s="77" t="s">
        <v>179</v>
      </c>
      <c r="P2601" s="79">
        <v>45090.813703703701</v>
      </c>
      <c r="Q2601" s="77" t="s">
        <v>3378</v>
      </c>
      <c r="R2601" s="77">
        <v>0</v>
      </c>
      <c r="S2601" s="77">
        <v>0</v>
      </c>
      <c r="T2601" s="77">
        <v>0</v>
      </c>
      <c r="U2601" s="77">
        <v>0</v>
      </c>
      <c r="V2601" s="77">
        <v>61</v>
      </c>
      <c r="W2601" s="82" t="s">
        <v>6382</v>
      </c>
      <c r="X2601" s="80" t="str">
        <f>HYPERLINK("https://tinyurl.com/2cg6mfjg")</f>
        <v>https://tinyurl.com/2cg6mfjg</v>
      </c>
      <c r="Y2601" s="77" t="s">
        <v>7068</v>
      </c>
      <c r="Z2601" s="77"/>
      <c r="AA2601" s="77"/>
      <c r="AB2601" s="77"/>
      <c r="AC2601" s="82" t="s">
        <v>8274</v>
      </c>
      <c r="AD2601" s="77" t="s">
        <v>8278</v>
      </c>
      <c r="AE2601" s="80" t="str">
        <f>HYPERLINK("https://twitter.com/pauta_economica/status/1668702712471404544")</f>
        <v>https://twitter.com/pauta_economica/status/1668702712471404544</v>
      </c>
      <c r="AF2601" s="79">
        <v>45090.813703703701</v>
      </c>
      <c r="AG2601" s="85">
        <v>45090</v>
      </c>
      <c r="AH2601" s="82" t="s">
        <v>10645</v>
      </c>
      <c r="AI2601" s="77" t="b">
        <v>0</v>
      </c>
      <c r="AJ2601" s="77"/>
      <c r="AK2601" s="77"/>
      <c r="AL2601" s="77"/>
      <c r="AM2601" s="77"/>
      <c r="AN2601" s="77"/>
      <c r="AO2601" s="77"/>
      <c r="AP2601" s="77"/>
      <c r="AQ2601" s="77"/>
      <c r="AR2601" s="77"/>
      <c r="AS2601" s="77"/>
      <c r="AT2601" s="77"/>
      <c r="AU2601" s="77"/>
      <c r="AV2601" s="80" t="str">
        <f>HYPERLINK("https://pbs.twimg.com/profile_images/1588668531910082561/XEi-lXiu_normal.jpg")</f>
        <v>https://pbs.twimg.com/profile_images/1588668531910082561/XEi-lXiu_normal.jpg</v>
      </c>
      <c r="AW2601" s="82" t="s">
        <v>15685</v>
      </c>
      <c r="AX2601" s="82" t="s">
        <v>15685</v>
      </c>
      <c r="AY2601" s="77"/>
      <c r="AZ2601" s="82" t="s">
        <v>17385</v>
      </c>
      <c r="BA2601" s="82" t="s">
        <v>17385</v>
      </c>
      <c r="BB2601" s="82" t="s">
        <v>17385</v>
      </c>
      <c r="BC2601" s="82" t="s">
        <v>15685</v>
      </c>
      <c r="BD2601" s="82" t="s">
        <v>17667</v>
      </c>
      <c r="BE2601" s="77"/>
      <c r="BF2601" s="77"/>
      <c r="BG2601" s="77"/>
      <c r="BH2601" s="77"/>
      <c r="BI2601" s="77"/>
    </row>
    <row r="2602" spans="1:61" x14ac:dyDescent="0.25">
      <c r="A2602" s="62" t="s">
        <v>646</v>
      </c>
      <c r="B2602" s="62" t="s">
        <v>646</v>
      </c>
      <c r="C2602" s="63"/>
      <c r="D2602" s="64"/>
      <c r="E2602" s="65"/>
      <c r="F2602" s="66"/>
      <c r="G2602" s="63"/>
      <c r="H2602" s="67"/>
      <c r="I2602" s="68"/>
      <c r="J2602" s="68"/>
      <c r="K2602" s="32"/>
      <c r="L2602" s="75">
        <v>2602</v>
      </c>
      <c r="M2602" s="75"/>
      <c r="N2602" s="70"/>
      <c r="O2602" s="77" t="s">
        <v>179</v>
      </c>
      <c r="P2602" s="79">
        <v>45090.785752314812</v>
      </c>
      <c r="Q2602" s="77" t="s">
        <v>3379</v>
      </c>
      <c r="R2602" s="77">
        <v>0</v>
      </c>
      <c r="S2602" s="77">
        <v>0</v>
      </c>
      <c r="T2602" s="77">
        <v>0</v>
      </c>
      <c r="U2602" s="77">
        <v>0</v>
      </c>
      <c r="V2602" s="77">
        <v>33</v>
      </c>
      <c r="W2602" s="82" t="s">
        <v>6382</v>
      </c>
      <c r="X2602" s="80" t="str">
        <f>HYPERLINK("https://tinyurl.com/2yc3vleo")</f>
        <v>https://tinyurl.com/2yc3vleo</v>
      </c>
      <c r="Y2602" s="77" t="s">
        <v>7068</v>
      </c>
      <c r="Z2602" s="77"/>
      <c r="AA2602" s="77"/>
      <c r="AB2602" s="77"/>
      <c r="AC2602" s="82" t="s">
        <v>8274</v>
      </c>
      <c r="AD2602" s="77" t="s">
        <v>8278</v>
      </c>
      <c r="AE2602" s="80" t="str">
        <f>HYPERLINK("https://twitter.com/pauta_economica/status/1668692584204476420")</f>
        <v>https://twitter.com/pauta_economica/status/1668692584204476420</v>
      </c>
      <c r="AF2602" s="79">
        <v>45090.785752314812</v>
      </c>
      <c r="AG2602" s="85">
        <v>45090</v>
      </c>
      <c r="AH2602" s="82" t="s">
        <v>10646</v>
      </c>
      <c r="AI2602" s="77" t="b">
        <v>0</v>
      </c>
      <c r="AJ2602" s="77"/>
      <c r="AK2602" s="77"/>
      <c r="AL2602" s="77"/>
      <c r="AM2602" s="77"/>
      <c r="AN2602" s="77"/>
      <c r="AO2602" s="77"/>
      <c r="AP2602" s="77"/>
      <c r="AQ2602" s="77"/>
      <c r="AR2602" s="77"/>
      <c r="AS2602" s="77"/>
      <c r="AT2602" s="77"/>
      <c r="AU2602" s="77"/>
      <c r="AV2602" s="80" t="str">
        <f>HYPERLINK("https://pbs.twimg.com/profile_images/1588668531910082561/XEi-lXiu_normal.jpg")</f>
        <v>https://pbs.twimg.com/profile_images/1588668531910082561/XEi-lXiu_normal.jpg</v>
      </c>
      <c r="AW2602" s="82" t="s">
        <v>15686</v>
      </c>
      <c r="AX2602" s="82" t="s">
        <v>15686</v>
      </c>
      <c r="AY2602" s="77"/>
      <c r="AZ2602" s="82" t="s">
        <v>17385</v>
      </c>
      <c r="BA2602" s="82" t="s">
        <v>17385</v>
      </c>
      <c r="BB2602" s="82" t="s">
        <v>17385</v>
      </c>
      <c r="BC2602" s="82" t="s">
        <v>15686</v>
      </c>
      <c r="BD2602" s="82" t="s">
        <v>17667</v>
      </c>
      <c r="BE2602" s="77"/>
      <c r="BF2602" s="77"/>
      <c r="BG2602" s="77"/>
      <c r="BH2602" s="77"/>
      <c r="BI2602" s="77"/>
    </row>
    <row r="2603" spans="1:61" x14ac:dyDescent="0.25">
      <c r="A2603" s="62" t="s">
        <v>646</v>
      </c>
      <c r="B2603" s="62" t="s">
        <v>646</v>
      </c>
      <c r="C2603" s="63"/>
      <c r="D2603" s="64"/>
      <c r="E2603" s="65"/>
      <c r="F2603" s="66"/>
      <c r="G2603" s="63"/>
      <c r="H2603" s="67"/>
      <c r="I2603" s="68"/>
      <c r="J2603" s="68"/>
      <c r="K2603" s="32"/>
      <c r="L2603" s="75">
        <v>2603</v>
      </c>
      <c r="M2603" s="75"/>
      <c r="N2603" s="70"/>
      <c r="O2603" s="77" t="s">
        <v>179</v>
      </c>
      <c r="P2603" s="79">
        <v>45090.674062500002</v>
      </c>
      <c r="Q2603" s="77" t="s">
        <v>3380</v>
      </c>
      <c r="R2603" s="77">
        <v>0</v>
      </c>
      <c r="S2603" s="77">
        <v>0</v>
      </c>
      <c r="T2603" s="77">
        <v>0</v>
      </c>
      <c r="U2603" s="77">
        <v>0</v>
      </c>
      <c r="V2603" s="77">
        <v>40</v>
      </c>
      <c r="W2603" s="82" t="s">
        <v>6382</v>
      </c>
      <c r="X2603" s="80" t="str">
        <f>HYPERLINK("https://tinyurl.com/28flock6")</f>
        <v>https://tinyurl.com/28flock6</v>
      </c>
      <c r="Y2603" s="77" t="s">
        <v>7068</v>
      </c>
      <c r="Z2603" s="77"/>
      <c r="AA2603" s="77"/>
      <c r="AB2603" s="77"/>
      <c r="AC2603" s="82" t="s">
        <v>8274</v>
      </c>
      <c r="AD2603" s="77" t="s">
        <v>8278</v>
      </c>
      <c r="AE2603" s="80" t="str">
        <f>HYPERLINK("https://twitter.com/pauta_economica/status/1668652108097175554")</f>
        <v>https://twitter.com/pauta_economica/status/1668652108097175554</v>
      </c>
      <c r="AF2603" s="79">
        <v>45090.674062500002</v>
      </c>
      <c r="AG2603" s="85">
        <v>45090</v>
      </c>
      <c r="AH2603" s="82" t="s">
        <v>10647</v>
      </c>
      <c r="AI2603" s="77" t="b">
        <v>0</v>
      </c>
      <c r="AJ2603" s="77"/>
      <c r="AK2603" s="77"/>
      <c r="AL2603" s="77"/>
      <c r="AM2603" s="77"/>
      <c r="AN2603" s="77"/>
      <c r="AO2603" s="77"/>
      <c r="AP2603" s="77"/>
      <c r="AQ2603" s="77"/>
      <c r="AR2603" s="77"/>
      <c r="AS2603" s="77"/>
      <c r="AT2603" s="77"/>
      <c r="AU2603" s="77"/>
      <c r="AV2603" s="80" t="str">
        <f>HYPERLINK("https://pbs.twimg.com/profile_images/1588668531910082561/XEi-lXiu_normal.jpg")</f>
        <v>https://pbs.twimg.com/profile_images/1588668531910082561/XEi-lXiu_normal.jpg</v>
      </c>
      <c r="AW2603" s="82" t="s">
        <v>15687</v>
      </c>
      <c r="AX2603" s="82" t="s">
        <v>15687</v>
      </c>
      <c r="AY2603" s="77"/>
      <c r="AZ2603" s="82" t="s">
        <v>17385</v>
      </c>
      <c r="BA2603" s="82" t="s">
        <v>17385</v>
      </c>
      <c r="BB2603" s="82" t="s">
        <v>17385</v>
      </c>
      <c r="BC2603" s="82" t="s">
        <v>15687</v>
      </c>
      <c r="BD2603" s="82" t="s">
        <v>17667</v>
      </c>
      <c r="BE2603" s="77"/>
      <c r="BF2603" s="77"/>
      <c r="BG2603" s="77"/>
      <c r="BH2603" s="77"/>
      <c r="BI2603" s="77"/>
    </row>
    <row r="2604" spans="1:61" x14ac:dyDescent="0.25">
      <c r="A2604" s="62" t="s">
        <v>646</v>
      </c>
      <c r="B2604" s="62" t="s">
        <v>646</v>
      </c>
      <c r="C2604" s="63"/>
      <c r="D2604" s="64"/>
      <c r="E2604" s="65"/>
      <c r="F2604" s="66"/>
      <c r="G2604" s="63"/>
      <c r="H2604" s="67"/>
      <c r="I2604" s="68"/>
      <c r="J2604" s="68"/>
      <c r="K2604" s="32"/>
      <c r="L2604" s="75">
        <v>2604</v>
      </c>
      <c r="M2604" s="75"/>
      <c r="N2604" s="70"/>
      <c r="O2604" s="77" t="s">
        <v>179</v>
      </c>
      <c r="P2604" s="79">
        <v>45090.646261574075</v>
      </c>
      <c r="Q2604" s="77" t="s">
        <v>3381</v>
      </c>
      <c r="R2604" s="77">
        <v>0</v>
      </c>
      <c r="S2604" s="77">
        <v>0</v>
      </c>
      <c r="T2604" s="77">
        <v>0</v>
      </c>
      <c r="U2604" s="77">
        <v>0</v>
      </c>
      <c r="V2604" s="77">
        <v>224</v>
      </c>
      <c r="W2604" s="82" t="s">
        <v>6382</v>
      </c>
      <c r="X2604" s="80" t="str">
        <f>HYPERLINK("https://tinyurl.com/23ehjpsx")</f>
        <v>https://tinyurl.com/23ehjpsx</v>
      </c>
      <c r="Y2604" s="77" t="s">
        <v>7068</v>
      </c>
      <c r="Z2604" s="77"/>
      <c r="AA2604" s="77"/>
      <c r="AB2604" s="77"/>
      <c r="AC2604" s="82" t="s">
        <v>8274</v>
      </c>
      <c r="AD2604" s="77" t="s">
        <v>8278</v>
      </c>
      <c r="AE2604" s="80" t="str">
        <f>HYPERLINK("https://twitter.com/pauta_economica/status/1668642032556945408")</f>
        <v>https://twitter.com/pauta_economica/status/1668642032556945408</v>
      </c>
      <c r="AF2604" s="79">
        <v>45090.646261574075</v>
      </c>
      <c r="AG2604" s="85">
        <v>45090</v>
      </c>
      <c r="AH2604" s="82" t="s">
        <v>10648</v>
      </c>
      <c r="AI2604" s="77" t="b">
        <v>0</v>
      </c>
      <c r="AJ2604" s="77"/>
      <c r="AK2604" s="77"/>
      <c r="AL2604" s="77"/>
      <c r="AM2604" s="77"/>
      <c r="AN2604" s="77"/>
      <c r="AO2604" s="77"/>
      <c r="AP2604" s="77"/>
      <c r="AQ2604" s="77"/>
      <c r="AR2604" s="77"/>
      <c r="AS2604" s="77"/>
      <c r="AT2604" s="77"/>
      <c r="AU2604" s="77"/>
      <c r="AV2604" s="80" t="str">
        <f>HYPERLINK("https://pbs.twimg.com/profile_images/1588668531910082561/XEi-lXiu_normal.jpg")</f>
        <v>https://pbs.twimg.com/profile_images/1588668531910082561/XEi-lXiu_normal.jpg</v>
      </c>
      <c r="AW2604" s="82" t="s">
        <v>15688</v>
      </c>
      <c r="AX2604" s="82" t="s">
        <v>15688</v>
      </c>
      <c r="AY2604" s="77"/>
      <c r="AZ2604" s="82" t="s">
        <v>17385</v>
      </c>
      <c r="BA2604" s="82" t="s">
        <v>17385</v>
      </c>
      <c r="BB2604" s="82" t="s">
        <v>17385</v>
      </c>
      <c r="BC2604" s="82" t="s">
        <v>15688</v>
      </c>
      <c r="BD2604" s="82" t="s">
        <v>17667</v>
      </c>
      <c r="BE2604" s="77"/>
      <c r="BF2604" s="77"/>
      <c r="BG2604" s="77"/>
      <c r="BH2604" s="77"/>
      <c r="BI2604" s="77"/>
    </row>
    <row r="2605" spans="1:61" x14ac:dyDescent="0.25">
      <c r="A2605" s="62" t="s">
        <v>646</v>
      </c>
      <c r="B2605" s="62" t="s">
        <v>646</v>
      </c>
      <c r="C2605" s="63"/>
      <c r="D2605" s="64"/>
      <c r="E2605" s="65"/>
      <c r="F2605" s="66"/>
      <c r="G2605" s="63"/>
      <c r="H2605" s="67"/>
      <c r="I2605" s="68"/>
      <c r="J2605" s="68"/>
      <c r="K2605" s="32"/>
      <c r="L2605" s="75">
        <v>2605</v>
      </c>
      <c r="M2605" s="75"/>
      <c r="N2605" s="70"/>
      <c r="O2605" s="77" t="s">
        <v>179</v>
      </c>
      <c r="P2605" s="79">
        <v>45090.590520833335</v>
      </c>
      <c r="Q2605" s="77" t="s">
        <v>3382</v>
      </c>
      <c r="R2605" s="77">
        <v>0</v>
      </c>
      <c r="S2605" s="77">
        <v>0</v>
      </c>
      <c r="T2605" s="77">
        <v>0</v>
      </c>
      <c r="U2605" s="77">
        <v>0</v>
      </c>
      <c r="V2605" s="77">
        <v>112</v>
      </c>
      <c r="W2605" s="82" t="s">
        <v>6382</v>
      </c>
      <c r="X2605" s="80" t="str">
        <f>HYPERLINK("https://tinyurl.com/27cbmhdo")</f>
        <v>https://tinyurl.com/27cbmhdo</v>
      </c>
      <c r="Y2605" s="77" t="s">
        <v>7068</v>
      </c>
      <c r="Z2605" s="77"/>
      <c r="AA2605" s="77"/>
      <c r="AB2605" s="77"/>
      <c r="AC2605" s="82" t="s">
        <v>8274</v>
      </c>
      <c r="AD2605" s="77" t="s">
        <v>8278</v>
      </c>
      <c r="AE2605" s="80" t="str">
        <f>HYPERLINK("https://twitter.com/pauta_economica/status/1668621833997004801")</f>
        <v>https://twitter.com/pauta_economica/status/1668621833997004801</v>
      </c>
      <c r="AF2605" s="79">
        <v>45090.590520833335</v>
      </c>
      <c r="AG2605" s="85">
        <v>45090</v>
      </c>
      <c r="AH2605" s="82" t="s">
        <v>10649</v>
      </c>
      <c r="AI2605" s="77" t="b">
        <v>0</v>
      </c>
      <c r="AJ2605" s="77"/>
      <c r="AK2605" s="77"/>
      <c r="AL2605" s="77"/>
      <c r="AM2605" s="77"/>
      <c r="AN2605" s="77"/>
      <c r="AO2605" s="77"/>
      <c r="AP2605" s="77"/>
      <c r="AQ2605" s="77"/>
      <c r="AR2605" s="77"/>
      <c r="AS2605" s="77"/>
      <c r="AT2605" s="77"/>
      <c r="AU2605" s="77"/>
      <c r="AV2605" s="80" t="str">
        <f>HYPERLINK("https://pbs.twimg.com/profile_images/1588668531910082561/XEi-lXiu_normal.jpg")</f>
        <v>https://pbs.twimg.com/profile_images/1588668531910082561/XEi-lXiu_normal.jpg</v>
      </c>
      <c r="AW2605" s="82" t="s">
        <v>15689</v>
      </c>
      <c r="AX2605" s="82" t="s">
        <v>15689</v>
      </c>
      <c r="AY2605" s="77"/>
      <c r="AZ2605" s="82" t="s">
        <v>17385</v>
      </c>
      <c r="BA2605" s="82" t="s">
        <v>17385</v>
      </c>
      <c r="BB2605" s="82" t="s">
        <v>17385</v>
      </c>
      <c r="BC2605" s="82" t="s">
        <v>15689</v>
      </c>
      <c r="BD2605" s="82" t="s">
        <v>17667</v>
      </c>
      <c r="BE2605" s="77"/>
      <c r="BF2605" s="77"/>
      <c r="BG2605" s="77"/>
      <c r="BH2605" s="77"/>
      <c r="BI2605" s="77"/>
    </row>
    <row r="2606" spans="1:61" x14ac:dyDescent="0.25">
      <c r="A2606" s="62" t="s">
        <v>646</v>
      </c>
      <c r="B2606" s="62" t="s">
        <v>646</v>
      </c>
      <c r="C2606" s="63"/>
      <c r="D2606" s="64"/>
      <c r="E2606" s="65"/>
      <c r="F2606" s="66"/>
      <c r="G2606" s="63"/>
      <c r="H2606" s="67"/>
      <c r="I2606" s="68"/>
      <c r="J2606" s="68"/>
      <c r="K2606" s="32"/>
      <c r="L2606" s="75">
        <v>2606</v>
      </c>
      <c r="M2606" s="75"/>
      <c r="N2606" s="70"/>
      <c r="O2606" s="77" t="s">
        <v>179</v>
      </c>
      <c r="P2606" s="79">
        <v>45090.562743055554</v>
      </c>
      <c r="Q2606" s="77" t="s">
        <v>3383</v>
      </c>
      <c r="R2606" s="77">
        <v>0</v>
      </c>
      <c r="S2606" s="77">
        <v>0</v>
      </c>
      <c r="T2606" s="77">
        <v>0</v>
      </c>
      <c r="U2606" s="77">
        <v>0</v>
      </c>
      <c r="V2606" s="77">
        <v>199</v>
      </c>
      <c r="W2606" s="82" t="s">
        <v>6382</v>
      </c>
      <c r="X2606" s="80" t="str">
        <f>HYPERLINK("https://tinyurl.com/2csunjbf")</f>
        <v>https://tinyurl.com/2csunjbf</v>
      </c>
      <c r="Y2606" s="77" t="s">
        <v>7068</v>
      </c>
      <c r="Z2606" s="77"/>
      <c r="AA2606" s="77"/>
      <c r="AB2606" s="77"/>
      <c r="AC2606" s="82" t="s">
        <v>8274</v>
      </c>
      <c r="AD2606" s="77" t="s">
        <v>8278</v>
      </c>
      <c r="AE2606" s="80" t="str">
        <f>HYPERLINK("https://twitter.com/pauta_economica/status/1668611768539643905")</f>
        <v>https://twitter.com/pauta_economica/status/1668611768539643905</v>
      </c>
      <c r="AF2606" s="79">
        <v>45090.562743055554</v>
      </c>
      <c r="AG2606" s="85">
        <v>45090</v>
      </c>
      <c r="AH2606" s="82" t="s">
        <v>10650</v>
      </c>
      <c r="AI2606" s="77" t="b">
        <v>0</v>
      </c>
      <c r="AJ2606" s="77"/>
      <c r="AK2606" s="77"/>
      <c r="AL2606" s="77"/>
      <c r="AM2606" s="77"/>
      <c r="AN2606" s="77"/>
      <c r="AO2606" s="77"/>
      <c r="AP2606" s="77"/>
      <c r="AQ2606" s="77"/>
      <c r="AR2606" s="77"/>
      <c r="AS2606" s="77"/>
      <c r="AT2606" s="77"/>
      <c r="AU2606" s="77"/>
      <c r="AV2606" s="80" t="str">
        <f>HYPERLINK("https://pbs.twimg.com/profile_images/1588668531910082561/XEi-lXiu_normal.jpg")</f>
        <v>https://pbs.twimg.com/profile_images/1588668531910082561/XEi-lXiu_normal.jpg</v>
      </c>
      <c r="AW2606" s="82" t="s">
        <v>15690</v>
      </c>
      <c r="AX2606" s="82" t="s">
        <v>15690</v>
      </c>
      <c r="AY2606" s="77"/>
      <c r="AZ2606" s="82" t="s">
        <v>17385</v>
      </c>
      <c r="BA2606" s="82" t="s">
        <v>17385</v>
      </c>
      <c r="BB2606" s="82" t="s">
        <v>17385</v>
      </c>
      <c r="BC2606" s="82" t="s">
        <v>15690</v>
      </c>
      <c r="BD2606" s="82" t="s">
        <v>17667</v>
      </c>
      <c r="BE2606" s="77"/>
      <c r="BF2606" s="77"/>
      <c r="BG2606" s="77"/>
      <c r="BH2606" s="77"/>
      <c r="BI2606" s="77"/>
    </row>
    <row r="2607" spans="1:61" x14ac:dyDescent="0.25">
      <c r="A2607" s="62" t="s">
        <v>646</v>
      </c>
      <c r="B2607" s="62" t="s">
        <v>646</v>
      </c>
      <c r="C2607" s="63"/>
      <c r="D2607" s="64"/>
      <c r="E2607" s="65"/>
      <c r="F2607" s="66"/>
      <c r="G2607" s="63"/>
      <c r="H2607" s="67"/>
      <c r="I2607" s="68"/>
      <c r="J2607" s="68"/>
      <c r="K2607" s="32"/>
      <c r="L2607" s="75">
        <v>2607</v>
      </c>
      <c r="M2607" s="75"/>
      <c r="N2607" s="70"/>
      <c r="O2607" s="77" t="s">
        <v>179</v>
      </c>
      <c r="P2607" s="79">
        <v>45090.559849537036</v>
      </c>
      <c r="Q2607" s="77" t="s">
        <v>3384</v>
      </c>
      <c r="R2607" s="77">
        <v>0</v>
      </c>
      <c r="S2607" s="77">
        <v>0</v>
      </c>
      <c r="T2607" s="77">
        <v>0</v>
      </c>
      <c r="U2607" s="77">
        <v>0</v>
      </c>
      <c r="V2607" s="77">
        <v>34</v>
      </c>
      <c r="W2607" s="82" t="s">
        <v>6382</v>
      </c>
      <c r="X2607" s="80" t="str">
        <f>HYPERLINK("https://tinyurl.com/2a42wl23")</f>
        <v>https://tinyurl.com/2a42wl23</v>
      </c>
      <c r="Y2607" s="77" t="s">
        <v>7068</v>
      </c>
      <c r="Z2607" s="77"/>
      <c r="AA2607" s="77"/>
      <c r="AB2607" s="77"/>
      <c r="AC2607" s="82" t="s">
        <v>8274</v>
      </c>
      <c r="AD2607" s="77" t="s">
        <v>8278</v>
      </c>
      <c r="AE2607" s="80" t="str">
        <f>HYPERLINK("https://twitter.com/pauta_economica/status/1668610719980371968")</f>
        <v>https://twitter.com/pauta_economica/status/1668610719980371968</v>
      </c>
      <c r="AF2607" s="79">
        <v>45090.559849537036</v>
      </c>
      <c r="AG2607" s="85">
        <v>45090</v>
      </c>
      <c r="AH2607" s="82" t="s">
        <v>10651</v>
      </c>
      <c r="AI2607" s="77" t="b">
        <v>0</v>
      </c>
      <c r="AJ2607" s="77"/>
      <c r="AK2607" s="77"/>
      <c r="AL2607" s="77"/>
      <c r="AM2607" s="77"/>
      <c r="AN2607" s="77"/>
      <c r="AO2607" s="77"/>
      <c r="AP2607" s="77"/>
      <c r="AQ2607" s="77"/>
      <c r="AR2607" s="77"/>
      <c r="AS2607" s="77"/>
      <c r="AT2607" s="77"/>
      <c r="AU2607" s="77"/>
      <c r="AV2607" s="80" t="str">
        <f>HYPERLINK("https://pbs.twimg.com/profile_images/1588668531910082561/XEi-lXiu_normal.jpg")</f>
        <v>https://pbs.twimg.com/profile_images/1588668531910082561/XEi-lXiu_normal.jpg</v>
      </c>
      <c r="AW2607" s="82" t="s">
        <v>15691</v>
      </c>
      <c r="AX2607" s="82" t="s">
        <v>15691</v>
      </c>
      <c r="AY2607" s="77"/>
      <c r="AZ2607" s="82" t="s">
        <v>17385</v>
      </c>
      <c r="BA2607" s="82" t="s">
        <v>17385</v>
      </c>
      <c r="BB2607" s="82" t="s">
        <v>17385</v>
      </c>
      <c r="BC2607" s="82" t="s">
        <v>15691</v>
      </c>
      <c r="BD2607" s="82" t="s">
        <v>17667</v>
      </c>
      <c r="BE2607" s="77"/>
      <c r="BF2607" s="77"/>
      <c r="BG2607" s="77"/>
      <c r="BH2607" s="77"/>
      <c r="BI2607" s="77"/>
    </row>
    <row r="2608" spans="1:61" x14ac:dyDescent="0.25">
      <c r="A2608" s="62" t="s">
        <v>646</v>
      </c>
      <c r="B2608" s="62" t="s">
        <v>646</v>
      </c>
      <c r="C2608" s="63"/>
      <c r="D2608" s="64"/>
      <c r="E2608" s="65"/>
      <c r="F2608" s="66"/>
      <c r="G2608" s="63"/>
      <c r="H2608" s="67"/>
      <c r="I2608" s="68"/>
      <c r="J2608" s="68"/>
      <c r="K2608" s="32"/>
      <c r="L2608" s="75">
        <v>2608</v>
      </c>
      <c r="M2608" s="75"/>
      <c r="N2608" s="70"/>
      <c r="O2608" s="77" t="s">
        <v>179</v>
      </c>
      <c r="P2608" s="79">
        <v>45090.552881944444</v>
      </c>
      <c r="Q2608" s="77" t="s">
        <v>3385</v>
      </c>
      <c r="R2608" s="77">
        <v>0</v>
      </c>
      <c r="S2608" s="77">
        <v>0</v>
      </c>
      <c r="T2608" s="77">
        <v>0</v>
      </c>
      <c r="U2608" s="77">
        <v>0</v>
      </c>
      <c r="V2608" s="77">
        <v>41</v>
      </c>
      <c r="W2608" s="82" t="s">
        <v>6382</v>
      </c>
      <c r="X2608" s="80" t="str">
        <f>HYPERLINK("https://tinyurl.com/28mmepgv")</f>
        <v>https://tinyurl.com/28mmepgv</v>
      </c>
      <c r="Y2608" s="77" t="s">
        <v>7068</v>
      </c>
      <c r="Z2608" s="77"/>
      <c r="AA2608" s="77"/>
      <c r="AB2608" s="77"/>
      <c r="AC2608" s="82" t="s">
        <v>8274</v>
      </c>
      <c r="AD2608" s="77" t="s">
        <v>8278</v>
      </c>
      <c r="AE2608" s="80" t="str">
        <f>HYPERLINK("https://twitter.com/pauta_economica/status/1668608195860783105")</f>
        <v>https://twitter.com/pauta_economica/status/1668608195860783105</v>
      </c>
      <c r="AF2608" s="79">
        <v>45090.552881944444</v>
      </c>
      <c r="AG2608" s="85">
        <v>45090</v>
      </c>
      <c r="AH2608" s="82" t="s">
        <v>10652</v>
      </c>
      <c r="AI2608" s="77" t="b">
        <v>0</v>
      </c>
      <c r="AJ2608" s="77"/>
      <c r="AK2608" s="77"/>
      <c r="AL2608" s="77"/>
      <c r="AM2608" s="77"/>
      <c r="AN2608" s="77"/>
      <c r="AO2608" s="77"/>
      <c r="AP2608" s="77"/>
      <c r="AQ2608" s="77"/>
      <c r="AR2608" s="77"/>
      <c r="AS2608" s="77"/>
      <c r="AT2608" s="77"/>
      <c r="AU2608" s="77"/>
      <c r="AV2608" s="80" t="str">
        <f>HYPERLINK("https://pbs.twimg.com/profile_images/1588668531910082561/XEi-lXiu_normal.jpg")</f>
        <v>https://pbs.twimg.com/profile_images/1588668531910082561/XEi-lXiu_normal.jpg</v>
      </c>
      <c r="AW2608" s="82" t="s">
        <v>15692</v>
      </c>
      <c r="AX2608" s="82" t="s">
        <v>15692</v>
      </c>
      <c r="AY2608" s="77"/>
      <c r="AZ2608" s="82" t="s">
        <v>17385</v>
      </c>
      <c r="BA2608" s="82" t="s">
        <v>17385</v>
      </c>
      <c r="BB2608" s="82" t="s">
        <v>17385</v>
      </c>
      <c r="BC2608" s="82" t="s">
        <v>15692</v>
      </c>
      <c r="BD2608" s="82" t="s">
        <v>17667</v>
      </c>
      <c r="BE2608" s="77"/>
      <c r="BF2608" s="77"/>
      <c r="BG2608" s="77"/>
      <c r="BH2608" s="77"/>
      <c r="BI2608" s="77"/>
    </row>
    <row r="2609" spans="1:61" x14ac:dyDescent="0.25">
      <c r="A2609" s="62" t="s">
        <v>646</v>
      </c>
      <c r="B2609" s="62" t="s">
        <v>646</v>
      </c>
      <c r="C2609" s="63"/>
      <c r="D2609" s="64"/>
      <c r="E2609" s="65"/>
      <c r="F2609" s="66"/>
      <c r="G2609" s="63"/>
      <c r="H2609" s="67"/>
      <c r="I2609" s="68"/>
      <c r="J2609" s="68"/>
      <c r="K2609" s="32"/>
      <c r="L2609" s="75">
        <v>2609</v>
      </c>
      <c r="M2609" s="75"/>
      <c r="N2609" s="70"/>
      <c r="O2609" s="77" t="s">
        <v>179</v>
      </c>
      <c r="P2609" s="79">
        <v>45090.545949074076</v>
      </c>
      <c r="Q2609" s="77" t="s">
        <v>3386</v>
      </c>
      <c r="R2609" s="77">
        <v>0</v>
      </c>
      <c r="S2609" s="77">
        <v>0</v>
      </c>
      <c r="T2609" s="77">
        <v>0</v>
      </c>
      <c r="U2609" s="77">
        <v>0</v>
      </c>
      <c r="V2609" s="77">
        <v>25</v>
      </c>
      <c r="W2609" s="82" t="s">
        <v>6382</v>
      </c>
      <c r="X2609" s="80" t="str">
        <f>HYPERLINK("https://tinyurl.com/27m7cblq")</f>
        <v>https://tinyurl.com/27m7cblq</v>
      </c>
      <c r="Y2609" s="77" t="s">
        <v>7068</v>
      </c>
      <c r="Z2609" s="77"/>
      <c r="AA2609" s="77"/>
      <c r="AB2609" s="77"/>
      <c r="AC2609" s="82" t="s">
        <v>8274</v>
      </c>
      <c r="AD2609" s="77" t="s">
        <v>8278</v>
      </c>
      <c r="AE2609" s="80" t="str">
        <f>HYPERLINK("https://twitter.com/pauta_economica/status/1668605680415064066")</f>
        <v>https://twitter.com/pauta_economica/status/1668605680415064066</v>
      </c>
      <c r="AF2609" s="79">
        <v>45090.545949074076</v>
      </c>
      <c r="AG2609" s="85">
        <v>45090</v>
      </c>
      <c r="AH2609" s="82" t="s">
        <v>10381</v>
      </c>
      <c r="AI2609" s="77" t="b">
        <v>0</v>
      </c>
      <c r="AJ2609" s="77"/>
      <c r="AK2609" s="77"/>
      <c r="AL2609" s="77"/>
      <c r="AM2609" s="77"/>
      <c r="AN2609" s="77"/>
      <c r="AO2609" s="77"/>
      <c r="AP2609" s="77"/>
      <c r="AQ2609" s="77"/>
      <c r="AR2609" s="77"/>
      <c r="AS2609" s="77"/>
      <c r="AT2609" s="77"/>
      <c r="AU2609" s="77"/>
      <c r="AV2609" s="80" t="str">
        <f>HYPERLINK("https://pbs.twimg.com/profile_images/1588668531910082561/XEi-lXiu_normal.jpg")</f>
        <v>https://pbs.twimg.com/profile_images/1588668531910082561/XEi-lXiu_normal.jpg</v>
      </c>
      <c r="AW2609" s="82" t="s">
        <v>15693</v>
      </c>
      <c r="AX2609" s="82" t="s">
        <v>15693</v>
      </c>
      <c r="AY2609" s="77"/>
      <c r="AZ2609" s="82" t="s">
        <v>17385</v>
      </c>
      <c r="BA2609" s="82" t="s">
        <v>17385</v>
      </c>
      <c r="BB2609" s="82" t="s">
        <v>17385</v>
      </c>
      <c r="BC2609" s="82" t="s">
        <v>15693</v>
      </c>
      <c r="BD2609" s="82" t="s">
        <v>17667</v>
      </c>
      <c r="BE2609" s="77"/>
      <c r="BF2609" s="77"/>
      <c r="BG2609" s="77"/>
      <c r="BH2609" s="77"/>
      <c r="BI2609" s="77"/>
    </row>
    <row r="2610" spans="1:61" x14ac:dyDescent="0.25">
      <c r="A2610" s="62" t="s">
        <v>646</v>
      </c>
      <c r="B2610" s="62" t="s">
        <v>646</v>
      </c>
      <c r="C2610" s="63"/>
      <c r="D2610" s="64"/>
      <c r="E2610" s="65"/>
      <c r="F2610" s="66"/>
      <c r="G2610" s="63"/>
      <c r="H2610" s="67"/>
      <c r="I2610" s="68"/>
      <c r="J2610" s="68"/>
      <c r="K2610" s="32"/>
      <c r="L2610" s="75">
        <v>2610</v>
      </c>
      <c r="M2610" s="75"/>
      <c r="N2610" s="70"/>
      <c r="O2610" s="77" t="s">
        <v>179</v>
      </c>
      <c r="P2610" s="79">
        <v>45090.538993055554</v>
      </c>
      <c r="Q2610" s="77" t="s">
        <v>3387</v>
      </c>
      <c r="R2610" s="77">
        <v>0</v>
      </c>
      <c r="S2610" s="77">
        <v>0</v>
      </c>
      <c r="T2610" s="77">
        <v>0</v>
      </c>
      <c r="U2610" s="77">
        <v>0</v>
      </c>
      <c r="V2610" s="77">
        <v>18</v>
      </c>
      <c r="W2610" s="82" t="s">
        <v>6382</v>
      </c>
      <c r="X2610" s="80" t="str">
        <f>HYPERLINK("https://tinyurl.com/2dbbjwos")</f>
        <v>https://tinyurl.com/2dbbjwos</v>
      </c>
      <c r="Y2610" s="77" t="s">
        <v>7068</v>
      </c>
      <c r="Z2610" s="77"/>
      <c r="AA2610" s="77"/>
      <c r="AB2610" s="77"/>
      <c r="AC2610" s="82" t="s">
        <v>8274</v>
      </c>
      <c r="AD2610" s="77" t="s">
        <v>8278</v>
      </c>
      <c r="AE2610" s="80" t="str">
        <f>HYPERLINK("https://twitter.com/pauta_economica/status/1668603162117263361")</f>
        <v>https://twitter.com/pauta_economica/status/1668603162117263361</v>
      </c>
      <c r="AF2610" s="79">
        <v>45090.538993055554</v>
      </c>
      <c r="AG2610" s="85">
        <v>45090</v>
      </c>
      <c r="AH2610" s="82" t="s">
        <v>10653</v>
      </c>
      <c r="AI2610" s="77" t="b">
        <v>0</v>
      </c>
      <c r="AJ2610" s="77"/>
      <c r="AK2610" s="77"/>
      <c r="AL2610" s="77"/>
      <c r="AM2610" s="77"/>
      <c r="AN2610" s="77"/>
      <c r="AO2610" s="77"/>
      <c r="AP2610" s="77"/>
      <c r="AQ2610" s="77"/>
      <c r="AR2610" s="77"/>
      <c r="AS2610" s="77"/>
      <c r="AT2610" s="77"/>
      <c r="AU2610" s="77"/>
      <c r="AV2610" s="80" t="str">
        <f>HYPERLINK("https://pbs.twimg.com/profile_images/1588668531910082561/XEi-lXiu_normal.jpg")</f>
        <v>https://pbs.twimg.com/profile_images/1588668531910082561/XEi-lXiu_normal.jpg</v>
      </c>
      <c r="AW2610" s="82" t="s">
        <v>15694</v>
      </c>
      <c r="AX2610" s="82" t="s">
        <v>15694</v>
      </c>
      <c r="AY2610" s="77"/>
      <c r="AZ2610" s="82" t="s">
        <v>17385</v>
      </c>
      <c r="BA2610" s="82" t="s">
        <v>17385</v>
      </c>
      <c r="BB2610" s="82" t="s">
        <v>17385</v>
      </c>
      <c r="BC2610" s="82" t="s">
        <v>15694</v>
      </c>
      <c r="BD2610" s="82" t="s">
        <v>17667</v>
      </c>
      <c r="BE2610" s="77"/>
      <c r="BF2610" s="77"/>
      <c r="BG2610" s="77"/>
      <c r="BH2610" s="77"/>
      <c r="BI2610" s="77"/>
    </row>
    <row r="2611" spans="1:61" x14ac:dyDescent="0.25">
      <c r="A2611" s="62" t="s">
        <v>646</v>
      </c>
      <c r="B2611" s="62" t="s">
        <v>646</v>
      </c>
      <c r="C2611" s="63"/>
      <c r="D2611" s="64"/>
      <c r="E2611" s="65"/>
      <c r="F2611" s="66"/>
      <c r="G2611" s="63"/>
      <c r="H2611" s="67"/>
      <c r="I2611" s="68"/>
      <c r="J2611" s="68"/>
      <c r="K2611" s="32"/>
      <c r="L2611" s="75">
        <v>2611</v>
      </c>
      <c r="M2611" s="75"/>
      <c r="N2611" s="70"/>
      <c r="O2611" s="77" t="s">
        <v>179</v>
      </c>
      <c r="P2611" s="79">
        <v>45090.534502314818</v>
      </c>
      <c r="Q2611" s="77" t="s">
        <v>3388</v>
      </c>
      <c r="R2611" s="77">
        <v>0</v>
      </c>
      <c r="S2611" s="77">
        <v>0</v>
      </c>
      <c r="T2611" s="77">
        <v>0</v>
      </c>
      <c r="U2611" s="77">
        <v>0</v>
      </c>
      <c r="V2611" s="77">
        <v>69</v>
      </c>
      <c r="W2611" s="82" t="s">
        <v>6382</v>
      </c>
      <c r="X2611" s="80" t="str">
        <f>HYPERLINK("https://tinyurl.com/26fyutru")</f>
        <v>https://tinyurl.com/26fyutru</v>
      </c>
      <c r="Y2611" s="77" t="s">
        <v>7068</v>
      </c>
      <c r="Z2611" s="77"/>
      <c r="AA2611" s="77"/>
      <c r="AB2611" s="77"/>
      <c r="AC2611" s="82" t="s">
        <v>8274</v>
      </c>
      <c r="AD2611" s="77" t="s">
        <v>8278</v>
      </c>
      <c r="AE2611" s="80" t="str">
        <f>HYPERLINK("https://twitter.com/pauta_economica/status/1668601532823007234")</f>
        <v>https://twitter.com/pauta_economica/status/1668601532823007234</v>
      </c>
      <c r="AF2611" s="79">
        <v>45090.534502314818</v>
      </c>
      <c r="AG2611" s="85">
        <v>45090</v>
      </c>
      <c r="AH2611" s="82" t="s">
        <v>10654</v>
      </c>
      <c r="AI2611" s="77" t="b">
        <v>0</v>
      </c>
      <c r="AJ2611" s="77"/>
      <c r="AK2611" s="77"/>
      <c r="AL2611" s="77"/>
      <c r="AM2611" s="77"/>
      <c r="AN2611" s="77"/>
      <c r="AO2611" s="77"/>
      <c r="AP2611" s="77"/>
      <c r="AQ2611" s="77"/>
      <c r="AR2611" s="77"/>
      <c r="AS2611" s="77"/>
      <c r="AT2611" s="77"/>
      <c r="AU2611" s="77"/>
      <c r="AV2611" s="80" t="str">
        <f>HYPERLINK("https://pbs.twimg.com/profile_images/1588668531910082561/XEi-lXiu_normal.jpg")</f>
        <v>https://pbs.twimg.com/profile_images/1588668531910082561/XEi-lXiu_normal.jpg</v>
      </c>
      <c r="AW2611" s="82" t="s">
        <v>15695</v>
      </c>
      <c r="AX2611" s="82" t="s">
        <v>15695</v>
      </c>
      <c r="AY2611" s="77"/>
      <c r="AZ2611" s="82" t="s">
        <v>17385</v>
      </c>
      <c r="BA2611" s="82" t="s">
        <v>17385</v>
      </c>
      <c r="BB2611" s="82" t="s">
        <v>17385</v>
      </c>
      <c r="BC2611" s="82" t="s">
        <v>15695</v>
      </c>
      <c r="BD2611" s="82" t="s">
        <v>17667</v>
      </c>
      <c r="BE2611" s="77"/>
      <c r="BF2611" s="77"/>
      <c r="BG2611" s="77"/>
      <c r="BH2611" s="77"/>
      <c r="BI2611" s="77"/>
    </row>
    <row r="2612" spans="1:61" x14ac:dyDescent="0.25">
      <c r="A2612" s="62" t="s">
        <v>646</v>
      </c>
      <c r="B2612" s="62" t="s">
        <v>646</v>
      </c>
      <c r="C2612" s="63"/>
      <c r="D2612" s="64"/>
      <c r="E2612" s="65"/>
      <c r="F2612" s="66"/>
      <c r="G2612" s="63"/>
      <c r="H2612" s="67"/>
      <c r="I2612" s="68"/>
      <c r="J2612" s="68"/>
      <c r="K2612" s="32"/>
      <c r="L2612" s="75">
        <v>2612</v>
      </c>
      <c r="M2612" s="75"/>
      <c r="N2612" s="70"/>
      <c r="O2612" s="77" t="s">
        <v>179</v>
      </c>
      <c r="P2612" s="79">
        <v>45090.525069444448</v>
      </c>
      <c r="Q2612" s="77" t="s">
        <v>3389</v>
      </c>
      <c r="R2612" s="77">
        <v>0</v>
      </c>
      <c r="S2612" s="77">
        <v>0</v>
      </c>
      <c r="T2612" s="77">
        <v>0</v>
      </c>
      <c r="U2612" s="77">
        <v>0</v>
      </c>
      <c r="V2612" s="77">
        <v>44</v>
      </c>
      <c r="W2612" s="82" t="s">
        <v>6382</v>
      </c>
      <c r="X2612" s="80" t="str">
        <f>HYPERLINK("https://tinyurl.com/2yww9yvw")</f>
        <v>https://tinyurl.com/2yww9yvw</v>
      </c>
      <c r="Y2612" s="77" t="s">
        <v>7068</v>
      </c>
      <c r="Z2612" s="77"/>
      <c r="AA2612" s="77"/>
      <c r="AB2612" s="77"/>
      <c r="AC2612" s="82" t="s">
        <v>8274</v>
      </c>
      <c r="AD2612" s="77" t="s">
        <v>8278</v>
      </c>
      <c r="AE2612" s="80" t="str">
        <f>HYPERLINK("https://twitter.com/pauta_economica/status/1668598117544099841")</f>
        <v>https://twitter.com/pauta_economica/status/1668598117544099841</v>
      </c>
      <c r="AF2612" s="79">
        <v>45090.525069444448</v>
      </c>
      <c r="AG2612" s="85">
        <v>45090</v>
      </c>
      <c r="AH2612" s="82" t="s">
        <v>10655</v>
      </c>
      <c r="AI2612" s="77" t="b">
        <v>0</v>
      </c>
      <c r="AJ2612" s="77"/>
      <c r="AK2612" s="77"/>
      <c r="AL2612" s="77"/>
      <c r="AM2612" s="77"/>
      <c r="AN2612" s="77"/>
      <c r="AO2612" s="77"/>
      <c r="AP2612" s="77"/>
      <c r="AQ2612" s="77"/>
      <c r="AR2612" s="77"/>
      <c r="AS2612" s="77"/>
      <c r="AT2612" s="77"/>
      <c r="AU2612" s="77"/>
      <c r="AV2612" s="80" t="str">
        <f>HYPERLINK("https://pbs.twimg.com/profile_images/1588668531910082561/XEi-lXiu_normal.jpg")</f>
        <v>https://pbs.twimg.com/profile_images/1588668531910082561/XEi-lXiu_normal.jpg</v>
      </c>
      <c r="AW2612" s="82" t="s">
        <v>15696</v>
      </c>
      <c r="AX2612" s="82" t="s">
        <v>15696</v>
      </c>
      <c r="AY2612" s="77"/>
      <c r="AZ2612" s="82" t="s">
        <v>17385</v>
      </c>
      <c r="BA2612" s="82" t="s">
        <v>17385</v>
      </c>
      <c r="BB2612" s="82" t="s">
        <v>17385</v>
      </c>
      <c r="BC2612" s="82" t="s">
        <v>15696</v>
      </c>
      <c r="BD2612" s="82" t="s">
        <v>17667</v>
      </c>
      <c r="BE2612" s="77"/>
      <c r="BF2612" s="77"/>
      <c r="BG2612" s="77"/>
      <c r="BH2612" s="77"/>
      <c r="BI2612" s="77"/>
    </row>
    <row r="2613" spans="1:61" x14ac:dyDescent="0.25">
      <c r="A2613" s="62" t="s">
        <v>646</v>
      </c>
      <c r="B2613" s="62" t="s">
        <v>646</v>
      </c>
      <c r="C2613" s="63"/>
      <c r="D2613" s="64"/>
      <c r="E2613" s="65"/>
      <c r="F2613" s="66"/>
      <c r="G2613" s="63"/>
      <c r="H2613" s="67"/>
      <c r="I2613" s="68"/>
      <c r="J2613" s="68"/>
      <c r="K2613" s="32"/>
      <c r="L2613" s="75">
        <v>2613</v>
      </c>
      <c r="M2613" s="75"/>
      <c r="N2613" s="70"/>
      <c r="O2613" s="77" t="s">
        <v>179</v>
      </c>
      <c r="P2613" s="79">
        <v>45090.518113425926</v>
      </c>
      <c r="Q2613" s="77" t="s">
        <v>3390</v>
      </c>
      <c r="R2613" s="77">
        <v>0</v>
      </c>
      <c r="S2613" s="77">
        <v>1</v>
      </c>
      <c r="T2613" s="77">
        <v>0</v>
      </c>
      <c r="U2613" s="77">
        <v>0</v>
      </c>
      <c r="V2613" s="77">
        <v>21</v>
      </c>
      <c r="W2613" s="82" t="s">
        <v>6382</v>
      </c>
      <c r="X2613" s="80" t="str">
        <f>HYPERLINK("https://tinyurl.com/2cya2h7p")</f>
        <v>https://tinyurl.com/2cya2h7p</v>
      </c>
      <c r="Y2613" s="77" t="s">
        <v>7068</v>
      </c>
      <c r="Z2613" s="77"/>
      <c r="AA2613" s="77"/>
      <c r="AB2613" s="77"/>
      <c r="AC2613" s="82" t="s">
        <v>8274</v>
      </c>
      <c r="AD2613" s="77" t="s">
        <v>8278</v>
      </c>
      <c r="AE2613" s="80" t="str">
        <f>HYPERLINK("https://twitter.com/pauta_economica/status/1668595594179346432")</f>
        <v>https://twitter.com/pauta_economica/status/1668595594179346432</v>
      </c>
      <c r="AF2613" s="79">
        <v>45090.518113425926</v>
      </c>
      <c r="AG2613" s="85">
        <v>45090</v>
      </c>
      <c r="AH2613" s="82" t="s">
        <v>10656</v>
      </c>
      <c r="AI2613" s="77" t="b">
        <v>0</v>
      </c>
      <c r="AJ2613" s="77"/>
      <c r="AK2613" s="77"/>
      <c r="AL2613" s="77"/>
      <c r="AM2613" s="77"/>
      <c r="AN2613" s="77"/>
      <c r="AO2613" s="77"/>
      <c r="AP2613" s="77"/>
      <c r="AQ2613" s="77"/>
      <c r="AR2613" s="77"/>
      <c r="AS2613" s="77"/>
      <c r="AT2613" s="77"/>
      <c r="AU2613" s="77"/>
      <c r="AV2613" s="80" t="str">
        <f>HYPERLINK("https://pbs.twimg.com/profile_images/1588668531910082561/XEi-lXiu_normal.jpg")</f>
        <v>https://pbs.twimg.com/profile_images/1588668531910082561/XEi-lXiu_normal.jpg</v>
      </c>
      <c r="AW2613" s="82" t="s">
        <v>15697</v>
      </c>
      <c r="AX2613" s="82" t="s">
        <v>15697</v>
      </c>
      <c r="AY2613" s="77"/>
      <c r="AZ2613" s="82" t="s">
        <v>17385</v>
      </c>
      <c r="BA2613" s="82" t="s">
        <v>17385</v>
      </c>
      <c r="BB2613" s="82" t="s">
        <v>17385</v>
      </c>
      <c r="BC2613" s="82" t="s">
        <v>15697</v>
      </c>
      <c r="BD2613" s="82" t="s">
        <v>17667</v>
      </c>
      <c r="BE2613" s="77"/>
      <c r="BF2613" s="77"/>
      <c r="BG2613" s="77"/>
      <c r="BH2613" s="77"/>
      <c r="BI2613" s="77"/>
    </row>
    <row r="2614" spans="1:61" x14ac:dyDescent="0.25">
      <c r="A2614" s="62" t="s">
        <v>646</v>
      </c>
      <c r="B2614" s="62" t="s">
        <v>646</v>
      </c>
      <c r="C2614" s="63"/>
      <c r="D2614" s="64"/>
      <c r="E2614" s="65"/>
      <c r="F2614" s="66"/>
      <c r="G2614" s="63"/>
      <c r="H2614" s="67"/>
      <c r="I2614" s="68"/>
      <c r="J2614" s="68"/>
      <c r="K2614" s="32"/>
      <c r="L2614" s="75">
        <v>2614</v>
      </c>
      <c r="M2614" s="75"/>
      <c r="N2614" s="70"/>
      <c r="O2614" s="77" t="s">
        <v>179</v>
      </c>
      <c r="P2614" s="79">
        <v>45090.511145833334</v>
      </c>
      <c r="Q2614" s="77" t="s">
        <v>3391</v>
      </c>
      <c r="R2614" s="77">
        <v>0</v>
      </c>
      <c r="S2614" s="77">
        <v>1</v>
      </c>
      <c r="T2614" s="77">
        <v>0</v>
      </c>
      <c r="U2614" s="77">
        <v>0</v>
      </c>
      <c r="V2614" s="77">
        <v>64</v>
      </c>
      <c r="W2614" s="82" t="s">
        <v>6382</v>
      </c>
      <c r="X2614" s="80" t="str">
        <f>HYPERLINK("https://tinyurl.com/2439nphp")</f>
        <v>https://tinyurl.com/2439nphp</v>
      </c>
      <c r="Y2614" s="77" t="s">
        <v>7068</v>
      </c>
      <c r="Z2614" s="77"/>
      <c r="AA2614" s="77"/>
      <c r="AB2614" s="77"/>
      <c r="AC2614" s="82" t="s">
        <v>8274</v>
      </c>
      <c r="AD2614" s="77" t="s">
        <v>8278</v>
      </c>
      <c r="AE2614" s="80" t="str">
        <f>HYPERLINK("https://twitter.com/pauta_economica/status/1668593069908713472")</f>
        <v>https://twitter.com/pauta_economica/status/1668593069908713472</v>
      </c>
      <c r="AF2614" s="79">
        <v>45090.511145833334</v>
      </c>
      <c r="AG2614" s="85">
        <v>45090</v>
      </c>
      <c r="AH2614" s="82" t="s">
        <v>10657</v>
      </c>
      <c r="AI2614" s="77" t="b">
        <v>0</v>
      </c>
      <c r="AJ2614" s="77"/>
      <c r="AK2614" s="77"/>
      <c r="AL2614" s="77"/>
      <c r="AM2614" s="77"/>
      <c r="AN2614" s="77"/>
      <c r="AO2614" s="77"/>
      <c r="AP2614" s="77"/>
      <c r="AQ2614" s="77"/>
      <c r="AR2614" s="77"/>
      <c r="AS2614" s="77"/>
      <c r="AT2614" s="77"/>
      <c r="AU2614" s="77"/>
      <c r="AV2614" s="80" t="str">
        <f>HYPERLINK("https://pbs.twimg.com/profile_images/1588668531910082561/XEi-lXiu_normal.jpg")</f>
        <v>https://pbs.twimg.com/profile_images/1588668531910082561/XEi-lXiu_normal.jpg</v>
      </c>
      <c r="AW2614" s="82" t="s">
        <v>15698</v>
      </c>
      <c r="AX2614" s="82" t="s">
        <v>15698</v>
      </c>
      <c r="AY2614" s="77"/>
      <c r="AZ2614" s="82" t="s">
        <v>17385</v>
      </c>
      <c r="BA2614" s="82" t="s">
        <v>17385</v>
      </c>
      <c r="BB2614" s="82" t="s">
        <v>17385</v>
      </c>
      <c r="BC2614" s="82" t="s">
        <v>15698</v>
      </c>
      <c r="BD2614" s="82" t="s">
        <v>17667</v>
      </c>
      <c r="BE2614" s="77"/>
      <c r="BF2614" s="77"/>
      <c r="BG2614" s="77"/>
      <c r="BH2614" s="77"/>
      <c r="BI2614" s="77"/>
    </row>
    <row r="2615" spans="1:61" x14ac:dyDescent="0.25">
      <c r="A2615" s="62" t="s">
        <v>646</v>
      </c>
      <c r="B2615" s="62" t="s">
        <v>646</v>
      </c>
      <c r="C2615" s="63"/>
      <c r="D2615" s="64"/>
      <c r="E2615" s="65"/>
      <c r="F2615" s="66"/>
      <c r="G2615" s="63"/>
      <c r="H2615" s="67"/>
      <c r="I2615" s="68"/>
      <c r="J2615" s="68"/>
      <c r="K2615" s="32"/>
      <c r="L2615" s="75">
        <v>2615</v>
      </c>
      <c r="M2615" s="75"/>
      <c r="N2615" s="70"/>
      <c r="O2615" s="77" t="s">
        <v>179</v>
      </c>
      <c r="P2615" s="79">
        <v>45077.710717592592</v>
      </c>
      <c r="Q2615" s="77" t="s">
        <v>3392</v>
      </c>
      <c r="R2615" s="77">
        <v>0</v>
      </c>
      <c r="S2615" s="77">
        <v>0</v>
      </c>
      <c r="T2615" s="77">
        <v>0</v>
      </c>
      <c r="U2615" s="77">
        <v>0</v>
      </c>
      <c r="V2615" s="77">
        <v>68</v>
      </c>
      <c r="W2615" s="82" t="s">
        <v>6382</v>
      </c>
      <c r="X2615" s="80" t="str">
        <f>HYPERLINK("https://tinyurl.com/2lx8tbcy")</f>
        <v>https://tinyurl.com/2lx8tbcy</v>
      </c>
      <c r="Y2615" s="77" t="s">
        <v>7068</v>
      </c>
      <c r="Z2615" s="77"/>
      <c r="AA2615" s="77"/>
      <c r="AB2615" s="77"/>
      <c r="AC2615" s="82" t="s">
        <v>8274</v>
      </c>
      <c r="AD2615" s="77" t="s">
        <v>8278</v>
      </c>
      <c r="AE2615" s="80" t="str">
        <f>HYPERLINK("https://twitter.com/pauta_economica/status/1663954350593527808")</f>
        <v>https://twitter.com/pauta_economica/status/1663954350593527808</v>
      </c>
      <c r="AF2615" s="79">
        <v>45077.710717592592</v>
      </c>
      <c r="AG2615" s="85">
        <v>45077</v>
      </c>
      <c r="AH2615" s="82" t="s">
        <v>10658</v>
      </c>
      <c r="AI2615" s="77" t="b">
        <v>0</v>
      </c>
      <c r="AJ2615" s="77"/>
      <c r="AK2615" s="77"/>
      <c r="AL2615" s="77"/>
      <c r="AM2615" s="77"/>
      <c r="AN2615" s="77"/>
      <c r="AO2615" s="77"/>
      <c r="AP2615" s="77"/>
      <c r="AQ2615" s="77"/>
      <c r="AR2615" s="77"/>
      <c r="AS2615" s="77"/>
      <c r="AT2615" s="77"/>
      <c r="AU2615" s="77"/>
      <c r="AV2615" s="80" t="str">
        <f>HYPERLINK("https://pbs.twimg.com/profile_images/1588668531910082561/XEi-lXiu_normal.jpg")</f>
        <v>https://pbs.twimg.com/profile_images/1588668531910082561/XEi-lXiu_normal.jpg</v>
      </c>
      <c r="AW2615" s="82" t="s">
        <v>15699</v>
      </c>
      <c r="AX2615" s="82" t="s">
        <v>15699</v>
      </c>
      <c r="AY2615" s="77"/>
      <c r="AZ2615" s="82" t="s">
        <v>17385</v>
      </c>
      <c r="BA2615" s="82" t="s">
        <v>17385</v>
      </c>
      <c r="BB2615" s="82" t="s">
        <v>17385</v>
      </c>
      <c r="BC2615" s="82" t="s">
        <v>15699</v>
      </c>
      <c r="BD2615" s="82" t="s">
        <v>17667</v>
      </c>
      <c r="BE2615" s="77"/>
      <c r="BF2615" s="77"/>
      <c r="BG2615" s="77"/>
      <c r="BH2615" s="77"/>
      <c r="BI2615" s="77"/>
    </row>
    <row r="2616" spans="1:61" x14ac:dyDescent="0.25">
      <c r="A2616" s="62" t="s">
        <v>646</v>
      </c>
      <c r="B2616" s="62" t="s">
        <v>646</v>
      </c>
      <c r="C2616" s="63"/>
      <c r="D2616" s="64"/>
      <c r="E2616" s="65"/>
      <c r="F2616" s="66"/>
      <c r="G2616" s="63"/>
      <c r="H2616" s="67"/>
      <c r="I2616" s="68"/>
      <c r="J2616" s="68"/>
      <c r="K2616" s="32"/>
      <c r="L2616" s="75">
        <v>2616</v>
      </c>
      <c r="M2616" s="75"/>
      <c r="N2616" s="70"/>
      <c r="O2616" s="77" t="s">
        <v>179</v>
      </c>
      <c r="P2616" s="79">
        <v>45077.703761574077</v>
      </c>
      <c r="Q2616" s="77" t="s">
        <v>3393</v>
      </c>
      <c r="R2616" s="77">
        <v>0</v>
      </c>
      <c r="S2616" s="77">
        <v>0</v>
      </c>
      <c r="T2616" s="77">
        <v>1</v>
      </c>
      <c r="U2616" s="77">
        <v>0</v>
      </c>
      <c r="V2616" s="77">
        <v>34</v>
      </c>
      <c r="W2616" s="82" t="s">
        <v>6382</v>
      </c>
      <c r="X2616" s="80" t="str">
        <f>HYPERLINK("https://tinyurl.com/2eyge92q")</f>
        <v>https://tinyurl.com/2eyge92q</v>
      </c>
      <c r="Y2616" s="77" t="s">
        <v>7068</v>
      </c>
      <c r="Z2616" s="77"/>
      <c r="AA2616" s="77"/>
      <c r="AB2616" s="77"/>
      <c r="AC2616" s="82" t="s">
        <v>8274</v>
      </c>
      <c r="AD2616" s="77" t="s">
        <v>8278</v>
      </c>
      <c r="AE2616" s="80" t="str">
        <f>HYPERLINK("https://twitter.com/pauta_economica/status/1663951830189998099")</f>
        <v>https://twitter.com/pauta_economica/status/1663951830189998099</v>
      </c>
      <c r="AF2616" s="79">
        <v>45077.703761574077</v>
      </c>
      <c r="AG2616" s="85">
        <v>45077</v>
      </c>
      <c r="AH2616" s="82" t="s">
        <v>10659</v>
      </c>
      <c r="AI2616" s="77" t="b">
        <v>0</v>
      </c>
      <c r="AJ2616" s="77"/>
      <c r="AK2616" s="77"/>
      <c r="AL2616" s="77"/>
      <c r="AM2616" s="77"/>
      <c r="AN2616" s="77"/>
      <c r="AO2616" s="77"/>
      <c r="AP2616" s="77"/>
      <c r="AQ2616" s="77"/>
      <c r="AR2616" s="77"/>
      <c r="AS2616" s="77"/>
      <c r="AT2616" s="77"/>
      <c r="AU2616" s="77"/>
      <c r="AV2616" s="80" t="str">
        <f>HYPERLINK("https://pbs.twimg.com/profile_images/1588668531910082561/XEi-lXiu_normal.jpg")</f>
        <v>https://pbs.twimg.com/profile_images/1588668531910082561/XEi-lXiu_normal.jpg</v>
      </c>
      <c r="AW2616" s="82" t="s">
        <v>15700</v>
      </c>
      <c r="AX2616" s="82" t="s">
        <v>15700</v>
      </c>
      <c r="AY2616" s="77"/>
      <c r="AZ2616" s="82" t="s">
        <v>17385</v>
      </c>
      <c r="BA2616" s="82" t="s">
        <v>17385</v>
      </c>
      <c r="BB2616" s="82" t="s">
        <v>17385</v>
      </c>
      <c r="BC2616" s="82" t="s">
        <v>15700</v>
      </c>
      <c r="BD2616" s="82" t="s">
        <v>17667</v>
      </c>
      <c r="BE2616" s="77"/>
      <c r="BF2616" s="77"/>
      <c r="BG2616" s="77"/>
      <c r="BH2616" s="77"/>
      <c r="BI2616" s="77"/>
    </row>
    <row r="2617" spans="1:61" x14ac:dyDescent="0.25">
      <c r="A2617" s="62" t="s">
        <v>646</v>
      </c>
      <c r="B2617" s="62" t="s">
        <v>646</v>
      </c>
      <c r="C2617" s="63"/>
      <c r="D2617" s="64"/>
      <c r="E2617" s="65"/>
      <c r="F2617" s="66"/>
      <c r="G2617" s="63"/>
      <c r="H2617" s="67"/>
      <c r="I2617" s="68"/>
      <c r="J2617" s="68"/>
      <c r="K2617" s="32"/>
      <c r="L2617" s="75">
        <v>2617</v>
      </c>
      <c r="M2617" s="75"/>
      <c r="N2617" s="70"/>
      <c r="O2617" s="77" t="s">
        <v>179</v>
      </c>
      <c r="P2617" s="79">
        <v>45077.59207175926</v>
      </c>
      <c r="Q2617" s="77" t="s">
        <v>3394</v>
      </c>
      <c r="R2617" s="77">
        <v>0</v>
      </c>
      <c r="S2617" s="77">
        <v>0</v>
      </c>
      <c r="T2617" s="77">
        <v>0</v>
      </c>
      <c r="U2617" s="77">
        <v>0</v>
      </c>
      <c r="V2617" s="77">
        <v>88</v>
      </c>
      <c r="W2617" s="82" t="s">
        <v>6382</v>
      </c>
      <c r="X2617" s="80" t="str">
        <f>HYPERLINK("https://tinyurl.com/2n8tww3j")</f>
        <v>https://tinyurl.com/2n8tww3j</v>
      </c>
      <c r="Y2617" s="77" t="s">
        <v>7068</v>
      </c>
      <c r="Z2617" s="77"/>
      <c r="AA2617" s="77"/>
      <c r="AB2617" s="77"/>
      <c r="AC2617" s="82" t="s">
        <v>8274</v>
      </c>
      <c r="AD2617" s="77" t="s">
        <v>8278</v>
      </c>
      <c r="AE2617" s="80" t="str">
        <f>HYPERLINK("https://twitter.com/pauta_economica/status/1663911354858721289")</f>
        <v>https://twitter.com/pauta_economica/status/1663911354858721289</v>
      </c>
      <c r="AF2617" s="79">
        <v>45077.59207175926</v>
      </c>
      <c r="AG2617" s="85">
        <v>45077</v>
      </c>
      <c r="AH2617" s="82" t="s">
        <v>10660</v>
      </c>
      <c r="AI2617" s="77" t="b">
        <v>0</v>
      </c>
      <c r="AJ2617" s="77"/>
      <c r="AK2617" s="77"/>
      <c r="AL2617" s="77"/>
      <c r="AM2617" s="77"/>
      <c r="AN2617" s="77"/>
      <c r="AO2617" s="77"/>
      <c r="AP2617" s="77"/>
      <c r="AQ2617" s="77"/>
      <c r="AR2617" s="77"/>
      <c r="AS2617" s="77"/>
      <c r="AT2617" s="77"/>
      <c r="AU2617" s="77"/>
      <c r="AV2617" s="80" t="str">
        <f>HYPERLINK("https://pbs.twimg.com/profile_images/1588668531910082561/XEi-lXiu_normal.jpg")</f>
        <v>https://pbs.twimg.com/profile_images/1588668531910082561/XEi-lXiu_normal.jpg</v>
      </c>
      <c r="AW2617" s="82" t="s">
        <v>15701</v>
      </c>
      <c r="AX2617" s="82" t="s">
        <v>15701</v>
      </c>
      <c r="AY2617" s="77"/>
      <c r="AZ2617" s="82" t="s">
        <v>17385</v>
      </c>
      <c r="BA2617" s="82" t="s">
        <v>17385</v>
      </c>
      <c r="BB2617" s="82" t="s">
        <v>17385</v>
      </c>
      <c r="BC2617" s="82" t="s">
        <v>15701</v>
      </c>
      <c r="BD2617" s="82" t="s">
        <v>17667</v>
      </c>
      <c r="BE2617" s="77"/>
      <c r="BF2617" s="77"/>
      <c r="BG2617" s="77"/>
      <c r="BH2617" s="77"/>
      <c r="BI2617" s="77"/>
    </row>
    <row r="2618" spans="1:61" x14ac:dyDescent="0.25">
      <c r="A2618" s="62" t="s">
        <v>646</v>
      </c>
      <c r="B2618" s="62" t="s">
        <v>646</v>
      </c>
      <c r="C2618" s="63"/>
      <c r="D2618" s="64"/>
      <c r="E2618" s="65"/>
      <c r="F2618" s="66"/>
      <c r="G2618" s="63"/>
      <c r="H2618" s="67"/>
      <c r="I2618" s="68"/>
      <c r="J2618" s="68"/>
      <c r="K2618" s="32"/>
      <c r="L2618" s="75">
        <v>2618</v>
      </c>
      <c r="M2618" s="75"/>
      <c r="N2618" s="70"/>
      <c r="O2618" s="77" t="s">
        <v>179</v>
      </c>
      <c r="P2618" s="79">
        <v>45077.585104166668</v>
      </c>
      <c r="Q2618" s="77" t="s">
        <v>3395</v>
      </c>
      <c r="R2618" s="77">
        <v>0</v>
      </c>
      <c r="S2618" s="77">
        <v>0</v>
      </c>
      <c r="T2618" s="77">
        <v>0</v>
      </c>
      <c r="U2618" s="77">
        <v>0</v>
      </c>
      <c r="V2618" s="77">
        <v>41</v>
      </c>
      <c r="W2618" s="82" t="s">
        <v>6382</v>
      </c>
      <c r="X2618" s="80" t="str">
        <f>HYPERLINK("https://tinyurl.com/2ot9dhrr")</f>
        <v>https://tinyurl.com/2ot9dhrr</v>
      </c>
      <c r="Y2618" s="77" t="s">
        <v>7068</v>
      </c>
      <c r="Z2618" s="77"/>
      <c r="AA2618" s="77"/>
      <c r="AB2618" s="77"/>
      <c r="AC2618" s="82" t="s">
        <v>8274</v>
      </c>
      <c r="AD2618" s="77" t="s">
        <v>8278</v>
      </c>
      <c r="AE2618" s="80" t="str">
        <f>HYPERLINK("https://twitter.com/pauta_economica/status/1663908829518614531")</f>
        <v>https://twitter.com/pauta_economica/status/1663908829518614531</v>
      </c>
      <c r="AF2618" s="79">
        <v>45077.585104166668</v>
      </c>
      <c r="AG2618" s="85">
        <v>45077</v>
      </c>
      <c r="AH2618" s="82" t="s">
        <v>10661</v>
      </c>
      <c r="AI2618" s="77" t="b">
        <v>0</v>
      </c>
      <c r="AJ2618" s="77"/>
      <c r="AK2618" s="77"/>
      <c r="AL2618" s="77"/>
      <c r="AM2618" s="77"/>
      <c r="AN2618" s="77"/>
      <c r="AO2618" s="77"/>
      <c r="AP2618" s="77"/>
      <c r="AQ2618" s="77"/>
      <c r="AR2618" s="77"/>
      <c r="AS2618" s="77"/>
      <c r="AT2618" s="77"/>
      <c r="AU2618" s="77"/>
      <c r="AV2618" s="80" t="str">
        <f>HYPERLINK("https://pbs.twimg.com/profile_images/1588668531910082561/XEi-lXiu_normal.jpg")</f>
        <v>https://pbs.twimg.com/profile_images/1588668531910082561/XEi-lXiu_normal.jpg</v>
      </c>
      <c r="AW2618" s="82" t="s">
        <v>15702</v>
      </c>
      <c r="AX2618" s="82" t="s">
        <v>15702</v>
      </c>
      <c r="AY2618" s="77"/>
      <c r="AZ2618" s="82" t="s">
        <v>17385</v>
      </c>
      <c r="BA2618" s="82" t="s">
        <v>17385</v>
      </c>
      <c r="BB2618" s="82" t="s">
        <v>17385</v>
      </c>
      <c r="BC2618" s="82" t="s">
        <v>15702</v>
      </c>
      <c r="BD2618" s="82" t="s">
        <v>17667</v>
      </c>
      <c r="BE2618" s="77"/>
      <c r="BF2618" s="77"/>
      <c r="BG2618" s="77"/>
      <c r="BH2618" s="77"/>
      <c r="BI2618" s="77"/>
    </row>
    <row r="2619" spans="1:61" x14ac:dyDescent="0.25">
      <c r="A2619" s="62" t="s">
        <v>646</v>
      </c>
      <c r="B2619" s="62" t="s">
        <v>646</v>
      </c>
      <c r="C2619" s="63"/>
      <c r="D2619" s="64"/>
      <c r="E2619" s="65"/>
      <c r="F2619" s="66"/>
      <c r="G2619" s="63"/>
      <c r="H2619" s="67"/>
      <c r="I2619" s="68"/>
      <c r="J2619" s="68"/>
      <c r="K2619" s="32"/>
      <c r="L2619" s="75">
        <v>2619</v>
      </c>
      <c r="M2619" s="75"/>
      <c r="N2619" s="70"/>
      <c r="O2619" s="77" t="s">
        <v>179</v>
      </c>
      <c r="P2619" s="79">
        <v>45077.571030092593</v>
      </c>
      <c r="Q2619" s="77" t="s">
        <v>3396</v>
      </c>
      <c r="R2619" s="77">
        <v>0</v>
      </c>
      <c r="S2619" s="77">
        <v>0</v>
      </c>
      <c r="T2619" s="77">
        <v>0</v>
      </c>
      <c r="U2619" s="77">
        <v>0</v>
      </c>
      <c r="V2619" s="77">
        <v>198</v>
      </c>
      <c r="W2619" s="82" t="s">
        <v>6382</v>
      </c>
      <c r="X2619" s="80" t="str">
        <f>HYPERLINK("https://tinyurl.com/2r2glqbb")</f>
        <v>https://tinyurl.com/2r2glqbb</v>
      </c>
      <c r="Y2619" s="77" t="s">
        <v>7068</v>
      </c>
      <c r="Z2619" s="77"/>
      <c r="AA2619" s="77"/>
      <c r="AB2619" s="77"/>
      <c r="AC2619" s="82" t="s">
        <v>8274</v>
      </c>
      <c r="AD2619" s="77" t="s">
        <v>8278</v>
      </c>
      <c r="AE2619" s="80" t="str">
        <f>HYPERLINK("https://twitter.com/pauta_economica/status/1663903727999148034")</f>
        <v>https://twitter.com/pauta_economica/status/1663903727999148034</v>
      </c>
      <c r="AF2619" s="79">
        <v>45077.571030092593</v>
      </c>
      <c r="AG2619" s="85">
        <v>45077</v>
      </c>
      <c r="AH2619" s="82" t="s">
        <v>10662</v>
      </c>
      <c r="AI2619" s="77" t="b">
        <v>0</v>
      </c>
      <c r="AJ2619" s="77"/>
      <c r="AK2619" s="77"/>
      <c r="AL2619" s="77"/>
      <c r="AM2619" s="77"/>
      <c r="AN2619" s="77"/>
      <c r="AO2619" s="77"/>
      <c r="AP2619" s="77"/>
      <c r="AQ2619" s="77"/>
      <c r="AR2619" s="77"/>
      <c r="AS2619" s="77"/>
      <c r="AT2619" s="77"/>
      <c r="AU2619" s="77"/>
      <c r="AV2619" s="80" t="str">
        <f>HYPERLINK("https://pbs.twimg.com/profile_images/1588668531910082561/XEi-lXiu_normal.jpg")</f>
        <v>https://pbs.twimg.com/profile_images/1588668531910082561/XEi-lXiu_normal.jpg</v>
      </c>
      <c r="AW2619" s="82" t="s">
        <v>15703</v>
      </c>
      <c r="AX2619" s="82" t="s">
        <v>15703</v>
      </c>
      <c r="AY2619" s="77"/>
      <c r="AZ2619" s="82" t="s">
        <v>17385</v>
      </c>
      <c r="BA2619" s="82" t="s">
        <v>17385</v>
      </c>
      <c r="BB2619" s="82" t="s">
        <v>17385</v>
      </c>
      <c r="BC2619" s="82" t="s">
        <v>15703</v>
      </c>
      <c r="BD2619" s="82" t="s">
        <v>17667</v>
      </c>
      <c r="BE2619" s="77"/>
      <c r="BF2619" s="77"/>
      <c r="BG2619" s="77"/>
      <c r="BH2619" s="77"/>
      <c r="BI2619" s="77"/>
    </row>
    <row r="2620" spans="1:61" x14ac:dyDescent="0.25">
      <c r="A2620" s="62" t="s">
        <v>646</v>
      </c>
      <c r="B2620" s="62" t="s">
        <v>646</v>
      </c>
      <c r="C2620" s="63"/>
      <c r="D2620" s="64"/>
      <c r="E2620" s="65"/>
      <c r="F2620" s="66"/>
      <c r="G2620" s="63"/>
      <c r="H2620" s="67"/>
      <c r="I2620" s="68"/>
      <c r="J2620" s="68"/>
      <c r="K2620" s="32"/>
      <c r="L2620" s="75">
        <v>2620</v>
      </c>
      <c r="M2620" s="75"/>
      <c r="N2620" s="70"/>
      <c r="O2620" s="77" t="s">
        <v>179</v>
      </c>
      <c r="P2620" s="79">
        <v>45045.716296296298</v>
      </c>
      <c r="Q2620" s="77" t="s">
        <v>3397</v>
      </c>
      <c r="R2620" s="77">
        <v>0</v>
      </c>
      <c r="S2620" s="77">
        <v>0</v>
      </c>
      <c r="T2620" s="77">
        <v>0</v>
      </c>
      <c r="U2620" s="77">
        <v>0</v>
      </c>
      <c r="V2620" s="77">
        <v>36</v>
      </c>
      <c r="W2620" s="82" t="s">
        <v>6382</v>
      </c>
      <c r="X2620" s="80" t="str">
        <f>HYPERLINK("https://tinyurl.com/2fezfyf4")</f>
        <v>https://tinyurl.com/2fezfyf4</v>
      </c>
      <c r="Y2620" s="77" t="s">
        <v>7068</v>
      </c>
      <c r="Z2620" s="77"/>
      <c r="AA2620" s="77"/>
      <c r="AB2620" s="77"/>
      <c r="AC2620" s="82" t="s">
        <v>8275</v>
      </c>
      <c r="AD2620" s="77" t="s">
        <v>8278</v>
      </c>
      <c r="AE2620" s="80" t="str">
        <f>HYPERLINK("https://twitter.com/pauta_economica/status/1652359960305565698")</f>
        <v>https://twitter.com/pauta_economica/status/1652359960305565698</v>
      </c>
      <c r="AF2620" s="79">
        <v>45045.716296296298</v>
      </c>
      <c r="AG2620" s="85">
        <v>45045</v>
      </c>
      <c r="AH2620" s="82" t="s">
        <v>10663</v>
      </c>
      <c r="AI2620" s="77" t="b">
        <v>0</v>
      </c>
      <c r="AJ2620" s="77"/>
      <c r="AK2620" s="77"/>
      <c r="AL2620" s="77"/>
      <c r="AM2620" s="77"/>
      <c r="AN2620" s="77"/>
      <c r="AO2620" s="77"/>
      <c r="AP2620" s="77"/>
      <c r="AQ2620" s="77"/>
      <c r="AR2620" s="77"/>
      <c r="AS2620" s="77"/>
      <c r="AT2620" s="77"/>
      <c r="AU2620" s="77"/>
      <c r="AV2620" s="80" t="str">
        <f>HYPERLINK("https://pbs.twimg.com/profile_images/1588668531910082561/XEi-lXiu_normal.jpg")</f>
        <v>https://pbs.twimg.com/profile_images/1588668531910082561/XEi-lXiu_normal.jpg</v>
      </c>
      <c r="AW2620" s="82" t="s">
        <v>15704</v>
      </c>
      <c r="AX2620" s="82" t="s">
        <v>15704</v>
      </c>
      <c r="AY2620" s="77"/>
      <c r="AZ2620" s="82" t="s">
        <v>17385</v>
      </c>
      <c r="BA2620" s="82" t="s">
        <v>17385</v>
      </c>
      <c r="BB2620" s="82" t="s">
        <v>17385</v>
      </c>
      <c r="BC2620" s="82" t="s">
        <v>15704</v>
      </c>
      <c r="BD2620" s="82" t="s">
        <v>17667</v>
      </c>
      <c r="BE2620" s="77"/>
      <c r="BF2620" s="77"/>
      <c r="BG2620" s="77"/>
      <c r="BH2620" s="77"/>
      <c r="BI2620" s="77"/>
    </row>
    <row r="2621" spans="1:61" x14ac:dyDescent="0.25">
      <c r="A2621" s="62" t="s">
        <v>646</v>
      </c>
      <c r="B2621" s="62" t="s">
        <v>646</v>
      </c>
      <c r="C2621" s="63"/>
      <c r="D2621" s="64"/>
      <c r="E2621" s="65"/>
      <c r="F2621" s="66"/>
      <c r="G2621" s="63"/>
      <c r="H2621" s="67"/>
      <c r="I2621" s="68"/>
      <c r="J2621" s="68"/>
      <c r="K2621" s="32"/>
      <c r="L2621" s="75">
        <v>2621</v>
      </c>
      <c r="M2621" s="75"/>
      <c r="N2621" s="70"/>
      <c r="O2621" s="77" t="s">
        <v>179</v>
      </c>
      <c r="P2621" s="79">
        <v>45045.688425925924</v>
      </c>
      <c r="Q2621" s="77" t="s">
        <v>3398</v>
      </c>
      <c r="R2621" s="77">
        <v>0</v>
      </c>
      <c r="S2621" s="77">
        <v>0</v>
      </c>
      <c r="T2621" s="77">
        <v>0</v>
      </c>
      <c r="U2621" s="77">
        <v>0</v>
      </c>
      <c r="V2621" s="77">
        <v>30</v>
      </c>
      <c r="W2621" s="82" t="s">
        <v>6382</v>
      </c>
      <c r="X2621" s="80" t="str">
        <f>HYPERLINK("https://tinyurl.com/2ov3x63f")</f>
        <v>https://tinyurl.com/2ov3x63f</v>
      </c>
      <c r="Y2621" s="77" t="s">
        <v>7068</v>
      </c>
      <c r="Z2621" s="77"/>
      <c r="AA2621" s="77"/>
      <c r="AB2621" s="77"/>
      <c r="AC2621" s="82" t="s">
        <v>8275</v>
      </c>
      <c r="AD2621" s="77" t="s">
        <v>8278</v>
      </c>
      <c r="AE2621" s="80" t="str">
        <f>HYPERLINK("https://twitter.com/pauta_economica/status/1652349858475307010")</f>
        <v>https://twitter.com/pauta_economica/status/1652349858475307010</v>
      </c>
      <c r="AF2621" s="79">
        <v>45045.688425925924</v>
      </c>
      <c r="AG2621" s="85">
        <v>45045</v>
      </c>
      <c r="AH2621" s="82" t="s">
        <v>10664</v>
      </c>
      <c r="AI2621" s="77" t="b">
        <v>0</v>
      </c>
      <c r="AJ2621" s="77"/>
      <c r="AK2621" s="77"/>
      <c r="AL2621" s="77"/>
      <c r="AM2621" s="77"/>
      <c r="AN2621" s="77"/>
      <c r="AO2621" s="77"/>
      <c r="AP2621" s="77"/>
      <c r="AQ2621" s="77"/>
      <c r="AR2621" s="77"/>
      <c r="AS2621" s="77"/>
      <c r="AT2621" s="77"/>
      <c r="AU2621" s="77"/>
      <c r="AV2621" s="80" t="str">
        <f>HYPERLINK("https://pbs.twimg.com/profile_images/1588668531910082561/XEi-lXiu_normal.jpg")</f>
        <v>https://pbs.twimg.com/profile_images/1588668531910082561/XEi-lXiu_normal.jpg</v>
      </c>
      <c r="AW2621" s="82" t="s">
        <v>15705</v>
      </c>
      <c r="AX2621" s="82" t="s">
        <v>15705</v>
      </c>
      <c r="AY2621" s="77"/>
      <c r="AZ2621" s="82" t="s">
        <v>17385</v>
      </c>
      <c r="BA2621" s="82" t="s">
        <v>17385</v>
      </c>
      <c r="BB2621" s="82" t="s">
        <v>17385</v>
      </c>
      <c r="BC2621" s="82" t="s">
        <v>15705</v>
      </c>
      <c r="BD2621" s="82" t="s">
        <v>17667</v>
      </c>
      <c r="BE2621" s="77"/>
      <c r="BF2621" s="77"/>
      <c r="BG2621" s="77"/>
      <c r="BH2621" s="77"/>
      <c r="BI2621" s="77"/>
    </row>
    <row r="2622" spans="1:61" x14ac:dyDescent="0.25">
      <c r="A2622" s="62" t="s">
        <v>646</v>
      </c>
      <c r="B2622" s="62" t="s">
        <v>646</v>
      </c>
      <c r="C2622" s="63"/>
      <c r="D2622" s="64"/>
      <c r="E2622" s="65"/>
      <c r="F2622" s="66"/>
      <c r="G2622" s="63"/>
      <c r="H2622" s="67"/>
      <c r="I2622" s="68"/>
      <c r="J2622" s="68"/>
      <c r="K2622" s="32"/>
      <c r="L2622" s="75">
        <v>2622</v>
      </c>
      <c r="M2622" s="75"/>
      <c r="N2622" s="70"/>
      <c r="O2622" s="77" t="s">
        <v>179</v>
      </c>
      <c r="P2622" s="79">
        <v>45045.660590277781</v>
      </c>
      <c r="Q2622" s="77" t="s">
        <v>3399</v>
      </c>
      <c r="R2622" s="77">
        <v>0</v>
      </c>
      <c r="S2622" s="77">
        <v>0</v>
      </c>
      <c r="T2622" s="77">
        <v>0</v>
      </c>
      <c r="U2622" s="77">
        <v>0</v>
      </c>
      <c r="V2622" s="77">
        <v>127</v>
      </c>
      <c r="W2622" s="82" t="s">
        <v>6382</v>
      </c>
      <c r="X2622" s="80" t="str">
        <f>HYPERLINK("https://tinyurl.com/2zj3xpsl")</f>
        <v>https://tinyurl.com/2zj3xpsl</v>
      </c>
      <c r="Y2622" s="77" t="s">
        <v>7068</v>
      </c>
      <c r="Z2622" s="77"/>
      <c r="AA2622" s="77"/>
      <c r="AB2622" s="77"/>
      <c r="AC2622" s="82" t="s">
        <v>8275</v>
      </c>
      <c r="AD2622" s="77" t="s">
        <v>8278</v>
      </c>
      <c r="AE2622" s="80" t="str">
        <f>HYPERLINK("https://twitter.com/pauta_economica/status/1652339774588346370")</f>
        <v>https://twitter.com/pauta_economica/status/1652339774588346370</v>
      </c>
      <c r="AF2622" s="79">
        <v>45045.660590277781</v>
      </c>
      <c r="AG2622" s="85">
        <v>45045</v>
      </c>
      <c r="AH2622" s="82" t="s">
        <v>10665</v>
      </c>
      <c r="AI2622" s="77" t="b">
        <v>0</v>
      </c>
      <c r="AJ2622" s="77"/>
      <c r="AK2622" s="77"/>
      <c r="AL2622" s="77"/>
      <c r="AM2622" s="77"/>
      <c r="AN2622" s="77"/>
      <c r="AO2622" s="77"/>
      <c r="AP2622" s="77"/>
      <c r="AQ2622" s="77"/>
      <c r="AR2622" s="77"/>
      <c r="AS2622" s="77"/>
      <c r="AT2622" s="77"/>
      <c r="AU2622" s="77"/>
      <c r="AV2622" s="80" t="str">
        <f>HYPERLINK("https://pbs.twimg.com/profile_images/1588668531910082561/XEi-lXiu_normal.jpg")</f>
        <v>https://pbs.twimg.com/profile_images/1588668531910082561/XEi-lXiu_normal.jpg</v>
      </c>
      <c r="AW2622" s="82" t="s">
        <v>15706</v>
      </c>
      <c r="AX2622" s="82" t="s">
        <v>15706</v>
      </c>
      <c r="AY2622" s="77"/>
      <c r="AZ2622" s="82" t="s">
        <v>17385</v>
      </c>
      <c r="BA2622" s="82" t="s">
        <v>17385</v>
      </c>
      <c r="BB2622" s="82" t="s">
        <v>17385</v>
      </c>
      <c r="BC2622" s="82" t="s">
        <v>15706</v>
      </c>
      <c r="BD2622" s="82" t="s">
        <v>17667</v>
      </c>
      <c r="BE2622" s="77"/>
      <c r="BF2622" s="77"/>
      <c r="BG2622" s="77"/>
      <c r="BH2622" s="77"/>
      <c r="BI2622" s="77"/>
    </row>
    <row r="2623" spans="1:61" x14ac:dyDescent="0.25">
      <c r="A2623" s="62" t="s">
        <v>646</v>
      </c>
      <c r="B2623" s="62" t="s">
        <v>646</v>
      </c>
      <c r="C2623" s="63"/>
      <c r="D2623" s="64"/>
      <c r="E2623" s="65"/>
      <c r="F2623" s="66"/>
      <c r="G2623" s="63"/>
      <c r="H2623" s="67"/>
      <c r="I2623" s="68"/>
      <c r="J2623" s="68"/>
      <c r="K2623" s="32"/>
      <c r="L2623" s="75">
        <v>2623</v>
      </c>
      <c r="M2623" s="75"/>
      <c r="N2623" s="70"/>
      <c r="O2623" s="77" t="s">
        <v>179</v>
      </c>
      <c r="P2623" s="79">
        <v>45045.60491898148</v>
      </c>
      <c r="Q2623" s="77" t="s">
        <v>3400</v>
      </c>
      <c r="R2623" s="77">
        <v>0</v>
      </c>
      <c r="S2623" s="77">
        <v>0</v>
      </c>
      <c r="T2623" s="77">
        <v>0</v>
      </c>
      <c r="U2623" s="77">
        <v>0</v>
      </c>
      <c r="V2623" s="77">
        <v>58</v>
      </c>
      <c r="W2623" s="82" t="s">
        <v>6382</v>
      </c>
      <c r="X2623" s="80" t="str">
        <f>HYPERLINK("https://tinyurl.com/2npvhott")</f>
        <v>https://tinyurl.com/2npvhott</v>
      </c>
      <c r="Y2623" s="77" t="s">
        <v>7068</v>
      </c>
      <c r="Z2623" s="77"/>
      <c r="AA2623" s="77"/>
      <c r="AB2623" s="77"/>
      <c r="AC2623" s="82" t="s">
        <v>8275</v>
      </c>
      <c r="AD2623" s="77" t="s">
        <v>8278</v>
      </c>
      <c r="AE2623" s="80" t="str">
        <f>HYPERLINK("https://twitter.com/pauta_economica/status/1652319598048419841")</f>
        <v>https://twitter.com/pauta_economica/status/1652319598048419841</v>
      </c>
      <c r="AF2623" s="79">
        <v>45045.60491898148</v>
      </c>
      <c r="AG2623" s="85">
        <v>45045</v>
      </c>
      <c r="AH2623" s="82" t="s">
        <v>10666</v>
      </c>
      <c r="AI2623" s="77" t="b">
        <v>0</v>
      </c>
      <c r="AJ2623" s="77"/>
      <c r="AK2623" s="77"/>
      <c r="AL2623" s="77"/>
      <c r="AM2623" s="77"/>
      <c r="AN2623" s="77"/>
      <c r="AO2623" s="77"/>
      <c r="AP2623" s="77"/>
      <c r="AQ2623" s="77"/>
      <c r="AR2623" s="77"/>
      <c r="AS2623" s="77"/>
      <c r="AT2623" s="77"/>
      <c r="AU2623" s="77"/>
      <c r="AV2623" s="80" t="str">
        <f>HYPERLINK("https://pbs.twimg.com/profile_images/1588668531910082561/XEi-lXiu_normal.jpg")</f>
        <v>https://pbs.twimg.com/profile_images/1588668531910082561/XEi-lXiu_normal.jpg</v>
      </c>
      <c r="AW2623" s="82" t="s">
        <v>15707</v>
      </c>
      <c r="AX2623" s="82" t="s">
        <v>15707</v>
      </c>
      <c r="AY2623" s="77"/>
      <c r="AZ2623" s="82" t="s">
        <v>17385</v>
      </c>
      <c r="BA2623" s="82" t="s">
        <v>17385</v>
      </c>
      <c r="BB2623" s="82" t="s">
        <v>17385</v>
      </c>
      <c r="BC2623" s="82" t="s">
        <v>15707</v>
      </c>
      <c r="BD2623" s="82" t="s">
        <v>17667</v>
      </c>
      <c r="BE2623" s="77"/>
      <c r="BF2623" s="77"/>
      <c r="BG2623" s="77"/>
      <c r="BH2623" s="77"/>
      <c r="BI2623" s="77"/>
    </row>
    <row r="2624" spans="1:61" x14ac:dyDescent="0.25">
      <c r="A2624" s="62" t="s">
        <v>646</v>
      </c>
      <c r="B2624" s="62" t="s">
        <v>646</v>
      </c>
      <c r="C2624" s="63"/>
      <c r="D2624" s="64"/>
      <c r="E2624" s="65"/>
      <c r="F2624" s="66"/>
      <c r="G2624" s="63"/>
      <c r="H2624" s="67"/>
      <c r="I2624" s="68"/>
      <c r="J2624" s="68"/>
      <c r="K2624" s="32"/>
      <c r="L2624" s="75">
        <v>2624</v>
      </c>
      <c r="M2624" s="75"/>
      <c r="N2624" s="70"/>
      <c r="O2624" s="77" t="s">
        <v>179</v>
      </c>
      <c r="P2624" s="79">
        <v>45045.520995370367</v>
      </c>
      <c r="Q2624" s="77" t="s">
        <v>3401</v>
      </c>
      <c r="R2624" s="77">
        <v>0</v>
      </c>
      <c r="S2624" s="77">
        <v>0</v>
      </c>
      <c r="T2624" s="77">
        <v>0</v>
      </c>
      <c r="U2624" s="77">
        <v>0</v>
      </c>
      <c r="V2624" s="77">
        <v>46</v>
      </c>
      <c r="W2624" s="82" t="s">
        <v>6382</v>
      </c>
      <c r="X2624" s="80" t="str">
        <f>HYPERLINK("https://tinyurl.com/2fa3ynty")</f>
        <v>https://tinyurl.com/2fa3ynty</v>
      </c>
      <c r="Y2624" s="77" t="s">
        <v>7068</v>
      </c>
      <c r="Z2624" s="77"/>
      <c r="AA2624" s="77"/>
      <c r="AB2624" s="77"/>
      <c r="AC2624" s="82" t="s">
        <v>8275</v>
      </c>
      <c r="AD2624" s="77" t="s">
        <v>8278</v>
      </c>
      <c r="AE2624" s="80" t="str">
        <f>HYPERLINK("https://twitter.com/pauta_economica/status/1652289183694585858")</f>
        <v>https://twitter.com/pauta_economica/status/1652289183694585858</v>
      </c>
      <c r="AF2624" s="79">
        <v>45045.520995370367</v>
      </c>
      <c r="AG2624" s="85">
        <v>45045</v>
      </c>
      <c r="AH2624" s="82" t="s">
        <v>10667</v>
      </c>
      <c r="AI2624" s="77" t="b">
        <v>0</v>
      </c>
      <c r="AJ2624" s="77"/>
      <c r="AK2624" s="77"/>
      <c r="AL2624" s="77"/>
      <c r="AM2624" s="77"/>
      <c r="AN2624" s="77"/>
      <c r="AO2624" s="77"/>
      <c r="AP2624" s="77"/>
      <c r="AQ2624" s="77"/>
      <c r="AR2624" s="77"/>
      <c r="AS2624" s="77"/>
      <c r="AT2624" s="77"/>
      <c r="AU2624" s="77"/>
      <c r="AV2624" s="80" t="str">
        <f>HYPERLINK("https://pbs.twimg.com/profile_images/1588668531910082561/XEi-lXiu_normal.jpg")</f>
        <v>https://pbs.twimg.com/profile_images/1588668531910082561/XEi-lXiu_normal.jpg</v>
      </c>
      <c r="AW2624" s="82" t="s">
        <v>15708</v>
      </c>
      <c r="AX2624" s="82" t="s">
        <v>15708</v>
      </c>
      <c r="AY2624" s="77"/>
      <c r="AZ2624" s="82" t="s">
        <v>17385</v>
      </c>
      <c r="BA2624" s="82" t="s">
        <v>17385</v>
      </c>
      <c r="BB2624" s="82" t="s">
        <v>17385</v>
      </c>
      <c r="BC2624" s="82" t="s">
        <v>15708</v>
      </c>
      <c r="BD2624" s="82" t="s">
        <v>17667</v>
      </c>
      <c r="BE2624" s="77"/>
      <c r="BF2624" s="77"/>
      <c r="BG2624" s="77"/>
      <c r="BH2624" s="77"/>
      <c r="BI2624" s="77"/>
    </row>
    <row r="2625" spans="1:61" x14ac:dyDescent="0.25">
      <c r="A2625" s="62" t="s">
        <v>646</v>
      </c>
      <c r="B2625" s="62" t="s">
        <v>646</v>
      </c>
      <c r="C2625" s="63"/>
      <c r="D2625" s="64"/>
      <c r="E2625" s="65"/>
      <c r="F2625" s="66"/>
      <c r="G2625" s="63"/>
      <c r="H2625" s="67"/>
      <c r="I2625" s="68"/>
      <c r="J2625" s="68"/>
      <c r="K2625" s="32"/>
      <c r="L2625" s="75">
        <v>2625</v>
      </c>
      <c r="M2625" s="75"/>
      <c r="N2625" s="70"/>
      <c r="O2625" s="77" t="s">
        <v>179</v>
      </c>
      <c r="P2625" s="79">
        <v>45045.269733796296</v>
      </c>
      <c r="Q2625" s="77" t="s">
        <v>3402</v>
      </c>
      <c r="R2625" s="77">
        <v>0</v>
      </c>
      <c r="S2625" s="77">
        <v>0</v>
      </c>
      <c r="T2625" s="77">
        <v>0</v>
      </c>
      <c r="U2625" s="77">
        <v>0</v>
      </c>
      <c r="V2625" s="77">
        <v>54</v>
      </c>
      <c r="W2625" s="82" t="s">
        <v>6382</v>
      </c>
      <c r="X2625" s="80" t="str">
        <f>HYPERLINK("https://tinyurl.com/2osc2yhu")</f>
        <v>https://tinyurl.com/2osc2yhu</v>
      </c>
      <c r="Y2625" s="77" t="s">
        <v>7068</v>
      </c>
      <c r="Z2625" s="77"/>
      <c r="AA2625" s="77"/>
      <c r="AB2625" s="77"/>
      <c r="AC2625" s="82" t="s">
        <v>8275</v>
      </c>
      <c r="AD2625" s="77" t="s">
        <v>8278</v>
      </c>
      <c r="AE2625" s="80" t="str">
        <f>HYPERLINK("https://twitter.com/pauta_economica/status/1652198132099194881")</f>
        <v>https://twitter.com/pauta_economica/status/1652198132099194881</v>
      </c>
      <c r="AF2625" s="79">
        <v>45045.269733796296</v>
      </c>
      <c r="AG2625" s="85">
        <v>45045</v>
      </c>
      <c r="AH2625" s="82" t="s">
        <v>10668</v>
      </c>
      <c r="AI2625" s="77" t="b">
        <v>0</v>
      </c>
      <c r="AJ2625" s="77"/>
      <c r="AK2625" s="77"/>
      <c r="AL2625" s="77"/>
      <c r="AM2625" s="77"/>
      <c r="AN2625" s="77"/>
      <c r="AO2625" s="77"/>
      <c r="AP2625" s="77"/>
      <c r="AQ2625" s="77"/>
      <c r="AR2625" s="77"/>
      <c r="AS2625" s="77"/>
      <c r="AT2625" s="77"/>
      <c r="AU2625" s="77"/>
      <c r="AV2625" s="80" t="str">
        <f>HYPERLINK("https://pbs.twimg.com/profile_images/1588668531910082561/XEi-lXiu_normal.jpg")</f>
        <v>https://pbs.twimg.com/profile_images/1588668531910082561/XEi-lXiu_normal.jpg</v>
      </c>
      <c r="AW2625" s="82" t="s">
        <v>15709</v>
      </c>
      <c r="AX2625" s="82" t="s">
        <v>15709</v>
      </c>
      <c r="AY2625" s="77"/>
      <c r="AZ2625" s="82" t="s">
        <v>17385</v>
      </c>
      <c r="BA2625" s="82" t="s">
        <v>17385</v>
      </c>
      <c r="BB2625" s="82" t="s">
        <v>17385</v>
      </c>
      <c r="BC2625" s="82" t="s">
        <v>15709</v>
      </c>
      <c r="BD2625" s="82" t="s">
        <v>17667</v>
      </c>
      <c r="BE2625" s="77"/>
      <c r="BF2625" s="77"/>
      <c r="BG2625" s="77"/>
      <c r="BH2625" s="77"/>
      <c r="BI2625" s="77"/>
    </row>
    <row r="2626" spans="1:61" x14ac:dyDescent="0.25">
      <c r="A2626" s="62" t="s">
        <v>646</v>
      </c>
      <c r="B2626" s="62" t="s">
        <v>646</v>
      </c>
      <c r="C2626" s="63"/>
      <c r="D2626" s="64"/>
      <c r="E2626" s="65"/>
      <c r="F2626" s="66"/>
      <c r="G2626" s="63"/>
      <c r="H2626" s="67"/>
      <c r="I2626" s="68"/>
      <c r="J2626" s="68"/>
      <c r="K2626" s="32"/>
      <c r="L2626" s="75">
        <v>2626</v>
      </c>
      <c r="M2626" s="75"/>
      <c r="N2626" s="70"/>
      <c r="O2626" s="77" t="s">
        <v>179</v>
      </c>
      <c r="P2626" s="79">
        <v>45045.241932870369</v>
      </c>
      <c r="Q2626" s="77" t="s">
        <v>3403</v>
      </c>
      <c r="R2626" s="77">
        <v>0</v>
      </c>
      <c r="S2626" s="77">
        <v>0</v>
      </c>
      <c r="T2626" s="77">
        <v>0</v>
      </c>
      <c r="U2626" s="77">
        <v>0</v>
      </c>
      <c r="V2626" s="77">
        <v>91</v>
      </c>
      <c r="W2626" s="82" t="s">
        <v>6382</v>
      </c>
      <c r="X2626" s="80" t="str">
        <f>HYPERLINK("https://tinyurl.com/2mfrellq")</f>
        <v>https://tinyurl.com/2mfrellq</v>
      </c>
      <c r="Y2626" s="77" t="s">
        <v>7068</v>
      </c>
      <c r="Z2626" s="77"/>
      <c r="AA2626" s="77"/>
      <c r="AB2626" s="77"/>
      <c r="AC2626" s="82" t="s">
        <v>8275</v>
      </c>
      <c r="AD2626" s="77" t="s">
        <v>8278</v>
      </c>
      <c r="AE2626" s="80" t="str">
        <f>HYPERLINK("https://twitter.com/pauta_economica/status/1652188054721908736")</f>
        <v>https://twitter.com/pauta_economica/status/1652188054721908736</v>
      </c>
      <c r="AF2626" s="79">
        <v>45045.241932870369</v>
      </c>
      <c r="AG2626" s="85">
        <v>45045</v>
      </c>
      <c r="AH2626" s="82" t="s">
        <v>10669</v>
      </c>
      <c r="AI2626" s="77" t="b">
        <v>0</v>
      </c>
      <c r="AJ2626" s="77"/>
      <c r="AK2626" s="77"/>
      <c r="AL2626" s="77"/>
      <c r="AM2626" s="77"/>
      <c r="AN2626" s="77"/>
      <c r="AO2626" s="77"/>
      <c r="AP2626" s="77"/>
      <c r="AQ2626" s="77"/>
      <c r="AR2626" s="77"/>
      <c r="AS2626" s="77"/>
      <c r="AT2626" s="77"/>
      <c r="AU2626" s="77"/>
      <c r="AV2626" s="80" t="str">
        <f>HYPERLINK("https://pbs.twimg.com/profile_images/1588668531910082561/XEi-lXiu_normal.jpg")</f>
        <v>https://pbs.twimg.com/profile_images/1588668531910082561/XEi-lXiu_normal.jpg</v>
      </c>
      <c r="AW2626" s="82" t="s">
        <v>15710</v>
      </c>
      <c r="AX2626" s="82" t="s">
        <v>15710</v>
      </c>
      <c r="AY2626" s="77"/>
      <c r="AZ2626" s="82" t="s">
        <v>17385</v>
      </c>
      <c r="BA2626" s="82" t="s">
        <v>17385</v>
      </c>
      <c r="BB2626" s="82" t="s">
        <v>17385</v>
      </c>
      <c r="BC2626" s="82" t="s">
        <v>15710</v>
      </c>
      <c r="BD2626" s="82" t="s">
        <v>17667</v>
      </c>
      <c r="BE2626" s="77"/>
      <c r="BF2626" s="77"/>
      <c r="BG2626" s="77"/>
      <c r="BH2626" s="77"/>
      <c r="BI2626" s="77"/>
    </row>
    <row r="2627" spans="1:61" x14ac:dyDescent="0.25">
      <c r="A2627" s="62" t="s">
        <v>646</v>
      </c>
      <c r="B2627" s="62" t="s">
        <v>646</v>
      </c>
      <c r="C2627" s="63"/>
      <c r="D2627" s="64"/>
      <c r="E2627" s="65"/>
      <c r="F2627" s="66"/>
      <c r="G2627" s="63"/>
      <c r="H2627" s="67"/>
      <c r="I2627" s="68"/>
      <c r="J2627" s="68"/>
      <c r="K2627" s="32"/>
      <c r="L2627" s="75">
        <v>2627</v>
      </c>
      <c r="M2627" s="75"/>
      <c r="N2627" s="70"/>
      <c r="O2627" s="77" t="s">
        <v>179</v>
      </c>
      <c r="P2627" s="79">
        <v>45045.214039351849</v>
      </c>
      <c r="Q2627" s="77" t="s">
        <v>3404</v>
      </c>
      <c r="R2627" s="77">
        <v>0</v>
      </c>
      <c r="S2627" s="77">
        <v>0</v>
      </c>
      <c r="T2627" s="77">
        <v>0</v>
      </c>
      <c r="U2627" s="77">
        <v>0</v>
      </c>
      <c r="V2627" s="77">
        <v>26</v>
      </c>
      <c r="W2627" s="82" t="s">
        <v>6382</v>
      </c>
      <c r="X2627" s="80" t="str">
        <f>HYPERLINK("https://tinyurl.com/2zgddwe8")</f>
        <v>https://tinyurl.com/2zgddwe8</v>
      </c>
      <c r="Y2627" s="77" t="s">
        <v>7068</v>
      </c>
      <c r="Z2627" s="77"/>
      <c r="AA2627" s="77"/>
      <c r="AB2627" s="77"/>
      <c r="AC2627" s="82" t="s">
        <v>8275</v>
      </c>
      <c r="AD2627" s="77" t="s">
        <v>8278</v>
      </c>
      <c r="AE2627" s="80" t="str">
        <f>HYPERLINK("https://twitter.com/pauta_economica/status/1652177949368492034")</f>
        <v>https://twitter.com/pauta_economica/status/1652177949368492034</v>
      </c>
      <c r="AF2627" s="79">
        <v>45045.214039351849</v>
      </c>
      <c r="AG2627" s="85">
        <v>45045</v>
      </c>
      <c r="AH2627" s="82" t="s">
        <v>10670</v>
      </c>
      <c r="AI2627" s="77" t="b">
        <v>0</v>
      </c>
      <c r="AJ2627" s="77"/>
      <c r="AK2627" s="77"/>
      <c r="AL2627" s="77"/>
      <c r="AM2627" s="77"/>
      <c r="AN2627" s="77"/>
      <c r="AO2627" s="77"/>
      <c r="AP2627" s="77"/>
      <c r="AQ2627" s="77"/>
      <c r="AR2627" s="77"/>
      <c r="AS2627" s="77"/>
      <c r="AT2627" s="77"/>
      <c r="AU2627" s="77"/>
      <c r="AV2627" s="80" t="str">
        <f>HYPERLINK("https://pbs.twimg.com/profile_images/1588668531910082561/XEi-lXiu_normal.jpg")</f>
        <v>https://pbs.twimg.com/profile_images/1588668531910082561/XEi-lXiu_normal.jpg</v>
      </c>
      <c r="AW2627" s="82" t="s">
        <v>15711</v>
      </c>
      <c r="AX2627" s="82" t="s">
        <v>15711</v>
      </c>
      <c r="AY2627" s="77"/>
      <c r="AZ2627" s="82" t="s">
        <v>17385</v>
      </c>
      <c r="BA2627" s="82" t="s">
        <v>17385</v>
      </c>
      <c r="BB2627" s="82" t="s">
        <v>17385</v>
      </c>
      <c r="BC2627" s="82" t="s">
        <v>15711</v>
      </c>
      <c r="BD2627" s="82" t="s">
        <v>17667</v>
      </c>
      <c r="BE2627" s="77"/>
      <c r="BF2627" s="77"/>
      <c r="BG2627" s="77"/>
      <c r="BH2627" s="77"/>
      <c r="BI2627" s="77"/>
    </row>
    <row r="2628" spans="1:61" x14ac:dyDescent="0.25">
      <c r="A2628" s="62" t="s">
        <v>646</v>
      </c>
      <c r="B2628" s="62" t="s">
        <v>646</v>
      </c>
      <c r="C2628" s="63"/>
      <c r="D2628" s="64"/>
      <c r="E2628" s="65"/>
      <c r="F2628" s="66"/>
      <c r="G2628" s="63"/>
      <c r="H2628" s="67"/>
      <c r="I2628" s="68"/>
      <c r="J2628" s="68"/>
      <c r="K2628" s="32"/>
      <c r="L2628" s="75">
        <v>2628</v>
      </c>
      <c r="M2628" s="75"/>
      <c r="N2628" s="70"/>
      <c r="O2628" s="77" t="s">
        <v>179</v>
      </c>
      <c r="P2628" s="79">
        <v>45045.186018518521</v>
      </c>
      <c r="Q2628" s="77" t="s">
        <v>3405</v>
      </c>
      <c r="R2628" s="77">
        <v>0</v>
      </c>
      <c r="S2628" s="77">
        <v>0</v>
      </c>
      <c r="T2628" s="77">
        <v>0</v>
      </c>
      <c r="U2628" s="77">
        <v>0</v>
      </c>
      <c r="V2628" s="77">
        <v>25</v>
      </c>
      <c r="W2628" s="82" t="s">
        <v>6382</v>
      </c>
      <c r="X2628" s="80" t="str">
        <f>HYPERLINK("https://tinyurl.com/2ppbt7yg")</f>
        <v>https://tinyurl.com/2ppbt7yg</v>
      </c>
      <c r="Y2628" s="77" t="s">
        <v>7068</v>
      </c>
      <c r="Z2628" s="77"/>
      <c r="AA2628" s="77"/>
      <c r="AB2628" s="77"/>
      <c r="AC2628" s="82" t="s">
        <v>8275</v>
      </c>
      <c r="AD2628" s="77" t="s">
        <v>8278</v>
      </c>
      <c r="AE2628" s="80" t="str">
        <f>HYPERLINK("https://twitter.com/pauta_economica/status/1652167794643943425")</f>
        <v>https://twitter.com/pauta_economica/status/1652167794643943425</v>
      </c>
      <c r="AF2628" s="79">
        <v>45045.186018518521</v>
      </c>
      <c r="AG2628" s="85">
        <v>45045</v>
      </c>
      <c r="AH2628" s="82" t="s">
        <v>10671</v>
      </c>
      <c r="AI2628" s="77" t="b">
        <v>0</v>
      </c>
      <c r="AJ2628" s="77"/>
      <c r="AK2628" s="77"/>
      <c r="AL2628" s="77"/>
      <c r="AM2628" s="77"/>
      <c r="AN2628" s="77"/>
      <c r="AO2628" s="77"/>
      <c r="AP2628" s="77"/>
      <c r="AQ2628" s="77"/>
      <c r="AR2628" s="77"/>
      <c r="AS2628" s="77"/>
      <c r="AT2628" s="77"/>
      <c r="AU2628" s="77"/>
      <c r="AV2628" s="80" t="str">
        <f>HYPERLINK("https://pbs.twimg.com/profile_images/1588668531910082561/XEi-lXiu_normal.jpg")</f>
        <v>https://pbs.twimg.com/profile_images/1588668531910082561/XEi-lXiu_normal.jpg</v>
      </c>
      <c r="AW2628" s="82" t="s">
        <v>15712</v>
      </c>
      <c r="AX2628" s="82" t="s">
        <v>15712</v>
      </c>
      <c r="AY2628" s="77"/>
      <c r="AZ2628" s="82" t="s">
        <v>17385</v>
      </c>
      <c r="BA2628" s="82" t="s">
        <v>17385</v>
      </c>
      <c r="BB2628" s="82" t="s">
        <v>17385</v>
      </c>
      <c r="BC2628" s="82" t="s">
        <v>15712</v>
      </c>
      <c r="BD2628" s="82" t="s">
        <v>17667</v>
      </c>
      <c r="BE2628" s="77"/>
      <c r="BF2628" s="77"/>
      <c r="BG2628" s="77"/>
      <c r="BH2628" s="77"/>
      <c r="BI2628" s="77"/>
    </row>
    <row r="2629" spans="1:61" x14ac:dyDescent="0.25">
      <c r="A2629" s="62" t="s">
        <v>646</v>
      </c>
      <c r="B2629" s="62" t="s">
        <v>646</v>
      </c>
      <c r="C2629" s="63"/>
      <c r="D2629" s="64"/>
      <c r="E2629" s="65"/>
      <c r="F2629" s="66"/>
      <c r="G2629" s="63"/>
      <c r="H2629" s="67"/>
      <c r="I2629" s="68"/>
      <c r="J2629" s="68"/>
      <c r="K2629" s="32"/>
      <c r="L2629" s="75">
        <v>2629</v>
      </c>
      <c r="M2629" s="75"/>
      <c r="N2629" s="70"/>
      <c r="O2629" s="77" t="s">
        <v>179</v>
      </c>
      <c r="P2629" s="79">
        <v>45045.158252314817</v>
      </c>
      <c r="Q2629" s="77" t="s">
        <v>3406</v>
      </c>
      <c r="R2629" s="77">
        <v>0</v>
      </c>
      <c r="S2629" s="77">
        <v>0</v>
      </c>
      <c r="T2629" s="77">
        <v>0</v>
      </c>
      <c r="U2629" s="77">
        <v>0</v>
      </c>
      <c r="V2629" s="77">
        <v>23</v>
      </c>
      <c r="W2629" s="82" t="s">
        <v>6382</v>
      </c>
      <c r="X2629" s="80" t="str">
        <f>HYPERLINK("https://tinyurl.com/2onzcjg2")</f>
        <v>https://tinyurl.com/2onzcjg2</v>
      </c>
      <c r="Y2629" s="77" t="s">
        <v>7068</v>
      </c>
      <c r="Z2629" s="77"/>
      <c r="AA2629" s="77"/>
      <c r="AB2629" s="77"/>
      <c r="AC2629" s="82" t="s">
        <v>8275</v>
      </c>
      <c r="AD2629" s="77" t="s">
        <v>8278</v>
      </c>
      <c r="AE2629" s="80" t="str">
        <f>HYPERLINK("https://twitter.com/pauta_economica/status/1652157733536235520")</f>
        <v>https://twitter.com/pauta_economica/status/1652157733536235520</v>
      </c>
      <c r="AF2629" s="79">
        <v>45045.158252314817</v>
      </c>
      <c r="AG2629" s="85">
        <v>45045</v>
      </c>
      <c r="AH2629" s="82" t="s">
        <v>10672</v>
      </c>
      <c r="AI2629" s="77" t="b">
        <v>0</v>
      </c>
      <c r="AJ2629" s="77"/>
      <c r="AK2629" s="77"/>
      <c r="AL2629" s="77"/>
      <c r="AM2629" s="77"/>
      <c r="AN2629" s="77"/>
      <c r="AO2629" s="77"/>
      <c r="AP2629" s="77"/>
      <c r="AQ2629" s="77"/>
      <c r="AR2629" s="77"/>
      <c r="AS2629" s="77"/>
      <c r="AT2629" s="77"/>
      <c r="AU2629" s="77"/>
      <c r="AV2629" s="80" t="str">
        <f>HYPERLINK("https://pbs.twimg.com/profile_images/1588668531910082561/XEi-lXiu_normal.jpg")</f>
        <v>https://pbs.twimg.com/profile_images/1588668531910082561/XEi-lXiu_normal.jpg</v>
      </c>
      <c r="AW2629" s="82" t="s">
        <v>15713</v>
      </c>
      <c r="AX2629" s="82" t="s">
        <v>15713</v>
      </c>
      <c r="AY2629" s="77"/>
      <c r="AZ2629" s="82" t="s">
        <v>17385</v>
      </c>
      <c r="BA2629" s="82" t="s">
        <v>17385</v>
      </c>
      <c r="BB2629" s="82" t="s">
        <v>17385</v>
      </c>
      <c r="BC2629" s="82" t="s">
        <v>15713</v>
      </c>
      <c r="BD2629" s="82" t="s">
        <v>17667</v>
      </c>
      <c r="BE2629" s="77"/>
      <c r="BF2629" s="77"/>
      <c r="BG2629" s="77"/>
      <c r="BH2629" s="77"/>
      <c r="BI2629" s="77"/>
    </row>
    <row r="2630" spans="1:61" x14ac:dyDescent="0.25">
      <c r="A2630" s="62" t="s">
        <v>646</v>
      </c>
      <c r="B2630" s="62" t="s">
        <v>646</v>
      </c>
      <c r="C2630" s="63"/>
      <c r="D2630" s="64"/>
      <c r="E2630" s="65"/>
      <c r="F2630" s="66"/>
      <c r="G2630" s="63"/>
      <c r="H2630" s="67"/>
      <c r="I2630" s="68"/>
      <c r="J2630" s="68"/>
      <c r="K2630" s="32"/>
      <c r="L2630" s="75">
        <v>2630</v>
      </c>
      <c r="M2630" s="75"/>
      <c r="N2630" s="70"/>
      <c r="O2630" s="77" t="s">
        <v>179</v>
      </c>
      <c r="P2630" s="79">
        <v>45045.130335648151</v>
      </c>
      <c r="Q2630" s="77" t="s">
        <v>3407</v>
      </c>
      <c r="R2630" s="77">
        <v>0</v>
      </c>
      <c r="S2630" s="77">
        <v>0</v>
      </c>
      <c r="T2630" s="77">
        <v>0</v>
      </c>
      <c r="U2630" s="77">
        <v>0</v>
      </c>
      <c r="V2630" s="77">
        <v>19</v>
      </c>
      <c r="W2630" s="82" t="s">
        <v>6382</v>
      </c>
      <c r="X2630" s="80" t="str">
        <f>HYPERLINK("https://tinyurl.com/2r2z95d8")</f>
        <v>https://tinyurl.com/2r2z95d8</v>
      </c>
      <c r="Y2630" s="77" t="s">
        <v>7068</v>
      </c>
      <c r="Z2630" s="77"/>
      <c r="AA2630" s="77"/>
      <c r="AB2630" s="77"/>
      <c r="AC2630" s="82" t="s">
        <v>8275</v>
      </c>
      <c r="AD2630" s="77" t="s">
        <v>8278</v>
      </c>
      <c r="AE2630" s="80" t="str">
        <f>HYPERLINK("https://twitter.com/pauta_economica/status/1652147614152835072")</f>
        <v>https://twitter.com/pauta_economica/status/1652147614152835072</v>
      </c>
      <c r="AF2630" s="79">
        <v>45045.130335648151</v>
      </c>
      <c r="AG2630" s="85">
        <v>45045</v>
      </c>
      <c r="AH2630" s="82" t="s">
        <v>10673</v>
      </c>
      <c r="AI2630" s="77" t="b">
        <v>0</v>
      </c>
      <c r="AJ2630" s="77"/>
      <c r="AK2630" s="77"/>
      <c r="AL2630" s="77"/>
      <c r="AM2630" s="77"/>
      <c r="AN2630" s="77"/>
      <c r="AO2630" s="77"/>
      <c r="AP2630" s="77"/>
      <c r="AQ2630" s="77"/>
      <c r="AR2630" s="77"/>
      <c r="AS2630" s="77"/>
      <c r="AT2630" s="77"/>
      <c r="AU2630" s="77"/>
      <c r="AV2630" s="80" t="str">
        <f>HYPERLINK("https://pbs.twimg.com/profile_images/1588668531910082561/XEi-lXiu_normal.jpg")</f>
        <v>https://pbs.twimg.com/profile_images/1588668531910082561/XEi-lXiu_normal.jpg</v>
      </c>
      <c r="AW2630" s="82" t="s">
        <v>15714</v>
      </c>
      <c r="AX2630" s="82" t="s">
        <v>15714</v>
      </c>
      <c r="AY2630" s="77"/>
      <c r="AZ2630" s="82" t="s">
        <v>17385</v>
      </c>
      <c r="BA2630" s="82" t="s">
        <v>17385</v>
      </c>
      <c r="BB2630" s="82" t="s">
        <v>17385</v>
      </c>
      <c r="BC2630" s="82" t="s">
        <v>15714</v>
      </c>
      <c r="BD2630" s="82" t="s">
        <v>17667</v>
      </c>
      <c r="BE2630" s="77"/>
      <c r="BF2630" s="77"/>
      <c r="BG2630" s="77"/>
      <c r="BH2630" s="77"/>
      <c r="BI2630" s="77"/>
    </row>
    <row r="2631" spans="1:61" x14ac:dyDescent="0.25">
      <c r="A2631" s="62" t="s">
        <v>646</v>
      </c>
      <c r="B2631" s="62" t="s">
        <v>646</v>
      </c>
      <c r="C2631" s="63"/>
      <c r="D2631" s="64"/>
      <c r="E2631" s="65"/>
      <c r="F2631" s="66"/>
      <c r="G2631" s="63"/>
      <c r="H2631" s="67"/>
      <c r="I2631" s="68"/>
      <c r="J2631" s="68"/>
      <c r="K2631" s="32"/>
      <c r="L2631" s="75">
        <v>2631</v>
      </c>
      <c r="M2631" s="75"/>
      <c r="N2631" s="70"/>
      <c r="O2631" s="77" t="s">
        <v>179</v>
      </c>
      <c r="P2631" s="79">
        <v>45045.074293981481</v>
      </c>
      <c r="Q2631" s="77" t="s">
        <v>3408</v>
      </c>
      <c r="R2631" s="77">
        <v>0</v>
      </c>
      <c r="S2631" s="77">
        <v>0</v>
      </c>
      <c r="T2631" s="77">
        <v>0</v>
      </c>
      <c r="U2631" s="77">
        <v>0</v>
      </c>
      <c r="V2631" s="77">
        <v>43</v>
      </c>
      <c r="W2631" s="82" t="s">
        <v>6382</v>
      </c>
      <c r="X2631" s="80" t="str">
        <f>HYPERLINK("https://tinyurl.com/2n659gf8")</f>
        <v>https://tinyurl.com/2n659gf8</v>
      </c>
      <c r="Y2631" s="77" t="s">
        <v>7068</v>
      </c>
      <c r="Z2631" s="77"/>
      <c r="AA2631" s="77"/>
      <c r="AB2631" s="77"/>
      <c r="AC2631" s="82" t="s">
        <v>8275</v>
      </c>
      <c r="AD2631" s="77" t="s">
        <v>8278</v>
      </c>
      <c r="AE2631" s="80" t="str">
        <f>HYPERLINK("https://twitter.com/pauta_economica/status/1652127307736203265")</f>
        <v>https://twitter.com/pauta_economica/status/1652127307736203265</v>
      </c>
      <c r="AF2631" s="79">
        <v>45045.074293981481</v>
      </c>
      <c r="AG2631" s="85">
        <v>45045</v>
      </c>
      <c r="AH2631" s="82" t="s">
        <v>10674</v>
      </c>
      <c r="AI2631" s="77" t="b">
        <v>0</v>
      </c>
      <c r="AJ2631" s="77"/>
      <c r="AK2631" s="77"/>
      <c r="AL2631" s="77"/>
      <c r="AM2631" s="77"/>
      <c r="AN2631" s="77"/>
      <c r="AO2631" s="77"/>
      <c r="AP2631" s="77"/>
      <c r="AQ2631" s="77"/>
      <c r="AR2631" s="77"/>
      <c r="AS2631" s="77"/>
      <c r="AT2631" s="77"/>
      <c r="AU2631" s="77"/>
      <c r="AV2631" s="80" t="str">
        <f>HYPERLINK("https://pbs.twimg.com/profile_images/1588668531910082561/XEi-lXiu_normal.jpg")</f>
        <v>https://pbs.twimg.com/profile_images/1588668531910082561/XEi-lXiu_normal.jpg</v>
      </c>
      <c r="AW2631" s="82" t="s">
        <v>15715</v>
      </c>
      <c r="AX2631" s="82" t="s">
        <v>15715</v>
      </c>
      <c r="AY2631" s="77"/>
      <c r="AZ2631" s="82" t="s">
        <v>17385</v>
      </c>
      <c r="BA2631" s="82" t="s">
        <v>17385</v>
      </c>
      <c r="BB2631" s="82" t="s">
        <v>17385</v>
      </c>
      <c r="BC2631" s="82" t="s">
        <v>15715</v>
      </c>
      <c r="BD2631" s="82" t="s">
        <v>17667</v>
      </c>
      <c r="BE2631" s="77"/>
      <c r="BF2631" s="77"/>
      <c r="BG2631" s="77"/>
      <c r="BH2631" s="77"/>
      <c r="BI2631" s="77"/>
    </row>
    <row r="2632" spans="1:61" x14ac:dyDescent="0.25">
      <c r="A2632" s="62" t="s">
        <v>646</v>
      </c>
      <c r="B2632" s="62" t="s">
        <v>646</v>
      </c>
      <c r="C2632" s="63"/>
      <c r="D2632" s="64"/>
      <c r="E2632" s="65"/>
      <c r="F2632" s="66"/>
      <c r="G2632" s="63"/>
      <c r="H2632" s="67"/>
      <c r="I2632" s="68"/>
      <c r="J2632" s="68"/>
      <c r="K2632" s="32"/>
      <c r="L2632" s="75">
        <v>2632</v>
      </c>
      <c r="M2632" s="75"/>
      <c r="N2632" s="70"/>
      <c r="O2632" s="77" t="s">
        <v>179</v>
      </c>
      <c r="P2632" s="79">
        <v>45045.046307870369</v>
      </c>
      <c r="Q2632" s="77" t="s">
        <v>3409</v>
      </c>
      <c r="R2632" s="77">
        <v>0</v>
      </c>
      <c r="S2632" s="77">
        <v>0</v>
      </c>
      <c r="T2632" s="77">
        <v>0</v>
      </c>
      <c r="U2632" s="77">
        <v>0</v>
      </c>
      <c r="V2632" s="77">
        <v>32</v>
      </c>
      <c r="W2632" s="82" t="s">
        <v>6382</v>
      </c>
      <c r="X2632" s="80" t="str">
        <f>HYPERLINK("https://tinyurl.com/2efoepac")</f>
        <v>https://tinyurl.com/2efoepac</v>
      </c>
      <c r="Y2632" s="77" t="s">
        <v>7068</v>
      </c>
      <c r="Z2632" s="77"/>
      <c r="AA2632" s="77"/>
      <c r="AB2632" s="77"/>
      <c r="AC2632" s="82" t="s">
        <v>8275</v>
      </c>
      <c r="AD2632" s="77" t="s">
        <v>8278</v>
      </c>
      <c r="AE2632" s="80" t="str">
        <f>HYPERLINK("https://twitter.com/pauta_economica/status/1652117162528587776")</f>
        <v>https://twitter.com/pauta_economica/status/1652117162528587776</v>
      </c>
      <c r="AF2632" s="79">
        <v>45045.046307870369</v>
      </c>
      <c r="AG2632" s="85">
        <v>45045</v>
      </c>
      <c r="AH2632" s="82" t="s">
        <v>10675</v>
      </c>
      <c r="AI2632" s="77" t="b">
        <v>0</v>
      </c>
      <c r="AJ2632" s="77"/>
      <c r="AK2632" s="77"/>
      <c r="AL2632" s="77"/>
      <c r="AM2632" s="77"/>
      <c r="AN2632" s="77"/>
      <c r="AO2632" s="77"/>
      <c r="AP2632" s="77"/>
      <c r="AQ2632" s="77"/>
      <c r="AR2632" s="77"/>
      <c r="AS2632" s="77"/>
      <c r="AT2632" s="77"/>
      <c r="AU2632" s="77"/>
      <c r="AV2632" s="80" t="str">
        <f>HYPERLINK("https://pbs.twimg.com/profile_images/1588668531910082561/XEi-lXiu_normal.jpg")</f>
        <v>https://pbs.twimg.com/profile_images/1588668531910082561/XEi-lXiu_normal.jpg</v>
      </c>
      <c r="AW2632" s="82" t="s">
        <v>15716</v>
      </c>
      <c r="AX2632" s="82" t="s">
        <v>15716</v>
      </c>
      <c r="AY2632" s="77"/>
      <c r="AZ2632" s="82" t="s">
        <v>17385</v>
      </c>
      <c r="BA2632" s="82" t="s">
        <v>17385</v>
      </c>
      <c r="BB2632" s="82" t="s">
        <v>17385</v>
      </c>
      <c r="BC2632" s="82" t="s">
        <v>15716</v>
      </c>
      <c r="BD2632" s="82" t="s">
        <v>17667</v>
      </c>
      <c r="BE2632" s="77"/>
      <c r="BF2632" s="77"/>
      <c r="BG2632" s="77"/>
      <c r="BH2632" s="77"/>
      <c r="BI2632" s="77"/>
    </row>
    <row r="2633" spans="1:61" x14ac:dyDescent="0.25">
      <c r="A2633" s="62" t="s">
        <v>646</v>
      </c>
      <c r="B2633" s="62" t="s">
        <v>646</v>
      </c>
      <c r="C2633" s="63"/>
      <c r="D2633" s="64"/>
      <c r="E2633" s="65"/>
      <c r="F2633" s="66"/>
      <c r="G2633" s="63"/>
      <c r="H2633" s="67"/>
      <c r="I2633" s="68"/>
      <c r="J2633" s="68"/>
      <c r="K2633" s="32"/>
      <c r="L2633" s="75">
        <v>2633</v>
      </c>
      <c r="M2633" s="75"/>
      <c r="N2633" s="70"/>
      <c r="O2633" s="77" t="s">
        <v>179</v>
      </c>
      <c r="P2633" s="79">
        <v>45045.01829861111</v>
      </c>
      <c r="Q2633" s="77" t="s">
        <v>3410</v>
      </c>
      <c r="R2633" s="77">
        <v>0</v>
      </c>
      <c r="S2633" s="77">
        <v>0</v>
      </c>
      <c r="T2633" s="77">
        <v>0</v>
      </c>
      <c r="U2633" s="77">
        <v>0</v>
      </c>
      <c r="V2633" s="77">
        <v>50</v>
      </c>
      <c r="W2633" s="82" t="s">
        <v>6382</v>
      </c>
      <c r="X2633" s="80" t="str">
        <f>HYPERLINK("https://tinyurl.com/2m7y7jvr")</f>
        <v>https://tinyurl.com/2m7y7jvr</v>
      </c>
      <c r="Y2633" s="77" t="s">
        <v>7068</v>
      </c>
      <c r="Z2633" s="77"/>
      <c r="AA2633" s="77"/>
      <c r="AB2633" s="77"/>
      <c r="AC2633" s="82" t="s">
        <v>8275</v>
      </c>
      <c r="AD2633" s="77" t="s">
        <v>8278</v>
      </c>
      <c r="AE2633" s="80" t="str">
        <f>HYPERLINK("https://twitter.com/pauta_economica/status/1652107013709504514")</f>
        <v>https://twitter.com/pauta_economica/status/1652107013709504514</v>
      </c>
      <c r="AF2633" s="79">
        <v>45045.01829861111</v>
      </c>
      <c r="AG2633" s="85">
        <v>45045</v>
      </c>
      <c r="AH2633" s="82" t="s">
        <v>10676</v>
      </c>
      <c r="AI2633" s="77" t="b">
        <v>0</v>
      </c>
      <c r="AJ2633" s="77"/>
      <c r="AK2633" s="77"/>
      <c r="AL2633" s="77"/>
      <c r="AM2633" s="77"/>
      <c r="AN2633" s="77"/>
      <c r="AO2633" s="77"/>
      <c r="AP2633" s="77"/>
      <c r="AQ2633" s="77"/>
      <c r="AR2633" s="77"/>
      <c r="AS2633" s="77"/>
      <c r="AT2633" s="77"/>
      <c r="AU2633" s="77"/>
      <c r="AV2633" s="80" t="str">
        <f>HYPERLINK("https://pbs.twimg.com/profile_images/1588668531910082561/XEi-lXiu_normal.jpg")</f>
        <v>https://pbs.twimg.com/profile_images/1588668531910082561/XEi-lXiu_normal.jpg</v>
      </c>
      <c r="AW2633" s="82" t="s">
        <v>15717</v>
      </c>
      <c r="AX2633" s="82" t="s">
        <v>15717</v>
      </c>
      <c r="AY2633" s="77"/>
      <c r="AZ2633" s="82" t="s">
        <v>17385</v>
      </c>
      <c r="BA2633" s="82" t="s">
        <v>17385</v>
      </c>
      <c r="BB2633" s="82" t="s">
        <v>17385</v>
      </c>
      <c r="BC2633" s="82" t="s">
        <v>15717</v>
      </c>
      <c r="BD2633" s="82" t="s">
        <v>17667</v>
      </c>
      <c r="BE2633" s="77"/>
      <c r="BF2633" s="77"/>
      <c r="BG2633" s="77"/>
      <c r="BH2633" s="77"/>
      <c r="BI2633" s="77"/>
    </row>
    <row r="2634" spans="1:61" x14ac:dyDescent="0.25">
      <c r="A2634" s="62" t="s">
        <v>646</v>
      </c>
      <c r="B2634" s="62" t="s">
        <v>646</v>
      </c>
      <c r="C2634" s="63"/>
      <c r="D2634" s="64"/>
      <c r="E2634" s="65"/>
      <c r="F2634" s="66"/>
      <c r="G2634" s="63"/>
      <c r="H2634" s="67"/>
      <c r="I2634" s="68"/>
      <c r="J2634" s="68"/>
      <c r="K2634" s="32"/>
      <c r="L2634" s="75">
        <v>2634</v>
      </c>
      <c r="M2634" s="75"/>
      <c r="N2634" s="70"/>
      <c r="O2634" s="77" t="s">
        <v>179</v>
      </c>
      <c r="P2634" s="79">
        <v>45044.96261574074</v>
      </c>
      <c r="Q2634" s="77" t="s">
        <v>3411</v>
      </c>
      <c r="R2634" s="77">
        <v>0</v>
      </c>
      <c r="S2634" s="77">
        <v>0</v>
      </c>
      <c r="T2634" s="77">
        <v>0</v>
      </c>
      <c r="U2634" s="77">
        <v>0</v>
      </c>
      <c r="V2634" s="77">
        <v>57</v>
      </c>
      <c r="W2634" s="82" t="s">
        <v>6382</v>
      </c>
      <c r="X2634" s="80" t="str">
        <f>HYPERLINK("https://tinyurl.com/2fjwasll")</f>
        <v>https://tinyurl.com/2fjwasll</v>
      </c>
      <c r="Y2634" s="77" t="s">
        <v>7068</v>
      </c>
      <c r="Z2634" s="77"/>
      <c r="AA2634" s="77"/>
      <c r="AB2634" s="77"/>
      <c r="AC2634" s="82" t="s">
        <v>8275</v>
      </c>
      <c r="AD2634" s="77" t="s">
        <v>8278</v>
      </c>
      <c r="AE2634" s="80" t="str">
        <f>HYPERLINK("https://twitter.com/pauta_economica/status/1652086834858536962")</f>
        <v>https://twitter.com/pauta_economica/status/1652086834858536962</v>
      </c>
      <c r="AF2634" s="79">
        <v>45044.96261574074</v>
      </c>
      <c r="AG2634" s="85">
        <v>45044</v>
      </c>
      <c r="AH2634" s="82" t="s">
        <v>10677</v>
      </c>
      <c r="AI2634" s="77" t="b">
        <v>0</v>
      </c>
      <c r="AJ2634" s="77"/>
      <c r="AK2634" s="77"/>
      <c r="AL2634" s="77"/>
      <c r="AM2634" s="77"/>
      <c r="AN2634" s="77"/>
      <c r="AO2634" s="77"/>
      <c r="AP2634" s="77"/>
      <c r="AQ2634" s="77"/>
      <c r="AR2634" s="77"/>
      <c r="AS2634" s="77"/>
      <c r="AT2634" s="77"/>
      <c r="AU2634" s="77"/>
      <c r="AV2634" s="80" t="str">
        <f>HYPERLINK("https://pbs.twimg.com/profile_images/1588668531910082561/XEi-lXiu_normal.jpg")</f>
        <v>https://pbs.twimg.com/profile_images/1588668531910082561/XEi-lXiu_normal.jpg</v>
      </c>
      <c r="AW2634" s="82" t="s">
        <v>15718</v>
      </c>
      <c r="AX2634" s="82" t="s">
        <v>15718</v>
      </c>
      <c r="AY2634" s="77"/>
      <c r="AZ2634" s="82" t="s">
        <v>17385</v>
      </c>
      <c r="BA2634" s="82" t="s">
        <v>17385</v>
      </c>
      <c r="BB2634" s="82" t="s">
        <v>17385</v>
      </c>
      <c r="BC2634" s="82" t="s">
        <v>15718</v>
      </c>
      <c r="BD2634" s="82" t="s">
        <v>17667</v>
      </c>
      <c r="BE2634" s="77"/>
      <c r="BF2634" s="77"/>
      <c r="BG2634" s="77"/>
      <c r="BH2634" s="77"/>
      <c r="BI2634" s="77"/>
    </row>
    <row r="2635" spans="1:61" x14ac:dyDescent="0.25">
      <c r="A2635" s="62" t="s">
        <v>646</v>
      </c>
      <c r="B2635" s="62" t="s">
        <v>646</v>
      </c>
      <c r="C2635" s="63"/>
      <c r="D2635" s="64"/>
      <c r="E2635" s="65"/>
      <c r="F2635" s="66"/>
      <c r="G2635" s="63"/>
      <c r="H2635" s="67"/>
      <c r="I2635" s="68"/>
      <c r="J2635" s="68"/>
      <c r="K2635" s="32"/>
      <c r="L2635" s="75">
        <v>2635</v>
      </c>
      <c r="M2635" s="75"/>
      <c r="N2635" s="70"/>
      <c r="O2635" s="77" t="s">
        <v>179</v>
      </c>
      <c r="P2635" s="79">
        <v>45044.934710648151</v>
      </c>
      <c r="Q2635" s="77" t="s">
        <v>3412</v>
      </c>
      <c r="R2635" s="77">
        <v>0</v>
      </c>
      <c r="S2635" s="77">
        <v>0</v>
      </c>
      <c r="T2635" s="77">
        <v>0</v>
      </c>
      <c r="U2635" s="77">
        <v>0</v>
      </c>
      <c r="V2635" s="77">
        <v>35</v>
      </c>
      <c r="W2635" s="82" t="s">
        <v>6382</v>
      </c>
      <c r="X2635" s="80" t="str">
        <f>HYPERLINK("https://tinyurl.com/2k257s3h")</f>
        <v>https://tinyurl.com/2k257s3h</v>
      </c>
      <c r="Y2635" s="77" t="s">
        <v>7068</v>
      </c>
      <c r="Z2635" s="77"/>
      <c r="AA2635" s="77"/>
      <c r="AB2635" s="77"/>
      <c r="AC2635" s="82" t="s">
        <v>8275</v>
      </c>
      <c r="AD2635" s="77" t="s">
        <v>8278</v>
      </c>
      <c r="AE2635" s="80" t="str">
        <f>HYPERLINK("https://twitter.com/pauta_economica/status/1652076722806837249")</f>
        <v>https://twitter.com/pauta_economica/status/1652076722806837249</v>
      </c>
      <c r="AF2635" s="79">
        <v>45044.934710648151</v>
      </c>
      <c r="AG2635" s="85">
        <v>45044</v>
      </c>
      <c r="AH2635" s="82" t="s">
        <v>10678</v>
      </c>
      <c r="AI2635" s="77" t="b">
        <v>0</v>
      </c>
      <c r="AJ2635" s="77"/>
      <c r="AK2635" s="77"/>
      <c r="AL2635" s="77"/>
      <c r="AM2635" s="77"/>
      <c r="AN2635" s="77"/>
      <c r="AO2635" s="77"/>
      <c r="AP2635" s="77"/>
      <c r="AQ2635" s="77"/>
      <c r="AR2635" s="77"/>
      <c r="AS2635" s="77"/>
      <c r="AT2635" s="77"/>
      <c r="AU2635" s="77"/>
      <c r="AV2635" s="80" t="str">
        <f>HYPERLINK("https://pbs.twimg.com/profile_images/1588668531910082561/XEi-lXiu_normal.jpg")</f>
        <v>https://pbs.twimg.com/profile_images/1588668531910082561/XEi-lXiu_normal.jpg</v>
      </c>
      <c r="AW2635" s="82" t="s">
        <v>15719</v>
      </c>
      <c r="AX2635" s="82" t="s">
        <v>15719</v>
      </c>
      <c r="AY2635" s="77"/>
      <c r="AZ2635" s="82" t="s">
        <v>17385</v>
      </c>
      <c r="BA2635" s="82" t="s">
        <v>17385</v>
      </c>
      <c r="BB2635" s="82" t="s">
        <v>17385</v>
      </c>
      <c r="BC2635" s="82" t="s">
        <v>15719</v>
      </c>
      <c r="BD2635" s="82" t="s">
        <v>17667</v>
      </c>
      <c r="BE2635" s="77"/>
      <c r="BF2635" s="77"/>
      <c r="BG2635" s="77"/>
      <c r="BH2635" s="77"/>
      <c r="BI2635" s="77"/>
    </row>
    <row r="2636" spans="1:61" x14ac:dyDescent="0.25">
      <c r="A2636" s="62" t="s">
        <v>646</v>
      </c>
      <c r="B2636" s="62" t="s">
        <v>646</v>
      </c>
      <c r="C2636" s="63"/>
      <c r="D2636" s="64"/>
      <c r="E2636" s="65"/>
      <c r="F2636" s="66"/>
      <c r="G2636" s="63"/>
      <c r="H2636" s="67"/>
      <c r="I2636" s="68"/>
      <c r="J2636" s="68"/>
      <c r="K2636" s="32"/>
      <c r="L2636" s="75">
        <v>2636</v>
      </c>
      <c r="M2636" s="75"/>
      <c r="N2636" s="70"/>
      <c r="O2636" s="77" t="s">
        <v>179</v>
      </c>
      <c r="P2636" s="79">
        <v>45044.906828703701</v>
      </c>
      <c r="Q2636" s="77" t="s">
        <v>3413</v>
      </c>
      <c r="R2636" s="77">
        <v>0</v>
      </c>
      <c r="S2636" s="77">
        <v>0</v>
      </c>
      <c r="T2636" s="77">
        <v>0</v>
      </c>
      <c r="U2636" s="77">
        <v>0</v>
      </c>
      <c r="V2636" s="77">
        <v>66</v>
      </c>
      <c r="W2636" s="82" t="s">
        <v>6382</v>
      </c>
      <c r="X2636" s="80" t="str">
        <f>HYPERLINK("https://tinyurl.com/2huyz565")</f>
        <v>https://tinyurl.com/2huyz565</v>
      </c>
      <c r="Y2636" s="77" t="s">
        <v>7068</v>
      </c>
      <c r="Z2636" s="77"/>
      <c r="AA2636" s="77"/>
      <c r="AB2636" s="77"/>
      <c r="AC2636" s="82" t="s">
        <v>8275</v>
      </c>
      <c r="AD2636" s="77" t="s">
        <v>8278</v>
      </c>
      <c r="AE2636" s="80" t="str">
        <f>HYPERLINK("https://twitter.com/pauta_economica/status/1652066617369526275")</f>
        <v>https://twitter.com/pauta_economica/status/1652066617369526275</v>
      </c>
      <c r="AF2636" s="79">
        <v>45044.906828703701</v>
      </c>
      <c r="AG2636" s="85">
        <v>45044</v>
      </c>
      <c r="AH2636" s="82" t="s">
        <v>10679</v>
      </c>
      <c r="AI2636" s="77" t="b">
        <v>0</v>
      </c>
      <c r="AJ2636" s="77"/>
      <c r="AK2636" s="77"/>
      <c r="AL2636" s="77"/>
      <c r="AM2636" s="77"/>
      <c r="AN2636" s="77"/>
      <c r="AO2636" s="77"/>
      <c r="AP2636" s="77"/>
      <c r="AQ2636" s="77"/>
      <c r="AR2636" s="77"/>
      <c r="AS2636" s="77"/>
      <c r="AT2636" s="77"/>
      <c r="AU2636" s="77"/>
      <c r="AV2636" s="80" t="str">
        <f>HYPERLINK("https://pbs.twimg.com/profile_images/1588668531910082561/XEi-lXiu_normal.jpg")</f>
        <v>https://pbs.twimg.com/profile_images/1588668531910082561/XEi-lXiu_normal.jpg</v>
      </c>
      <c r="AW2636" s="82" t="s">
        <v>15720</v>
      </c>
      <c r="AX2636" s="82" t="s">
        <v>15720</v>
      </c>
      <c r="AY2636" s="77"/>
      <c r="AZ2636" s="82" t="s">
        <v>17385</v>
      </c>
      <c r="BA2636" s="82" t="s">
        <v>17385</v>
      </c>
      <c r="BB2636" s="82" t="s">
        <v>17385</v>
      </c>
      <c r="BC2636" s="82" t="s">
        <v>15720</v>
      </c>
      <c r="BD2636" s="82" t="s">
        <v>17667</v>
      </c>
      <c r="BE2636" s="77"/>
      <c r="BF2636" s="77"/>
      <c r="BG2636" s="77"/>
      <c r="BH2636" s="77"/>
      <c r="BI2636" s="77"/>
    </row>
    <row r="2637" spans="1:61" x14ac:dyDescent="0.25">
      <c r="A2637" s="62" t="s">
        <v>646</v>
      </c>
      <c r="B2637" s="62" t="s">
        <v>646</v>
      </c>
      <c r="C2637" s="63"/>
      <c r="D2637" s="64"/>
      <c r="E2637" s="65"/>
      <c r="F2637" s="66"/>
      <c r="G2637" s="63"/>
      <c r="H2637" s="67"/>
      <c r="I2637" s="68"/>
      <c r="J2637" s="68"/>
      <c r="K2637" s="32"/>
      <c r="L2637" s="75">
        <v>2637</v>
      </c>
      <c r="M2637" s="75"/>
      <c r="N2637" s="70"/>
      <c r="O2637" s="77" t="s">
        <v>179</v>
      </c>
      <c r="P2637" s="79">
        <v>45044.851122685184</v>
      </c>
      <c r="Q2637" s="77" t="s">
        <v>3414</v>
      </c>
      <c r="R2637" s="77">
        <v>0</v>
      </c>
      <c r="S2637" s="77">
        <v>0</v>
      </c>
      <c r="T2637" s="77">
        <v>0</v>
      </c>
      <c r="U2637" s="77">
        <v>0</v>
      </c>
      <c r="V2637" s="77">
        <v>72</v>
      </c>
      <c r="W2637" s="82" t="s">
        <v>6382</v>
      </c>
      <c r="X2637" s="80" t="str">
        <f>HYPERLINK("https://tinyurl.com/2dpa2d3g")</f>
        <v>https://tinyurl.com/2dpa2d3g</v>
      </c>
      <c r="Y2637" s="77" t="s">
        <v>7068</v>
      </c>
      <c r="Z2637" s="77"/>
      <c r="AA2637" s="77"/>
      <c r="AB2637" s="77"/>
      <c r="AC2637" s="82" t="s">
        <v>8275</v>
      </c>
      <c r="AD2637" s="77" t="s">
        <v>8278</v>
      </c>
      <c r="AE2637" s="80" t="str">
        <f>HYPERLINK("https://twitter.com/pauta_economica/status/1652046431023144964")</f>
        <v>https://twitter.com/pauta_economica/status/1652046431023144964</v>
      </c>
      <c r="AF2637" s="79">
        <v>45044.851122685184</v>
      </c>
      <c r="AG2637" s="85">
        <v>45044</v>
      </c>
      <c r="AH2637" s="82" t="s">
        <v>10680</v>
      </c>
      <c r="AI2637" s="77" t="b">
        <v>0</v>
      </c>
      <c r="AJ2637" s="77"/>
      <c r="AK2637" s="77"/>
      <c r="AL2637" s="77"/>
      <c r="AM2637" s="77"/>
      <c r="AN2637" s="77"/>
      <c r="AO2637" s="77"/>
      <c r="AP2637" s="77"/>
      <c r="AQ2637" s="77"/>
      <c r="AR2637" s="77"/>
      <c r="AS2637" s="77"/>
      <c r="AT2637" s="77"/>
      <c r="AU2637" s="77"/>
      <c r="AV2637" s="80" t="str">
        <f>HYPERLINK("https://pbs.twimg.com/profile_images/1588668531910082561/XEi-lXiu_normal.jpg")</f>
        <v>https://pbs.twimg.com/profile_images/1588668531910082561/XEi-lXiu_normal.jpg</v>
      </c>
      <c r="AW2637" s="82" t="s">
        <v>15721</v>
      </c>
      <c r="AX2637" s="82" t="s">
        <v>15721</v>
      </c>
      <c r="AY2637" s="77"/>
      <c r="AZ2637" s="82" t="s">
        <v>17385</v>
      </c>
      <c r="BA2637" s="82" t="s">
        <v>17385</v>
      </c>
      <c r="BB2637" s="82" t="s">
        <v>17385</v>
      </c>
      <c r="BC2637" s="82" t="s">
        <v>15721</v>
      </c>
      <c r="BD2637" s="82" t="s">
        <v>17667</v>
      </c>
      <c r="BE2637" s="77"/>
      <c r="BF2637" s="77"/>
      <c r="BG2637" s="77"/>
      <c r="BH2637" s="77"/>
      <c r="BI2637" s="77"/>
    </row>
    <row r="2638" spans="1:61" x14ac:dyDescent="0.25">
      <c r="A2638" s="62" t="s">
        <v>646</v>
      </c>
      <c r="B2638" s="62" t="s">
        <v>646</v>
      </c>
      <c r="C2638" s="63"/>
      <c r="D2638" s="64"/>
      <c r="E2638" s="65"/>
      <c r="F2638" s="66"/>
      <c r="G2638" s="63"/>
      <c r="H2638" s="67"/>
      <c r="I2638" s="68"/>
      <c r="J2638" s="68"/>
      <c r="K2638" s="32"/>
      <c r="L2638" s="75">
        <v>2638</v>
      </c>
      <c r="M2638" s="75"/>
      <c r="N2638" s="70"/>
      <c r="O2638" s="77" t="s">
        <v>179</v>
      </c>
      <c r="P2638" s="79">
        <v>45044.795451388891</v>
      </c>
      <c r="Q2638" s="77" t="s">
        <v>3415</v>
      </c>
      <c r="R2638" s="77">
        <v>0</v>
      </c>
      <c r="S2638" s="77">
        <v>0</v>
      </c>
      <c r="T2638" s="77">
        <v>0</v>
      </c>
      <c r="U2638" s="77">
        <v>0</v>
      </c>
      <c r="V2638" s="77">
        <v>47</v>
      </c>
      <c r="W2638" s="82" t="s">
        <v>6382</v>
      </c>
      <c r="X2638" s="80" t="str">
        <f>HYPERLINK("https://tinyurl.com/2bm5gs9n")</f>
        <v>https://tinyurl.com/2bm5gs9n</v>
      </c>
      <c r="Y2638" s="77" t="s">
        <v>7068</v>
      </c>
      <c r="Z2638" s="77"/>
      <c r="AA2638" s="77"/>
      <c r="AB2638" s="77"/>
      <c r="AC2638" s="82" t="s">
        <v>8275</v>
      </c>
      <c r="AD2638" s="77" t="s">
        <v>8278</v>
      </c>
      <c r="AE2638" s="80" t="str">
        <f>HYPERLINK("https://twitter.com/pauta_economica/status/1652026255909306368")</f>
        <v>https://twitter.com/pauta_economica/status/1652026255909306368</v>
      </c>
      <c r="AF2638" s="79">
        <v>45044.795451388891</v>
      </c>
      <c r="AG2638" s="85">
        <v>45044</v>
      </c>
      <c r="AH2638" s="82" t="s">
        <v>9489</v>
      </c>
      <c r="AI2638" s="77" t="b">
        <v>0</v>
      </c>
      <c r="AJ2638" s="77"/>
      <c r="AK2638" s="77"/>
      <c r="AL2638" s="77"/>
      <c r="AM2638" s="77"/>
      <c r="AN2638" s="77"/>
      <c r="AO2638" s="77"/>
      <c r="AP2638" s="77"/>
      <c r="AQ2638" s="77"/>
      <c r="AR2638" s="77"/>
      <c r="AS2638" s="77"/>
      <c r="AT2638" s="77"/>
      <c r="AU2638" s="77"/>
      <c r="AV2638" s="80" t="str">
        <f>HYPERLINK("https://pbs.twimg.com/profile_images/1588668531910082561/XEi-lXiu_normal.jpg")</f>
        <v>https://pbs.twimg.com/profile_images/1588668531910082561/XEi-lXiu_normal.jpg</v>
      </c>
      <c r="AW2638" s="82" t="s">
        <v>15722</v>
      </c>
      <c r="AX2638" s="82" t="s">
        <v>15722</v>
      </c>
      <c r="AY2638" s="77"/>
      <c r="AZ2638" s="82" t="s">
        <v>17385</v>
      </c>
      <c r="BA2638" s="82" t="s">
        <v>17385</v>
      </c>
      <c r="BB2638" s="82" t="s">
        <v>17385</v>
      </c>
      <c r="BC2638" s="82" t="s">
        <v>15722</v>
      </c>
      <c r="BD2638" s="82" t="s">
        <v>17667</v>
      </c>
      <c r="BE2638" s="77"/>
      <c r="BF2638" s="77"/>
      <c r="BG2638" s="77"/>
      <c r="BH2638" s="77"/>
      <c r="BI2638" s="77"/>
    </row>
    <row r="2639" spans="1:61" x14ac:dyDescent="0.25">
      <c r="A2639" s="62" t="s">
        <v>646</v>
      </c>
      <c r="B2639" s="62" t="s">
        <v>646</v>
      </c>
      <c r="C2639" s="63"/>
      <c r="D2639" s="64"/>
      <c r="E2639" s="65"/>
      <c r="F2639" s="66"/>
      <c r="G2639" s="63"/>
      <c r="H2639" s="67"/>
      <c r="I2639" s="68"/>
      <c r="J2639" s="68"/>
      <c r="K2639" s="32"/>
      <c r="L2639" s="75">
        <v>2639</v>
      </c>
      <c r="M2639" s="75"/>
      <c r="N2639" s="70"/>
      <c r="O2639" s="77" t="s">
        <v>179</v>
      </c>
      <c r="P2639" s="79">
        <v>45044.68408564815</v>
      </c>
      <c r="Q2639" s="77" t="s">
        <v>3416</v>
      </c>
      <c r="R2639" s="77">
        <v>1</v>
      </c>
      <c r="S2639" s="77">
        <v>1</v>
      </c>
      <c r="T2639" s="77">
        <v>0</v>
      </c>
      <c r="U2639" s="77">
        <v>0</v>
      </c>
      <c r="V2639" s="77">
        <v>256</v>
      </c>
      <c r="W2639" s="82" t="s">
        <v>6382</v>
      </c>
      <c r="X2639" s="80" t="str">
        <f>HYPERLINK("https://tinyurl.com/2b5tqfq2")</f>
        <v>https://tinyurl.com/2b5tqfq2</v>
      </c>
      <c r="Y2639" s="77" t="s">
        <v>7068</v>
      </c>
      <c r="Z2639" s="77"/>
      <c r="AA2639" s="77"/>
      <c r="AB2639" s="77"/>
      <c r="AC2639" s="82" t="s">
        <v>8275</v>
      </c>
      <c r="AD2639" s="77" t="s">
        <v>8278</v>
      </c>
      <c r="AE2639" s="80" t="str">
        <f>HYPERLINK("https://twitter.com/pauta_economica/status/1651985900018999296")</f>
        <v>https://twitter.com/pauta_economica/status/1651985900018999296</v>
      </c>
      <c r="AF2639" s="79">
        <v>45044.68408564815</v>
      </c>
      <c r="AG2639" s="85">
        <v>45044</v>
      </c>
      <c r="AH2639" s="82" t="s">
        <v>10681</v>
      </c>
      <c r="AI2639" s="77" t="b">
        <v>0</v>
      </c>
      <c r="AJ2639" s="77"/>
      <c r="AK2639" s="77"/>
      <c r="AL2639" s="77"/>
      <c r="AM2639" s="77"/>
      <c r="AN2639" s="77"/>
      <c r="AO2639" s="77"/>
      <c r="AP2639" s="77"/>
      <c r="AQ2639" s="77"/>
      <c r="AR2639" s="77"/>
      <c r="AS2639" s="77"/>
      <c r="AT2639" s="77"/>
      <c r="AU2639" s="77"/>
      <c r="AV2639" s="80" t="str">
        <f>HYPERLINK("https://pbs.twimg.com/profile_images/1588668531910082561/XEi-lXiu_normal.jpg")</f>
        <v>https://pbs.twimg.com/profile_images/1588668531910082561/XEi-lXiu_normal.jpg</v>
      </c>
      <c r="AW2639" s="82" t="s">
        <v>15723</v>
      </c>
      <c r="AX2639" s="82" t="s">
        <v>15723</v>
      </c>
      <c r="AY2639" s="77"/>
      <c r="AZ2639" s="82" t="s">
        <v>17385</v>
      </c>
      <c r="BA2639" s="82" t="s">
        <v>17385</v>
      </c>
      <c r="BB2639" s="82" t="s">
        <v>17385</v>
      </c>
      <c r="BC2639" s="82" t="s">
        <v>15723</v>
      </c>
      <c r="BD2639" s="82" t="s">
        <v>17667</v>
      </c>
      <c r="BE2639" s="77"/>
      <c r="BF2639" s="77"/>
      <c r="BG2639" s="77"/>
      <c r="BH2639" s="77"/>
      <c r="BI2639" s="77"/>
    </row>
    <row r="2640" spans="1:61" x14ac:dyDescent="0.25">
      <c r="A2640" s="62" t="s">
        <v>646</v>
      </c>
      <c r="B2640" s="62" t="s">
        <v>646</v>
      </c>
      <c r="C2640" s="63"/>
      <c r="D2640" s="64"/>
      <c r="E2640" s="65"/>
      <c r="F2640" s="66"/>
      <c r="G2640" s="63"/>
      <c r="H2640" s="67"/>
      <c r="I2640" s="68"/>
      <c r="J2640" s="68"/>
      <c r="K2640" s="32"/>
      <c r="L2640" s="75">
        <v>2640</v>
      </c>
      <c r="M2640" s="75"/>
      <c r="N2640" s="70"/>
      <c r="O2640" s="77" t="s">
        <v>179</v>
      </c>
      <c r="P2640" s="79">
        <v>45044.628287037034</v>
      </c>
      <c r="Q2640" s="77" t="s">
        <v>3417</v>
      </c>
      <c r="R2640" s="77">
        <v>0</v>
      </c>
      <c r="S2640" s="77">
        <v>0</v>
      </c>
      <c r="T2640" s="77">
        <v>0</v>
      </c>
      <c r="U2640" s="77">
        <v>0</v>
      </c>
      <c r="V2640" s="77">
        <v>29</v>
      </c>
      <c r="W2640" s="82" t="s">
        <v>6382</v>
      </c>
      <c r="X2640" s="80" t="str">
        <f>HYPERLINK("https://tinyurl.com/29nafsuv")</f>
        <v>https://tinyurl.com/29nafsuv</v>
      </c>
      <c r="Y2640" s="77" t="s">
        <v>7068</v>
      </c>
      <c r="Z2640" s="77"/>
      <c r="AA2640" s="77"/>
      <c r="AB2640" s="77"/>
      <c r="AC2640" s="82" t="s">
        <v>8275</v>
      </c>
      <c r="AD2640" s="77" t="s">
        <v>8278</v>
      </c>
      <c r="AE2640" s="80" t="str">
        <f>HYPERLINK("https://twitter.com/pauta_economica/status/1651965679971573763")</f>
        <v>https://twitter.com/pauta_economica/status/1651965679971573763</v>
      </c>
      <c r="AF2640" s="79">
        <v>45044.628287037034</v>
      </c>
      <c r="AG2640" s="85">
        <v>45044</v>
      </c>
      <c r="AH2640" s="82" t="s">
        <v>10682</v>
      </c>
      <c r="AI2640" s="77" t="b">
        <v>0</v>
      </c>
      <c r="AJ2640" s="77"/>
      <c r="AK2640" s="77"/>
      <c r="AL2640" s="77"/>
      <c r="AM2640" s="77"/>
      <c r="AN2640" s="77"/>
      <c r="AO2640" s="77"/>
      <c r="AP2640" s="77"/>
      <c r="AQ2640" s="77"/>
      <c r="AR2640" s="77"/>
      <c r="AS2640" s="77"/>
      <c r="AT2640" s="77"/>
      <c r="AU2640" s="77"/>
      <c r="AV2640" s="80" t="str">
        <f>HYPERLINK("https://pbs.twimg.com/profile_images/1588668531910082561/XEi-lXiu_normal.jpg")</f>
        <v>https://pbs.twimg.com/profile_images/1588668531910082561/XEi-lXiu_normal.jpg</v>
      </c>
      <c r="AW2640" s="82" t="s">
        <v>15724</v>
      </c>
      <c r="AX2640" s="82" t="s">
        <v>15724</v>
      </c>
      <c r="AY2640" s="77"/>
      <c r="AZ2640" s="82" t="s">
        <v>17385</v>
      </c>
      <c r="BA2640" s="82" t="s">
        <v>17385</v>
      </c>
      <c r="BB2640" s="82" t="s">
        <v>17385</v>
      </c>
      <c r="BC2640" s="82" t="s">
        <v>15724</v>
      </c>
      <c r="BD2640" s="82" t="s">
        <v>17667</v>
      </c>
      <c r="BE2640" s="77"/>
      <c r="BF2640" s="77"/>
      <c r="BG2640" s="77"/>
      <c r="BH2640" s="77"/>
      <c r="BI2640" s="77"/>
    </row>
    <row r="2641" spans="1:61" x14ac:dyDescent="0.25">
      <c r="A2641" s="62" t="s">
        <v>646</v>
      </c>
      <c r="B2641" s="62" t="s">
        <v>646</v>
      </c>
      <c r="C2641" s="63"/>
      <c r="D2641" s="64"/>
      <c r="E2641" s="65"/>
      <c r="F2641" s="66"/>
      <c r="G2641" s="63"/>
      <c r="H2641" s="67"/>
      <c r="I2641" s="68"/>
      <c r="J2641" s="68"/>
      <c r="K2641" s="32"/>
      <c r="L2641" s="75">
        <v>2641</v>
      </c>
      <c r="M2641" s="75"/>
      <c r="N2641" s="70"/>
      <c r="O2641" s="77" t="s">
        <v>179</v>
      </c>
      <c r="P2641" s="79">
        <v>45044.600185185183</v>
      </c>
      <c r="Q2641" s="77" t="s">
        <v>3418</v>
      </c>
      <c r="R2641" s="77">
        <v>0</v>
      </c>
      <c r="S2641" s="77">
        <v>0</v>
      </c>
      <c r="T2641" s="77">
        <v>0</v>
      </c>
      <c r="U2641" s="77">
        <v>0</v>
      </c>
      <c r="V2641" s="77">
        <v>30</v>
      </c>
      <c r="W2641" s="82" t="s">
        <v>6382</v>
      </c>
      <c r="X2641" s="80" t="str">
        <f>HYPERLINK("https://tinyurl.com/258wp2y9")</f>
        <v>https://tinyurl.com/258wp2y9</v>
      </c>
      <c r="Y2641" s="77" t="s">
        <v>7068</v>
      </c>
      <c r="Z2641" s="77"/>
      <c r="AA2641" s="77"/>
      <c r="AB2641" s="77"/>
      <c r="AC2641" s="82" t="s">
        <v>8275</v>
      </c>
      <c r="AD2641" s="77" t="s">
        <v>8278</v>
      </c>
      <c r="AE2641" s="80" t="str">
        <f>HYPERLINK("https://twitter.com/pauta_economica/status/1651955497019293705")</f>
        <v>https://twitter.com/pauta_economica/status/1651955497019293705</v>
      </c>
      <c r="AF2641" s="79">
        <v>45044.600185185183</v>
      </c>
      <c r="AG2641" s="85">
        <v>45044</v>
      </c>
      <c r="AH2641" s="82" t="s">
        <v>10409</v>
      </c>
      <c r="AI2641" s="77" t="b">
        <v>0</v>
      </c>
      <c r="AJ2641" s="77"/>
      <c r="AK2641" s="77"/>
      <c r="AL2641" s="77"/>
      <c r="AM2641" s="77"/>
      <c r="AN2641" s="77"/>
      <c r="AO2641" s="77"/>
      <c r="AP2641" s="77"/>
      <c r="AQ2641" s="77"/>
      <c r="AR2641" s="77"/>
      <c r="AS2641" s="77"/>
      <c r="AT2641" s="77"/>
      <c r="AU2641" s="77"/>
      <c r="AV2641" s="80" t="str">
        <f>HYPERLINK("https://pbs.twimg.com/profile_images/1588668531910082561/XEi-lXiu_normal.jpg")</f>
        <v>https://pbs.twimg.com/profile_images/1588668531910082561/XEi-lXiu_normal.jpg</v>
      </c>
      <c r="AW2641" s="82" t="s">
        <v>15725</v>
      </c>
      <c r="AX2641" s="82" t="s">
        <v>15725</v>
      </c>
      <c r="AY2641" s="77"/>
      <c r="AZ2641" s="82" t="s">
        <v>17385</v>
      </c>
      <c r="BA2641" s="82" t="s">
        <v>17385</v>
      </c>
      <c r="BB2641" s="82" t="s">
        <v>17385</v>
      </c>
      <c r="BC2641" s="82" t="s">
        <v>15725</v>
      </c>
      <c r="BD2641" s="82" t="s">
        <v>17667</v>
      </c>
      <c r="BE2641" s="77"/>
      <c r="BF2641" s="77"/>
      <c r="BG2641" s="77"/>
      <c r="BH2641" s="77"/>
      <c r="BI2641" s="77"/>
    </row>
    <row r="2642" spans="1:61" x14ac:dyDescent="0.25">
      <c r="A2642" s="62" t="s">
        <v>646</v>
      </c>
      <c r="B2642" s="62" t="s">
        <v>646</v>
      </c>
      <c r="C2642" s="63"/>
      <c r="D2642" s="64"/>
      <c r="E2642" s="65"/>
      <c r="F2642" s="66"/>
      <c r="G2642" s="63"/>
      <c r="H2642" s="67"/>
      <c r="I2642" s="68"/>
      <c r="J2642" s="68"/>
      <c r="K2642" s="32"/>
      <c r="L2642" s="75">
        <v>2642</v>
      </c>
      <c r="M2642" s="75"/>
      <c r="N2642" s="70"/>
      <c r="O2642" s="77" t="s">
        <v>179</v>
      </c>
      <c r="P2642" s="79">
        <v>45044.550300925926</v>
      </c>
      <c r="Q2642" s="77" t="s">
        <v>3419</v>
      </c>
      <c r="R2642" s="77">
        <v>0</v>
      </c>
      <c r="S2642" s="77">
        <v>0</v>
      </c>
      <c r="T2642" s="77">
        <v>0</v>
      </c>
      <c r="U2642" s="77">
        <v>0</v>
      </c>
      <c r="V2642" s="77">
        <v>19</v>
      </c>
      <c r="W2642" s="82" t="s">
        <v>6382</v>
      </c>
      <c r="X2642" s="80" t="str">
        <f>HYPERLINK("https://tinyurl.com/2aw66bpo")</f>
        <v>https://tinyurl.com/2aw66bpo</v>
      </c>
      <c r="Y2642" s="77" t="s">
        <v>7068</v>
      </c>
      <c r="Z2642" s="77"/>
      <c r="AA2642" s="77"/>
      <c r="AB2642" s="77"/>
      <c r="AC2642" s="82" t="s">
        <v>8275</v>
      </c>
      <c r="AD2642" s="77" t="s">
        <v>8278</v>
      </c>
      <c r="AE2642" s="80" t="str">
        <f>HYPERLINK("https://twitter.com/pauta_economica/status/1651937416809181186")</f>
        <v>https://twitter.com/pauta_economica/status/1651937416809181186</v>
      </c>
      <c r="AF2642" s="79">
        <v>45044.550300925926</v>
      </c>
      <c r="AG2642" s="85">
        <v>45044</v>
      </c>
      <c r="AH2642" s="82" t="s">
        <v>10683</v>
      </c>
      <c r="AI2642" s="77" t="b">
        <v>0</v>
      </c>
      <c r="AJ2642" s="77"/>
      <c r="AK2642" s="77"/>
      <c r="AL2642" s="77"/>
      <c r="AM2642" s="77"/>
      <c r="AN2642" s="77"/>
      <c r="AO2642" s="77"/>
      <c r="AP2642" s="77"/>
      <c r="AQ2642" s="77"/>
      <c r="AR2642" s="77"/>
      <c r="AS2642" s="77"/>
      <c r="AT2642" s="77"/>
      <c r="AU2642" s="77"/>
      <c r="AV2642" s="80" t="str">
        <f>HYPERLINK("https://pbs.twimg.com/profile_images/1588668531910082561/XEi-lXiu_normal.jpg")</f>
        <v>https://pbs.twimg.com/profile_images/1588668531910082561/XEi-lXiu_normal.jpg</v>
      </c>
      <c r="AW2642" s="82" t="s">
        <v>15726</v>
      </c>
      <c r="AX2642" s="82" t="s">
        <v>15726</v>
      </c>
      <c r="AY2642" s="77"/>
      <c r="AZ2642" s="82" t="s">
        <v>17385</v>
      </c>
      <c r="BA2642" s="82" t="s">
        <v>17385</v>
      </c>
      <c r="BB2642" s="82" t="s">
        <v>17385</v>
      </c>
      <c r="BC2642" s="82" t="s">
        <v>15726</v>
      </c>
      <c r="BD2642" s="82" t="s">
        <v>17667</v>
      </c>
      <c r="BE2642" s="77"/>
      <c r="BF2642" s="77"/>
      <c r="BG2642" s="77"/>
      <c r="BH2642" s="77"/>
      <c r="BI2642" s="77"/>
    </row>
    <row r="2643" spans="1:61" x14ac:dyDescent="0.25">
      <c r="A2643" s="62" t="s">
        <v>646</v>
      </c>
      <c r="B2643" s="62" t="s">
        <v>646</v>
      </c>
      <c r="C2643" s="63"/>
      <c r="D2643" s="64"/>
      <c r="E2643" s="65"/>
      <c r="F2643" s="66"/>
      <c r="G2643" s="63"/>
      <c r="H2643" s="67"/>
      <c r="I2643" s="68"/>
      <c r="J2643" s="68"/>
      <c r="K2643" s="32"/>
      <c r="L2643" s="75">
        <v>2643</v>
      </c>
      <c r="M2643" s="75"/>
      <c r="N2643" s="70"/>
      <c r="O2643" s="77" t="s">
        <v>179</v>
      </c>
      <c r="P2643" s="79">
        <v>45044.544525462959</v>
      </c>
      <c r="Q2643" s="77" t="s">
        <v>3420</v>
      </c>
      <c r="R2643" s="77">
        <v>0</v>
      </c>
      <c r="S2643" s="77">
        <v>0</v>
      </c>
      <c r="T2643" s="77">
        <v>0</v>
      </c>
      <c r="U2643" s="77">
        <v>0</v>
      </c>
      <c r="V2643" s="77">
        <v>23</v>
      </c>
      <c r="W2643" s="82" t="s">
        <v>6382</v>
      </c>
      <c r="X2643" s="80" t="str">
        <f>HYPERLINK("https://tinyurl.com/288qeanp")</f>
        <v>https://tinyurl.com/288qeanp</v>
      </c>
      <c r="Y2643" s="77" t="s">
        <v>7068</v>
      </c>
      <c r="Z2643" s="77"/>
      <c r="AA2643" s="77"/>
      <c r="AB2643" s="77"/>
      <c r="AC2643" s="82" t="s">
        <v>8275</v>
      </c>
      <c r="AD2643" s="77" t="s">
        <v>8278</v>
      </c>
      <c r="AE2643" s="80" t="str">
        <f>HYPERLINK("https://twitter.com/pauta_economica/status/1651935324631621632")</f>
        <v>https://twitter.com/pauta_economica/status/1651935324631621632</v>
      </c>
      <c r="AF2643" s="79">
        <v>45044.544525462959</v>
      </c>
      <c r="AG2643" s="85">
        <v>45044</v>
      </c>
      <c r="AH2643" s="82" t="s">
        <v>10684</v>
      </c>
      <c r="AI2643" s="77" t="b">
        <v>0</v>
      </c>
      <c r="AJ2643" s="77"/>
      <c r="AK2643" s="77"/>
      <c r="AL2643" s="77"/>
      <c r="AM2643" s="77"/>
      <c r="AN2643" s="77"/>
      <c r="AO2643" s="77"/>
      <c r="AP2643" s="77"/>
      <c r="AQ2643" s="77"/>
      <c r="AR2643" s="77"/>
      <c r="AS2643" s="77"/>
      <c r="AT2643" s="77"/>
      <c r="AU2643" s="77"/>
      <c r="AV2643" s="80" t="str">
        <f>HYPERLINK("https://pbs.twimg.com/profile_images/1588668531910082561/XEi-lXiu_normal.jpg")</f>
        <v>https://pbs.twimg.com/profile_images/1588668531910082561/XEi-lXiu_normal.jpg</v>
      </c>
      <c r="AW2643" s="82" t="s">
        <v>15727</v>
      </c>
      <c r="AX2643" s="82" t="s">
        <v>15727</v>
      </c>
      <c r="AY2643" s="77"/>
      <c r="AZ2643" s="82" t="s">
        <v>17385</v>
      </c>
      <c r="BA2643" s="82" t="s">
        <v>17385</v>
      </c>
      <c r="BB2643" s="82" t="s">
        <v>17385</v>
      </c>
      <c r="BC2643" s="82" t="s">
        <v>15727</v>
      </c>
      <c r="BD2643" s="82" t="s">
        <v>17667</v>
      </c>
      <c r="BE2643" s="77"/>
      <c r="BF2643" s="77"/>
      <c r="BG2643" s="77"/>
      <c r="BH2643" s="77"/>
      <c r="BI2643" s="77"/>
    </row>
    <row r="2644" spans="1:61" x14ac:dyDescent="0.25">
      <c r="A2644" s="62" t="s">
        <v>646</v>
      </c>
      <c r="B2644" s="62" t="s">
        <v>646</v>
      </c>
      <c r="C2644" s="63"/>
      <c r="D2644" s="64"/>
      <c r="E2644" s="65"/>
      <c r="F2644" s="66"/>
      <c r="G2644" s="63"/>
      <c r="H2644" s="67"/>
      <c r="I2644" s="68"/>
      <c r="J2644" s="68"/>
      <c r="K2644" s="32"/>
      <c r="L2644" s="75">
        <v>2644</v>
      </c>
      <c r="M2644" s="75"/>
      <c r="N2644" s="70"/>
      <c r="O2644" s="77" t="s">
        <v>179</v>
      </c>
      <c r="P2644" s="79">
        <v>45044.543356481481</v>
      </c>
      <c r="Q2644" s="77" t="s">
        <v>3421</v>
      </c>
      <c r="R2644" s="77">
        <v>0</v>
      </c>
      <c r="S2644" s="77">
        <v>0</v>
      </c>
      <c r="T2644" s="77">
        <v>0</v>
      </c>
      <c r="U2644" s="77">
        <v>0</v>
      </c>
      <c r="V2644" s="77">
        <v>53</v>
      </c>
      <c r="W2644" s="82" t="s">
        <v>6382</v>
      </c>
      <c r="X2644" s="80" t="str">
        <f>HYPERLINK("https://tinyurl.com/24uxp5zw")</f>
        <v>https://tinyurl.com/24uxp5zw</v>
      </c>
      <c r="Y2644" s="77" t="s">
        <v>7068</v>
      </c>
      <c r="Z2644" s="77"/>
      <c r="AA2644" s="77"/>
      <c r="AB2644" s="77"/>
      <c r="AC2644" s="82" t="s">
        <v>8275</v>
      </c>
      <c r="AD2644" s="77" t="s">
        <v>8278</v>
      </c>
      <c r="AE2644" s="80" t="str">
        <f>HYPERLINK("https://twitter.com/pauta_economica/status/1651934899643752448")</f>
        <v>https://twitter.com/pauta_economica/status/1651934899643752448</v>
      </c>
      <c r="AF2644" s="79">
        <v>45044.543356481481</v>
      </c>
      <c r="AG2644" s="85">
        <v>45044</v>
      </c>
      <c r="AH2644" s="82" t="s">
        <v>10685</v>
      </c>
      <c r="AI2644" s="77" t="b">
        <v>0</v>
      </c>
      <c r="AJ2644" s="77"/>
      <c r="AK2644" s="77"/>
      <c r="AL2644" s="77"/>
      <c r="AM2644" s="77"/>
      <c r="AN2644" s="77"/>
      <c r="AO2644" s="77"/>
      <c r="AP2644" s="77"/>
      <c r="AQ2644" s="77"/>
      <c r="AR2644" s="77"/>
      <c r="AS2644" s="77"/>
      <c r="AT2644" s="77"/>
      <c r="AU2644" s="77"/>
      <c r="AV2644" s="80" t="str">
        <f>HYPERLINK("https://pbs.twimg.com/profile_images/1588668531910082561/XEi-lXiu_normal.jpg")</f>
        <v>https://pbs.twimg.com/profile_images/1588668531910082561/XEi-lXiu_normal.jpg</v>
      </c>
      <c r="AW2644" s="82" t="s">
        <v>15728</v>
      </c>
      <c r="AX2644" s="82" t="s">
        <v>15728</v>
      </c>
      <c r="AY2644" s="77"/>
      <c r="AZ2644" s="82" t="s">
        <v>17385</v>
      </c>
      <c r="BA2644" s="82" t="s">
        <v>17385</v>
      </c>
      <c r="BB2644" s="82" t="s">
        <v>17385</v>
      </c>
      <c r="BC2644" s="82" t="s">
        <v>15728</v>
      </c>
      <c r="BD2644" s="82" t="s">
        <v>17667</v>
      </c>
      <c r="BE2644" s="77"/>
      <c r="BF2644" s="77"/>
      <c r="BG2644" s="77"/>
      <c r="BH2644" s="77"/>
      <c r="BI2644" s="77"/>
    </row>
    <row r="2645" spans="1:61" x14ac:dyDescent="0.25">
      <c r="A2645" s="62" t="s">
        <v>646</v>
      </c>
      <c r="B2645" s="62" t="s">
        <v>646</v>
      </c>
      <c r="C2645" s="63"/>
      <c r="D2645" s="64"/>
      <c r="E2645" s="65"/>
      <c r="F2645" s="66"/>
      <c r="G2645" s="63"/>
      <c r="H2645" s="67"/>
      <c r="I2645" s="68"/>
      <c r="J2645" s="68"/>
      <c r="K2645" s="32"/>
      <c r="L2645" s="75">
        <v>2645</v>
      </c>
      <c r="M2645" s="75"/>
      <c r="N2645" s="70"/>
      <c r="O2645" s="77" t="s">
        <v>179</v>
      </c>
      <c r="P2645" s="79">
        <v>45044.536400462966</v>
      </c>
      <c r="Q2645" s="77" t="s">
        <v>3422</v>
      </c>
      <c r="R2645" s="77">
        <v>0</v>
      </c>
      <c r="S2645" s="77">
        <v>0</v>
      </c>
      <c r="T2645" s="77">
        <v>0</v>
      </c>
      <c r="U2645" s="77">
        <v>0</v>
      </c>
      <c r="V2645" s="77">
        <v>21</v>
      </c>
      <c r="W2645" s="82" t="s">
        <v>6382</v>
      </c>
      <c r="X2645" s="80" t="str">
        <f>HYPERLINK("https://tinyurl.com/28umldtn")</f>
        <v>https://tinyurl.com/28umldtn</v>
      </c>
      <c r="Y2645" s="77" t="s">
        <v>7068</v>
      </c>
      <c r="Z2645" s="77"/>
      <c r="AA2645" s="77"/>
      <c r="AB2645" s="77"/>
      <c r="AC2645" s="82" t="s">
        <v>8275</v>
      </c>
      <c r="AD2645" s="77" t="s">
        <v>8278</v>
      </c>
      <c r="AE2645" s="80" t="str">
        <f>HYPERLINK("https://twitter.com/pauta_economica/status/1651932380045737998")</f>
        <v>https://twitter.com/pauta_economica/status/1651932380045737998</v>
      </c>
      <c r="AF2645" s="79">
        <v>45044.536400462966</v>
      </c>
      <c r="AG2645" s="85">
        <v>45044</v>
      </c>
      <c r="AH2645" s="82" t="s">
        <v>10686</v>
      </c>
      <c r="AI2645" s="77" t="b">
        <v>0</v>
      </c>
      <c r="AJ2645" s="77"/>
      <c r="AK2645" s="77"/>
      <c r="AL2645" s="77"/>
      <c r="AM2645" s="77"/>
      <c r="AN2645" s="77"/>
      <c r="AO2645" s="77"/>
      <c r="AP2645" s="77"/>
      <c r="AQ2645" s="77"/>
      <c r="AR2645" s="77"/>
      <c r="AS2645" s="77"/>
      <c r="AT2645" s="77"/>
      <c r="AU2645" s="77"/>
      <c r="AV2645" s="80" t="str">
        <f>HYPERLINK("https://pbs.twimg.com/profile_images/1588668531910082561/XEi-lXiu_normal.jpg")</f>
        <v>https://pbs.twimg.com/profile_images/1588668531910082561/XEi-lXiu_normal.jpg</v>
      </c>
      <c r="AW2645" s="82" t="s">
        <v>15729</v>
      </c>
      <c r="AX2645" s="82" t="s">
        <v>15729</v>
      </c>
      <c r="AY2645" s="77"/>
      <c r="AZ2645" s="82" t="s">
        <v>17385</v>
      </c>
      <c r="BA2645" s="82" t="s">
        <v>17385</v>
      </c>
      <c r="BB2645" s="82" t="s">
        <v>17385</v>
      </c>
      <c r="BC2645" s="82" t="s">
        <v>15729</v>
      </c>
      <c r="BD2645" s="82" t="s">
        <v>17667</v>
      </c>
      <c r="BE2645" s="77"/>
      <c r="BF2645" s="77"/>
      <c r="BG2645" s="77"/>
      <c r="BH2645" s="77"/>
      <c r="BI2645" s="77"/>
    </row>
    <row r="2646" spans="1:61" x14ac:dyDescent="0.25">
      <c r="A2646" s="62" t="s">
        <v>646</v>
      </c>
      <c r="B2646" s="62" t="s">
        <v>646</v>
      </c>
      <c r="C2646" s="63"/>
      <c r="D2646" s="64"/>
      <c r="E2646" s="65"/>
      <c r="F2646" s="66"/>
      <c r="G2646" s="63"/>
      <c r="H2646" s="67"/>
      <c r="I2646" s="68"/>
      <c r="J2646" s="68"/>
      <c r="K2646" s="32"/>
      <c r="L2646" s="75">
        <v>2646</v>
      </c>
      <c r="M2646" s="75"/>
      <c r="N2646" s="70"/>
      <c r="O2646" s="77" t="s">
        <v>179</v>
      </c>
      <c r="P2646" s="79">
        <v>45044.529456018521</v>
      </c>
      <c r="Q2646" s="77" t="s">
        <v>3423</v>
      </c>
      <c r="R2646" s="77">
        <v>0</v>
      </c>
      <c r="S2646" s="77">
        <v>0</v>
      </c>
      <c r="T2646" s="77">
        <v>0</v>
      </c>
      <c r="U2646" s="77">
        <v>0</v>
      </c>
      <c r="V2646" s="77">
        <v>26</v>
      </c>
      <c r="W2646" s="82" t="s">
        <v>6382</v>
      </c>
      <c r="X2646" s="80" t="str">
        <f>HYPERLINK("https://tinyurl.com/28he9fvk")</f>
        <v>https://tinyurl.com/28he9fvk</v>
      </c>
      <c r="Y2646" s="77" t="s">
        <v>7068</v>
      </c>
      <c r="Z2646" s="77"/>
      <c r="AA2646" s="77"/>
      <c r="AB2646" s="77"/>
      <c r="AC2646" s="82" t="s">
        <v>8275</v>
      </c>
      <c r="AD2646" s="77" t="s">
        <v>8278</v>
      </c>
      <c r="AE2646" s="80" t="str">
        <f>HYPERLINK("https://twitter.com/pauta_economica/status/1651929863668867077")</f>
        <v>https://twitter.com/pauta_economica/status/1651929863668867077</v>
      </c>
      <c r="AF2646" s="79">
        <v>45044.529456018521</v>
      </c>
      <c r="AG2646" s="85">
        <v>45044</v>
      </c>
      <c r="AH2646" s="82" t="s">
        <v>10687</v>
      </c>
      <c r="AI2646" s="77" t="b">
        <v>0</v>
      </c>
      <c r="AJ2646" s="77"/>
      <c r="AK2646" s="77"/>
      <c r="AL2646" s="77"/>
      <c r="AM2646" s="77"/>
      <c r="AN2646" s="77"/>
      <c r="AO2646" s="77"/>
      <c r="AP2646" s="77"/>
      <c r="AQ2646" s="77"/>
      <c r="AR2646" s="77"/>
      <c r="AS2646" s="77"/>
      <c r="AT2646" s="77"/>
      <c r="AU2646" s="77"/>
      <c r="AV2646" s="80" t="str">
        <f>HYPERLINK("https://pbs.twimg.com/profile_images/1588668531910082561/XEi-lXiu_normal.jpg")</f>
        <v>https://pbs.twimg.com/profile_images/1588668531910082561/XEi-lXiu_normal.jpg</v>
      </c>
      <c r="AW2646" s="82" t="s">
        <v>15730</v>
      </c>
      <c r="AX2646" s="82" t="s">
        <v>15730</v>
      </c>
      <c r="AY2646" s="77"/>
      <c r="AZ2646" s="82" t="s">
        <v>17385</v>
      </c>
      <c r="BA2646" s="82" t="s">
        <v>17385</v>
      </c>
      <c r="BB2646" s="82" t="s">
        <v>17385</v>
      </c>
      <c r="BC2646" s="82" t="s">
        <v>15730</v>
      </c>
      <c r="BD2646" s="82" t="s">
        <v>17667</v>
      </c>
      <c r="BE2646" s="77"/>
      <c r="BF2646" s="77"/>
      <c r="BG2646" s="77"/>
      <c r="BH2646" s="77"/>
      <c r="BI2646" s="77"/>
    </row>
    <row r="2647" spans="1:61" x14ac:dyDescent="0.25">
      <c r="A2647" s="62" t="s">
        <v>646</v>
      </c>
      <c r="B2647" s="62" t="s">
        <v>646</v>
      </c>
      <c r="C2647" s="63"/>
      <c r="D2647" s="64"/>
      <c r="E2647" s="65"/>
      <c r="F2647" s="66"/>
      <c r="G2647" s="63"/>
      <c r="H2647" s="67"/>
      <c r="I2647" s="68"/>
      <c r="J2647" s="68"/>
      <c r="K2647" s="32"/>
      <c r="L2647" s="75">
        <v>2647</v>
      </c>
      <c r="M2647" s="75"/>
      <c r="N2647" s="70"/>
      <c r="O2647" s="77" t="s">
        <v>179</v>
      </c>
      <c r="P2647" s="79">
        <v>45044.522488425922</v>
      </c>
      <c r="Q2647" s="77" t="s">
        <v>3424</v>
      </c>
      <c r="R2647" s="77">
        <v>0</v>
      </c>
      <c r="S2647" s="77">
        <v>0</v>
      </c>
      <c r="T2647" s="77">
        <v>0</v>
      </c>
      <c r="U2647" s="77">
        <v>0</v>
      </c>
      <c r="V2647" s="77">
        <v>31</v>
      </c>
      <c r="W2647" s="82" t="s">
        <v>6382</v>
      </c>
      <c r="X2647" s="80" t="str">
        <f>HYPERLINK("https://tinyurl.com/2cv8cyd5")</f>
        <v>https://tinyurl.com/2cv8cyd5</v>
      </c>
      <c r="Y2647" s="77" t="s">
        <v>7068</v>
      </c>
      <c r="Z2647" s="77"/>
      <c r="AA2647" s="77"/>
      <c r="AB2647" s="77"/>
      <c r="AC2647" s="82" t="s">
        <v>8275</v>
      </c>
      <c r="AD2647" s="77" t="s">
        <v>8278</v>
      </c>
      <c r="AE2647" s="80" t="str">
        <f>HYPERLINK("https://twitter.com/pauta_economica/status/1651927338362236928")</f>
        <v>https://twitter.com/pauta_economica/status/1651927338362236928</v>
      </c>
      <c r="AF2647" s="79">
        <v>45044.522488425922</v>
      </c>
      <c r="AG2647" s="85">
        <v>45044</v>
      </c>
      <c r="AH2647" s="82" t="s">
        <v>10688</v>
      </c>
      <c r="AI2647" s="77" t="b">
        <v>0</v>
      </c>
      <c r="AJ2647" s="77"/>
      <c r="AK2647" s="77"/>
      <c r="AL2647" s="77"/>
      <c r="AM2647" s="77"/>
      <c r="AN2647" s="77"/>
      <c r="AO2647" s="77"/>
      <c r="AP2647" s="77"/>
      <c r="AQ2647" s="77"/>
      <c r="AR2647" s="77"/>
      <c r="AS2647" s="77"/>
      <c r="AT2647" s="77"/>
      <c r="AU2647" s="77"/>
      <c r="AV2647" s="80" t="str">
        <f>HYPERLINK("https://pbs.twimg.com/profile_images/1588668531910082561/XEi-lXiu_normal.jpg")</f>
        <v>https://pbs.twimg.com/profile_images/1588668531910082561/XEi-lXiu_normal.jpg</v>
      </c>
      <c r="AW2647" s="82" t="s">
        <v>15731</v>
      </c>
      <c r="AX2647" s="82" t="s">
        <v>15731</v>
      </c>
      <c r="AY2647" s="77"/>
      <c r="AZ2647" s="82" t="s">
        <v>17385</v>
      </c>
      <c r="BA2647" s="82" t="s">
        <v>17385</v>
      </c>
      <c r="BB2647" s="82" t="s">
        <v>17385</v>
      </c>
      <c r="BC2647" s="82" t="s">
        <v>15731</v>
      </c>
      <c r="BD2647" s="82" t="s">
        <v>17667</v>
      </c>
      <c r="BE2647" s="77"/>
      <c r="BF2647" s="77"/>
      <c r="BG2647" s="77"/>
      <c r="BH2647" s="77"/>
      <c r="BI2647" s="77"/>
    </row>
    <row r="2648" spans="1:61" x14ac:dyDescent="0.25">
      <c r="A2648" s="62" t="s">
        <v>646</v>
      </c>
      <c r="B2648" s="62" t="s">
        <v>646</v>
      </c>
      <c r="C2648" s="63"/>
      <c r="D2648" s="64"/>
      <c r="E2648" s="65"/>
      <c r="F2648" s="66"/>
      <c r="G2648" s="63"/>
      <c r="H2648" s="67"/>
      <c r="I2648" s="68"/>
      <c r="J2648" s="68"/>
      <c r="K2648" s="32"/>
      <c r="L2648" s="75">
        <v>2648</v>
      </c>
      <c r="M2648" s="75"/>
      <c r="N2648" s="70"/>
      <c r="O2648" s="77" t="s">
        <v>179</v>
      </c>
      <c r="P2648" s="79">
        <v>45044.516655092593</v>
      </c>
      <c r="Q2648" s="77" t="s">
        <v>3425</v>
      </c>
      <c r="R2648" s="77">
        <v>0</v>
      </c>
      <c r="S2648" s="77">
        <v>0</v>
      </c>
      <c r="T2648" s="77">
        <v>0</v>
      </c>
      <c r="U2648" s="77">
        <v>0</v>
      </c>
      <c r="V2648" s="77">
        <v>36</v>
      </c>
      <c r="W2648" s="82" t="s">
        <v>6382</v>
      </c>
      <c r="X2648" s="80" t="str">
        <f>HYPERLINK("https://tinyurl.com/27bo82p5")</f>
        <v>https://tinyurl.com/27bo82p5</v>
      </c>
      <c r="Y2648" s="77" t="s">
        <v>7068</v>
      </c>
      <c r="Z2648" s="77"/>
      <c r="AA2648" s="77"/>
      <c r="AB2648" s="77"/>
      <c r="AC2648" s="82" t="s">
        <v>8275</v>
      </c>
      <c r="AD2648" s="77" t="s">
        <v>8278</v>
      </c>
      <c r="AE2648" s="80" t="str">
        <f>HYPERLINK("https://twitter.com/pauta_economica/status/1651925223573258240")</f>
        <v>https://twitter.com/pauta_economica/status/1651925223573258240</v>
      </c>
      <c r="AF2648" s="79">
        <v>45044.516655092593</v>
      </c>
      <c r="AG2648" s="85">
        <v>45044</v>
      </c>
      <c r="AH2648" s="82" t="s">
        <v>10689</v>
      </c>
      <c r="AI2648" s="77" t="b">
        <v>0</v>
      </c>
      <c r="AJ2648" s="77"/>
      <c r="AK2648" s="77"/>
      <c r="AL2648" s="77"/>
      <c r="AM2648" s="77"/>
      <c r="AN2648" s="77"/>
      <c r="AO2648" s="77"/>
      <c r="AP2648" s="77"/>
      <c r="AQ2648" s="77"/>
      <c r="AR2648" s="77"/>
      <c r="AS2648" s="77"/>
      <c r="AT2648" s="77"/>
      <c r="AU2648" s="77"/>
      <c r="AV2648" s="80" t="str">
        <f>HYPERLINK("https://pbs.twimg.com/profile_images/1588668531910082561/XEi-lXiu_normal.jpg")</f>
        <v>https://pbs.twimg.com/profile_images/1588668531910082561/XEi-lXiu_normal.jpg</v>
      </c>
      <c r="AW2648" s="82" t="s">
        <v>15732</v>
      </c>
      <c r="AX2648" s="82" t="s">
        <v>15732</v>
      </c>
      <c r="AY2648" s="77"/>
      <c r="AZ2648" s="82" t="s">
        <v>17385</v>
      </c>
      <c r="BA2648" s="82" t="s">
        <v>17385</v>
      </c>
      <c r="BB2648" s="82" t="s">
        <v>17385</v>
      </c>
      <c r="BC2648" s="82" t="s">
        <v>15732</v>
      </c>
      <c r="BD2648" s="82" t="s">
        <v>17667</v>
      </c>
      <c r="BE2648" s="77"/>
      <c r="BF2648" s="77"/>
      <c r="BG2648" s="77"/>
      <c r="BH2648" s="77"/>
      <c r="BI2648" s="77"/>
    </row>
    <row r="2649" spans="1:61" x14ac:dyDescent="0.25">
      <c r="A2649" s="62" t="s">
        <v>646</v>
      </c>
      <c r="B2649" s="62" t="s">
        <v>646</v>
      </c>
      <c r="C2649" s="63"/>
      <c r="D2649" s="64"/>
      <c r="E2649" s="65"/>
      <c r="F2649" s="66"/>
      <c r="G2649" s="63"/>
      <c r="H2649" s="67"/>
      <c r="I2649" s="68"/>
      <c r="J2649" s="68"/>
      <c r="K2649" s="32"/>
      <c r="L2649" s="75">
        <v>2649</v>
      </c>
      <c r="M2649" s="75"/>
      <c r="N2649" s="70"/>
      <c r="O2649" s="77" t="s">
        <v>179</v>
      </c>
      <c r="P2649" s="79">
        <v>45044.515497685185</v>
      </c>
      <c r="Q2649" s="77" t="s">
        <v>3426</v>
      </c>
      <c r="R2649" s="77">
        <v>0</v>
      </c>
      <c r="S2649" s="77">
        <v>0</v>
      </c>
      <c r="T2649" s="77">
        <v>0</v>
      </c>
      <c r="U2649" s="77">
        <v>0</v>
      </c>
      <c r="V2649" s="77">
        <v>53</v>
      </c>
      <c r="W2649" s="82" t="s">
        <v>6382</v>
      </c>
      <c r="X2649" s="80" t="str">
        <f>HYPERLINK("https://tinyurl.com/28ybysq7")</f>
        <v>https://tinyurl.com/28ybysq7</v>
      </c>
      <c r="Y2649" s="77" t="s">
        <v>7068</v>
      </c>
      <c r="Z2649" s="77"/>
      <c r="AA2649" s="77"/>
      <c r="AB2649" s="77"/>
      <c r="AC2649" s="82" t="s">
        <v>8275</v>
      </c>
      <c r="AD2649" s="77" t="s">
        <v>8278</v>
      </c>
      <c r="AE2649" s="80" t="str">
        <f>HYPERLINK("https://twitter.com/pauta_economica/status/1651924803333308417")</f>
        <v>https://twitter.com/pauta_economica/status/1651924803333308417</v>
      </c>
      <c r="AF2649" s="79">
        <v>45044.515497685185</v>
      </c>
      <c r="AG2649" s="85">
        <v>45044</v>
      </c>
      <c r="AH2649" s="82" t="s">
        <v>10690</v>
      </c>
      <c r="AI2649" s="77" t="b">
        <v>0</v>
      </c>
      <c r="AJ2649" s="77"/>
      <c r="AK2649" s="77"/>
      <c r="AL2649" s="77"/>
      <c r="AM2649" s="77"/>
      <c r="AN2649" s="77"/>
      <c r="AO2649" s="77"/>
      <c r="AP2649" s="77"/>
      <c r="AQ2649" s="77"/>
      <c r="AR2649" s="77"/>
      <c r="AS2649" s="77"/>
      <c r="AT2649" s="77"/>
      <c r="AU2649" s="77"/>
      <c r="AV2649" s="80" t="str">
        <f>HYPERLINK("https://pbs.twimg.com/profile_images/1588668531910082561/XEi-lXiu_normal.jpg")</f>
        <v>https://pbs.twimg.com/profile_images/1588668531910082561/XEi-lXiu_normal.jpg</v>
      </c>
      <c r="AW2649" s="82" t="s">
        <v>15733</v>
      </c>
      <c r="AX2649" s="82" t="s">
        <v>15733</v>
      </c>
      <c r="AY2649" s="77"/>
      <c r="AZ2649" s="82" t="s">
        <v>17385</v>
      </c>
      <c r="BA2649" s="82" t="s">
        <v>17385</v>
      </c>
      <c r="BB2649" s="82" t="s">
        <v>17385</v>
      </c>
      <c r="BC2649" s="82" t="s">
        <v>15733</v>
      </c>
      <c r="BD2649" s="82" t="s">
        <v>17667</v>
      </c>
      <c r="BE2649" s="77"/>
      <c r="BF2649" s="77"/>
      <c r="BG2649" s="77"/>
      <c r="BH2649" s="77"/>
      <c r="BI2649" s="77"/>
    </row>
    <row r="2650" spans="1:61" x14ac:dyDescent="0.25">
      <c r="A2650" s="62" t="s">
        <v>646</v>
      </c>
      <c r="B2650" s="62" t="s">
        <v>646</v>
      </c>
      <c r="C2650" s="63"/>
      <c r="D2650" s="64"/>
      <c r="E2650" s="65"/>
      <c r="F2650" s="66"/>
      <c r="G2650" s="63"/>
      <c r="H2650" s="67"/>
      <c r="I2650" s="68"/>
      <c r="J2650" s="68"/>
      <c r="K2650" s="32"/>
      <c r="L2650" s="75">
        <v>2650</v>
      </c>
      <c r="M2650" s="75"/>
      <c r="N2650" s="70"/>
      <c r="O2650" s="77" t="s">
        <v>179</v>
      </c>
      <c r="P2650" s="79">
        <v>45044.507962962962</v>
      </c>
      <c r="Q2650" s="77" t="s">
        <v>3427</v>
      </c>
      <c r="R2650" s="77">
        <v>0</v>
      </c>
      <c r="S2650" s="77">
        <v>1</v>
      </c>
      <c r="T2650" s="77">
        <v>0</v>
      </c>
      <c r="U2650" s="77">
        <v>0</v>
      </c>
      <c r="V2650" s="77">
        <v>29</v>
      </c>
      <c r="W2650" s="82" t="s">
        <v>6382</v>
      </c>
      <c r="X2650" s="80" t="str">
        <f>HYPERLINK("https://tinyurl.com/2ccf69za")</f>
        <v>https://tinyurl.com/2ccf69za</v>
      </c>
      <c r="Y2650" s="77" t="s">
        <v>7068</v>
      </c>
      <c r="Z2650" s="77"/>
      <c r="AA2650" s="77"/>
      <c r="AB2650" s="77"/>
      <c r="AC2650" s="82" t="s">
        <v>8275</v>
      </c>
      <c r="AD2650" s="77" t="s">
        <v>8278</v>
      </c>
      <c r="AE2650" s="80" t="str">
        <f>HYPERLINK("https://twitter.com/pauta_economica/status/1651922076603670529")</f>
        <v>https://twitter.com/pauta_economica/status/1651922076603670529</v>
      </c>
      <c r="AF2650" s="79">
        <v>45044.507962962962</v>
      </c>
      <c r="AG2650" s="85">
        <v>45044</v>
      </c>
      <c r="AH2650" s="82" t="s">
        <v>10691</v>
      </c>
      <c r="AI2650" s="77" t="b">
        <v>0</v>
      </c>
      <c r="AJ2650" s="77"/>
      <c r="AK2650" s="77"/>
      <c r="AL2650" s="77"/>
      <c r="AM2650" s="77"/>
      <c r="AN2650" s="77"/>
      <c r="AO2650" s="77"/>
      <c r="AP2650" s="77"/>
      <c r="AQ2650" s="77"/>
      <c r="AR2650" s="77"/>
      <c r="AS2650" s="77"/>
      <c r="AT2650" s="77"/>
      <c r="AU2650" s="77"/>
      <c r="AV2650" s="80" t="str">
        <f>HYPERLINK("https://pbs.twimg.com/profile_images/1588668531910082561/XEi-lXiu_normal.jpg")</f>
        <v>https://pbs.twimg.com/profile_images/1588668531910082561/XEi-lXiu_normal.jpg</v>
      </c>
      <c r="AW2650" s="82" t="s">
        <v>15734</v>
      </c>
      <c r="AX2650" s="82" t="s">
        <v>15734</v>
      </c>
      <c r="AY2650" s="77"/>
      <c r="AZ2650" s="82" t="s">
        <v>17385</v>
      </c>
      <c r="BA2650" s="82" t="s">
        <v>17385</v>
      </c>
      <c r="BB2650" s="82" t="s">
        <v>17385</v>
      </c>
      <c r="BC2650" s="82" t="s">
        <v>15734</v>
      </c>
      <c r="BD2650" s="82" t="s">
        <v>17667</v>
      </c>
      <c r="BE2650" s="77"/>
      <c r="BF2650" s="77"/>
      <c r="BG2650" s="77"/>
      <c r="BH2650" s="77"/>
      <c r="BI2650" s="77"/>
    </row>
    <row r="2651" spans="1:61" x14ac:dyDescent="0.25">
      <c r="A2651" s="62" t="s">
        <v>646</v>
      </c>
      <c r="B2651" s="62" t="s">
        <v>646</v>
      </c>
      <c r="C2651" s="63"/>
      <c r="D2651" s="64"/>
      <c r="E2651" s="65"/>
      <c r="F2651" s="66"/>
      <c r="G2651" s="63"/>
      <c r="H2651" s="67"/>
      <c r="I2651" s="68"/>
      <c r="J2651" s="68"/>
      <c r="K2651" s="32"/>
      <c r="L2651" s="75">
        <v>2651</v>
      </c>
      <c r="M2651" s="75"/>
      <c r="N2651" s="70"/>
      <c r="O2651" s="77" t="s">
        <v>179</v>
      </c>
      <c r="P2651" s="79">
        <v>45044.501030092593</v>
      </c>
      <c r="Q2651" s="77" t="s">
        <v>3428</v>
      </c>
      <c r="R2651" s="77">
        <v>0</v>
      </c>
      <c r="S2651" s="77">
        <v>0</v>
      </c>
      <c r="T2651" s="77">
        <v>0</v>
      </c>
      <c r="U2651" s="77">
        <v>0</v>
      </c>
      <c r="V2651" s="77">
        <v>25</v>
      </c>
      <c r="W2651" s="82" t="s">
        <v>6382</v>
      </c>
      <c r="X2651" s="80" t="str">
        <f>HYPERLINK("https://tinyurl.com/23h8qc97")</f>
        <v>https://tinyurl.com/23h8qc97</v>
      </c>
      <c r="Y2651" s="77" t="s">
        <v>7068</v>
      </c>
      <c r="Z2651" s="77"/>
      <c r="AA2651" s="77"/>
      <c r="AB2651" s="77"/>
      <c r="AC2651" s="82" t="s">
        <v>8275</v>
      </c>
      <c r="AD2651" s="77" t="s">
        <v>8278</v>
      </c>
      <c r="AE2651" s="80" t="str">
        <f>HYPERLINK("https://twitter.com/pauta_economica/status/1651919564119179265")</f>
        <v>https://twitter.com/pauta_economica/status/1651919564119179265</v>
      </c>
      <c r="AF2651" s="79">
        <v>45044.501030092593</v>
      </c>
      <c r="AG2651" s="85">
        <v>45044</v>
      </c>
      <c r="AH2651" s="82" t="s">
        <v>10692</v>
      </c>
      <c r="AI2651" s="77" t="b">
        <v>0</v>
      </c>
      <c r="AJ2651" s="77"/>
      <c r="AK2651" s="77"/>
      <c r="AL2651" s="77"/>
      <c r="AM2651" s="77"/>
      <c r="AN2651" s="77"/>
      <c r="AO2651" s="77"/>
      <c r="AP2651" s="77"/>
      <c r="AQ2651" s="77"/>
      <c r="AR2651" s="77"/>
      <c r="AS2651" s="77"/>
      <c r="AT2651" s="77"/>
      <c r="AU2651" s="77"/>
      <c r="AV2651" s="80" t="str">
        <f>HYPERLINK("https://pbs.twimg.com/profile_images/1588668531910082561/XEi-lXiu_normal.jpg")</f>
        <v>https://pbs.twimg.com/profile_images/1588668531910082561/XEi-lXiu_normal.jpg</v>
      </c>
      <c r="AW2651" s="82" t="s">
        <v>15735</v>
      </c>
      <c r="AX2651" s="82" t="s">
        <v>15735</v>
      </c>
      <c r="AY2651" s="77"/>
      <c r="AZ2651" s="82" t="s">
        <v>17385</v>
      </c>
      <c r="BA2651" s="82" t="s">
        <v>17385</v>
      </c>
      <c r="BB2651" s="82" t="s">
        <v>17385</v>
      </c>
      <c r="BC2651" s="82" t="s">
        <v>15735</v>
      </c>
      <c r="BD2651" s="82" t="s">
        <v>17667</v>
      </c>
      <c r="BE2651" s="77"/>
      <c r="BF2651" s="77"/>
      <c r="BG2651" s="77"/>
      <c r="BH2651" s="77"/>
      <c r="BI2651" s="77"/>
    </row>
    <row r="2652" spans="1:61" x14ac:dyDescent="0.25">
      <c r="A2652" s="62" t="s">
        <v>646</v>
      </c>
      <c r="B2652" s="62" t="s">
        <v>646</v>
      </c>
      <c r="C2652" s="63"/>
      <c r="D2652" s="64"/>
      <c r="E2652" s="65"/>
      <c r="F2652" s="66"/>
      <c r="G2652" s="63"/>
      <c r="H2652" s="67"/>
      <c r="I2652" s="68"/>
      <c r="J2652" s="68"/>
      <c r="K2652" s="32"/>
      <c r="L2652" s="75">
        <v>2652</v>
      </c>
      <c r="M2652" s="75"/>
      <c r="N2652" s="70"/>
      <c r="O2652" s="77" t="s">
        <v>179</v>
      </c>
      <c r="P2652" s="79">
        <v>45044.48883101852</v>
      </c>
      <c r="Q2652" s="77" t="s">
        <v>3429</v>
      </c>
      <c r="R2652" s="77">
        <v>0</v>
      </c>
      <c r="S2652" s="77">
        <v>0</v>
      </c>
      <c r="T2652" s="77">
        <v>0</v>
      </c>
      <c r="U2652" s="77">
        <v>0</v>
      </c>
      <c r="V2652" s="77">
        <v>28</v>
      </c>
      <c r="W2652" s="82" t="s">
        <v>6382</v>
      </c>
      <c r="X2652" s="80" t="str">
        <f>HYPERLINK("https://tinyurl.com/295yfn8l")</f>
        <v>https://tinyurl.com/295yfn8l</v>
      </c>
      <c r="Y2652" s="77" t="s">
        <v>7068</v>
      </c>
      <c r="Z2652" s="77"/>
      <c r="AA2652" s="77"/>
      <c r="AB2652" s="77"/>
      <c r="AC2652" s="82" t="s">
        <v>8275</v>
      </c>
      <c r="AD2652" s="77" t="s">
        <v>8278</v>
      </c>
      <c r="AE2652" s="80" t="str">
        <f>HYPERLINK("https://twitter.com/pauta_economica/status/1651915140256653312")</f>
        <v>https://twitter.com/pauta_economica/status/1651915140256653312</v>
      </c>
      <c r="AF2652" s="79">
        <v>45044.48883101852</v>
      </c>
      <c r="AG2652" s="85">
        <v>45044</v>
      </c>
      <c r="AH2652" s="82" t="s">
        <v>10693</v>
      </c>
      <c r="AI2652" s="77" t="b">
        <v>0</v>
      </c>
      <c r="AJ2652" s="77"/>
      <c r="AK2652" s="77"/>
      <c r="AL2652" s="77"/>
      <c r="AM2652" s="77"/>
      <c r="AN2652" s="77"/>
      <c r="AO2652" s="77"/>
      <c r="AP2652" s="77"/>
      <c r="AQ2652" s="77"/>
      <c r="AR2652" s="77"/>
      <c r="AS2652" s="77"/>
      <c r="AT2652" s="77"/>
      <c r="AU2652" s="77"/>
      <c r="AV2652" s="80" t="str">
        <f>HYPERLINK("https://pbs.twimg.com/profile_images/1588668531910082561/XEi-lXiu_normal.jpg")</f>
        <v>https://pbs.twimg.com/profile_images/1588668531910082561/XEi-lXiu_normal.jpg</v>
      </c>
      <c r="AW2652" s="82" t="s">
        <v>15736</v>
      </c>
      <c r="AX2652" s="82" t="s">
        <v>15736</v>
      </c>
      <c r="AY2652" s="77"/>
      <c r="AZ2652" s="82" t="s">
        <v>17385</v>
      </c>
      <c r="BA2652" s="82" t="s">
        <v>17385</v>
      </c>
      <c r="BB2652" s="82" t="s">
        <v>17385</v>
      </c>
      <c r="BC2652" s="82" t="s">
        <v>15736</v>
      </c>
      <c r="BD2652" s="82" t="s">
        <v>17667</v>
      </c>
      <c r="BE2652" s="77"/>
      <c r="BF2652" s="77"/>
      <c r="BG2652" s="77"/>
      <c r="BH2652" s="77"/>
      <c r="BI2652" s="77"/>
    </row>
    <row r="2653" spans="1:61" x14ac:dyDescent="0.25">
      <c r="A2653" s="62" t="s">
        <v>646</v>
      </c>
      <c r="B2653" s="62" t="s">
        <v>646</v>
      </c>
      <c r="C2653" s="63"/>
      <c r="D2653" s="64"/>
      <c r="E2653" s="65"/>
      <c r="F2653" s="66"/>
      <c r="G2653" s="63"/>
      <c r="H2653" s="67"/>
      <c r="I2653" s="68"/>
      <c r="J2653" s="68"/>
      <c r="K2653" s="32"/>
      <c r="L2653" s="75">
        <v>2653</v>
      </c>
      <c r="M2653" s="75"/>
      <c r="N2653" s="70"/>
      <c r="O2653" s="77" t="s">
        <v>179</v>
      </c>
      <c r="P2653" s="79">
        <v>45044.460902777777</v>
      </c>
      <c r="Q2653" s="77" t="s">
        <v>3430</v>
      </c>
      <c r="R2653" s="77">
        <v>0</v>
      </c>
      <c r="S2653" s="77">
        <v>0</v>
      </c>
      <c r="T2653" s="77">
        <v>0</v>
      </c>
      <c r="U2653" s="77">
        <v>0</v>
      </c>
      <c r="V2653" s="77">
        <v>50</v>
      </c>
      <c r="W2653" s="82" t="s">
        <v>6382</v>
      </c>
      <c r="X2653" s="80" t="str">
        <f>HYPERLINK("https://tinyurl.com/268enehx")</f>
        <v>https://tinyurl.com/268enehx</v>
      </c>
      <c r="Y2653" s="77" t="s">
        <v>7068</v>
      </c>
      <c r="Z2653" s="77"/>
      <c r="AA2653" s="77"/>
      <c r="AB2653" s="77"/>
      <c r="AC2653" s="82" t="s">
        <v>8275</v>
      </c>
      <c r="AD2653" s="77" t="s">
        <v>8278</v>
      </c>
      <c r="AE2653" s="80" t="str">
        <f>HYPERLINK("https://twitter.com/pauta_economica/status/1651905020147769346")</f>
        <v>https://twitter.com/pauta_economica/status/1651905020147769346</v>
      </c>
      <c r="AF2653" s="79">
        <v>45044.460902777777</v>
      </c>
      <c r="AG2653" s="85">
        <v>45044</v>
      </c>
      <c r="AH2653" s="82" t="s">
        <v>10694</v>
      </c>
      <c r="AI2653" s="77" t="b">
        <v>0</v>
      </c>
      <c r="AJ2653" s="77"/>
      <c r="AK2653" s="77"/>
      <c r="AL2653" s="77"/>
      <c r="AM2653" s="77"/>
      <c r="AN2653" s="77"/>
      <c r="AO2653" s="77"/>
      <c r="AP2653" s="77"/>
      <c r="AQ2653" s="77"/>
      <c r="AR2653" s="77"/>
      <c r="AS2653" s="77"/>
      <c r="AT2653" s="77"/>
      <c r="AU2653" s="77"/>
      <c r="AV2653" s="80" t="str">
        <f>HYPERLINK("https://pbs.twimg.com/profile_images/1588668531910082561/XEi-lXiu_normal.jpg")</f>
        <v>https://pbs.twimg.com/profile_images/1588668531910082561/XEi-lXiu_normal.jpg</v>
      </c>
      <c r="AW2653" s="82" t="s">
        <v>15737</v>
      </c>
      <c r="AX2653" s="82" t="s">
        <v>15737</v>
      </c>
      <c r="AY2653" s="77"/>
      <c r="AZ2653" s="82" t="s">
        <v>17385</v>
      </c>
      <c r="BA2653" s="82" t="s">
        <v>17385</v>
      </c>
      <c r="BB2653" s="82" t="s">
        <v>17385</v>
      </c>
      <c r="BC2653" s="82" t="s">
        <v>15737</v>
      </c>
      <c r="BD2653" s="82" t="s">
        <v>17667</v>
      </c>
      <c r="BE2653" s="77"/>
      <c r="BF2653" s="77"/>
      <c r="BG2653" s="77"/>
      <c r="BH2653" s="77"/>
      <c r="BI2653" s="77"/>
    </row>
    <row r="2654" spans="1:61" x14ac:dyDescent="0.25">
      <c r="A2654" s="62" t="s">
        <v>646</v>
      </c>
      <c r="B2654" s="62" t="s">
        <v>646</v>
      </c>
      <c r="C2654" s="63"/>
      <c r="D2654" s="64"/>
      <c r="E2654" s="65"/>
      <c r="F2654" s="66"/>
      <c r="G2654" s="63"/>
      <c r="H2654" s="67"/>
      <c r="I2654" s="68"/>
      <c r="J2654" s="68"/>
      <c r="K2654" s="32"/>
      <c r="L2654" s="75">
        <v>2654</v>
      </c>
      <c r="M2654" s="75"/>
      <c r="N2654" s="70"/>
      <c r="O2654" s="77" t="s">
        <v>179</v>
      </c>
      <c r="P2654" s="79">
        <v>45044.405185185184</v>
      </c>
      <c r="Q2654" s="77" t="s">
        <v>3431</v>
      </c>
      <c r="R2654" s="77">
        <v>0</v>
      </c>
      <c r="S2654" s="77">
        <v>0</v>
      </c>
      <c r="T2654" s="77">
        <v>0</v>
      </c>
      <c r="U2654" s="77">
        <v>0</v>
      </c>
      <c r="V2654" s="77">
        <v>40</v>
      </c>
      <c r="W2654" s="82" t="s">
        <v>6382</v>
      </c>
      <c r="X2654" s="80" t="str">
        <f>HYPERLINK("https://tinyurl.com/29x2cn6u")</f>
        <v>https://tinyurl.com/29x2cn6u</v>
      </c>
      <c r="Y2654" s="77" t="s">
        <v>7068</v>
      </c>
      <c r="Z2654" s="77"/>
      <c r="AA2654" s="77"/>
      <c r="AB2654" s="77"/>
      <c r="AC2654" s="82" t="s">
        <v>8275</v>
      </c>
      <c r="AD2654" s="77" t="s">
        <v>8278</v>
      </c>
      <c r="AE2654" s="80" t="str">
        <f>HYPERLINK("https://twitter.com/pauta_economica/status/1651884829443538944")</f>
        <v>https://twitter.com/pauta_economica/status/1651884829443538944</v>
      </c>
      <c r="AF2654" s="79">
        <v>45044.405185185184</v>
      </c>
      <c r="AG2654" s="85">
        <v>45044</v>
      </c>
      <c r="AH2654" s="82" t="s">
        <v>10695</v>
      </c>
      <c r="AI2654" s="77" t="b">
        <v>0</v>
      </c>
      <c r="AJ2654" s="77"/>
      <c r="AK2654" s="77"/>
      <c r="AL2654" s="77"/>
      <c r="AM2654" s="77"/>
      <c r="AN2654" s="77"/>
      <c r="AO2654" s="77"/>
      <c r="AP2654" s="77"/>
      <c r="AQ2654" s="77"/>
      <c r="AR2654" s="77"/>
      <c r="AS2654" s="77"/>
      <c r="AT2654" s="77"/>
      <c r="AU2654" s="77"/>
      <c r="AV2654" s="80" t="str">
        <f>HYPERLINK("https://pbs.twimg.com/profile_images/1588668531910082561/XEi-lXiu_normal.jpg")</f>
        <v>https://pbs.twimg.com/profile_images/1588668531910082561/XEi-lXiu_normal.jpg</v>
      </c>
      <c r="AW2654" s="82" t="s">
        <v>15738</v>
      </c>
      <c r="AX2654" s="82" t="s">
        <v>15738</v>
      </c>
      <c r="AY2654" s="77"/>
      <c r="AZ2654" s="82" t="s">
        <v>17385</v>
      </c>
      <c r="BA2654" s="82" t="s">
        <v>17385</v>
      </c>
      <c r="BB2654" s="82" t="s">
        <v>17385</v>
      </c>
      <c r="BC2654" s="82" t="s">
        <v>15738</v>
      </c>
      <c r="BD2654" s="82" t="s">
        <v>17667</v>
      </c>
      <c r="BE2654" s="77"/>
      <c r="BF2654" s="77"/>
      <c r="BG2654" s="77"/>
      <c r="BH2654" s="77"/>
      <c r="BI2654" s="77"/>
    </row>
    <row r="2655" spans="1:61" x14ac:dyDescent="0.25">
      <c r="A2655" s="62" t="s">
        <v>646</v>
      </c>
      <c r="B2655" s="62" t="s">
        <v>646</v>
      </c>
      <c r="C2655" s="63"/>
      <c r="D2655" s="64"/>
      <c r="E2655" s="65"/>
      <c r="F2655" s="66"/>
      <c r="G2655" s="63"/>
      <c r="H2655" s="67"/>
      <c r="I2655" s="68"/>
      <c r="J2655" s="68"/>
      <c r="K2655" s="32"/>
      <c r="L2655" s="75">
        <v>2655</v>
      </c>
      <c r="M2655" s="75"/>
      <c r="N2655" s="70"/>
      <c r="O2655" s="77" t="s">
        <v>179</v>
      </c>
      <c r="P2655" s="79">
        <v>45044.349560185183</v>
      </c>
      <c r="Q2655" s="77" t="s">
        <v>3432</v>
      </c>
      <c r="R2655" s="77">
        <v>0</v>
      </c>
      <c r="S2655" s="77">
        <v>0</v>
      </c>
      <c r="T2655" s="77">
        <v>0</v>
      </c>
      <c r="U2655" s="77">
        <v>0</v>
      </c>
      <c r="V2655" s="77">
        <v>32</v>
      </c>
      <c r="W2655" s="82" t="s">
        <v>6382</v>
      </c>
      <c r="X2655" s="80" t="str">
        <f>HYPERLINK("https://tinyurl.com/283omzgn")</f>
        <v>https://tinyurl.com/283omzgn</v>
      </c>
      <c r="Y2655" s="77" t="s">
        <v>7068</v>
      </c>
      <c r="Z2655" s="77"/>
      <c r="AA2655" s="77"/>
      <c r="AB2655" s="77"/>
      <c r="AC2655" s="82" t="s">
        <v>8275</v>
      </c>
      <c r="AD2655" s="77" t="s">
        <v>8278</v>
      </c>
      <c r="AE2655" s="80" t="str">
        <f>HYPERLINK("https://twitter.com/pauta_economica/status/1651864671379419136")</f>
        <v>https://twitter.com/pauta_economica/status/1651864671379419136</v>
      </c>
      <c r="AF2655" s="79">
        <v>45044.349560185183</v>
      </c>
      <c r="AG2655" s="85">
        <v>45044</v>
      </c>
      <c r="AH2655" s="82" t="s">
        <v>10696</v>
      </c>
      <c r="AI2655" s="77" t="b">
        <v>0</v>
      </c>
      <c r="AJ2655" s="77"/>
      <c r="AK2655" s="77"/>
      <c r="AL2655" s="77"/>
      <c r="AM2655" s="77"/>
      <c r="AN2655" s="77"/>
      <c r="AO2655" s="77"/>
      <c r="AP2655" s="77"/>
      <c r="AQ2655" s="77"/>
      <c r="AR2655" s="77"/>
      <c r="AS2655" s="77"/>
      <c r="AT2655" s="77"/>
      <c r="AU2655" s="77"/>
      <c r="AV2655" s="80" t="str">
        <f>HYPERLINK("https://pbs.twimg.com/profile_images/1588668531910082561/XEi-lXiu_normal.jpg")</f>
        <v>https://pbs.twimg.com/profile_images/1588668531910082561/XEi-lXiu_normal.jpg</v>
      </c>
      <c r="AW2655" s="82" t="s">
        <v>15739</v>
      </c>
      <c r="AX2655" s="82" t="s">
        <v>15739</v>
      </c>
      <c r="AY2655" s="77"/>
      <c r="AZ2655" s="82" t="s">
        <v>17385</v>
      </c>
      <c r="BA2655" s="82" t="s">
        <v>17385</v>
      </c>
      <c r="BB2655" s="82" t="s">
        <v>17385</v>
      </c>
      <c r="BC2655" s="82" t="s">
        <v>15739</v>
      </c>
      <c r="BD2655" s="82" t="s">
        <v>17667</v>
      </c>
      <c r="BE2655" s="77"/>
      <c r="BF2655" s="77"/>
      <c r="BG2655" s="77"/>
      <c r="BH2655" s="77"/>
      <c r="BI2655" s="77"/>
    </row>
    <row r="2656" spans="1:61" x14ac:dyDescent="0.25">
      <c r="A2656" s="62" t="s">
        <v>646</v>
      </c>
      <c r="B2656" s="62" t="s">
        <v>646</v>
      </c>
      <c r="C2656" s="63"/>
      <c r="D2656" s="64"/>
      <c r="E2656" s="65"/>
      <c r="F2656" s="66"/>
      <c r="G2656" s="63"/>
      <c r="H2656" s="67"/>
      <c r="I2656" s="68"/>
      <c r="J2656" s="68"/>
      <c r="K2656" s="32"/>
      <c r="L2656" s="75">
        <v>2656</v>
      </c>
      <c r="M2656" s="75"/>
      <c r="N2656" s="70"/>
      <c r="O2656" s="77" t="s">
        <v>179</v>
      </c>
      <c r="P2656" s="79">
        <v>45044.321770833332</v>
      </c>
      <c r="Q2656" s="77" t="s">
        <v>3433</v>
      </c>
      <c r="R2656" s="77">
        <v>0</v>
      </c>
      <c r="S2656" s="77">
        <v>0</v>
      </c>
      <c r="T2656" s="77">
        <v>0</v>
      </c>
      <c r="U2656" s="77">
        <v>0</v>
      </c>
      <c r="V2656" s="77">
        <v>39</v>
      </c>
      <c r="W2656" s="82" t="s">
        <v>6382</v>
      </c>
      <c r="X2656" s="80" t="str">
        <f>HYPERLINK("https://tinyurl.com/257n7ccg")</f>
        <v>https://tinyurl.com/257n7ccg</v>
      </c>
      <c r="Y2656" s="77" t="s">
        <v>7068</v>
      </c>
      <c r="Z2656" s="77"/>
      <c r="AA2656" s="77"/>
      <c r="AB2656" s="77"/>
      <c r="AC2656" s="82" t="s">
        <v>8275</v>
      </c>
      <c r="AD2656" s="77" t="s">
        <v>8278</v>
      </c>
      <c r="AE2656" s="80" t="str">
        <f>HYPERLINK("https://twitter.com/pauta_economica/status/1651854599949627392")</f>
        <v>https://twitter.com/pauta_economica/status/1651854599949627392</v>
      </c>
      <c r="AF2656" s="79">
        <v>45044.321770833332</v>
      </c>
      <c r="AG2656" s="85">
        <v>45044</v>
      </c>
      <c r="AH2656" s="82" t="s">
        <v>10697</v>
      </c>
      <c r="AI2656" s="77" t="b">
        <v>0</v>
      </c>
      <c r="AJ2656" s="77"/>
      <c r="AK2656" s="77"/>
      <c r="AL2656" s="77"/>
      <c r="AM2656" s="77"/>
      <c r="AN2656" s="77"/>
      <c r="AO2656" s="77"/>
      <c r="AP2656" s="77"/>
      <c r="AQ2656" s="77"/>
      <c r="AR2656" s="77"/>
      <c r="AS2656" s="77"/>
      <c r="AT2656" s="77"/>
      <c r="AU2656" s="77"/>
      <c r="AV2656" s="80" t="str">
        <f>HYPERLINK("https://pbs.twimg.com/profile_images/1588668531910082561/XEi-lXiu_normal.jpg")</f>
        <v>https://pbs.twimg.com/profile_images/1588668531910082561/XEi-lXiu_normal.jpg</v>
      </c>
      <c r="AW2656" s="82" t="s">
        <v>15740</v>
      </c>
      <c r="AX2656" s="82" t="s">
        <v>15740</v>
      </c>
      <c r="AY2656" s="77"/>
      <c r="AZ2656" s="82" t="s">
        <v>17385</v>
      </c>
      <c r="BA2656" s="82" t="s">
        <v>17385</v>
      </c>
      <c r="BB2656" s="82" t="s">
        <v>17385</v>
      </c>
      <c r="BC2656" s="82" t="s">
        <v>15740</v>
      </c>
      <c r="BD2656" s="82" t="s">
        <v>17667</v>
      </c>
      <c r="BE2656" s="77"/>
      <c r="BF2656" s="77"/>
      <c r="BG2656" s="77"/>
      <c r="BH2656" s="77"/>
      <c r="BI2656" s="77"/>
    </row>
    <row r="2657" spans="1:61" x14ac:dyDescent="0.25">
      <c r="A2657" s="62" t="s">
        <v>646</v>
      </c>
      <c r="B2657" s="62" t="s">
        <v>646</v>
      </c>
      <c r="C2657" s="63"/>
      <c r="D2657" s="64"/>
      <c r="E2657" s="65"/>
      <c r="F2657" s="66"/>
      <c r="G2657" s="63"/>
      <c r="H2657" s="67"/>
      <c r="I2657" s="68"/>
      <c r="J2657" s="68"/>
      <c r="K2657" s="32"/>
      <c r="L2657" s="75">
        <v>2657</v>
      </c>
      <c r="M2657" s="75"/>
      <c r="N2657" s="70"/>
      <c r="O2657" s="77" t="s">
        <v>179</v>
      </c>
      <c r="P2657" s="79">
        <v>45044.293969907405</v>
      </c>
      <c r="Q2657" s="77" t="s">
        <v>3434</v>
      </c>
      <c r="R2657" s="77">
        <v>0</v>
      </c>
      <c r="S2657" s="77">
        <v>0</v>
      </c>
      <c r="T2657" s="77">
        <v>0</v>
      </c>
      <c r="U2657" s="77">
        <v>0</v>
      </c>
      <c r="V2657" s="77">
        <v>24</v>
      </c>
      <c r="W2657" s="82" t="s">
        <v>6382</v>
      </c>
      <c r="X2657" s="80" t="str">
        <f>HYPERLINK("https://tinyurl.com/25mkwo92")</f>
        <v>https://tinyurl.com/25mkwo92</v>
      </c>
      <c r="Y2657" s="77" t="s">
        <v>7068</v>
      </c>
      <c r="Z2657" s="77"/>
      <c r="AA2657" s="77"/>
      <c r="AB2657" s="77"/>
      <c r="AC2657" s="82" t="s">
        <v>8275</v>
      </c>
      <c r="AD2657" s="77" t="s">
        <v>8278</v>
      </c>
      <c r="AE2657" s="80" t="str">
        <f>HYPERLINK("https://twitter.com/pauta_economica/status/1651844526103732226")</f>
        <v>https://twitter.com/pauta_economica/status/1651844526103732226</v>
      </c>
      <c r="AF2657" s="79">
        <v>45044.293969907405</v>
      </c>
      <c r="AG2657" s="85">
        <v>45044</v>
      </c>
      <c r="AH2657" s="82" t="s">
        <v>10698</v>
      </c>
      <c r="AI2657" s="77" t="b">
        <v>0</v>
      </c>
      <c r="AJ2657" s="77"/>
      <c r="AK2657" s="77"/>
      <c r="AL2657" s="77"/>
      <c r="AM2657" s="77"/>
      <c r="AN2657" s="77"/>
      <c r="AO2657" s="77"/>
      <c r="AP2657" s="77"/>
      <c r="AQ2657" s="77"/>
      <c r="AR2657" s="77"/>
      <c r="AS2657" s="77"/>
      <c r="AT2657" s="77"/>
      <c r="AU2657" s="77"/>
      <c r="AV2657" s="80" t="str">
        <f>HYPERLINK("https://pbs.twimg.com/profile_images/1588668531910082561/XEi-lXiu_normal.jpg")</f>
        <v>https://pbs.twimg.com/profile_images/1588668531910082561/XEi-lXiu_normal.jpg</v>
      </c>
      <c r="AW2657" s="82" t="s">
        <v>15741</v>
      </c>
      <c r="AX2657" s="82" t="s">
        <v>15741</v>
      </c>
      <c r="AY2657" s="77"/>
      <c r="AZ2657" s="82" t="s">
        <v>17385</v>
      </c>
      <c r="BA2657" s="82" t="s">
        <v>17385</v>
      </c>
      <c r="BB2657" s="82" t="s">
        <v>17385</v>
      </c>
      <c r="BC2657" s="82" t="s">
        <v>15741</v>
      </c>
      <c r="BD2657" s="82" t="s">
        <v>17667</v>
      </c>
      <c r="BE2657" s="77"/>
      <c r="BF2657" s="77"/>
      <c r="BG2657" s="77"/>
      <c r="BH2657" s="77"/>
      <c r="BI2657" s="77"/>
    </row>
    <row r="2658" spans="1:61" x14ac:dyDescent="0.25">
      <c r="A2658" s="62" t="s">
        <v>646</v>
      </c>
      <c r="B2658" s="62" t="s">
        <v>646</v>
      </c>
      <c r="C2658" s="63"/>
      <c r="D2658" s="64"/>
      <c r="E2658" s="65"/>
      <c r="F2658" s="66"/>
      <c r="G2658" s="63"/>
      <c r="H2658" s="67"/>
      <c r="I2658" s="68"/>
      <c r="J2658" s="68"/>
      <c r="K2658" s="32"/>
      <c r="L2658" s="75">
        <v>2658</v>
      </c>
      <c r="M2658" s="75"/>
      <c r="N2658" s="70"/>
      <c r="O2658" s="77" t="s">
        <v>179</v>
      </c>
      <c r="P2658" s="79">
        <v>45044.266180555554</v>
      </c>
      <c r="Q2658" s="77" t="s">
        <v>3435</v>
      </c>
      <c r="R2658" s="77">
        <v>0</v>
      </c>
      <c r="S2658" s="77">
        <v>0</v>
      </c>
      <c r="T2658" s="77">
        <v>0</v>
      </c>
      <c r="U2658" s="77">
        <v>0</v>
      </c>
      <c r="V2658" s="77">
        <v>23</v>
      </c>
      <c r="W2658" s="82" t="s">
        <v>6382</v>
      </c>
      <c r="X2658" s="80" t="str">
        <f>HYPERLINK("https://tinyurl.com/2xhwmkmy")</f>
        <v>https://tinyurl.com/2xhwmkmy</v>
      </c>
      <c r="Y2658" s="77" t="s">
        <v>7068</v>
      </c>
      <c r="Z2658" s="77"/>
      <c r="AA2658" s="77"/>
      <c r="AB2658" s="77"/>
      <c r="AC2658" s="82" t="s">
        <v>8275</v>
      </c>
      <c r="AD2658" s="77" t="s">
        <v>8278</v>
      </c>
      <c r="AE2658" s="80" t="str">
        <f>HYPERLINK("https://twitter.com/pauta_economica/status/1651834457173774339")</f>
        <v>https://twitter.com/pauta_economica/status/1651834457173774339</v>
      </c>
      <c r="AF2658" s="79">
        <v>45044.266180555554</v>
      </c>
      <c r="AG2658" s="85">
        <v>45044</v>
      </c>
      <c r="AH2658" s="82" t="s">
        <v>10699</v>
      </c>
      <c r="AI2658" s="77" t="b">
        <v>0</v>
      </c>
      <c r="AJ2658" s="77"/>
      <c r="AK2658" s="77"/>
      <c r="AL2658" s="77"/>
      <c r="AM2658" s="77"/>
      <c r="AN2658" s="77"/>
      <c r="AO2658" s="77"/>
      <c r="AP2658" s="77"/>
      <c r="AQ2658" s="77"/>
      <c r="AR2658" s="77"/>
      <c r="AS2658" s="77"/>
      <c r="AT2658" s="77"/>
      <c r="AU2658" s="77"/>
      <c r="AV2658" s="80" t="str">
        <f>HYPERLINK("https://pbs.twimg.com/profile_images/1588668531910082561/XEi-lXiu_normal.jpg")</f>
        <v>https://pbs.twimg.com/profile_images/1588668531910082561/XEi-lXiu_normal.jpg</v>
      </c>
      <c r="AW2658" s="82" t="s">
        <v>15742</v>
      </c>
      <c r="AX2658" s="82" t="s">
        <v>15742</v>
      </c>
      <c r="AY2658" s="77"/>
      <c r="AZ2658" s="82" t="s">
        <v>17385</v>
      </c>
      <c r="BA2658" s="82" t="s">
        <v>17385</v>
      </c>
      <c r="BB2658" s="82" t="s">
        <v>17385</v>
      </c>
      <c r="BC2658" s="82" t="s">
        <v>15742</v>
      </c>
      <c r="BD2658" s="82" t="s">
        <v>17667</v>
      </c>
      <c r="BE2658" s="77"/>
      <c r="BF2658" s="77"/>
      <c r="BG2658" s="77"/>
      <c r="BH2658" s="77"/>
      <c r="BI2658" s="77"/>
    </row>
    <row r="2659" spans="1:61" x14ac:dyDescent="0.25">
      <c r="A2659" s="62" t="s">
        <v>646</v>
      </c>
      <c r="B2659" s="62" t="s">
        <v>646</v>
      </c>
      <c r="C2659" s="63"/>
      <c r="D2659" s="64"/>
      <c r="E2659" s="65"/>
      <c r="F2659" s="66"/>
      <c r="G2659" s="63"/>
      <c r="H2659" s="67"/>
      <c r="I2659" s="68"/>
      <c r="J2659" s="68"/>
      <c r="K2659" s="32"/>
      <c r="L2659" s="75">
        <v>2659</v>
      </c>
      <c r="M2659" s="75"/>
      <c r="N2659" s="70"/>
      <c r="O2659" s="77" t="s">
        <v>179</v>
      </c>
      <c r="P2659" s="79">
        <v>45044.238321759258</v>
      </c>
      <c r="Q2659" s="77" t="s">
        <v>3436</v>
      </c>
      <c r="R2659" s="77">
        <v>0</v>
      </c>
      <c r="S2659" s="77">
        <v>0</v>
      </c>
      <c r="T2659" s="77">
        <v>0</v>
      </c>
      <c r="U2659" s="77">
        <v>0</v>
      </c>
      <c r="V2659" s="77">
        <v>56</v>
      </c>
      <c r="W2659" s="82" t="s">
        <v>6382</v>
      </c>
      <c r="X2659" s="80" t="str">
        <f>HYPERLINK("https://tinyurl.com/2aod9zeq")</f>
        <v>https://tinyurl.com/2aod9zeq</v>
      </c>
      <c r="Y2659" s="77" t="s">
        <v>7068</v>
      </c>
      <c r="Z2659" s="77"/>
      <c r="AA2659" s="77"/>
      <c r="AB2659" s="77"/>
      <c r="AC2659" s="82" t="s">
        <v>8275</v>
      </c>
      <c r="AD2659" s="77" t="s">
        <v>8278</v>
      </c>
      <c r="AE2659" s="80" t="str">
        <f>HYPERLINK("https://twitter.com/pauta_economica/status/1651824360527724547")</f>
        <v>https://twitter.com/pauta_economica/status/1651824360527724547</v>
      </c>
      <c r="AF2659" s="79">
        <v>45044.238321759258</v>
      </c>
      <c r="AG2659" s="85">
        <v>45044</v>
      </c>
      <c r="AH2659" s="82" t="s">
        <v>10700</v>
      </c>
      <c r="AI2659" s="77" t="b">
        <v>0</v>
      </c>
      <c r="AJ2659" s="77"/>
      <c r="AK2659" s="77"/>
      <c r="AL2659" s="77"/>
      <c r="AM2659" s="77"/>
      <c r="AN2659" s="77"/>
      <c r="AO2659" s="77"/>
      <c r="AP2659" s="77"/>
      <c r="AQ2659" s="77"/>
      <c r="AR2659" s="77"/>
      <c r="AS2659" s="77"/>
      <c r="AT2659" s="77"/>
      <c r="AU2659" s="77"/>
      <c r="AV2659" s="80" t="str">
        <f>HYPERLINK("https://pbs.twimg.com/profile_images/1588668531910082561/XEi-lXiu_normal.jpg")</f>
        <v>https://pbs.twimg.com/profile_images/1588668531910082561/XEi-lXiu_normal.jpg</v>
      </c>
      <c r="AW2659" s="82" t="s">
        <v>15743</v>
      </c>
      <c r="AX2659" s="82" t="s">
        <v>15743</v>
      </c>
      <c r="AY2659" s="77"/>
      <c r="AZ2659" s="82" t="s">
        <v>17385</v>
      </c>
      <c r="BA2659" s="82" t="s">
        <v>17385</v>
      </c>
      <c r="BB2659" s="82" t="s">
        <v>17385</v>
      </c>
      <c r="BC2659" s="82" t="s">
        <v>15743</v>
      </c>
      <c r="BD2659" s="82" t="s">
        <v>17667</v>
      </c>
      <c r="BE2659" s="77"/>
      <c r="BF2659" s="77"/>
      <c r="BG2659" s="77"/>
      <c r="BH2659" s="77"/>
      <c r="BI2659" s="77"/>
    </row>
    <row r="2660" spans="1:61" x14ac:dyDescent="0.25">
      <c r="A2660" s="62" t="s">
        <v>646</v>
      </c>
      <c r="B2660" s="62" t="s">
        <v>646</v>
      </c>
      <c r="C2660" s="63"/>
      <c r="D2660" s="64"/>
      <c r="E2660" s="65"/>
      <c r="F2660" s="66"/>
      <c r="G2660" s="63"/>
      <c r="H2660" s="67"/>
      <c r="I2660" s="68"/>
      <c r="J2660" s="68"/>
      <c r="K2660" s="32"/>
      <c r="L2660" s="75">
        <v>2660</v>
      </c>
      <c r="M2660" s="75"/>
      <c r="N2660" s="70"/>
      <c r="O2660" s="77" t="s">
        <v>179</v>
      </c>
      <c r="P2660" s="79">
        <v>45044.210497685184</v>
      </c>
      <c r="Q2660" s="77" t="s">
        <v>3437</v>
      </c>
      <c r="R2660" s="77">
        <v>0</v>
      </c>
      <c r="S2660" s="77">
        <v>0</v>
      </c>
      <c r="T2660" s="77">
        <v>0</v>
      </c>
      <c r="U2660" s="77">
        <v>0</v>
      </c>
      <c r="V2660" s="77">
        <v>24</v>
      </c>
      <c r="W2660" s="82" t="s">
        <v>6382</v>
      </c>
      <c r="X2660" s="80" t="str">
        <f>HYPERLINK("https://tinyurl.com/259t4k3c")</f>
        <v>https://tinyurl.com/259t4k3c</v>
      </c>
      <c r="Y2660" s="77" t="s">
        <v>7068</v>
      </c>
      <c r="Z2660" s="77"/>
      <c r="AA2660" s="77"/>
      <c r="AB2660" s="77"/>
      <c r="AC2660" s="82" t="s">
        <v>8275</v>
      </c>
      <c r="AD2660" s="77" t="s">
        <v>8278</v>
      </c>
      <c r="AE2660" s="80" t="str">
        <f>HYPERLINK("https://twitter.com/pauta_economica/status/1651814276649107461")</f>
        <v>https://twitter.com/pauta_economica/status/1651814276649107461</v>
      </c>
      <c r="AF2660" s="79">
        <v>45044.210497685184</v>
      </c>
      <c r="AG2660" s="85">
        <v>45044</v>
      </c>
      <c r="AH2660" s="82" t="s">
        <v>10701</v>
      </c>
      <c r="AI2660" s="77" t="b">
        <v>0</v>
      </c>
      <c r="AJ2660" s="77"/>
      <c r="AK2660" s="77"/>
      <c r="AL2660" s="77"/>
      <c r="AM2660" s="77"/>
      <c r="AN2660" s="77"/>
      <c r="AO2660" s="77"/>
      <c r="AP2660" s="77"/>
      <c r="AQ2660" s="77"/>
      <c r="AR2660" s="77"/>
      <c r="AS2660" s="77"/>
      <c r="AT2660" s="77"/>
      <c r="AU2660" s="77"/>
      <c r="AV2660" s="80" t="str">
        <f>HYPERLINK("https://pbs.twimg.com/profile_images/1588668531910082561/XEi-lXiu_normal.jpg")</f>
        <v>https://pbs.twimg.com/profile_images/1588668531910082561/XEi-lXiu_normal.jpg</v>
      </c>
      <c r="AW2660" s="82" t="s">
        <v>15744</v>
      </c>
      <c r="AX2660" s="82" t="s">
        <v>15744</v>
      </c>
      <c r="AY2660" s="77"/>
      <c r="AZ2660" s="82" t="s">
        <v>17385</v>
      </c>
      <c r="BA2660" s="82" t="s">
        <v>17385</v>
      </c>
      <c r="BB2660" s="82" t="s">
        <v>17385</v>
      </c>
      <c r="BC2660" s="82" t="s">
        <v>15744</v>
      </c>
      <c r="BD2660" s="82" t="s">
        <v>17667</v>
      </c>
      <c r="BE2660" s="77"/>
      <c r="BF2660" s="77"/>
      <c r="BG2660" s="77"/>
      <c r="BH2660" s="77"/>
      <c r="BI2660" s="77"/>
    </row>
    <row r="2661" spans="1:61" x14ac:dyDescent="0.25">
      <c r="A2661" s="62" t="s">
        <v>646</v>
      </c>
      <c r="B2661" s="62" t="s">
        <v>646</v>
      </c>
      <c r="C2661" s="63"/>
      <c r="D2661" s="64"/>
      <c r="E2661" s="65"/>
      <c r="F2661" s="66"/>
      <c r="G2661" s="63"/>
      <c r="H2661" s="67"/>
      <c r="I2661" s="68"/>
      <c r="J2661" s="68"/>
      <c r="K2661" s="32"/>
      <c r="L2661" s="75">
        <v>2661</v>
      </c>
      <c r="M2661" s="75"/>
      <c r="N2661" s="70"/>
      <c r="O2661" s="77" t="s">
        <v>179</v>
      </c>
      <c r="P2661" s="79">
        <v>45044.182627314818</v>
      </c>
      <c r="Q2661" s="77" t="s">
        <v>3438</v>
      </c>
      <c r="R2661" s="77">
        <v>0</v>
      </c>
      <c r="S2661" s="77">
        <v>0</v>
      </c>
      <c r="T2661" s="77">
        <v>0</v>
      </c>
      <c r="U2661" s="77">
        <v>0</v>
      </c>
      <c r="V2661" s="77">
        <v>33</v>
      </c>
      <c r="W2661" s="82" t="s">
        <v>6382</v>
      </c>
      <c r="X2661" s="80" t="str">
        <f>HYPERLINK("https://tinyurl.com/22w2sj7o")</f>
        <v>https://tinyurl.com/22w2sj7o</v>
      </c>
      <c r="Y2661" s="77" t="s">
        <v>7068</v>
      </c>
      <c r="Z2661" s="77"/>
      <c r="AA2661" s="77"/>
      <c r="AB2661" s="77"/>
      <c r="AC2661" s="82" t="s">
        <v>8275</v>
      </c>
      <c r="AD2661" s="77" t="s">
        <v>8278</v>
      </c>
      <c r="AE2661" s="80" t="str">
        <f>HYPERLINK("https://twitter.com/pauta_economica/status/1651804178182811648")</f>
        <v>https://twitter.com/pauta_economica/status/1651804178182811648</v>
      </c>
      <c r="AF2661" s="79">
        <v>45044.182627314818</v>
      </c>
      <c r="AG2661" s="85">
        <v>45044</v>
      </c>
      <c r="AH2661" s="82" t="s">
        <v>10702</v>
      </c>
      <c r="AI2661" s="77" t="b">
        <v>0</v>
      </c>
      <c r="AJ2661" s="77"/>
      <c r="AK2661" s="77"/>
      <c r="AL2661" s="77"/>
      <c r="AM2661" s="77"/>
      <c r="AN2661" s="77"/>
      <c r="AO2661" s="77"/>
      <c r="AP2661" s="77"/>
      <c r="AQ2661" s="77"/>
      <c r="AR2661" s="77"/>
      <c r="AS2661" s="77"/>
      <c r="AT2661" s="77"/>
      <c r="AU2661" s="77"/>
      <c r="AV2661" s="80" t="str">
        <f>HYPERLINK("https://pbs.twimg.com/profile_images/1588668531910082561/XEi-lXiu_normal.jpg")</f>
        <v>https://pbs.twimg.com/profile_images/1588668531910082561/XEi-lXiu_normal.jpg</v>
      </c>
      <c r="AW2661" s="82" t="s">
        <v>15745</v>
      </c>
      <c r="AX2661" s="82" t="s">
        <v>15745</v>
      </c>
      <c r="AY2661" s="77"/>
      <c r="AZ2661" s="82" t="s">
        <v>17385</v>
      </c>
      <c r="BA2661" s="82" t="s">
        <v>17385</v>
      </c>
      <c r="BB2661" s="82" t="s">
        <v>17385</v>
      </c>
      <c r="BC2661" s="82" t="s">
        <v>15745</v>
      </c>
      <c r="BD2661" s="82" t="s">
        <v>17667</v>
      </c>
      <c r="BE2661" s="77"/>
      <c r="BF2661" s="77"/>
      <c r="BG2661" s="77"/>
      <c r="BH2661" s="77"/>
      <c r="BI2661" s="77"/>
    </row>
    <row r="2662" spans="1:61" x14ac:dyDescent="0.25">
      <c r="A2662" s="62" t="s">
        <v>646</v>
      </c>
      <c r="B2662" s="62" t="s">
        <v>646</v>
      </c>
      <c r="C2662" s="63"/>
      <c r="D2662" s="64"/>
      <c r="E2662" s="65"/>
      <c r="F2662" s="66"/>
      <c r="G2662" s="63"/>
      <c r="H2662" s="67"/>
      <c r="I2662" s="68"/>
      <c r="J2662" s="68"/>
      <c r="K2662" s="32"/>
      <c r="L2662" s="75">
        <v>2662</v>
      </c>
      <c r="M2662" s="75"/>
      <c r="N2662" s="70"/>
      <c r="O2662" s="77" t="s">
        <v>179</v>
      </c>
      <c r="P2662" s="79">
        <v>45044.154652777775</v>
      </c>
      <c r="Q2662" s="77" t="s">
        <v>3439</v>
      </c>
      <c r="R2662" s="77">
        <v>0</v>
      </c>
      <c r="S2662" s="77">
        <v>0</v>
      </c>
      <c r="T2662" s="77">
        <v>0</v>
      </c>
      <c r="U2662" s="77">
        <v>0</v>
      </c>
      <c r="V2662" s="77">
        <v>23</v>
      </c>
      <c r="W2662" s="82" t="s">
        <v>6382</v>
      </c>
      <c r="X2662" s="80" t="str">
        <f>HYPERLINK("https://tinyurl.com/26telkwo")</f>
        <v>https://tinyurl.com/26telkwo</v>
      </c>
      <c r="Y2662" s="77" t="s">
        <v>7068</v>
      </c>
      <c r="Z2662" s="77"/>
      <c r="AA2662" s="77"/>
      <c r="AB2662" s="77"/>
      <c r="AC2662" s="82" t="s">
        <v>8275</v>
      </c>
      <c r="AD2662" s="77" t="s">
        <v>8278</v>
      </c>
      <c r="AE2662" s="80" t="str">
        <f>HYPERLINK("https://twitter.com/pauta_economica/status/1651794039220338688")</f>
        <v>https://twitter.com/pauta_economica/status/1651794039220338688</v>
      </c>
      <c r="AF2662" s="79">
        <v>45044.154652777775</v>
      </c>
      <c r="AG2662" s="85">
        <v>45044</v>
      </c>
      <c r="AH2662" s="82" t="s">
        <v>10703</v>
      </c>
      <c r="AI2662" s="77" t="b">
        <v>0</v>
      </c>
      <c r="AJ2662" s="77"/>
      <c r="AK2662" s="77"/>
      <c r="AL2662" s="77"/>
      <c r="AM2662" s="77"/>
      <c r="AN2662" s="77"/>
      <c r="AO2662" s="77"/>
      <c r="AP2662" s="77"/>
      <c r="AQ2662" s="77"/>
      <c r="AR2662" s="77"/>
      <c r="AS2662" s="77"/>
      <c r="AT2662" s="77"/>
      <c r="AU2662" s="77"/>
      <c r="AV2662" s="80" t="str">
        <f>HYPERLINK("https://pbs.twimg.com/profile_images/1588668531910082561/XEi-lXiu_normal.jpg")</f>
        <v>https://pbs.twimg.com/profile_images/1588668531910082561/XEi-lXiu_normal.jpg</v>
      </c>
      <c r="AW2662" s="82" t="s">
        <v>15746</v>
      </c>
      <c r="AX2662" s="82" t="s">
        <v>15746</v>
      </c>
      <c r="AY2662" s="77"/>
      <c r="AZ2662" s="82" t="s">
        <v>17385</v>
      </c>
      <c r="BA2662" s="82" t="s">
        <v>17385</v>
      </c>
      <c r="BB2662" s="82" t="s">
        <v>17385</v>
      </c>
      <c r="BC2662" s="82" t="s">
        <v>15746</v>
      </c>
      <c r="BD2662" s="82" t="s">
        <v>17667</v>
      </c>
      <c r="BE2662" s="77"/>
      <c r="BF2662" s="77"/>
      <c r="BG2662" s="77"/>
      <c r="BH2662" s="77"/>
      <c r="BI2662" s="77"/>
    </row>
    <row r="2663" spans="1:61" x14ac:dyDescent="0.25">
      <c r="A2663" s="62" t="s">
        <v>646</v>
      </c>
      <c r="B2663" s="62" t="s">
        <v>646</v>
      </c>
      <c r="C2663" s="63"/>
      <c r="D2663" s="64"/>
      <c r="E2663" s="65"/>
      <c r="F2663" s="66"/>
      <c r="G2663" s="63"/>
      <c r="H2663" s="67"/>
      <c r="I2663" s="68"/>
      <c r="J2663" s="68"/>
      <c r="K2663" s="32"/>
      <c r="L2663" s="75">
        <v>2663</v>
      </c>
      <c r="M2663" s="75"/>
      <c r="N2663" s="70"/>
      <c r="O2663" s="77" t="s">
        <v>179</v>
      </c>
      <c r="P2663" s="79">
        <v>45044.098946759259</v>
      </c>
      <c r="Q2663" s="77" t="s">
        <v>3440</v>
      </c>
      <c r="R2663" s="77">
        <v>0</v>
      </c>
      <c r="S2663" s="77">
        <v>1</v>
      </c>
      <c r="T2663" s="77">
        <v>0</v>
      </c>
      <c r="U2663" s="77">
        <v>0</v>
      </c>
      <c r="V2663" s="77">
        <v>30</v>
      </c>
      <c r="W2663" s="82" t="s">
        <v>6382</v>
      </c>
      <c r="X2663" s="80" t="str">
        <f>HYPERLINK("https://tinyurl.com/23fsuuhn")</f>
        <v>https://tinyurl.com/23fsuuhn</v>
      </c>
      <c r="Y2663" s="77" t="s">
        <v>7068</v>
      </c>
      <c r="Z2663" s="77"/>
      <c r="AA2663" s="77"/>
      <c r="AB2663" s="77"/>
      <c r="AC2663" s="82" t="s">
        <v>8275</v>
      </c>
      <c r="AD2663" s="77" t="s">
        <v>8278</v>
      </c>
      <c r="AE2663" s="80" t="str">
        <f>HYPERLINK("https://twitter.com/pauta_economica/status/1651773853016760320")</f>
        <v>https://twitter.com/pauta_economica/status/1651773853016760320</v>
      </c>
      <c r="AF2663" s="79">
        <v>45044.098946759259</v>
      </c>
      <c r="AG2663" s="85">
        <v>45044</v>
      </c>
      <c r="AH2663" s="82" t="s">
        <v>10704</v>
      </c>
      <c r="AI2663" s="77" t="b">
        <v>0</v>
      </c>
      <c r="AJ2663" s="77"/>
      <c r="AK2663" s="77"/>
      <c r="AL2663" s="77"/>
      <c r="AM2663" s="77"/>
      <c r="AN2663" s="77"/>
      <c r="AO2663" s="77"/>
      <c r="AP2663" s="77"/>
      <c r="AQ2663" s="77"/>
      <c r="AR2663" s="77"/>
      <c r="AS2663" s="77"/>
      <c r="AT2663" s="77"/>
      <c r="AU2663" s="77"/>
      <c r="AV2663" s="80" t="str">
        <f>HYPERLINK("https://pbs.twimg.com/profile_images/1588668531910082561/XEi-lXiu_normal.jpg")</f>
        <v>https://pbs.twimg.com/profile_images/1588668531910082561/XEi-lXiu_normal.jpg</v>
      </c>
      <c r="AW2663" s="82" t="s">
        <v>15747</v>
      </c>
      <c r="AX2663" s="82" t="s">
        <v>15747</v>
      </c>
      <c r="AY2663" s="77"/>
      <c r="AZ2663" s="82" t="s">
        <v>17385</v>
      </c>
      <c r="BA2663" s="82" t="s">
        <v>17385</v>
      </c>
      <c r="BB2663" s="82" t="s">
        <v>17385</v>
      </c>
      <c r="BC2663" s="82" t="s">
        <v>15747</v>
      </c>
      <c r="BD2663" s="82" t="s">
        <v>17667</v>
      </c>
      <c r="BE2663" s="77"/>
      <c r="BF2663" s="77"/>
      <c r="BG2663" s="77"/>
      <c r="BH2663" s="77"/>
      <c r="BI2663" s="77"/>
    </row>
    <row r="2664" spans="1:61" x14ac:dyDescent="0.25">
      <c r="A2664" s="62" t="s">
        <v>646</v>
      </c>
      <c r="B2664" s="62" t="s">
        <v>646</v>
      </c>
      <c r="C2664" s="63"/>
      <c r="D2664" s="64"/>
      <c r="E2664" s="65"/>
      <c r="F2664" s="66"/>
      <c r="G2664" s="63"/>
      <c r="H2664" s="67"/>
      <c r="I2664" s="68"/>
      <c r="J2664" s="68"/>
      <c r="K2664" s="32"/>
      <c r="L2664" s="75">
        <v>2664</v>
      </c>
      <c r="M2664" s="75"/>
      <c r="N2664" s="70"/>
      <c r="O2664" s="77" t="s">
        <v>179</v>
      </c>
      <c r="P2664" s="79">
        <v>45044.071145833332</v>
      </c>
      <c r="Q2664" s="77" t="s">
        <v>3441</v>
      </c>
      <c r="R2664" s="77">
        <v>0</v>
      </c>
      <c r="S2664" s="77">
        <v>1</v>
      </c>
      <c r="T2664" s="77">
        <v>0</v>
      </c>
      <c r="U2664" s="77">
        <v>0</v>
      </c>
      <c r="V2664" s="77">
        <v>41</v>
      </c>
      <c r="W2664" s="82" t="s">
        <v>6382</v>
      </c>
      <c r="X2664" s="80" t="str">
        <f>HYPERLINK("https://tinyurl.com/29jbvvol")</f>
        <v>https://tinyurl.com/29jbvvol</v>
      </c>
      <c r="Y2664" s="77" t="s">
        <v>7068</v>
      </c>
      <c r="Z2664" s="77"/>
      <c r="AA2664" s="77"/>
      <c r="AB2664" s="77"/>
      <c r="AC2664" s="82" t="s">
        <v>8275</v>
      </c>
      <c r="AD2664" s="77" t="s">
        <v>8278</v>
      </c>
      <c r="AE2664" s="80" t="str">
        <f>HYPERLINK("https://twitter.com/pauta_economica/status/1651763778524946432")</f>
        <v>https://twitter.com/pauta_economica/status/1651763778524946432</v>
      </c>
      <c r="AF2664" s="79">
        <v>45044.071145833332</v>
      </c>
      <c r="AG2664" s="85">
        <v>45044</v>
      </c>
      <c r="AH2664" s="82" t="s">
        <v>10705</v>
      </c>
      <c r="AI2664" s="77" t="b">
        <v>0</v>
      </c>
      <c r="AJ2664" s="77"/>
      <c r="AK2664" s="77"/>
      <c r="AL2664" s="77"/>
      <c r="AM2664" s="77"/>
      <c r="AN2664" s="77"/>
      <c r="AO2664" s="77"/>
      <c r="AP2664" s="77"/>
      <c r="AQ2664" s="77"/>
      <c r="AR2664" s="77"/>
      <c r="AS2664" s="77"/>
      <c r="AT2664" s="77"/>
      <c r="AU2664" s="77"/>
      <c r="AV2664" s="80" t="str">
        <f>HYPERLINK("https://pbs.twimg.com/profile_images/1588668531910082561/XEi-lXiu_normal.jpg")</f>
        <v>https://pbs.twimg.com/profile_images/1588668531910082561/XEi-lXiu_normal.jpg</v>
      </c>
      <c r="AW2664" s="82" t="s">
        <v>15748</v>
      </c>
      <c r="AX2664" s="82" t="s">
        <v>15748</v>
      </c>
      <c r="AY2664" s="77"/>
      <c r="AZ2664" s="82" t="s">
        <v>17385</v>
      </c>
      <c r="BA2664" s="82" t="s">
        <v>17385</v>
      </c>
      <c r="BB2664" s="82" t="s">
        <v>17385</v>
      </c>
      <c r="BC2664" s="82" t="s">
        <v>15748</v>
      </c>
      <c r="BD2664" s="82" t="s">
        <v>17667</v>
      </c>
      <c r="BE2664" s="77"/>
      <c r="BF2664" s="77"/>
      <c r="BG2664" s="77"/>
      <c r="BH2664" s="77"/>
      <c r="BI2664" s="77"/>
    </row>
    <row r="2665" spans="1:61" x14ac:dyDescent="0.25">
      <c r="A2665" s="62" t="s">
        <v>646</v>
      </c>
      <c r="B2665" s="62" t="s">
        <v>646</v>
      </c>
      <c r="C2665" s="63"/>
      <c r="D2665" s="64"/>
      <c r="E2665" s="65"/>
      <c r="F2665" s="66"/>
      <c r="G2665" s="63"/>
      <c r="H2665" s="67"/>
      <c r="I2665" s="68"/>
      <c r="J2665" s="68"/>
      <c r="K2665" s="32"/>
      <c r="L2665" s="75">
        <v>2665</v>
      </c>
      <c r="M2665" s="75"/>
      <c r="N2665" s="70"/>
      <c r="O2665" s="77" t="s">
        <v>179</v>
      </c>
      <c r="P2665" s="79">
        <v>45044.043321759258</v>
      </c>
      <c r="Q2665" s="77" t="s">
        <v>3442</v>
      </c>
      <c r="R2665" s="77">
        <v>0</v>
      </c>
      <c r="S2665" s="77">
        <v>0</v>
      </c>
      <c r="T2665" s="77">
        <v>0</v>
      </c>
      <c r="U2665" s="77">
        <v>0</v>
      </c>
      <c r="V2665" s="77">
        <v>43</v>
      </c>
      <c r="W2665" s="82" t="s">
        <v>6382</v>
      </c>
      <c r="X2665" s="80" t="str">
        <f>HYPERLINK("https://tinyurl.com/24s9e2vq")</f>
        <v>https://tinyurl.com/24s9e2vq</v>
      </c>
      <c r="Y2665" s="77" t="s">
        <v>7068</v>
      </c>
      <c r="Z2665" s="77"/>
      <c r="AA2665" s="77"/>
      <c r="AB2665" s="77"/>
      <c r="AC2665" s="82" t="s">
        <v>8275</v>
      </c>
      <c r="AD2665" s="77" t="s">
        <v>8278</v>
      </c>
      <c r="AE2665" s="80" t="str">
        <f>HYPERLINK("https://twitter.com/pauta_economica/status/1651753695682371587")</f>
        <v>https://twitter.com/pauta_economica/status/1651753695682371587</v>
      </c>
      <c r="AF2665" s="79">
        <v>45044.043321759258</v>
      </c>
      <c r="AG2665" s="85">
        <v>45044</v>
      </c>
      <c r="AH2665" s="82" t="s">
        <v>10706</v>
      </c>
      <c r="AI2665" s="77" t="b">
        <v>0</v>
      </c>
      <c r="AJ2665" s="77"/>
      <c r="AK2665" s="77"/>
      <c r="AL2665" s="77"/>
      <c r="AM2665" s="77"/>
      <c r="AN2665" s="77"/>
      <c r="AO2665" s="77"/>
      <c r="AP2665" s="77"/>
      <c r="AQ2665" s="77"/>
      <c r="AR2665" s="77"/>
      <c r="AS2665" s="77"/>
      <c r="AT2665" s="77"/>
      <c r="AU2665" s="77"/>
      <c r="AV2665" s="80" t="str">
        <f>HYPERLINK("https://pbs.twimg.com/profile_images/1588668531910082561/XEi-lXiu_normal.jpg")</f>
        <v>https://pbs.twimg.com/profile_images/1588668531910082561/XEi-lXiu_normal.jpg</v>
      </c>
      <c r="AW2665" s="82" t="s">
        <v>15749</v>
      </c>
      <c r="AX2665" s="82" t="s">
        <v>15749</v>
      </c>
      <c r="AY2665" s="77"/>
      <c r="AZ2665" s="82" t="s">
        <v>17385</v>
      </c>
      <c r="BA2665" s="82" t="s">
        <v>17385</v>
      </c>
      <c r="BB2665" s="82" t="s">
        <v>17385</v>
      </c>
      <c r="BC2665" s="82" t="s">
        <v>15749</v>
      </c>
      <c r="BD2665" s="82" t="s">
        <v>17667</v>
      </c>
      <c r="BE2665" s="77"/>
      <c r="BF2665" s="77"/>
      <c r="BG2665" s="77"/>
      <c r="BH2665" s="77"/>
      <c r="BI2665" s="77"/>
    </row>
    <row r="2666" spans="1:61" x14ac:dyDescent="0.25">
      <c r="A2666" s="62" t="s">
        <v>646</v>
      </c>
      <c r="B2666" s="62" t="s">
        <v>646</v>
      </c>
      <c r="C2666" s="63"/>
      <c r="D2666" s="64"/>
      <c r="E2666" s="65"/>
      <c r="F2666" s="66"/>
      <c r="G2666" s="63"/>
      <c r="H2666" s="67"/>
      <c r="I2666" s="68"/>
      <c r="J2666" s="68"/>
      <c r="K2666" s="32"/>
      <c r="L2666" s="75">
        <v>2666</v>
      </c>
      <c r="M2666" s="75"/>
      <c r="N2666" s="70"/>
      <c r="O2666" s="77" t="s">
        <v>179</v>
      </c>
      <c r="P2666" s="79">
        <v>45044.015509259261</v>
      </c>
      <c r="Q2666" s="77" t="s">
        <v>3443</v>
      </c>
      <c r="R2666" s="77">
        <v>0</v>
      </c>
      <c r="S2666" s="77">
        <v>0</v>
      </c>
      <c r="T2666" s="77">
        <v>0</v>
      </c>
      <c r="U2666" s="77">
        <v>0</v>
      </c>
      <c r="V2666" s="77">
        <v>89</v>
      </c>
      <c r="W2666" s="82" t="s">
        <v>6382</v>
      </c>
      <c r="X2666" s="80" t="str">
        <f>HYPERLINK("https://tinyurl.com/2bkx5rb8")</f>
        <v>https://tinyurl.com/2bkx5rb8</v>
      </c>
      <c r="Y2666" s="77" t="s">
        <v>7068</v>
      </c>
      <c r="Z2666" s="77"/>
      <c r="AA2666" s="77"/>
      <c r="AB2666" s="77"/>
      <c r="AC2666" s="82" t="s">
        <v>8275</v>
      </c>
      <c r="AD2666" s="77" t="s">
        <v>8278</v>
      </c>
      <c r="AE2666" s="80" t="str">
        <f>HYPERLINK("https://twitter.com/pauta_economica/status/1651743614945357829")</f>
        <v>https://twitter.com/pauta_economica/status/1651743614945357829</v>
      </c>
      <c r="AF2666" s="79">
        <v>45044.015509259261</v>
      </c>
      <c r="AG2666" s="85">
        <v>45044</v>
      </c>
      <c r="AH2666" s="82" t="s">
        <v>10707</v>
      </c>
      <c r="AI2666" s="77" t="b">
        <v>0</v>
      </c>
      <c r="AJ2666" s="77"/>
      <c r="AK2666" s="77"/>
      <c r="AL2666" s="77"/>
      <c r="AM2666" s="77"/>
      <c r="AN2666" s="77"/>
      <c r="AO2666" s="77"/>
      <c r="AP2666" s="77"/>
      <c r="AQ2666" s="77"/>
      <c r="AR2666" s="77"/>
      <c r="AS2666" s="77"/>
      <c r="AT2666" s="77"/>
      <c r="AU2666" s="77"/>
      <c r="AV2666" s="80" t="str">
        <f>HYPERLINK("https://pbs.twimg.com/profile_images/1588668531910082561/XEi-lXiu_normal.jpg")</f>
        <v>https://pbs.twimg.com/profile_images/1588668531910082561/XEi-lXiu_normal.jpg</v>
      </c>
      <c r="AW2666" s="82" t="s">
        <v>15750</v>
      </c>
      <c r="AX2666" s="82" t="s">
        <v>15750</v>
      </c>
      <c r="AY2666" s="77"/>
      <c r="AZ2666" s="82" t="s">
        <v>17385</v>
      </c>
      <c r="BA2666" s="82" t="s">
        <v>17385</v>
      </c>
      <c r="BB2666" s="82" t="s">
        <v>17385</v>
      </c>
      <c r="BC2666" s="82" t="s">
        <v>15750</v>
      </c>
      <c r="BD2666" s="82" t="s">
        <v>17667</v>
      </c>
      <c r="BE2666" s="77"/>
      <c r="BF2666" s="77"/>
      <c r="BG2666" s="77"/>
      <c r="BH2666" s="77"/>
      <c r="BI2666" s="77"/>
    </row>
    <row r="2667" spans="1:61" x14ac:dyDescent="0.25">
      <c r="A2667" s="62" t="s">
        <v>646</v>
      </c>
      <c r="B2667" s="62" t="s">
        <v>646</v>
      </c>
      <c r="C2667" s="63"/>
      <c r="D2667" s="64"/>
      <c r="E2667" s="65"/>
      <c r="F2667" s="66"/>
      <c r="G2667" s="63"/>
      <c r="H2667" s="67"/>
      <c r="I2667" s="68"/>
      <c r="J2667" s="68"/>
      <c r="K2667" s="32"/>
      <c r="L2667" s="75">
        <v>2667</v>
      </c>
      <c r="M2667" s="75"/>
      <c r="N2667" s="70"/>
      <c r="O2667" s="77" t="s">
        <v>179</v>
      </c>
      <c r="P2667" s="79">
        <v>45043.987696759257</v>
      </c>
      <c r="Q2667" s="77" t="s">
        <v>3444</v>
      </c>
      <c r="R2667" s="77">
        <v>0</v>
      </c>
      <c r="S2667" s="77">
        <v>0</v>
      </c>
      <c r="T2667" s="77">
        <v>0</v>
      </c>
      <c r="U2667" s="77">
        <v>0</v>
      </c>
      <c r="V2667" s="77">
        <v>47</v>
      </c>
      <c r="W2667" s="82" t="s">
        <v>6382</v>
      </c>
      <c r="X2667" s="80" t="str">
        <f>HYPERLINK("https://tinyurl.com/2xu5e3s2")</f>
        <v>https://tinyurl.com/2xu5e3s2</v>
      </c>
      <c r="Y2667" s="77" t="s">
        <v>7068</v>
      </c>
      <c r="Z2667" s="77"/>
      <c r="AA2667" s="77"/>
      <c r="AB2667" s="77"/>
      <c r="AC2667" s="82" t="s">
        <v>8275</v>
      </c>
      <c r="AD2667" s="77" t="s">
        <v>8278</v>
      </c>
      <c r="AE2667" s="80" t="str">
        <f>HYPERLINK("https://twitter.com/pauta_economica/status/1651733536875880456")</f>
        <v>https://twitter.com/pauta_economica/status/1651733536875880456</v>
      </c>
      <c r="AF2667" s="79">
        <v>45043.987696759257</v>
      </c>
      <c r="AG2667" s="85">
        <v>45043</v>
      </c>
      <c r="AH2667" s="82" t="s">
        <v>10708</v>
      </c>
      <c r="AI2667" s="77" t="b">
        <v>0</v>
      </c>
      <c r="AJ2667" s="77"/>
      <c r="AK2667" s="77"/>
      <c r="AL2667" s="77"/>
      <c r="AM2667" s="77"/>
      <c r="AN2667" s="77"/>
      <c r="AO2667" s="77"/>
      <c r="AP2667" s="77"/>
      <c r="AQ2667" s="77"/>
      <c r="AR2667" s="77"/>
      <c r="AS2667" s="77"/>
      <c r="AT2667" s="77"/>
      <c r="AU2667" s="77"/>
      <c r="AV2667" s="80" t="str">
        <f>HYPERLINK("https://pbs.twimg.com/profile_images/1588668531910082561/XEi-lXiu_normal.jpg")</f>
        <v>https://pbs.twimg.com/profile_images/1588668531910082561/XEi-lXiu_normal.jpg</v>
      </c>
      <c r="AW2667" s="82" t="s">
        <v>15751</v>
      </c>
      <c r="AX2667" s="82" t="s">
        <v>15751</v>
      </c>
      <c r="AY2667" s="77"/>
      <c r="AZ2667" s="82" t="s">
        <v>17385</v>
      </c>
      <c r="BA2667" s="82" t="s">
        <v>17385</v>
      </c>
      <c r="BB2667" s="82" t="s">
        <v>17385</v>
      </c>
      <c r="BC2667" s="82" t="s">
        <v>15751</v>
      </c>
      <c r="BD2667" s="82" t="s">
        <v>17667</v>
      </c>
      <c r="BE2667" s="77"/>
      <c r="BF2667" s="77"/>
      <c r="BG2667" s="77"/>
      <c r="BH2667" s="77"/>
      <c r="BI2667" s="77"/>
    </row>
    <row r="2668" spans="1:61" x14ac:dyDescent="0.25">
      <c r="A2668" s="62" t="s">
        <v>646</v>
      </c>
      <c r="B2668" s="62" t="s">
        <v>646</v>
      </c>
      <c r="C2668" s="63"/>
      <c r="D2668" s="64"/>
      <c r="E2668" s="65"/>
      <c r="F2668" s="66"/>
      <c r="G2668" s="63"/>
      <c r="H2668" s="67"/>
      <c r="I2668" s="68"/>
      <c r="J2668" s="68"/>
      <c r="K2668" s="32"/>
      <c r="L2668" s="75">
        <v>2668</v>
      </c>
      <c r="M2668" s="75"/>
      <c r="N2668" s="70"/>
      <c r="O2668" s="77" t="s">
        <v>179</v>
      </c>
      <c r="P2668" s="79">
        <v>45043.959907407407</v>
      </c>
      <c r="Q2668" s="77" t="s">
        <v>3445</v>
      </c>
      <c r="R2668" s="77">
        <v>0</v>
      </c>
      <c r="S2668" s="77">
        <v>0</v>
      </c>
      <c r="T2668" s="77">
        <v>0</v>
      </c>
      <c r="U2668" s="77">
        <v>0</v>
      </c>
      <c r="V2668" s="77">
        <v>52</v>
      </c>
      <c r="W2668" s="82" t="s">
        <v>6382</v>
      </c>
      <c r="X2668" s="80" t="str">
        <f>HYPERLINK("https://tinyurl.com/227uawgh")</f>
        <v>https://tinyurl.com/227uawgh</v>
      </c>
      <c r="Y2668" s="77" t="s">
        <v>7068</v>
      </c>
      <c r="Z2668" s="77"/>
      <c r="AA2668" s="77"/>
      <c r="AB2668" s="77"/>
      <c r="AC2668" s="82" t="s">
        <v>8275</v>
      </c>
      <c r="AD2668" s="77" t="s">
        <v>8278</v>
      </c>
      <c r="AE2668" s="80" t="str">
        <f>HYPERLINK("https://twitter.com/pauta_economica/status/1651723467941634050")</f>
        <v>https://twitter.com/pauta_economica/status/1651723467941634050</v>
      </c>
      <c r="AF2668" s="79">
        <v>45043.959907407407</v>
      </c>
      <c r="AG2668" s="85">
        <v>45043</v>
      </c>
      <c r="AH2668" s="82" t="s">
        <v>10709</v>
      </c>
      <c r="AI2668" s="77" t="b">
        <v>0</v>
      </c>
      <c r="AJ2668" s="77"/>
      <c r="AK2668" s="77"/>
      <c r="AL2668" s="77"/>
      <c r="AM2668" s="77"/>
      <c r="AN2668" s="77"/>
      <c r="AO2668" s="77"/>
      <c r="AP2668" s="77"/>
      <c r="AQ2668" s="77"/>
      <c r="AR2668" s="77"/>
      <c r="AS2668" s="77"/>
      <c r="AT2668" s="77"/>
      <c r="AU2668" s="77"/>
      <c r="AV2668" s="80" t="str">
        <f>HYPERLINK("https://pbs.twimg.com/profile_images/1588668531910082561/XEi-lXiu_normal.jpg")</f>
        <v>https://pbs.twimg.com/profile_images/1588668531910082561/XEi-lXiu_normal.jpg</v>
      </c>
      <c r="AW2668" s="82" t="s">
        <v>15752</v>
      </c>
      <c r="AX2668" s="82" t="s">
        <v>15752</v>
      </c>
      <c r="AY2668" s="77"/>
      <c r="AZ2668" s="82" t="s">
        <v>17385</v>
      </c>
      <c r="BA2668" s="82" t="s">
        <v>17385</v>
      </c>
      <c r="BB2668" s="82" t="s">
        <v>17385</v>
      </c>
      <c r="BC2668" s="82" t="s">
        <v>15752</v>
      </c>
      <c r="BD2668" s="82" t="s">
        <v>17667</v>
      </c>
      <c r="BE2668" s="77"/>
      <c r="BF2668" s="77"/>
      <c r="BG2668" s="77"/>
      <c r="BH2668" s="77"/>
      <c r="BI2668" s="77"/>
    </row>
    <row r="2669" spans="1:61" x14ac:dyDescent="0.25">
      <c r="A2669" s="62" t="s">
        <v>646</v>
      </c>
      <c r="B2669" s="62" t="s">
        <v>646</v>
      </c>
      <c r="C2669" s="63"/>
      <c r="D2669" s="64"/>
      <c r="E2669" s="65"/>
      <c r="F2669" s="66"/>
      <c r="G2669" s="63"/>
      <c r="H2669" s="67"/>
      <c r="I2669" s="68"/>
      <c r="J2669" s="68"/>
      <c r="K2669" s="32"/>
      <c r="L2669" s="75">
        <v>2669</v>
      </c>
      <c r="M2669" s="75"/>
      <c r="N2669" s="70"/>
      <c r="O2669" s="77" t="s">
        <v>179</v>
      </c>
      <c r="P2669" s="79">
        <v>45043.931539351855</v>
      </c>
      <c r="Q2669" s="77" t="s">
        <v>3446</v>
      </c>
      <c r="R2669" s="77">
        <v>0</v>
      </c>
      <c r="S2669" s="77">
        <v>0</v>
      </c>
      <c r="T2669" s="77">
        <v>0</v>
      </c>
      <c r="U2669" s="77">
        <v>0</v>
      </c>
      <c r="V2669" s="77">
        <v>62</v>
      </c>
      <c r="W2669" s="82" t="s">
        <v>6382</v>
      </c>
      <c r="X2669" s="80" t="str">
        <f>HYPERLINK("https://tinyurl.com/28v4455p")</f>
        <v>https://tinyurl.com/28v4455p</v>
      </c>
      <c r="Y2669" s="77" t="s">
        <v>7068</v>
      </c>
      <c r="Z2669" s="77"/>
      <c r="AA2669" s="77"/>
      <c r="AB2669" s="77"/>
      <c r="AC2669" s="82" t="s">
        <v>8275</v>
      </c>
      <c r="AD2669" s="77" t="s">
        <v>8278</v>
      </c>
      <c r="AE2669" s="80" t="str">
        <f>HYPERLINK("https://twitter.com/pauta_economica/status/1651713187027222536")</f>
        <v>https://twitter.com/pauta_economica/status/1651713187027222536</v>
      </c>
      <c r="AF2669" s="79">
        <v>45043.931539351855</v>
      </c>
      <c r="AG2669" s="85">
        <v>45043</v>
      </c>
      <c r="AH2669" s="82" t="s">
        <v>10710</v>
      </c>
      <c r="AI2669" s="77" t="b">
        <v>0</v>
      </c>
      <c r="AJ2669" s="77"/>
      <c r="AK2669" s="77"/>
      <c r="AL2669" s="77"/>
      <c r="AM2669" s="77"/>
      <c r="AN2669" s="77"/>
      <c r="AO2669" s="77"/>
      <c r="AP2669" s="77"/>
      <c r="AQ2669" s="77"/>
      <c r="AR2669" s="77"/>
      <c r="AS2669" s="77"/>
      <c r="AT2669" s="77"/>
      <c r="AU2669" s="77"/>
      <c r="AV2669" s="80" t="str">
        <f>HYPERLINK("https://pbs.twimg.com/profile_images/1588668531910082561/XEi-lXiu_normal.jpg")</f>
        <v>https://pbs.twimg.com/profile_images/1588668531910082561/XEi-lXiu_normal.jpg</v>
      </c>
      <c r="AW2669" s="82" t="s">
        <v>15753</v>
      </c>
      <c r="AX2669" s="82" t="s">
        <v>15753</v>
      </c>
      <c r="AY2669" s="77"/>
      <c r="AZ2669" s="82" t="s">
        <v>17385</v>
      </c>
      <c r="BA2669" s="82" t="s">
        <v>17385</v>
      </c>
      <c r="BB2669" s="82" t="s">
        <v>17385</v>
      </c>
      <c r="BC2669" s="82" t="s">
        <v>15753</v>
      </c>
      <c r="BD2669" s="82" t="s">
        <v>17667</v>
      </c>
      <c r="BE2669" s="77"/>
      <c r="BF2669" s="77"/>
      <c r="BG2669" s="77"/>
      <c r="BH2669" s="77"/>
      <c r="BI2669" s="77"/>
    </row>
    <row r="2670" spans="1:61" x14ac:dyDescent="0.25">
      <c r="A2670" s="62" t="s">
        <v>646</v>
      </c>
      <c r="B2670" s="62" t="s">
        <v>646</v>
      </c>
      <c r="C2670" s="63"/>
      <c r="D2670" s="64"/>
      <c r="E2670" s="65"/>
      <c r="F2670" s="66"/>
      <c r="G2670" s="63"/>
      <c r="H2670" s="67"/>
      <c r="I2670" s="68"/>
      <c r="J2670" s="68"/>
      <c r="K2670" s="32"/>
      <c r="L2670" s="75">
        <v>2670</v>
      </c>
      <c r="M2670" s="75"/>
      <c r="N2670" s="70"/>
      <c r="O2670" s="77" t="s">
        <v>179</v>
      </c>
      <c r="P2670" s="79">
        <v>45043.903738425928</v>
      </c>
      <c r="Q2670" s="77" t="s">
        <v>3447</v>
      </c>
      <c r="R2670" s="77">
        <v>0</v>
      </c>
      <c r="S2670" s="77">
        <v>0</v>
      </c>
      <c r="T2670" s="77">
        <v>0</v>
      </c>
      <c r="U2670" s="77">
        <v>0</v>
      </c>
      <c r="V2670" s="77">
        <v>28</v>
      </c>
      <c r="W2670" s="82" t="s">
        <v>6382</v>
      </c>
      <c r="X2670" s="80" t="str">
        <f>HYPERLINK("https://tinyurl.com/2cq7ktos")</f>
        <v>https://tinyurl.com/2cq7ktos</v>
      </c>
      <c r="Y2670" s="77" t="s">
        <v>7068</v>
      </c>
      <c r="Z2670" s="77"/>
      <c r="AA2670" s="77"/>
      <c r="AB2670" s="77"/>
      <c r="AC2670" s="82" t="s">
        <v>8275</v>
      </c>
      <c r="AD2670" s="77" t="s">
        <v>8278</v>
      </c>
      <c r="AE2670" s="80" t="str">
        <f>HYPERLINK("https://twitter.com/pauta_economica/status/1651703110383935488")</f>
        <v>https://twitter.com/pauta_economica/status/1651703110383935488</v>
      </c>
      <c r="AF2670" s="79">
        <v>45043.903738425928</v>
      </c>
      <c r="AG2670" s="85">
        <v>45043</v>
      </c>
      <c r="AH2670" s="82" t="s">
        <v>10711</v>
      </c>
      <c r="AI2670" s="77" t="b">
        <v>0</v>
      </c>
      <c r="AJ2670" s="77"/>
      <c r="AK2670" s="77"/>
      <c r="AL2670" s="77"/>
      <c r="AM2670" s="77"/>
      <c r="AN2670" s="77"/>
      <c r="AO2670" s="77"/>
      <c r="AP2670" s="77"/>
      <c r="AQ2670" s="77"/>
      <c r="AR2670" s="77"/>
      <c r="AS2670" s="77"/>
      <c r="AT2670" s="77"/>
      <c r="AU2670" s="77"/>
      <c r="AV2670" s="80" t="str">
        <f>HYPERLINK("https://pbs.twimg.com/profile_images/1588668531910082561/XEi-lXiu_normal.jpg")</f>
        <v>https://pbs.twimg.com/profile_images/1588668531910082561/XEi-lXiu_normal.jpg</v>
      </c>
      <c r="AW2670" s="82" t="s">
        <v>15754</v>
      </c>
      <c r="AX2670" s="82" t="s">
        <v>15754</v>
      </c>
      <c r="AY2670" s="77"/>
      <c r="AZ2670" s="82" t="s">
        <v>17385</v>
      </c>
      <c r="BA2670" s="82" t="s">
        <v>17385</v>
      </c>
      <c r="BB2670" s="82" t="s">
        <v>17385</v>
      </c>
      <c r="BC2670" s="82" t="s">
        <v>15754</v>
      </c>
      <c r="BD2670" s="82" t="s">
        <v>17667</v>
      </c>
      <c r="BE2670" s="77"/>
      <c r="BF2670" s="77"/>
      <c r="BG2670" s="77"/>
      <c r="BH2670" s="77"/>
      <c r="BI2670" s="77"/>
    </row>
    <row r="2671" spans="1:61" x14ac:dyDescent="0.25">
      <c r="A2671" s="62" t="s">
        <v>646</v>
      </c>
      <c r="B2671" s="62" t="s">
        <v>646</v>
      </c>
      <c r="C2671" s="63"/>
      <c r="D2671" s="64"/>
      <c r="E2671" s="65"/>
      <c r="F2671" s="66"/>
      <c r="G2671" s="63"/>
      <c r="H2671" s="67"/>
      <c r="I2671" s="68"/>
      <c r="J2671" s="68"/>
      <c r="K2671" s="32"/>
      <c r="L2671" s="75">
        <v>2671</v>
      </c>
      <c r="M2671" s="75"/>
      <c r="N2671" s="70"/>
      <c r="O2671" s="77" t="s">
        <v>179</v>
      </c>
      <c r="P2671" s="79">
        <v>45043.875960648147</v>
      </c>
      <c r="Q2671" s="77" t="s">
        <v>3448</v>
      </c>
      <c r="R2671" s="77">
        <v>0</v>
      </c>
      <c r="S2671" s="77">
        <v>0</v>
      </c>
      <c r="T2671" s="77">
        <v>0</v>
      </c>
      <c r="U2671" s="77">
        <v>0</v>
      </c>
      <c r="V2671" s="77">
        <v>88</v>
      </c>
      <c r="W2671" s="82" t="s">
        <v>6382</v>
      </c>
      <c r="X2671" s="80" t="str">
        <f>HYPERLINK("https://tinyurl.com/2btmrsvu")</f>
        <v>https://tinyurl.com/2btmrsvu</v>
      </c>
      <c r="Y2671" s="77" t="s">
        <v>7068</v>
      </c>
      <c r="Z2671" s="77"/>
      <c r="AA2671" s="77"/>
      <c r="AB2671" s="77"/>
      <c r="AC2671" s="82" t="s">
        <v>8275</v>
      </c>
      <c r="AD2671" s="77" t="s">
        <v>8278</v>
      </c>
      <c r="AE2671" s="80" t="str">
        <f>HYPERLINK("https://twitter.com/pauta_economica/status/1651693043857096706")</f>
        <v>https://twitter.com/pauta_economica/status/1651693043857096706</v>
      </c>
      <c r="AF2671" s="79">
        <v>45043.875960648147</v>
      </c>
      <c r="AG2671" s="85">
        <v>45043</v>
      </c>
      <c r="AH2671" s="82" t="s">
        <v>10712</v>
      </c>
      <c r="AI2671" s="77" t="b">
        <v>0</v>
      </c>
      <c r="AJ2671" s="77"/>
      <c r="AK2671" s="77"/>
      <c r="AL2671" s="77"/>
      <c r="AM2671" s="77"/>
      <c r="AN2671" s="77"/>
      <c r="AO2671" s="77"/>
      <c r="AP2671" s="77"/>
      <c r="AQ2671" s="77"/>
      <c r="AR2671" s="77"/>
      <c r="AS2671" s="77"/>
      <c r="AT2671" s="77"/>
      <c r="AU2671" s="77"/>
      <c r="AV2671" s="80" t="str">
        <f>HYPERLINK("https://pbs.twimg.com/profile_images/1588668531910082561/XEi-lXiu_normal.jpg")</f>
        <v>https://pbs.twimg.com/profile_images/1588668531910082561/XEi-lXiu_normal.jpg</v>
      </c>
      <c r="AW2671" s="82" t="s">
        <v>15755</v>
      </c>
      <c r="AX2671" s="82" t="s">
        <v>15755</v>
      </c>
      <c r="AY2671" s="77"/>
      <c r="AZ2671" s="82" t="s">
        <v>17385</v>
      </c>
      <c r="BA2671" s="82" t="s">
        <v>17385</v>
      </c>
      <c r="BB2671" s="82" t="s">
        <v>17385</v>
      </c>
      <c r="BC2671" s="82" t="s">
        <v>15755</v>
      </c>
      <c r="BD2671" s="82" t="s">
        <v>17667</v>
      </c>
      <c r="BE2671" s="77"/>
      <c r="BF2671" s="77"/>
      <c r="BG2671" s="77"/>
      <c r="BH2671" s="77"/>
      <c r="BI2671" s="77"/>
    </row>
    <row r="2672" spans="1:61" x14ac:dyDescent="0.25">
      <c r="A2672" s="62" t="s">
        <v>646</v>
      </c>
      <c r="B2672" s="62" t="s">
        <v>646</v>
      </c>
      <c r="C2672" s="63"/>
      <c r="D2672" s="64"/>
      <c r="E2672" s="65"/>
      <c r="F2672" s="66"/>
      <c r="G2672" s="63"/>
      <c r="H2672" s="67"/>
      <c r="I2672" s="68"/>
      <c r="J2672" s="68"/>
      <c r="K2672" s="32"/>
      <c r="L2672" s="75">
        <v>2672</v>
      </c>
      <c r="M2672" s="75"/>
      <c r="N2672" s="70"/>
      <c r="O2672" s="77" t="s">
        <v>179</v>
      </c>
      <c r="P2672" s="79">
        <v>45043.820347222223</v>
      </c>
      <c r="Q2672" s="77" t="s">
        <v>3449</v>
      </c>
      <c r="R2672" s="77">
        <v>0</v>
      </c>
      <c r="S2672" s="77">
        <v>0</v>
      </c>
      <c r="T2672" s="77">
        <v>0</v>
      </c>
      <c r="U2672" s="77">
        <v>0</v>
      </c>
      <c r="V2672" s="77">
        <v>29</v>
      </c>
      <c r="W2672" s="82" t="s">
        <v>6382</v>
      </c>
      <c r="X2672" s="80" t="str">
        <f>HYPERLINK("https://tinyurl.com/2b5juaw7")</f>
        <v>https://tinyurl.com/2b5juaw7</v>
      </c>
      <c r="Y2672" s="77" t="s">
        <v>7068</v>
      </c>
      <c r="Z2672" s="77"/>
      <c r="AA2672" s="77"/>
      <c r="AB2672" s="77"/>
      <c r="AC2672" s="82" t="s">
        <v>8275</v>
      </c>
      <c r="AD2672" s="77" t="s">
        <v>8278</v>
      </c>
      <c r="AE2672" s="80" t="str">
        <f>HYPERLINK("https://twitter.com/pauta_economica/status/1651672890025078804")</f>
        <v>https://twitter.com/pauta_economica/status/1651672890025078804</v>
      </c>
      <c r="AF2672" s="79">
        <v>45043.820347222223</v>
      </c>
      <c r="AG2672" s="85">
        <v>45043</v>
      </c>
      <c r="AH2672" s="82" t="s">
        <v>10713</v>
      </c>
      <c r="AI2672" s="77" t="b">
        <v>0</v>
      </c>
      <c r="AJ2672" s="77"/>
      <c r="AK2672" s="77"/>
      <c r="AL2672" s="77"/>
      <c r="AM2672" s="77"/>
      <c r="AN2672" s="77"/>
      <c r="AO2672" s="77"/>
      <c r="AP2672" s="77"/>
      <c r="AQ2672" s="77"/>
      <c r="AR2672" s="77"/>
      <c r="AS2672" s="77"/>
      <c r="AT2672" s="77"/>
      <c r="AU2672" s="77"/>
      <c r="AV2672" s="80" t="str">
        <f>HYPERLINK("https://pbs.twimg.com/profile_images/1588668531910082561/XEi-lXiu_normal.jpg")</f>
        <v>https://pbs.twimg.com/profile_images/1588668531910082561/XEi-lXiu_normal.jpg</v>
      </c>
      <c r="AW2672" s="82" t="s">
        <v>15756</v>
      </c>
      <c r="AX2672" s="82" t="s">
        <v>15756</v>
      </c>
      <c r="AY2672" s="77"/>
      <c r="AZ2672" s="82" t="s">
        <v>17385</v>
      </c>
      <c r="BA2672" s="82" t="s">
        <v>17385</v>
      </c>
      <c r="BB2672" s="82" t="s">
        <v>17385</v>
      </c>
      <c r="BC2672" s="82" t="s">
        <v>15756</v>
      </c>
      <c r="BD2672" s="82" t="s">
        <v>17667</v>
      </c>
      <c r="BE2672" s="77"/>
      <c r="BF2672" s="77"/>
      <c r="BG2672" s="77"/>
      <c r="BH2672" s="77"/>
      <c r="BI2672" s="77"/>
    </row>
    <row r="2673" spans="1:61" x14ac:dyDescent="0.25">
      <c r="A2673" s="62" t="s">
        <v>646</v>
      </c>
      <c r="B2673" s="62" t="s">
        <v>646</v>
      </c>
      <c r="C2673" s="63"/>
      <c r="D2673" s="64"/>
      <c r="E2673" s="65"/>
      <c r="F2673" s="66"/>
      <c r="G2673" s="63"/>
      <c r="H2673" s="67"/>
      <c r="I2673" s="68"/>
      <c r="J2673" s="68"/>
      <c r="K2673" s="32"/>
      <c r="L2673" s="75">
        <v>2673</v>
      </c>
      <c r="M2673" s="75"/>
      <c r="N2673" s="70"/>
      <c r="O2673" s="77" t="s">
        <v>179</v>
      </c>
      <c r="P2673" s="79">
        <v>45043.792569444442</v>
      </c>
      <c r="Q2673" s="77" t="s">
        <v>3450</v>
      </c>
      <c r="R2673" s="77">
        <v>0</v>
      </c>
      <c r="S2673" s="77">
        <v>0</v>
      </c>
      <c r="T2673" s="77">
        <v>0</v>
      </c>
      <c r="U2673" s="77">
        <v>0</v>
      </c>
      <c r="V2673" s="77">
        <v>24</v>
      </c>
      <c r="W2673" s="82" t="s">
        <v>6382</v>
      </c>
      <c r="X2673" s="80" t="str">
        <f>HYPERLINK("https://tinyurl.com/24xswapf")</f>
        <v>https://tinyurl.com/24xswapf</v>
      </c>
      <c r="Y2673" s="77" t="s">
        <v>7068</v>
      </c>
      <c r="Z2673" s="77"/>
      <c r="AA2673" s="77"/>
      <c r="AB2673" s="77"/>
      <c r="AC2673" s="82" t="s">
        <v>8275</v>
      </c>
      <c r="AD2673" s="77" t="s">
        <v>8278</v>
      </c>
      <c r="AE2673" s="80" t="str">
        <f>HYPERLINK("https://twitter.com/pauta_economica/status/1651662824714674197")</f>
        <v>https://twitter.com/pauta_economica/status/1651662824714674197</v>
      </c>
      <c r="AF2673" s="79">
        <v>45043.792569444442</v>
      </c>
      <c r="AG2673" s="85">
        <v>45043</v>
      </c>
      <c r="AH2673" s="82" t="s">
        <v>10714</v>
      </c>
      <c r="AI2673" s="77" t="b">
        <v>0</v>
      </c>
      <c r="AJ2673" s="77"/>
      <c r="AK2673" s="77"/>
      <c r="AL2673" s="77"/>
      <c r="AM2673" s="77"/>
      <c r="AN2673" s="77"/>
      <c r="AO2673" s="77"/>
      <c r="AP2673" s="77"/>
      <c r="AQ2673" s="77"/>
      <c r="AR2673" s="77"/>
      <c r="AS2673" s="77"/>
      <c r="AT2673" s="77"/>
      <c r="AU2673" s="77"/>
      <c r="AV2673" s="80" t="str">
        <f>HYPERLINK("https://pbs.twimg.com/profile_images/1588668531910082561/XEi-lXiu_normal.jpg")</f>
        <v>https://pbs.twimg.com/profile_images/1588668531910082561/XEi-lXiu_normal.jpg</v>
      </c>
      <c r="AW2673" s="82" t="s">
        <v>15757</v>
      </c>
      <c r="AX2673" s="82" t="s">
        <v>15757</v>
      </c>
      <c r="AY2673" s="77"/>
      <c r="AZ2673" s="82" t="s">
        <v>17385</v>
      </c>
      <c r="BA2673" s="82" t="s">
        <v>17385</v>
      </c>
      <c r="BB2673" s="82" t="s">
        <v>17385</v>
      </c>
      <c r="BC2673" s="82" t="s">
        <v>15757</v>
      </c>
      <c r="BD2673" s="82" t="s">
        <v>17667</v>
      </c>
      <c r="BE2673" s="77"/>
      <c r="BF2673" s="77"/>
      <c r="BG2673" s="77"/>
      <c r="BH2673" s="77"/>
      <c r="BI2673" s="77"/>
    </row>
    <row r="2674" spans="1:61" x14ac:dyDescent="0.25">
      <c r="A2674" s="62" t="s">
        <v>646</v>
      </c>
      <c r="B2674" s="62" t="s">
        <v>646</v>
      </c>
      <c r="C2674" s="63"/>
      <c r="D2674" s="64"/>
      <c r="E2674" s="65"/>
      <c r="F2674" s="66"/>
      <c r="G2674" s="63"/>
      <c r="H2674" s="67"/>
      <c r="I2674" s="68"/>
      <c r="J2674" s="68"/>
      <c r="K2674" s="32"/>
      <c r="L2674" s="75">
        <v>2674</v>
      </c>
      <c r="M2674" s="75"/>
      <c r="N2674" s="70"/>
      <c r="O2674" s="77" t="s">
        <v>179</v>
      </c>
      <c r="P2674" s="79">
        <v>45043.764791666668</v>
      </c>
      <c r="Q2674" s="77" t="s">
        <v>3451</v>
      </c>
      <c r="R2674" s="77">
        <v>0</v>
      </c>
      <c r="S2674" s="77">
        <v>0</v>
      </c>
      <c r="T2674" s="77">
        <v>0</v>
      </c>
      <c r="U2674" s="77">
        <v>0</v>
      </c>
      <c r="V2674" s="77">
        <v>27</v>
      </c>
      <c r="W2674" s="82" t="s">
        <v>6382</v>
      </c>
      <c r="X2674" s="80" t="str">
        <f>HYPERLINK("https://tinyurl.com/2y38e969")</f>
        <v>https://tinyurl.com/2y38e969</v>
      </c>
      <c r="Y2674" s="77" t="s">
        <v>7068</v>
      </c>
      <c r="Z2674" s="77"/>
      <c r="AA2674" s="77"/>
      <c r="AB2674" s="77"/>
      <c r="AC2674" s="82" t="s">
        <v>8275</v>
      </c>
      <c r="AD2674" s="77" t="s">
        <v>8278</v>
      </c>
      <c r="AE2674" s="80" t="str">
        <f>HYPERLINK("https://twitter.com/pauta_economica/status/1651652756606689309")</f>
        <v>https://twitter.com/pauta_economica/status/1651652756606689309</v>
      </c>
      <c r="AF2674" s="79">
        <v>45043.764791666668</v>
      </c>
      <c r="AG2674" s="85">
        <v>45043</v>
      </c>
      <c r="AH2674" s="82" t="s">
        <v>10715</v>
      </c>
      <c r="AI2674" s="77" t="b">
        <v>0</v>
      </c>
      <c r="AJ2674" s="77"/>
      <c r="AK2674" s="77"/>
      <c r="AL2674" s="77"/>
      <c r="AM2674" s="77"/>
      <c r="AN2674" s="77"/>
      <c r="AO2674" s="77"/>
      <c r="AP2674" s="77"/>
      <c r="AQ2674" s="77"/>
      <c r="AR2674" s="77"/>
      <c r="AS2674" s="77"/>
      <c r="AT2674" s="77"/>
      <c r="AU2674" s="77"/>
      <c r="AV2674" s="80" t="str">
        <f>HYPERLINK("https://pbs.twimg.com/profile_images/1588668531910082561/XEi-lXiu_normal.jpg")</f>
        <v>https://pbs.twimg.com/profile_images/1588668531910082561/XEi-lXiu_normal.jpg</v>
      </c>
      <c r="AW2674" s="82" t="s">
        <v>15758</v>
      </c>
      <c r="AX2674" s="82" t="s">
        <v>15758</v>
      </c>
      <c r="AY2674" s="77"/>
      <c r="AZ2674" s="82" t="s">
        <v>17385</v>
      </c>
      <c r="BA2674" s="82" t="s">
        <v>17385</v>
      </c>
      <c r="BB2674" s="82" t="s">
        <v>17385</v>
      </c>
      <c r="BC2674" s="82" t="s">
        <v>15758</v>
      </c>
      <c r="BD2674" s="82" t="s">
        <v>17667</v>
      </c>
      <c r="BE2674" s="77"/>
      <c r="BF2674" s="77"/>
      <c r="BG2674" s="77"/>
      <c r="BH2674" s="77"/>
      <c r="BI2674" s="77"/>
    </row>
    <row r="2675" spans="1:61" x14ac:dyDescent="0.25">
      <c r="A2675" s="62" t="s">
        <v>646</v>
      </c>
      <c r="B2675" s="62" t="s">
        <v>646</v>
      </c>
      <c r="C2675" s="63"/>
      <c r="D2675" s="64"/>
      <c r="E2675" s="65"/>
      <c r="F2675" s="66"/>
      <c r="G2675" s="63"/>
      <c r="H2675" s="67"/>
      <c r="I2675" s="68"/>
      <c r="J2675" s="68"/>
      <c r="K2675" s="32"/>
      <c r="L2675" s="75">
        <v>2675</v>
      </c>
      <c r="M2675" s="75"/>
      <c r="N2675" s="70"/>
      <c r="O2675" s="77" t="s">
        <v>179</v>
      </c>
      <c r="P2675" s="79">
        <v>45043.746782407405</v>
      </c>
      <c r="Q2675" s="77" t="s">
        <v>3452</v>
      </c>
      <c r="R2675" s="77">
        <v>0</v>
      </c>
      <c r="S2675" s="77">
        <v>0</v>
      </c>
      <c r="T2675" s="77">
        <v>0</v>
      </c>
      <c r="U2675" s="77">
        <v>0</v>
      </c>
      <c r="V2675" s="77">
        <v>23</v>
      </c>
      <c r="W2675" s="82" t="s">
        <v>6382</v>
      </c>
      <c r="X2675" s="80" t="str">
        <f>HYPERLINK("https://tinyurl.com/2yj424kx")</f>
        <v>https://tinyurl.com/2yj424kx</v>
      </c>
      <c r="Y2675" s="77" t="s">
        <v>7068</v>
      </c>
      <c r="Z2675" s="77"/>
      <c r="AA2675" s="77"/>
      <c r="AB2675" s="77"/>
      <c r="AC2675" s="82" t="s">
        <v>8275</v>
      </c>
      <c r="AD2675" s="77" t="s">
        <v>8278</v>
      </c>
      <c r="AE2675" s="80" t="str">
        <f>HYPERLINK("https://twitter.com/pauta_economica/status/1651646231104421890")</f>
        <v>https://twitter.com/pauta_economica/status/1651646231104421890</v>
      </c>
      <c r="AF2675" s="79">
        <v>45043.746782407405</v>
      </c>
      <c r="AG2675" s="85">
        <v>45043</v>
      </c>
      <c r="AH2675" s="82" t="s">
        <v>10716</v>
      </c>
      <c r="AI2675" s="77" t="b">
        <v>0</v>
      </c>
      <c r="AJ2675" s="77"/>
      <c r="AK2675" s="77"/>
      <c r="AL2675" s="77"/>
      <c r="AM2675" s="77"/>
      <c r="AN2675" s="77"/>
      <c r="AO2675" s="77"/>
      <c r="AP2675" s="77"/>
      <c r="AQ2675" s="77"/>
      <c r="AR2675" s="77"/>
      <c r="AS2675" s="77"/>
      <c r="AT2675" s="77"/>
      <c r="AU2675" s="77"/>
      <c r="AV2675" s="80" t="str">
        <f>HYPERLINK("https://pbs.twimg.com/profile_images/1588668531910082561/XEi-lXiu_normal.jpg")</f>
        <v>https://pbs.twimg.com/profile_images/1588668531910082561/XEi-lXiu_normal.jpg</v>
      </c>
      <c r="AW2675" s="82" t="s">
        <v>15759</v>
      </c>
      <c r="AX2675" s="82" t="s">
        <v>15759</v>
      </c>
      <c r="AY2675" s="77"/>
      <c r="AZ2675" s="82" t="s">
        <v>17385</v>
      </c>
      <c r="BA2675" s="82" t="s">
        <v>17385</v>
      </c>
      <c r="BB2675" s="82" t="s">
        <v>17385</v>
      </c>
      <c r="BC2675" s="82" t="s">
        <v>15759</v>
      </c>
      <c r="BD2675" s="82" t="s">
        <v>17667</v>
      </c>
      <c r="BE2675" s="77"/>
      <c r="BF2675" s="77"/>
      <c r="BG2675" s="77"/>
      <c r="BH2675" s="77"/>
      <c r="BI2675" s="77"/>
    </row>
    <row r="2676" spans="1:61" x14ac:dyDescent="0.25">
      <c r="A2676" s="62" t="s">
        <v>646</v>
      </c>
      <c r="B2676" s="62" t="s">
        <v>646</v>
      </c>
      <c r="C2676" s="63"/>
      <c r="D2676" s="64"/>
      <c r="E2676" s="65"/>
      <c r="F2676" s="66"/>
      <c r="G2676" s="63"/>
      <c r="H2676" s="67"/>
      <c r="I2676" s="68"/>
      <c r="J2676" s="68"/>
      <c r="K2676" s="32"/>
      <c r="L2676" s="75">
        <v>2676</v>
      </c>
      <c r="M2676" s="75"/>
      <c r="N2676" s="70"/>
      <c r="O2676" s="77" t="s">
        <v>179</v>
      </c>
      <c r="P2676" s="79">
        <v>45043.739421296297</v>
      </c>
      <c r="Q2676" s="77" t="s">
        <v>3453</v>
      </c>
      <c r="R2676" s="77">
        <v>0</v>
      </c>
      <c r="S2676" s="77">
        <v>0</v>
      </c>
      <c r="T2676" s="77">
        <v>0</v>
      </c>
      <c r="U2676" s="77">
        <v>0</v>
      </c>
      <c r="V2676" s="77">
        <v>23</v>
      </c>
      <c r="W2676" s="82" t="s">
        <v>6382</v>
      </c>
      <c r="X2676" s="80" t="str">
        <f>HYPERLINK("https://tinyurl.com/2642yxkh")</f>
        <v>https://tinyurl.com/2642yxkh</v>
      </c>
      <c r="Y2676" s="77" t="s">
        <v>7068</v>
      </c>
      <c r="Z2676" s="77"/>
      <c r="AA2676" s="77"/>
      <c r="AB2676" s="77"/>
      <c r="AC2676" s="82" t="s">
        <v>8275</v>
      </c>
      <c r="AD2676" s="77" t="s">
        <v>8278</v>
      </c>
      <c r="AE2676" s="80" t="str">
        <f>HYPERLINK("https://twitter.com/pauta_economica/status/1651643566588928003")</f>
        <v>https://twitter.com/pauta_economica/status/1651643566588928003</v>
      </c>
      <c r="AF2676" s="79">
        <v>45043.739421296297</v>
      </c>
      <c r="AG2676" s="85">
        <v>45043</v>
      </c>
      <c r="AH2676" s="82" t="s">
        <v>10717</v>
      </c>
      <c r="AI2676" s="77" t="b">
        <v>0</v>
      </c>
      <c r="AJ2676" s="77"/>
      <c r="AK2676" s="77"/>
      <c r="AL2676" s="77"/>
      <c r="AM2676" s="77"/>
      <c r="AN2676" s="77"/>
      <c r="AO2676" s="77"/>
      <c r="AP2676" s="77"/>
      <c r="AQ2676" s="77"/>
      <c r="AR2676" s="77"/>
      <c r="AS2676" s="77"/>
      <c r="AT2676" s="77"/>
      <c r="AU2676" s="77"/>
      <c r="AV2676" s="80" t="str">
        <f>HYPERLINK("https://pbs.twimg.com/profile_images/1588668531910082561/XEi-lXiu_normal.jpg")</f>
        <v>https://pbs.twimg.com/profile_images/1588668531910082561/XEi-lXiu_normal.jpg</v>
      </c>
      <c r="AW2676" s="82" t="s">
        <v>15760</v>
      </c>
      <c r="AX2676" s="82" t="s">
        <v>15760</v>
      </c>
      <c r="AY2676" s="77"/>
      <c r="AZ2676" s="82" t="s">
        <v>17385</v>
      </c>
      <c r="BA2676" s="82" t="s">
        <v>17385</v>
      </c>
      <c r="BB2676" s="82" t="s">
        <v>17385</v>
      </c>
      <c r="BC2676" s="82" t="s">
        <v>15760</v>
      </c>
      <c r="BD2676" s="82" t="s">
        <v>17667</v>
      </c>
      <c r="BE2676" s="77"/>
      <c r="BF2676" s="77"/>
      <c r="BG2676" s="77"/>
      <c r="BH2676" s="77"/>
      <c r="BI2676" s="77"/>
    </row>
    <row r="2677" spans="1:61" x14ac:dyDescent="0.25">
      <c r="A2677" s="62" t="s">
        <v>646</v>
      </c>
      <c r="B2677" s="62" t="s">
        <v>646</v>
      </c>
      <c r="C2677" s="63"/>
      <c r="D2677" s="64"/>
      <c r="E2677" s="65"/>
      <c r="F2677" s="66"/>
      <c r="G2677" s="63"/>
      <c r="H2677" s="67"/>
      <c r="I2677" s="68"/>
      <c r="J2677" s="68"/>
      <c r="K2677" s="32"/>
      <c r="L2677" s="75">
        <v>2677</v>
      </c>
      <c r="M2677" s="75"/>
      <c r="N2677" s="70"/>
      <c r="O2677" s="77" t="s">
        <v>179</v>
      </c>
      <c r="P2677" s="79">
        <v>45190.556967592594</v>
      </c>
      <c r="Q2677" s="77" t="s">
        <v>3454</v>
      </c>
      <c r="R2677" s="77">
        <v>1</v>
      </c>
      <c r="S2677" s="77">
        <v>1</v>
      </c>
      <c r="T2677" s="77">
        <v>0</v>
      </c>
      <c r="U2677" s="77">
        <v>0</v>
      </c>
      <c r="V2677" s="77">
        <v>207</v>
      </c>
      <c r="W2677" s="82" t="s">
        <v>6382</v>
      </c>
      <c r="X2677" s="80" t="str">
        <f>HYPERLINK("https://tinyurl.com/27956e98")</f>
        <v>https://tinyurl.com/27956e98</v>
      </c>
      <c r="Y2677" s="77" t="s">
        <v>7068</v>
      </c>
      <c r="Z2677" s="77"/>
      <c r="AA2677" s="77"/>
      <c r="AB2677" s="77"/>
      <c r="AC2677" s="82" t="s">
        <v>8276</v>
      </c>
      <c r="AD2677" s="77" t="s">
        <v>8278</v>
      </c>
      <c r="AE2677" s="80" t="str">
        <f>HYPERLINK("https://twitter.com/pauta_economica/status/1704848463739888049")</f>
        <v>https://twitter.com/pauta_economica/status/1704848463739888049</v>
      </c>
      <c r="AF2677" s="79">
        <v>45190.556967592594</v>
      </c>
      <c r="AG2677" s="85">
        <v>45190</v>
      </c>
      <c r="AH2677" s="82" t="s">
        <v>10718</v>
      </c>
      <c r="AI2677" s="77" t="b">
        <v>0</v>
      </c>
      <c r="AJ2677" s="77"/>
      <c r="AK2677" s="77"/>
      <c r="AL2677" s="77"/>
      <c r="AM2677" s="77"/>
      <c r="AN2677" s="77"/>
      <c r="AO2677" s="77"/>
      <c r="AP2677" s="77"/>
      <c r="AQ2677" s="77"/>
      <c r="AR2677" s="77"/>
      <c r="AS2677" s="77"/>
      <c r="AT2677" s="77"/>
      <c r="AU2677" s="77"/>
      <c r="AV2677" s="80" t="str">
        <f>HYPERLINK("https://pbs.twimg.com/profile_images/1588668531910082561/XEi-lXiu_normal.jpg")</f>
        <v>https://pbs.twimg.com/profile_images/1588668531910082561/XEi-lXiu_normal.jpg</v>
      </c>
      <c r="AW2677" s="82" t="s">
        <v>15761</v>
      </c>
      <c r="AX2677" s="82" t="s">
        <v>15761</v>
      </c>
      <c r="AY2677" s="77"/>
      <c r="AZ2677" s="82" t="s">
        <v>17385</v>
      </c>
      <c r="BA2677" s="82" t="s">
        <v>17385</v>
      </c>
      <c r="BB2677" s="82" t="s">
        <v>17385</v>
      </c>
      <c r="BC2677" s="82" t="s">
        <v>15761</v>
      </c>
      <c r="BD2677" s="82" t="s">
        <v>17667</v>
      </c>
      <c r="BE2677" s="77"/>
      <c r="BF2677" s="77"/>
      <c r="BG2677" s="77"/>
      <c r="BH2677" s="77"/>
      <c r="BI2677" s="77"/>
    </row>
    <row r="2678" spans="1:61" x14ac:dyDescent="0.25">
      <c r="A2678" s="62" t="s">
        <v>646</v>
      </c>
      <c r="B2678" s="62" t="s">
        <v>646</v>
      </c>
      <c r="C2678" s="63"/>
      <c r="D2678" s="64"/>
      <c r="E2678" s="65"/>
      <c r="F2678" s="66"/>
      <c r="G2678" s="63"/>
      <c r="H2678" s="67"/>
      <c r="I2678" s="68"/>
      <c r="J2678" s="68"/>
      <c r="K2678" s="32"/>
      <c r="L2678" s="75">
        <v>2678</v>
      </c>
      <c r="M2678" s="75"/>
      <c r="N2678" s="70"/>
      <c r="O2678" s="77" t="s">
        <v>179</v>
      </c>
      <c r="P2678" s="79">
        <v>45190.550034722219</v>
      </c>
      <c r="Q2678" s="77" t="s">
        <v>3455</v>
      </c>
      <c r="R2678" s="77">
        <v>0</v>
      </c>
      <c r="S2678" s="77">
        <v>0</v>
      </c>
      <c r="T2678" s="77">
        <v>0</v>
      </c>
      <c r="U2678" s="77">
        <v>0</v>
      </c>
      <c r="V2678" s="77">
        <v>39</v>
      </c>
      <c r="W2678" s="82" t="s">
        <v>6382</v>
      </c>
      <c r="X2678" s="80" t="str">
        <f>HYPERLINK("https://tinyurl.com/2ar4emnm")</f>
        <v>https://tinyurl.com/2ar4emnm</v>
      </c>
      <c r="Y2678" s="77" t="s">
        <v>7068</v>
      </c>
      <c r="Z2678" s="77"/>
      <c r="AA2678" s="77"/>
      <c r="AB2678" s="77"/>
      <c r="AC2678" s="82" t="s">
        <v>8276</v>
      </c>
      <c r="AD2678" s="77" t="s">
        <v>8278</v>
      </c>
      <c r="AE2678" s="80" t="str">
        <f>HYPERLINK("https://twitter.com/pauta_economica/status/1704845947799220329")</f>
        <v>https://twitter.com/pauta_economica/status/1704845947799220329</v>
      </c>
      <c r="AF2678" s="79">
        <v>45190.550034722219</v>
      </c>
      <c r="AG2678" s="85">
        <v>45190</v>
      </c>
      <c r="AH2678" s="82" t="s">
        <v>10719</v>
      </c>
      <c r="AI2678" s="77" t="b">
        <v>0</v>
      </c>
      <c r="AJ2678" s="77"/>
      <c r="AK2678" s="77"/>
      <c r="AL2678" s="77"/>
      <c r="AM2678" s="77"/>
      <c r="AN2678" s="77"/>
      <c r="AO2678" s="77"/>
      <c r="AP2678" s="77"/>
      <c r="AQ2678" s="77"/>
      <c r="AR2678" s="77"/>
      <c r="AS2678" s="77"/>
      <c r="AT2678" s="77"/>
      <c r="AU2678" s="77"/>
      <c r="AV2678" s="80" t="str">
        <f>HYPERLINK("https://pbs.twimg.com/profile_images/1588668531910082561/XEi-lXiu_normal.jpg")</f>
        <v>https://pbs.twimg.com/profile_images/1588668531910082561/XEi-lXiu_normal.jpg</v>
      </c>
      <c r="AW2678" s="82" t="s">
        <v>15762</v>
      </c>
      <c r="AX2678" s="82" t="s">
        <v>15762</v>
      </c>
      <c r="AY2678" s="77"/>
      <c r="AZ2678" s="82" t="s">
        <v>17385</v>
      </c>
      <c r="BA2678" s="82" t="s">
        <v>17385</v>
      </c>
      <c r="BB2678" s="82" t="s">
        <v>17385</v>
      </c>
      <c r="BC2678" s="82" t="s">
        <v>15762</v>
      </c>
      <c r="BD2678" s="82" t="s">
        <v>17667</v>
      </c>
      <c r="BE2678" s="77"/>
      <c r="BF2678" s="77"/>
      <c r="BG2678" s="77"/>
      <c r="BH2678" s="77"/>
      <c r="BI2678" s="77"/>
    </row>
    <row r="2679" spans="1:61" x14ac:dyDescent="0.25">
      <c r="A2679" s="62" t="s">
        <v>646</v>
      </c>
      <c r="B2679" s="62" t="s">
        <v>646</v>
      </c>
      <c r="C2679" s="63"/>
      <c r="D2679" s="64"/>
      <c r="E2679" s="65"/>
      <c r="F2679" s="66"/>
      <c r="G2679" s="63"/>
      <c r="H2679" s="67"/>
      <c r="I2679" s="68"/>
      <c r="J2679" s="68"/>
      <c r="K2679" s="32"/>
      <c r="L2679" s="75">
        <v>2679</v>
      </c>
      <c r="M2679" s="75"/>
      <c r="N2679" s="70"/>
      <c r="O2679" s="77" t="s">
        <v>179</v>
      </c>
      <c r="P2679" s="79">
        <v>45190.549444444441</v>
      </c>
      <c r="Q2679" s="77" t="s">
        <v>3456</v>
      </c>
      <c r="R2679" s="77">
        <v>0</v>
      </c>
      <c r="S2679" s="77">
        <v>0</v>
      </c>
      <c r="T2679" s="77">
        <v>0</v>
      </c>
      <c r="U2679" s="77">
        <v>0</v>
      </c>
      <c r="V2679" s="77">
        <v>32</v>
      </c>
      <c r="W2679" s="82" t="s">
        <v>6382</v>
      </c>
      <c r="X2679" s="80" t="str">
        <f>HYPERLINK("https://tinyurl.com/227j32pw")</f>
        <v>https://tinyurl.com/227j32pw</v>
      </c>
      <c r="Y2679" s="77" t="s">
        <v>7068</v>
      </c>
      <c r="Z2679" s="77"/>
      <c r="AA2679" s="77"/>
      <c r="AB2679" s="77"/>
      <c r="AC2679" s="82" t="s">
        <v>8276</v>
      </c>
      <c r="AD2679" s="77" t="s">
        <v>8278</v>
      </c>
      <c r="AE2679" s="80" t="str">
        <f>HYPERLINK("https://twitter.com/pauta_economica/status/1704845735936614502")</f>
        <v>https://twitter.com/pauta_economica/status/1704845735936614502</v>
      </c>
      <c r="AF2679" s="79">
        <v>45190.549444444441</v>
      </c>
      <c r="AG2679" s="85">
        <v>45190</v>
      </c>
      <c r="AH2679" s="82" t="s">
        <v>10720</v>
      </c>
      <c r="AI2679" s="77" t="b">
        <v>0</v>
      </c>
      <c r="AJ2679" s="77"/>
      <c r="AK2679" s="77"/>
      <c r="AL2679" s="77"/>
      <c r="AM2679" s="77"/>
      <c r="AN2679" s="77"/>
      <c r="AO2679" s="77"/>
      <c r="AP2679" s="77"/>
      <c r="AQ2679" s="77"/>
      <c r="AR2679" s="77"/>
      <c r="AS2679" s="77"/>
      <c r="AT2679" s="77"/>
      <c r="AU2679" s="77"/>
      <c r="AV2679" s="80" t="str">
        <f>HYPERLINK("https://pbs.twimg.com/profile_images/1588668531910082561/XEi-lXiu_normal.jpg")</f>
        <v>https://pbs.twimg.com/profile_images/1588668531910082561/XEi-lXiu_normal.jpg</v>
      </c>
      <c r="AW2679" s="82" t="s">
        <v>15763</v>
      </c>
      <c r="AX2679" s="82" t="s">
        <v>15763</v>
      </c>
      <c r="AY2679" s="77"/>
      <c r="AZ2679" s="82" t="s">
        <v>17385</v>
      </c>
      <c r="BA2679" s="82" t="s">
        <v>17385</v>
      </c>
      <c r="BB2679" s="82" t="s">
        <v>17385</v>
      </c>
      <c r="BC2679" s="82" t="s">
        <v>15763</v>
      </c>
      <c r="BD2679" s="82" t="s">
        <v>17667</v>
      </c>
      <c r="BE2679" s="77"/>
      <c r="BF2679" s="77"/>
      <c r="BG2679" s="77"/>
      <c r="BH2679" s="77"/>
      <c r="BI2679" s="77"/>
    </row>
    <row r="2680" spans="1:61" x14ac:dyDescent="0.25">
      <c r="A2680" s="62" t="s">
        <v>646</v>
      </c>
      <c r="B2680" s="62" t="s">
        <v>646</v>
      </c>
      <c r="C2680" s="63"/>
      <c r="D2680" s="64"/>
      <c r="E2680" s="65"/>
      <c r="F2680" s="66"/>
      <c r="G2680" s="63"/>
      <c r="H2680" s="67"/>
      <c r="I2680" s="68"/>
      <c r="J2680" s="68"/>
      <c r="K2680" s="32"/>
      <c r="L2680" s="75">
        <v>2680</v>
      </c>
      <c r="M2680" s="75"/>
      <c r="N2680" s="70"/>
      <c r="O2680" s="77" t="s">
        <v>179</v>
      </c>
      <c r="P2680" s="79">
        <v>45091.566574074073</v>
      </c>
      <c r="Q2680" s="77" t="s">
        <v>3457</v>
      </c>
      <c r="R2680" s="77">
        <v>0</v>
      </c>
      <c r="S2680" s="77">
        <v>0</v>
      </c>
      <c r="T2680" s="77">
        <v>0</v>
      </c>
      <c r="U2680" s="77">
        <v>0</v>
      </c>
      <c r="V2680" s="77">
        <v>102</v>
      </c>
      <c r="W2680" s="82" t="s">
        <v>6382</v>
      </c>
      <c r="X2680" s="80" t="str">
        <f>HYPERLINK("https://tinyurl.com/2ba4slww")</f>
        <v>https://tinyurl.com/2ba4slww</v>
      </c>
      <c r="Y2680" s="77" t="s">
        <v>7068</v>
      </c>
      <c r="Z2680" s="77"/>
      <c r="AA2680" s="77"/>
      <c r="AB2680" s="77"/>
      <c r="AC2680" s="82" t="s">
        <v>8274</v>
      </c>
      <c r="AD2680" s="77" t="s">
        <v>8278</v>
      </c>
      <c r="AE2680" s="80" t="str">
        <f>HYPERLINK("https://twitter.com/pauta_economica/status/1668975546217164800")</f>
        <v>https://twitter.com/pauta_economica/status/1668975546217164800</v>
      </c>
      <c r="AF2680" s="79">
        <v>45091.566574074073</v>
      </c>
      <c r="AG2680" s="85">
        <v>45091</v>
      </c>
      <c r="AH2680" s="82" t="s">
        <v>10721</v>
      </c>
      <c r="AI2680" s="77" t="b">
        <v>0</v>
      </c>
      <c r="AJ2680" s="77"/>
      <c r="AK2680" s="77"/>
      <c r="AL2680" s="77"/>
      <c r="AM2680" s="77"/>
      <c r="AN2680" s="77"/>
      <c r="AO2680" s="77"/>
      <c r="AP2680" s="77"/>
      <c r="AQ2680" s="77"/>
      <c r="AR2680" s="77"/>
      <c r="AS2680" s="77"/>
      <c r="AT2680" s="77"/>
      <c r="AU2680" s="77"/>
      <c r="AV2680" s="80" t="str">
        <f>HYPERLINK("https://pbs.twimg.com/profile_images/1588668531910082561/XEi-lXiu_normal.jpg")</f>
        <v>https://pbs.twimg.com/profile_images/1588668531910082561/XEi-lXiu_normal.jpg</v>
      </c>
      <c r="AW2680" s="82" t="s">
        <v>15764</v>
      </c>
      <c r="AX2680" s="82" t="s">
        <v>15764</v>
      </c>
      <c r="AY2680" s="77"/>
      <c r="AZ2680" s="82" t="s">
        <v>17385</v>
      </c>
      <c r="BA2680" s="82" t="s">
        <v>17385</v>
      </c>
      <c r="BB2680" s="82" t="s">
        <v>17385</v>
      </c>
      <c r="BC2680" s="82" t="s">
        <v>15764</v>
      </c>
      <c r="BD2680" s="82" t="s">
        <v>17667</v>
      </c>
      <c r="BE2680" s="77"/>
      <c r="BF2680" s="77"/>
      <c r="BG2680" s="77"/>
      <c r="BH2680" s="77"/>
      <c r="BI2680" s="77"/>
    </row>
    <row r="2681" spans="1:61" x14ac:dyDescent="0.25">
      <c r="A2681" s="62" t="s">
        <v>646</v>
      </c>
      <c r="B2681" s="62" t="s">
        <v>646</v>
      </c>
      <c r="C2681" s="63"/>
      <c r="D2681" s="64"/>
      <c r="E2681" s="65"/>
      <c r="F2681" s="66"/>
      <c r="G2681" s="63"/>
      <c r="H2681" s="67"/>
      <c r="I2681" s="68"/>
      <c r="J2681" s="68"/>
      <c r="K2681" s="32"/>
      <c r="L2681" s="75">
        <v>2681</v>
      </c>
      <c r="M2681" s="75"/>
      <c r="N2681" s="70"/>
      <c r="O2681" s="77" t="s">
        <v>179</v>
      </c>
      <c r="P2681" s="79">
        <v>45091.559606481482</v>
      </c>
      <c r="Q2681" s="77" t="s">
        <v>3458</v>
      </c>
      <c r="R2681" s="77">
        <v>0</v>
      </c>
      <c r="S2681" s="77">
        <v>0</v>
      </c>
      <c r="T2681" s="77">
        <v>0</v>
      </c>
      <c r="U2681" s="77">
        <v>0</v>
      </c>
      <c r="V2681" s="77">
        <v>40</v>
      </c>
      <c r="W2681" s="82" t="s">
        <v>6382</v>
      </c>
      <c r="X2681" s="80" t="str">
        <f>HYPERLINK("https://tinyurl.com/256hu5xb")</f>
        <v>https://tinyurl.com/256hu5xb</v>
      </c>
      <c r="Y2681" s="77" t="s">
        <v>7068</v>
      </c>
      <c r="Z2681" s="77"/>
      <c r="AA2681" s="77"/>
      <c r="AB2681" s="77"/>
      <c r="AC2681" s="82" t="s">
        <v>8274</v>
      </c>
      <c r="AD2681" s="77" t="s">
        <v>8278</v>
      </c>
      <c r="AE2681" s="80" t="str">
        <f>HYPERLINK("https://twitter.com/pauta_economica/status/1668973018192781319")</f>
        <v>https://twitter.com/pauta_economica/status/1668973018192781319</v>
      </c>
      <c r="AF2681" s="79">
        <v>45091.559606481482</v>
      </c>
      <c r="AG2681" s="85">
        <v>45091</v>
      </c>
      <c r="AH2681" s="82" t="s">
        <v>10722</v>
      </c>
      <c r="AI2681" s="77" t="b">
        <v>0</v>
      </c>
      <c r="AJ2681" s="77"/>
      <c r="AK2681" s="77"/>
      <c r="AL2681" s="77"/>
      <c r="AM2681" s="77"/>
      <c r="AN2681" s="77"/>
      <c r="AO2681" s="77"/>
      <c r="AP2681" s="77"/>
      <c r="AQ2681" s="77"/>
      <c r="AR2681" s="77"/>
      <c r="AS2681" s="77"/>
      <c r="AT2681" s="77"/>
      <c r="AU2681" s="77"/>
      <c r="AV2681" s="80" t="str">
        <f>HYPERLINK("https://pbs.twimg.com/profile_images/1588668531910082561/XEi-lXiu_normal.jpg")</f>
        <v>https://pbs.twimg.com/profile_images/1588668531910082561/XEi-lXiu_normal.jpg</v>
      </c>
      <c r="AW2681" s="82" t="s">
        <v>15765</v>
      </c>
      <c r="AX2681" s="82" t="s">
        <v>15765</v>
      </c>
      <c r="AY2681" s="77"/>
      <c r="AZ2681" s="82" t="s">
        <v>17385</v>
      </c>
      <c r="BA2681" s="82" t="s">
        <v>17385</v>
      </c>
      <c r="BB2681" s="82" t="s">
        <v>17385</v>
      </c>
      <c r="BC2681" s="82" t="s">
        <v>15765</v>
      </c>
      <c r="BD2681" s="82" t="s">
        <v>17667</v>
      </c>
      <c r="BE2681" s="77"/>
      <c r="BF2681" s="77"/>
      <c r="BG2681" s="77"/>
      <c r="BH2681" s="77"/>
      <c r="BI2681" s="77"/>
    </row>
    <row r="2682" spans="1:61" x14ac:dyDescent="0.25">
      <c r="A2682" s="62" t="s">
        <v>646</v>
      </c>
      <c r="B2682" s="62" t="s">
        <v>646</v>
      </c>
      <c r="C2682" s="63"/>
      <c r="D2682" s="64"/>
      <c r="E2682" s="65"/>
      <c r="F2682" s="66"/>
      <c r="G2682" s="63"/>
      <c r="H2682" s="67"/>
      <c r="I2682" s="68"/>
      <c r="J2682" s="68"/>
      <c r="K2682" s="32"/>
      <c r="L2682" s="75">
        <v>2682</v>
      </c>
      <c r="M2682" s="75"/>
      <c r="N2682" s="70"/>
      <c r="O2682" s="77" t="s">
        <v>179</v>
      </c>
      <c r="P2682" s="79">
        <v>45091.55265046296</v>
      </c>
      <c r="Q2682" s="77" t="s">
        <v>3459</v>
      </c>
      <c r="R2682" s="77">
        <v>0</v>
      </c>
      <c r="S2682" s="77">
        <v>0</v>
      </c>
      <c r="T2682" s="77">
        <v>0</v>
      </c>
      <c r="U2682" s="77">
        <v>0</v>
      </c>
      <c r="V2682" s="77">
        <v>34</v>
      </c>
      <c r="W2682" s="82" t="s">
        <v>6382</v>
      </c>
      <c r="X2682" s="80" t="str">
        <f>HYPERLINK("https://tinyurl.com/2athhmzp")</f>
        <v>https://tinyurl.com/2athhmzp</v>
      </c>
      <c r="Y2682" s="77" t="s">
        <v>7068</v>
      </c>
      <c r="Z2682" s="77"/>
      <c r="AA2682" s="77"/>
      <c r="AB2682" s="77"/>
      <c r="AC2682" s="82" t="s">
        <v>8274</v>
      </c>
      <c r="AD2682" s="77" t="s">
        <v>8278</v>
      </c>
      <c r="AE2682" s="80" t="str">
        <f>HYPERLINK("https://twitter.com/pauta_economica/status/1668970499848675328")</f>
        <v>https://twitter.com/pauta_economica/status/1668970499848675328</v>
      </c>
      <c r="AF2682" s="79">
        <v>45091.55265046296</v>
      </c>
      <c r="AG2682" s="85">
        <v>45091</v>
      </c>
      <c r="AH2682" s="82" t="s">
        <v>10723</v>
      </c>
      <c r="AI2682" s="77" t="b">
        <v>0</v>
      </c>
      <c r="AJ2682" s="77"/>
      <c r="AK2682" s="77"/>
      <c r="AL2682" s="77"/>
      <c r="AM2682" s="77"/>
      <c r="AN2682" s="77"/>
      <c r="AO2682" s="77"/>
      <c r="AP2682" s="77"/>
      <c r="AQ2682" s="77"/>
      <c r="AR2682" s="77"/>
      <c r="AS2682" s="77"/>
      <c r="AT2682" s="77"/>
      <c r="AU2682" s="77"/>
      <c r="AV2682" s="80" t="str">
        <f>HYPERLINK("https://pbs.twimg.com/profile_images/1588668531910082561/XEi-lXiu_normal.jpg")</f>
        <v>https://pbs.twimg.com/profile_images/1588668531910082561/XEi-lXiu_normal.jpg</v>
      </c>
      <c r="AW2682" s="82" t="s">
        <v>15766</v>
      </c>
      <c r="AX2682" s="82" t="s">
        <v>15766</v>
      </c>
      <c r="AY2682" s="77"/>
      <c r="AZ2682" s="82" t="s">
        <v>17385</v>
      </c>
      <c r="BA2682" s="82" t="s">
        <v>17385</v>
      </c>
      <c r="BB2682" s="82" t="s">
        <v>17385</v>
      </c>
      <c r="BC2682" s="82" t="s">
        <v>15766</v>
      </c>
      <c r="BD2682" s="82" t="s">
        <v>17667</v>
      </c>
      <c r="BE2682" s="77"/>
      <c r="BF2682" s="77"/>
      <c r="BG2682" s="77"/>
      <c r="BH2682" s="77"/>
      <c r="BI2682" s="77"/>
    </row>
    <row r="2683" spans="1:61" x14ac:dyDescent="0.25">
      <c r="A2683" s="62" t="s">
        <v>646</v>
      </c>
      <c r="B2683" s="62" t="s">
        <v>646</v>
      </c>
      <c r="C2683" s="63"/>
      <c r="D2683" s="64"/>
      <c r="E2683" s="65"/>
      <c r="F2683" s="66"/>
      <c r="G2683" s="63"/>
      <c r="H2683" s="67"/>
      <c r="I2683" s="68"/>
      <c r="J2683" s="68"/>
      <c r="K2683" s="32"/>
      <c r="L2683" s="75">
        <v>2683</v>
      </c>
      <c r="M2683" s="75"/>
      <c r="N2683" s="70"/>
      <c r="O2683" s="77" t="s">
        <v>179</v>
      </c>
      <c r="P2683" s="79">
        <v>45091.545694444445</v>
      </c>
      <c r="Q2683" s="77" t="s">
        <v>3460</v>
      </c>
      <c r="R2683" s="77">
        <v>0</v>
      </c>
      <c r="S2683" s="77">
        <v>0</v>
      </c>
      <c r="T2683" s="77">
        <v>0</v>
      </c>
      <c r="U2683" s="77">
        <v>0</v>
      </c>
      <c r="V2683" s="77">
        <v>27</v>
      </c>
      <c r="W2683" s="82" t="s">
        <v>6382</v>
      </c>
      <c r="X2683" s="80" t="str">
        <f>HYPERLINK("https://tinyurl.com/2bmzt4ca")</f>
        <v>https://tinyurl.com/2bmzt4ca</v>
      </c>
      <c r="Y2683" s="77" t="s">
        <v>7068</v>
      </c>
      <c r="Z2683" s="77"/>
      <c r="AA2683" s="77"/>
      <c r="AB2683" s="77"/>
      <c r="AC2683" s="82" t="s">
        <v>8274</v>
      </c>
      <c r="AD2683" s="77" t="s">
        <v>8278</v>
      </c>
      <c r="AE2683" s="80" t="str">
        <f>HYPERLINK("https://twitter.com/pauta_economica/status/1668967977251635202")</f>
        <v>https://twitter.com/pauta_economica/status/1668967977251635202</v>
      </c>
      <c r="AF2683" s="79">
        <v>45091.545694444445</v>
      </c>
      <c r="AG2683" s="85">
        <v>45091</v>
      </c>
      <c r="AH2683" s="82" t="s">
        <v>10724</v>
      </c>
      <c r="AI2683" s="77" t="b">
        <v>0</v>
      </c>
      <c r="AJ2683" s="77"/>
      <c r="AK2683" s="77"/>
      <c r="AL2683" s="77"/>
      <c r="AM2683" s="77"/>
      <c r="AN2683" s="77"/>
      <c r="AO2683" s="77"/>
      <c r="AP2683" s="77"/>
      <c r="AQ2683" s="77"/>
      <c r="AR2683" s="77"/>
      <c r="AS2683" s="77"/>
      <c r="AT2683" s="77"/>
      <c r="AU2683" s="77"/>
      <c r="AV2683" s="80" t="str">
        <f>HYPERLINK("https://pbs.twimg.com/profile_images/1588668531910082561/XEi-lXiu_normal.jpg")</f>
        <v>https://pbs.twimg.com/profile_images/1588668531910082561/XEi-lXiu_normal.jpg</v>
      </c>
      <c r="AW2683" s="82" t="s">
        <v>15767</v>
      </c>
      <c r="AX2683" s="82" t="s">
        <v>15767</v>
      </c>
      <c r="AY2683" s="77"/>
      <c r="AZ2683" s="82" t="s">
        <v>17385</v>
      </c>
      <c r="BA2683" s="82" t="s">
        <v>17385</v>
      </c>
      <c r="BB2683" s="82" t="s">
        <v>17385</v>
      </c>
      <c r="BC2683" s="82" t="s">
        <v>15767</v>
      </c>
      <c r="BD2683" s="82" t="s">
        <v>17667</v>
      </c>
      <c r="BE2683" s="77"/>
      <c r="BF2683" s="77"/>
      <c r="BG2683" s="77"/>
      <c r="BH2683" s="77"/>
      <c r="BI2683" s="77"/>
    </row>
    <row r="2684" spans="1:61" x14ac:dyDescent="0.25">
      <c r="A2684" s="62" t="s">
        <v>646</v>
      </c>
      <c r="B2684" s="62" t="s">
        <v>646</v>
      </c>
      <c r="C2684" s="63"/>
      <c r="D2684" s="64"/>
      <c r="E2684" s="65"/>
      <c r="F2684" s="66"/>
      <c r="G2684" s="63"/>
      <c r="H2684" s="67"/>
      <c r="I2684" s="68"/>
      <c r="J2684" s="68"/>
      <c r="K2684" s="32"/>
      <c r="L2684" s="75">
        <v>2684</v>
      </c>
      <c r="M2684" s="75"/>
      <c r="N2684" s="70"/>
      <c r="O2684" s="77" t="s">
        <v>179</v>
      </c>
      <c r="P2684" s="79">
        <v>45091.53875</v>
      </c>
      <c r="Q2684" s="77" t="s">
        <v>3461</v>
      </c>
      <c r="R2684" s="77">
        <v>0</v>
      </c>
      <c r="S2684" s="77">
        <v>0</v>
      </c>
      <c r="T2684" s="77">
        <v>0</v>
      </c>
      <c r="U2684" s="77">
        <v>0</v>
      </c>
      <c r="V2684" s="77">
        <v>49</v>
      </c>
      <c r="W2684" s="82" t="s">
        <v>6382</v>
      </c>
      <c r="X2684" s="80" t="str">
        <f>HYPERLINK("https://tinyurl.com/2abjlkst")</f>
        <v>https://tinyurl.com/2abjlkst</v>
      </c>
      <c r="Y2684" s="77" t="s">
        <v>7068</v>
      </c>
      <c r="Z2684" s="77"/>
      <c r="AA2684" s="77"/>
      <c r="AB2684" s="77"/>
      <c r="AC2684" s="82" t="s">
        <v>8274</v>
      </c>
      <c r="AD2684" s="77" t="s">
        <v>8278</v>
      </c>
      <c r="AE2684" s="80" t="str">
        <f>HYPERLINK("https://twitter.com/pauta_economica/status/1668965460795170818")</f>
        <v>https://twitter.com/pauta_economica/status/1668965460795170818</v>
      </c>
      <c r="AF2684" s="79">
        <v>45091.53875</v>
      </c>
      <c r="AG2684" s="85">
        <v>45091</v>
      </c>
      <c r="AH2684" s="82" t="s">
        <v>10268</v>
      </c>
      <c r="AI2684" s="77" t="b">
        <v>0</v>
      </c>
      <c r="AJ2684" s="77"/>
      <c r="AK2684" s="77"/>
      <c r="AL2684" s="77"/>
      <c r="AM2684" s="77"/>
      <c r="AN2684" s="77"/>
      <c r="AO2684" s="77"/>
      <c r="AP2684" s="77"/>
      <c r="AQ2684" s="77"/>
      <c r="AR2684" s="77"/>
      <c r="AS2684" s="77"/>
      <c r="AT2684" s="77"/>
      <c r="AU2684" s="77"/>
      <c r="AV2684" s="80" t="str">
        <f>HYPERLINK("https://pbs.twimg.com/profile_images/1588668531910082561/XEi-lXiu_normal.jpg")</f>
        <v>https://pbs.twimg.com/profile_images/1588668531910082561/XEi-lXiu_normal.jpg</v>
      </c>
      <c r="AW2684" s="82" t="s">
        <v>15768</v>
      </c>
      <c r="AX2684" s="82" t="s">
        <v>15768</v>
      </c>
      <c r="AY2684" s="77"/>
      <c r="AZ2684" s="82" t="s">
        <v>17385</v>
      </c>
      <c r="BA2684" s="82" t="s">
        <v>17385</v>
      </c>
      <c r="BB2684" s="82" t="s">
        <v>17385</v>
      </c>
      <c r="BC2684" s="82" t="s">
        <v>15768</v>
      </c>
      <c r="BD2684" s="82" t="s">
        <v>17667</v>
      </c>
      <c r="BE2684" s="77"/>
      <c r="BF2684" s="77"/>
      <c r="BG2684" s="77"/>
      <c r="BH2684" s="77"/>
      <c r="BI2684" s="77"/>
    </row>
    <row r="2685" spans="1:61" x14ac:dyDescent="0.25">
      <c r="A2685" s="62" t="s">
        <v>646</v>
      </c>
      <c r="B2685" s="62" t="s">
        <v>646</v>
      </c>
      <c r="C2685" s="63"/>
      <c r="D2685" s="64"/>
      <c r="E2685" s="65"/>
      <c r="F2685" s="66"/>
      <c r="G2685" s="63"/>
      <c r="H2685" s="67"/>
      <c r="I2685" s="68"/>
      <c r="J2685" s="68"/>
      <c r="K2685" s="32"/>
      <c r="L2685" s="75">
        <v>2685</v>
      </c>
      <c r="M2685" s="75"/>
      <c r="N2685" s="70"/>
      <c r="O2685" s="77" t="s">
        <v>179</v>
      </c>
      <c r="P2685" s="79">
        <v>45091.538171296299</v>
      </c>
      <c r="Q2685" s="77" t="s">
        <v>3462</v>
      </c>
      <c r="R2685" s="77">
        <v>0</v>
      </c>
      <c r="S2685" s="77">
        <v>0</v>
      </c>
      <c r="T2685" s="77">
        <v>0</v>
      </c>
      <c r="U2685" s="77">
        <v>0</v>
      </c>
      <c r="V2685" s="77">
        <v>28</v>
      </c>
      <c r="W2685" s="82" t="s">
        <v>6382</v>
      </c>
      <c r="X2685" s="80" t="str">
        <f>HYPERLINK("https://tinyurl.com/2a5m88f6")</f>
        <v>https://tinyurl.com/2a5m88f6</v>
      </c>
      <c r="Y2685" s="77" t="s">
        <v>7068</v>
      </c>
      <c r="Z2685" s="77"/>
      <c r="AA2685" s="77"/>
      <c r="AB2685" s="77"/>
      <c r="AC2685" s="82" t="s">
        <v>8274</v>
      </c>
      <c r="AD2685" s="77" t="s">
        <v>8278</v>
      </c>
      <c r="AE2685" s="80" t="str">
        <f>HYPERLINK("https://twitter.com/pauta_economica/status/1668965250274672641")</f>
        <v>https://twitter.com/pauta_economica/status/1668965250274672641</v>
      </c>
      <c r="AF2685" s="79">
        <v>45091.538171296299</v>
      </c>
      <c r="AG2685" s="85">
        <v>45091</v>
      </c>
      <c r="AH2685" s="82" t="s">
        <v>10725</v>
      </c>
      <c r="AI2685" s="77" t="b">
        <v>0</v>
      </c>
      <c r="AJ2685" s="77"/>
      <c r="AK2685" s="77"/>
      <c r="AL2685" s="77"/>
      <c r="AM2685" s="77"/>
      <c r="AN2685" s="77"/>
      <c r="AO2685" s="77"/>
      <c r="AP2685" s="77"/>
      <c r="AQ2685" s="77"/>
      <c r="AR2685" s="77"/>
      <c r="AS2685" s="77"/>
      <c r="AT2685" s="77"/>
      <c r="AU2685" s="77"/>
      <c r="AV2685" s="80" t="str">
        <f>HYPERLINK("https://pbs.twimg.com/profile_images/1588668531910082561/XEi-lXiu_normal.jpg")</f>
        <v>https://pbs.twimg.com/profile_images/1588668531910082561/XEi-lXiu_normal.jpg</v>
      </c>
      <c r="AW2685" s="82" t="s">
        <v>15769</v>
      </c>
      <c r="AX2685" s="82" t="s">
        <v>15769</v>
      </c>
      <c r="AY2685" s="77"/>
      <c r="AZ2685" s="82" t="s">
        <v>17385</v>
      </c>
      <c r="BA2685" s="82" t="s">
        <v>17385</v>
      </c>
      <c r="BB2685" s="82" t="s">
        <v>17385</v>
      </c>
      <c r="BC2685" s="82" t="s">
        <v>15769</v>
      </c>
      <c r="BD2685" s="82" t="s">
        <v>17667</v>
      </c>
      <c r="BE2685" s="77"/>
      <c r="BF2685" s="77"/>
      <c r="BG2685" s="77"/>
      <c r="BH2685" s="77"/>
      <c r="BI2685" s="77"/>
    </row>
    <row r="2686" spans="1:61" x14ac:dyDescent="0.25">
      <c r="A2686" s="62" t="s">
        <v>646</v>
      </c>
      <c r="B2686" s="62" t="s">
        <v>646</v>
      </c>
      <c r="C2686" s="63"/>
      <c r="D2686" s="64"/>
      <c r="E2686" s="65"/>
      <c r="F2686" s="66"/>
      <c r="G2686" s="63"/>
      <c r="H2686" s="67"/>
      <c r="I2686" s="68"/>
      <c r="J2686" s="68"/>
      <c r="K2686" s="32"/>
      <c r="L2686" s="75">
        <v>2686</v>
      </c>
      <c r="M2686" s="75"/>
      <c r="N2686" s="70"/>
      <c r="O2686" s="77" t="s">
        <v>179</v>
      </c>
      <c r="P2686" s="79">
        <v>45091.524270833332</v>
      </c>
      <c r="Q2686" s="77" t="s">
        <v>3463</v>
      </c>
      <c r="R2686" s="77">
        <v>0</v>
      </c>
      <c r="S2686" s="77">
        <v>0</v>
      </c>
      <c r="T2686" s="77">
        <v>0</v>
      </c>
      <c r="U2686" s="77">
        <v>0</v>
      </c>
      <c r="V2686" s="77">
        <v>34</v>
      </c>
      <c r="W2686" s="82" t="s">
        <v>6382</v>
      </c>
      <c r="X2686" s="80" t="str">
        <f>HYPERLINK("https://tinyurl.com/2876feg8")</f>
        <v>https://tinyurl.com/2876feg8</v>
      </c>
      <c r="Y2686" s="77" t="s">
        <v>7068</v>
      </c>
      <c r="Z2686" s="77"/>
      <c r="AA2686" s="77"/>
      <c r="AB2686" s="77"/>
      <c r="AC2686" s="82" t="s">
        <v>8274</v>
      </c>
      <c r="AD2686" s="77" t="s">
        <v>8278</v>
      </c>
      <c r="AE2686" s="80" t="str">
        <f>HYPERLINK("https://twitter.com/pauta_economica/status/1668960214400286720")</f>
        <v>https://twitter.com/pauta_economica/status/1668960214400286720</v>
      </c>
      <c r="AF2686" s="79">
        <v>45091.524270833332</v>
      </c>
      <c r="AG2686" s="85">
        <v>45091</v>
      </c>
      <c r="AH2686" s="82" t="s">
        <v>10726</v>
      </c>
      <c r="AI2686" s="77" t="b">
        <v>0</v>
      </c>
      <c r="AJ2686" s="77"/>
      <c r="AK2686" s="77"/>
      <c r="AL2686" s="77"/>
      <c r="AM2686" s="77"/>
      <c r="AN2686" s="77"/>
      <c r="AO2686" s="77"/>
      <c r="AP2686" s="77"/>
      <c r="AQ2686" s="77"/>
      <c r="AR2686" s="77"/>
      <c r="AS2686" s="77"/>
      <c r="AT2686" s="77"/>
      <c r="AU2686" s="77"/>
      <c r="AV2686" s="80" t="str">
        <f>HYPERLINK("https://pbs.twimg.com/profile_images/1588668531910082561/XEi-lXiu_normal.jpg")</f>
        <v>https://pbs.twimg.com/profile_images/1588668531910082561/XEi-lXiu_normal.jpg</v>
      </c>
      <c r="AW2686" s="82" t="s">
        <v>15770</v>
      </c>
      <c r="AX2686" s="82" t="s">
        <v>15770</v>
      </c>
      <c r="AY2686" s="77"/>
      <c r="AZ2686" s="82" t="s">
        <v>17385</v>
      </c>
      <c r="BA2686" s="82" t="s">
        <v>17385</v>
      </c>
      <c r="BB2686" s="82" t="s">
        <v>17385</v>
      </c>
      <c r="BC2686" s="82" t="s">
        <v>15770</v>
      </c>
      <c r="BD2686" s="82" t="s">
        <v>17667</v>
      </c>
      <c r="BE2686" s="77"/>
      <c r="BF2686" s="77"/>
      <c r="BG2686" s="77"/>
      <c r="BH2686" s="77"/>
      <c r="BI2686" s="77"/>
    </row>
    <row r="2687" spans="1:61" x14ac:dyDescent="0.25">
      <c r="A2687" s="62" t="s">
        <v>646</v>
      </c>
      <c r="B2687" s="62" t="s">
        <v>646</v>
      </c>
      <c r="C2687" s="63"/>
      <c r="D2687" s="64"/>
      <c r="E2687" s="65"/>
      <c r="F2687" s="66"/>
      <c r="G2687" s="63"/>
      <c r="H2687" s="67"/>
      <c r="I2687" s="68"/>
      <c r="J2687" s="68"/>
      <c r="K2687" s="32"/>
      <c r="L2687" s="75">
        <v>2687</v>
      </c>
      <c r="M2687" s="75"/>
      <c r="N2687" s="70"/>
      <c r="O2687" s="77" t="s">
        <v>179</v>
      </c>
      <c r="P2687" s="79">
        <v>45091.517291666663</v>
      </c>
      <c r="Q2687" s="77" t="s">
        <v>3464</v>
      </c>
      <c r="R2687" s="77">
        <v>0</v>
      </c>
      <c r="S2687" s="77">
        <v>0</v>
      </c>
      <c r="T2687" s="77">
        <v>0</v>
      </c>
      <c r="U2687" s="77">
        <v>0</v>
      </c>
      <c r="V2687" s="77">
        <v>42</v>
      </c>
      <c r="W2687" s="82" t="s">
        <v>6382</v>
      </c>
      <c r="X2687" s="80" t="str">
        <f>HYPERLINK("https://tinyurl.com/2bzajcem")</f>
        <v>https://tinyurl.com/2bzajcem</v>
      </c>
      <c r="Y2687" s="77" t="s">
        <v>7068</v>
      </c>
      <c r="Z2687" s="77"/>
      <c r="AA2687" s="77"/>
      <c r="AB2687" s="77"/>
      <c r="AC2687" s="82" t="s">
        <v>8274</v>
      </c>
      <c r="AD2687" s="77" t="s">
        <v>8278</v>
      </c>
      <c r="AE2687" s="80" t="str">
        <f>HYPERLINK("https://twitter.com/pauta_economica/status/1668957684513624065")</f>
        <v>https://twitter.com/pauta_economica/status/1668957684513624065</v>
      </c>
      <c r="AF2687" s="79">
        <v>45091.517291666663</v>
      </c>
      <c r="AG2687" s="85">
        <v>45091</v>
      </c>
      <c r="AH2687" s="82" t="s">
        <v>10727</v>
      </c>
      <c r="AI2687" s="77" t="b">
        <v>0</v>
      </c>
      <c r="AJ2687" s="77"/>
      <c r="AK2687" s="77"/>
      <c r="AL2687" s="77"/>
      <c r="AM2687" s="77"/>
      <c r="AN2687" s="77"/>
      <c r="AO2687" s="77"/>
      <c r="AP2687" s="77"/>
      <c r="AQ2687" s="77"/>
      <c r="AR2687" s="77"/>
      <c r="AS2687" s="77"/>
      <c r="AT2687" s="77"/>
      <c r="AU2687" s="77"/>
      <c r="AV2687" s="80" t="str">
        <f>HYPERLINK("https://pbs.twimg.com/profile_images/1588668531910082561/XEi-lXiu_normal.jpg")</f>
        <v>https://pbs.twimg.com/profile_images/1588668531910082561/XEi-lXiu_normal.jpg</v>
      </c>
      <c r="AW2687" s="82" t="s">
        <v>15771</v>
      </c>
      <c r="AX2687" s="82" t="s">
        <v>15771</v>
      </c>
      <c r="AY2687" s="77"/>
      <c r="AZ2687" s="82" t="s">
        <v>17385</v>
      </c>
      <c r="BA2687" s="82" t="s">
        <v>17385</v>
      </c>
      <c r="BB2687" s="82" t="s">
        <v>17385</v>
      </c>
      <c r="BC2687" s="82" t="s">
        <v>15771</v>
      </c>
      <c r="BD2687" s="82" t="s">
        <v>17667</v>
      </c>
      <c r="BE2687" s="77"/>
      <c r="BF2687" s="77"/>
      <c r="BG2687" s="77"/>
      <c r="BH2687" s="77"/>
      <c r="BI2687" s="77"/>
    </row>
    <row r="2688" spans="1:61" x14ac:dyDescent="0.25">
      <c r="A2688" s="62" t="s">
        <v>646</v>
      </c>
      <c r="B2688" s="62" t="s">
        <v>646</v>
      </c>
      <c r="C2688" s="63"/>
      <c r="D2688" s="64"/>
      <c r="E2688" s="65"/>
      <c r="F2688" s="66"/>
      <c r="G2688" s="63"/>
      <c r="H2688" s="67"/>
      <c r="I2688" s="68"/>
      <c r="J2688" s="68"/>
      <c r="K2688" s="32"/>
      <c r="L2688" s="75">
        <v>2688</v>
      </c>
      <c r="M2688" s="75"/>
      <c r="N2688" s="70"/>
      <c r="O2688" s="77" t="s">
        <v>179</v>
      </c>
      <c r="P2688" s="79">
        <v>45091.287754629629</v>
      </c>
      <c r="Q2688" s="77" t="s">
        <v>3465</v>
      </c>
      <c r="R2688" s="77">
        <v>0</v>
      </c>
      <c r="S2688" s="77">
        <v>0</v>
      </c>
      <c r="T2688" s="77">
        <v>0</v>
      </c>
      <c r="U2688" s="77">
        <v>0</v>
      </c>
      <c r="V2688" s="77">
        <v>21</v>
      </c>
      <c r="W2688" s="82" t="s">
        <v>6382</v>
      </c>
      <c r="X2688" s="80" t="str">
        <f>HYPERLINK("https://tinyurl.com/2dhxkqge")</f>
        <v>https://tinyurl.com/2dhxkqge</v>
      </c>
      <c r="Y2688" s="77" t="s">
        <v>7068</v>
      </c>
      <c r="Z2688" s="77"/>
      <c r="AA2688" s="77"/>
      <c r="AB2688" s="77"/>
      <c r="AC2688" s="82" t="s">
        <v>8274</v>
      </c>
      <c r="AD2688" s="77" t="s">
        <v>8278</v>
      </c>
      <c r="AE2688" s="80" t="str">
        <f>HYPERLINK("https://twitter.com/pauta_economica/status/1668874501805752320")</f>
        <v>https://twitter.com/pauta_economica/status/1668874501805752320</v>
      </c>
      <c r="AF2688" s="79">
        <v>45091.287754629629</v>
      </c>
      <c r="AG2688" s="85">
        <v>45091</v>
      </c>
      <c r="AH2688" s="82" t="s">
        <v>10728</v>
      </c>
      <c r="AI2688" s="77" t="b">
        <v>0</v>
      </c>
      <c r="AJ2688" s="77"/>
      <c r="AK2688" s="77"/>
      <c r="AL2688" s="77"/>
      <c r="AM2688" s="77"/>
      <c r="AN2688" s="77"/>
      <c r="AO2688" s="77"/>
      <c r="AP2688" s="77"/>
      <c r="AQ2688" s="77"/>
      <c r="AR2688" s="77"/>
      <c r="AS2688" s="77"/>
      <c r="AT2688" s="77"/>
      <c r="AU2688" s="77"/>
      <c r="AV2688" s="80" t="str">
        <f>HYPERLINK("https://pbs.twimg.com/profile_images/1588668531910082561/XEi-lXiu_normal.jpg")</f>
        <v>https://pbs.twimg.com/profile_images/1588668531910082561/XEi-lXiu_normal.jpg</v>
      </c>
      <c r="AW2688" s="82" t="s">
        <v>15772</v>
      </c>
      <c r="AX2688" s="82" t="s">
        <v>15772</v>
      </c>
      <c r="AY2688" s="77"/>
      <c r="AZ2688" s="82" t="s">
        <v>17385</v>
      </c>
      <c r="BA2688" s="82" t="s">
        <v>17385</v>
      </c>
      <c r="BB2688" s="82" t="s">
        <v>17385</v>
      </c>
      <c r="BC2688" s="82" t="s">
        <v>15772</v>
      </c>
      <c r="BD2688" s="82" t="s">
        <v>17667</v>
      </c>
      <c r="BE2688" s="77"/>
      <c r="BF2688" s="77"/>
      <c r="BG2688" s="77"/>
      <c r="BH2688" s="77"/>
      <c r="BI2688" s="77"/>
    </row>
    <row r="2689" spans="1:61" x14ac:dyDescent="0.25">
      <c r="A2689" s="62" t="s">
        <v>646</v>
      </c>
      <c r="B2689" s="62" t="s">
        <v>646</v>
      </c>
      <c r="C2689" s="63"/>
      <c r="D2689" s="64"/>
      <c r="E2689" s="65"/>
      <c r="F2689" s="66"/>
      <c r="G2689" s="63"/>
      <c r="H2689" s="67"/>
      <c r="I2689" s="68"/>
      <c r="J2689" s="68"/>
      <c r="K2689" s="32"/>
      <c r="L2689" s="75">
        <v>2689</v>
      </c>
      <c r="M2689" s="75"/>
      <c r="N2689" s="70"/>
      <c r="O2689" s="77" t="s">
        <v>179</v>
      </c>
      <c r="P2689" s="79">
        <v>45091.204108796293</v>
      </c>
      <c r="Q2689" s="77" t="s">
        <v>3466</v>
      </c>
      <c r="R2689" s="77">
        <v>0</v>
      </c>
      <c r="S2689" s="77">
        <v>0</v>
      </c>
      <c r="T2689" s="77">
        <v>0</v>
      </c>
      <c r="U2689" s="77">
        <v>0</v>
      </c>
      <c r="V2689" s="77">
        <v>75</v>
      </c>
      <c r="W2689" s="82" t="s">
        <v>6382</v>
      </c>
      <c r="X2689" s="80" t="str">
        <f>HYPERLINK("https://tinyurl.com/24e4lbyj")</f>
        <v>https://tinyurl.com/24e4lbyj</v>
      </c>
      <c r="Y2689" s="77" t="s">
        <v>7068</v>
      </c>
      <c r="Z2689" s="77"/>
      <c r="AA2689" s="77"/>
      <c r="AB2689" s="77"/>
      <c r="AC2689" s="82" t="s">
        <v>8274</v>
      </c>
      <c r="AD2689" s="77" t="s">
        <v>8278</v>
      </c>
      <c r="AE2689" s="80" t="str">
        <f>HYPERLINK("https://twitter.com/pauta_economica/status/1668844191210782721")</f>
        <v>https://twitter.com/pauta_economica/status/1668844191210782721</v>
      </c>
      <c r="AF2689" s="79">
        <v>45091.204108796293</v>
      </c>
      <c r="AG2689" s="85">
        <v>45091</v>
      </c>
      <c r="AH2689" s="82" t="s">
        <v>10729</v>
      </c>
      <c r="AI2689" s="77" t="b">
        <v>0</v>
      </c>
      <c r="AJ2689" s="77"/>
      <c r="AK2689" s="77"/>
      <c r="AL2689" s="77"/>
      <c r="AM2689" s="77"/>
      <c r="AN2689" s="77"/>
      <c r="AO2689" s="77"/>
      <c r="AP2689" s="77"/>
      <c r="AQ2689" s="77"/>
      <c r="AR2689" s="77"/>
      <c r="AS2689" s="77"/>
      <c r="AT2689" s="77"/>
      <c r="AU2689" s="77"/>
      <c r="AV2689" s="80" t="str">
        <f>HYPERLINK("https://pbs.twimg.com/profile_images/1588668531910082561/XEi-lXiu_normal.jpg")</f>
        <v>https://pbs.twimg.com/profile_images/1588668531910082561/XEi-lXiu_normal.jpg</v>
      </c>
      <c r="AW2689" s="82" t="s">
        <v>15773</v>
      </c>
      <c r="AX2689" s="82" t="s">
        <v>15773</v>
      </c>
      <c r="AY2689" s="77"/>
      <c r="AZ2689" s="82" t="s">
        <v>17385</v>
      </c>
      <c r="BA2689" s="82" t="s">
        <v>17385</v>
      </c>
      <c r="BB2689" s="82" t="s">
        <v>17385</v>
      </c>
      <c r="BC2689" s="82" t="s">
        <v>15773</v>
      </c>
      <c r="BD2689" s="82" t="s">
        <v>17667</v>
      </c>
      <c r="BE2689" s="77"/>
      <c r="BF2689" s="77"/>
      <c r="BG2689" s="77"/>
      <c r="BH2689" s="77"/>
      <c r="BI2689" s="77"/>
    </row>
    <row r="2690" spans="1:61" x14ac:dyDescent="0.25">
      <c r="A2690" s="62" t="s">
        <v>646</v>
      </c>
      <c r="B2690" s="62" t="s">
        <v>646</v>
      </c>
      <c r="C2690" s="63"/>
      <c r="D2690" s="64"/>
      <c r="E2690" s="65"/>
      <c r="F2690" s="66"/>
      <c r="G2690" s="63"/>
      <c r="H2690" s="67"/>
      <c r="I2690" s="68"/>
      <c r="J2690" s="68"/>
      <c r="K2690" s="32"/>
      <c r="L2690" s="75">
        <v>2690</v>
      </c>
      <c r="M2690" s="75"/>
      <c r="N2690" s="70"/>
      <c r="O2690" s="77" t="s">
        <v>179</v>
      </c>
      <c r="P2690" s="79">
        <v>45091.176203703704</v>
      </c>
      <c r="Q2690" s="77" t="s">
        <v>3467</v>
      </c>
      <c r="R2690" s="77">
        <v>0</v>
      </c>
      <c r="S2690" s="77">
        <v>0</v>
      </c>
      <c r="T2690" s="77">
        <v>0</v>
      </c>
      <c r="U2690" s="77">
        <v>0</v>
      </c>
      <c r="V2690" s="77">
        <v>31</v>
      </c>
      <c r="W2690" s="82" t="s">
        <v>6382</v>
      </c>
      <c r="X2690" s="80" t="str">
        <f>HYPERLINK("https://tinyurl.com/2btk4qxg")</f>
        <v>https://tinyurl.com/2btk4qxg</v>
      </c>
      <c r="Y2690" s="77" t="s">
        <v>7068</v>
      </c>
      <c r="Z2690" s="77"/>
      <c r="AA2690" s="77"/>
      <c r="AB2690" s="77"/>
      <c r="AC2690" s="82" t="s">
        <v>8274</v>
      </c>
      <c r="AD2690" s="77" t="s">
        <v>8278</v>
      </c>
      <c r="AE2690" s="80" t="str">
        <f>HYPERLINK("https://twitter.com/pauta_economica/status/1668834078865367042")</f>
        <v>https://twitter.com/pauta_economica/status/1668834078865367042</v>
      </c>
      <c r="AF2690" s="79">
        <v>45091.176203703704</v>
      </c>
      <c r="AG2690" s="85">
        <v>45091</v>
      </c>
      <c r="AH2690" s="82" t="s">
        <v>10730</v>
      </c>
      <c r="AI2690" s="77" t="b">
        <v>0</v>
      </c>
      <c r="AJ2690" s="77"/>
      <c r="AK2690" s="77"/>
      <c r="AL2690" s="77"/>
      <c r="AM2690" s="77"/>
      <c r="AN2690" s="77"/>
      <c r="AO2690" s="77"/>
      <c r="AP2690" s="77"/>
      <c r="AQ2690" s="77"/>
      <c r="AR2690" s="77"/>
      <c r="AS2690" s="77"/>
      <c r="AT2690" s="77"/>
      <c r="AU2690" s="77"/>
      <c r="AV2690" s="80" t="str">
        <f>HYPERLINK("https://pbs.twimg.com/profile_images/1588668531910082561/XEi-lXiu_normal.jpg")</f>
        <v>https://pbs.twimg.com/profile_images/1588668531910082561/XEi-lXiu_normal.jpg</v>
      </c>
      <c r="AW2690" s="82" t="s">
        <v>15774</v>
      </c>
      <c r="AX2690" s="82" t="s">
        <v>15774</v>
      </c>
      <c r="AY2690" s="77"/>
      <c r="AZ2690" s="82" t="s">
        <v>17385</v>
      </c>
      <c r="BA2690" s="82" t="s">
        <v>17385</v>
      </c>
      <c r="BB2690" s="82" t="s">
        <v>17385</v>
      </c>
      <c r="BC2690" s="82" t="s">
        <v>15774</v>
      </c>
      <c r="BD2690" s="82" t="s">
        <v>17667</v>
      </c>
      <c r="BE2690" s="77"/>
      <c r="BF2690" s="77"/>
      <c r="BG2690" s="77"/>
      <c r="BH2690" s="77"/>
      <c r="BI2690" s="77"/>
    </row>
    <row r="2691" spans="1:61" x14ac:dyDescent="0.25">
      <c r="A2691" s="62" t="s">
        <v>646</v>
      </c>
      <c r="B2691" s="62" t="s">
        <v>646</v>
      </c>
      <c r="C2691" s="63"/>
      <c r="D2691" s="64"/>
      <c r="E2691" s="65"/>
      <c r="F2691" s="66"/>
      <c r="G2691" s="63"/>
      <c r="H2691" s="67"/>
      <c r="I2691" s="68"/>
      <c r="J2691" s="68"/>
      <c r="K2691" s="32"/>
      <c r="L2691" s="75">
        <v>2691</v>
      </c>
      <c r="M2691" s="75"/>
      <c r="N2691" s="70"/>
      <c r="O2691" s="77" t="s">
        <v>179</v>
      </c>
      <c r="P2691" s="79">
        <v>45091.148344907408</v>
      </c>
      <c r="Q2691" s="77" t="s">
        <v>3468</v>
      </c>
      <c r="R2691" s="77">
        <v>0</v>
      </c>
      <c r="S2691" s="77">
        <v>0</v>
      </c>
      <c r="T2691" s="77">
        <v>0</v>
      </c>
      <c r="U2691" s="77">
        <v>0</v>
      </c>
      <c r="V2691" s="77">
        <v>24</v>
      </c>
      <c r="W2691" s="82" t="s">
        <v>6382</v>
      </c>
      <c r="X2691" s="80" t="str">
        <f>HYPERLINK("https://tinyurl.com/28yxutqc")</f>
        <v>https://tinyurl.com/28yxutqc</v>
      </c>
      <c r="Y2691" s="77" t="s">
        <v>7068</v>
      </c>
      <c r="Z2691" s="77"/>
      <c r="AA2691" s="77"/>
      <c r="AB2691" s="77"/>
      <c r="AC2691" s="82" t="s">
        <v>8274</v>
      </c>
      <c r="AD2691" s="77" t="s">
        <v>8278</v>
      </c>
      <c r="AE2691" s="80" t="str">
        <f>HYPERLINK("https://twitter.com/pauta_economica/status/1668823981833482246")</f>
        <v>https://twitter.com/pauta_economica/status/1668823981833482246</v>
      </c>
      <c r="AF2691" s="79">
        <v>45091.148344907408</v>
      </c>
      <c r="AG2691" s="85">
        <v>45091</v>
      </c>
      <c r="AH2691" s="82" t="s">
        <v>10731</v>
      </c>
      <c r="AI2691" s="77" t="b">
        <v>0</v>
      </c>
      <c r="AJ2691" s="77"/>
      <c r="AK2691" s="77"/>
      <c r="AL2691" s="77"/>
      <c r="AM2691" s="77"/>
      <c r="AN2691" s="77"/>
      <c r="AO2691" s="77"/>
      <c r="AP2691" s="77"/>
      <c r="AQ2691" s="77"/>
      <c r="AR2691" s="77"/>
      <c r="AS2691" s="77"/>
      <c r="AT2691" s="77"/>
      <c r="AU2691" s="77"/>
      <c r="AV2691" s="80" t="str">
        <f>HYPERLINK("https://pbs.twimg.com/profile_images/1588668531910082561/XEi-lXiu_normal.jpg")</f>
        <v>https://pbs.twimg.com/profile_images/1588668531910082561/XEi-lXiu_normal.jpg</v>
      </c>
      <c r="AW2691" s="82" t="s">
        <v>15775</v>
      </c>
      <c r="AX2691" s="82" t="s">
        <v>15775</v>
      </c>
      <c r="AY2691" s="77"/>
      <c r="AZ2691" s="82" t="s">
        <v>17385</v>
      </c>
      <c r="BA2691" s="82" t="s">
        <v>17385</v>
      </c>
      <c r="BB2691" s="82" t="s">
        <v>17385</v>
      </c>
      <c r="BC2691" s="82" t="s">
        <v>15775</v>
      </c>
      <c r="BD2691" s="82" t="s">
        <v>17667</v>
      </c>
      <c r="BE2691" s="77"/>
      <c r="BF2691" s="77"/>
      <c r="BG2691" s="77"/>
      <c r="BH2691" s="77"/>
      <c r="BI2691" s="77"/>
    </row>
    <row r="2692" spans="1:61" x14ac:dyDescent="0.25">
      <c r="A2692" s="62" t="s">
        <v>646</v>
      </c>
      <c r="B2692" s="62" t="s">
        <v>646</v>
      </c>
      <c r="C2692" s="63"/>
      <c r="D2692" s="64"/>
      <c r="E2692" s="65"/>
      <c r="F2692" s="66"/>
      <c r="G2692" s="63"/>
      <c r="H2692" s="67"/>
      <c r="I2692" s="68"/>
      <c r="J2692" s="68"/>
      <c r="K2692" s="32"/>
      <c r="L2692" s="75">
        <v>2692</v>
      </c>
      <c r="M2692" s="75"/>
      <c r="N2692" s="70"/>
      <c r="O2692" s="77" t="s">
        <v>179</v>
      </c>
      <c r="P2692" s="79">
        <v>45091.120497685188</v>
      </c>
      <c r="Q2692" s="77" t="s">
        <v>3469</v>
      </c>
      <c r="R2692" s="77">
        <v>0</v>
      </c>
      <c r="S2692" s="77">
        <v>0</v>
      </c>
      <c r="T2692" s="77">
        <v>0</v>
      </c>
      <c r="U2692" s="77">
        <v>0</v>
      </c>
      <c r="V2692" s="77">
        <v>78</v>
      </c>
      <c r="W2692" s="82" t="s">
        <v>6382</v>
      </c>
      <c r="X2692" s="80" t="str">
        <f>HYPERLINK("https://tinyurl.com/29gtl26n")</f>
        <v>https://tinyurl.com/29gtl26n</v>
      </c>
      <c r="Y2692" s="77" t="s">
        <v>7068</v>
      </c>
      <c r="Z2692" s="77"/>
      <c r="AA2692" s="77"/>
      <c r="AB2692" s="77"/>
      <c r="AC2692" s="82" t="s">
        <v>8274</v>
      </c>
      <c r="AD2692" s="77" t="s">
        <v>8278</v>
      </c>
      <c r="AE2692" s="80" t="str">
        <f>HYPERLINK("https://twitter.com/pauta_economica/status/1668813891730636800")</f>
        <v>https://twitter.com/pauta_economica/status/1668813891730636800</v>
      </c>
      <c r="AF2692" s="79">
        <v>45091.120497685188</v>
      </c>
      <c r="AG2692" s="85">
        <v>45091</v>
      </c>
      <c r="AH2692" s="82" t="s">
        <v>10732</v>
      </c>
      <c r="AI2692" s="77" t="b">
        <v>0</v>
      </c>
      <c r="AJ2692" s="77"/>
      <c r="AK2692" s="77"/>
      <c r="AL2692" s="77"/>
      <c r="AM2692" s="77"/>
      <c r="AN2692" s="77"/>
      <c r="AO2692" s="77"/>
      <c r="AP2692" s="77"/>
      <c r="AQ2692" s="77"/>
      <c r="AR2692" s="77"/>
      <c r="AS2692" s="77"/>
      <c r="AT2692" s="77"/>
      <c r="AU2692" s="77"/>
      <c r="AV2692" s="80" t="str">
        <f>HYPERLINK("https://pbs.twimg.com/profile_images/1588668531910082561/XEi-lXiu_normal.jpg")</f>
        <v>https://pbs.twimg.com/profile_images/1588668531910082561/XEi-lXiu_normal.jpg</v>
      </c>
      <c r="AW2692" s="82" t="s">
        <v>15776</v>
      </c>
      <c r="AX2692" s="82" t="s">
        <v>15776</v>
      </c>
      <c r="AY2692" s="77"/>
      <c r="AZ2692" s="82" t="s">
        <v>17385</v>
      </c>
      <c r="BA2692" s="82" t="s">
        <v>17385</v>
      </c>
      <c r="BB2692" s="82" t="s">
        <v>17385</v>
      </c>
      <c r="BC2692" s="82" t="s">
        <v>15776</v>
      </c>
      <c r="BD2692" s="82" t="s">
        <v>17667</v>
      </c>
      <c r="BE2692" s="77"/>
      <c r="BF2692" s="77"/>
      <c r="BG2692" s="77"/>
      <c r="BH2692" s="77"/>
      <c r="BI2692" s="77"/>
    </row>
    <row r="2693" spans="1:61" x14ac:dyDescent="0.25">
      <c r="A2693" s="62" t="s">
        <v>646</v>
      </c>
      <c r="B2693" s="62" t="s">
        <v>646</v>
      </c>
      <c r="C2693" s="63"/>
      <c r="D2693" s="64"/>
      <c r="E2693" s="65"/>
      <c r="F2693" s="66"/>
      <c r="G2693" s="63"/>
      <c r="H2693" s="67"/>
      <c r="I2693" s="68"/>
      <c r="J2693" s="68"/>
      <c r="K2693" s="32"/>
      <c r="L2693" s="75">
        <v>2693</v>
      </c>
      <c r="M2693" s="75"/>
      <c r="N2693" s="70"/>
      <c r="O2693" s="77" t="s">
        <v>179</v>
      </c>
      <c r="P2693" s="79">
        <v>45091.092650462961</v>
      </c>
      <c r="Q2693" s="77" t="s">
        <v>3470</v>
      </c>
      <c r="R2693" s="77">
        <v>0</v>
      </c>
      <c r="S2693" s="77">
        <v>1</v>
      </c>
      <c r="T2693" s="77">
        <v>0</v>
      </c>
      <c r="U2693" s="77">
        <v>0</v>
      </c>
      <c r="V2693" s="77">
        <v>36</v>
      </c>
      <c r="W2693" s="82" t="s">
        <v>6382</v>
      </c>
      <c r="X2693" s="80" t="str">
        <f>HYPERLINK("https://tinyurl.com/2buu9jhm")</f>
        <v>https://tinyurl.com/2buu9jhm</v>
      </c>
      <c r="Y2693" s="77" t="s">
        <v>7068</v>
      </c>
      <c r="Z2693" s="77"/>
      <c r="AA2693" s="77"/>
      <c r="AB2693" s="77"/>
      <c r="AC2693" s="82" t="s">
        <v>8274</v>
      </c>
      <c r="AD2693" s="77" t="s">
        <v>8278</v>
      </c>
      <c r="AE2693" s="80" t="str">
        <f>HYPERLINK("https://twitter.com/pauta_economica/status/1668803800629489665")</f>
        <v>https://twitter.com/pauta_economica/status/1668803800629489665</v>
      </c>
      <c r="AF2693" s="79">
        <v>45091.092650462961</v>
      </c>
      <c r="AG2693" s="85">
        <v>45091</v>
      </c>
      <c r="AH2693" s="82" t="s">
        <v>10733</v>
      </c>
      <c r="AI2693" s="77" t="b">
        <v>0</v>
      </c>
      <c r="AJ2693" s="77"/>
      <c r="AK2693" s="77"/>
      <c r="AL2693" s="77"/>
      <c r="AM2693" s="77"/>
      <c r="AN2693" s="77"/>
      <c r="AO2693" s="77"/>
      <c r="AP2693" s="77"/>
      <c r="AQ2693" s="77"/>
      <c r="AR2693" s="77"/>
      <c r="AS2693" s="77"/>
      <c r="AT2693" s="77"/>
      <c r="AU2693" s="77"/>
      <c r="AV2693" s="80" t="str">
        <f>HYPERLINK("https://pbs.twimg.com/profile_images/1588668531910082561/XEi-lXiu_normal.jpg")</f>
        <v>https://pbs.twimg.com/profile_images/1588668531910082561/XEi-lXiu_normal.jpg</v>
      </c>
      <c r="AW2693" s="82" t="s">
        <v>15777</v>
      </c>
      <c r="AX2693" s="82" t="s">
        <v>15777</v>
      </c>
      <c r="AY2693" s="77"/>
      <c r="AZ2693" s="82" t="s">
        <v>17385</v>
      </c>
      <c r="BA2693" s="82" t="s">
        <v>17385</v>
      </c>
      <c r="BB2693" s="82" t="s">
        <v>17385</v>
      </c>
      <c r="BC2693" s="82" t="s">
        <v>15777</v>
      </c>
      <c r="BD2693" s="82" t="s">
        <v>17667</v>
      </c>
      <c r="BE2693" s="77"/>
      <c r="BF2693" s="77"/>
      <c r="BG2693" s="77"/>
      <c r="BH2693" s="77"/>
      <c r="BI2693" s="77"/>
    </row>
    <row r="2694" spans="1:61" x14ac:dyDescent="0.25">
      <c r="A2694" s="62" t="s">
        <v>646</v>
      </c>
      <c r="B2694" s="62" t="s">
        <v>646</v>
      </c>
      <c r="C2694" s="63"/>
      <c r="D2694" s="64"/>
      <c r="E2694" s="65"/>
      <c r="F2694" s="66"/>
      <c r="G2694" s="63"/>
      <c r="H2694" s="67"/>
      <c r="I2694" s="68"/>
      <c r="J2694" s="68"/>
      <c r="K2694" s="32"/>
      <c r="L2694" s="75">
        <v>2694</v>
      </c>
      <c r="M2694" s="75"/>
      <c r="N2694" s="70"/>
      <c r="O2694" s="77" t="s">
        <v>179</v>
      </c>
      <c r="P2694" s="79">
        <v>45091.064780092594</v>
      </c>
      <c r="Q2694" s="77" t="s">
        <v>3471</v>
      </c>
      <c r="R2694" s="77">
        <v>0</v>
      </c>
      <c r="S2694" s="77">
        <v>0</v>
      </c>
      <c r="T2694" s="77">
        <v>0</v>
      </c>
      <c r="U2694" s="77">
        <v>0</v>
      </c>
      <c r="V2694" s="77">
        <v>37</v>
      </c>
      <c r="W2694" s="82" t="s">
        <v>6382</v>
      </c>
      <c r="X2694" s="80" t="str">
        <f>HYPERLINK("https://tinyurl.com/2ape6wxj")</f>
        <v>https://tinyurl.com/2ape6wxj</v>
      </c>
      <c r="Y2694" s="77" t="s">
        <v>7068</v>
      </c>
      <c r="Z2694" s="77"/>
      <c r="AA2694" s="77"/>
      <c r="AB2694" s="77"/>
      <c r="AC2694" s="82" t="s">
        <v>8274</v>
      </c>
      <c r="AD2694" s="77" t="s">
        <v>8278</v>
      </c>
      <c r="AE2694" s="80" t="str">
        <f>HYPERLINK("https://twitter.com/pauta_economica/status/1668793702184042497")</f>
        <v>https://twitter.com/pauta_economica/status/1668793702184042497</v>
      </c>
      <c r="AF2694" s="79">
        <v>45091.064780092594</v>
      </c>
      <c r="AG2694" s="85">
        <v>45091</v>
      </c>
      <c r="AH2694" s="82" t="s">
        <v>10734</v>
      </c>
      <c r="AI2694" s="77" t="b">
        <v>0</v>
      </c>
      <c r="AJ2694" s="77"/>
      <c r="AK2694" s="77"/>
      <c r="AL2694" s="77"/>
      <c r="AM2694" s="77"/>
      <c r="AN2694" s="77"/>
      <c r="AO2694" s="77"/>
      <c r="AP2694" s="77"/>
      <c r="AQ2694" s="77"/>
      <c r="AR2694" s="77"/>
      <c r="AS2694" s="77"/>
      <c r="AT2694" s="77"/>
      <c r="AU2694" s="77"/>
      <c r="AV2694" s="80" t="str">
        <f>HYPERLINK("https://pbs.twimg.com/profile_images/1588668531910082561/XEi-lXiu_normal.jpg")</f>
        <v>https://pbs.twimg.com/profile_images/1588668531910082561/XEi-lXiu_normal.jpg</v>
      </c>
      <c r="AW2694" s="82" t="s">
        <v>15778</v>
      </c>
      <c r="AX2694" s="82" t="s">
        <v>15778</v>
      </c>
      <c r="AY2694" s="77"/>
      <c r="AZ2694" s="82" t="s">
        <v>17385</v>
      </c>
      <c r="BA2694" s="82" t="s">
        <v>17385</v>
      </c>
      <c r="BB2694" s="82" t="s">
        <v>17385</v>
      </c>
      <c r="BC2694" s="82" t="s">
        <v>15778</v>
      </c>
      <c r="BD2694" s="82" t="s">
        <v>17667</v>
      </c>
      <c r="BE2694" s="77"/>
      <c r="BF2694" s="77"/>
      <c r="BG2694" s="77"/>
      <c r="BH2694" s="77"/>
      <c r="BI2694" s="77"/>
    </row>
    <row r="2695" spans="1:61" x14ac:dyDescent="0.25">
      <c r="A2695" s="62" t="s">
        <v>646</v>
      </c>
      <c r="B2695" s="62" t="s">
        <v>646</v>
      </c>
      <c r="C2695" s="63"/>
      <c r="D2695" s="64"/>
      <c r="E2695" s="65"/>
      <c r="F2695" s="66"/>
      <c r="G2695" s="63"/>
      <c r="H2695" s="67"/>
      <c r="I2695" s="68"/>
      <c r="J2695" s="68"/>
      <c r="K2695" s="32"/>
      <c r="L2695" s="75">
        <v>2695</v>
      </c>
      <c r="M2695" s="75"/>
      <c r="N2695" s="70"/>
      <c r="O2695" s="77" t="s">
        <v>179</v>
      </c>
      <c r="P2695" s="79">
        <v>45091.036932870367</v>
      </c>
      <c r="Q2695" s="77" t="s">
        <v>3472</v>
      </c>
      <c r="R2695" s="77">
        <v>0</v>
      </c>
      <c r="S2695" s="77">
        <v>1</v>
      </c>
      <c r="T2695" s="77">
        <v>0</v>
      </c>
      <c r="U2695" s="77">
        <v>0</v>
      </c>
      <c r="V2695" s="77">
        <v>44</v>
      </c>
      <c r="W2695" s="82" t="s">
        <v>6382</v>
      </c>
      <c r="X2695" s="80" t="str">
        <f>HYPERLINK("https://tinyurl.com/28d9xzbf")</f>
        <v>https://tinyurl.com/28d9xzbf</v>
      </c>
      <c r="Y2695" s="77" t="s">
        <v>7068</v>
      </c>
      <c r="Z2695" s="77"/>
      <c r="AA2695" s="77"/>
      <c r="AB2695" s="77"/>
      <c r="AC2695" s="82" t="s">
        <v>8274</v>
      </c>
      <c r="AD2695" s="77" t="s">
        <v>8278</v>
      </c>
      <c r="AE2695" s="80" t="str">
        <f>HYPERLINK("https://twitter.com/pauta_economica/status/1668783608700497922")</f>
        <v>https://twitter.com/pauta_economica/status/1668783608700497922</v>
      </c>
      <c r="AF2695" s="79">
        <v>45091.036932870367</v>
      </c>
      <c r="AG2695" s="85">
        <v>45091</v>
      </c>
      <c r="AH2695" s="82" t="s">
        <v>10735</v>
      </c>
      <c r="AI2695" s="77" t="b">
        <v>0</v>
      </c>
      <c r="AJ2695" s="77"/>
      <c r="AK2695" s="77"/>
      <c r="AL2695" s="77"/>
      <c r="AM2695" s="77"/>
      <c r="AN2695" s="77"/>
      <c r="AO2695" s="77"/>
      <c r="AP2695" s="77"/>
      <c r="AQ2695" s="77"/>
      <c r="AR2695" s="77"/>
      <c r="AS2695" s="77"/>
      <c r="AT2695" s="77"/>
      <c r="AU2695" s="77"/>
      <c r="AV2695" s="80" t="str">
        <f>HYPERLINK("https://pbs.twimg.com/profile_images/1588668531910082561/XEi-lXiu_normal.jpg")</f>
        <v>https://pbs.twimg.com/profile_images/1588668531910082561/XEi-lXiu_normal.jpg</v>
      </c>
      <c r="AW2695" s="82" t="s">
        <v>15779</v>
      </c>
      <c r="AX2695" s="82" t="s">
        <v>15779</v>
      </c>
      <c r="AY2695" s="77"/>
      <c r="AZ2695" s="82" t="s">
        <v>17385</v>
      </c>
      <c r="BA2695" s="82" t="s">
        <v>17385</v>
      </c>
      <c r="BB2695" s="82" t="s">
        <v>17385</v>
      </c>
      <c r="BC2695" s="82" t="s">
        <v>15779</v>
      </c>
      <c r="BD2695" s="82" t="s">
        <v>17667</v>
      </c>
      <c r="BE2695" s="77"/>
      <c r="BF2695" s="77"/>
      <c r="BG2695" s="77"/>
      <c r="BH2695" s="77"/>
      <c r="BI2695" s="77"/>
    </row>
    <row r="2696" spans="1:61" x14ac:dyDescent="0.25">
      <c r="A2696" s="62" t="s">
        <v>646</v>
      </c>
      <c r="B2696" s="62" t="s">
        <v>646</v>
      </c>
      <c r="C2696" s="63"/>
      <c r="D2696" s="64"/>
      <c r="E2696" s="65"/>
      <c r="F2696" s="66"/>
      <c r="G2696" s="63"/>
      <c r="H2696" s="67"/>
      <c r="I2696" s="68"/>
      <c r="J2696" s="68"/>
      <c r="K2696" s="32"/>
      <c r="L2696" s="75">
        <v>2696</v>
      </c>
      <c r="M2696" s="75"/>
      <c r="N2696" s="70"/>
      <c r="O2696" s="77" t="s">
        <v>179</v>
      </c>
      <c r="P2696" s="79">
        <v>45090.980624999997</v>
      </c>
      <c r="Q2696" s="77" t="s">
        <v>3473</v>
      </c>
      <c r="R2696" s="77">
        <v>0</v>
      </c>
      <c r="S2696" s="77">
        <v>0</v>
      </c>
      <c r="T2696" s="77">
        <v>0</v>
      </c>
      <c r="U2696" s="77">
        <v>0</v>
      </c>
      <c r="V2696" s="77">
        <v>24</v>
      </c>
      <c r="W2696" s="82" t="s">
        <v>6382</v>
      </c>
      <c r="X2696" s="80" t="str">
        <f>HYPERLINK("https://tinyurl.com/22kcxjto")</f>
        <v>https://tinyurl.com/22kcxjto</v>
      </c>
      <c r="Y2696" s="77" t="s">
        <v>7068</v>
      </c>
      <c r="Z2696" s="77"/>
      <c r="AA2696" s="77"/>
      <c r="AB2696" s="77"/>
      <c r="AC2696" s="82" t="s">
        <v>8274</v>
      </c>
      <c r="AD2696" s="77" t="s">
        <v>8278</v>
      </c>
      <c r="AE2696" s="80" t="str">
        <f>HYPERLINK("https://twitter.com/pauta_economica/status/1668763201457074176")</f>
        <v>https://twitter.com/pauta_economica/status/1668763201457074176</v>
      </c>
      <c r="AF2696" s="79">
        <v>45090.980624999997</v>
      </c>
      <c r="AG2696" s="85">
        <v>45090</v>
      </c>
      <c r="AH2696" s="82" t="s">
        <v>10736</v>
      </c>
      <c r="AI2696" s="77" t="b">
        <v>0</v>
      </c>
      <c r="AJ2696" s="77"/>
      <c r="AK2696" s="77"/>
      <c r="AL2696" s="77"/>
      <c r="AM2696" s="77"/>
      <c r="AN2696" s="77"/>
      <c r="AO2696" s="77"/>
      <c r="AP2696" s="77"/>
      <c r="AQ2696" s="77"/>
      <c r="AR2696" s="77"/>
      <c r="AS2696" s="77"/>
      <c r="AT2696" s="77"/>
      <c r="AU2696" s="77"/>
      <c r="AV2696" s="80" t="str">
        <f>HYPERLINK("https://pbs.twimg.com/profile_images/1588668531910082561/XEi-lXiu_normal.jpg")</f>
        <v>https://pbs.twimg.com/profile_images/1588668531910082561/XEi-lXiu_normal.jpg</v>
      </c>
      <c r="AW2696" s="82" t="s">
        <v>15780</v>
      </c>
      <c r="AX2696" s="82" t="s">
        <v>15780</v>
      </c>
      <c r="AY2696" s="77"/>
      <c r="AZ2696" s="82" t="s">
        <v>17385</v>
      </c>
      <c r="BA2696" s="82" t="s">
        <v>17385</v>
      </c>
      <c r="BB2696" s="82" t="s">
        <v>17385</v>
      </c>
      <c r="BC2696" s="82" t="s">
        <v>15780</v>
      </c>
      <c r="BD2696" s="82" t="s">
        <v>17667</v>
      </c>
      <c r="BE2696" s="77"/>
      <c r="BF2696" s="77"/>
      <c r="BG2696" s="77"/>
      <c r="BH2696" s="77"/>
      <c r="BI2696" s="77"/>
    </row>
    <row r="2697" spans="1:61" x14ac:dyDescent="0.25">
      <c r="A2697" s="62" t="s">
        <v>646</v>
      </c>
      <c r="B2697" s="62" t="s">
        <v>646</v>
      </c>
      <c r="C2697" s="63"/>
      <c r="D2697" s="64"/>
      <c r="E2697" s="65"/>
      <c r="F2697" s="66"/>
      <c r="G2697" s="63"/>
      <c r="H2697" s="67"/>
      <c r="I2697" s="68"/>
      <c r="J2697" s="68"/>
      <c r="K2697" s="32"/>
      <c r="L2697" s="75">
        <v>2697</v>
      </c>
      <c r="M2697" s="75"/>
      <c r="N2697" s="70"/>
      <c r="O2697" s="77" t="s">
        <v>179</v>
      </c>
      <c r="P2697" s="79">
        <v>45090.9528125</v>
      </c>
      <c r="Q2697" s="77" t="s">
        <v>3474</v>
      </c>
      <c r="R2697" s="77">
        <v>0</v>
      </c>
      <c r="S2697" s="77">
        <v>2</v>
      </c>
      <c r="T2697" s="77">
        <v>0</v>
      </c>
      <c r="U2697" s="77">
        <v>0</v>
      </c>
      <c r="V2697" s="77">
        <v>131</v>
      </c>
      <c r="W2697" s="82" t="s">
        <v>6382</v>
      </c>
      <c r="X2697" s="80" t="str">
        <f>HYPERLINK("https://tinyurl.com/28yblx4t")</f>
        <v>https://tinyurl.com/28yblx4t</v>
      </c>
      <c r="Y2697" s="77" t="s">
        <v>7068</v>
      </c>
      <c r="Z2697" s="77"/>
      <c r="AA2697" s="77"/>
      <c r="AB2697" s="77"/>
      <c r="AC2697" s="82" t="s">
        <v>8274</v>
      </c>
      <c r="AD2697" s="77" t="s">
        <v>8278</v>
      </c>
      <c r="AE2697" s="80" t="str">
        <f>HYPERLINK("https://twitter.com/pauta_economica/status/1668753124998225920")</f>
        <v>https://twitter.com/pauta_economica/status/1668753124998225920</v>
      </c>
      <c r="AF2697" s="79">
        <v>45090.9528125</v>
      </c>
      <c r="AG2697" s="85">
        <v>45090</v>
      </c>
      <c r="AH2697" s="82" t="s">
        <v>10737</v>
      </c>
      <c r="AI2697" s="77" t="b">
        <v>0</v>
      </c>
      <c r="AJ2697" s="77"/>
      <c r="AK2697" s="77"/>
      <c r="AL2697" s="77"/>
      <c r="AM2697" s="77"/>
      <c r="AN2697" s="77"/>
      <c r="AO2697" s="77"/>
      <c r="AP2697" s="77"/>
      <c r="AQ2697" s="77"/>
      <c r="AR2697" s="77"/>
      <c r="AS2697" s="77"/>
      <c r="AT2697" s="77"/>
      <c r="AU2697" s="77"/>
      <c r="AV2697" s="80" t="str">
        <f>HYPERLINK("https://pbs.twimg.com/profile_images/1588668531910082561/XEi-lXiu_normal.jpg")</f>
        <v>https://pbs.twimg.com/profile_images/1588668531910082561/XEi-lXiu_normal.jpg</v>
      </c>
      <c r="AW2697" s="82" t="s">
        <v>15781</v>
      </c>
      <c r="AX2697" s="82" t="s">
        <v>15781</v>
      </c>
      <c r="AY2697" s="77"/>
      <c r="AZ2697" s="82" t="s">
        <v>17385</v>
      </c>
      <c r="BA2697" s="82" t="s">
        <v>17385</v>
      </c>
      <c r="BB2697" s="82" t="s">
        <v>17385</v>
      </c>
      <c r="BC2697" s="82" t="s">
        <v>15781</v>
      </c>
      <c r="BD2697" s="82" t="s">
        <v>17667</v>
      </c>
      <c r="BE2697" s="77"/>
      <c r="BF2697" s="77"/>
      <c r="BG2697" s="77"/>
      <c r="BH2697" s="77"/>
      <c r="BI2697" s="77"/>
    </row>
    <row r="2698" spans="1:61" x14ac:dyDescent="0.25">
      <c r="A2698" s="62" t="s">
        <v>646</v>
      </c>
      <c r="B2698" s="62" t="s">
        <v>646</v>
      </c>
      <c r="C2698" s="63"/>
      <c r="D2698" s="64"/>
      <c r="E2698" s="65"/>
      <c r="F2698" s="66"/>
      <c r="G2698" s="63"/>
      <c r="H2698" s="67"/>
      <c r="I2698" s="68"/>
      <c r="J2698" s="68"/>
      <c r="K2698" s="32"/>
      <c r="L2698" s="75">
        <v>2698</v>
      </c>
      <c r="M2698" s="75"/>
      <c r="N2698" s="70"/>
      <c r="O2698" s="77" t="s">
        <v>179</v>
      </c>
      <c r="P2698" s="79">
        <v>45058.01767361111</v>
      </c>
      <c r="Q2698" s="77" t="s">
        <v>3475</v>
      </c>
      <c r="R2698" s="77">
        <v>0</v>
      </c>
      <c r="S2698" s="77">
        <v>1</v>
      </c>
      <c r="T2698" s="77">
        <v>0</v>
      </c>
      <c r="U2698" s="77">
        <v>0</v>
      </c>
      <c r="V2698" s="77">
        <v>101</v>
      </c>
      <c r="W2698" s="82" t="s">
        <v>6382</v>
      </c>
      <c r="X2698" s="80" t="str">
        <f>HYPERLINK("https://tinyurl.com/2ejozuzn")</f>
        <v>https://tinyurl.com/2ejozuzn</v>
      </c>
      <c r="Y2698" s="77" t="s">
        <v>7068</v>
      </c>
      <c r="Z2698" s="77"/>
      <c r="AA2698" s="77"/>
      <c r="AB2698" s="77"/>
      <c r="AC2698" s="82" t="s">
        <v>8275</v>
      </c>
      <c r="AD2698" s="77" t="s">
        <v>8278</v>
      </c>
      <c r="AE2698" s="80" t="str">
        <f>HYPERLINK("https://twitter.com/pauta_economica/status/1656817829172084737")</f>
        <v>https://twitter.com/pauta_economica/status/1656817829172084737</v>
      </c>
      <c r="AF2698" s="79">
        <v>45058.01767361111</v>
      </c>
      <c r="AG2698" s="85">
        <v>45058</v>
      </c>
      <c r="AH2698" s="82" t="s">
        <v>10738</v>
      </c>
      <c r="AI2698" s="77" t="b">
        <v>0</v>
      </c>
      <c r="AJ2698" s="77"/>
      <c r="AK2698" s="77"/>
      <c r="AL2698" s="77"/>
      <c r="AM2698" s="77"/>
      <c r="AN2698" s="77"/>
      <c r="AO2698" s="77"/>
      <c r="AP2698" s="77"/>
      <c r="AQ2698" s="77"/>
      <c r="AR2698" s="77"/>
      <c r="AS2698" s="77"/>
      <c r="AT2698" s="77"/>
      <c r="AU2698" s="77"/>
      <c r="AV2698" s="80" t="str">
        <f>HYPERLINK("https://pbs.twimg.com/profile_images/1588668531910082561/XEi-lXiu_normal.jpg")</f>
        <v>https://pbs.twimg.com/profile_images/1588668531910082561/XEi-lXiu_normal.jpg</v>
      </c>
      <c r="AW2698" s="82" t="s">
        <v>15782</v>
      </c>
      <c r="AX2698" s="82" t="s">
        <v>15782</v>
      </c>
      <c r="AY2698" s="77"/>
      <c r="AZ2698" s="82" t="s">
        <v>17385</v>
      </c>
      <c r="BA2698" s="82" t="s">
        <v>17385</v>
      </c>
      <c r="BB2698" s="82" t="s">
        <v>17385</v>
      </c>
      <c r="BC2698" s="82" t="s">
        <v>15782</v>
      </c>
      <c r="BD2698" s="82" t="s">
        <v>17667</v>
      </c>
      <c r="BE2698" s="77"/>
      <c r="BF2698" s="77"/>
      <c r="BG2698" s="77"/>
      <c r="BH2698" s="77"/>
      <c r="BI2698" s="77"/>
    </row>
    <row r="2699" spans="1:61" x14ac:dyDescent="0.25">
      <c r="A2699" s="62" t="s">
        <v>646</v>
      </c>
      <c r="B2699" s="62" t="s">
        <v>646</v>
      </c>
      <c r="C2699" s="63"/>
      <c r="D2699" s="64"/>
      <c r="E2699" s="65"/>
      <c r="F2699" s="66"/>
      <c r="G2699" s="63"/>
      <c r="H2699" s="67"/>
      <c r="I2699" s="68"/>
      <c r="J2699" s="68"/>
      <c r="K2699" s="32"/>
      <c r="L2699" s="75">
        <v>2699</v>
      </c>
      <c r="M2699" s="75"/>
      <c r="N2699" s="70"/>
      <c r="O2699" s="77" t="s">
        <v>179</v>
      </c>
      <c r="P2699" s="79">
        <v>45057.989907407406</v>
      </c>
      <c r="Q2699" s="77" t="s">
        <v>3476</v>
      </c>
      <c r="R2699" s="77">
        <v>0</v>
      </c>
      <c r="S2699" s="77">
        <v>0</v>
      </c>
      <c r="T2699" s="77">
        <v>0</v>
      </c>
      <c r="U2699" s="77">
        <v>0</v>
      </c>
      <c r="V2699" s="77">
        <v>163</v>
      </c>
      <c r="W2699" s="82" t="s">
        <v>6382</v>
      </c>
      <c r="X2699" s="80" t="str">
        <f>HYPERLINK("https://tinyurl.com/2lvfqp2q")</f>
        <v>https://tinyurl.com/2lvfqp2q</v>
      </c>
      <c r="Y2699" s="77" t="s">
        <v>7068</v>
      </c>
      <c r="Z2699" s="77"/>
      <c r="AA2699" s="77"/>
      <c r="AB2699" s="77"/>
      <c r="AC2699" s="82" t="s">
        <v>8275</v>
      </c>
      <c r="AD2699" s="77" t="s">
        <v>8278</v>
      </c>
      <c r="AE2699" s="80" t="str">
        <f>HYPERLINK("https://twitter.com/pauta_economica/status/1656807768907546624")</f>
        <v>https://twitter.com/pauta_economica/status/1656807768907546624</v>
      </c>
      <c r="AF2699" s="79">
        <v>45057.989907407406</v>
      </c>
      <c r="AG2699" s="85">
        <v>45057</v>
      </c>
      <c r="AH2699" s="82" t="s">
        <v>10739</v>
      </c>
      <c r="AI2699" s="77" t="b">
        <v>0</v>
      </c>
      <c r="AJ2699" s="77"/>
      <c r="AK2699" s="77"/>
      <c r="AL2699" s="77"/>
      <c r="AM2699" s="77"/>
      <c r="AN2699" s="77"/>
      <c r="AO2699" s="77"/>
      <c r="AP2699" s="77"/>
      <c r="AQ2699" s="77"/>
      <c r="AR2699" s="77"/>
      <c r="AS2699" s="77"/>
      <c r="AT2699" s="77"/>
      <c r="AU2699" s="77"/>
      <c r="AV2699" s="80" t="str">
        <f>HYPERLINK("https://pbs.twimg.com/profile_images/1588668531910082561/XEi-lXiu_normal.jpg")</f>
        <v>https://pbs.twimg.com/profile_images/1588668531910082561/XEi-lXiu_normal.jpg</v>
      </c>
      <c r="AW2699" s="82" t="s">
        <v>15783</v>
      </c>
      <c r="AX2699" s="82" t="s">
        <v>15783</v>
      </c>
      <c r="AY2699" s="77"/>
      <c r="AZ2699" s="82" t="s">
        <v>17385</v>
      </c>
      <c r="BA2699" s="82" t="s">
        <v>17385</v>
      </c>
      <c r="BB2699" s="82" t="s">
        <v>17385</v>
      </c>
      <c r="BC2699" s="82" t="s">
        <v>15783</v>
      </c>
      <c r="BD2699" s="82" t="s">
        <v>17667</v>
      </c>
      <c r="BE2699" s="77"/>
      <c r="BF2699" s="77"/>
      <c r="BG2699" s="77"/>
      <c r="BH2699" s="77"/>
      <c r="BI2699" s="77"/>
    </row>
    <row r="2700" spans="1:61" x14ac:dyDescent="0.25">
      <c r="A2700" s="62" t="s">
        <v>646</v>
      </c>
      <c r="B2700" s="62" t="s">
        <v>646</v>
      </c>
      <c r="C2700" s="63"/>
      <c r="D2700" s="64"/>
      <c r="E2700" s="65"/>
      <c r="F2700" s="66"/>
      <c r="G2700" s="63"/>
      <c r="H2700" s="67"/>
      <c r="I2700" s="68"/>
      <c r="J2700" s="68"/>
      <c r="K2700" s="32"/>
      <c r="L2700" s="75">
        <v>2700</v>
      </c>
      <c r="M2700" s="75"/>
      <c r="N2700" s="70"/>
      <c r="O2700" s="77" t="s">
        <v>179</v>
      </c>
      <c r="P2700" s="79">
        <v>45057.962060185186</v>
      </c>
      <c r="Q2700" s="77" t="s">
        <v>3477</v>
      </c>
      <c r="R2700" s="77">
        <v>0</v>
      </c>
      <c r="S2700" s="77">
        <v>1</v>
      </c>
      <c r="T2700" s="77">
        <v>0</v>
      </c>
      <c r="U2700" s="77">
        <v>0</v>
      </c>
      <c r="V2700" s="77">
        <v>53</v>
      </c>
      <c r="W2700" s="82" t="s">
        <v>6382</v>
      </c>
      <c r="X2700" s="80" t="str">
        <f>HYPERLINK("https://tinyurl.com/2p4uplw9")</f>
        <v>https://tinyurl.com/2p4uplw9</v>
      </c>
      <c r="Y2700" s="77" t="s">
        <v>7068</v>
      </c>
      <c r="Z2700" s="77"/>
      <c r="AA2700" s="77"/>
      <c r="AB2700" s="77"/>
      <c r="AC2700" s="82" t="s">
        <v>8275</v>
      </c>
      <c r="AD2700" s="77" t="s">
        <v>8278</v>
      </c>
      <c r="AE2700" s="80" t="str">
        <f>HYPERLINK("https://twitter.com/pauta_economica/status/1656797674434068481")</f>
        <v>https://twitter.com/pauta_economica/status/1656797674434068481</v>
      </c>
      <c r="AF2700" s="79">
        <v>45057.962060185186</v>
      </c>
      <c r="AG2700" s="85">
        <v>45057</v>
      </c>
      <c r="AH2700" s="82" t="s">
        <v>10740</v>
      </c>
      <c r="AI2700" s="77" t="b">
        <v>0</v>
      </c>
      <c r="AJ2700" s="77"/>
      <c r="AK2700" s="77"/>
      <c r="AL2700" s="77"/>
      <c r="AM2700" s="77"/>
      <c r="AN2700" s="77"/>
      <c r="AO2700" s="77"/>
      <c r="AP2700" s="77"/>
      <c r="AQ2700" s="77"/>
      <c r="AR2700" s="77"/>
      <c r="AS2700" s="77"/>
      <c r="AT2700" s="77"/>
      <c r="AU2700" s="77"/>
      <c r="AV2700" s="80" t="str">
        <f>HYPERLINK("https://pbs.twimg.com/profile_images/1588668531910082561/XEi-lXiu_normal.jpg")</f>
        <v>https://pbs.twimg.com/profile_images/1588668531910082561/XEi-lXiu_normal.jpg</v>
      </c>
      <c r="AW2700" s="82" t="s">
        <v>15784</v>
      </c>
      <c r="AX2700" s="82" t="s">
        <v>15784</v>
      </c>
      <c r="AY2700" s="77"/>
      <c r="AZ2700" s="82" t="s">
        <v>17385</v>
      </c>
      <c r="BA2700" s="82" t="s">
        <v>17385</v>
      </c>
      <c r="BB2700" s="82" t="s">
        <v>17385</v>
      </c>
      <c r="BC2700" s="82" t="s">
        <v>15784</v>
      </c>
      <c r="BD2700" s="82" t="s">
        <v>17667</v>
      </c>
      <c r="BE2700" s="77"/>
      <c r="BF2700" s="77"/>
      <c r="BG2700" s="77"/>
      <c r="BH2700" s="77"/>
      <c r="BI2700" s="77"/>
    </row>
    <row r="2701" spans="1:61" x14ac:dyDescent="0.25">
      <c r="A2701" s="62" t="s">
        <v>646</v>
      </c>
      <c r="B2701" s="62" t="s">
        <v>646</v>
      </c>
      <c r="C2701" s="63"/>
      <c r="D2701" s="64"/>
      <c r="E2701" s="65"/>
      <c r="F2701" s="66"/>
      <c r="G2701" s="63"/>
      <c r="H2701" s="67"/>
      <c r="I2701" s="68"/>
      <c r="J2701" s="68"/>
      <c r="K2701" s="32"/>
      <c r="L2701" s="75">
        <v>2701</v>
      </c>
      <c r="M2701" s="75"/>
      <c r="N2701" s="70"/>
      <c r="O2701" s="77" t="s">
        <v>179</v>
      </c>
      <c r="P2701" s="79">
        <v>45057.878032407411</v>
      </c>
      <c r="Q2701" s="77" t="s">
        <v>3478</v>
      </c>
      <c r="R2701" s="77">
        <v>0</v>
      </c>
      <c r="S2701" s="77">
        <v>0</v>
      </c>
      <c r="T2701" s="77">
        <v>0</v>
      </c>
      <c r="U2701" s="77">
        <v>0</v>
      </c>
      <c r="V2701" s="77">
        <v>114</v>
      </c>
      <c r="W2701" s="82" t="s">
        <v>6382</v>
      </c>
      <c r="X2701" s="80" t="str">
        <f>HYPERLINK("https://tinyurl.com/2mbhsqgq")</f>
        <v>https://tinyurl.com/2mbhsqgq</v>
      </c>
      <c r="Y2701" s="77" t="s">
        <v>7068</v>
      </c>
      <c r="Z2701" s="77"/>
      <c r="AA2701" s="77"/>
      <c r="AB2701" s="77"/>
      <c r="AC2701" s="82" t="s">
        <v>8275</v>
      </c>
      <c r="AD2701" s="77" t="s">
        <v>8278</v>
      </c>
      <c r="AE2701" s="80" t="str">
        <f>HYPERLINK("https://twitter.com/pauta_economica/status/1656767227280908288")</f>
        <v>https://twitter.com/pauta_economica/status/1656767227280908288</v>
      </c>
      <c r="AF2701" s="79">
        <v>45057.878032407411</v>
      </c>
      <c r="AG2701" s="85">
        <v>45057</v>
      </c>
      <c r="AH2701" s="82" t="s">
        <v>10741</v>
      </c>
      <c r="AI2701" s="77" t="b">
        <v>0</v>
      </c>
      <c r="AJ2701" s="77"/>
      <c r="AK2701" s="77"/>
      <c r="AL2701" s="77"/>
      <c r="AM2701" s="77"/>
      <c r="AN2701" s="77"/>
      <c r="AO2701" s="77"/>
      <c r="AP2701" s="77"/>
      <c r="AQ2701" s="77"/>
      <c r="AR2701" s="77"/>
      <c r="AS2701" s="77"/>
      <c r="AT2701" s="77"/>
      <c r="AU2701" s="77"/>
      <c r="AV2701" s="80" t="str">
        <f>HYPERLINK("https://pbs.twimg.com/profile_images/1588668531910082561/XEi-lXiu_normal.jpg")</f>
        <v>https://pbs.twimg.com/profile_images/1588668531910082561/XEi-lXiu_normal.jpg</v>
      </c>
      <c r="AW2701" s="82" t="s">
        <v>15785</v>
      </c>
      <c r="AX2701" s="82" t="s">
        <v>15785</v>
      </c>
      <c r="AY2701" s="77"/>
      <c r="AZ2701" s="82" t="s">
        <v>17385</v>
      </c>
      <c r="BA2701" s="82" t="s">
        <v>17385</v>
      </c>
      <c r="BB2701" s="82" t="s">
        <v>17385</v>
      </c>
      <c r="BC2701" s="82" t="s">
        <v>15785</v>
      </c>
      <c r="BD2701" s="82" t="s">
        <v>17667</v>
      </c>
      <c r="BE2701" s="77"/>
      <c r="BF2701" s="77"/>
      <c r="BG2701" s="77"/>
      <c r="BH2701" s="77"/>
      <c r="BI2701" s="77"/>
    </row>
    <row r="2702" spans="1:61" x14ac:dyDescent="0.25">
      <c r="A2702" s="62" t="s">
        <v>646</v>
      </c>
      <c r="B2702" s="62" t="s">
        <v>646</v>
      </c>
      <c r="C2702" s="63"/>
      <c r="D2702" s="64"/>
      <c r="E2702" s="65"/>
      <c r="F2702" s="66"/>
      <c r="G2702" s="63"/>
      <c r="H2702" s="67"/>
      <c r="I2702" s="68"/>
      <c r="J2702" s="68"/>
      <c r="K2702" s="32"/>
      <c r="L2702" s="75">
        <v>2702</v>
      </c>
      <c r="M2702" s="75"/>
      <c r="N2702" s="70"/>
      <c r="O2702" s="77" t="s">
        <v>179</v>
      </c>
      <c r="P2702" s="79">
        <v>45057.850231481483</v>
      </c>
      <c r="Q2702" s="77" t="s">
        <v>3479</v>
      </c>
      <c r="R2702" s="77">
        <v>0</v>
      </c>
      <c r="S2702" s="77">
        <v>1</v>
      </c>
      <c r="T2702" s="77">
        <v>0</v>
      </c>
      <c r="U2702" s="77">
        <v>0</v>
      </c>
      <c r="V2702" s="77">
        <v>36</v>
      </c>
      <c r="W2702" s="82" t="s">
        <v>6382</v>
      </c>
      <c r="X2702" s="80" t="str">
        <f>HYPERLINK("https://tinyurl.com/2k9kd4ks")</f>
        <v>https://tinyurl.com/2k9kd4ks</v>
      </c>
      <c r="Y2702" s="77" t="s">
        <v>7068</v>
      </c>
      <c r="Z2702" s="77"/>
      <c r="AA2702" s="77"/>
      <c r="AB2702" s="77"/>
      <c r="AC2702" s="82" t="s">
        <v>8275</v>
      </c>
      <c r="AD2702" s="77" t="s">
        <v>8278</v>
      </c>
      <c r="AE2702" s="80" t="str">
        <f>HYPERLINK("https://twitter.com/pauta_economica/status/1656757149014323221")</f>
        <v>https://twitter.com/pauta_economica/status/1656757149014323221</v>
      </c>
      <c r="AF2702" s="79">
        <v>45057.850231481483</v>
      </c>
      <c r="AG2702" s="85">
        <v>45057</v>
      </c>
      <c r="AH2702" s="82" t="s">
        <v>10742</v>
      </c>
      <c r="AI2702" s="77" t="b">
        <v>0</v>
      </c>
      <c r="AJ2702" s="77"/>
      <c r="AK2702" s="77"/>
      <c r="AL2702" s="77"/>
      <c r="AM2702" s="77"/>
      <c r="AN2702" s="77"/>
      <c r="AO2702" s="77"/>
      <c r="AP2702" s="77"/>
      <c r="AQ2702" s="77"/>
      <c r="AR2702" s="77"/>
      <c r="AS2702" s="77"/>
      <c r="AT2702" s="77"/>
      <c r="AU2702" s="77"/>
      <c r="AV2702" s="80" t="str">
        <f>HYPERLINK("https://pbs.twimg.com/profile_images/1588668531910082561/XEi-lXiu_normal.jpg")</f>
        <v>https://pbs.twimg.com/profile_images/1588668531910082561/XEi-lXiu_normal.jpg</v>
      </c>
      <c r="AW2702" s="82" t="s">
        <v>15786</v>
      </c>
      <c r="AX2702" s="82" t="s">
        <v>15786</v>
      </c>
      <c r="AY2702" s="77"/>
      <c r="AZ2702" s="82" t="s">
        <v>17385</v>
      </c>
      <c r="BA2702" s="82" t="s">
        <v>17385</v>
      </c>
      <c r="BB2702" s="82" t="s">
        <v>17385</v>
      </c>
      <c r="BC2702" s="82" t="s">
        <v>15786</v>
      </c>
      <c r="BD2702" s="82" t="s">
        <v>17667</v>
      </c>
      <c r="BE2702" s="77"/>
      <c r="BF2702" s="77"/>
      <c r="BG2702" s="77"/>
      <c r="BH2702" s="77"/>
      <c r="BI2702" s="77"/>
    </row>
    <row r="2703" spans="1:61" x14ac:dyDescent="0.25">
      <c r="A2703" s="62" t="s">
        <v>646</v>
      </c>
      <c r="B2703" s="62" t="s">
        <v>646</v>
      </c>
      <c r="C2703" s="63"/>
      <c r="D2703" s="64"/>
      <c r="E2703" s="65"/>
      <c r="F2703" s="66"/>
      <c r="G2703" s="63"/>
      <c r="H2703" s="67"/>
      <c r="I2703" s="68"/>
      <c r="J2703" s="68"/>
      <c r="K2703" s="32"/>
      <c r="L2703" s="75">
        <v>2703</v>
      </c>
      <c r="M2703" s="75"/>
      <c r="N2703" s="70"/>
      <c r="O2703" s="77" t="s">
        <v>179</v>
      </c>
      <c r="P2703" s="79">
        <v>45057.822453703702</v>
      </c>
      <c r="Q2703" s="77" t="s">
        <v>3480</v>
      </c>
      <c r="R2703" s="77">
        <v>0</v>
      </c>
      <c r="S2703" s="77">
        <v>0</v>
      </c>
      <c r="T2703" s="77">
        <v>0</v>
      </c>
      <c r="U2703" s="77">
        <v>0</v>
      </c>
      <c r="V2703" s="77">
        <v>47</v>
      </c>
      <c r="W2703" s="82" t="s">
        <v>6382</v>
      </c>
      <c r="X2703" s="80" t="str">
        <f>HYPERLINK("https://tinyurl.com/2hngv4pu")</f>
        <v>https://tinyurl.com/2hngv4pu</v>
      </c>
      <c r="Y2703" s="77" t="s">
        <v>7068</v>
      </c>
      <c r="Z2703" s="77"/>
      <c r="AA2703" s="77"/>
      <c r="AB2703" s="77"/>
      <c r="AC2703" s="82" t="s">
        <v>8275</v>
      </c>
      <c r="AD2703" s="77" t="s">
        <v>8278</v>
      </c>
      <c r="AE2703" s="80" t="str">
        <f>HYPERLINK("https://twitter.com/pauta_economica/status/1656747085037707265")</f>
        <v>https://twitter.com/pauta_economica/status/1656747085037707265</v>
      </c>
      <c r="AF2703" s="79">
        <v>45057.822453703702</v>
      </c>
      <c r="AG2703" s="85">
        <v>45057</v>
      </c>
      <c r="AH2703" s="82" t="s">
        <v>10743</v>
      </c>
      <c r="AI2703" s="77" t="b">
        <v>0</v>
      </c>
      <c r="AJ2703" s="77"/>
      <c r="AK2703" s="77"/>
      <c r="AL2703" s="77"/>
      <c r="AM2703" s="77"/>
      <c r="AN2703" s="77"/>
      <c r="AO2703" s="77"/>
      <c r="AP2703" s="77"/>
      <c r="AQ2703" s="77"/>
      <c r="AR2703" s="77"/>
      <c r="AS2703" s="77"/>
      <c r="AT2703" s="77"/>
      <c r="AU2703" s="77"/>
      <c r="AV2703" s="80" t="str">
        <f>HYPERLINK("https://pbs.twimg.com/profile_images/1588668531910082561/XEi-lXiu_normal.jpg")</f>
        <v>https://pbs.twimg.com/profile_images/1588668531910082561/XEi-lXiu_normal.jpg</v>
      </c>
      <c r="AW2703" s="82" t="s">
        <v>15787</v>
      </c>
      <c r="AX2703" s="82" t="s">
        <v>15787</v>
      </c>
      <c r="AY2703" s="77"/>
      <c r="AZ2703" s="82" t="s">
        <v>17385</v>
      </c>
      <c r="BA2703" s="82" t="s">
        <v>17385</v>
      </c>
      <c r="BB2703" s="82" t="s">
        <v>17385</v>
      </c>
      <c r="BC2703" s="82" t="s">
        <v>15787</v>
      </c>
      <c r="BD2703" s="82" t="s">
        <v>17667</v>
      </c>
      <c r="BE2703" s="77"/>
      <c r="BF2703" s="77"/>
      <c r="BG2703" s="77"/>
      <c r="BH2703" s="77"/>
      <c r="BI2703" s="77"/>
    </row>
    <row r="2704" spans="1:61" x14ac:dyDescent="0.25">
      <c r="A2704" s="62" t="s">
        <v>646</v>
      </c>
      <c r="B2704" s="62" t="s">
        <v>646</v>
      </c>
      <c r="C2704" s="63"/>
      <c r="D2704" s="64"/>
      <c r="E2704" s="65"/>
      <c r="F2704" s="66"/>
      <c r="G2704" s="63"/>
      <c r="H2704" s="67"/>
      <c r="I2704" s="68"/>
      <c r="J2704" s="68"/>
      <c r="K2704" s="32"/>
      <c r="L2704" s="75">
        <v>2704</v>
      </c>
      <c r="M2704" s="75"/>
      <c r="N2704" s="70"/>
      <c r="O2704" s="77" t="s">
        <v>179</v>
      </c>
      <c r="P2704" s="79">
        <v>45057.794525462959</v>
      </c>
      <c r="Q2704" s="77" t="s">
        <v>3481</v>
      </c>
      <c r="R2704" s="77">
        <v>0</v>
      </c>
      <c r="S2704" s="77">
        <v>0</v>
      </c>
      <c r="T2704" s="77">
        <v>0</v>
      </c>
      <c r="U2704" s="77">
        <v>0</v>
      </c>
      <c r="V2704" s="77">
        <v>73</v>
      </c>
      <c r="W2704" s="82" t="s">
        <v>6382</v>
      </c>
      <c r="X2704" s="80" t="str">
        <f>HYPERLINK("https://tinyurl.com/2qypb2f2")</f>
        <v>https://tinyurl.com/2qypb2f2</v>
      </c>
      <c r="Y2704" s="77" t="s">
        <v>7068</v>
      </c>
      <c r="Z2704" s="77"/>
      <c r="AA2704" s="77"/>
      <c r="AB2704" s="77"/>
      <c r="AC2704" s="82" t="s">
        <v>8275</v>
      </c>
      <c r="AD2704" s="77" t="s">
        <v>8278</v>
      </c>
      <c r="AE2704" s="80" t="str">
        <f>HYPERLINK("https://twitter.com/pauta_economica/status/1656736962370207756")</f>
        <v>https://twitter.com/pauta_economica/status/1656736962370207756</v>
      </c>
      <c r="AF2704" s="79">
        <v>45057.794525462959</v>
      </c>
      <c r="AG2704" s="85">
        <v>45057</v>
      </c>
      <c r="AH2704" s="82" t="s">
        <v>10744</v>
      </c>
      <c r="AI2704" s="77" t="b">
        <v>0</v>
      </c>
      <c r="AJ2704" s="77"/>
      <c r="AK2704" s="77"/>
      <c r="AL2704" s="77"/>
      <c r="AM2704" s="77"/>
      <c r="AN2704" s="77"/>
      <c r="AO2704" s="77"/>
      <c r="AP2704" s="77"/>
      <c r="AQ2704" s="77"/>
      <c r="AR2704" s="77"/>
      <c r="AS2704" s="77"/>
      <c r="AT2704" s="77"/>
      <c r="AU2704" s="77"/>
      <c r="AV2704" s="80" t="str">
        <f>HYPERLINK("https://pbs.twimg.com/profile_images/1588668531910082561/XEi-lXiu_normal.jpg")</f>
        <v>https://pbs.twimg.com/profile_images/1588668531910082561/XEi-lXiu_normal.jpg</v>
      </c>
      <c r="AW2704" s="82" t="s">
        <v>15788</v>
      </c>
      <c r="AX2704" s="82" t="s">
        <v>15788</v>
      </c>
      <c r="AY2704" s="77"/>
      <c r="AZ2704" s="82" t="s">
        <v>17385</v>
      </c>
      <c r="BA2704" s="82" t="s">
        <v>17385</v>
      </c>
      <c r="BB2704" s="82" t="s">
        <v>17385</v>
      </c>
      <c r="BC2704" s="82" t="s">
        <v>15788</v>
      </c>
      <c r="BD2704" s="82" t="s">
        <v>17667</v>
      </c>
      <c r="BE2704" s="77"/>
      <c r="BF2704" s="77"/>
      <c r="BG2704" s="77"/>
      <c r="BH2704" s="77"/>
      <c r="BI2704" s="77"/>
    </row>
    <row r="2705" spans="1:61" x14ac:dyDescent="0.25">
      <c r="A2705" s="62" t="s">
        <v>646</v>
      </c>
      <c r="B2705" s="62" t="s">
        <v>646</v>
      </c>
      <c r="C2705" s="63"/>
      <c r="D2705" s="64"/>
      <c r="E2705" s="65"/>
      <c r="F2705" s="66"/>
      <c r="G2705" s="63"/>
      <c r="H2705" s="67"/>
      <c r="I2705" s="68"/>
      <c r="J2705" s="68"/>
      <c r="K2705" s="32"/>
      <c r="L2705" s="75">
        <v>2705</v>
      </c>
      <c r="M2705" s="75"/>
      <c r="N2705" s="70"/>
      <c r="O2705" s="77" t="s">
        <v>179</v>
      </c>
      <c r="P2705" s="79">
        <v>45057.711006944446</v>
      </c>
      <c r="Q2705" s="77" t="s">
        <v>3482</v>
      </c>
      <c r="R2705" s="77">
        <v>0</v>
      </c>
      <c r="S2705" s="77">
        <v>0</v>
      </c>
      <c r="T2705" s="77">
        <v>0</v>
      </c>
      <c r="U2705" s="77">
        <v>0</v>
      </c>
      <c r="V2705" s="77">
        <v>25</v>
      </c>
      <c r="W2705" s="82" t="s">
        <v>6382</v>
      </c>
      <c r="X2705" s="80" t="str">
        <f>HYPERLINK("https://tinyurl.com/2h43l4cl")</f>
        <v>https://tinyurl.com/2h43l4cl</v>
      </c>
      <c r="Y2705" s="77" t="s">
        <v>7068</v>
      </c>
      <c r="Z2705" s="77"/>
      <c r="AA2705" s="77"/>
      <c r="AB2705" s="77"/>
      <c r="AC2705" s="82" t="s">
        <v>8275</v>
      </c>
      <c r="AD2705" s="77" t="s">
        <v>8278</v>
      </c>
      <c r="AE2705" s="80" t="str">
        <f>HYPERLINK("https://twitter.com/pauta_economica/status/1656706697841328129")</f>
        <v>https://twitter.com/pauta_economica/status/1656706697841328129</v>
      </c>
      <c r="AF2705" s="79">
        <v>45057.711006944446</v>
      </c>
      <c r="AG2705" s="85">
        <v>45057</v>
      </c>
      <c r="AH2705" s="82" t="s">
        <v>10745</v>
      </c>
      <c r="AI2705" s="77" t="b">
        <v>0</v>
      </c>
      <c r="AJ2705" s="77"/>
      <c r="AK2705" s="77"/>
      <c r="AL2705" s="77"/>
      <c r="AM2705" s="77"/>
      <c r="AN2705" s="77"/>
      <c r="AO2705" s="77"/>
      <c r="AP2705" s="77"/>
      <c r="AQ2705" s="77"/>
      <c r="AR2705" s="77"/>
      <c r="AS2705" s="77"/>
      <c r="AT2705" s="77"/>
      <c r="AU2705" s="77"/>
      <c r="AV2705" s="80" t="str">
        <f>HYPERLINK("https://pbs.twimg.com/profile_images/1588668531910082561/XEi-lXiu_normal.jpg")</f>
        <v>https://pbs.twimg.com/profile_images/1588668531910082561/XEi-lXiu_normal.jpg</v>
      </c>
      <c r="AW2705" s="82" t="s">
        <v>15789</v>
      </c>
      <c r="AX2705" s="82" t="s">
        <v>15789</v>
      </c>
      <c r="AY2705" s="77"/>
      <c r="AZ2705" s="82" t="s">
        <v>17385</v>
      </c>
      <c r="BA2705" s="82" t="s">
        <v>17385</v>
      </c>
      <c r="BB2705" s="82" t="s">
        <v>17385</v>
      </c>
      <c r="BC2705" s="82" t="s">
        <v>15789</v>
      </c>
      <c r="BD2705" s="82" t="s">
        <v>17667</v>
      </c>
      <c r="BE2705" s="77"/>
      <c r="BF2705" s="77"/>
      <c r="BG2705" s="77"/>
      <c r="BH2705" s="77"/>
      <c r="BI2705" s="77"/>
    </row>
    <row r="2706" spans="1:61" x14ac:dyDescent="0.25">
      <c r="A2706" s="62" t="s">
        <v>646</v>
      </c>
      <c r="B2706" s="62" t="s">
        <v>646</v>
      </c>
      <c r="C2706" s="63"/>
      <c r="D2706" s="64"/>
      <c r="E2706" s="65"/>
      <c r="F2706" s="66"/>
      <c r="G2706" s="63"/>
      <c r="H2706" s="67"/>
      <c r="I2706" s="68"/>
      <c r="J2706" s="68"/>
      <c r="K2706" s="32"/>
      <c r="L2706" s="75">
        <v>2706</v>
      </c>
      <c r="M2706" s="75"/>
      <c r="N2706" s="70"/>
      <c r="O2706" s="77" t="s">
        <v>179</v>
      </c>
      <c r="P2706" s="79">
        <v>45057.682662037034</v>
      </c>
      <c r="Q2706" s="77" t="s">
        <v>3483</v>
      </c>
      <c r="R2706" s="77">
        <v>0</v>
      </c>
      <c r="S2706" s="77">
        <v>0</v>
      </c>
      <c r="T2706" s="77">
        <v>0</v>
      </c>
      <c r="U2706" s="77">
        <v>0</v>
      </c>
      <c r="V2706" s="77">
        <v>23</v>
      </c>
      <c r="W2706" s="82" t="s">
        <v>6382</v>
      </c>
      <c r="X2706" s="80" t="str">
        <f>HYPERLINK("https://tinyurl.com/2l5pt5sy")</f>
        <v>https://tinyurl.com/2l5pt5sy</v>
      </c>
      <c r="Y2706" s="77" t="s">
        <v>7068</v>
      </c>
      <c r="Z2706" s="77"/>
      <c r="AA2706" s="77"/>
      <c r="AB2706" s="77"/>
      <c r="AC2706" s="82" t="s">
        <v>8275</v>
      </c>
      <c r="AD2706" s="77" t="s">
        <v>8278</v>
      </c>
      <c r="AE2706" s="80" t="str">
        <f>HYPERLINK("https://twitter.com/pauta_economica/status/1656696426389282816")</f>
        <v>https://twitter.com/pauta_economica/status/1656696426389282816</v>
      </c>
      <c r="AF2706" s="79">
        <v>45057.682662037034</v>
      </c>
      <c r="AG2706" s="85">
        <v>45057</v>
      </c>
      <c r="AH2706" s="82" t="s">
        <v>10746</v>
      </c>
      <c r="AI2706" s="77" t="b">
        <v>0</v>
      </c>
      <c r="AJ2706" s="77"/>
      <c r="AK2706" s="77"/>
      <c r="AL2706" s="77"/>
      <c r="AM2706" s="77"/>
      <c r="AN2706" s="77"/>
      <c r="AO2706" s="77"/>
      <c r="AP2706" s="77"/>
      <c r="AQ2706" s="77"/>
      <c r="AR2706" s="77"/>
      <c r="AS2706" s="77"/>
      <c r="AT2706" s="77"/>
      <c r="AU2706" s="77"/>
      <c r="AV2706" s="80" t="str">
        <f>HYPERLINK("https://pbs.twimg.com/profile_images/1588668531910082561/XEi-lXiu_normal.jpg")</f>
        <v>https://pbs.twimg.com/profile_images/1588668531910082561/XEi-lXiu_normal.jpg</v>
      </c>
      <c r="AW2706" s="82" t="s">
        <v>15790</v>
      </c>
      <c r="AX2706" s="82" t="s">
        <v>15790</v>
      </c>
      <c r="AY2706" s="77"/>
      <c r="AZ2706" s="82" t="s">
        <v>17385</v>
      </c>
      <c r="BA2706" s="82" t="s">
        <v>17385</v>
      </c>
      <c r="BB2706" s="82" t="s">
        <v>17385</v>
      </c>
      <c r="BC2706" s="82" t="s">
        <v>15790</v>
      </c>
      <c r="BD2706" s="82" t="s">
        <v>17667</v>
      </c>
      <c r="BE2706" s="77"/>
      <c r="BF2706" s="77"/>
      <c r="BG2706" s="77"/>
      <c r="BH2706" s="77"/>
      <c r="BI2706" s="77"/>
    </row>
    <row r="2707" spans="1:61" x14ac:dyDescent="0.25">
      <c r="A2707" s="62" t="s">
        <v>646</v>
      </c>
      <c r="B2707" s="62" t="s">
        <v>646</v>
      </c>
      <c r="C2707" s="63"/>
      <c r="D2707" s="64"/>
      <c r="E2707" s="65"/>
      <c r="F2707" s="66"/>
      <c r="G2707" s="63"/>
      <c r="H2707" s="67"/>
      <c r="I2707" s="68"/>
      <c r="J2707" s="68"/>
      <c r="K2707" s="32"/>
      <c r="L2707" s="75">
        <v>2707</v>
      </c>
      <c r="M2707" s="75"/>
      <c r="N2707" s="70"/>
      <c r="O2707" s="77" t="s">
        <v>179</v>
      </c>
      <c r="P2707" s="79">
        <v>45057.573553240742</v>
      </c>
      <c r="Q2707" s="77" t="s">
        <v>3484</v>
      </c>
      <c r="R2707" s="77">
        <v>0</v>
      </c>
      <c r="S2707" s="77">
        <v>0</v>
      </c>
      <c r="T2707" s="77">
        <v>0</v>
      </c>
      <c r="U2707" s="77">
        <v>0</v>
      </c>
      <c r="V2707" s="77">
        <v>47</v>
      </c>
      <c r="W2707" s="82" t="s">
        <v>6382</v>
      </c>
      <c r="X2707" s="80" t="str">
        <f>HYPERLINK("https://tinyurl.com/2q52yyno")</f>
        <v>https://tinyurl.com/2q52yyno</v>
      </c>
      <c r="Y2707" s="77" t="s">
        <v>7068</v>
      </c>
      <c r="Z2707" s="77"/>
      <c r="AA2707" s="77"/>
      <c r="AB2707" s="77"/>
      <c r="AC2707" s="82" t="s">
        <v>8275</v>
      </c>
      <c r="AD2707" s="77" t="s">
        <v>8278</v>
      </c>
      <c r="AE2707" s="80" t="str">
        <f>HYPERLINK("https://twitter.com/pauta_economica/status/1656656886282739712")</f>
        <v>https://twitter.com/pauta_economica/status/1656656886282739712</v>
      </c>
      <c r="AF2707" s="79">
        <v>45057.573553240742</v>
      </c>
      <c r="AG2707" s="85">
        <v>45057</v>
      </c>
      <c r="AH2707" s="82" t="s">
        <v>9825</v>
      </c>
      <c r="AI2707" s="77" t="b">
        <v>0</v>
      </c>
      <c r="AJ2707" s="77"/>
      <c r="AK2707" s="77"/>
      <c r="AL2707" s="77"/>
      <c r="AM2707" s="77"/>
      <c r="AN2707" s="77"/>
      <c r="AO2707" s="77"/>
      <c r="AP2707" s="77"/>
      <c r="AQ2707" s="77"/>
      <c r="AR2707" s="77"/>
      <c r="AS2707" s="77"/>
      <c r="AT2707" s="77"/>
      <c r="AU2707" s="77"/>
      <c r="AV2707" s="80" t="str">
        <f>HYPERLINK("https://pbs.twimg.com/profile_images/1588668531910082561/XEi-lXiu_normal.jpg")</f>
        <v>https://pbs.twimg.com/profile_images/1588668531910082561/XEi-lXiu_normal.jpg</v>
      </c>
      <c r="AW2707" s="82" t="s">
        <v>15791</v>
      </c>
      <c r="AX2707" s="82" t="s">
        <v>15791</v>
      </c>
      <c r="AY2707" s="77"/>
      <c r="AZ2707" s="82" t="s">
        <v>17385</v>
      </c>
      <c r="BA2707" s="82" t="s">
        <v>17385</v>
      </c>
      <c r="BB2707" s="82" t="s">
        <v>17385</v>
      </c>
      <c r="BC2707" s="82" t="s">
        <v>15791</v>
      </c>
      <c r="BD2707" s="82" t="s">
        <v>17667</v>
      </c>
      <c r="BE2707" s="77"/>
      <c r="BF2707" s="77"/>
      <c r="BG2707" s="77"/>
      <c r="BH2707" s="77"/>
      <c r="BI2707" s="77"/>
    </row>
    <row r="2708" spans="1:61" x14ac:dyDescent="0.25">
      <c r="A2708" s="62" t="s">
        <v>646</v>
      </c>
      <c r="B2708" s="62" t="s">
        <v>646</v>
      </c>
      <c r="C2708" s="63"/>
      <c r="D2708" s="64"/>
      <c r="E2708" s="65"/>
      <c r="F2708" s="66"/>
      <c r="G2708" s="63"/>
      <c r="H2708" s="67"/>
      <c r="I2708" s="68"/>
      <c r="J2708" s="68"/>
      <c r="K2708" s="32"/>
      <c r="L2708" s="75">
        <v>2708</v>
      </c>
      <c r="M2708" s="75"/>
      <c r="N2708" s="70"/>
      <c r="O2708" s="77" t="s">
        <v>179</v>
      </c>
      <c r="P2708" s="79">
        <v>45057.570069444446</v>
      </c>
      <c r="Q2708" s="77" t="s">
        <v>3485</v>
      </c>
      <c r="R2708" s="77">
        <v>0</v>
      </c>
      <c r="S2708" s="77">
        <v>0</v>
      </c>
      <c r="T2708" s="77">
        <v>0</v>
      </c>
      <c r="U2708" s="77">
        <v>0</v>
      </c>
      <c r="V2708" s="77">
        <v>22</v>
      </c>
      <c r="W2708" s="82" t="s">
        <v>6382</v>
      </c>
      <c r="X2708" s="80" t="str">
        <f>HYPERLINK("https://tinyurl.com/2musplnt")</f>
        <v>https://tinyurl.com/2musplnt</v>
      </c>
      <c r="Y2708" s="77" t="s">
        <v>7068</v>
      </c>
      <c r="Z2708" s="77"/>
      <c r="AA2708" s="77"/>
      <c r="AB2708" s="77"/>
      <c r="AC2708" s="82" t="s">
        <v>8275</v>
      </c>
      <c r="AD2708" s="77" t="s">
        <v>8278</v>
      </c>
      <c r="AE2708" s="80" t="str">
        <f>HYPERLINK("https://twitter.com/pauta_economica/status/1656655622992011266")</f>
        <v>https://twitter.com/pauta_economica/status/1656655622992011266</v>
      </c>
      <c r="AF2708" s="79">
        <v>45057.570069444446</v>
      </c>
      <c r="AG2708" s="85">
        <v>45057</v>
      </c>
      <c r="AH2708" s="82" t="s">
        <v>10747</v>
      </c>
      <c r="AI2708" s="77" t="b">
        <v>0</v>
      </c>
      <c r="AJ2708" s="77"/>
      <c r="AK2708" s="77"/>
      <c r="AL2708" s="77"/>
      <c r="AM2708" s="77"/>
      <c r="AN2708" s="77"/>
      <c r="AO2708" s="77"/>
      <c r="AP2708" s="77"/>
      <c r="AQ2708" s="77"/>
      <c r="AR2708" s="77"/>
      <c r="AS2708" s="77"/>
      <c r="AT2708" s="77"/>
      <c r="AU2708" s="77"/>
      <c r="AV2708" s="80" t="str">
        <f>HYPERLINK("https://pbs.twimg.com/profile_images/1588668531910082561/XEi-lXiu_normal.jpg")</f>
        <v>https://pbs.twimg.com/profile_images/1588668531910082561/XEi-lXiu_normal.jpg</v>
      </c>
      <c r="AW2708" s="82" t="s">
        <v>15792</v>
      </c>
      <c r="AX2708" s="82" t="s">
        <v>15792</v>
      </c>
      <c r="AY2708" s="77"/>
      <c r="AZ2708" s="82" t="s">
        <v>17385</v>
      </c>
      <c r="BA2708" s="82" t="s">
        <v>17385</v>
      </c>
      <c r="BB2708" s="82" t="s">
        <v>17385</v>
      </c>
      <c r="BC2708" s="82" t="s">
        <v>15792</v>
      </c>
      <c r="BD2708" s="82" t="s">
        <v>17667</v>
      </c>
      <c r="BE2708" s="77"/>
      <c r="BF2708" s="77"/>
      <c r="BG2708" s="77"/>
      <c r="BH2708" s="77"/>
      <c r="BI2708" s="77"/>
    </row>
    <row r="2709" spans="1:61" x14ac:dyDescent="0.25">
      <c r="A2709" s="62" t="s">
        <v>646</v>
      </c>
      <c r="B2709" s="62" t="s">
        <v>646</v>
      </c>
      <c r="C2709" s="63"/>
      <c r="D2709" s="64"/>
      <c r="E2709" s="65"/>
      <c r="F2709" s="66"/>
      <c r="G2709" s="63"/>
      <c r="H2709" s="67"/>
      <c r="I2709" s="68"/>
      <c r="J2709" s="68"/>
      <c r="K2709" s="32"/>
      <c r="L2709" s="75">
        <v>2709</v>
      </c>
      <c r="M2709" s="75"/>
      <c r="N2709" s="70"/>
      <c r="O2709" s="77" t="s">
        <v>179</v>
      </c>
      <c r="P2709" s="79">
        <v>45057.56659722222</v>
      </c>
      <c r="Q2709" s="77" t="s">
        <v>3486</v>
      </c>
      <c r="R2709" s="77">
        <v>0</v>
      </c>
      <c r="S2709" s="77">
        <v>0</v>
      </c>
      <c r="T2709" s="77">
        <v>0</v>
      </c>
      <c r="U2709" s="77">
        <v>0</v>
      </c>
      <c r="V2709" s="77">
        <v>16</v>
      </c>
      <c r="W2709" s="82" t="s">
        <v>6382</v>
      </c>
      <c r="X2709" s="80" t="str">
        <f>HYPERLINK("https://tinyurl.com/2kctmtjf")</f>
        <v>https://tinyurl.com/2kctmtjf</v>
      </c>
      <c r="Y2709" s="77" t="s">
        <v>7068</v>
      </c>
      <c r="Z2709" s="77"/>
      <c r="AA2709" s="77"/>
      <c r="AB2709" s="77"/>
      <c r="AC2709" s="82" t="s">
        <v>8275</v>
      </c>
      <c r="AD2709" s="77" t="s">
        <v>8278</v>
      </c>
      <c r="AE2709" s="80" t="str">
        <f>HYPERLINK("https://twitter.com/pauta_economica/status/1656654366743445504")</f>
        <v>https://twitter.com/pauta_economica/status/1656654366743445504</v>
      </c>
      <c r="AF2709" s="79">
        <v>45057.56659722222</v>
      </c>
      <c r="AG2709" s="85">
        <v>45057</v>
      </c>
      <c r="AH2709" s="82" t="s">
        <v>10748</v>
      </c>
      <c r="AI2709" s="77" t="b">
        <v>0</v>
      </c>
      <c r="AJ2709" s="77"/>
      <c r="AK2709" s="77"/>
      <c r="AL2709" s="77"/>
      <c r="AM2709" s="77"/>
      <c r="AN2709" s="77"/>
      <c r="AO2709" s="77"/>
      <c r="AP2709" s="77"/>
      <c r="AQ2709" s="77"/>
      <c r="AR2709" s="77"/>
      <c r="AS2709" s="77"/>
      <c r="AT2709" s="77"/>
      <c r="AU2709" s="77"/>
      <c r="AV2709" s="80" t="str">
        <f>HYPERLINK("https://pbs.twimg.com/profile_images/1588668531910082561/XEi-lXiu_normal.jpg")</f>
        <v>https://pbs.twimg.com/profile_images/1588668531910082561/XEi-lXiu_normal.jpg</v>
      </c>
      <c r="AW2709" s="82" t="s">
        <v>15793</v>
      </c>
      <c r="AX2709" s="82" t="s">
        <v>15793</v>
      </c>
      <c r="AY2709" s="77"/>
      <c r="AZ2709" s="82" t="s">
        <v>17385</v>
      </c>
      <c r="BA2709" s="82" t="s">
        <v>17385</v>
      </c>
      <c r="BB2709" s="82" t="s">
        <v>17385</v>
      </c>
      <c r="BC2709" s="82" t="s">
        <v>15793</v>
      </c>
      <c r="BD2709" s="82" t="s">
        <v>17667</v>
      </c>
      <c r="BE2709" s="77"/>
      <c r="BF2709" s="77"/>
      <c r="BG2709" s="77"/>
      <c r="BH2709" s="77"/>
      <c r="BI2709" s="77"/>
    </row>
    <row r="2710" spans="1:61" x14ac:dyDescent="0.25">
      <c r="A2710" s="62" t="s">
        <v>646</v>
      </c>
      <c r="B2710" s="62" t="s">
        <v>646</v>
      </c>
      <c r="C2710" s="63"/>
      <c r="D2710" s="64"/>
      <c r="E2710" s="65"/>
      <c r="F2710" s="66"/>
      <c r="G2710" s="63"/>
      <c r="H2710" s="67"/>
      <c r="I2710" s="68"/>
      <c r="J2710" s="68"/>
      <c r="K2710" s="32"/>
      <c r="L2710" s="75">
        <v>2710</v>
      </c>
      <c r="M2710" s="75"/>
      <c r="N2710" s="70"/>
      <c r="O2710" s="77" t="s">
        <v>179</v>
      </c>
      <c r="P2710" s="79">
        <v>45057.542199074072</v>
      </c>
      <c r="Q2710" s="77" t="s">
        <v>3487</v>
      </c>
      <c r="R2710" s="77">
        <v>0</v>
      </c>
      <c r="S2710" s="77">
        <v>0</v>
      </c>
      <c r="T2710" s="77">
        <v>0</v>
      </c>
      <c r="U2710" s="77">
        <v>0</v>
      </c>
      <c r="V2710" s="77">
        <v>13</v>
      </c>
      <c r="W2710" s="82" t="s">
        <v>6382</v>
      </c>
      <c r="X2710" s="80" t="str">
        <f>HYPERLINK("https://tinyurl.com/2fe795o8")</f>
        <v>https://tinyurl.com/2fe795o8</v>
      </c>
      <c r="Y2710" s="77" t="s">
        <v>7068</v>
      </c>
      <c r="Z2710" s="77"/>
      <c r="AA2710" s="77"/>
      <c r="AB2710" s="77"/>
      <c r="AC2710" s="82" t="s">
        <v>8275</v>
      </c>
      <c r="AD2710" s="77" t="s">
        <v>8278</v>
      </c>
      <c r="AE2710" s="80" t="str">
        <f>HYPERLINK("https://twitter.com/pauta_economica/status/1656645523015598081")</f>
        <v>https://twitter.com/pauta_economica/status/1656645523015598081</v>
      </c>
      <c r="AF2710" s="79">
        <v>45057.542199074072</v>
      </c>
      <c r="AG2710" s="85">
        <v>45057</v>
      </c>
      <c r="AH2710" s="82" t="s">
        <v>10749</v>
      </c>
      <c r="AI2710" s="77" t="b">
        <v>0</v>
      </c>
      <c r="AJ2710" s="77"/>
      <c r="AK2710" s="77"/>
      <c r="AL2710" s="77"/>
      <c r="AM2710" s="77"/>
      <c r="AN2710" s="77"/>
      <c r="AO2710" s="77"/>
      <c r="AP2710" s="77"/>
      <c r="AQ2710" s="77"/>
      <c r="AR2710" s="77"/>
      <c r="AS2710" s="77"/>
      <c r="AT2710" s="77"/>
      <c r="AU2710" s="77"/>
      <c r="AV2710" s="80" t="str">
        <f>HYPERLINK("https://pbs.twimg.com/profile_images/1588668531910082561/XEi-lXiu_normal.jpg")</f>
        <v>https://pbs.twimg.com/profile_images/1588668531910082561/XEi-lXiu_normal.jpg</v>
      </c>
      <c r="AW2710" s="82" t="s">
        <v>15794</v>
      </c>
      <c r="AX2710" s="82" t="s">
        <v>15794</v>
      </c>
      <c r="AY2710" s="77"/>
      <c r="AZ2710" s="82" t="s">
        <v>17385</v>
      </c>
      <c r="BA2710" s="82" t="s">
        <v>17385</v>
      </c>
      <c r="BB2710" s="82" t="s">
        <v>17385</v>
      </c>
      <c r="BC2710" s="82" t="s">
        <v>15794</v>
      </c>
      <c r="BD2710" s="82" t="s">
        <v>17667</v>
      </c>
      <c r="BE2710" s="77"/>
      <c r="BF2710" s="77"/>
      <c r="BG2710" s="77"/>
      <c r="BH2710" s="77"/>
      <c r="BI2710" s="77"/>
    </row>
    <row r="2711" spans="1:61" x14ac:dyDescent="0.25">
      <c r="A2711" s="62" t="s">
        <v>646</v>
      </c>
      <c r="B2711" s="62" t="s">
        <v>646</v>
      </c>
      <c r="C2711" s="63"/>
      <c r="D2711" s="64"/>
      <c r="E2711" s="65"/>
      <c r="F2711" s="66"/>
      <c r="G2711" s="63"/>
      <c r="H2711" s="67"/>
      <c r="I2711" s="68"/>
      <c r="J2711" s="68"/>
      <c r="K2711" s="32"/>
      <c r="L2711" s="75">
        <v>2711</v>
      </c>
      <c r="M2711" s="75"/>
      <c r="N2711" s="70"/>
      <c r="O2711" s="77" t="s">
        <v>179</v>
      </c>
      <c r="P2711" s="79">
        <v>45057.538726851853</v>
      </c>
      <c r="Q2711" s="77" t="s">
        <v>3488</v>
      </c>
      <c r="R2711" s="77">
        <v>0</v>
      </c>
      <c r="S2711" s="77">
        <v>0</v>
      </c>
      <c r="T2711" s="77">
        <v>0</v>
      </c>
      <c r="U2711" s="77">
        <v>0</v>
      </c>
      <c r="V2711" s="77">
        <v>16</v>
      </c>
      <c r="W2711" s="82" t="s">
        <v>6382</v>
      </c>
      <c r="X2711" s="80" t="str">
        <f>HYPERLINK("https://tinyurl.com/2pjntpst")</f>
        <v>https://tinyurl.com/2pjntpst</v>
      </c>
      <c r="Y2711" s="77" t="s">
        <v>7068</v>
      </c>
      <c r="Z2711" s="77"/>
      <c r="AA2711" s="77"/>
      <c r="AB2711" s="77"/>
      <c r="AC2711" s="82" t="s">
        <v>8275</v>
      </c>
      <c r="AD2711" s="77" t="s">
        <v>8278</v>
      </c>
      <c r="AE2711" s="80" t="str">
        <f>HYPERLINK("https://twitter.com/pauta_economica/status/1656644265164914689")</f>
        <v>https://twitter.com/pauta_economica/status/1656644265164914689</v>
      </c>
      <c r="AF2711" s="79">
        <v>45057.538726851853</v>
      </c>
      <c r="AG2711" s="85">
        <v>45057</v>
      </c>
      <c r="AH2711" s="82" t="s">
        <v>10750</v>
      </c>
      <c r="AI2711" s="77" t="b">
        <v>0</v>
      </c>
      <c r="AJ2711" s="77"/>
      <c r="AK2711" s="77"/>
      <c r="AL2711" s="77"/>
      <c r="AM2711" s="77"/>
      <c r="AN2711" s="77"/>
      <c r="AO2711" s="77"/>
      <c r="AP2711" s="77"/>
      <c r="AQ2711" s="77"/>
      <c r="AR2711" s="77"/>
      <c r="AS2711" s="77"/>
      <c r="AT2711" s="77"/>
      <c r="AU2711" s="77"/>
      <c r="AV2711" s="80" t="str">
        <f>HYPERLINK("https://pbs.twimg.com/profile_images/1588668531910082561/XEi-lXiu_normal.jpg")</f>
        <v>https://pbs.twimg.com/profile_images/1588668531910082561/XEi-lXiu_normal.jpg</v>
      </c>
      <c r="AW2711" s="82" t="s">
        <v>15795</v>
      </c>
      <c r="AX2711" s="82" t="s">
        <v>15795</v>
      </c>
      <c r="AY2711" s="77"/>
      <c r="AZ2711" s="82" t="s">
        <v>17385</v>
      </c>
      <c r="BA2711" s="82" t="s">
        <v>17385</v>
      </c>
      <c r="BB2711" s="82" t="s">
        <v>17385</v>
      </c>
      <c r="BC2711" s="82" t="s">
        <v>15795</v>
      </c>
      <c r="BD2711" s="82" t="s">
        <v>17667</v>
      </c>
      <c r="BE2711" s="77"/>
      <c r="BF2711" s="77"/>
      <c r="BG2711" s="77"/>
      <c r="BH2711" s="77"/>
      <c r="BI2711" s="77"/>
    </row>
    <row r="2712" spans="1:61" x14ac:dyDescent="0.25">
      <c r="A2712" s="62" t="s">
        <v>646</v>
      </c>
      <c r="B2712" s="62" t="s">
        <v>646</v>
      </c>
      <c r="C2712" s="63"/>
      <c r="D2712" s="64"/>
      <c r="E2712" s="65"/>
      <c r="F2712" s="66"/>
      <c r="G2712" s="63"/>
      <c r="H2712" s="67"/>
      <c r="I2712" s="68"/>
      <c r="J2712" s="68"/>
      <c r="K2712" s="32"/>
      <c r="L2712" s="75">
        <v>2712</v>
      </c>
      <c r="M2712" s="75"/>
      <c r="N2712" s="70"/>
      <c r="O2712" s="77" t="s">
        <v>179</v>
      </c>
      <c r="P2712" s="79">
        <v>45057.531793981485</v>
      </c>
      <c r="Q2712" s="77" t="s">
        <v>3489</v>
      </c>
      <c r="R2712" s="77">
        <v>0</v>
      </c>
      <c r="S2712" s="77">
        <v>0</v>
      </c>
      <c r="T2712" s="77">
        <v>0</v>
      </c>
      <c r="U2712" s="77">
        <v>0</v>
      </c>
      <c r="V2712" s="77">
        <v>38</v>
      </c>
      <c r="W2712" s="82" t="s">
        <v>6382</v>
      </c>
      <c r="X2712" s="80" t="str">
        <f>HYPERLINK("https://tinyurl.com/2joskv3l")</f>
        <v>https://tinyurl.com/2joskv3l</v>
      </c>
      <c r="Y2712" s="77" t="s">
        <v>7068</v>
      </c>
      <c r="Z2712" s="77"/>
      <c r="AA2712" s="77"/>
      <c r="AB2712" s="77"/>
      <c r="AC2712" s="82" t="s">
        <v>8275</v>
      </c>
      <c r="AD2712" s="77" t="s">
        <v>8278</v>
      </c>
      <c r="AE2712" s="80" t="str">
        <f>HYPERLINK("https://twitter.com/pauta_economica/status/1656641751489163264")</f>
        <v>https://twitter.com/pauta_economica/status/1656641751489163264</v>
      </c>
      <c r="AF2712" s="79">
        <v>45057.531793981485</v>
      </c>
      <c r="AG2712" s="85">
        <v>45057</v>
      </c>
      <c r="AH2712" s="82" t="s">
        <v>10751</v>
      </c>
      <c r="AI2712" s="77" t="b">
        <v>0</v>
      </c>
      <c r="AJ2712" s="77"/>
      <c r="AK2712" s="77"/>
      <c r="AL2712" s="77"/>
      <c r="AM2712" s="77"/>
      <c r="AN2712" s="77"/>
      <c r="AO2712" s="77"/>
      <c r="AP2712" s="77"/>
      <c r="AQ2712" s="77"/>
      <c r="AR2712" s="77"/>
      <c r="AS2712" s="77"/>
      <c r="AT2712" s="77"/>
      <c r="AU2712" s="77"/>
      <c r="AV2712" s="80" t="str">
        <f>HYPERLINK("https://pbs.twimg.com/profile_images/1588668531910082561/XEi-lXiu_normal.jpg")</f>
        <v>https://pbs.twimg.com/profile_images/1588668531910082561/XEi-lXiu_normal.jpg</v>
      </c>
      <c r="AW2712" s="82" t="s">
        <v>15796</v>
      </c>
      <c r="AX2712" s="82" t="s">
        <v>15796</v>
      </c>
      <c r="AY2712" s="77"/>
      <c r="AZ2712" s="82" t="s">
        <v>17385</v>
      </c>
      <c r="BA2712" s="82" t="s">
        <v>17385</v>
      </c>
      <c r="BB2712" s="82" t="s">
        <v>17385</v>
      </c>
      <c r="BC2712" s="82" t="s">
        <v>15796</v>
      </c>
      <c r="BD2712" s="82" t="s">
        <v>17667</v>
      </c>
      <c r="BE2712" s="77"/>
      <c r="BF2712" s="77"/>
      <c r="BG2712" s="77"/>
      <c r="BH2712" s="77"/>
      <c r="BI2712" s="77"/>
    </row>
    <row r="2713" spans="1:61" x14ac:dyDescent="0.25">
      <c r="A2713" s="62" t="s">
        <v>646</v>
      </c>
      <c r="B2713" s="62" t="s">
        <v>646</v>
      </c>
      <c r="C2713" s="63"/>
      <c r="D2713" s="64"/>
      <c r="E2713" s="65"/>
      <c r="F2713" s="66"/>
      <c r="G2713" s="63"/>
      <c r="H2713" s="67"/>
      <c r="I2713" s="68"/>
      <c r="J2713" s="68"/>
      <c r="K2713" s="32"/>
      <c r="L2713" s="75">
        <v>2713</v>
      </c>
      <c r="M2713" s="75"/>
      <c r="N2713" s="70"/>
      <c r="O2713" s="77" t="s">
        <v>179</v>
      </c>
      <c r="P2713" s="79">
        <v>45057.517847222225</v>
      </c>
      <c r="Q2713" s="77" t="s">
        <v>3490</v>
      </c>
      <c r="R2713" s="77">
        <v>0</v>
      </c>
      <c r="S2713" s="77">
        <v>0</v>
      </c>
      <c r="T2713" s="77">
        <v>0</v>
      </c>
      <c r="U2713" s="77">
        <v>0</v>
      </c>
      <c r="V2713" s="77">
        <v>20</v>
      </c>
      <c r="W2713" s="82" t="s">
        <v>6382</v>
      </c>
      <c r="X2713" s="80" t="str">
        <f>HYPERLINK("https://tinyurl.com/2fj98h2c")</f>
        <v>https://tinyurl.com/2fj98h2c</v>
      </c>
      <c r="Y2713" s="77" t="s">
        <v>7068</v>
      </c>
      <c r="Z2713" s="77"/>
      <c r="AA2713" s="77"/>
      <c r="AB2713" s="77"/>
      <c r="AC2713" s="82" t="s">
        <v>8275</v>
      </c>
      <c r="AD2713" s="77" t="s">
        <v>8278</v>
      </c>
      <c r="AE2713" s="80" t="str">
        <f>HYPERLINK("https://twitter.com/pauta_economica/status/1656636699600986113")</f>
        <v>https://twitter.com/pauta_economica/status/1656636699600986113</v>
      </c>
      <c r="AF2713" s="79">
        <v>45057.517847222225</v>
      </c>
      <c r="AG2713" s="85">
        <v>45057</v>
      </c>
      <c r="AH2713" s="82" t="s">
        <v>10752</v>
      </c>
      <c r="AI2713" s="77" t="b">
        <v>0</v>
      </c>
      <c r="AJ2713" s="77"/>
      <c r="AK2713" s="77"/>
      <c r="AL2713" s="77"/>
      <c r="AM2713" s="77"/>
      <c r="AN2713" s="77"/>
      <c r="AO2713" s="77"/>
      <c r="AP2713" s="77"/>
      <c r="AQ2713" s="77"/>
      <c r="AR2713" s="77"/>
      <c r="AS2713" s="77"/>
      <c r="AT2713" s="77"/>
      <c r="AU2713" s="77"/>
      <c r="AV2713" s="80" t="str">
        <f>HYPERLINK("https://pbs.twimg.com/profile_images/1588668531910082561/XEi-lXiu_normal.jpg")</f>
        <v>https://pbs.twimg.com/profile_images/1588668531910082561/XEi-lXiu_normal.jpg</v>
      </c>
      <c r="AW2713" s="82" t="s">
        <v>15797</v>
      </c>
      <c r="AX2713" s="82" t="s">
        <v>15797</v>
      </c>
      <c r="AY2713" s="77"/>
      <c r="AZ2713" s="82" t="s">
        <v>17385</v>
      </c>
      <c r="BA2713" s="82" t="s">
        <v>17385</v>
      </c>
      <c r="BB2713" s="82" t="s">
        <v>17385</v>
      </c>
      <c r="BC2713" s="82" t="s">
        <v>15797</v>
      </c>
      <c r="BD2713" s="82" t="s">
        <v>17667</v>
      </c>
      <c r="BE2713" s="77"/>
      <c r="BF2713" s="77"/>
      <c r="BG2713" s="77"/>
      <c r="BH2713" s="77"/>
      <c r="BI2713" s="77"/>
    </row>
    <row r="2714" spans="1:61" x14ac:dyDescent="0.25">
      <c r="A2714" s="62" t="s">
        <v>646</v>
      </c>
      <c r="B2714" s="62" t="s">
        <v>646</v>
      </c>
      <c r="C2714" s="63"/>
      <c r="D2714" s="64"/>
      <c r="E2714" s="65"/>
      <c r="F2714" s="66"/>
      <c r="G2714" s="63"/>
      <c r="H2714" s="67"/>
      <c r="I2714" s="68"/>
      <c r="J2714" s="68"/>
      <c r="K2714" s="32"/>
      <c r="L2714" s="75">
        <v>2714</v>
      </c>
      <c r="M2714" s="75"/>
      <c r="N2714" s="70"/>
      <c r="O2714" s="77" t="s">
        <v>179</v>
      </c>
      <c r="P2714" s="79">
        <v>45057.510925925926</v>
      </c>
      <c r="Q2714" s="77" t="s">
        <v>3491</v>
      </c>
      <c r="R2714" s="77">
        <v>0</v>
      </c>
      <c r="S2714" s="77">
        <v>0</v>
      </c>
      <c r="T2714" s="77">
        <v>0</v>
      </c>
      <c r="U2714" s="77">
        <v>0</v>
      </c>
      <c r="V2714" s="77">
        <v>21</v>
      </c>
      <c r="W2714" s="82" t="s">
        <v>6382</v>
      </c>
      <c r="X2714" s="80" t="str">
        <f>HYPERLINK("https://tinyurl.com/2qf3rrtj")</f>
        <v>https://tinyurl.com/2qf3rrtj</v>
      </c>
      <c r="Y2714" s="77" t="s">
        <v>7068</v>
      </c>
      <c r="Z2714" s="77"/>
      <c r="AA2714" s="77"/>
      <c r="AB2714" s="77"/>
      <c r="AC2714" s="82" t="s">
        <v>8275</v>
      </c>
      <c r="AD2714" s="77" t="s">
        <v>8278</v>
      </c>
      <c r="AE2714" s="80" t="str">
        <f>HYPERLINK("https://twitter.com/pauta_economica/status/1656634188655734786")</f>
        <v>https://twitter.com/pauta_economica/status/1656634188655734786</v>
      </c>
      <c r="AF2714" s="79">
        <v>45057.510925925926</v>
      </c>
      <c r="AG2714" s="85">
        <v>45057</v>
      </c>
      <c r="AH2714" s="82" t="s">
        <v>10753</v>
      </c>
      <c r="AI2714" s="77" t="b">
        <v>0</v>
      </c>
      <c r="AJ2714" s="77"/>
      <c r="AK2714" s="77"/>
      <c r="AL2714" s="77"/>
      <c r="AM2714" s="77"/>
      <c r="AN2714" s="77"/>
      <c r="AO2714" s="77"/>
      <c r="AP2714" s="77"/>
      <c r="AQ2714" s="77"/>
      <c r="AR2714" s="77"/>
      <c r="AS2714" s="77"/>
      <c r="AT2714" s="77"/>
      <c r="AU2714" s="77"/>
      <c r="AV2714" s="80" t="str">
        <f>HYPERLINK("https://pbs.twimg.com/profile_images/1588668531910082561/XEi-lXiu_normal.jpg")</f>
        <v>https://pbs.twimg.com/profile_images/1588668531910082561/XEi-lXiu_normal.jpg</v>
      </c>
      <c r="AW2714" s="82" t="s">
        <v>15798</v>
      </c>
      <c r="AX2714" s="82" t="s">
        <v>15798</v>
      </c>
      <c r="AY2714" s="77"/>
      <c r="AZ2714" s="82" t="s">
        <v>17385</v>
      </c>
      <c r="BA2714" s="82" t="s">
        <v>17385</v>
      </c>
      <c r="BB2714" s="82" t="s">
        <v>17385</v>
      </c>
      <c r="BC2714" s="82" t="s">
        <v>15798</v>
      </c>
      <c r="BD2714" s="82" t="s">
        <v>17667</v>
      </c>
      <c r="BE2714" s="77"/>
      <c r="BF2714" s="77"/>
      <c r="BG2714" s="77"/>
      <c r="BH2714" s="77"/>
      <c r="BI2714" s="77"/>
    </row>
    <row r="2715" spans="1:61" x14ac:dyDescent="0.25">
      <c r="A2715" s="62" t="s">
        <v>646</v>
      </c>
      <c r="B2715" s="62" t="s">
        <v>646</v>
      </c>
      <c r="C2715" s="63"/>
      <c r="D2715" s="64"/>
      <c r="E2715" s="65"/>
      <c r="F2715" s="66"/>
      <c r="G2715" s="63"/>
      <c r="H2715" s="67"/>
      <c r="I2715" s="68"/>
      <c r="J2715" s="68"/>
      <c r="K2715" s="32"/>
      <c r="L2715" s="75">
        <v>2715</v>
      </c>
      <c r="M2715" s="75"/>
      <c r="N2715" s="70"/>
      <c r="O2715" s="77" t="s">
        <v>179</v>
      </c>
      <c r="P2715" s="79">
        <v>45057.290752314817</v>
      </c>
      <c r="Q2715" s="77" t="s">
        <v>3492</v>
      </c>
      <c r="R2715" s="77">
        <v>0</v>
      </c>
      <c r="S2715" s="77">
        <v>0</v>
      </c>
      <c r="T2715" s="77">
        <v>0</v>
      </c>
      <c r="U2715" s="77">
        <v>0</v>
      </c>
      <c r="V2715" s="77">
        <v>21</v>
      </c>
      <c r="W2715" s="82" t="s">
        <v>6382</v>
      </c>
      <c r="X2715" s="80" t="str">
        <f>HYPERLINK("https://tinyurl.com/2l5k86e8")</f>
        <v>https://tinyurl.com/2l5k86e8</v>
      </c>
      <c r="Y2715" s="77" t="s">
        <v>7068</v>
      </c>
      <c r="Z2715" s="77"/>
      <c r="AA2715" s="77"/>
      <c r="AB2715" s="77"/>
      <c r="AC2715" s="82" t="s">
        <v>8275</v>
      </c>
      <c r="AD2715" s="77" t="s">
        <v>8278</v>
      </c>
      <c r="AE2715" s="80" t="str">
        <f>HYPERLINK("https://twitter.com/pauta_economica/status/1656554402772033536")</f>
        <v>https://twitter.com/pauta_economica/status/1656554402772033536</v>
      </c>
      <c r="AF2715" s="79">
        <v>45057.290752314817</v>
      </c>
      <c r="AG2715" s="85">
        <v>45057</v>
      </c>
      <c r="AH2715" s="82" t="s">
        <v>10754</v>
      </c>
      <c r="AI2715" s="77" t="b">
        <v>0</v>
      </c>
      <c r="AJ2715" s="77"/>
      <c r="AK2715" s="77"/>
      <c r="AL2715" s="77"/>
      <c r="AM2715" s="77"/>
      <c r="AN2715" s="77"/>
      <c r="AO2715" s="77"/>
      <c r="AP2715" s="77"/>
      <c r="AQ2715" s="77"/>
      <c r="AR2715" s="77"/>
      <c r="AS2715" s="77"/>
      <c r="AT2715" s="77"/>
      <c r="AU2715" s="77"/>
      <c r="AV2715" s="80" t="str">
        <f>HYPERLINK("https://pbs.twimg.com/profile_images/1588668531910082561/XEi-lXiu_normal.jpg")</f>
        <v>https://pbs.twimg.com/profile_images/1588668531910082561/XEi-lXiu_normal.jpg</v>
      </c>
      <c r="AW2715" s="82" t="s">
        <v>15799</v>
      </c>
      <c r="AX2715" s="82" t="s">
        <v>15799</v>
      </c>
      <c r="AY2715" s="77"/>
      <c r="AZ2715" s="82" t="s">
        <v>17385</v>
      </c>
      <c r="BA2715" s="82" t="s">
        <v>17385</v>
      </c>
      <c r="BB2715" s="82" t="s">
        <v>17385</v>
      </c>
      <c r="BC2715" s="82" t="s">
        <v>15799</v>
      </c>
      <c r="BD2715" s="82" t="s">
        <v>17667</v>
      </c>
      <c r="BE2715" s="77"/>
      <c r="BF2715" s="77"/>
      <c r="BG2715" s="77"/>
      <c r="BH2715" s="77"/>
      <c r="BI2715" s="77"/>
    </row>
    <row r="2716" spans="1:61" x14ac:dyDescent="0.25">
      <c r="A2716" s="62" t="s">
        <v>646</v>
      </c>
      <c r="B2716" s="62" t="s">
        <v>646</v>
      </c>
      <c r="C2716" s="63"/>
      <c r="D2716" s="64"/>
      <c r="E2716" s="65"/>
      <c r="F2716" s="66"/>
      <c r="G2716" s="63"/>
      <c r="H2716" s="67"/>
      <c r="I2716" s="68"/>
      <c r="J2716" s="68"/>
      <c r="K2716" s="32"/>
      <c r="L2716" s="75">
        <v>2716</v>
      </c>
      <c r="M2716" s="75"/>
      <c r="N2716" s="70"/>
      <c r="O2716" s="77" t="s">
        <v>179</v>
      </c>
      <c r="P2716" s="79">
        <v>45057.262824074074</v>
      </c>
      <c r="Q2716" s="77" t="s">
        <v>3493</v>
      </c>
      <c r="R2716" s="77">
        <v>0</v>
      </c>
      <c r="S2716" s="77">
        <v>0</v>
      </c>
      <c r="T2716" s="77">
        <v>0</v>
      </c>
      <c r="U2716" s="77">
        <v>1</v>
      </c>
      <c r="V2716" s="77">
        <v>191</v>
      </c>
      <c r="W2716" s="82" t="s">
        <v>6382</v>
      </c>
      <c r="X2716" s="80" t="str">
        <f>HYPERLINK("https://tinyurl.com/2zgmhqsj")</f>
        <v>https://tinyurl.com/2zgmhqsj</v>
      </c>
      <c r="Y2716" s="77" t="s">
        <v>7068</v>
      </c>
      <c r="Z2716" s="77"/>
      <c r="AA2716" s="77"/>
      <c r="AB2716" s="77"/>
      <c r="AC2716" s="82" t="s">
        <v>8275</v>
      </c>
      <c r="AD2716" s="77" t="s">
        <v>8278</v>
      </c>
      <c r="AE2716" s="80" t="str">
        <f>HYPERLINK("https://twitter.com/pauta_economica/status/1656544283413954561")</f>
        <v>https://twitter.com/pauta_economica/status/1656544283413954561</v>
      </c>
      <c r="AF2716" s="79">
        <v>45057.262824074074</v>
      </c>
      <c r="AG2716" s="85">
        <v>45057</v>
      </c>
      <c r="AH2716" s="82" t="s">
        <v>10755</v>
      </c>
      <c r="AI2716" s="77" t="b">
        <v>0</v>
      </c>
      <c r="AJ2716" s="77"/>
      <c r="AK2716" s="77"/>
      <c r="AL2716" s="77"/>
      <c r="AM2716" s="77"/>
      <c r="AN2716" s="77"/>
      <c r="AO2716" s="77"/>
      <c r="AP2716" s="77"/>
      <c r="AQ2716" s="77"/>
      <c r="AR2716" s="77"/>
      <c r="AS2716" s="77"/>
      <c r="AT2716" s="77"/>
      <c r="AU2716" s="77"/>
      <c r="AV2716" s="80" t="str">
        <f>HYPERLINK("https://pbs.twimg.com/profile_images/1588668531910082561/XEi-lXiu_normal.jpg")</f>
        <v>https://pbs.twimg.com/profile_images/1588668531910082561/XEi-lXiu_normal.jpg</v>
      </c>
      <c r="AW2716" s="82" t="s">
        <v>15800</v>
      </c>
      <c r="AX2716" s="82" t="s">
        <v>15800</v>
      </c>
      <c r="AY2716" s="77"/>
      <c r="AZ2716" s="82" t="s">
        <v>17385</v>
      </c>
      <c r="BA2716" s="82" t="s">
        <v>17385</v>
      </c>
      <c r="BB2716" s="82" t="s">
        <v>17385</v>
      </c>
      <c r="BC2716" s="82" t="s">
        <v>15800</v>
      </c>
      <c r="BD2716" s="82" t="s">
        <v>17667</v>
      </c>
      <c r="BE2716" s="77"/>
      <c r="BF2716" s="77"/>
      <c r="BG2716" s="77"/>
      <c r="BH2716" s="77"/>
      <c r="BI2716" s="77"/>
    </row>
    <row r="2717" spans="1:61" x14ac:dyDescent="0.25">
      <c r="A2717" s="62" t="s">
        <v>646</v>
      </c>
      <c r="B2717" s="62" t="s">
        <v>646</v>
      </c>
      <c r="C2717" s="63"/>
      <c r="D2717" s="64"/>
      <c r="E2717" s="65"/>
      <c r="F2717" s="66"/>
      <c r="G2717" s="63"/>
      <c r="H2717" s="67"/>
      <c r="I2717" s="68"/>
      <c r="J2717" s="68"/>
      <c r="K2717" s="32"/>
      <c r="L2717" s="75">
        <v>2717</v>
      </c>
      <c r="M2717" s="75"/>
      <c r="N2717" s="70"/>
      <c r="O2717" s="77" t="s">
        <v>179</v>
      </c>
      <c r="P2717" s="79">
        <v>45057.234791666669</v>
      </c>
      <c r="Q2717" s="77" t="s">
        <v>3494</v>
      </c>
      <c r="R2717" s="77">
        <v>0</v>
      </c>
      <c r="S2717" s="77">
        <v>0</v>
      </c>
      <c r="T2717" s="77">
        <v>0</v>
      </c>
      <c r="U2717" s="77">
        <v>0</v>
      </c>
      <c r="V2717" s="77">
        <v>58</v>
      </c>
      <c r="W2717" s="82" t="s">
        <v>6382</v>
      </c>
      <c r="X2717" s="80" t="str">
        <f>HYPERLINK("https://tinyurl.com/2octooxy")</f>
        <v>https://tinyurl.com/2octooxy</v>
      </c>
      <c r="Y2717" s="77" t="s">
        <v>7068</v>
      </c>
      <c r="Z2717" s="77"/>
      <c r="AA2717" s="77"/>
      <c r="AB2717" s="77"/>
      <c r="AC2717" s="82" t="s">
        <v>8275</v>
      </c>
      <c r="AD2717" s="77" t="s">
        <v>8278</v>
      </c>
      <c r="AE2717" s="80" t="str">
        <f>HYPERLINK("https://twitter.com/pauta_economica/status/1656534122511122432")</f>
        <v>https://twitter.com/pauta_economica/status/1656534122511122432</v>
      </c>
      <c r="AF2717" s="79">
        <v>45057.234791666669</v>
      </c>
      <c r="AG2717" s="85">
        <v>45057</v>
      </c>
      <c r="AH2717" s="82" t="s">
        <v>10756</v>
      </c>
      <c r="AI2717" s="77" t="b">
        <v>0</v>
      </c>
      <c r="AJ2717" s="77"/>
      <c r="AK2717" s="77"/>
      <c r="AL2717" s="77"/>
      <c r="AM2717" s="77"/>
      <c r="AN2717" s="77"/>
      <c r="AO2717" s="77"/>
      <c r="AP2717" s="77"/>
      <c r="AQ2717" s="77"/>
      <c r="AR2717" s="77"/>
      <c r="AS2717" s="77"/>
      <c r="AT2717" s="77"/>
      <c r="AU2717" s="77"/>
      <c r="AV2717" s="80" t="str">
        <f>HYPERLINK("https://pbs.twimg.com/profile_images/1588668531910082561/XEi-lXiu_normal.jpg")</f>
        <v>https://pbs.twimg.com/profile_images/1588668531910082561/XEi-lXiu_normal.jpg</v>
      </c>
      <c r="AW2717" s="82" t="s">
        <v>15801</v>
      </c>
      <c r="AX2717" s="82" t="s">
        <v>15801</v>
      </c>
      <c r="AY2717" s="77"/>
      <c r="AZ2717" s="82" t="s">
        <v>17385</v>
      </c>
      <c r="BA2717" s="82" t="s">
        <v>17385</v>
      </c>
      <c r="BB2717" s="82" t="s">
        <v>17385</v>
      </c>
      <c r="BC2717" s="82" t="s">
        <v>15801</v>
      </c>
      <c r="BD2717" s="82" t="s">
        <v>17667</v>
      </c>
      <c r="BE2717" s="77"/>
      <c r="BF2717" s="77"/>
      <c r="BG2717" s="77"/>
      <c r="BH2717" s="77"/>
      <c r="BI2717" s="77"/>
    </row>
    <row r="2718" spans="1:61" x14ac:dyDescent="0.25">
      <c r="A2718" s="62" t="s">
        <v>646</v>
      </c>
      <c r="B2718" s="62" t="s">
        <v>646</v>
      </c>
      <c r="C2718" s="63"/>
      <c r="D2718" s="64"/>
      <c r="E2718" s="65"/>
      <c r="F2718" s="66"/>
      <c r="G2718" s="63"/>
      <c r="H2718" s="67"/>
      <c r="I2718" s="68"/>
      <c r="J2718" s="68"/>
      <c r="K2718" s="32"/>
      <c r="L2718" s="75">
        <v>2718</v>
      </c>
      <c r="M2718" s="75"/>
      <c r="N2718" s="70"/>
      <c r="O2718" s="77" t="s">
        <v>179</v>
      </c>
      <c r="P2718" s="79">
        <v>45057.206759259258</v>
      </c>
      <c r="Q2718" s="77" t="s">
        <v>3495</v>
      </c>
      <c r="R2718" s="77">
        <v>0</v>
      </c>
      <c r="S2718" s="77">
        <v>0</v>
      </c>
      <c r="T2718" s="77">
        <v>0</v>
      </c>
      <c r="U2718" s="77">
        <v>0</v>
      </c>
      <c r="V2718" s="77">
        <v>52</v>
      </c>
      <c r="W2718" s="82" t="s">
        <v>6382</v>
      </c>
      <c r="X2718" s="80" t="str">
        <f>HYPERLINK("https://tinyurl.com/2mn8cd4x")</f>
        <v>https://tinyurl.com/2mn8cd4x</v>
      </c>
      <c r="Y2718" s="77" t="s">
        <v>7068</v>
      </c>
      <c r="Z2718" s="77"/>
      <c r="AA2718" s="77"/>
      <c r="AB2718" s="77"/>
      <c r="AC2718" s="82" t="s">
        <v>8275</v>
      </c>
      <c r="AD2718" s="77" t="s">
        <v>8278</v>
      </c>
      <c r="AE2718" s="80" t="str">
        <f>HYPERLINK("https://twitter.com/pauta_economica/status/1656523962883481600")</f>
        <v>https://twitter.com/pauta_economica/status/1656523962883481600</v>
      </c>
      <c r="AF2718" s="79">
        <v>45057.206759259258</v>
      </c>
      <c r="AG2718" s="85">
        <v>45057</v>
      </c>
      <c r="AH2718" s="82" t="s">
        <v>10757</v>
      </c>
      <c r="AI2718" s="77" t="b">
        <v>0</v>
      </c>
      <c r="AJ2718" s="77"/>
      <c r="AK2718" s="77"/>
      <c r="AL2718" s="77"/>
      <c r="AM2718" s="77"/>
      <c r="AN2718" s="77"/>
      <c r="AO2718" s="77"/>
      <c r="AP2718" s="77"/>
      <c r="AQ2718" s="77"/>
      <c r="AR2718" s="77"/>
      <c r="AS2718" s="77"/>
      <c r="AT2718" s="77"/>
      <c r="AU2718" s="77"/>
      <c r="AV2718" s="80" t="str">
        <f>HYPERLINK("https://pbs.twimg.com/profile_images/1588668531910082561/XEi-lXiu_normal.jpg")</f>
        <v>https://pbs.twimg.com/profile_images/1588668531910082561/XEi-lXiu_normal.jpg</v>
      </c>
      <c r="AW2718" s="82" t="s">
        <v>15802</v>
      </c>
      <c r="AX2718" s="82" t="s">
        <v>15802</v>
      </c>
      <c r="AY2718" s="77"/>
      <c r="AZ2718" s="82" t="s">
        <v>17385</v>
      </c>
      <c r="BA2718" s="82" t="s">
        <v>17385</v>
      </c>
      <c r="BB2718" s="82" t="s">
        <v>17385</v>
      </c>
      <c r="BC2718" s="82" t="s">
        <v>15802</v>
      </c>
      <c r="BD2718" s="82" t="s">
        <v>17667</v>
      </c>
      <c r="BE2718" s="77"/>
      <c r="BF2718" s="77"/>
      <c r="BG2718" s="77"/>
      <c r="BH2718" s="77"/>
      <c r="BI2718" s="77"/>
    </row>
    <row r="2719" spans="1:61" x14ac:dyDescent="0.25">
      <c r="A2719" s="62" t="s">
        <v>646</v>
      </c>
      <c r="B2719" s="62" t="s">
        <v>646</v>
      </c>
      <c r="C2719" s="63"/>
      <c r="D2719" s="64"/>
      <c r="E2719" s="65"/>
      <c r="F2719" s="66"/>
      <c r="G2719" s="63"/>
      <c r="H2719" s="67"/>
      <c r="I2719" s="68"/>
      <c r="J2719" s="68"/>
      <c r="K2719" s="32"/>
      <c r="L2719" s="75">
        <v>2719</v>
      </c>
      <c r="M2719" s="75"/>
      <c r="N2719" s="70"/>
      <c r="O2719" s="77" t="s">
        <v>179</v>
      </c>
      <c r="P2719" s="79">
        <v>45057.178622685184</v>
      </c>
      <c r="Q2719" s="77" t="s">
        <v>3496</v>
      </c>
      <c r="R2719" s="77">
        <v>0</v>
      </c>
      <c r="S2719" s="77">
        <v>0</v>
      </c>
      <c r="T2719" s="77">
        <v>0</v>
      </c>
      <c r="U2719" s="77">
        <v>0</v>
      </c>
      <c r="V2719" s="77">
        <v>22</v>
      </c>
      <c r="W2719" s="82" t="s">
        <v>6382</v>
      </c>
      <c r="X2719" s="80" t="str">
        <f>HYPERLINK("https://tinyurl.com/2pfyysok")</f>
        <v>https://tinyurl.com/2pfyysok</v>
      </c>
      <c r="Y2719" s="77" t="s">
        <v>7068</v>
      </c>
      <c r="Z2719" s="77"/>
      <c r="AA2719" s="77"/>
      <c r="AB2719" s="77"/>
      <c r="AC2719" s="82" t="s">
        <v>8275</v>
      </c>
      <c r="AD2719" s="77" t="s">
        <v>8278</v>
      </c>
      <c r="AE2719" s="80" t="str">
        <f>HYPERLINK("https://twitter.com/pauta_economica/status/1656513769030156291")</f>
        <v>https://twitter.com/pauta_economica/status/1656513769030156291</v>
      </c>
      <c r="AF2719" s="79">
        <v>45057.178622685184</v>
      </c>
      <c r="AG2719" s="85">
        <v>45057</v>
      </c>
      <c r="AH2719" s="82" t="s">
        <v>10758</v>
      </c>
      <c r="AI2719" s="77" t="b">
        <v>0</v>
      </c>
      <c r="AJ2719" s="77"/>
      <c r="AK2719" s="77"/>
      <c r="AL2719" s="77"/>
      <c r="AM2719" s="77"/>
      <c r="AN2719" s="77"/>
      <c r="AO2719" s="77"/>
      <c r="AP2719" s="77"/>
      <c r="AQ2719" s="77"/>
      <c r="AR2719" s="77"/>
      <c r="AS2719" s="77"/>
      <c r="AT2719" s="77"/>
      <c r="AU2719" s="77"/>
      <c r="AV2719" s="80" t="str">
        <f>HYPERLINK("https://pbs.twimg.com/profile_images/1588668531910082561/XEi-lXiu_normal.jpg")</f>
        <v>https://pbs.twimg.com/profile_images/1588668531910082561/XEi-lXiu_normal.jpg</v>
      </c>
      <c r="AW2719" s="82" t="s">
        <v>15803</v>
      </c>
      <c r="AX2719" s="82" t="s">
        <v>15803</v>
      </c>
      <c r="AY2719" s="77"/>
      <c r="AZ2719" s="82" t="s">
        <v>17385</v>
      </c>
      <c r="BA2719" s="82" t="s">
        <v>17385</v>
      </c>
      <c r="BB2719" s="82" t="s">
        <v>17385</v>
      </c>
      <c r="BC2719" s="82" t="s">
        <v>15803</v>
      </c>
      <c r="BD2719" s="82" t="s">
        <v>17667</v>
      </c>
      <c r="BE2719" s="77"/>
      <c r="BF2719" s="77"/>
      <c r="BG2719" s="77"/>
      <c r="BH2719" s="77"/>
      <c r="BI2719" s="77"/>
    </row>
    <row r="2720" spans="1:61" x14ac:dyDescent="0.25">
      <c r="A2720" s="62" t="s">
        <v>646</v>
      </c>
      <c r="B2720" s="62" t="s">
        <v>646</v>
      </c>
      <c r="C2720" s="63"/>
      <c r="D2720" s="64"/>
      <c r="E2720" s="65"/>
      <c r="F2720" s="66"/>
      <c r="G2720" s="63"/>
      <c r="H2720" s="67"/>
      <c r="I2720" s="68"/>
      <c r="J2720" s="68"/>
      <c r="K2720" s="32"/>
      <c r="L2720" s="75">
        <v>2720</v>
      </c>
      <c r="M2720" s="75"/>
      <c r="N2720" s="70"/>
      <c r="O2720" s="77" t="s">
        <v>179</v>
      </c>
      <c r="P2720" s="79">
        <v>45057.094548611109</v>
      </c>
      <c r="Q2720" s="77" t="s">
        <v>3497</v>
      </c>
      <c r="R2720" s="77">
        <v>0</v>
      </c>
      <c r="S2720" s="77">
        <v>0</v>
      </c>
      <c r="T2720" s="77">
        <v>0</v>
      </c>
      <c r="U2720" s="77">
        <v>0</v>
      </c>
      <c r="V2720" s="77">
        <v>54</v>
      </c>
      <c r="W2720" s="82" t="s">
        <v>6382</v>
      </c>
      <c r="X2720" s="80" t="str">
        <f>HYPERLINK("https://tinyurl.com/2nzjjbow")</f>
        <v>https://tinyurl.com/2nzjjbow</v>
      </c>
      <c r="Y2720" s="77" t="s">
        <v>7068</v>
      </c>
      <c r="Z2720" s="77"/>
      <c r="AA2720" s="77"/>
      <c r="AB2720" s="77"/>
      <c r="AC2720" s="82" t="s">
        <v>8275</v>
      </c>
      <c r="AD2720" s="77" t="s">
        <v>8278</v>
      </c>
      <c r="AE2720" s="80" t="str">
        <f>HYPERLINK("https://twitter.com/pauta_economica/status/1656483300314165249")</f>
        <v>https://twitter.com/pauta_economica/status/1656483300314165249</v>
      </c>
      <c r="AF2720" s="79">
        <v>45057.094548611109</v>
      </c>
      <c r="AG2720" s="85">
        <v>45057</v>
      </c>
      <c r="AH2720" s="82" t="s">
        <v>10759</v>
      </c>
      <c r="AI2720" s="77" t="b">
        <v>0</v>
      </c>
      <c r="AJ2720" s="77"/>
      <c r="AK2720" s="77"/>
      <c r="AL2720" s="77"/>
      <c r="AM2720" s="77"/>
      <c r="AN2720" s="77"/>
      <c r="AO2720" s="77"/>
      <c r="AP2720" s="77"/>
      <c r="AQ2720" s="77"/>
      <c r="AR2720" s="77"/>
      <c r="AS2720" s="77"/>
      <c r="AT2720" s="77"/>
      <c r="AU2720" s="77"/>
      <c r="AV2720" s="80" t="str">
        <f>HYPERLINK("https://pbs.twimg.com/profile_images/1588668531910082561/XEi-lXiu_normal.jpg")</f>
        <v>https://pbs.twimg.com/profile_images/1588668531910082561/XEi-lXiu_normal.jpg</v>
      </c>
      <c r="AW2720" s="82" t="s">
        <v>15804</v>
      </c>
      <c r="AX2720" s="82" t="s">
        <v>15804</v>
      </c>
      <c r="AY2720" s="77"/>
      <c r="AZ2720" s="82" t="s">
        <v>17385</v>
      </c>
      <c r="BA2720" s="82" t="s">
        <v>17385</v>
      </c>
      <c r="BB2720" s="82" t="s">
        <v>17385</v>
      </c>
      <c r="BC2720" s="82" t="s">
        <v>15804</v>
      </c>
      <c r="BD2720" s="82" t="s">
        <v>17667</v>
      </c>
      <c r="BE2720" s="77"/>
      <c r="BF2720" s="77"/>
      <c r="BG2720" s="77"/>
      <c r="BH2720" s="77"/>
      <c r="BI2720" s="77"/>
    </row>
    <row r="2721" spans="1:61" x14ac:dyDescent="0.25">
      <c r="A2721" s="62" t="s">
        <v>646</v>
      </c>
      <c r="B2721" s="62" t="s">
        <v>646</v>
      </c>
      <c r="C2721" s="63"/>
      <c r="D2721" s="64"/>
      <c r="E2721" s="65"/>
      <c r="F2721" s="66"/>
      <c r="G2721" s="63"/>
      <c r="H2721" s="67"/>
      <c r="I2721" s="68"/>
      <c r="J2721" s="68"/>
      <c r="K2721" s="32"/>
      <c r="L2721" s="75">
        <v>2721</v>
      </c>
      <c r="M2721" s="75"/>
      <c r="N2721" s="70"/>
      <c r="O2721" s="77" t="s">
        <v>179</v>
      </c>
      <c r="P2721" s="79">
        <v>45057.066562499997</v>
      </c>
      <c r="Q2721" s="77" t="s">
        <v>3498</v>
      </c>
      <c r="R2721" s="77">
        <v>0</v>
      </c>
      <c r="S2721" s="77">
        <v>0</v>
      </c>
      <c r="T2721" s="77">
        <v>0</v>
      </c>
      <c r="U2721" s="77">
        <v>0</v>
      </c>
      <c r="V2721" s="77">
        <v>36</v>
      </c>
      <c r="W2721" s="82" t="s">
        <v>6382</v>
      </c>
      <c r="X2721" s="80" t="str">
        <f>HYPERLINK("https://tinyurl.com/2er4ge25")</f>
        <v>https://tinyurl.com/2er4ge25</v>
      </c>
      <c r="Y2721" s="77" t="s">
        <v>7068</v>
      </c>
      <c r="Z2721" s="77"/>
      <c r="AA2721" s="77"/>
      <c r="AB2721" s="77"/>
      <c r="AC2721" s="82" t="s">
        <v>8275</v>
      </c>
      <c r="AD2721" s="77" t="s">
        <v>8278</v>
      </c>
      <c r="AE2721" s="80" t="str">
        <f>HYPERLINK("https://twitter.com/pauta_economica/status/1656473159556538368")</f>
        <v>https://twitter.com/pauta_economica/status/1656473159556538368</v>
      </c>
      <c r="AF2721" s="79">
        <v>45057.066562499997</v>
      </c>
      <c r="AG2721" s="85">
        <v>45057</v>
      </c>
      <c r="AH2721" s="82" t="s">
        <v>10760</v>
      </c>
      <c r="AI2721" s="77" t="b">
        <v>0</v>
      </c>
      <c r="AJ2721" s="77"/>
      <c r="AK2721" s="77"/>
      <c r="AL2721" s="77"/>
      <c r="AM2721" s="77"/>
      <c r="AN2721" s="77"/>
      <c r="AO2721" s="77"/>
      <c r="AP2721" s="77"/>
      <c r="AQ2721" s="77"/>
      <c r="AR2721" s="77"/>
      <c r="AS2721" s="77"/>
      <c r="AT2721" s="77"/>
      <c r="AU2721" s="77"/>
      <c r="AV2721" s="80" t="str">
        <f>HYPERLINK("https://pbs.twimg.com/profile_images/1588668531910082561/XEi-lXiu_normal.jpg")</f>
        <v>https://pbs.twimg.com/profile_images/1588668531910082561/XEi-lXiu_normal.jpg</v>
      </c>
      <c r="AW2721" s="82" t="s">
        <v>15805</v>
      </c>
      <c r="AX2721" s="82" t="s">
        <v>15805</v>
      </c>
      <c r="AY2721" s="77"/>
      <c r="AZ2721" s="82" t="s">
        <v>17385</v>
      </c>
      <c r="BA2721" s="82" t="s">
        <v>17385</v>
      </c>
      <c r="BB2721" s="82" t="s">
        <v>17385</v>
      </c>
      <c r="BC2721" s="82" t="s">
        <v>15805</v>
      </c>
      <c r="BD2721" s="82" t="s">
        <v>17667</v>
      </c>
      <c r="BE2721" s="77"/>
      <c r="BF2721" s="77"/>
      <c r="BG2721" s="77"/>
      <c r="BH2721" s="77"/>
      <c r="BI2721" s="77"/>
    </row>
    <row r="2722" spans="1:61" x14ac:dyDescent="0.25">
      <c r="A2722" s="62" t="s">
        <v>646</v>
      </c>
      <c r="B2722" s="62" t="s">
        <v>646</v>
      </c>
      <c r="C2722" s="63"/>
      <c r="D2722" s="64"/>
      <c r="E2722" s="65"/>
      <c r="F2722" s="66"/>
      <c r="G2722" s="63"/>
      <c r="H2722" s="67"/>
      <c r="I2722" s="68"/>
      <c r="J2722" s="68"/>
      <c r="K2722" s="32"/>
      <c r="L2722" s="75">
        <v>2722</v>
      </c>
      <c r="M2722" s="75"/>
      <c r="N2722" s="70"/>
      <c r="O2722" s="77" t="s">
        <v>179</v>
      </c>
      <c r="P2722" s="79">
        <v>45056.982800925929</v>
      </c>
      <c r="Q2722" s="77" t="s">
        <v>3499</v>
      </c>
      <c r="R2722" s="77">
        <v>0</v>
      </c>
      <c r="S2722" s="77">
        <v>0</v>
      </c>
      <c r="T2722" s="77">
        <v>0</v>
      </c>
      <c r="U2722" s="77">
        <v>0</v>
      </c>
      <c r="V2722" s="77">
        <v>45</v>
      </c>
      <c r="W2722" s="82" t="s">
        <v>6382</v>
      </c>
      <c r="X2722" s="80" t="str">
        <f>HYPERLINK("https://tinyurl.com/2ps9zndu")</f>
        <v>https://tinyurl.com/2ps9zndu</v>
      </c>
      <c r="Y2722" s="77" t="s">
        <v>7068</v>
      </c>
      <c r="Z2722" s="77"/>
      <c r="AA2722" s="77"/>
      <c r="AB2722" s="77"/>
      <c r="AC2722" s="82" t="s">
        <v>8275</v>
      </c>
      <c r="AD2722" s="77" t="s">
        <v>8278</v>
      </c>
      <c r="AE2722" s="80" t="str">
        <f>HYPERLINK("https://twitter.com/pauta_economica/status/1656442804934004744")</f>
        <v>https://twitter.com/pauta_economica/status/1656442804934004744</v>
      </c>
      <c r="AF2722" s="79">
        <v>45056.982800925929</v>
      </c>
      <c r="AG2722" s="85">
        <v>45056</v>
      </c>
      <c r="AH2722" s="82" t="s">
        <v>10761</v>
      </c>
      <c r="AI2722" s="77" t="b">
        <v>0</v>
      </c>
      <c r="AJ2722" s="77"/>
      <c r="AK2722" s="77"/>
      <c r="AL2722" s="77"/>
      <c r="AM2722" s="77"/>
      <c r="AN2722" s="77"/>
      <c r="AO2722" s="77"/>
      <c r="AP2722" s="77"/>
      <c r="AQ2722" s="77"/>
      <c r="AR2722" s="77"/>
      <c r="AS2722" s="77"/>
      <c r="AT2722" s="77"/>
      <c r="AU2722" s="77"/>
      <c r="AV2722" s="80" t="str">
        <f>HYPERLINK("https://pbs.twimg.com/profile_images/1588668531910082561/XEi-lXiu_normal.jpg")</f>
        <v>https://pbs.twimg.com/profile_images/1588668531910082561/XEi-lXiu_normal.jpg</v>
      </c>
      <c r="AW2722" s="82" t="s">
        <v>15806</v>
      </c>
      <c r="AX2722" s="82" t="s">
        <v>15806</v>
      </c>
      <c r="AY2722" s="77"/>
      <c r="AZ2722" s="82" t="s">
        <v>17385</v>
      </c>
      <c r="BA2722" s="82" t="s">
        <v>17385</v>
      </c>
      <c r="BB2722" s="82" t="s">
        <v>17385</v>
      </c>
      <c r="BC2722" s="82" t="s">
        <v>15806</v>
      </c>
      <c r="BD2722" s="82" t="s">
        <v>17667</v>
      </c>
      <c r="BE2722" s="77"/>
      <c r="BF2722" s="77"/>
      <c r="BG2722" s="77"/>
      <c r="BH2722" s="77"/>
      <c r="BI2722" s="77"/>
    </row>
    <row r="2723" spans="1:61" x14ac:dyDescent="0.25">
      <c r="A2723" s="62" t="s">
        <v>646</v>
      </c>
      <c r="B2723" s="62" t="s">
        <v>646</v>
      </c>
      <c r="C2723" s="63"/>
      <c r="D2723" s="64"/>
      <c r="E2723" s="65"/>
      <c r="F2723" s="66"/>
      <c r="G2723" s="63"/>
      <c r="H2723" s="67"/>
      <c r="I2723" s="68"/>
      <c r="J2723" s="68"/>
      <c r="K2723" s="32"/>
      <c r="L2723" s="75">
        <v>2723</v>
      </c>
      <c r="M2723" s="75"/>
      <c r="N2723" s="70"/>
      <c r="O2723" s="77" t="s">
        <v>179</v>
      </c>
      <c r="P2723" s="79">
        <v>45056.954861111109</v>
      </c>
      <c r="Q2723" s="77" t="s">
        <v>3500</v>
      </c>
      <c r="R2723" s="77">
        <v>0</v>
      </c>
      <c r="S2723" s="77">
        <v>0</v>
      </c>
      <c r="T2723" s="77">
        <v>0</v>
      </c>
      <c r="U2723" s="77">
        <v>0</v>
      </c>
      <c r="V2723" s="77">
        <v>50</v>
      </c>
      <c r="W2723" s="82" t="s">
        <v>6382</v>
      </c>
      <c r="X2723" s="80" t="str">
        <f>HYPERLINK("https://tinyurl.com/2f4qlhwv")</f>
        <v>https://tinyurl.com/2f4qlhwv</v>
      </c>
      <c r="Y2723" s="77" t="s">
        <v>7068</v>
      </c>
      <c r="Z2723" s="77"/>
      <c r="AA2723" s="77"/>
      <c r="AB2723" s="77"/>
      <c r="AC2723" s="82" t="s">
        <v>8275</v>
      </c>
      <c r="AD2723" s="77" t="s">
        <v>8278</v>
      </c>
      <c r="AE2723" s="80" t="str">
        <f>HYPERLINK("https://twitter.com/pauta_economica/status/1656432681398292481")</f>
        <v>https://twitter.com/pauta_economica/status/1656432681398292481</v>
      </c>
      <c r="AF2723" s="79">
        <v>45056.954861111109</v>
      </c>
      <c r="AG2723" s="85">
        <v>45056</v>
      </c>
      <c r="AH2723" s="82" t="s">
        <v>10762</v>
      </c>
      <c r="AI2723" s="77" t="b">
        <v>0</v>
      </c>
      <c r="AJ2723" s="77"/>
      <c r="AK2723" s="77"/>
      <c r="AL2723" s="77"/>
      <c r="AM2723" s="77"/>
      <c r="AN2723" s="77"/>
      <c r="AO2723" s="77"/>
      <c r="AP2723" s="77"/>
      <c r="AQ2723" s="77"/>
      <c r="AR2723" s="77"/>
      <c r="AS2723" s="77"/>
      <c r="AT2723" s="77"/>
      <c r="AU2723" s="77"/>
      <c r="AV2723" s="80" t="str">
        <f>HYPERLINK("https://pbs.twimg.com/profile_images/1588668531910082561/XEi-lXiu_normal.jpg")</f>
        <v>https://pbs.twimg.com/profile_images/1588668531910082561/XEi-lXiu_normal.jpg</v>
      </c>
      <c r="AW2723" s="82" t="s">
        <v>15807</v>
      </c>
      <c r="AX2723" s="82" t="s">
        <v>15807</v>
      </c>
      <c r="AY2723" s="77"/>
      <c r="AZ2723" s="82" t="s">
        <v>17385</v>
      </c>
      <c r="BA2723" s="82" t="s">
        <v>17385</v>
      </c>
      <c r="BB2723" s="82" t="s">
        <v>17385</v>
      </c>
      <c r="BC2723" s="82" t="s">
        <v>15807</v>
      </c>
      <c r="BD2723" s="82" t="s">
        <v>17667</v>
      </c>
      <c r="BE2723" s="77"/>
      <c r="BF2723" s="77"/>
      <c r="BG2723" s="77"/>
      <c r="BH2723" s="77"/>
      <c r="BI2723" s="77"/>
    </row>
    <row r="2724" spans="1:61" x14ac:dyDescent="0.25">
      <c r="A2724" s="62" t="s">
        <v>646</v>
      </c>
      <c r="B2724" s="62" t="s">
        <v>646</v>
      </c>
      <c r="C2724" s="63"/>
      <c r="D2724" s="64"/>
      <c r="E2724" s="65"/>
      <c r="F2724" s="66"/>
      <c r="G2724" s="63"/>
      <c r="H2724" s="67"/>
      <c r="I2724" s="68"/>
      <c r="J2724" s="68"/>
      <c r="K2724" s="32"/>
      <c r="L2724" s="75">
        <v>2724</v>
      </c>
      <c r="M2724" s="75"/>
      <c r="N2724" s="70"/>
      <c r="O2724" s="77" t="s">
        <v>179</v>
      </c>
      <c r="P2724" s="79">
        <v>45056.927048611113</v>
      </c>
      <c r="Q2724" s="77" t="s">
        <v>3501</v>
      </c>
      <c r="R2724" s="77">
        <v>0</v>
      </c>
      <c r="S2724" s="77">
        <v>1</v>
      </c>
      <c r="T2724" s="77">
        <v>1</v>
      </c>
      <c r="U2724" s="77">
        <v>0</v>
      </c>
      <c r="V2724" s="77">
        <v>27</v>
      </c>
      <c r="W2724" s="82" t="s">
        <v>6382</v>
      </c>
      <c r="X2724" s="80" t="str">
        <f>HYPERLINK("https://tinyurl.com/2gbms77n")</f>
        <v>https://tinyurl.com/2gbms77n</v>
      </c>
      <c r="Y2724" s="77" t="s">
        <v>7068</v>
      </c>
      <c r="Z2724" s="77"/>
      <c r="AA2724" s="77"/>
      <c r="AB2724" s="77"/>
      <c r="AC2724" s="82" t="s">
        <v>8275</v>
      </c>
      <c r="AD2724" s="77" t="s">
        <v>8278</v>
      </c>
      <c r="AE2724" s="80" t="str">
        <f>HYPERLINK("https://twitter.com/pauta_economica/status/1656422602225713160")</f>
        <v>https://twitter.com/pauta_economica/status/1656422602225713160</v>
      </c>
      <c r="AF2724" s="79">
        <v>45056.927048611113</v>
      </c>
      <c r="AG2724" s="85">
        <v>45056</v>
      </c>
      <c r="AH2724" s="82" t="s">
        <v>10763</v>
      </c>
      <c r="AI2724" s="77" t="b">
        <v>0</v>
      </c>
      <c r="AJ2724" s="77"/>
      <c r="AK2724" s="77"/>
      <c r="AL2724" s="77"/>
      <c r="AM2724" s="77"/>
      <c r="AN2724" s="77"/>
      <c r="AO2724" s="77"/>
      <c r="AP2724" s="77"/>
      <c r="AQ2724" s="77"/>
      <c r="AR2724" s="77"/>
      <c r="AS2724" s="77"/>
      <c r="AT2724" s="77"/>
      <c r="AU2724" s="77"/>
      <c r="AV2724" s="80" t="str">
        <f>HYPERLINK("https://pbs.twimg.com/profile_images/1588668531910082561/XEi-lXiu_normal.jpg")</f>
        <v>https://pbs.twimg.com/profile_images/1588668531910082561/XEi-lXiu_normal.jpg</v>
      </c>
      <c r="AW2724" s="82" t="s">
        <v>15808</v>
      </c>
      <c r="AX2724" s="82" t="s">
        <v>15808</v>
      </c>
      <c r="AY2724" s="77"/>
      <c r="AZ2724" s="82" t="s">
        <v>17385</v>
      </c>
      <c r="BA2724" s="82" t="s">
        <v>17385</v>
      </c>
      <c r="BB2724" s="82" t="s">
        <v>17385</v>
      </c>
      <c r="BC2724" s="82" t="s">
        <v>15808</v>
      </c>
      <c r="BD2724" s="82" t="s">
        <v>17667</v>
      </c>
      <c r="BE2724" s="77"/>
      <c r="BF2724" s="77"/>
      <c r="BG2724" s="77"/>
      <c r="BH2724" s="77"/>
      <c r="BI2724" s="77"/>
    </row>
    <row r="2725" spans="1:61" x14ac:dyDescent="0.25">
      <c r="A2725" s="62" t="s">
        <v>646</v>
      </c>
      <c r="B2725" s="62" t="s">
        <v>646</v>
      </c>
      <c r="C2725" s="63"/>
      <c r="D2725" s="64"/>
      <c r="E2725" s="65"/>
      <c r="F2725" s="66"/>
      <c r="G2725" s="63"/>
      <c r="H2725" s="67"/>
      <c r="I2725" s="68"/>
      <c r="J2725" s="68"/>
      <c r="K2725" s="32"/>
      <c r="L2725" s="75">
        <v>2725</v>
      </c>
      <c r="M2725" s="75"/>
      <c r="N2725" s="70"/>
      <c r="O2725" s="77" t="s">
        <v>179</v>
      </c>
      <c r="P2725" s="79">
        <v>45056.899224537039</v>
      </c>
      <c r="Q2725" s="77" t="s">
        <v>3502</v>
      </c>
      <c r="R2725" s="77">
        <v>0</v>
      </c>
      <c r="S2725" s="77">
        <v>0</v>
      </c>
      <c r="T2725" s="77">
        <v>0</v>
      </c>
      <c r="U2725" s="77">
        <v>0</v>
      </c>
      <c r="V2725" s="77">
        <v>77</v>
      </c>
      <c r="W2725" s="82" t="s">
        <v>6382</v>
      </c>
      <c r="X2725" s="80" t="str">
        <f>HYPERLINK("https://tinyurl.com/2f9qy5su")</f>
        <v>https://tinyurl.com/2f9qy5su</v>
      </c>
      <c r="Y2725" s="77" t="s">
        <v>7068</v>
      </c>
      <c r="Z2725" s="77"/>
      <c r="AA2725" s="77"/>
      <c r="AB2725" s="77"/>
      <c r="AC2725" s="82" t="s">
        <v>8275</v>
      </c>
      <c r="AD2725" s="77" t="s">
        <v>8278</v>
      </c>
      <c r="AE2725" s="80" t="str">
        <f>HYPERLINK("https://twitter.com/pauta_economica/status/1656412519085273090")</f>
        <v>https://twitter.com/pauta_economica/status/1656412519085273090</v>
      </c>
      <c r="AF2725" s="79">
        <v>45056.899224537039</v>
      </c>
      <c r="AG2725" s="85">
        <v>45056</v>
      </c>
      <c r="AH2725" s="82" t="s">
        <v>10764</v>
      </c>
      <c r="AI2725" s="77" t="b">
        <v>0</v>
      </c>
      <c r="AJ2725" s="77"/>
      <c r="AK2725" s="77"/>
      <c r="AL2725" s="77"/>
      <c r="AM2725" s="77"/>
      <c r="AN2725" s="77"/>
      <c r="AO2725" s="77"/>
      <c r="AP2725" s="77"/>
      <c r="AQ2725" s="77"/>
      <c r="AR2725" s="77"/>
      <c r="AS2725" s="77"/>
      <c r="AT2725" s="77"/>
      <c r="AU2725" s="77"/>
      <c r="AV2725" s="80" t="str">
        <f>HYPERLINK("https://pbs.twimg.com/profile_images/1588668531910082561/XEi-lXiu_normal.jpg")</f>
        <v>https://pbs.twimg.com/profile_images/1588668531910082561/XEi-lXiu_normal.jpg</v>
      </c>
      <c r="AW2725" s="82" t="s">
        <v>15809</v>
      </c>
      <c r="AX2725" s="82" t="s">
        <v>15809</v>
      </c>
      <c r="AY2725" s="77"/>
      <c r="AZ2725" s="82" t="s">
        <v>17385</v>
      </c>
      <c r="BA2725" s="82" t="s">
        <v>17385</v>
      </c>
      <c r="BB2725" s="82" t="s">
        <v>17385</v>
      </c>
      <c r="BC2725" s="82" t="s">
        <v>15809</v>
      </c>
      <c r="BD2725" s="82" t="s">
        <v>17667</v>
      </c>
      <c r="BE2725" s="77"/>
      <c r="BF2725" s="77"/>
      <c r="BG2725" s="77"/>
      <c r="BH2725" s="77"/>
      <c r="BI2725" s="77"/>
    </row>
    <row r="2726" spans="1:61" x14ac:dyDescent="0.25">
      <c r="A2726" s="62" t="s">
        <v>646</v>
      </c>
      <c r="B2726" s="62" t="s">
        <v>646</v>
      </c>
      <c r="C2726" s="63"/>
      <c r="D2726" s="64"/>
      <c r="E2726" s="65"/>
      <c r="F2726" s="66"/>
      <c r="G2726" s="63"/>
      <c r="H2726" s="67"/>
      <c r="I2726" s="68"/>
      <c r="J2726" s="68"/>
      <c r="K2726" s="32"/>
      <c r="L2726" s="75">
        <v>2726</v>
      </c>
      <c r="M2726" s="75"/>
      <c r="N2726" s="70"/>
      <c r="O2726" s="77" t="s">
        <v>179</v>
      </c>
      <c r="P2726" s="79">
        <v>45056.871423611112</v>
      </c>
      <c r="Q2726" s="77" t="s">
        <v>3503</v>
      </c>
      <c r="R2726" s="77">
        <v>0</v>
      </c>
      <c r="S2726" s="77">
        <v>1</v>
      </c>
      <c r="T2726" s="77">
        <v>0</v>
      </c>
      <c r="U2726" s="77">
        <v>0</v>
      </c>
      <c r="V2726" s="77">
        <v>53</v>
      </c>
      <c r="W2726" s="82" t="s">
        <v>6382</v>
      </c>
      <c r="X2726" s="80" t="str">
        <f>HYPERLINK("https://tinyurl.com/2q98tle7")</f>
        <v>https://tinyurl.com/2q98tle7</v>
      </c>
      <c r="Y2726" s="77" t="s">
        <v>7068</v>
      </c>
      <c r="Z2726" s="77"/>
      <c r="AA2726" s="77"/>
      <c r="AB2726" s="77"/>
      <c r="AC2726" s="82" t="s">
        <v>8275</v>
      </c>
      <c r="AD2726" s="77" t="s">
        <v>8278</v>
      </c>
      <c r="AE2726" s="80" t="str">
        <f>HYPERLINK("https://twitter.com/pauta_economica/status/1656402440927731716")</f>
        <v>https://twitter.com/pauta_economica/status/1656402440927731716</v>
      </c>
      <c r="AF2726" s="79">
        <v>45056.871423611112</v>
      </c>
      <c r="AG2726" s="85">
        <v>45056</v>
      </c>
      <c r="AH2726" s="82" t="s">
        <v>10765</v>
      </c>
      <c r="AI2726" s="77" t="b">
        <v>0</v>
      </c>
      <c r="AJ2726" s="77"/>
      <c r="AK2726" s="77"/>
      <c r="AL2726" s="77"/>
      <c r="AM2726" s="77"/>
      <c r="AN2726" s="77"/>
      <c r="AO2726" s="77"/>
      <c r="AP2726" s="77"/>
      <c r="AQ2726" s="77"/>
      <c r="AR2726" s="77"/>
      <c r="AS2726" s="77"/>
      <c r="AT2726" s="77"/>
      <c r="AU2726" s="77"/>
      <c r="AV2726" s="80" t="str">
        <f>HYPERLINK("https://pbs.twimg.com/profile_images/1588668531910082561/XEi-lXiu_normal.jpg")</f>
        <v>https://pbs.twimg.com/profile_images/1588668531910082561/XEi-lXiu_normal.jpg</v>
      </c>
      <c r="AW2726" s="82" t="s">
        <v>15810</v>
      </c>
      <c r="AX2726" s="82" t="s">
        <v>15810</v>
      </c>
      <c r="AY2726" s="77"/>
      <c r="AZ2726" s="82" t="s">
        <v>17385</v>
      </c>
      <c r="BA2726" s="82" t="s">
        <v>17385</v>
      </c>
      <c r="BB2726" s="82" t="s">
        <v>17385</v>
      </c>
      <c r="BC2726" s="82" t="s">
        <v>15810</v>
      </c>
      <c r="BD2726" s="82" t="s">
        <v>17667</v>
      </c>
      <c r="BE2726" s="77"/>
      <c r="BF2726" s="77"/>
      <c r="BG2726" s="77"/>
      <c r="BH2726" s="77"/>
      <c r="BI2726" s="77"/>
    </row>
    <row r="2727" spans="1:61" x14ac:dyDescent="0.25">
      <c r="A2727" s="62" t="s">
        <v>646</v>
      </c>
      <c r="B2727" s="62" t="s">
        <v>646</v>
      </c>
      <c r="C2727" s="63"/>
      <c r="D2727" s="64"/>
      <c r="E2727" s="65"/>
      <c r="F2727" s="66"/>
      <c r="G2727" s="63"/>
      <c r="H2727" s="67"/>
      <c r="I2727" s="68"/>
      <c r="J2727" s="68"/>
      <c r="K2727" s="32"/>
      <c r="L2727" s="75">
        <v>2727</v>
      </c>
      <c r="M2727" s="75"/>
      <c r="N2727" s="70"/>
      <c r="O2727" s="77" t="s">
        <v>179</v>
      </c>
      <c r="P2727" s="79">
        <v>45056.787951388891</v>
      </c>
      <c r="Q2727" s="77" t="s">
        <v>3504</v>
      </c>
      <c r="R2727" s="77">
        <v>0</v>
      </c>
      <c r="S2727" s="77">
        <v>0</v>
      </c>
      <c r="T2727" s="77">
        <v>0</v>
      </c>
      <c r="U2727" s="77">
        <v>0</v>
      </c>
      <c r="V2727" s="77">
        <v>46</v>
      </c>
      <c r="W2727" s="82" t="s">
        <v>6382</v>
      </c>
      <c r="X2727" s="80" t="str">
        <f>HYPERLINK("https://tinyurl.com/2nbc7aul")</f>
        <v>https://tinyurl.com/2nbc7aul</v>
      </c>
      <c r="Y2727" s="77" t="s">
        <v>7068</v>
      </c>
      <c r="Z2727" s="77"/>
      <c r="AA2727" s="77"/>
      <c r="AB2727" s="77"/>
      <c r="AC2727" s="82" t="s">
        <v>8275</v>
      </c>
      <c r="AD2727" s="77" t="s">
        <v>8278</v>
      </c>
      <c r="AE2727" s="80" t="str">
        <f>HYPERLINK("https://twitter.com/pauta_economica/status/1656372192081244166")</f>
        <v>https://twitter.com/pauta_economica/status/1656372192081244166</v>
      </c>
      <c r="AF2727" s="79">
        <v>45056.787951388891</v>
      </c>
      <c r="AG2727" s="85">
        <v>45056</v>
      </c>
      <c r="AH2727" s="82" t="s">
        <v>10766</v>
      </c>
      <c r="AI2727" s="77" t="b">
        <v>0</v>
      </c>
      <c r="AJ2727" s="77"/>
      <c r="AK2727" s="77"/>
      <c r="AL2727" s="77"/>
      <c r="AM2727" s="77"/>
      <c r="AN2727" s="77"/>
      <c r="AO2727" s="77"/>
      <c r="AP2727" s="77"/>
      <c r="AQ2727" s="77"/>
      <c r="AR2727" s="77"/>
      <c r="AS2727" s="77"/>
      <c r="AT2727" s="77"/>
      <c r="AU2727" s="77"/>
      <c r="AV2727" s="80" t="str">
        <f>HYPERLINK("https://pbs.twimg.com/profile_images/1588668531910082561/XEi-lXiu_normal.jpg")</f>
        <v>https://pbs.twimg.com/profile_images/1588668531910082561/XEi-lXiu_normal.jpg</v>
      </c>
      <c r="AW2727" s="82" t="s">
        <v>15811</v>
      </c>
      <c r="AX2727" s="82" t="s">
        <v>15811</v>
      </c>
      <c r="AY2727" s="77"/>
      <c r="AZ2727" s="82" t="s">
        <v>17385</v>
      </c>
      <c r="BA2727" s="82" t="s">
        <v>17385</v>
      </c>
      <c r="BB2727" s="82" t="s">
        <v>17385</v>
      </c>
      <c r="BC2727" s="82" t="s">
        <v>15811</v>
      </c>
      <c r="BD2727" s="82" t="s">
        <v>17667</v>
      </c>
      <c r="BE2727" s="77"/>
      <c r="BF2727" s="77"/>
      <c r="BG2727" s="77"/>
      <c r="BH2727" s="77"/>
      <c r="BI2727" s="77"/>
    </row>
    <row r="2728" spans="1:61" x14ac:dyDescent="0.25">
      <c r="A2728" s="62" t="s">
        <v>646</v>
      </c>
      <c r="B2728" s="62" t="s">
        <v>646</v>
      </c>
      <c r="C2728" s="63"/>
      <c r="D2728" s="64"/>
      <c r="E2728" s="65"/>
      <c r="F2728" s="66"/>
      <c r="G2728" s="63"/>
      <c r="H2728" s="67"/>
      <c r="I2728" s="68"/>
      <c r="J2728" s="68"/>
      <c r="K2728" s="32"/>
      <c r="L2728" s="75">
        <v>2728</v>
      </c>
      <c r="M2728" s="75"/>
      <c r="N2728" s="70"/>
      <c r="O2728" s="77" t="s">
        <v>179</v>
      </c>
      <c r="P2728" s="79">
        <v>45056.760115740741</v>
      </c>
      <c r="Q2728" s="77" t="s">
        <v>3505</v>
      </c>
      <c r="R2728" s="77">
        <v>0</v>
      </c>
      <c r="S2728" s="77">
        <v>0</v>
      </c>
      <c r="T2728" s="77">
        <v>0</v>
      </c>
      <c r="U2728" s="77">
        <v>0</v>
      </c>
      <c r="V2728" s="77">
        <v>70</v>
      </c>
      <c r="W2728" s="82" t="s">
        <v>6382</v>
      </c>
      <c r="X2728" s="80" t="str">
        <f>HYPERLINK("https://tinyurl.com/2qthuppq")</f>
        <v>https://tinyurl.com/2qthuppq</v>
      </c>
      <c r="Y2728" s="77" t="s">
        <v>7068</v>
      </c>
      <c r="Z2728" s="77"/>
      <c r="AA2728" s="77"/>
      <c r="AB2728" s="77"/>
      <c r="AC2728" s="82" t="s">
        <v>8275</v>
      </c>
      <c r="AD2728" s="77" t="s">
        <v>8278</v>
      </c>
      <c r="AE2728" s="80" t="str">
        <f>HYPERLINK("https://twitter.com/pauta_economica/status/1656362106176798720")</f>
        <v>https://twitter.com/pauta_economica/status/1656362106176798720</v>
      </c>
      <c r="AF2728" s="79">
        <v>45056.760115740741</v>
      </c>
      <c r="AG2728" s="85">
        <v>45056</v>
      </c>
      <c r="AH2728" s="82" t="s">
        <v>10767</v>
      </c>
      <c r="AI2728" s="77" t="b">
        <v>0</v>
      </c>
      <c r="AJ2728" s="77"/>
      <c r="AK2728" s="77"/>
      <c r="AL2728" s="77"/>
      <c r="AM2728" s="77"/>
      <c r="AN2728" s="77"/>
      <c r="AO2728" s="77"/>
      <c r="AP2728" s="77"/>
      <c r="AQ2728" s="77"/>
      <c r="AR2728" s="77"/>
      <c r="AS2728" s="77"/>
      <c r="AT2728" s="77"/>
      <c r="AU2728" s="77"/>
      <c r="AV2728" s="80" t="str">
        <f>HYPERLINK("https://pbs.twimg.com/profile_images/1588668531910082561/XEi-lXiu_normal.jpg")</f>
        <v>https://pbs.twimg.com/profile_images/1588668531910082561/XEi-lXiu_normal.jpg</v>
      </c>
      <c r="AW2728" s="82" t="s">
        <v>15812</v>
      </c>
      <c r="AX2728" s="82" t="s">
        <v>15812</v>
      </c>
      <c r="AY2728" s="77"/>
      <c r="AZ2728" s="82" t="s">
        <v>17385</v>
      </c>
      <c r="BA2728" s="82" t="s">
        <v>17385</v>
      </c>
      <c r="BB2728" s="82" t="s">
        <v>17385</v>
      </c>
      <c r="BC2728" s="82" t="s">
        <v>15812</v>
      </c>
      <c r="BD2728" s="82" t="s">
        <v>17667</v>
      </c>
      <c r="BE2728" s="77"/>
      <c r="BF2728" s="77"/>
      <c r="BG2728" s="77"/>
      <c r="BH2728" s="77"/>
      <c r="BI2728" s="77"/>
    </row>
    <row r="2729" spans="1:61" x14ac:dyDescent="0.25">
      <c r="A2729" s="62" t="s">
        <v>646</v>
      </c>
      <c r="B2729" s="62" t="s">
        <v>646</v>
      </c>
      <c r="C2729" s="63"/>
      <c r="D2729" s="64"/>
      <c r="E2729" s="65"/>
      <c r="F2729" s="66"/>
      <c r="G2729" s="63"/>
      <c r="H2729" s="67"/>
      <c r="I2729" s="68"/>
      <c r="J2729" s="68"/>
      <c r="K2729" s="32"/>
      <c r="L2729" s="75">
        <v>2729</v>
      </c>
      <c r="M2729" s="75"/>
      <c r="N2729" s="70"/>
      <c r="O2729" s="77" t="s">
        <v>179</v>
      </c>
      <c r="P2729" s="79">
        <v>45056.67628472222</v>
      </c>
      <c r="Q2729" s="77" t="s">
        <v>3506</v>
      </c>
      <c r="R2729" s="77">
        <v>0</v>
      </c>
      <c r="S2729" s="77">
        <v>0</v>
      </c>
      <c r="T2729" s="77">
        <v>0</v>
      </c>
      <c r="U2729" s="77">
        <v>0</v>
      </c>
      <c r="V2729" s="77">
        <v>23</v>
      </c>
      <c r="W2729" s="82" t="s">
        <v>6382</v>
      </c>
      <c r="X2729" s="80" t="str">
        <f>HYPERLINK("https://tinyurl.com/2phtnxkx")</f>
        <v>https://tinyurl.com/2phtnxkx</v>
      </c>
      <c r="Y2729" s="77" t="s">
        <v>7068</v>
      </c>
      <c r="Z2729" s="77"/>
      <c r="AA2729" s="77"/>
      <c r="AB2729" s="77"/>
      <c r="AC2729" s="82" t="s">
        <v>8275</v>
      </c>
      <c r="AD2729" s="77" t="s">
        <v>8278</v>
      </c>
      <c r="AE2729" s="80" t="str">
        <f>HYPERLINK("https://twitter.com/pauta_economica/status/1656331725453029377")</f>
        <v>https://twitter.com/pauta_economica/status/1656331725453029377</v>
      </c>
      <c r="AF2729" s="79">
        <v>45056.67628472222</v>
      </c>
      <c r="AG2729" s="85">
        <v>45056</v>
      </c>
      <c r="AH2729" s="82" t="s">
        <v>10768</v>
      </c>
      <c r="AI2729" s="77" t="b">
        <v>0</v>
      </c>
      <c r="AJ2729" s="77"/>
      <c r="AK2729" s="77"/>
      <c r="AL2729" s="77"/>
      <c r="AM2729" s="77"/>
      <c r="AN2729" s="77"/>
      <c r="AO2729" s="77"/>
      <c r="AP2729" s="77"/>
      <c r="AQ2729" s="77"/>
      <c r="AR2729" s="77"/>
      <c r="AS2729" s="77"/>
      <c r="AT2729" s="77"/>
      <c r="AU2729" s="77"/>
      <c r="AV2729" s="80" t="str">
        <f>HYPERLINK("https://pbs.twimg.com/profile_images/1588668531910082561/XEi-lXiu_normal.jpg")</f>
        <v>https://pbs.twimg.com/profile_images/1588668531910082561/XEi-lXiu_normal.jpg</v>
      </c>
      <c r="AW2729" s="82" t="s">
        <v>15813</v>
      </c>
      <c r="AX2729" s="82" t="s">
        <v>15813</v>
      </c>
      <c r="AY2729" s="77"/>
      <c r="AZ2729" s="82" t="s">
        <v>17385</v>
      </c>
      <c r="BA2729" s="82" t="s">
        <v>17385</v>
      </c>
      <c r="BB2729" s="82" t="s">
        <v>17385</v>
      </c>
      <c r="BC2729" s="82" t="s">
        <v>15813</v>
      </c>
      <c r="BD2729" s="82" t="s">
        <v>17667</v>
      </c>
      <c r="BE2729" s="77"/>
      <c r="BF2729" s="77"/>
      <c r="BG2729" s="77"/>
      <c r="BH2729" s="77"/>
      <c r="BI2729" s="77"/>
    </row>
    <row r="2730" spans="1:61" x14ac:dyDescent="0.25">
      <c r="A2730" s="62" t="s">
        <v>646</v>
      </c>
      <c r="B2730" s="62" t="s">
        <v>646</v>
      </c>
      <c r="C2730" s="63"/>
      <c r="D2730" s="64"/>
      <c r="E2730" s="65"/>
      <c r="F2730" s="66"/>
      <c r="G2730" s="63"/>
      <c r="H2730" s="67"/>
      <c r="I2730" s="68"/>
      <c r="J2730" s="68"/>
      <c r="K2730" s="32"/>
      <c r="L2730" s="75">
        <v>2730</v>
      </c>
      <c r="M2730" s="75"/>
      <c r="N2730" s="70"/>
      <c r="O2730" s="77" t="s">
        <v>179</v>
      </c>
      <c r="P2730" s="79">
        <v>45056.648310185185</v>
      </c>
      <c r="Q2730" s="77" t="s">
        <v>3507</v>
      </c>
      <c r="R2730" s="77">
        <v>0</v>
      </c>
      <c r="S2730" s="77">
        <v>0</v>
      </c>
      <c r="T2730" s="77">
        <v>0</v>
      </c>
      <c r="U2730" s="77">
        <v>0</v>
      </c>
      <c r="V2730" s="77">
        <v>34</v>
      </c>
      <c r="W2730" s="82" t="s">
        <v>6382</v>
      </c>
      <c r="X2730" s="80" t="str">
        <f>HYPERLINK("https://tinyurl.com/2l7wq6sq")</f>
        <v>https://tinyurl.com/2l7wq6sq</v>
      </c>
      <c r="Y2730" s="77" t="s">
        <v>7068</v>
      </c>
      <c r="Z2730" s="77"/>
      <c r="AA2730" s="77"/>
      <c r="AB2730" s="77"/>
      <c r="AC2730" s="82" t="s">
        <v>8275</v>
      </c>
      <c r="AD2730" s="77" t="s">
        <v>8278</v>
      </c>
      <c r="AE2730" s="80" t="str">
        <f>HYPERLINK("https://twitter.com/pauta_economica/status/1656321589577764864")</f>
        <v>https://twitter.com/pauta_economica/status/1656321589577764864</v>
      </c>
      <c r="AF2730" s="79">
        <v>45056.648310185185</v>
      </c>
      <c r="AG2730" s="85">
        <v>45056</v>
      </c>
      <c r="AH2730" s="82" t="s">
        <v>10769</v>
      </c>
      <c r="AI2730" s="77" t="b">
        <v>0</v>
      </c>
      <c r="AJ2730" s="77"/>
      <c r="AK2730" s="77"/>
      <c r="AL2730" s="77"/>
      <c r="AM2730" s="77"/>
      <c r="AN2730" s="77"/>
      <c r="AO2730" s="77"/>
      <c r="AP2730" s="77"/>
      <c r="AQ2730" s="77"/>
      <c r="AR2730" s="77"/>
      <c r="AS2730" s="77"/>
      <c r="AT2730" s="77"/>
      <c r="AU2730" s="77"/>
      <c r="AV2730" s="80" t="str">
        <f>HYPERLINK("https://pbs.twimg.com/profile_images/1588668531910082561/XEi-lXiu_normal.jpg")</f>
        <v>https://pbs.twimg.com/profile_images/1588668531910082561/XEi-lXiu_normal.jpg</v>
      </c>
      <c r="AW2730" s="82" t="s">
        <v>15814</v>
      </c>
      <c r="AX2730" s="82" t="s">
        <v>15814</v>
      </c>
      <c r="AY2730" s="77"/>
      <c r="AZ2730" s="82" t="s">
        <v>17385</v>
      </c>
      <c r="BA2730" s="82" t="s">
        <v>17385</v>
      </c>
      <c r="BB2730" s="82" t="s">
        <v>17385</v>
      </c>
      <c r="BC2730" s="82" t="s">
        <v>15814</v>
      </c>
      <c r="BD2730" s="82" t="s">
        <v>17667</v>
      </c>
      <c r="BE2730" s="77"/>
      <c r="BF2730" s="77"/>
      <c r="BG2730" s="77"/>
      <c r="BH2730" s="77"/>
      <c r="BI2730" s="77"/>
    </row>
    <row r="2731" spans="1:61" x14ac:dyDescent="0.25">
      <c r="A2731" s="62" t="s">
        <v>646</v>
      </c>
      <c r="B2731" s="62" t="s">
        <v>646</v>
      </c>
      <c r="C2731" s="63"/>
      <c r="D2731" s="64"/>
      <c r="E2731" s="65"/>
      <c r="F2731" s="66"/>
      <c r="G2731" s="63"/>
      <c r="H2731" s="67"/>
      <c r="I2731" s="68"/>
      <c r="J2731" s="68"/>
      <c r="K2731" s="32"/>
      <c r="L2731" s="75">
        <v>2731</v>
      </c>
      <c r="M2731" s="75"/>
      <c r="N2731" s="70"/>
      <c r="O2731" s="77" t="s">
        <v>179</v>
      </c>
      <c r="P2731" s="79">
        <v>45056.592453703706</v>
      </c>
      <c r="Q2731" s="77" t="s">
        <v>3508</v>
      </c>
      <c r="R2731" s="77">
        <v>0</v>
      </c>
      <c r="S2731" s="77">
        <v>0</v>
      </c>
      <c r="T2731" s="77">
        <v>0</v>
      </c>
      <c r="U2731" s="77">
        <v>0</v>
      </c>
      <c r="V2731" s="77">
        <v>24</v>
      </c>
      <c r="W2731" s="82" t="s">
        <v>6382</v>
      </c>
      <c r="X2731" s="80" t="str">
        <f>HYPERLINK("https://tinyurl.com/2quwwlqb")</f>
        <v>https://tinyurl.com/2quwwlqb</v>
      </c>
      <c r="Y2731" s="77" t="s">
        <v>7068</v>
      </c>
      <c r="Z2731" s="77"/>
      <c r="AA2731" s="77"/>
      <c r="AB2731" s="77"/>
      <c r="AC2731" s="82" t="s">
        <v>8275</v>
      </c>
      <c r="AD2731" s="77" t="s">
        <v>8278</v>
      </c>
      <c r="AE2731" s="80" t="str">
        <f>HYPERLINK("https://twitter.com/pauta_economica/status/1656301347136733185")</f>
        <v>https://twitter.com/pauta_economica/status/1656301347136733185</v>
      </c>
      <c r="AF2731" s="79">
        <v>45056.592453703706</v>
      </c>
      <c r="AG2731" s="85">
        <v>45056</v>
      </c>
      <c r="AH2731" s="82" t="s">
        <v>10770</v>
      </c>
      <c r="AI2731" s="77" t="b">
        <v>0</v>
      </c>
      <c r="AJ2731" s="77"/>
      <c r="AK2731" s="77"/>
      <c r="AL2731" s="77"/>
      <c r="AM2731" s="77"/>
      <c r="AN2731" s="77"/>
      <c r="AO2731" s="77"/>
      <c r="AP2731" s="77"/>
      <c r="AQ2731" s="77"/>
      <c r="AR2731" s="77"/>
      <c r="AS2731" s="77"/>
      <c r="AT2731" s="77"/>
      <c r="AU2731" s="77"/>
      <c r="AV2731" s="80" t="str">
        <f>HYPERLINK("https://pbs.twimg.com/profile_images/1588668531910082561/XEi-lXiu_normal.jpg")</f>
        <v>https://pbs.twimg.com/profile_images/1588668531910082561/XEi-lXiu_normal.jpg</v>
      </c>
      <c r="AW2731" s="82" t="s">
        <v>15815</v>
      </c>
      <c r="AX2731" s="82" t="s">
        <v>15815</v>
      </c>
      <c r="AY2731" s="77"/>
      <c r="AZ2731" s="82" t="s">
        <v>17385</v>
      </c>
      <c r="BA2731" s="82" t="s">
        <v>17385</v>
      </c>
      <c r="BB2731" s="82" t="s">
        <v>17385</v>
      </c>
      <c r="BC2731" s="82" t="s">
        <v>15815</v>
      </c>
      <c r="BD2731" s="82" t="s">
        <v>17667</v>
      </c>
      <c r="BE2731" s="77"/>
      <c r="BF2731" s="77"/>
      <c r="BG2731" s="77"/>
      <c r="BH2731" s="77"/>
      <c r="BI2731" s="77"/>
    </row>
    <row r="2732" spans="1:61" x14ac:dyDescent="0.25">
      <c r="A2732" s="62" t="s">
        <v>646</v>
      </c>
      <c r="B2732" s="62" t="s">
        <v>646</v>
      </c>
      <c r="C2732" s="63"/>
      <c r="D2732" s="64"/>
      <c r="E2732" s="65"/>
      <c r="F2732" s="66"/>
      <c r="G2732" s="63"/>
      <c r="H2732" s="67"/>
      <c r="I2732" s="68"/>
      <c r="J2732" s="68"/>
      <c r="K2732" s="32"/>
      <c r="L2732" s="75">
        <v>2732</v>
      </c>
      <c r="M2732" s="75"/>
      <c r="N2732" s="70"/>
      <c r="O2732" s="77" t="s">
        <v>179</v>
      </c>
      <c r="P2732" s="79">
        <v>45056.552916666667</v>
      </c>
      <c r="Q2732" s="77" t="s">
        <v>3509</v>
      </c>
      <c r="R2732" s="77">
        <v>0</v>
      </c>
      <c r="S2732" s="77">
        <v>0</v>
      </c>
      <c r="T2732" s="77">
        <v>0</v>
      </c>
      <c r="U2732" s="77">
        <v>0</v>
      </c>
      <c r="V2732" s="77">
        <v>20</v>
      </c>
      <c r="W2732" s="82" t="s">
        <v>6382</v>
      </c>
      <c r="X2732" s="80" t="str">
        <f>HYPERLINK("https://tinyurl.com/2gn8vbz7")</f>
        <v>https://tinyurl.com/2gn8vbz7</v>
      </c>
      <c r="Y2732" s="77" t="s">
        <v>7068</v>
      </c>
      <c r="Z2732" s="77"/>
      <c r="AA2732" s="77"/>
      <c r="AB2732" s="77"/>
      <c r="AC2732" s="82" t="s">
        <v>8275</v>
      </c>
      <c r="AD2732" s="77" t="s">
        <v>8278</v>
      </c>
      <c r="AE2732" s="80" t="str">
        <f>HYPERLINK("https://twitter.com/pauta_economica/status/1656287018551324672")</f>
        <v>https://twitter.com/pauta_economica/status/1656287018551324672</v>
      </c>
      <c r="AF2732" s="79">
        <v>45056.552916666667</v>
      </c>
      <c r="AG2732" s="85">
        <v>45056</v>
      </c>
      <c r="AH2732" s="82" t="s">
        <v>10771</v>
      </c>
      <c r="AI2732" s="77" t="b">
        <v>0</v>
      </c>
      <c r="AJ2732" s="77"/>
      <c r="AK2732" s="77"/>
      <c r="AL2732" s="77"/>
      <c r="AM2732" s="77"/>
      <c r="AN2732" s="77"/>
      <c r="AO2732" s="77"/>
      <c r="AP2732" s="77"/>
      <c r="AQ2732" s="77"/>
      <c r="AR2732" s="77"/>
      <c r="AS2732" s="77"/>
      <c r="AT2732" s="77"/>
      <c r="AU2732" s="77"/>
      <c r="AV2732" s="80" t="str">
        <f>HYPERLINK("https://pbs.twimg.com/profile_images/1588668531910082561/XEi-lXiu_normal.jpg")</f>
        <v>https://pbs.twimg.com/profile_images/1588668531910082561/XEi-lXiu_normal.jpg</v>
      </c>
      <c r="AW2732" s="82" t="s">
        <v>15816</v>
      </c>
      <c r="AX2732" s="82" t="s">
        <v>15816</v>
      </c>
      <c r="AY2732" s="77"/>
      <c r="AZ2732" s="82" t="s">
        <v>17385</v>
      </c>
      <c r="BA2732" s="82" t="s">
        <v>17385</v>
      </c>
      <c r="BB2732" s="82" t="s">
        <v>17385</v>
      </c>
      <c r="BC2732" s="82" t="s">
        <v>15816</v>
      </c>
      <c r="BD2732" s="82" t="s">
        <v>17667</v>
      </c>
      <c r="BE2732" s="77"/>
      <c r="BF2732" s="77"/>
      <c r="BG2732" s="77"/>
      <c r="BH2732" s="77"/>
      <c r="BI2732" s="77"/>
    </row>
    <row r="2733" spans="1:61" x14ac:dyDescent="0.25">
      <c r="A2733" s="62" t="s">
        <v>646</v>
      </c>
      <c r="B2733" s="62" t="s">
        <v>646</v>
      </c>
      <c r="C2733" s="63"/>
      <c r="D2733" s="64"/>
      <c r="E2733" s="65"/>
      <c r="F2733" s="66"/>
      <c r="G2733" s="63"/>
      <c r="H2733" s="67"/>
      <c r="I2733" s="68"/>
      <c r="J2733" s="68"/>
      <c r="K2733" s="32"/>
      <c r="L2733" s="75">
        <v>2733</v>
      </c>
      <c r="M2733" s="75"/>
      <c r="N2733" s="70"/>
      <c r="O2733" s="77" t="s">
        <v>179</v>
      </c>
      <c r="P2733" s="79">
        <v>45056.538981481484</v>
      </c>
      <c r="Q2733" s="77" t="s">
        <v>3510</v>
      </c>
      <c r="R2733" s="77">
        <v>0</v>
      </c>
      <c r="S2733" s="77">
        <v>0</v>
      </c>
      <c r="T2733" s="77">
        <v>0</v>
      </c>
      <c r="U2733" s="77">
        <v>0</v>
      </c>
      <c r="V2733" s="77">
        <v>20</v>
      </c>
      <c r="W2733" s="82" t="s">
        <v>6382</v>
      </c>
      <c r="X2733" s="80" t="str">
        <f>HYPERLINK("https://tinyurl.com/2zvstqkq")</f>
        <v>https://tinyurl.com/2zvstqkq</v>
      </c>
      <c r="Y2733" s="77" t="s">
        <v>7068</v>
      </c>
      <c r="Z2733" s="77"/>
      <c r="AA2733" s="77"/>
      <c r="AB2733" s="77"/>
      <c r="AC2733" s="82" t="s">
        <v>8275</v>
      </c>
      <c r="AD2733" s="77" t="s">
        <v>8278</v>
      </c>
      <c r="AE2733" s="80" t="str">
        <f>HYPERLINK("https://twitter.com/pauta_economica/status/1656281969552916483")</f>
        <v>https://twitter.com/pauta_economica/status/1656281969552916483</v>
      </c>
      <c r="AF2733" s="79">
        <v>45056.538981481484</v>
      </c>
      <c r="AG2733" s="85">
        <v>45056</v>
      </c>
      <c r="AH2733" s="82" t="s">
        <v>10772</v>
      </c>
      <c r="AI2733" s="77" t="b">
        <v>0</v>
      </c>
      <c r="AJ2733" s="77"/>
      <c r="AK2733" s="77"/>
      <c r="AL2733" s="77"/>
      <c r="AM2733" s="77"/>
      <c r="AN2733" s="77"/>
      <c r="AO2733" s="77"/>
      <c r="AP2733" s="77"/>
      <c r="AQ2733" s="77"/>
      <c r="AR2733" s="77"/>
      <c r="AS2733" s="77"/>
      <c r="AT2733" s="77"/>
      <c r="AU2733" s="77"/>
      <c r="AV2733" s="80" t="str">
        <f>HYPERLINK("https://pbs.twimg.com/profile_images/1588668531910082561/XEi-lXiu_normal.jpg")</f>
        <v>https://pbs.twimg.com/profile_images/1588668531910082561/XEi-lXiu_normal.jpg</v>
      </c>
      <c r="AW2733" s="82" t="s">
        <v>15817</v>
      </c>
      <c r="AX2733" s="82" t="s">
        <v>15817</v>
      </c>
      <c r="AY2733" s="77"/>
      <c r="AZ2733" s="82" t="s">
        <v>17385</v>
      </c>
      <c r="BA2733" s="82" t="s">
        <v>17385</v>
      </c>
      <c r="BB2733" s="82" t="s">
        <v>17385</v>
      </c>
      <c r="BC2733" s="82" t="s">
        <v>15817</v>
      </c>
      <c r="BD2733" s="82" t="s">
        <v>17667</v>
      </c>
      <c r="BE2733" s="77"/>
      <c r="BF2733" s="77"/>
      <c r="BG2733" s="77"/>
      <c r="BH2733" s="77"/>
      <c r="BI2733" s="77"/>
    </row>
    <row r="2734" spans="1:61" x14ac:dyDescent="0.25">
      <c r="A2734" s="62" t="s">
        <v>646</v>
      </c>
      <c r="B2734" s="62" t="s">
        <v>646</v>
      </c>
      <c r="C2734" s="63"/>
      <c r="D2734" s="64"/>
      <c r="E2734" s="65"/>
      <c r="F2734" s="66"/>
      <c r="G2734" s="63"/>
      <c r="H2734" s="67"/>
      <c r="I2734" s="68"/>
      <c r="J2734" s="68"/>
      <c r="K2734" s="32"/>
      <c r="L2734" s="75">
        <v>2734</v>
      </c>
      <c r="M2734" s="75"/>
      <c r="N2734" s="70"/>
      <c r="O2734" s="77" t="s">
        <v>179</v>
      </c>
      <c r="P2734" s="79">
        <v>45056.53665509259</v>
      </c>
      <c r="Q2734" s="77" t="s">
        <v>3511</v>
      </c>
      <c r="R2734" s="77">
        <v>0</v>
      </c>
      <c r="S2734" s="77">
        <v>0</v>
      </c>
      <c r="T2734" s="77">
        <v>0</v>
      </c>
      <c r="U2734" s="77">
        <v>0</v>
      </c>
      <c r="V2734" s="77">
        <v>36</v>
      </c>
      <c r="W2734" s="82" t="s">
        <v>6382</v>
      </c>
      <c r="X2734" s="80" t="str">
        <f>HYPERLINK("https://tinyurl.com/2q4b2fow")</f>
        <v>https://tinyurl.com/2q4b2fow</v>
      </c>
      <c r="Y2734" s="77" t="s">
        <v>7068</v>
      </c>
      <c r="Z2734" s="77"/>
      <c r="AA2734" s="77"/>
      <c r="AB2734" s="77"/>
      <c r="AC2734" s="82" t="s">
        <v>8275</v>
      </c>
      <c r="AD2734" s="77" t="s">
        <v>8278</v>
      </c>
      <c r="AE2734" s="80" t="str">
        <f>HYPERLINK("https://twitter.com/pauta_economica/status/1656281124891504641")</f>
        <v>https://twitter.com/pauta_economica/status/1656281124891504641</v>
      </c>
      <c r="AF2734" s="79">
        <v>45056.53665509259</v>
      </c>
      <c r="AG2734" s="85">
        <v>45056</v>
      </c>
      <c r="AH2734" s="82" t="s">
        <v>10773</v>
      </c>
      <c r="AI2734" s="77" t="b">
        <v>0</v>
      </c>
      <c r="AJ2734" s="77"/>
      <c r="AK2734" s="77"/>
      <c r="AL2734" s="77"/>
      <c r="AM2734" s="77"/>
      <c r="AN2734" s="77"/>
      <c r="AO2734" s="77"/>
      <c r="AP2734" s="77"/>
      <c r="AQ2734" s="77"/>
      <c r="AR2734" s="77"/>
      <c r="AS2734" s="77"/>
      <c r="AT2734" s="77"/>
      <c r="AU2734" s="77"/>
      <c r="AV2734" s="80" t="str">
        <f>HYPERLINK("https://pbs.twimg.com/profile_images/1588668531910082561/XEi-lXiu_normal.jpg")</f>
        <v>https://pbs.twimg.com/profile_images/1588668531910082561/XEi-lXiu_normal.jpg</v>
      </c>
      <c r="AW2734" s="82" t="s">
        <v>15818</v>
      </c>
      <c r="AX2734" s="82" t="s">
        <v>15818</v>
      </c>
      <c r="AY2734" s="77"/>
      <c r="AZ2734" s="82" t="s">
        <v>17385</v>
      </c>
      <c r="BA2734" s="82" t="s">
        <v>17385</v>
      </c>
      <c r="BB2734" s="82" t="s">
        <v>17385</v>
      </c>
      <c r="BC2734" s="82" t="s">
        <v>15818</v>
      </c>
      <c r="BD2734" s="82" t="s">
        <v>17667</v>
      </c>
      <c r="BE2734" s="77"/>
      <c r="BF2734" s="77"/>
      <c r="BG2734" s="77"/>
      <c r="BH2734" s="77"/>
      <c r="BI2734" s="77"/>
    </row>
    <row r="2735" spans="1:61" x14ac:dyDescent="0.25">
      <c r="A2735" s="62" t="s">
        <v>646</v>
      </c>
      <c r="B2735" s="62" t="s">
        <v>646</v>
      </c>
      <c r="C2735" s="63"/>
      <c r="D2735" s="64"/>
      <c r="E2735" s="65"/>
      <c r="F2735" s="66"/>
      <c r="G2735" s="63"/>
      <c r="H2735" s="67"/>
      <c r="I2735" s="68"/>
      <c r="J2735" s="68"/>
      <c r="K2735" s="32"/>
      <c r="L2735" s="75">
        <v>2735</v>
      </c>
      <c r="M2735" s="75"/>
      <c r="N2735" s="70"/>
      <c r="O2735" s="77" t="s">
        <v>179</v>
      </c>
      <c r="P2735" s="79">
        <v>45056.524965277778</v>
      </c>
      <c r="Q2735" s="77" t="s">
        <v>3512</v>
      </c>
      <c r="R2735" s="77">
        <v>0</v>
      </c>
      <c r="S2735" s="77">
        <v>1</v>
      </c>
      <c r="T2735" s="77">
        <v>0</v>
      </c>
      <c r="U2735" s="77">
        <v>0</v>
      </c>
      <c r="V2735" s="77">
        <v>32</v>
      </c>
      <c r="W2735" s="82" t="s">
        <v>6382</v>
      </c>
      <c r="X2735" s="80" t="str">
        <f>HYPERLINK("https://tinyurl.com/2efaemrc")</f>
        <v>https://tinyurl.com/2efaemrc</v>
      </c>
      <c r="Y2735" s="77" t="s">
        <v>7068</v>
      </c>
      <c r="Z2735" s="77"/>
      <c r="AA2735" s="77"/>
      <c r="AB2735" s="77"/>
      <c r="AC2735" s="82" t="s">
        <v>8275</v>
      </c>
      <c r="AD2735" s="77" t="s">
        <v>8278</v>
      </c>
      <c r="AE2735" s="80" t="str">
        <f>HYPERLINK("https://twitter.com/pauta_economica/status/1656276892419235841")</f>
        <v>https://twitter.com/pauta_economica/status/1656276892419235841</v>
      </c>
      <c r="AF2735" s="79">
        <v>45056.524965277778</v>
      </c>
      <c r="AG2735" s="85">
        <v>45056</v>
      </c>
      <c r="AH2735" s="82" t="s">
        <v>10774</v>
      </c>
      <c r="AI2735" s="77" t="b">
        <v>0</v>
      </c>
      <c r="AJ2735" s="77"/>
      <c r="AK2735" s="77"/>
      <c r="AL2735" s="77"/>
      <c r="AM2735" s="77"/>
      <c r="AN2735" s="77"/>
      <c r="AO2735" s="77"/>
      <c r="AP2735" s="77"/>
      <c r="AQ2735" s="77"/>
      <c r="AR2735" s="77"/>
      <c r="AS2735" s="77"/>
      <c r="AT2735" s="77"/>
      <c r="AU2735" s="77"/>
      <c r="AV2735" s="80" t="str">
        <f>HYPERLINK("https://pbs.twimg.com/profile_images/1588668531910082561/XEi-lXiu_normal.jpg")</f>
        <v>https://pbs.twimg.com/profile_images/1588668531910082561/XEi-lXiu_normal.jpg</v>
      </c>
      <c r="AW2735" s="82" t="s">
        <v>15819</v>
      </c>
      <c r="AX2735" s="82" t="s">
        <v>15819</v>
      </c>
      <c r="AY2735" s="77"/>
      <c r="AZ2735" s="82" t="s">
        <v>17385</v>
      </c>
      <c r="BA2735" s="82" t="s">
        <v>17385</v>
      </c>
      <c r="BB2735" s="82" t="s">
        <v>17385</v>
      </c>
      <c r="BC2735" s="82" t="s">
        <v>15819</v>
      </c>
      <c r="BD2735" s="82" t="s">
        <v>17667</v>
      </c>
      <c r="BE2735" s="77"/>
      <c r="BF2735" s="77"/>
      <c r="BG2735" s="77"/>
      <c r="BH2735" s="77"/>
      <c r="BI2735" s="77"/>
    </row>
    <row r="2736" spans="1:61" x14ac:dyDescent="0.25">
      <c r="A2736" s="62" t="s">
        <v>646</v>
      </c>
      <c r="B2736" s="62" t="s">
        <v>646</v>
      </c>
      <c r="C2736" s="63"/>
      <c r="D2736" s="64"/>
      <c r="E2736" s="65"/>
      <c r="F2736" s="66"/>
      <c r="G2736" s="63"/>
      <c r="H2736" s="67"/>
      <c r="I2736" s="68"/>
      <c r="J2736" s="68"/>
      <c r="K2736" s="32"/>
      <c r="L2736" s="75">
        <v>2736</v>
      </c>
      <c r="M2736" s="75"/>
      <c r="N2736" s="70"/>
      <c r="O2736" s="77" t="s">
        <v>179</v>
      </c>
      <c r="P2736" s="79">
        <v>45056.511041666665</v>
      </c>
      <c r="Q2736" s="77" t="s">
        <v>3513</v>
      </c>
      <c r="R2736" s="77">
        <v>0</v>
      </c>
      <c r="S2736" s="77">
        <v>0</v>
      </c>
      <c r="T2736" s="77">
        <v>0</v>
      </c>
      <c r="U2736" s="77">
        <v>0</v>
      </c>
      <c r="V2736" s="77">
        <v>23</v>
      </c>
      <c r="W2736" s="82" t="s">
        <v>6382</v>
      </c>
      <c r="X2736" s="80" t="str">
        <f>HYPERLINK("https://tinyurl.com/2qe5stjp")</f>
        <v>https://tinyurl.com/2qe5stjp</v>
      </c>
      <c r="Y2736" s="77" t="s">
        <v>7068</v>
      </c>
      <c r="Z2736" s="77"/>
      <c r="AA2736" s="77"/>
      <c r="AB2736" s="77"/>
      <c r="AC2736" s="82" t="s">
        <v>8275</v>
      </c>
      <c r="AD2736" s="77" t="s">
        <v>8278</v>
      </c>
      <c r="AE2736" s="80" t="str">
        <f>HYPERLINK("https://twitter.com/pauta_economica/status/1656271845396447238")</f>
        <v>https://twitter.com/pauta_economica/status/1656271845396447238</v>
      </c>
      <c r="AF2736" s="79">
        <v>45056.511041666665</v>
      </c>
      <c r="AG2736" s="85">
        <v>45056</v>
      </c>
      <c r="AH2736" s="82" t="s">
        <v>9764</v>
      </c>
      <c r="AI2736" s="77" t="b">
        <v>0</v>
      </c>
      <c r="AJ2736" s="77"/>
      <c r="AK2736" s="77"/>
      <c r="AL2736" s="77"/>
      <c r="AM2736" s="77"/>
      <c r="AN2736" s="77"/>
      <c r="AO2736" s="77"/>
      <c r="AP2736" s="77"/>
      <c r="AQ2736" s="77"/>
      <c r="AR2736" s="77"/>
      <c r="AS2736" s="77"/>
      <c r="AT2736" s="77"/>
      <c r="AU2736" s="77"/>
      <c r="AV2736" s="80" t="str">
        <f>HYPERLINK("https://pbs.twimg.com/profile_images/1588668531910082561/XEi-lXiu_normal.jpg")</f>
        <v>https://pbs.twimg.com/profile_images/1588668531910082561/XEi-lXiu_normal.jpg</v>
      </c>
      <c r="AW2736" s="82" t="s">
        <v>15820</v>
      </c>
      <c r="AX2736" s="82" t="s">
        <v>15820</v>
      </c>
      <c r="AY2736" s="77"/>
      <c r="AZ2736" s="82" t="s">
        <v>17385</v>
      </c>
      <c r="BA2736" s="82" t="s">
        <v>17385</v>
      </c>
      <c r="BB2736" s="82" t="s">
        <v>17385</v>
      </c>
      <c r="BC2736" s="82" t="s">
        <v>15820</v>
      </c>
      <c r="BD2736" s="82" t="s">
        <v>17667</v>
      </c>
      <c r="BE2736" s="77"/>
      <c r="BF2736" s="77"/>
      <c r="BG2736" s="77"/>
      <c r="BH2736" s="77"/>
      <c r="BI2736" s="77"/>
    </row>
    <row r="2737" spans="1:61" x14ac:dyDescent="0.25">
      <c r="A2737" s="62" t="s">
        <v>646</v>
      </c>
      <c r="B2737" s="62" t="s">
        <v>646</v>
      </c>
      <c r="C2737" s="63"/>
      <c r="D2737" s="64"/>
      <c r="E2737" s="65"/>
      <c r="F2737" s="66"/>
      <c r="G2737" s="63"/>
      <c r="H2737" s="67"/>
      <c r="I2737" s="68"/>
      <c r="J2737" s="68"/>
      <c r="K2737" s="32"/>
      <c r="L2737" s="75">
        <v>2737</v>
      </c>
      <c r="M2737" s="75"/>
      <c r="N2737" s="70"/>
      <c r="O2737" s="77" t="s">
        <v>179</v>
      </c>
      <c r="P2737" s="79">
        <v>45056.508726851855</v>
      </c>
      <c r="Q2737" s="77" t="s">
        <v>3514</v>
      </c>
      <c r="R2737" s="77">
        <v>0</v>
      </c>
      <c r="S2737" s="77">
        <v>0</v>
      </c>
      <c r="T2737" s="77">
        <v>0</v>
      </c>
      <c r="U2737" s="77">
        <v>0</v>
      </c>
      <c r="V2737" s="77">
        <v>23</v>
      </c>
      <c r="W2737" s="82" t="s">
        <v>6382</v>
      </c>
      <c r="X2737" s="80" t="str">
        <f>HYPERLINK("https://tinyurl.com/2jxf3mmy")</f>
        <v>https://tinyurl.com/2jxf3mmy</v>
      </c>
      <c r="Y2737" s="77" t="s">
        <v>7068</v>
      </c>
      <c r="Z2737" s="77"/>
      <c r="AA2737" s="77"/>
      <c r="AB2737" s="77"/>
      <c r="AC2737" s="82" t="s">
        <v>8275</v>
      </c>
      <c r="AD2737" s="77" t="s">
        <v>8278</v>
      </c>
      <c r="AE2737" s="80" t="str">
        <f>HYPERLINK("https://twitter.com/pauta_economica/status/1656271004363112450")</f>
        <v>https://twitter.com/pauta_economica/status/1656271004363112450</v>
      </c>
      <c r="AF2737" s="79">
        <v>45056.508726851855</v>
      </c>
      <c r="AG2737" s="85">
        <v>45056</v>
      </c>
      <c r="AH2737" s="82" t="s">
        <v>10775</v>
      </c>
      <c r="AI2737" s="77" t="b">
        <v>0</v>
      </c>
      <c r="AJ2737" s="77"/>
      <c r="AK2737" s="77"/>
      <c r="AL2737" s="77"/>
      <c r="AM2737" s="77"/>
      <c r="AN2737" s="77"/>
      <c r="AO2737" s="77"/>
      <c r="AP2737" s="77"/>
      <c r="AQ2737" s="77"/>
      <c r="AR2737" s="77"/>
      <c r="AS2737" s="77"/>
      <c r="AT2737" s="77"/>
      <c r="AU2737" s="77"/>
      <c r="AV2737" s="80" t="str">
        <f>HYPERLINK("https://pbs.twimg.com/profile_images/1588668531910082561/XEi-lXiu_normal.jpg")</f>
        <v>https://pbs.twimg.com/profile_images/1588668531910082561/XEi-lXiu_normal.jpg</v>
      </c>
      <c r="AW2737" s="82" t="s">
        <v>15821</v>
      </c>
      <c r="AX2737" s="82" t="s">
        <v>15821</v>
      </c>
      <c r="AY2737" s="77"/>
      <c r="AZ2737" s="82" t="s">
        <v>17385</v>
      </c>
      <c r="BA2737" s="82" t="s">
        <v>17385</v>
      </c>
      <c r="BB2737" s="82" t="s">
        <v>17385</v>
      </c>
      <c r="BC2737" s="82" t="s">
        <v>15821</v>
      </c>
      <c r="BD2737" s="82" t="s">
        <v>17667</v>
      </c>
      <c r="BE2737" s="77"/>
      <c r="BF2737" s="77"/>
      <c r="BG2737" s="77"/>
      <c r="BH2737" s="77"/>
      <c r="BI2737" s="77"/>
    </row>
    <row r="2738" spans="1:61" x14ac:dyDescent="0.25">
      <c r="A2738" s="62" t="s">
        <v>646</v>
      </c>
      <c r="B2738" s="62" t="s">
        <v>646</v>
      </c>
      <c r="C2738" s="63"/>
      <c r="D2738" s="64"/>
      <c r="E2738" s="65"/>
      <c r="F2738" s="66"/>
      <c r="G2738" s="63"/>
      <c r="H2738" s="67"/>
      <c r="I2738" s="68"/>
      <c r="J2738" s="68"/>
      <c r="K2738" s="32"/>
      <c r="L2738" s="75">
        <v>2738</v>
      </c>
      <c r="M2738" s="75"/>
      <c r="N2738" s="70"/>
      <c r="O2738" s="77" t="s">
        <v>179</v>
      </c>
      <c r="P2738" s="79">
        <v>45056.172777777778</v>
      </c>
      <c r="Q2738" s="77" t="s">
        <v>3515</v>
      </c>
      <c r="R2738" s="77">
        <v>0</v>
      </c>
      <c r="S2738" s="77">
        <v>0</v>
      </c>
      <c r="T2738" s="77">
        <v>0</v>
      </c>
      <c r="U2738" s="77">
        <v>0</v>
      </c>
      <c r="V2738" s="77">
        <v>26</v>
      </c>
      <c r="W2738" s="82" t="s">
        <v>6382</v>
      </c>
      <c r="X2738" s="80" t="str">
        <f>HYPERLINK("https://tinyurl.com/2lgtoeph")</f>
        <v>https://tinyurl.com/2lgtoeph</v>
      </c>
      <c r="Y2738" s="77" t="s">
        <v>7068</v>
      </c>
      <c r="Z2738" s="77"/>
      <c r="AA2738" s="77"/>
      <c r="AB2738" s="77"/>
      <c r="AC2738" s="82" t="s">
        <v>8275</v>
      </c>
      <c r="AD2738" s="77" t="s">
        <v>8278</v>
      </c>
      <c r="AE2738" s="80" t="str">
        <f>HYPERLINK("https://twitter.com/pauta_economica/status/1656149263053733889")</f>
        <v>https://twitter.com/pauta_economica/status/1656149263053733889</v>
      </c>
      <c r="AF2738" s="79">
        <v>45056.172777777778</v>
      </c>
      <c r="AG2738" s="85">
        <v>45056</v>
      </c>
      <c r="AH2738" s="82" t="s">
        <v>10776</v>
      </c>
      <c r="AI2738" s="77" t="b">
        <v>0</v>
      </c>
      <c r="AJ2738" s="77"/>
      <c r="AK2738" s="77"/>
      <c r="AL2738" s="77"/>
      <c r="AM2738" s="77"/>
      <c r="AN2738" s="77"/>
      <c r="AO2738" s="77"/>
      <c r="AP2738" s="77"/>
      <c r="AQ2738" s="77"/>
      <c r="AR2738" s="77"/>
      <c r="AS2738" s="77"/>
      <c r="AT2738" s="77"/>
      <c r="AU2738" s="77"/>
      <c r="AV2738" s="80" t="str">
        <f>HYPERLINK("https://pbs.twimg.com/profile_images/1588668531910082561/XEi-lXiu_normal.jpg")</f>
        <v>https://pbs.twimg.com/profile_images/1588668531910082561/XEi-lXiu_normal.jpg</v>
      </c>
      <c r="AW2738" s="82" t="s">
        <v>15822</v>
      </c>
      <c r="AX2738" s="82" t="s">
        <v>15822</v>
      </c>
      <c r="AY2738" s="77"/>
      <c r="AZ2738" s="82" t="s">
        <v>17385</v>
      </c>
      <c r="BA2738" s="82" t="s">
        <v>17385</v>
      </c>
      <c r="BB2738" s="82" t="s">
        <v>17385</v>
      </c>
      <c r="BC2738" s="82" t="s">
        <v>15822</v>
      </c>
      <c r="BD2738" s="82" t="s">
        <v>17667</v>
      </c>
      <c r="BE2738" s="77"/>
      <c r="BF2738" s="77"/>
      <c r="BG2738" s="77"/>
      <c r="BH2738" s="77"/>
      <c r="BI2738" s="77"/>
    </row>
    <row r="2739" spans="1:61" x14ac:dyDescent="0.25">
      <c r="A2739" s="62" t="s">
        <v>646</v>
      </c>
      <c r="B2739" s="62" t="s">
        <v>646</v>
      </c>
      <c r="C2739" s="63"/>
      <c r="D2739" s="64"/>
      <c r="E2739" s="65"/>
      <c r="F2739" s="66"/>
      <c r="G2739" s="63"/>
      <c r="H2739" s="67"/>
      <c r="I2739" s="68"/>
      <c r="J2739" s="68"/>
      <c r="K2739" s="32"/>
      <c r="L2739" s="75">
        <v>2739</v>
      </c>
      <c r="M2739" s="75"/>
      <c r="N2739" s="70"/>
      <c r="O2739" s="77" t="s">
        <v>179</v>
      </c>
      <c r="P2739" s="79">
        <v>45056.116620370369</v>
      </c>
      <c r="Q2739" s="77" t="s">
        <v>3516</v>
      </c>
      <c r="R2739" s="77">
        <v>0</v>
      </c>
      <c r="S2739" s="77">
        <v>0</v>
      </c>
      <c r="T2739" s="77">
        <v>0</v>
      </c>
      <c r="U2739" s="77">
        <v>0</v>
      </c>
      <c r="V2739" s="77">
        <v>63</v>
      </c>
      <c r="W2739" s="82" t="s">
        <v>6382</v>
      </c>
      <c r="X2739" s="80" t="str">
        <f>HYPERLINK("https://tinyurl.com/2hxgtt9e")</f>
        <v>https://tinyurl.com/2hxgtt9e</v>
      </c>
      <c r="Y2739" s="77" t="s">
        <v>7068</v>
      </c>
      <c r="Z2739" s="77"/>
      <c r="AA2739" s="77"/>
      <c r="AB2739" s="77"/>
      <c r="AC2739" s="82" t="s">
        <v>8275</v>
      </c>
      <c r="AD2739" s="77" t="s">
        <v>8278</v>
      </c>
      <c r="AE2739" s="80" t="str">
        <f>HYPERLINK("https://twitter.com/pauta_economica/status/1656128909698580485")</f>
        <v>https://twitter.com/pauta_economica/status/1656128909698580485</v>
      </c>
      <c r="AF2739" s="79">
        <v>45056.116620370369</v>
      </c>
      <c r="AG2739" s="85">
        <v>45056</v>
      </c>
      <c r="AH2739" s="82" t="s">
        <v>10777</v>
      </c>
      <c r="AI2739" s="77" t="b">
        <v>0</v>
      </c>
      <c r="AJ2739" s="77"/>
      <c r="AK2739" s="77"/>
      <c r="AL2739" s="77"/>
      <c r="AM2739" s="77"/>
      <c r="AN2739" s="77"/>
      <c r="AO2739" s="77"/>
      <c r="AP2739" s="77"/>
      <c r="AQ2739" s="77"/>
      <c r="AR2739" s="77"/>
      <c r="AS2739" s="77"/>
      <c r="AT2739" s="77"/>
      <c r="AU2739" s="77"/>
      <c r="AV2739" s="80" t="str">
        <f>HYPERLINK("https://pbs.twimg.com/profile_images/1588668531910082561/XEi-lXiu_normal.jpg")</f>
        <v>https://pbs.twimg.com/profile_images/1588668531910082561/XEi-lXiu_normal.jpg</v>
      </c>
      <c r="AW2739" s="82" t="s">
        <v>15823</v>
      </c>
      <c r="AX2739" s="82" t="s">
        <v>15823</v>
      </c>
      <c r="AY2739" s="77"/>
      <c r="AZ2739" s="82" t="s">
        <v>17385</v>
      </c>
      <c r="BA2739" s="82" t="s">
        <v>17385</v>
      </c>
      <c r="BB2739" s="82" t="s">
        <v>17385</v>
      </c>
      <c r="BC2739" s="82" t="s">
        <v>15823</v>
      </c>
      <c r="BD2739" s="82" t="s">
        <v>17667</v>
      </c>
      <c r="BE2739" s="77"/>
      <c r="BF2739" s="77"/>
      <c r="BG2739" s="77"/>
      <c r="BH2739" s="77"/>
      <c r="BI2739" s="77"/>
    </row>
    <row r="2740" spans="1:61" x14ac:dyDescent="0.25">
      <c r="A2740" s="62" t="s">
        <v>646</v>
      </c>
      <c r="B2740" s="62" t="s">
        <v>646</v>
      </c>
      <c r="C2740" s="63"/>
      <c r="D2740" s="64"/>
      <c r="E2740" s="65"/>
      <c r="F2740" s="66"/>
      <c r="G2740" s="63"/>
      <c r="H2740" s="67"/>
      <c r="I2740" s="68"/>
      <c r="J2740" s="68"/>
      <c r="K2740" s="32"/>
      <c r="L2740" s="75">
        <v>2740</v>
      </c>
      <c r="M2740" s="75"/>
      <c r="N2740" s="70"/>
      <c r="O2740" s="77" t="s">
        <v>179</v>
      </c>
      <c r="P2740" s="79">
        <v>45056.088819444441</v>
      </c>
      <c r="Q2740" s="77" t="s">
        <v>3517</v>
      </c>
      <c r="R2740" s="77">
        <v>0</v>
      </c>
      <c r="S2740" s="77">
        <v>0</v>
      </c>
      <c r="T2740" s="77">
        <v>0</v>
      </c>
      <c r="U2740" s="77">
        <v>0</v>
      </c>
      <c r="V2740" s="77">
        <v>33</v>
      </c>
      <c r="W2740" s="82" t="s">
        <v>6382</v>
      </c>
      <c r="X2740" s="80" t="str">
        <f>HYPERLINK("https://tinyurl.com/2lke6aya")</f>
        <v>https://tinyurl.com/2lke6aya</v>
      </c>
      <c r="Y2740" s="77" t="s">
        <v>7068</v>
      </c>
      <c r="Z2740" s="77"/>
      <c r="AA2740" s="77"/>
      <c r="AB2740" s="77"/>
      <c r="AC2740" s="82" t="s">
        <v>8275</v>
      </c>
      <c r="AD2740" s="77" t="s">
        <v>8278</v>
      </c>
      <c r="AE2740" s="80" t="str">
        <f>HYPERLINK("https://twitter.com/pauta_economica/status/1656118835420835843")</f>
        <v>https://twitter.com/pauta_economica/status/1656118835420835843</v>
      </c>
      <c r="AF2740" s="79">
        <v>45056.088819444441</v>
      </c>
      <c r="AG2740" s="85">
        <v>45056</v>
      </c>
      <c r="AH2740" s="82" t="s">
        <v>10778</v>
      </c>
      <c r="AI2740" s="77" t="b">
        <v>0</v>
      </c>
      <c r="AJ2740" s="77"/>
      <c r="AK2740" s="77"/>
      <c r="AL2740" s="77"/>
      <c r="AM2740" s="77"/>
      <c r="AN2740" s="77"/>
      <c r="AO2740" s="77"/>
      <c r="AP2740" s="77"/>
      <c r="AQ2740" s="77"/>
      <c r="AR2740" s="77"/>
      <c r="AS2740" s="77"/>
      <c r="AT2740" s="77"/>
      <c r="AU2740" s="77"/>
      <c r="AV2740" s="80" t="str">
        <f>HYPERLINK("https://pbs.twimg.com/profile_images/1588668531910082561/XEi-lXiu_normal.jpg")</f>
        <v>https://pbs.twimg.com/profile_images/1588668531910082561/XEi-lXiu_normal.jpg</v>
      </c>
      <c r="AW2740" s="82" t="s">
        <v>15824</v>
      </c>
      <c r="AX2740" s="82" t="s">
        <v>15824</v>
      </c>
      <c r="AY2740" s="77"/>
      <c r="AZ2740" s="82" t="s">
        <v>17385</v>
      </c>
      <c r="BA2740" s="82" t="s">
        <v>17385</v>
      </c>
      <c r="BB2740" s="82" t="s">
        <v>17385</v>
      </c>
      <c r="BC2740" s="82" t="s">
        <v>15824</v>
      </c>
      <c r="BD2740" s="82" t="s">
        <v>17667</v>
      </c>
      <c r="BE2740" s="77"/>
      <c r="BF2740" s="77"/>
      <c r="BG2740" s="77"/>
      <c r="BH2740" s="77"/>
      <c r="BI2740" s="77"/>
    </row>
    <row r="2741" spans="1:61" x14ac:dyDescent="0.25">
      <c r="A2741" s="62" t="s">
        <v>646</v>
      </c>
      <c r="B2741" s="62" t="s">
        <v>646</v>
      </c>
      <c r="C2741" s="63"/>
      <c r="D2741" s="64"/>
      <c r="E2741" s="65"/>
      <c r="F2741" s="66"/>
      <c r="G2741" s="63"/>
      <c r="H2741" s="67"/>
      <c r="I2741" s="68"/>
      <c r="J2741" s="68"/>
      <c r="K2741" s="32"/>
      <c r="L2741" s="75">
        <v>2741</v>
      </c>
      <c r="M2741" s="75"/>
      <c r="N2741" s="70"/>
      <c r="O2741" s="77" t="s">
        <v>179</v>
      </c>
      <c r="P2741" s="79">
        <v>45055.977175925924</v>
      </c>
      <c r="Q2741" s="77" t="s">
        <v>3518</v>
      </c>
      <c r="R2741" s="77">
        <v>0</v>
      </c>
      <c r="S2741" s="77">
        <v>1</v>
      </c>
      <c r="T2741" s="77">
        <v>0</v>
      </c>
      <c r="U2741" s="77">
        <v>0</v>
      </c>
      <c r="V2741" s="77">
        <v>153</v>
      </c>
      <c r="W2741" s="82" t="s">
        <v>6382</v>
      </c>
      <c r="X2741" s="80" t="str">
        <f>HYPERLINK("https://tinyurl.com/2myalow4")</f>
        <v>https://tinyurl.com/2myalow4</v>
      </c>
      <c r="Y2741" s="77" t="s">
        <v>7068</v>
      </c>
      <c r="Z2741" s="77"/>
      <c r="AA2741" s="77"/>
      <c r="AB2741" s="77"/>
      <c r="AC2741" s="82" t="s">
        <v>8275</v>
      </c>
      <c r="AD2741" s="77" t="s">
        <v>8278</v>
      </c>
      <c r="AE2741" s="80" t="str">
        <f>HYPERLINK("https://twitter.com/pauta_economica/status/1656078377827147776")</f>
        <v>https://twitter.com/pauta_economica/status/1656078377827147776</v>
      </c>
      <c r="AF2741" s="79">
        <v>45055.977175925924</v>
      </c>
      <c r="AG2741" s="85">
        <v>45055</v>
      </c>
      <c r="AH2741" s="82" t="s">
        <v>10779</v>
      </c>
      <c r="AI2741" s="77" t="b">
        <v>0</v>
      </c>
      <c r="AJ2741" s="77"/>
      <c r="AK2741" s="77"/>
      <c r="AL2741" s="77"/>
      <c r="AM2741" s="77"/>
      <c r="AN2741" s="77"/>
      <c r="AO2741" s="77"/>
      <c r="AP2741" s="77"/>
      <c r="AQ2741" s="77"/>
      <c r="AR2741" s="77"/>
      <c r="AS2741" s="77"/>
      <c r="AT2741" s="77"/>
      <c r="AU2741" s="77"/>
      <c r="AV2741" s="80" t="str">
        <f>HYPERLINK("https://pbs.twimg.com/profile_images/1588668531910082561/XEi-lXiu_normal.jpg")</f>
        <v>https://pbs.twimg.com/profile_images/1588668531910082561/XEi-lXiu_normal.jpg</v>
      </c>
      <c r="AW2741" s="82" t="s">
        <v>15825</v>
      </c>
      <c r="AX2741" s="82" t="s">
        <v>15825</v>
      </c>
      <c r="AY2741" s="77"/>
      <c r="AZ2741" s="82" t="s">
        <v>17385</v>
      </c>
      <c r="BA2741" s="82" t="s">
        <v>17385</v>
      </c>
      <c r="BB2741" s="82" t="s">
        <v>17385</v>
      </c>
      <c r="BC2741" s="82" t="s">
        <v>15825</v>
      </c>
      <c r="BD2741" s="82" t="s">
        <v>17667</v>
      </c>
      <c r="BE2741" s="77"/>
      <c r="BF2741" s="77"/>
      <c r="BG2741" s="77"/>
      <c r="BH2741" s="77"/>
      <c r="BI2741" s="77"/>
    </row>
    <row r="2742" spans="1:61" x14ac:dyDescent="0.25">
      <c r="A2742" s="62" t="s">
        <v>646</v>
      </c>
      <c r="B2742" s="62" t="s">
        <v>646</v>
      </c>
      <c r="C2742" s="63"/>
      <c r="D2742" s="64"/>
      <c r="E2742" s="65"/>
      <c r="F2742" s="66"/>
      <c r="G2742" s="63"/>
      <c r="H2742" s="67"/>
      <c r="I2742" s="68"/>
      <c r="J2742" s="68"/>
      <c r="K2742" s="32"/>
      <c r="L2742" s="75">
        <v>2742</v>
      </c>
      <c r="M2742" s="75"/>
      <c r="N2742" s="70"/>
      <c r="O2742" s="77" t="s">
        <v>179</v>
      </c>
      <c r="P2742" s="79">
        <v>45055.921516203707</v>
      </c>
      <c r="Q2742" s="77" t="s">
        <v>3519</v>
      </c>
      <c r="R2742" s="77">
        <v>0</v>
      </c>
      <c r="S2742" s="77">
        <v>0</v>
      </c>
      <c r="T2742" s="77">
        <v>0</v>
      </c>
      <c r="U2742" s="77">
        <v>0</v>
      </c>
      <c r="V2742" s="77">
        <v>17</v>
      </c>
      <c r="W2742" s="82" t="s">
        <v>6382</v>
      </c>
      <c r="X2742" s="80" t="str">
        <f>HYPERLINK("https://tinyurl.com/2f5f78dj")</f>
        <v>https://tinyurl.com/2f5f78dj</v>
      </c>
      <c r="Y2742" s="77" t="s">
        <v>7068</v>
      </c>
      <c r="Z2742" s="77"/>
      <c r="AA2742" s="77"/>
      <c r="AB2742" s="77"/>
      <c r="AC2742" s="82" t="s">
        <v>8275</v>
      </c>
      <c r="AD2742" s="77" t="s">
        <v>8278</v>
      </c>
      <c r="AE2742" s="80" t="str">
        <f>HYPERLINK("https://twitter.com/pauta_economica/status/1656058207855341571")</f>
        <v>https://twitter.com/pauta_economica/status/1656058207855341571</v>
      </c>
      <c r="AF2742" s="79">
        <v>45055.921516203707</v>
      </c>
      <c r="AG2742" s="85">
        <v>45055</v>
      </c>
      <c r="AH2742" s="82" t="s">
        <v>10780</v>
      </c>
      <c r="AI2742" s="77" t="b">
        <v>0</v>
      </c>
      <c r="AJ2742" s="77"/>
      <c r="AK2742" s="77"/>
      <c r="AL2742" s="77"/>
      <c r="AM2742" s="77"/>
      <c r="AN2742" s="77"/>
      <c r="AO2742" s="77"/>
      <c r="AP2742" s="77"/>
      <c r="AQ2742" s="77"/>
      <c r="AR2742" s="77"/>
      <c r="AS2742" s="77"/>
      <c r="AT2742" s="77"/>
      <c r="AU2742" s="77"/>
      <c r="AV2742" s="80" t="str">
        <f>HYPERLINK("https://pbs.twimg.com/profile_images/1588668531910082561/XEi-lXiu_normal.jpg")</f>
        <v>https://pbs.twimg.com/profile_images/1588668531910082561/XEi-lXiu_normal.jpg</v>
      </c>
      <c r="AW2742" s="82" t="s">
        <v>15826</v>
      </c>
      <c r="AX2742" s="82" t="s">
        <v>15826</v>
      </c>
      <c r="AY2742" s="77"/>
      <c r="AZ2742" s="82" t="s">
        <v>17385</v>
      </c>
      <c r="BA2742" s="82" t="s">
        <v>17385</v>
      </c>
      <c r="BB2742" s="82" t="s">
        <v>17385</v>
      </c>
      <c r="BC2742" s="82" t="s">
        <v>15826</v>
      </c>
      <c r="BD2742" s="82" t="s">
        <v>17667</v>
      </c>
      <c r="BE2742" s="77"/>
      <c r="BF2742" s="77"/>
      <c r="BG2742" s="77"/>
      <c r="BH2742" s="77"/>
      <c r="BI2742" s="77"/>
    </row>
    <row r="2743" spans="1:61" x14ac:dyDescent="0.25">
      <c r="A2743" s="62" t="s">
        <v>646</v>
      </c>
      <c r="B2743" s="62" t="s">
        <v>646</v>
      </c>
      <c r="C2743" s="63"/>
      <c r="D2743" s="64"/>
      <c r="E2743" s="65"/>
      <c r="F2743" s="66"/>
      <c r="G2743" s="63"/>
      <c r="H2743" s="67"/>
      <c r="I2743" s="68"/>
      <c r="J2743" s="68"/>
      <c r="K2743" s="32"/>
      <c r="L2743" s="75">
        <v>2743</v>
      </c>
      <c r="M2743" s="75"/>
      <c r="N2743" s="70"/>
      <c r="O2743" s="77" t="s">
        <v>179</v>
      </c>
      <c r="P2743" s="79">
        <v>45055.893599537034</v>
      </c>
      <c r="Q2743" s="77" t="s">
        <v>3520</v>
      </c>
      <c r="R2743" s="77">
        <v>0</v>
      </c>
      <c r="S2743" s="77">
        <v>1</v>
      </c>
      <c r="T2743" s="77">
        <v>0</v>
      </c>
      <c r="U2743" s="77">
        <v>0</v>
      </c>
      <c r="V2743" s="77">
        <v>135</v>
      </c>
      <c r="W2743" s="82" t="s">
        <v>6382</v>
      </c>
      <c r="X2743" s="80" t="str">
        <f>HYPERLINK("https://tinyurl.com/2pylr6ke")</f>
        <v>https://tinyurl.com/2pylr6ke</v>
      </c>
      <c r="Y2743" s="77" t="s">
        <v>7068</v>
      </c>
      <c r="Z2743" s="77"/>
      <c r="AA2743" s="77"/>
      <c r="AB2743" s="77"/>
      <c r="AC2743" s="82" t="s">
        <v>8275</v>
      </c>
      <c r="AD2743" s="77" t="s">
        <v>8278</v>
      </c>
      <c r="AE2743" s="80" t="str">
        <f>HYPERLINK("https://twitter.com/pauta_economica/status/1656048090233860097")</f>
        <v>https://twitter.com/pauta_economica/status/1656048090233860097</v>
      </c>
      <c r="AF2743" s="79">
        <v>45055.893599537034</v>
      </c>
      <c r="AG2743" s="85">
        <v>45055</v>
      </c>
      <c r="AH2743" s="82" t="s">
        <v>10781</v>
      </c>
      <c r="AI2743" s="77" t="b">
        <v>0</v>
      </c>
      <c r="AJ2743" s="77"/>
      <c r="AK2743" s="77"/>
      <c r="AL2743" s="77"/>
      <c r="AM2743" s="77"/>
      <c r="AN2743" s="77"/>
      <c r="AO2743" s="77"/>
      <c r="AP2743" s="77"/>
      <c r="AQ2743" s="77"/>
      <c r="AR2743" s="77"/>
      <c r="AS2743" s="77"/>
      <c r="AT2743" s="77"/>
      <c r="AU2743" s="77"/>
      <c r="AV2743" s="80" t="str">
        <f>HYPERLINK("https://pbs.twimg.com/profile_images/1588668531910082561/XEi-lXiu_normal.jpg")</f>
        <v>https://pbs.twimg.com/profile_images/1588668531910082561/XEi-lXiu_normal.jpg</v>
      </c>
      <c r="AW2743" s="82" t="s">
        <v>15827</v>
      </c>
      <c r="AX2743" s="82" t="s">
        <v>15827</v>
      </c>
      <c r="AY2743" s="77"/>
      <c r="AZ2743" s="82" t="s">
        <v>17385</v>
      </c>
      <c r="BA2743" s="82" t="s">
        <v>17385</v>
      </c>
      <c r="BB2743" s="82" t="s">
        <v>17385</v>
      </c>
      <c r="BC2743" s="82" t="s">
        <v>15827</v>
      </c>
      <c r="BD2743" s="82" t="s">
        <v>17667</v>
      </c>
      <c r="BE2743" s="77"/>
      <c r="BF2743" s="77"/>
      <c r="BG2743" s="77"/>
      <c r="BH2743" s="77"/>
      <c r="BI2743" s="77"/>
    </row>
    <row r="2744" spans="1:61" x14ac:dyDescent="0.25">
      <c r="A2744" s="62" t="s">
        <v>646</v>
      </c>
      <c r="B2744" s="62" t="s">
        <v>646</v>
      </c>
      <c r="C2744" s="63"/>
      <c r="D2744" s="64"/>
      <c r="E2744" s="65"/>
      <c r="F2744" s="66"/>
      <c r="G2744" s="63"/>
      <c r="H2744" s="67"/>
      <c r="I2744" s="68"/>
      <c r="J2744" s="68"/>
      <c r="K2744" s="32"/>
      <c r="L2744" s="75">
        <v>2744</v>
      </c>
      <c r="M2744" s="75"/>
      <c r="N2744" s="70"/>
      <c r="O2744" s="77" t="s">
        <v>179</v>
      </c>
      <c r="P2744" s="79">
        <v>45055.78230324074</v>
      </c>
      <c r="Q2744" s="77" t="s">
        <v>3521</v>
      </c>
      <c r="R2744" s="77">
        <v>0</v>
      </c>
      <c r="S2744" s="77">
        <v>0</v>
      </c>
      <c r="T2744" s="77">
        <v>0</v>
      </c>
      <c r="U2744" s="77">
        <v>0</v>
      </c>
      <c r="V2744" s="77">
        <v>66</v>
      </c>
      <c r="W2744" s="82" t="s">
        <v>6382</v>
      </c>
      <c r="X2744" s="80" t="str">
        <f>HYPERLINK("https://tinyurl.com/2njxb87e")</f>
        <v>https://tinyurl.com/2njxb87e</v>
      </c>
      <c r="Y2744" s="77" t="s">
        <v>7068</v>
      </c>
      <c r="Z2744" s="77"/>
      <c r="AA2744" s="77"/>
      <c r="AB2744" s="77"/>
      <c r="AC2744" s="82" t="s">
        <v>8275</v>
      </c>
      <c r="AD2744" s="77" t="s">
        <v>8278</v>
      </c>
      <c r="AE2744" s="80" t="str">
        <f>HYPERLINK("https://twitter.com/pauta_economica/status/1656007760121610240")</f>
        <v>https://twitter.com/pauta_economica/status/1656007760121610240</v>
      </c>
      <c r="AF2744" s="79">
        <v>45055.78230324074</v>
      </c>
      <c r="AG2744" s="85">
        <v>45055</v>
      </c>
      <c r="AH2744" s="82" t="s">
        <v>10782</v>
      </c>
      <c r="AI2744" s="77" t="b">
        <v>0</v>
      </c>
      <c r="AJ2744" s="77"/>
      <c r="AK2744" s="77"/>
      <c r="AL2744" s="77"/>
      <c r="AM2744" s="77"/>
      <c r="AN2744" s="77"/>
      <c r="AO2744" s="77"/>
      <c r="AP2744" s="77"/>
      <c r="AQ2744" s="77"/>
      <c r="AR2744" s="77"/>
      <c r="AS2744" s="77"/>
      <c r="AT2744" s="77"/>
      <c r="AU2744" s="77"/>
      <c r="AV2744" s="80" t="str">
        <f>HYPERLINK("https://pbs.twimg.com/profile_images/1588668531910082561/XEi-lXiu_normal.jpg")</f>
        <v>https://pbs.twimg.com/profile_images/1588668531910082561/XEi-lXiu_normal.jpg</v>
      </c>
      <c r="AW2744" s="82" t="s">
        <v>15828</v>
      </c>
      <c r="AX2744" s="82" t="s">
        <v>15828</v>
      </c>
      <c r="AY2744" s="77"/>
      <c r="AZ2744" s="82" t="s">
        <v>17385</v>
      </c>
      <c r="BA2744" s="82" t="s">
        <v>17385</v>
      </c>
      <c r="BB2744" s="82" t="s">
        <v>17385</v>
      </c>
      <c r="BC2744" s="82" t="s">
        <v>15828</v>
      </c>
      <c r="BD2744" s="82" t="s">
        <v>17667</v>
      </c>
      <c r="BE2744" s="77"/>
      <c r="BF2744" s="77"/>
      <c r="BG2744" s="77"/>
      <c r="BH2744" s="77"/>
      <c r="BI2744" s="77"/>
    </row>
    <row r="2745" spans="1:61" x14ac:dyDescent="0.25">
      <c r="A2745" s="62" t="s">
        <v>646</v>
      </c>
      <c r="B2745" s="62" t="s">
        <v>646</v>
      </c>
      <c r="C2745" s="63"/>
      <c r="D2745" s="64"/>
      <c r="E2745" s="65"/>
      <c r="F2745" s="66"/>
      <c r="G2745" s="63"/>
      <c r="H2745" s="67"/>
      <c r="I2745" s="68"/>
      <c r="J2745" s="68"/>
      <c r="K2745" s="32"/>
      <c r="L2745" s="75">
        <v>2745</v>
      </c>
      <c r="M2745" s="75"/>
      <c r="N2745" s="70"/>
      <c r="O2745" s="77" t="s">
        <v>179</v>
      </c>
      <c r="P2745" s="79">
        <v>45055.754479166666</v>
      </c>
      <c r="Q2745" s="77" t="s">
        <v>3522</v>
      </c>
      <c r="R2745" s="77">
        <v>0</v>
      </c>
      <c r="S2745" s="77">
        <v>0</v>
      </c>
      <c r="T2745" s="77">
        <v>0</v>
      </c>
      <c r="U2745" s="77">
        <v>0</v>
      </c>
      <c r="V2745" s="77">
        <v>18</v>
      </c>
      <c r="W2745" s="82" t="s">
        <v>6382</v>
      </c>
      <c r="X2745" s="80" t="str">
        <f>HYPERLINK("https://tinyurl.com/2mrhxuku")</f>
        <v>https://tinyurl.com/2mrhxuku</v>
      </c>
      <c r="Y2745" s="77" t="s">
        <v>7068</v>
      </c>
      <c r="Z2745" s="77"/>
      <c r="AA2745" s="77"/>
      <c r="AB2745" s="77"/>
      <c r="AC2745" s="82" t="s">
        <v>8275</v>
      </c>
      <c r="AD2745" s="77" t="s">
        <v>8278</v>
      </c>
      <c r="AE2745" s="80" t="str">
        <f>HYPERLINK("https://twitter.com/pauta_economica/status/1655997676524118026")</f>
        <v>https://twitter.com/pauta_economica/status/1655997676524118026</v>
      </c>
      <c r="AF2745" s="79">
        <v>45055.754479166666</v>
      </c>
      <c r="AG2745" s="85">
        <v>45055</v>
      </c>
      <c r="AH2745" s="82" t="s">
        <v>10783</v>
      </c>
      <c r="AI2745" s="77" t="b">
        <v>0</v>
      </c>
      <c r="AJ2745" s="77"/>
      <c r="AK2745" s="77"/>
      <c r="AL2745" s="77"/>
      <c r="AM2745" s="77"/>
      <c r="AN2745" s="77"/>
      <c r="AO2745" s="77"/>
      <c r="AP2745" s="77"/>
      <c r="AQ2745" s="77"/>
      <c r="AR2745" s="77"/>
      <c r="AS2745" s="77"/>
      <c r="AT2745" s="77"/>
      <c r="AU2745" s="77"/>
      <c r="AV2745" s="80" t="str">
        <f>HYPERLINK("https://pbs.twimg.com/profile_images/1588668531910082561/XEi-lXiu_normal.jpg")</f>
        <v>https://pbs.twimg.com/profile_images/1588668531910082561/XEi-lXiu_normal.jpg</v>
      </c>
      <c r="AW2745" s="82" t="s">
        <v>15829</v>
      </c>
      <c r="AX2745" s="82" t="s">
        <v>15829</v>
      </c>
      <c r="AY2745" s="77"/>
      <c r="AZ2745" s="82" t="s">
        <v>17385</v>
      </c>
      <c r="BA2745" s="82" t="s">
        <v>17385</v>
      </c>
      <c r="BB2745" s="82" t="s">
        <v>17385</v>
      </c>
      <c r="BC2745" s="82" t="s">
        <v>15829</v>
      </c>
      <c r="BD2745" s="82" t="s">
        <v>17667</v>
      </c>
      <c r="BE2745" s="77"/>
      <c r="BF2745" s="77"/>
      <c r="BG2745" s="77"/>
      <c r="BH2745" s="77"/>
      <c r="BI2745" s="77"/>
    </row>
    <row r="2746" spans="1:61" x14ac:dyDescent="0.25">
      <c r="A2746" s="62" t="s">
        <v>646</v>
      </c>
      <c r="B2746" s="62" t="s">
        <v>646</v>
      </c>
      <c r="C2746" s="63"/>
      <c r="D2746" s="64"/>
      <c r="E2746" s="65"/>
      <c r="F2746" s="66"/>
      <c r="G2746" s="63"/>
      <c r="H2746" s="67"/>
      <c r="I2746" s="68"/>
      <c r="J2746" s="68"/>
      <c r="K2746" s="32"/>
      <c r="L2746" s="75">
        <v>2746</v>
      </c>
      <c r="M2746" s="75"/>
      <c r="N2746" s="70"/>
      <c r="O2746" s="77" t="s">
        <v>179</v>
      </c>
      <c r="P2746" s="79">
        <v>45055.643101851849</v>
      </c>
      <c r="Q2746" s="77" t="s">
        <v>3523</v>
      </c>
      <c r="R2746" s="77">
        <v>0</v>
      </c>
      <c r="S2746" s="77">
        <v>0</v>
      </c>
      <c r="T2746" s="77">
        <v>0</v>
      </c>
      <c r="U2746" s="77">
        <v>0</v>
      </c>
      <c r="V2746" s="77">
        <v>38</v>
      </c>
      <c r="W2746" s="82" t="s">
        <v>6382</v>
      </c>
      <c r="X2746" s="80" t="str">
        <f>HYPERLINK("https://tinyurl.com/2jwafyne")</f>
        <v>https://tinyurl.com/2jwafyne</v>
      </c>
      <c r="Y2746" s="77" t="s">
        <v>7068</v>
      </c>
      <c r="Z2746" s="77"/>
      <c r="AA2746" s="77"/>
      <c r="AB2746" s="77"/>
      <c r="AC2746" s="82" t="s">
        <v>8275</v>
      </c>
      <c r="AD2746" s="77" t="s">
        <v>8278</v>
      </c>
      <c r="AE2746" s="80" t="str">
        <f>HYPERLINK("https://twitter.com/pauta_economica/status/1655957312224329734")</f>
        <v>https://twitter.com/pauta_economica/status/1655957312224329734</v>
      </c>
      <c r="AF2746" s="79">
        <v>45055.643101851849</v>
      </c>
      <c r="AG2746" s="85">
        <v>45055</v>
      </c>
      <c r="AH2746" s="82" t="s">
        <v>10784</v>
      </c>
      <c r="AI2746" s="77" t="b">
        <v>0</v>
      </c>
      <c r="AJ2746" s="77"/>
      <c r="AK2746" s="77"/>
      <c r="AL2746" s="77"/>
      <c r="AM2746" s="77"/>
      <c r="AN2746" s="77"/>
      <c r="AO2746" s="77"/>
      <c r="AP2746" s="77"/>
      <c r="AQ2746" s="77"/>
      <c r="AR2746" s="77"/>
      <c r="AS2746" s="77"/>
      <c r="AT2746" s="77"/>
      <c r="AU2746" s="77"/>
      <c r="AV2746" s="80" t="str">
        <f>HYPERLINK("https://pbs.twimg.com/profile_images/1588668531910082561/XEi-lXiu_normal.jpg")</f>
        <v>https://pbs.twimg.com/profile_images/1588668531910082561/XEi-lXiu_normal.jpg</v>
      </c>
      <c r="AW2746" s="82" t="s">
        <v>15830</v>
      </c>
      <c r="AX2746" s="82" t="s">
        <v>15830</v>
      </c>
      <c r="AY2746" s="77"/>
      <c r="AZ2746" s="82" t="s">
        <v>17385</v>
      </c>
      <c r="BA2746" s="82" t="s">
        <v>17385</v>
      </c>
      <c r="BB2746" s="82" t="s">
        <v>17385</v>
      </c>
      <c r="BC2746" s="82" t="s">
        <v>15830</v>
      </c>
      <c r="BD2746" s="82" t="s">
        <v>17667</v>
      </c>
      <c r="BE2746" s="77"/>
      <c r="BF2746" s="77"/>
      <c r="BG2746" s="77"/>
      <c r="BH2746" s="77"/>
      <c r="BI2746" s="77"/>
    </row>
    <row r="2747" spans="1:61" x14ac:dyDescent="0.25">
      <c r="A2747" s="62" t="s">
        <v>646</v>
      </c>
      <c r="B2747" s="62" t="s">
        <v>646</v>
      </c>
      <c r="C2747" s="63"/>
      <c r="D2747" s="64"/>
      <c r="E2747" s="65"/>
      <c r="F2747" s="66"/>
      <c r="G2747" s="63"/>
      <c r="H2747" s="67"/>
      <c r="I2747" s="68"/>
      <c r="J2747" s="68"/>
      <c r="K2747" s="32"/>
      <c r="L2747" s="75">
        <v>2747</v>
      </c>
      <c r="M2747" s="75"/>
      <c r="N2747" s="70"/>
      <c r="O2747" s="77" t="s">
        <v>179</v>
      </c>
      <c r="P2747" s="79">
        <v>45055.598379629628</v>
      </c>
      <c r="Q2747" s="77" t="s">
        <v>3524</v>
      </c>
      <c r="R2747" s="77">
        <v>0</v>
      </c>
      <c r="S2747" s="77">
        <v>0</v>
      </c>
      <c r="T2747" s="77">
        <v>0</v>
      </c>
      <c r="U2747" s="77">
        <v>0</v>
      </c>
      <c r="V2747" s="77">
        <v>21</v>
      </c>
      <c r="W2747" s="82" t="s">
        <v>6382</v>
      </c>
      <c r="X2747" s="80" t="str">
        <f>HYPERLINK("https://tinyurl.com/2zo5a7sm")</f>
        <v>https://tinyurl.com/2zo5a7sm</v>
      </c>
      <c r="Y2747" s="77" t="s">
        <v>7068</v>
      </c>
      <c r="Z2747" s="77"/>
      <c r="AA2747" s="77"/>
      <c r="AB2747" s="77"/>
      <c r="AC2747" s="82" t="s">
        <v>8275</v>
      </c>
      <c r="AD2747" s="77" t="s">
        <v>8278</v>
      </c>
      <c r="AE2747" s="80" t="str">
        <f>HYPERLINK("https://twitter.com/pauta_economica/status/1655941108344688645")</f>
        <v>https://twitter.com/pauta_economica/status/1655941108344688645</v>
      </c>
      <c r="AF2747" s="79">
        <v>45055.598379629628</v>
      </c>
      <c r="AG2747" s="85">
        <v>45055</v>
      </c>
      <c r="AH2747" s="82" t="s">
        <v>10785</v>
      </c>
      <c r="AI2747" s="77" t="b">
        <v>0</v>
      </c>
      <c r="AJ2747" s="77"/>
      <c r="AK2747" s="77"/>
      <c r="AL2747" s="77"/>
      <c r="AM2747" s="77"/>
      <c r="AN2747" s="77"/>
      <c r="AO2747" s="77"/>
      <c r="AP2747" s="77"/>
      <c r="AQ2747" s="77"/>
      <c r="AR2747" s="77"/>
      <c r="AS2747" s="77"/>
      <c r="AT2747" s="77"/>
      <c r="AU2747" s="77"/>
      <c r="AV2747" s="80" t="str">
        <f>HYPERLINK("https://pbs.twimg.com/profile_images/1588668531910082561/XEi-lXiu_normal.jpg")</f>
        <v>https://pbs.twimg.com/profile_images/1588668531910082561/XEi-lXiu_normal.jpg</v>
      </c>
      <c r="AW2747" s="82" t="s">
        <v>15831</v>
      </c>
      <c r="AX2747" s="82" t="s">
        <v>15831</v>
      </c>
      <c r="AY2747" s="77"/>
      <c r="AZ2747" s="82" t="s">
        <v>17385</v>
      </c>
      <c r="BA2747" s="82" t="s">
        <v>17385</v>
      </c>
      <c r="BB2747" s="82" t="s">
        <v>17385</v>
      </c>
      <c r="BC2747" s="82" t="s">
        <v>15831</v>
      </c>
      <c r="BD2747" s="82" t="s">
        <v>17667</v>
      </c>
      <c r="BE2747" s="77"/>
      <c r="BF2747" s="77"/>
      <c r="BG2747" s="77"/>
      <c r="BH2747" s="77"/>
      <c r="BI2747" s="77"/>
    </row>
    <row r="2748" spans="1:61" x14ac:dyDescent="0.25">
      <c r="A2748" s="62" t="s">
        <v>646</v>
      </c>
      <c r="B2748" s="62" t="s">
        <v>646</v>
      </c>
      <c r="C2748" s="63"/>
      <c r="D2748" s="64"/>
      <c r="E2748" s="65"/>
      <c r="F2748" s="66"/>
      <c r="G2748" s="63"/>
      <c r="H2748" s="67"/>
      <c r="I2748" s="68"/>
      <c r="J2748" s="68"/>
      <c r="K2748" s="32"/>
      <c r="L2748" s="75">
        <v>2748</v>
      </c>
      <c r="M2748" s="75"/>
      <c r="N2748" s="70"/>
      <c r="O2748" s="77" t="s">
        <v>179</v>
      </c>
      <c r="P2748" s="79">
        <v>45055.55841435185</v>
      </c>
      <c r="Q2748" s="77" t="s">
        <v>3525</v>
      </c>
      <c r="R2748" s="77">
        <v>0</v>
      </c>
      <c r="S2748" s="77">
        <v>0</v>
      </c>
      <c r="T2748" s="77">
        <v>0</v>
      </c>
      <c r="U2748" s="77">
        <v>0</v>
      </c>
      <c r="V2748" s="77">
        <v>50</v>
      </c>
      <c r="W2748" s="82" t="s">
        <v>6382</v>
      </c>
      <c r="X2748" s="80" t="str">
        <f>HYPERLINK("https://tinyurl.com/2nzbo8o6")</f>
        <v>https://tinyurl.com/2nzbo8o6</v>
      </c>
      <c r="Y2748" s="77" t="s">
        <v>7068</v>
      </c>
      <c r="Z2748" s="77"/>
      <c r="AA2748" s="77"/>
      <c r="AB2748" s="77"/>
      <c r="AC2748" s="82" t="s">
        <v>8275</v>
      </c>
      <c r="AD2748" s="77" t="s">
        <v>8278</v>
      </c>
      <c r="AE2748" s="80" t="str">
        <f>HYPERLINK("https://twitter.com/pauta_economica/status/1655926624074838018")</f>
        <v>https://twitter.com/pauta_economica/status/1655926624074838018</v>
      </c>
      <c r="AF2748" s="79">
        <v>45055.55841435185</v>
      </c>
      <c r="AG2748" s="85">
        <v>45055</v>
      </c>
      <c r="AH2748" s="82" t="s">
        <v>10786</v>
      </c>
      <c r="AI2748" s="77" t="b">
        <v>0</v>
      </c>
      <c r="AJ2748" s="77"/>
      <c r="AK2748" s="77"/>
      <c r="AL2748" s="77"/>
      <c r="AM2748" s="77"/>
      <c r="AN2748" s="77"/>
      <c r="AO2748" s="77"/>
      <c r="AP2748" s="77"/>
      <c r="AQ2748" s="77"/>
      <c r="AR2748" s="77"/>
      <c r="AS2748" s="77"/>
      <c r="AT2748" s="77"/>
      <c r="AU2748" s="77"/>
      <c r="AV2748" s="80" t="str">
        <f>HYPERLINK("https://pbs.twimg.com/profile_images/1588668531910082561/XEi-lXiu_normal.jpg")</f>
        <v>https://pbs.twimg.com/profile_images/1588668531910082561/XEi-lXiu_normal.jpg</v>
      </c>
      <c r="AW2748" s="82" t="s">
        <v>15832</v>
      </c>
      <c r="AX2748" s="82" t="s">
        <v>15832</v>
      </c>
      <c r="AY2748" s="77"/>
      <c r="AZ2748" s="82" t="s">
        <v>17385</v>
      </c>
      <c r="BA2748" s="82" t="s">
        <v>17385</v>
      </c>
      <c r="BB2748" s="82" t="s">
        <v>17385</v>
      </c>
      <c r="BC2748" s="82" t="s">
        <v>15832</v>
      </c>
      <c r="BD2748" s="82" t="s">
        <v>17667</v>
      </c>
      <c r="BE2748" s="77"/>
      <c r="BF2748" s="77"/>
      <c r="BG2748" s="77"/>
      <c r="BH2748" s="77"/>
      <c r="BI2748" s="77"/>
    </row>
    <row r="2749" spans="1:61" x14ac:dyDescent="0.25">
      <c r="A2749" s="62" t="s">
        <v>646</v>
      </c>
      <c r="B2749" s="62" t="s">
        <v>646</v>
      </c>
      <c r="C2749" s="63"/>
      <c r="D2749" s="64"/>
      <c r="E2749" s="65"/>
      <c r="F2749" s="66"/>
      <c r="G2749" s="63"/>
      <c r="H2749" s="67"/>
      <c r="I2749" s="68"/>
      <c r="J2749" s="68"/>
      <c r="K2749" s="32"/>
      <c r="L2749" s="75">
        <v>2749</v>
      </c>
      <c r="M2749" s="75"/>
      <c r="N2749" s="70"/>
      <c r="O2749" s="77" t="s">
        <v>179</v>
      </c>
      <c r="P2749" s="79">
        <v>45055.542754629627</v>
      </c>
      <c r="Q2749" s="77" t="s">
        <v>3526</v>
      </c>
      <c r="R2749" s="77">
        <v>0</v>
      </c>
      <c r="S2749" s="77">
        <v>0</v>
      </c>
      <c r="T2749" s="77">
        <v>0</v>
      </c>
      <c r="U2749" s="77">
        <v>0</v>
      </c>
      <c r="V2749" s="77">
        <v>10</v>
      </c>
      <c r="W2749" s="82" t="s">
        <v>6382</v>
      </c>
      <c r="X2749" s="80" t="str">
        <f>HYPERLINK("https://tinyurl.com/2zzpoehu")</f>
        <v>https://tinyurl.com/2zzpoehu</v>
      </c>
      <c r="Y2749" s="77" t="s">
        <v>7068</v>
      </c>
      <c r="Z2749" s="77"/>
      <c r="AA2749" s="77"/>
      <c r="AB2749" s="77"/>
      <c r="AC2749" s="82" t="s">
        <v>8275</v>
      </c>
      <c r="AD2749" s="77" t="s">
        <v>8278</v>
      </c>
      <c r="AE2749" s="80" t="str">
        <f>HYPERLINK("https://twitter.com/pauta_economica/status/1655920947675668481")</f>
        <v>https://twitter.com/pauta_economica/status/1655920947675668481</v>
      </c>
      <c r="AF2749" s="79">
        <v>45055.542754629627</v>
      </c>
      <c r="AG2749" s="85">
        <v>45055</v>
      </c>
      <c r="AH2749" s="82" t="s">
        <v>10787</v>
      </c>
      <c r="AI2749" s="77" t="b">
        <v>0</v>
      </c>
      <c r="AJ2749" s="77"/>
      <c r="AK2749" s="77"/>
      <c r="AL2749" s="77"/>
      <c r="AM2749" s="77"/>
      <c r="AN2749" s="77"/>
      <c r="AO2749" s="77"/>
      <c r="AP2749" s="77"/>
      <c r="AQ2749" s="77"/>
      <c r="AR2749" s="77"/>
      <c r="AS2749" s="77"/>
      <c r="AT2749" s="77"/>
      <c r="AU2749" s="77"/>
      <c r="AV2749" s="80" t="str">
        <f>HYPERLINK("https://pbs.twimg.com/profile_images/1588668531910082561/XEi-lXiu_normal.jpg")</f>
        <v>https://pbs.twimg.com/profile_images/1588668531910082561/XEi-lXiu_normal.jpg</v>
      </c>
      <c r="AW2749" s="82" t="s">
        <v>15833</v>
      </c>
      <c r="AX2749" s="82" t="s">
        <v>15833</v>
      </c>
      <c r="AY2749" s="77"/>
      <c r="AZ2749" s="82" t="s">
        <v>17385</v>
      </c>
      <c r="BA2749" s="82" t="s">
        <v>17385</v>
      </c>
      <c r="BB2749" s="82" t="s">
        <v>17385</v>
      </c>
      <c r="BC2749" s="82" t="s">
        <v>15833</v>
      </c>
      <c r="BD2749" s="82" t="s">
        <v>17667</v>
      </c>
      <c r="BE2749" s="77"/>
      <c r="BF2749" s="77"/>
      <c r="BG2749" s="77"/>
      <c r="BH2749" s="77"/>
      <c r="BI2749" s="77"/>
    </row>
    <row r="2750" spans="1:61" x14ac:dyDescent="0.25">
      <c r="A2750" s="62" t="s">
        <v>646</v>
      </c>
      <c r="B2750" s="62" t="s">
        <v>646</v>
      </c>
      <c r="C2750" s="63"/>
      <c r="D2750" s="64"/>
      <c r="E2750" s="65"/>
      <c r="F2750" s="66"/>
      <c r="G2750" s="63"/>
      <c r="H2750" s="67"/>
      <c r="I2750" s="68"/>
      <c r="J2750" s="68"/>
      <c r="K2750" s="32"/>
      <c r="L2750" s="75">
        <v>2750</v>
      </c>
      <c r="M2750" s="75"/>
      <c r="N2750" s="70"/>
      <c r="O2750" s="77" t="s">
        <v>179</v>
      </c>
      <c r="P2750" s="79">
        <v>45055.521770833337</v>
      </c>
      <c r="Q2750" s="77" t="s">
        <v>3527</v>
      </c>
      <c r="R2750" s="77">
        <v>0</v>
      </c>
      <c r="S2750" s="77">
        <v>1</v>
      </c>
      <c r="T2750" s="77">
        <v>0</v>
      </c>
      <c r="U2750" s="77">
        <v>0</v>
      </c>
      <c r="V2750" s="77">
        <v>152</v>
      </c>
      <c r="W2750" s="82" t="s">
        <v>6382</v>
      </c>
      <c r="X2750" s="80" t="str">
        <f>HYPERLINK("https://tinyurl.com/2kyg933u")</f>
        <v>https://tinyurl.com/2kyg933u</v>
      </c>
      <c r="Y2750" s="77" t="s">
        <v>7068</v>
      </c>
      <c r="Z2750" s="77"/>
      <c r="AA2750" s="77"/>
      <c r="AB2750" s="77"/>
      <c r="AC2750" s="82" t="s">
        <v>8275</v>
      </c>
      <c r="AD2750" s="77" t="s">
        <v>8278</v>
      </c>
      <c r="AE2750" s="80" t="str">
        <f>HYPERLINK("https://twitter.com/pauta_economica/status/1655913345642373121")</f>
        <v>https://twitter.com/pauta_economica/status/1655913345642373121</v>
      </c>
      <c r="AF2750" s="79">
        <v>45055.521770833337</v>
      </c>
      <c r="AG2750" s="85">
        <v>45055</v>
      </c>
      <c r="AH2750" s="82" t="s">
        <v>10788</v>
      </c>
      <c r="AI2750" s="77" t="b">
        <v>0</v>
      </c>
      <c r="AJ2750" s="77"/>
      <c r="AK2750" s="77"/>
      <c r="AL2750" s="77"/>
      <c r="AM2750" s="77"/>
      <c r="AN2750" s="77"/>
      <c r="AO2750" s="77"/>
      <c r="AP2750" s="77"/>
      <c r="AQ2750" s="77"/>
      <c r="AR2750" s="77"/>
      <c r="AS2750" s="77"/>
      <c r="AT2750" s="77"/>
      <c r="AU2750" s="77"/>
      <c r="AV2750" s="80" t="str">
        <f>HYPERLINK("https://pbs.twimg.com/profile_images/1588668531910082561/XEi-lXiu_normal.jpg")</f>
        <v>https://pbs.twimg.com/profile_images/1588668531910082561/XEi-lXiu_normal.jpg</v>
      </c>
      <c r="AW2750" s="82" t="s">
        <v>15834</v>
      </c>
      <c r="AX2750" s="82" t="s">
        <v>15834</v>
      </c>
      <c r="AY2750" s="77"/>
      <c r="AZ2750" s="82" t="s">
        <v>17385</v>
      </c>
      <c r="BA2750" s="82" t="s">
        <v>17385</v>
      </c>
      <c r="BB2750" s="82" t="s">
        <v>17385</v>
      </c>
      <c r="BC2750" s="82" t="s">
        <v>15834</v>
      </c>
      <c r="BD2750" s="82" t="s">
        <v>17667</v>
      </c>
      <c r="BE2750" s="77"/>
      <c r="BF2750" s="77"/>
      <c r="BG2750" s="77"/>
      <c r="BH2750" s="77"/>
      <c r="BI2750" s="77"/>
    </row>
    <row r="2751" spans="1:61" x14ac:dyDescent="0.25">
      <c r="A2751" s="62" t="s">
        <v>646</v>
      </c>
      <c r="B2751" s="62" t="s">
        <v>646</v>
      </c>
      <c r="C2751" s="63"/>
      <c r="D2751" s="64"/>
      <c r="E2751" s="65"/>
      <c r="F2751" s="66"/>
      <c r="G2751" s="63"/>
      <c r="H2751" s="67"/>
      <c r="I2751" s="68"/>
      <c r="J2751" s="68"/>
      <c r="K2751" s="32"/>
      <c r="L2751" s="75">
        <v>2751</v>
      </c>
      <c r="M2751" s="75"/>
      <c r="N2751" s="70"/>
      <c r="O2751" s="77" t="s">
        <v>179</v>
      </c>
      <c r="P2751" s="79">
        <v>45055.514837962961</v>
      </c>
      <c r="Q2751" s="77" t="s">
        <v>3528</v>
      </c>
      <c r="R2751" s="77">
        <v>0</v>
      </c>
      <c r="S2751" s="77">
        <v>0</v>
      </c>
      <c r="T2751" s="77">
        <v>0</v>
      </c>
      <c r="U2751" s="77">
        <v>0</v>
      </c>
      <c r="V2751" s="77">
        <v>21</v>
      </c>
      <c r="W2751" s="82" t="s">
        <v>6382</v>
      </c>
      <c r="X2751" s="80" t="str">
        <f>HYPERLINK("https://tinyurl.com/2l7wzch7")</f>
        <v>https://tinyurl.com/2l7wzch7</v>
      </c>
      <c r="Y2751" s="77" t="s">
        <v>7068</v>
      </c>
      <c r="Z2751" s="77"/>
      <c r="AA2751" s="77"/>
      <c r="AB2751" s="77"/>
      <c r="AC2751" s="82" t="s">
        <v>8275</v>
      </c>
      <c r="AD2751" s="77" t="s">
        <v>8278</v>
      </c>
      <c r="AE2751" s="80" t="str">
        <f>HYPERLINK("https://twitter.com/pauta_economica/status/1655910832516079616")</f>
        <v>https://twitter.com/pauta_economica/status/1655910832516079616</v>
      </c>
      <c r="AF2751" s="79">
        <v>45055.514837962961</v>
      </c>
      <c r="AG2751" s="85">
        <v>45055</v>
      </c>
      <c r="AH2751" s="82" t="s">
        <v>10789</v>
      </c>
      <c r="AI2751" s="77" t="b">
        <v>0</v>
      </c>
      <c r="AJ2751" s="77"/>
      <c r="AK2751" s="77"/>
      <c r="AL2751" s="77"/>
      <c r="AM2751" s="77"/>
      <c r="AN2751" s="77"/>
      <c r="AO2751" s="77"/>
      <c r="AP2751" s="77"/>
      <c r="AQ2751" s="77"/>
      <c r="AR2751" s="77"/>
      <c r="AS2751" s="77"/>
      <c r="AT2751" s="77"/>
      <c r="AU2751" s="77"/>
      <c r="AV2751" s="80" t="str">
        <f>HYPERLINK("https://pbs.twimg.com/profile_images/1588668531910082561/XEi-lXiu_normal.jpg")</f>
        <v>https://pbs.twimg.com/profile_images/1588668531910082561/XEi-lXiu_normal.jpg</v>
      </c>
      <c r="AW2751" s="82" t="s">
        <v>15835</v>
      </c>
      <c r="AX2751" s="82" t="s">
        <v>15835</v>
      </c>
      <c r="AY2751" s="77"/>
      <c r="AZ2751" s="82" t="s">
        <v>17385</v>
      </c>
      <c r="BA2751" s="82" t="s">
        <v>17385</v>
      </c>
      <c r="BB2751" s="82" t="s">
        <v>17385</v>
      </c>
      <c r="BC2751" s="82" t="s">
        <v>15835</v>
      </c>
      <c r="BD2751" s="82" t="s">
        <v>17667</v>
      </c>
      <c r="BE2751" s="77"/>
      <c r="BF2751" s="77"/>
      <c r="BG2751" s="77"/>
      <c r="BH2751" s="77"/>
      <c r="BI2751" s="77"/>
    </row>
    <row r="2752" spans="1:61" x14ac:dyDescent="0.25">
      <c r="A2752" s="62" t="s">
        <v>646</v>
      </c>
      <c r="B2752" s="62" t="s">
        <v>646</v>
      </c>
      <c r="C2752" s="63"/>
      <c r="D2752" s="64"/>
      <c r="E2752" s="65"/>
      <c r="F2752" s="66"/>
      <c r="G2752" s="63"/>
      <c r="H2752" s="67"/>
      <c r="I2752" s="68"/>
      <c r="J2752" s="68"/>
      <c r="K2752" s="32"/>
      <c r="L2752" s="75">
        <v>2752</v>
      </c>
      <c r="M2752" s="75"/>
      <c r="N2752" s="70"/>
      <c r="O2752" s="77" t="s">
        <v>179</v>
      </c>
      <c r="P2752" s="79">
        <v>45055.507881944446</v>
      </c>
      <c r="Q2752" s="77" t="s">
        <v>3529</v>
      </c>
      <c r="R2752" s="77">
        <v>0</v>
      </c>
      <c r="S2752" s="77">
        <v>0</v>
      </c>
      <c r="T2752" s="77">
        <v>0</v>
      </c>
      <c r="U2752" s="77">
        <v>0</v>
      </c>
      <c r="V2752" s="77">
        <v>24</v>
      </c>
      <c r="W2752" s="82" t="s">
        <v>6382</v>
      </c>
      <c r="X2752" s="80" t="str">
        <f>HYPERLINK("https://tinyurl.com/2kmdwcey")</f>
        <v>https://tinyurl.com/2kmdwcey</v>
      </c>
      <c r="Y2752" s="77" t="s">
        <v>7068</v>
      </c>
      <c r="Z2752" s="77"/>
      <c r="AA2752" s="77"/>
      <c r="AB2752" s="77"/>
      <c r="AC2752" s="82" t="s">
        <v>8275</v>
      </c>
      <c r="AD2752" s="77" t="s">
        <v>8278</v>
      </c>
      <c r="AE2752" s="80" t="str">
        <f>HYPERLINK("https://twitter.com/pauta_economica/status/1655908313417019393")</f>
        <v>https://twitter.com/pauta_economica/status/1655908313417019393</v>
      </c>
      <c r="AF2752" s="79">
        <v>45055.507881944446</v>
      </c>
      <c r="AG2752" s="85">
        <v>45055</v>
      </c>
      <c r="AH2752" s="82" t="s">
        <v>10790</v>
      </c>
      <c r="AI2752" s="77" t="b">
        <v>0</v>
      </c>
      <c r="AJ2752" s="77"/>
      <c r="AK2752" s="77"/>
      <c r="AL2752" s="77"/>
      <c r="AM2752" s="77"/>
      <c r="AN2752" s="77"/>
      <c r="AO2752" s="77"/>
      <c r="AP2752" s="77"/>
      <c r="AQ2752" s="77"/>
      <c r="AR2752" s="77"/>
      <c r="AS2752" s="77"/>
      <c r="AT2752" s="77"/>
      <c r="AU2752" s="77"/>
      <c r="AV2752" s="80" t="str">
        <f>HYPERLINK("https://pbs.twimg.com/profile_images/1588668531910082561/XEi-lXiu_normal.jpg")</f>
        <v>https://pbs.twimg.com/profile_images/1588668531910082561/XEi-lXiu_normal.jpg</v>
      </c>
      <c r="AW2752" s="82" t="s">
        <v>15836</v>
      </c>
      <c r="AX2752" s="82" t="s">
        <v>15836</v>
      </c>
      <c r="AY2752" s="77"/>
      <c r="AZ2752" s="82" t="s">
        <v>17385</v>
      </c>
      <c r="BA2752" s="82" t="s">
        <v>17385</v>
      </c>
      <c r="BB2752" s="82" t="s">
        <v>17385</v>
      </c>
      <c r="BC2752" s="82" t="s">
        <v>15836</v>
      </c>
      <c r="BD2752" s="82" t="s">
        <v>17667</v>
      </c>
      <c r="BE2752" s="77"/>
      <c r="BF2752" s="77"/>
      <c r="BG2752" s="77"/>
      <c r="BH2752" s="77"/>
      <c r="BI2752" s="77"/>
    </row>
    <row r="2753" spans="1:61" x14ac:dyDescent="0.25">
      <c r="A2753" s="62" t="s">
        <v>646</v>
      </c>
      <c r="B2753" s="62" t="s">
        <v>646</v>
      </c>
      <c r="C2753" s="63"/>
      <c r="D2753" s="64"/>
      <c r="E2753" s="65"/>
      <c r="F2753" s="66"/>
      <c r="G2753" s="63"/>
      <c r="H2753" s="67"/>
      <c r="I2753" s="68"/>
      <c r="J2753" s="68"/>
      <c r="K2753" s="32"/>
      <c r="L2753" s="75">
        <v>2753</v>
      </c>
      <c r="M2753" s="75"/>
      <c r="N2753" s="70"/>
      <c r="O2753" s="77" t="s">
        <v>179</v>
      </c>
      <c r="P2753" s="79">
        <v>45055.502662037034</v>
      </c>
      <c r="Q2753" s="77" t="s">
        <v>3530</v>
      </c>
      <c r="R2753" s="77">
        <v>0</v>
      </c>
      <c r="S2753" s="77">
        <v>0</v>
      </c>
      <c r="T2753" s="77">
        <v>0</v>
      </c>
      <c r="U2753" s="77">
        <v>0</v>
      </c>
      <c r="V2753" s="77">
        <v>27</v>
      </c>
      <c r="W2753" s="82" t="s">
        <v>6382</v>
      </c>
      <c r="X2753" s="80" t="str">
        <f>HYPERLINK("https://tinyurl.com/2o2t83ks")</f>
        <v>https://tinyurl.com/2o2t83ks</v>
      </c>
      <c r="Y2753" s="77" t="s">
        <v>7068</v>
      </c>
      <c r="Z2753" s="77"/>
      <c r="AA2753" s="77"/>
      <c r="AB2753" s="77"/>
      <c r="AC2753" s="82" t="s">
        <v>8275</v>
      </c>
      <c r="AD2753" s="77" t="s">
        <v>8278</v>
      </c>
      <c r="AE2753" s="80" t="str">
        <f>HYPERLINK("https://twitter.com/pauta_economica/status/1655906420045299712")</f>
        <v>https://twitter.com/pauta_economica/status/1655906420045299712</v>
      </c>
      <c r="AF2753" s="79">
        <v>45055.502662037034</v>
      </c>
      <c r="AG2753" s="85">
        <v>45055</v>
      </c>
      <c r="AH2753" s="82" t="s">
        <v>10791</v>
      </c>
      <c r="AI2753" s="77" t="b">
        <v>0</v>
      </c>
      <c r="AJ2753" s="77"/>
      <c r="AK2753" s="77"/>
      <c r="AL2753" s="77"/>
      <c r="AM2753" s="77"/>
      <c r="AN2753" s="77"/>
      <c r="AO2753" s="77"/>
      <c r="AP2753" s="77"/>
      <c r="AQ2753" s="77"/>
      <c r="AR2753" s="77"/>
      <c r="AS2753" s="77"/>
      <c r="AT2753" s="77"/>
      <c r="AU2753" s="77"/>
      <c r="AV2753" s="80" t="str">
        <f>HYPERLINK("https://pbs.twimg.com/profile_images/1588668531910082561/XEi-lXiu_normal.jpg")</f>
        <v>https://pbs.twimg.com/profile_images/1588668531910082561/XEi-lXiu_normal.jpg</v>
      </c>
      <c r="AW2753" s="82" t="s">
        <v>15837</v>
      </c>
      <c r="AX2753" s="82" t="s">
        <v>15837</v>
      </c>
      <c r="AY2753" s="77"/>
      <c r="AZ2753" s="82" t="s">
        <v>17385</v>
      </c>
      <c r="BA2753" s="82" t="s">
        <v>17385</v>
      </c>
      <c r="BB2753" s="82" t="s">
        <v>17385</v>
      </c>
      <c r="BC2753" s="82" t="s">
        <v>15837</v>
      </c>
      <c r="BD2753" s="82" t="s">
        <v>17667</v>
      </c>
      <c r="BE2753" s="77"/>
      <c r="BF2753" s="77"/>
      <c r="BG2753" s="77"/>
      <c r="BH2753" s="77"/>
      <c r="BI2753" s="77"/>
    </row>
    <row r="2754" spans="1:61" x14ac:dyDescent="0.25">
      <c r="A2754" s="62" t="s">
        <v>646</v>
      </c>
      <c r="B2754" s="62" t="s">
        <v>646</v>
      </c>
      <c r="C2754" s="63"/>
      <c r="D2754" s="64"/>
      <c r="E2754" s="65"/>
      <c r="F2754" s="66"/>
      <c r="G2754" s="63"/>
      <c r="H2754" s="67"/>
      <c r="I2754" s="68"/>
      <c r="J2754" s="68"/>
      <c r="K2754" s="32"/>
      <c r="L2754" s="75">
        <v>2754</v>
      </c>
      <c r="M2754" s="75"/>
      <c r="N2754" s="70"/>
      <c r="O2754" s="77" t="s">
        <v>179</v>
      </c>
      <c r="P2754" s="79">
        <v>45191.577662037038</v>
      </c>
      <c r="Q2754" s="77" t="s">
        <v>3531</v>
      </c>
      <c r="R2754" s="77">
        <v>0</v>
      </c>
      <c r="S2754" s="77">
        <v>0</v>
      </c>
      <c r="T2754" s="77">
        <v>0</v>
      </c>
      <c r="U2754" s="77">
        <v>0</v>
      </c>
      <c r="V2754" s="77">
        <v>25</v>
      </c>
      <c r="W2754" s="82" t="s">
        <v>6382</v>
      </c>
      <c r="X2754" s="80" t="str">
        <f>HYPERLINK("https://tinyurl.com/2xs5h7yx")</f>
        <v>https://tinyurl.com/2xs5h7yx</v>
      </c>
      <c r="Y2754" s="77" t="s">
        <v>7068</v>
      </c>
      <c r="Z2754" s="77"/>
      <c r="AA2754" s="77"/>
      <c r="AB2754" s="77"/>
      <c r="AC2754" s="82" t="s">
        <v>8276</v>
      </c>
      <c r="AD2754" s="77" t="s">
        <v>8278</v>
      </c>
      <c r="AE2754" s="80" t="str">
        <f>HYPERLINK("https://twitter.com/pauta_economica/status/1705218348898734577")</f>
        <v>https://twitter.com/pauta_economica/status/1705218348898734577</v>
      </c>
      <c r="AF2754" s="79">
        <v>45191.577662037038</v>
      </c>
      <c r="AG2754" s="85">
        <v>45191</v>
      </c>
      <c r="AH2754" s="82" t="s">
        <v>9715</v>
      </c>
      <c r="AI2754" s="77" t="b">
        <v>0</v>
      </c>
      <c r="AJ2754" s="77"/>
      <c r="AK2754" s="77"/>
      <c r="AL2754" s="77"/>
      <c r="AM2754" s="77"/>
      <c r="AN2754" s="77"/>
      <c r="AO2754" s="77"/>
      <c r="AP2754" s="77"/>
      <c r="AQ2754" s="77"/>
      <c r="AR2754" s="77"/>
      <c r="AS2754" s="77"/>
      <c r="AT2754" s="77"/>
      <c r="AU2754" s="77"/>
      <c r="AV2754" s="80" t="str">
        <f>HYPERLINK("https://pbs.twimg.com/profile_images/1588668531910082561/XEi-lXiu_normal.jpg")</f>
        <v>https://pbs.twimg.com/profile_images/1588668531910082561/XEi-lXiu_normal.jpg</v>
      </c>
      <c r="AW2754" s="82" t="s">
        <v>15838</v>
      </c>
      <c r="AX2754" s="82" t="s">
        <v>15838</v>
      </c>
      <c r="AY2754" s="77"/>
      <c r="AZ2754" s="82" t="s">
        <v>17385</v>
      </c>
      <c r="BA2754" s="82" t="s">
        <v>17385</v>
      </c>
      <c r="BB2754" s="82" t="s">
        <v>17385</v>
      </c>
      <c r="BC2754" s="82" t="s">
        <v>15838</v>
      </c>
      <c r="BD2754" s="82" t="s">
        <v>17667</v>
      </c>
      <c r="BE2754" s="77"/>
      <c r="BF2754" s="77"/>
      <c r="BG2754" s="77"/>
      <c r="BH2754" s="77"/>
      <c r="BI2754" s="77"/>
    </row>
    <row r="2755" spans="1:61" x14ac:dyDescent="0.25">
      <c r="A2755" s="62" t="s">
        <v>646</v>
      </c>
      <c r="B2755" s="62" t="s">
        <v>646</v>
      </c>
      <c r="C2755" s="63"/>
      <c r="D2755" s="64"/>
      <c r="E2755" s="65"/>
      <c r="F2755" s="66"/>
      <c r="G2755" s="63"/>
      <c r="H2755" s="67"/>
      <c r="I2755" s="68"/>
      <c r="J2755" s="68"/>
      <c r="K2755" s="32"/>
      <c r="L2755" s="75">
        <v>2755</v>
      </c>
      <c r="M2755" s="75"/>
      <c r="N2755" s="70"/>
      <c r="O2755" s="77" t="s">
        <v>179</v>
      </c>
      <c r="P2755" s="79">
        <v>45191.57068287037</v>
      </c>
      <c r="Q2755" s="77" t="s">
        <v>3532</v>
      </c>
      <c r="R2755" s="77">
        <v>0</v>
      </c>
      <c r="S2755" s="77">
        <v>0</v>
      </c>
      <c r="T2755" s="77">
        <v>0</v>
      </c>
      <c r="U2755" s="77">
        <v>0</v>
      </c>
      <c r="V2755" s="77">
        <v>23</v>
      </c>
      <c r="W2755" s="82" t="s">
        <v>6382</v>
      </c>
      <c r="X2755" s="80" t="str">
        <f>HYPERLINK("https://tinyurl.com/27emzrcm")</f>
        <v>https://tinyurl.com/27emzrcm</v>
      </c>
      <c r="Y2755" s="77" t="s">
        <v>7068</v>
      </c>
      <c r="Z2755" s="77"/>
      <c r="AA2755" s="77"/>
      <c r="AB2755" s="77"/>
      <c r="AC2755" s="82" t="s">
        <v>8276</v>
      </c>
      <c r="AD2755" s="77" t="s">
        <v>8278</v>
      </c>
      <c r="AE2755" s="80" t="str">
        <f>HYPERLINK("https://twitter.com/pauta_economica/status/1705215819028758749")</f>
        <v>https://twitter.com/pauta_economica/status/1705215819028758749</v>
      </c>
      <c r="AF2755" s="79">
        <v>45191.57068287037</v>
      </c>
      <c r="AG2755" s="85">
        <v>45191</v>
      </c>
      <c r="AH2755" s="82" t="s">
        <v>10792</v>
      </c>
      <c r="AI2755" s="77" t="b">
        <v>0</v>
      </c>
      <c r="AJ2755" s="77"/>
      <c r="AK2755" s="77"/>
      <c r="AL2755" s="77"/>
      <c r="AM2755" s="77"/>
      <c r="AN2755" s="77"/>
      <c r="AO2755" s="77"/>
      <c r="AP2755" s="77"/>
      <c r="AQ2755" s="77"/>
      <c r="AR2755" s="77"/>
      <c r="AS2755" s="77"/>
      <c r="AT2755" s="77"/>
      <c r="AU2755" s="77"/>
      <c r="AV2755" s="80" t="str">
        <f>HYPERLINK("https://pbs.twimg.com/profile_images/1588668531910082561/XEi-lXiu_normal.jpg")</f>
        <v>https://pbs.twimg.com/profile_images/1588668531910082561/XEi-lXiu_normal.jpg</v>
      </c>
      <c r="AW2755" s="82" t="s">
        <v>15839</v>
      </c>
      <c r="AX2755" s="82" t="s">
        <v>15839</v>
      </c>
      <c r="AY2755" s="77"/>
      <c r="AZ2755" s="82" t="s">
        <v>17385</v>
      </c>
      <c r="BA2755" s="82" t="s">
        <v>17385</v>
      </c>
      <c r="BB2755" s="82" t="s">
        <v>17385</v>
      </c>
      <c r="BC2755" s="82" t="s">
        <v>15839</v>
      </c>
      <c r="BD2755" s="82" t="s">
        <v>17667</v>
      </c>
      <c r="BE2755" s="77"/>
      <c r="BF2755" s="77"/>
      <c r="BG2755" s="77"/>
      <c r="BH2755" s="77"/>
      <c r="BI2755" s="77"/>
    </row>
    <row r="2756" spans="1:61" x14ac:dyDescent="0.25">
      <c r="A2756" s="62" t="s">
        <v>646</v>
      </c>
      <c r="B2756" s="62" t="s">
        <v>646</v>
      </c>
      <c r="C2756" s="63"/>
      <c r="D2756" s="64"/>
      <c r="E2756" s="65"/>
      <c r="F2756" s="66"/>
      <c r="G2756" s="63"/>
      <c r="H2756" s="67"/>
      <c r="I2756" s="68"/>
      <c r="J2756" s="68"/>
      <c r="K2756" s="32"/>
      <c r="L2756" s="75">
        <v>2756</v>
      </c>
      <c r="M2756" s="75"/>
      <c r="N2756" s="70"/>
      <c r="O2756" s="77" t="s">
        <v>179</v>
      </c>
      <c r="P2756" s="79">
        <v>45191.564201388886</v>
      </c>
      <c r="Q2756" s="77" t="s">
        <v>3533</v>
      </c>
      <c r="R2756" s="77">
        <v>0</v>
      </c>
      <c r="S2756" s="77">
        <v>0</v>
      </c>
      <c r="T2756" s="77">
        <v>0</v>
      </c>
      <c r="U2756" s="77">
        <v>0</v>
      </c>
      <c r="V2756" s="77">
        <v>39</v>
      </c>
      <c r="W2756" s="82" t="s">
        <v>6382</v>
      </c>
      <c r="X2756" s="80" t="str">
        <f>HYPERLINK("https://tinyurl.com/23pthwa6")</f>
        <v>https://tinyurl.com/23pthwa6</v>
      </c>
      <c r="Y2756" s="77" t="s">
        <v>7068</v>
      </c>
      <c r="Z2756" s="77"/>
      <c r="AA2756" s="77"/>
      <c r="AB2756" s="77"/>
      <c r="AC2756" s="82" t="s">
        <v>8276</v>
      </c>
      <c r="AD2756" s="77" t="s">
        <v>8278</v>
      </c>
      <c r="AE2756" s="80" t="str">
        <f>HYPERLINK("https://twitter.com/pauta_economica/status/1705213470864491008")</f>
        <v>https://twitter.com/pauta_economica/status/1705213470864491008</v>
      </c>
      <c r="AF2756" s="79">
        <v>45191.564201388886</v>
      </c>
      <c r="AG2756" s="85">
        <v>45191</v>
      </c>
      <c r="AH2756" s="82" t="s">
        <v>10793</v>
      </c>
      <c r="AI2756" s="77" t="b">
        <v>0</v>
      </c>
      <c r="AJ2756" s="77"/>
      <c r="AK2756" s="77"/>
      <c r="AL2756" s="77"/>
      <c r="AM2756" s="77"/>
      <c r="AN2756" s="77"/>
      <c r="AO2756" s="77"/>
      <c r="AP2756" s="77"/>
      <c r="AQ2756" s="77"/>
      <c r="AR2756" s="77"/>
      <c r="AS2756" s="77"/>
      <c r="AT2756" s="77"/>
      <c r="AU2756" s="77"/>
      <c r="AV2756" s="80" t="str">
        <f>HYPERLINK("https://pbs.twimg.com/profile_images/1588668531910082561/XEi-lXiu_normal.jpg")</f>
        <v>https://pbs.twimg.com/profile_images/1588668531910082561/XEi-lXiu_normal.jpg</v>
      </c>
      <c r="AW2756" s="82" t="s">
        <v>15840</v>
      </c>
      <c r="AX2756" s="82" t="s">
        <v>15840</v>
      </c>
      <c r="AY2756" s="77"/>
      <c r="AZ2756" s="82" t="s">
        <v>17385</v>
      </c>
      <c r="BA2756" s="82" t="s">
        <v>17385</v>
      </c>
      <c r="BB2756" s="82" t="s">
        <v>17385</v>
      </c>
      <c r="BC2756" s="82" t="s">
        <v>15840</v>
      </c>
      <c r="BD2756" s="82" t="s">
        <v>17667</v>
      </c>
      <c r="BE2756" s="77"/>
      <c r="BF2756" s="77"/>
      <c r="BG2756" s="77"/>
      <c r="BH2756" s="77"/>
      <c r="BI2756" s="77"/>
    </row>
    <row r="2757" spans="1:61" x14ac:dyDescent="0.25">
      <c r="A2757" s="62" t="s">
        <v>646</v>
      </c>
      <c r="B2757" s="62" t="s">
        <v>646</v>
      </c>
      <c r="C2757" s="63"/>
      <c r="D2757" s="64"/>
      <c r="E2757" s="65"/>
      <c r="F2757" s="66"/>
      <c r="G2757" s="63"/>
      <c r="H2757" s="67"/>
      <c r="I2757" s="68"/>
      <c r="J2757" s="68"/>
      <c r="K2757" s="32"/>
      <c r="L2757" s="75">
        <v>2757</v>
      </c>
      <c r="M2757" s="75"/>
      <c r="N2757" s="70"/>
      <c r="O2757" s="77" t="s">
        <v>179</v>
      </c>
      <c r="P2757" s="79">
        <v>45191.557256944441</v>
      </c>
      <c r="Q2757" s="77" t="s">
        <v>3534</v>
      </c>
      <c r="R2757" s="77">
        <v>0</v>
      </c>
      <c r="S2757" s="77">
        <v>0</v>
      </c>
      <c r="T2757" s="77">
        <v>0</v>
      </c>
      <c r="U2757" s="77">
        <v>0</v>
      </c>
      <c r="V2757" s="77">
        <v>61</v>
      </c>
      <c r="W2757" s="82" t="s">
        <v>6382</v>
      </c>
      <c r="X2757" s="80" t="str">
        <f>HYPERLINK("https://tinyurl.com/23qc2dt5")</f>
        <v>https://tinyurl.com/23qc2dt5</v>
      </c>
      <c r="Y2757" s="77" t="s">
        <v>7068</v>
      </c>
      <c r="Z2757" s="77"/>
      <c r="AA2757" s="77"/>
      <c r="AB2757" s="77"/>
      <c r="AC2757" s="82" t="s">
        <v>8276</v>
      </c>
      <c r="AD2757" s="77" t="s">
        <v>8278</v>
      </c>
      <c r="AE2757" s="80" t="str">
        <f>HYPERLINK("https://twitter.com/pauta_economica/status/1705210953967493243")</f>
        <v>https://twitter.com/pauta_economica/status/1705210953967493243</v>
      </c>
      <c r="AF2757" s="79">
        <v>45191.557256944441</v>
      </c>
      <c r="AG2757" s="85">
        <v>45191</v>
      </c>
      <c r="AH2757" s="82" t="s">
        <v>10794</v>
      </c>
      <c r="AI2757" s="77" t="b">
        <v>0</v>
      </c>
      <c r="AJ2757" s="77"/>
      <c r="AK2757" s="77"/>
      <c r="AL2757" s="77"/>
      <c r="AM2757" s="77"/>
      <c r="AN2757" s="77"/>
      <c r="AO2757" s="77"/>
      <c r="AP2757" s="77"/>
      <c r="AQ2757" s="77"/>
      <c r="AR2757" s="77"/>
      <c r="AS2757" s="77"/>
      <c r="AT2757" s="77"/>
      <c r="AU2757" s="77"/>
      <c r="AV2757" s="80" t="str">
        <f>HYPERLINK("https://pbs.twimg.com/profile_images/1588668531910082561/XEi-lXiu_normal.jpg")</f>
        <v>https://pbs.twimg.com/profile_images/1588668531910082561/XEi-lXiu_normal.jpg</v>
      </c>
      <c r="AW2757" s="82" t="s">
        <v>15841</v>
      </c>
      <c r="AX2757" s="82" t="s">
        <v>15841</v>
      </c>
      <c r="AY2757" s="77"/>
      <c r="AZ2757" s="82" t="s">
        <v>17385</v>
      </c>
      <c r="BA2757" s="82" t="s">
        <v>17385</v>
      </c>
      <c r="BB2757" s="82" t="s">
        <v>17385</v>
      </c>
      <c r="BC2757" s="82" t="s">
        <v>15841</v>
      </c>
      <c r="BD2757" s="82" t="s">
        <v>17667</v>
      </c>
      <c r="BE2757" s="77"/>
      <c r="BF2757" s="77"/>
      <c r="BG2757" s="77"/>
      <c r="BH2757" s="77"/>
      <c r="BI2757" s="77"/>
    </row>
    <row r="2758" spans="1:61" x14ac:dyDescent="0.25">
      <c r="A2758" s="62" t="s">
        <v>646</v>
      </c>
      <c r="B2758" s="62" t="s">
        <v>646</v>
      </c>
      <c r="C2758" s="63"/>
      <c r="D2758" s="64"/>
      <c r="E2758" s="65"/>
      <c r="F2758" s="66"/>
      <c r="G2758" s="63"/>
      <c r="H2758" s="67"/>
      <c r="I2758" s="68"/>
      <c r="J2758" s="68"/>
      <c r="K2758" s="32"/>
      <c r="L2758" s="75">
        <v>2758</v>
      </c>
      <c r="M2758" s="75"/>
      <c r="N2758" s="70"/>
      <c r="O2758" s="77" t="s">
        <v>179</v>
      </c>
      <c r="P2758" s="79">
        <v>45191.550312500003</v>
      </c>
      <c r="Q2758" s="77" t="s">
        <v>3535</v>
      </c>
      <c r="R2758" s="77">
        <v>0</v>
      </c>
      <c r="S2758" s="77">
        <v>0</v>
      </c>
      <c r="T2758" s="77">
        <v>0</v>
      </c>
      <c r="U2758" s="77">
        <v>0</v>
      </c>
      <c r="V2758" s="77">
        <v>25</v>
      </c>
      <c r="W2758" s="82" t="s">
        <v>6382</v>
      </c>
      <c r="X2758" s="80" t="str">
        <f>HYPERLINK("https://tinyurl.com/24gt96tt")</f>
        <v>https://tinyurl.com/24gt96tt</v>
      </c>
      <c r="Y2758" s="77" t="s">
        <v>7068</v>
      </c>
      <c r="Z2758" s="77"/>
      <c r="AA2758" s="77"/>
      <c r="AB2758" s="77"/>
      <c r="AC2758" s="82" t="s">
        <v>8276</v>
      </c>
      <c r="AD2758" s="77" t="s">
        <v>8278</v>
      </c>
      <c r="AE2758" s="80" t="str">
        <f>HYPERLINK("https://twitter.com/pauta_economica/status/1705208438240809424")</f>
        <v>https://twitter.com/pauta_economica/status/1705208438240809424</v>
      </c>
      <c r="AF2758" s="79">
        <v>45191.550312500003</v>
      </c>
      <c r="AG2758" s="85">
        <v>45191</v>
      </c>
      <c r="AH2758" s="82" t="s">
        <v>10795</v>
      </c>
      <c r="AI2758" s="77" t="b">
        <v>0</v>
      </c>
      <c r="AJ2758" s="77"/>
      <c r="AK2758" s="77"/>
      <c r="AL2758" s="77"/>
      <c r="AM2758" s="77"/>
      <c r="AN2758" s="77"/>
      <c r="AO2758" s="77"/>
      <c r="AP2758" s="77"/>
      <c r="AQ2758" s="77"/>
      <c r="AR2758" s="77"/>
      <c r="AS2758" s="77"/>
      <c r="AT2758" s="77"/>
      <c r="AU2758" s="77"/>
      <c r="AV2758" s="80" t="str">
        <f>HYPERLINK("https://pbs.twimg.com/profile_images/1588668531910082561/XEi-lXiu_normal.jpg")</f>
        <v>https://pbs.twimg.com/profile_images/1588668531910082561/XEi-lXiu_normal.jpg</v>
      </c>
      <c r="AW2758" s="82" t="s">
        <v>15842</v>
      </c>
      <c r="AX2758" s="82" t="s">
        <v>15842</v>
      </c>
      <c r="AY2758" s="77"/>
      <c r="AZ2758" s="82" t="s">
        <v>17385</v>
      </c>
      <c r="BA2758" s="82" t="s">
        <v>17385</v>
      </c>
      <c r="BB2758" s="82" t="s">
        <v>17385</v>
      </c>
      <c r="BC2758" s="82" t="s">
        <v>15842</v>
      </c>
      <c r="BD2758" s="82" t="s">
        <v>17667</v>
      </c>
      <c r="BE2758" s="77"/>
      <c r="BF2758" s="77"/>
      <c r="BG2758" s="77"/>
      <c r="BH2758" s="77"/>
      <c r="BI2758" s="77"/>
    </row>
    <row r="2759" spans="1:61" x14ac:dyDescent="0.25">
      <c r="A2759" s="62" t="s">
        <v>646</v>
      </c>
      <c r="B2759" s="62" t="s">
        <v>646</v>
      </c>
      <c r="C2759" s="63"/>
      <c r="D2759" s="64"/>
      <c r="E2759" s="65"/>
      <c r="F2759" s="66"/>
      <c r="G2759" s="63"/>
      <c r="H2759" s="67"/>
      <c r="I2759" s="68"/>
      <c r="J2759" s="68"/>
      <c r="K2759" s="32"/>
      <c r="L2759" s="75">
        <v>2759</v>
      </c>
      <c r="M2759" s="75"/>
      <c r="N2759" s="70"/>
      <c r="O2759" s="77" t="s">
        <v>179</v>
      </c>
      <c r="P2759" s="79">
        <v>45155.152615740742</v>
      </c>
      <c r="Q2759" s="77" t="s">
        <v>3536</v>
      </c>
      <c r="R2759" s="77">
        <v>0</v>
      </c>
      <c r="S2759" s="77">
        <v>0</v>
      </c>
      <c r="T2759" s="77">
        <v>0</v>
      </c>
      <c r="U2759" s="77">
        <v>0</v>
      </c>
      <c r="V2759" s="77">
        <v>112</v>
      </c>
      <c r="W2759" s="82" t="s">
        <v>6382</v>
      </c>
      <c r="X2759" s="80" t="str">
        <f>HYPERLINK("https://tinyurl.com/2dgsdnch")</f>
        <v>https://tinyurl.com/2dgsdnch</v>
      </c>
      <c r="Y2759" s="77" t="s">
        <v>7068</v>
      </c>
      <c r="Z2759" s="77"/>
      <c r="AA2759" s="77"/>
      <c r="AB2759" s="77"/>
      <c r="AC2759" s="82" t="s">
        <v>8276</v>
      </c>
      <c r="AD2759" s="77" t="s">
        <v>8278</v>
      </c>
      <c r="AE2759" s="80" t="str">
        <f>HYPERLINK("https://twitter.com/pauta_economica/status/1692018354154873335")</f>
        <v>https://twitter.com/pauta_economica/status/1692018354154873335</v>
      </c>
      <c r="AF2759" s="79">
        <v>45155.152615740742</v>
      </c>
      <c r="AG2759" s="85">
        <v>45155</v>
      </c>
      <c r="AH2759" s="82" t="s">
        <v>10796</v>
      </c>
      <c r="AI2759" s="77" t="b">
        <v>0</v>
      </c>
      <c r="AJ2759" s="77"/>
      <c r="AK2759" s="77"/>
      <c r="AL2759" s="77"/>
      <c r="AM2759" s="77"/>
      <c r="AN2759" s="77"/>
      <c r="AO2759" s="77"/>
      <c r="AP2759" s="77"/>
      <c r="AQ2759" s="77"/>
      <c r="AR2759" s="77"/>
      <c r="AS2759" s="77"/>
      <c r="AT2759" s="77"/>
      <c r="AU2759" s="77"/>
      <c r="AV2759" s="80" t="str">
        <f>HYPERLINK("https://pbs.twimg.com/profile_images/1588668531910082561/XEi-lXiu_normal.jpg")</f>
        <v>https://pbs.twimg.com/profile_images/1588668531910082561/XEi-lXiu_normal.jpg</v>
      </c>
      <c r="AW2759" s="82" t="s">
        <v>15843</v>
      </c>
      <c r="AX2759" s="82" t="s">
        <v>15843</v>
      </c>
      <c r="AY2759" s="77"/>
      <c r="AZ2759" s="82" t="s">
        <v>17385</v>
      </c>
      <c r="BA2759" s="82" t="s">
        <v>17385</v>
      </c>
      <c r="BB2759" s="82" t="s">
        <v>17385</v>
      </c>
      <c r="BC2759" s="82" t="s">
        <v>15843</v>
      </c>
      <c r="BD2759" s="82" t="s">
        <v>17667</v>
      </c>
      <c r="BE2759" s="77"/>
      <c r="BF2759" s="77"/>
      <c r="BG2759" s="77"/>
      <c r="BH2759" s="77"/>
      <c r="BI2759" s="77"/>
    </row>
    <row r="2760" spans="1:61" x14ac:dyDescent="0.25">
      <c r="A2760" s="62" t="s">
        <v>646</v>
      </c>
      <c r="B2760" s="62" t="s">
        <v>646</v>
      </c>
      <c r="C2760" s="63"/>
      <c r="D2760" s="64"/>
      <c r="E2760" s="65"/>
      <c r="F2760" s="66"/>
      <c r="G2760" s="63"/>
      <c r="H2760" s="67"/>
      <c r="I2760" s="68"/>
      <c r="J2760" s="68"/>
      <c r="K2760" s="32"/>
      <c r="L2760" s="75">
        <v>2760</v>
      </c>
      <c r="M2760" s="75"/>
      <c r="N2760" s="70"/>
      <c r="O2760" s="77" t="s">
        <v>179</v>
      </c>
      <c r="P2760" s="79">
        <v>45083.503645833334</v>
      </c>
      <c r="Q2760" s="77" t="s">
        <v>3537</v>
      </c>
      <c r="R2760" s="77">
        <v>0</v>
      </c>
      <c r="S2760" s="77">
        <v>0</v>
      </c>
      <c r="T2760" s="77">
        <v>0</v>
      </c>
      <c r="U2760" s="77">
        <v>0</v>
      </c>
      <c r="V2760" s="77">
        <v>44</v>
      </c>
      <c r="W2760" s="82" t="s">
        <v>6382</v>
      </c>
      <c r="X2760" s="80" t="str">
        <f>HYPERLINK("https://tinyurl.com/2es57w5n")</f>
        <v>https://tinyurl.com/2es57w5n</v>
      </c>
      <c r="Y2760" s="77" t="s">
        <v>7068</v>
      </c>
      <c r="Z2760" s="77"/>
      <c r="AA2760" s="77"/>
      <c r="AB2760" s="77"/>
      <c r="AC2760" s="82" t="s">
        <v>8274</v>
      </c>
      <c r="AD2760" s="77" t="s">
        <v>8278</v>
      </c>
      <c r="AE2760" s="80" t="str">
        <f>HYPERLINK("https://twitter.com/pauta_economica/status/1666053637661925377")</f>
        <v>https://twitter.com/pauta_economica/status/1666053637661925377</v>
      </c>
      <c r="AF2760" s="79">
        <v>45083.503645833334</v>
      </c>
      <c r="AG2760" s="85">
        <v>45083</v>
      </c>
      <c r="AH2760" s="82" t="s">
        <v>10797</v>
      </c>
      <c r="AI2760" s="77" t="b">
        <v>0</v>
      </c>
      <c r="AJ2760" s="77"/>
      <c r="AK2760" s="77"/>
      <c r="AL2760" s="77"/>
      <c r="AM2760" s="77"/>
      <c r="AN2760" s="77"/>
      <c r="AO2760" s="77"/>
      <c r="AP2760" s="77"/>
      <c r="AQ2760" s="77"/>
      <c r="AR2760" s="77"/>
      <c r="AS2760" s="77"/>
      <c r="AT2760" s="77"/>
      <c r="AU2760" s="77"/>
      <c r="AV2760" s="80" t="str">
        <f>HYPERLINK("https://pbs.twimg.com/profile_images/1588668531910082561/XEi-lXiu_normal.jpg")</f>
        <v>https://pbs.twimg.com/profile_images/1588668531910082561/XEi-lXiu_normal.jpg</v>
      </c>
      <c r="AW2760" s="82" t="s">
        <v>15844</v>
      </c>
      <c r="AX2760" s="82" t="s">
        <v>15844</v>
      </c>
      <c r="AY2760" s="77"/>
      <c r="AZ2760" s="82" t="s">
        <v>17385</v>
      </c>
      <c r="BA2760" s="82" t="s">
        <v>17385</v>
      </c>
      <c r="BB2760" s="82" t="s">
        <v>17385</v>
      </c>
      <c r="BC2760" s="82" t="s">
        <v>15844</v>
      </c>
      <c r="BD2760" s="82" t="s">
        <v>17667</v>
      </c>
      <c r="BE2760" s="77"/>
      <c r="BF2760" s="77"/>
      <c r="BG2760" s="77"/>
      <c r="BH2760" s="77"/>
      <c r="BI2760" s="77"/>
    </row>
    <row r="2761" spans="1:61" x14ac:dyDescent="0.25">
      <c r="A2761" s="62" t="s">
        <v>646</v>
      </c>
      <c r="B2761" s="62" t="s">
        <v>646</v>
      </c>
      <c r="C2761" s="63"/>
      <c r="D2761" s="64"/>
      <c r="E2761" s="65"/>
      <c r="F2761" s="66"/>
      <c r="G2761" s="63"/>
      <c r="H2761" s="67"/>
      <c r="I2761" s="68"/>
      <c r="J2761" s="68"/>
      <c r="K2761" s="32"/>
      <c r="L2761" s="75">
        <v>2761</v>
      </c>
      <c r="M2761" s="75"/>
      <c r="N2761" s="70"/>
      <c r="O2761" s="77" t="s">
        <v>179</v>
      </c>
      <c r="P2761" s="79">
        <v>45083.496678240743</v>
      </c>
      <c r="Q2761" s="77" t="s">
        <v>3538</v>
      </c>
      <c r="R2761" s="77">
        <v>0</v>
      </c>
      <c r="S2761" s="77">
        <v>0</v>
      </c>
      <c r="T2761" s="77">
        <v>0</v>
      </c>
      <c r="U2761" s="77">
        <v>0</v>
      </c>
      <c r="V2761" s="77">
        <v>103</v>
      </c>
      <c r="W2761" s="82" t="s">
        <v>6382</v>
      </c>
      <c r="X2761" s="80" t="str">
        <f>HYPERLINK("https://tinyurl.com/2ggxa2t9")</f>
        <v>https://tinyurl.com/2ggxa2t9</v>
      </c>
      <c r="Y2761" s="77" t="s">
        <v>7068</v>
      </c>
      <c r="Z2761" s="77"/>
      <c r="AA2761" s="77"/>
      <c r="AB2761" s="77"/>
      <c r="AC2761" s="82" t="s">
        <v>8274</v>
      </c>
      <c r="AD2761" s="77" t="s">
        <v>8278</v>
      </c>
      <c r="AE2761" s="80" t="str">
        <f>HYPERLINK("https://twitter.com/pauta_economica/status/1666051110367272962")</f>
        <v>https://twitter.com/pauta_economica/status/1666051110367272962</v>
      </c>
      <c r="AF2761" s="79">
        <v>45083.496678240743</v>
      </c>
      <c r="AG2761" s="85">
        <v>45083</v>
      </c>
      <c r="AH2761" s="82" t="s">
        <v>10798</v>
      </c>
      <c r="AI2761" s="77" t="b">
        <v>0</v>
      </c>
      <c r="AJ2761" s="77"/>
      <c r="AK2761" s="77"/>
      <c r="AL2761" s="77"/>
      <c r="AM2761" s="77"/>
      <c r="AN2761" s="77"/>
      <c r="AO2761" s="77"/>
      <c r="AP2761" s="77"/>
      <c r="AQ2761" s="77"/>
      <c r="AR2761" s="77"/>
      <c r="AS2761" s="77"/>
      <c r="AT2761" s="77"/>
      <c r="AU2761" s="77"/>
      <c r="AV2761" s="80" t="str">
        <f>HYPERLINK("https://pbs.twimg.com/profile_images/1588668531910082561/XEi-lXiu_normal.jpg")</f>
        <v>https://pbs.twimg.com/profile_images/1588668531910082561/XEi-lXiu_normal.jpg</v>
      </c>
      <c r="AW2761" s="82" t="s">
        <v>15845</v>
      </c>
      <c r="AX2761" s="82" t="s">
        <v>15845</v>
      </c>
      <c r="AY2761" s="77"/>
      <c r="AZ2761" s="82" t="s">
        <v>17385</v>
      </c>
      <c r="BA2761" s="82" t="s">
        <v>17385</v>
      </c>
      <c r="BB2761" s="82" t="s">
        <v>17385</v>
      </c>
      <c r="BC2761" s="82" t="s">
        <v>15845</v>
      </c>
      <c r="BD2761" s="82" t="s">
        <v>17667</v>
      </c>
      <c r="BE2761" s="77"/>
      <c r="BF2761" s="77"/>
      <c r="BG2761" s="77"/>
      <c r="BH2761" s="77"/>
      <c r="BI2761" s="77"/>
    </row>
    <row r="2762" spans="1:61" x14ac:dyDescent="0.25">
      <c r="A2762" s="62" t="s">
        <v>646</v>
      </c>
      <c r="B2762" s="62" t="s">
        <v>646</v>
      </c>
      <c r="C2762" s="63"/>
      <c r="D2762" s="64"/>
      <c r="E2762" s="65"/>
      <c r="F2762" s="66"/>
      <c r="G2762" s="63"/>
      <c r="H2762" s="67"/>
      <c r="I2762" s="68"/>
      <c r="J2762" s="68"/>
      <c r="K2762" s="32"/>
      <c r="L2762" s="75">
        <v>2762</v>
      </c>
      <c r="M2762" s="75"/>
      <c r="N2762" s="70"/>
      <c r="O2762" s="77" t="s">
        <v>179</v>
      </c>
      <c r="P2762" s="79">
        <v>45083.137384259258</v>
      </c>
      <c r="Q2762" s="77" t="s">
        <v>3539</v>
      </c>
      <c r="R2762" s="77">
        <v>0</v>
      </c>
      <c r="S2762" s="77">
        <v>0</v>
      </c>
      <c r="T2762" s="77">
        <v>0</v>
      </c>
      <c r="U2762" s="77">
        <v>0</v>
      </c>
      <c r="V2762" s="77">
        <v>26</v>
      </c>
      <c r="W2762" s="82" t="s">
        <v>6382</v>
      </c>
      <c r="X2762" s="80" t="str">
        <f>HYPERLINK("https://tinyurl.com/2k4oxcbb")</f>
        <v>https://tinyurl.com/2k4oxcbb</v>
      </c>
      <c r="Y2762" s="77" t="s">
        <v>7068</v>
      </c>
      <c r="Z2762" s="77"/>
      <c r="AA2762" s="77"/>
      <c r="AB2762" s="77"/>
      <c r="AC2762" s="82" t="s">
        <v>8274</v>
      </c>
      <c r="AD2762" s="77" t="s">
        <v>8278</v>
      </c>
      <c r="AE2762" s="80" t="str">
        <f>HYPERLINK("https://twitter.com/pauta_economica/status/1665920909230612480")</f>
        <v>https://twitter.com/pauta_economica/status/1665920909230612480</v>
      </c>
      <c r="AF2762" s="79">
        <v>45083.137384259258</v>
      </c>
      <c r="AG2762" s="85">
        <v>45083</v>
      </c>
      <c r="AH2762" s="82" t="s">
        <v>10799</v>
      </c>
      <c r="AI2762" s="77" t="b">
        <v>0</v>
      </c>
      <c r="AJ2762" s="77"/>
      <c r="AK2762" s="77"/>
      <c r="AL2762" s="77"/>
      <c r="AM2762" s="77"/>
      <c r="AN2762" s="77"/>
      <c r="AO2762" s="77"/>
      <c r="AP2762" s="77"/>
      <c r="AQ2762" s="77"/>
      <c r="AR2762" s="77"/>
      <c r="AS2762" s="77"/>
      <c r="AT2762" s="77"/>
      <c r="AU2762" s="77"/>
      <c r="AV2762" s="80" t="str">
        <f>HYPERLINK("https://pbs.twimg.com/profile_images/1588668531910082561/XEi-lXiu_normal.jpg")</f>
        <v>https://pbs.twimg.com/profile_images/1588668531910082561/XEi-lXiu_normal.jpg</v>
      </c>
      <c r="AW2762" s="82" t="s">
        <v>15846</v>
      </c>
      <c r="AX2762" s="82" t="s">
        <v>15846</v>
      </c>
      <c r="AY2762" s="77"/>
      <c r="AZ2762" s="82" t="s">
        <v>17385</v>
      </c>
      <c r="BA2762" s="82" t="s">
        <v>17385</v>
      </c>
      <c r="BB2762" s="82" t="s">
        <v>17385</v>
      </c>
      <c r="BC2762" s="82" t="s">
        <v>15846</v>
      </c>
      <c r="BD2762" s="82" t="s">
        <v>17667</v>
      </c>
      <c r="BE2762" s="77"/>
      <c r="BF2762" s="77"/>
      <c r="BG2762" s="77"/>
      <c r="BH2762" s="77"/>
      <c r="BI2762" s="77"/>
    </row>
    <row r="2763" spans="1:61" x14ac:dyDescent="0.25">
      <c r="A2763" s="62" t="s">
        <v>646</v>
      </c>
      <c r="B2763" s="62" t="s">
        <v>646</v>
      </c>
      <c r="C2763" s="63"/>
      <c r="D2763" s="64"/>
      <c r="E2763" s="65"/>
      <c r="F2763" s="66"/>
      <c r="G2763" s="63"/>
      <c r="H2763" s="67"/>
      <c r="I2763" s="68"/>
      <c r="J2763" s="68"/>
      <c r="K2763" s="32"/>
      <c r="L2763" s="75">
        <v>2763</v>
      </c>
      <c r="M2763" s="75"/>
      <c r="N2763" s="70"/>
      <c r="O2763" s="77" t="s">
        <v>179</v>
      </c>
      <c r="P2763" s="79">
        <v>45083.109398148146</v>
      </c>
      <c r="Q2763" s="77" t="s">
        <v>3540</v>
      </c>
      <c r="R2763" s="77">
        <v>0</v>
      </c>
      <c r="S2763" s="77">
        <v>0</v>
      </c>
      <c r="T2763" s="77">
        <v>0</v>
      </c>
      <c r="U2763" s="77">
        <v>0</v>
      </c>
      <c r="V2763" s="77">
        <v>40</v>
      </c>
      <c r="W2763" s="82" t="s">
        <v>6382</v>
      </c>
      <c r="X2763" s="80" t="str">
        <f>HYPERLINK("https://tinyurl.com/2gkdfql3")</f>
        <v>https://tinyurl.com/2gkdfql3</v>
      </c>
      <c r="Y2763" s="77" t="s">
        <v>7068</v>
      </c>
      <c r="Z2763" s="77"/>
      <c r="AA2763" s="77"/>
      <c r="AB2763" s="77"/>
      <c r="AC2763" s="82" t="s">
        <v>8274</v>
      </c>
      <c r="AD2763" s="77" t="s">
        <v>8278</v>
      </c>
      <c r="AE2763" s="80" t="str">
        <f>HYPERLINK("https://twitter.com/pauta_economica/status/1665910764895436800")</f>
        <v>https://twitter.com/pauta_economica/status/1665910764895436800</v>
      </c>
      <c r="AF2763" s="79">
        <v>45083.109398148146</v>
      </c>
      <c r="AG2763" s="85">
        <v>45083</v>
      </c>
      <c r="AH2763" s="82" t="s">
        <v>10800</v>
      </c>
      <c r="AI2763" s="77" t="b">
        <v>0</v>
      </c>
      <c r="AJ2763" s="77"/>
      <c r="AK2763" s="77"/>
      <c r="AL2763" s="77"/>
      <c r="AM2763" s="77"/>
      <c r="AN2763" s="77"/>
      <c r="AO2763" s="77"/>
      <c r="AP2763" s="77"/>
      <c r="AQ2763" s="77"/>
      <c r="AR2763" s="77"/>
      <c r="AS2763" s="77"/>
      <c r="AT2763" s="77"/>
      <c r="AU2763" s="77"/>
      <c r="AV2763" s="80" t="str">
        <f>HYPERLINK("https://pbs.twimg.com/profile_images/1588668531910082561/XEi-lXiu_normal.jpg")</f>
        <v>https://pbs.twimg.com/profile_images/1588668531910082561/XEi-lXiu_normal.jpg</v>
      </c>
      <c r="AW2763" s="82" t="s">
        <v>15847</v>
      </c>
      <c r="AX2763" s="82" t="s">
        <v>15847</v>
      </c>
      <c r="AY2763" s="77"/>
      <c r="AZ2763" s="82" t="s">
        <v>17385</v>
      </c>
      <c r="BA2763" s="82" t="s">
        <v>17385</v>
      </c>
      <c r="BB2763" s="82" t="s">
        <v>17385</v>
      </c>
      <c r="BC2763" s="82" t="s">
        <v>15847</v>
      </c>
      <c r="BD2763" s="82" t="s">
        <v>17667</v>
      </c>
      <c r="BE2763" s="77"/>
      <c r="BF2763" s="77"/>
      <c r="BG2763" s="77"/>
      <c r="BH2763" s="77"/>
      <c r="BI2763" s="77"/>
    </row>
    <row r="2764" spans="1:61" x14ac:dyDescent="0.25">
      <c r="A2764" s="62" t="s">
        <v>646</v>
      </c>
      <c r="B2764" s="62" t="s">
        <v>646</v>
      </c>
      <c r="C2764" s="63"/>
      <c r="D2764" s="64"/>
      <c r="E2764" s="65"/>
      <c r="F2764" s="66"/>
      <c r="G2764" s="63"/>
      <c r="H2764" s="67"/>
      <c r="I2764" s="68"/>
      <c r="J2764" s="68"/>
      <c r="K2764" s="32"/>
      <c r="L2764" s="75">
        <v>2764</v>
      </c>
      <c r="M2764" s="75"/>
      <c r="N2764" s="70"/>
      <c r="O2764" s="77" t="s">
        <v>179</v>
      </c>
      <c r="P2764" s="79">
        <v>45083.08148148148</v>
      </c>
      <c r="Q2764" s="77" t="s">
        <v>3541</v>
      </c>
      <c r="R2764" s="77">
        <v>0</v>
      </c>
      <c r="S2764" s="77">
        <v>0</v>
      </c>
      <c r="T2764" s="77">
        <v>0</v>
      </c>
      <c r="U2764" s="77">
        <v>0</v>
      </c>
      <c r="V2764" s="77">
        <v>77</v>
      </c>
      <c r="W2764" s="82" t="s">
        <v>6382</v>
      </c>
      <c r="X2764" s="80" t="str">
        <f>HYPERLINK("https://tinyurl.com/2qnhnjfn")</f>
        <v>https://tinyurl.com/2qnhnjfn</v>
      </c>
      <c r="Y2764" s="77" t="s">
        <v>7068</v>
      </c>
      <c r="Z2764" s="77"/>
      <c r="AA2764" s="77"/>
      <c r="AB2764" s="77"/>
      <c r="AC2764" s="82" t="s">
        <v>8274</v>
      </c>
      <c r="AD2764" s="77" t="s">
        <v>8278</v>
      </c>
      <c r="AE2764" s="80" t="str">
        <f>HYPERLINK("https://twitter.com/pauta_economica/status/1665900648884215810")</f>
        <v>https://twitter.com/pauta_economica/status/1665900648884215810</v>
      </c>
      <c r="AF2764" s="79">
        <v>45083.08148148148</v>
      </c>
      <c r="AG2764" s="85">
        <v>45083</v>
      </c>
      <c r="AH2764" s="82" t="s">
        <v>10801</v>
      </c>
      <c r="AI2764" s="77" t="b">
        <v>0</v>
      </c>
      <c r="AJ2764" s="77"/>
      <c r="AK2764" s="77"/>
      <c r="AL2764" s="77"/>
      <c r="AM2764" s="77"/>
      <c r="AN2764" s="77"/>
      <c r="AO2764" s="77"/>
      <c r="AP2764" s="77"/>
      <c r="AQ2764" s="77"/>
      <c r="AR2764" s="77"/>
      <c r="AS2764" s="77"/>
      <c r="AT2764" s="77"/>
      <c r="AU2764" s="77"/>
      <c r="AV2764" s="80" t="str">
        <f>HYPERLINK("https://pbs.twimg.com/profile_images/1588668531910082561/XEi-lXiu_normal.jpg")</f>
        <v>https://pbs.twimg.com/profile_images/1588668531910082561/XEi-lXiu_normal.jpg</v>
      </c>
      <c r="AW2764" s="82" t="s">
        <v>15848</v>
      </c>
      <c r="AX2764" s="82" t="s">
        <v>15848</v>
      </c>
      <c r="AY2764" s="77"/>
      <c r="AZ2764" s="82" t="s">
        <v>17385</v>
      </c>
      <c r="BA2764" s="82" t="s">
        <v>17385</v>
      </c>
      <c r="BB2764" s="82" t="s">
        <v>17385</v>
      </c>
      <c r="BC2764" s="82" t="s">
        <v>15848</v>
      </c>
      <c r="BD2764" s="82" t="s">
        <v>17667</v>
      </c>
      <c r="BE2764" s="77"/>
      <c r="BF2764" s="77"/>
      <c r="BG2764" s="77"/>
      <c r="BH2764" s="77"/>
      <c r="BI2764" s="77"/>
    </row>
    <row r="2765" spans="1:61" x14ac:dyDescent="0.25">
      <c r="A2765" s="62" t="s">
        <v>646</v>
      </c>
      <c r="B2765" s="62" t="s">
        <v>646</v>
      </c>
      <c r="C2765" s="63"/>
      <c r="D2765" s="64"/>
      <c r="E2765" s="65"/>
      <c r="F2765" s="66"/>
      <c r="G2765" s="63"/>
      <c r="H2765" s="67"/>
      <c r="I2765" s="68"/>
      <c r="J2765" s="68"/>
      <c r="K2765" s="32"/>
      <c r="L2765" s="75">
        <v>2765</v>
      </c>
      <c r="M2765" s="75"/>
      <c r="N2765" s="70"/>
      <c r="O2765" s="77" t="s">
        <v>179</v>
      </c>
      <c r="P2765" s="79">
        <v>45083.053553240738</v>
      </c>
      <c r="Q2765" s="77" t="s">
        <v>3542</v>
      </c>
      <c r="R2765" s="77">
        <v>0</v>
      </c>
      <c r="S2765" s="77">
        <v>2</v>
      </c>
      <c r="T2765" s="77">
        <v>0</v>
      </c>
      <c r="U2765" s="77">
        <v>0</v>
      </c>
      <c r="V2765" s="77">
        <v>65</v>
      </c>
      <c r="W2765" s="82" t="s">
        <v>6382</v>
      </c>
      <c r="X2765" s="80" t="str">
        <f>HYPERLINK("https://tinyurl.com/2z8yy697")</f>
        <v>https://tinyurl.com/2z8yy697</v>
      </c>
      <c r="Y2765" s="77" t="s">
        <v>7068</v>
      </c>
      <c r="Z2765" s="77"/>
      <c r="AA2765" s="77"/>
      <c r="AB2765" s="77"/>
      <c r="AC2765" s="82" t="s">
        <v>8274</v>
      </c>
      <c r="AD2765" s="77" t="s">
        <v>8278</v>
      </c>
      <c r="AE2765" s="80" t="str">
        <f>HYPERLINK("https://twitter.com/pauta_economica/status/1665890530708926466")</f>
        <v>https://twitter.com/pauta_economica/status/1665890530708926466</v>
      </c>
      <c r="AF2765" s="79">
        <v>45083.053553240738</v>
      </c>
      <c r="AG2765" s="85">
        <v>45083</v>
      </c>
      <c r="AH2765" s="82" t="s">
        <v>10802</v>
      </c>
      <c r="AI2765" s="77" t="b">
        <v>0</v>
      </c>
      <c r="AJ2765" s="77"/>
      <c r="AK2765" s="77"/>
      <c r="AL2765" s="77"/>
      <c r="AM2765" s="77"/>
      <c r="AN2765" s="77"/>
      <c r="AO2765" s="77"/>
      <c r="AP2765" s="77"/>
      <c r="AQ2765" s="77"/>
      <c r="AR2765" s="77"/>
      <c r="AS2765" s="77"/>
      <c r="AT2765" s="77"/>
      <c r="AU2765" s="77"/>
      <c r="AV2765" s="80" t="str">
        <f>HYPERLINK("https://pbs.twimg.com/profile_images/1588668531910082561/XEi-lXiu_normal.jpg")</f>
        <v>https://pbs.twimg.com/profile_images/1588668531910082561/XEi-lXiu_normal.jpg</v>
      </c>
      <c r="AW2765" s="82" t="s">
        <v>15849</v>
      </c>
      <c r="AX2765" s="82" t="s">
        <v>15849</v>
      </c>
      <c r="AY2765" s="77"/>
      <c r="AZ2765" s="82" t="s">
        <v>17385</v>
      </c>
      <c r="BA2765" s="82" t="s">
        <v>17385</v>
      </c>
      <c r="BB2765" s="82" t="s">
        <v>17385</v>
      </c>
      <c r="BC2765" s="82" t="s">
        <v>15849</v>
      </c>
      <c r="BD2765" s="82" t="s">
        <v>17667</v>
      </c>
      <c r="BE2765" s="77"/>
      <c r="BF2765" s="77"/>
      <c r="BG2765" s="77"/>
      <c r="BH2765" s="77"/>
      <c r="BI2765" s="77"/>
    </row>
    <row r="2766" spans="1:61" x14ac:dyDescent="0.25">
      <c r="A2766" s="62" t="s">
        <v>646</v>
      </c>
      <c r="B2766" s="62" t="s">
        <v>646</v>
      </c>
      <c r="C2766" s="63"/>
      <c r="D2766" s="64"/>
      <c r="E2766" s="65"/>
      <c r="F2766" s="66"/>
      <c r="G2766" s="63"/>
      <c r="H2766" s="67"/>
      <c r="I2766" s="68"/>
      <c r="J2766" s="68"/>
      <c r="K2766" s="32"/>
      <c r="L2766" s="75">
        <v>2766</v>
      </c>
      <c r="M2766" s="75"/>
      <c r="N2766" s="70"/>
      <c r="O2766" s="77" t="s">
        <v>179</v>
      </c>
      <c r="P2766" s="79">
        <v>45083.025648148148</v>
      </c>
      <c r="Q2766" s="77" t="s">
        <v>3543</v>
      </c>
      <c r="R2766" s="77">
        <v>0</v>
      </c>
      <c r="S2766" s="77">
        <v>0</v>
      </c>
      <c r="T2766" s="77">
        <v>0</v>
      </c>
      <c r="U2766" s="77">
        <v>0</v>
      </c>
      <c r="V2766" s="77">
        <v>68</v>
      </c>
      <c r="W2766" s="82" t="s">
        <v>6382</v>
      </c>
      <c r="X2766" s="80" t="str">
        <f>HYPERLINK("https://tinyurl.com/2hbxfh3j")</f>
        <v>https://tinyurl.com/2hbxfh3j</v>
      </c>
      <c r="Y2766" s="77" t="s">
        <v>7068</v>
      </c>
      <c r="Z2766" s="77"/>
      <c r="AA2766" s="77"/>
      <c r="AB2766" s="77"/>
      <c r="AC2766" s="82" t="s">
        <v>8274</v>
      </c>
      <c r="AD2766" s="77" t="s">
        <v>8278</v>
      </c>
      <c r="AE2766" s="80" t="str">
        <f>HYPERLINK("https://twitter.com/pauta_economica/status/1665880414815223810")</f>
        <v>https://twitter.com/pauta_economica/status/1665880414815223810</v>
      </c>
      <c r="AF2766" s="79">
        <v>45083.025648148148</v>
      </c>
      <c r="AG2766" s="85">
        <v>45083</v>
      </c>
      <c r="AH2766" s="82" t="s">
        <v>10803</v>
      </c>
      <c r="AI2766" s="77" t="b">
        <v>0</v>
      </c>
      <c r="AJ2766" s="77"/>
      <c r="AK2766" s="77"/>
      <c r="AL2766" s="77"/>
      <c r="AM2766" s="77"/>
      <c r="AN2766" s="77"/>
      <c r="AO2766" s="77"/>
      <c r="AP2766" s="77"/>
      <c r="AQ2766" s="77"/>
      <c r="AR2766" s="77"/>
      <c r="AS2766" s="77"/>
      <c r="AT2766" s="77"/>
      <c r="AU2766" s="77"/>
      <c r="AV2766" s="80" t="str">
        <f>HYPERLINK("https://pbs.twimg.com/profile_images/1588668531910082561/XEi-lXiu_normal.jpg")</f>
        <v>https://pbs.twimg.com/profile_images/1588668531910082561/XEi-lXiu_normal.jpg</v>
      </c>
      <c r="AW2766" s="82" t="s">
        <v>15850</v>
      </c>
      <c r="AX2766" s="82" t="s">
        <v>15850</v>
      </c>
      <c r="AY2766" s="77"/>
      <c r="AZ2766" s="82" t="s">
        <v>17385</v>
      </c>
      <c r="BA2766" s="82" t="s">
        <v>17385</v>
      </c>
      <c r="BB2766" s="82" t="s">
        <v>17385</v>
      </c>
      <c r="BC2766" s="82" t="s">
        <v>15850</v>
      </c>
      <c r="BD2766" s="82" t="s">
        <v>17667</v>
      </c>
      <c r="BE2766" s="77"/>
      <c r="BF2766" s="77"/>
      <c r="BG2766" s="77"/>
      <c r="BH2766" s="77"/>
      <c r="BI2766" s="77"/>
    </row>
    <row r="2767" spans="1:61" x14ac:dyDescent="0.25">
      <c r="A2767" s="62" t="s">
        <v>646</v>
      </c>
      <c r="B2767" s="62" t="s">
        <v>646</v>
      </c>
      <c r="C2767" s="63"/>
      <c r="D2767" s="64"/>
      <c r="E2767" s="65"/>
      <c r="F2767" s="66"/>
      <c r="G2767" s="63"/>
      <c r="H2767" s="67"/>
      <c r="I2767" s="68"/>
      <c r="J2767" s="68"/>
      <c r="K2767" s="32"/>
      <c r="L2767" s="75">
        <v>2767</v>
      </c>
      <c r="M2767" s="75"/>
      <c r="N2767" s="70"/>
      <c r="O2767" s="77" t="s">
        <v>179</v>
      </c>
      <c r="P2767" s="79">
        <v>45082.969814814816</v>
      </c>
      <c r="Q2767" s="77" t="s">
        <v>3544</v>
      </c>
      <c r="R2767" s="77">
        <v>0</v>
      </c>
      <c r="S2767" s="77">
        <v>1</v>
      </c>
      <c r="T2767" s="77">
        <v>0</v>
      </c>
      <c r="U2767" s="77">
        <v>0</v>
      </c>
      <c r="V2767" s="77">
        <v>56</v>
      </c>
      <c r="W2767" s="82" t="s">
        <v>6382</v>
      </c>
      <c r="X2767" s="80" t="str">
        <f>HYPERLINK("https://tinyurl.com/2otmdffs")</f>
        <v>https://tinyurl.com/2otmdffs</v>
      </c>
      <c r="Y2767" s="77" t="s">
        <v>7068</v>
      </c>
      <c r="Z2767" s="77"/>
      <c r="AA2767" s="77"/>
      <c r="AB2767" s="77"/>
      <c r="AC2767" s="82" t="s">
        <v>8274</v>
      </c>
      <c r="AD2767" s="77" t="s">
        <v>8278</v>
      </c>
      <c r="AE2767" s="80" t="str">
        <f>HYPERLINK("https://twitter.com/pauta_economica/status/1665860183128518658")</f>
        <v>https://twitter.com/pauta_economica/status/1665860183128518658</v>
      </c>
      <c r="AF2767" s="79">
        <v>45082.969814814816</v>
      </c>
      <c r="AG2767" s="85">
        <v>45082</v>
      </c>
      <c r="AH2767" s="82" t="s">
        <v>10804</v>
      </c>
      <c r="AI2767" s="77" t="b">
        <v>0</v>
      </c>
      <c r="AJ2767" s="77"/>
      <c r="AK2767" s="77"/>
      <c r="AL2767" s="77"/>
      <c r="AM2767" s="77"/>
      <c r="AN2767" s="77"/>
      <c r="AO2767" s="77"/>
      <c r="AP2767" s="77"/>
      <c r="AQ2767" s="77"/>
      <c r="AR2767" s="77"/>
      <c r="AS2767" s="77"/>
      <c r="AT2767" s="77"/>
      <c r="AU2767" s="77"/>
      <c r="AV2767" s="80" t="str">
        <f>HYPERLINK("https://pbs.twimg.com/profile_images/1588668531910082561/XEi-lXiu_normal.jpg")</f>
        <v>https://pbs.twimg.com/profile_images/1588668531910082561/XEi-lXiu_normal.jpg</v>
      </c>
      <c r="AW2767" s="82" t="s">
        <v>15851</v>
      </c>
      <c r="AX2767" s="82" t="s">
        <v>15851</v>
      </c>
      <c r="AY2767" s="77"/>
      <c r="AZ2767" s="82" t="s">
        <v>17385</v>
      </c>
      <c r="BA2767" s="82" t="s">
        <v>17385</v>
      </c>
      <c r="BB2767" s="82" t="s">
        <v>17385</v>
      </c>
      <c r="BC2767" s="82" t="s">
        <v>15851</v>
      </c>
      <c r="BD2767" s="82" t="s">
        <v>17667</v>
      </c>
      <c r="BE2767" s="77"/>
      <c r="BF2767" s="77"/>
      <c r="BG2767" s="77"/>
      <c r="BH2767" s="77"/>
      <c r="BI2767" s="77"/>
    </row>
    <row r="2768" spans="1:61" x14ac:dyDescent="0.25">
      <c r="A2768" s="62" t="s">
        <v>646</v>
      </c>
      <c r="B2768" s="62" t="s">
        <v>646</v>
      </c>
      <c r="C2768" s="63"/>
      <c r="D2768" s="64"/>
      <c r="E2768" s="65"/>
      <c r="F2768" s="66"/>
      <c r="G2768" s="63"/>
      <c r="H2768" s="67"/>
      <c r="I2768" s="68"/>
      <c r="J2768" s="68"/>
      <c r="K2768" s="32"/>
      <c r="L2768" s="75">
        <v>2768</v>
      </c>
      <c r="M2768" s="75"/>
      <c r="N2768" s="70"/>
      <c r="O2768" s="77" t="s">
        <v>179</v>
      </c>
      <c r="P2768" s="79">
        <v>45082.886157407411</v>
      </c>
      <c r="Q2768" s="77" t="s">
        <v>3545</v>
      </c>
      <c r="R2768" s="77">
        <v>0</v>
      </c>
      <c r="S2768" s="77">
        <v>0</v>
      </c>
      <c r="T2768" s="77">
        <v>0</v>
      </c>
      <c r="U2768" s="77">
        <v>0</v>
      </c>
      <c r="V2768" s="77">
        <v>28</v>
      </c>
      <c r="W2768" s="82" t="s">
        <v>6382</v>
      </c>
      <c r="X2768" s="80" t="str">
        <f>HYPERLINK("https://tinyurl.com/2z6ea7yq")</f>
        <v>https://tinyurl.com/2z6ea7yq</v>
      </c>
      <c r="Y2768" s="77" t="s">
        <v>7068</v>
      </c>
      <c r="Z2768" s="77"/>
      <c r="AA2768" s="77"/>
      <c r="AB2768" s="77"/>
      <c r="AC2768" s="82" t="s">
        <v>8274</v>
      </c>
      <c r="AD2768" s="77" t="s">
        <v>8278</v>
      </c>
      <c r="AE2768" s="80" t="str">
        <f>HYPERLINK("https://twitter.com/pauta_economica/status/1665829867584208898")</f>
        <v>https://twitter.com/pauta_economica/status/1665829867584208898</v>
      </c>
      <c r="AF2768" s="79">
        <v>45082.886157407411</v>
      </c>
      <c r="AG2768" s="85">
        <v>45082</v>
      </c>
      <c r="AH2768" s="82" t="s">
        <v>10805</v>
      </c>
      <c r="AI2768" s="77" t="b">
        <v>0</v>
      </c>
      <c r="AJ2768" s="77"/>
      <c r="AK2768" s="77"/>
      <c r="AL2768" s="77"/>
      <c r="AM2768" s="77"/>
      <c r="AN2768" s="77"/>
      <c r="AO2768" s="77"/>
      <c r="AP2768" s="77"/>
      <c r="AQ2768" s="77"/>
      <c r="AR2768" s="77"/>
      <c r="AS2768" s="77"/>
      <c r="AT2768" s="77"/>
      <c r="AU2768" s="77"/>
      <c r="AV2768" s="80" t="str">
        <f>HYPERLINK("https://pbs.twimg.com/profile_images/1588668531910082561/XEi-lXiu_normal.jpg")</f>
        <v>https://pbs.twimg.com/profile_images/1588668531910082561/XEi-lXiu_normal.jpg</v>
      </c>
      <c r="AW2768" s="82" t="s">
        <v>15852</v>
      </c>
      <c r="AX2768" s="82" t="s">
        <v>15852</v>
      </c>
      <c r="AY2768" s="77"/>
      <c r="AZ2768" s="82" t="s">
        <v>17385</v>
      </c>
      <c r="BA2768" s="82" t="s">
        <v>17385</v>
      </c>
      <c r="BB2768" s="82" t="s">
        <v>17385</v>
      </c>
      <c r="BC2768" s="82" t="s">
        <v>15852</v>
      </c>
      <c r="BD2768" s="82" t="s">
        <v>17667</v>
      </c>
      <c r="BE2768" s="77"/>
      <c r="BF2768" s="77"/>
      <c r="BG2768" s="77"/>
      <c r="BH2768" s="77"/>
      <c r="BI2768" s="77"/>
    </row>
    <row r="2769" spans="1:61" x14ac:dyDescent="0.25">
      <c r="A2769" s="62" t="s">
        <v>646</v>
      </c>
      <c r="B2769" s="62" t="s">
        <v>646</v>
      </c>
      <c r="C2769" s="63"/>
      <c r="D2769" s="64"/>
      <c r="E2769" s="65"/>
      <c r="F2769" s="66"/>
      <c r="G2769" s="63"/>
      <c r="H2769" s="67"/>
      <c r="I2769" s="68"/>
      <c r="J2769" s="68"/>
      <c r="K2769" s="32"/>
      <c r="L2769" s="75">
        <v>2769</v>
      </c>
      <c r="M2769" s="75"/>
      <c r="N2769" s="70"/>
      <c r="O2769" s="77" t="s">
        <v>179</v>
      </c>
      <c r="P2769" s="79">
        <v>45082.858206018522</v>
      </c>
      <c r="Q2769" s="77" t="s">
        <v>3546</v>
      </c>
      <c r="R2769" s="77">
        <v>0</v>
      </c>
      <c r="S2769" s="77">
        <v>0</v>
      </c>
      <c r="T2769" s="77">
        <v>0</v>
      </c>
      <c r="U2769" s="77">
        <v>0</v>
      </c>
      <c r="V2769" s="77">
        <v>72</v>
      </c>
      <c r="W2769" s="82" t="s">
        <v>6382</v>
      </c>
      <c r="X2769" s="80" t="str">
        <f>HYPERLINK("https://tinyurl.com/2evens9r")</f>
        <v>https://tinyurl.com/2evens9r</v>
      </c>
      <c r="Y2769" s="77" t="s">
        <v>7068</v>
      </c>
      <c r="Z2769" s="77"/>
      <c r="AA2769" s="77"/>
      <c r="AB2769" s="77"/>
      <c r="AC2769" s="82" t="s">
        <v>8274</v>
      </c>
      <c r="AD2769" s="77" t="s">
        <v>8278</v>
      </c>
      <c r="AE2769" s="80" t="str">
        <f>HYPERLINK("https://twitter.com/pauta_economica/status/1665819735861207041")</f>
        <v>https://twitter.com/pauta_economica/status/1665819735861207041</v>
      </c>
      <c r="AF2769" s="79">
        <v>45082.858206018522</v>
      </c>
      <c r="AG2769" s="85">
        <v>45082</v>
      </c>
      <c r="AH2769" s="82" t="s">
        <v>10806</v>
      </c>
      <c r="AI2769" s="77" t="b">
        <v>0</v>
      </c>
      <c r="AJ2769" s="77"/>
      <c r="AK2769" s="77"/>
      <c r="AL2769" s="77"/>
      <c r="AM2769" s="77"/>
      <c r="AN2769" s="77"/>
      <c r="AO2769" s="77"/>
      <c r="AP2769" s="77"/>
      <c r="AQ2769" s="77"/>
      <c r="AR2769" s="77"/>
      <c r="AS2769" s="77"/>
      <c r="AT2769" s="77"/>
      <c r="AU2769" s="77"/>
      <c r="AV2769" s="80" t="str">
        <f>HYPERLINK("https://pbs.twimg.com/profile_images/1588668531910082561/XEi-lXiu_normal.jpg")</f>
        <v>https://pbs.twimg.com/profile_images/1588668531910082561/XEi-lXiu_normal.jpg</v>
      </c>
      <c r="AW2769" s="82" t="s">
        <v>15853</v>
      </c>
      <c r="AX2769" s="82" t="s">
        <v>15853</v>
      </c>
      <c r="AY2769" s="77"/>
      <c r="AZ2769" s="82" t="s">
        <v>17385</v>
      </c>
      <c r="BA2769" s="82" t="s">
        <v>17385</v>
      </c>
      <c r="BB2769" s="82" t="s">
        <v>17385</v>
      </c>
      <c r="BC2769" s="82" t="s">
        <v>15853</v>
      </c>
      <c r="BD2769" s="82" t="s">
        <v>17667</v>
      </c>
      <c r="BE2769" s="77"/>
      <c r="BF2769" s="77"/>
      <c r="BG2769" s="77"/>
      <c r="BH2769" s="77"/>
      <c r="BI2769" s="77"/>
    </row>
    <row r="2770" spans="1:61" x14ac:dyDescent="0.25">
      <c r="A2770" s="62" t="s">
        <v>646</v>
      </c>
      <c r="B2770" s="62" t="s">
        <v>646</v>
      </c>
      <c r="C2770" s="63"/>
      <c r="D2770" s="64"/>
      <c r="E2770" s="65"/>
      <c r="F2770" s="66"/>
      <c r="G2770" s="63"/>
      <c r="H2770" s="67"/>
      <c r="I2770" s="68"/>
      <c r="J2770" s="68"/>
      <c r="K2770" s="32"/>
      <c r="L2770" s="75">
        <v>2770</v>
      </c>
      <c r="M2770" s="75"/>
      <c r="N2770" s="70"/>
      <c r="O2770" s="77" t="s">
        <v>179</v>
      </c>
      <c r="P2770" s="79">
        <v>45082.830277777779</v>
      </c>
      <c r="Q2770" s="77" t="s">
        <v>3547</v>
      </c>
      <c r="R2770" s="77">
        <v>0</v>
      </c>
      <c r="S2770" s="77">
        <v>0</v>
      </c>
      <c r="T2770" s="77">
        <v>0</v>
      </c>
      <c r="U2770" s="77">
        <v>0</v>
      </c>
      <c r="V2770" s="77">
        <v>53</v>
      </c>
      <c r="W2770" s="82" t="s">
        <v>6382</v>
      </c>
      <c r="X2770" s="80" t="str">
        <f>HYPERLINK("https://tinyurl.com/2l2l8dyg")</f>
        <v>https://tinyurl.com/2l2l8dyg</v>
      </c>
      <c r="Y2770" s="77" t="s">
        <v>7068</v>
      </c>
      <c r="Z2770" s="77"/>
      <c r="AA2770" s="77"/>
      <c r="AB2770" s="77"/>
      <c r="AC2770" s="82" t="s">
        <v>8274</v>
      </c>
      <c r="AD2770" s="77" t="s">
        <v>8278</v>
      </c>
      <c r="AE2770" s="80" t="str">
        <f>HYPERLINK("https://twitter.com/pauta_economica/status/1665809617786470405")</f>
        <v>https://twitter.com/pauta_economica/status/1665809617786470405</v>
      </c>
      <c r="AF2770" s="79">
        <v>45082.830277777779</v>
      </c>
      <c r="AG2770" s="85">
        <v>45082</v>
      </c>
      <c r="AH2770" s="82" t="s">
        <v>10807</v>
      </c>
      <c r="AI2770" s="77" t="b">
        <v>0</v>
      </c>
      <c r="AJ2770" s="77"/>
      <c r="AK2770" s="77"/>
      <c r="AL2770" s="77"/>
      <c r="AM2770" s="77"/>
      <c r="AN2770" s="77"/>
      <c r="AO2770" s="77"/>
      <c r="AP2770" s="77"/>
      <c r="AQ2770" s="77"/>
      <c r="AR2770" s="77"/>
      <c r="AS2770" s="77"/>
      <c r="AT2770" s="77"/>
      <c r="AU2770" s="77"/>
      <c r="AV2770" s="80" t="str">
        <f>HYPERLINK("https://pbs.twimg.com/profile_images/1588668531910082561/XEi-lXiu_normal.jpg")</f>
        <v>https://pbs.twimg.com/profile_images/1588668531910082561/XEi-lXiu_normal.jpg</v>
      </c>
      <c r="AW2770" s="82" t="s">
        <v>15854</v>
      </c>
      <c r="AX2770" s="82" t="s">
        <v>15854</v>
      </c>
      <c r="AY2770" s="77"/>
      <c r="AZ2770" s="82" t="s">
        <v>17385</v>
      </c>
      <c r="BA2770" s="82" t="s">
        <v>17385</v>
      </c>
      <c r="BB2770" s="82" t="s">
        <v>17385</v>
      </c>
      <c r="BC2770" s="82" t="s">
        <v>15854</v>
      </c>
      <c r="BD2770" s="82" t="s">
        <v>17667</v>
      </c>
      <c r="BE2770" s="77"/>
      <c r="BF2770" s="77"/>
      <c r="BG2770" s="77"/>
      <c r="BH2770" s="77"/>
      <c r="BI2770" s="77"/>
    </row>
    <row r="2771" spans="1:61" x14ac:dyDescent="0.25">
      <c r="A2771" s="62" t="s">
        <v>646</v>
      </c>
      <c r="B2771" s="62" t="s">
        <v>646</v>
      </c>
      <c r="C2771" s="63"/>
      <c r="D2771" s="64"/>
      <c r="E2771" s="65"/>
      <c r="F2771" s="66"/>
      <c r="G2771" s="63"/>
      <c r="H2771" s="67"/>
      <c r="I2771" s="68"/>
      <c r="J2771" s="68"/>
      <c r="K2771" s="32"/>
      <c r="L2771" s="75">
        <v>2771</v>
      </c>
      <c r="M2771" s="75"/>
      <c r="N2771" s="70"/>
      <c r="O2771" s="77" t="s">
        <v>179</v>
      </c>
      <c r="P2771" s="79">
        <v>45082.718344907407</v>
      </c>
      <c r="Q2771" s="77" t="s">
        <v>3548</v>
      </c>
      <c r="R2771" s="77">
        <v>0</v>
      </c>
      <c r="S2771" s="77">
        <v>0</v>
      </c>
      <c r="T2771" s="77">
        <v>0</v>
      </c>
      <c r="U2771" s="77">
        <v>0</v>
      </c>
      <c r="V2771" s="77">
        <v>29</v>
      </c>
      <c r="W2771" s="82" t="s">
        <v>6382</v>
      </c>
      <c r="X2771" s="80" t="str">
        <f>HYPERLINK("https://tinyurl.com/2hxzmgub")</f>
        <v>https://tinyurl.com/2hxzmgub</v>
      </c>
      <c r="Y2771" s="77" t="s">
        <v>7068</v>
      </c>
      <c r="Z2771" s="77"/>
      <c r="AA2771" s="77"/>
      <c r="AB2771" s="77"/>
      <c r="AC2771" s="82" t="s">
        <v>8274</v>
      </c>
      <c r="AD2771" s="77" t="s">
        <v>8278</v>
      </c>
      <c r="AE2771" s="80" t="str">
        <f>HYPERLINK("https://twitter.com/pauta_economica/status/1665769054861238272")</f>
        <v>https://twitter.com/pauta_economica/status/1665769054861238272</v>
      </c>
      <c r="AF2771" s="79">
        <v>45082.718344907407</v>
      </c>
      <c r="AG2771" s="85">
        <v>45082</v>
      </c>
      <c r="AH2771" s="82" t="s">
        <v>10808</v>
      </c>
      <c r="AI2771" s="77" t="b">
        <v>0</v>
      </c>
      <c r="AJ2771" s="77"/>
      <c r="AK2771" s="77"/>
      <c r="AL2771" s="77"/>
      <c r="AM2771" s="77"/>
      <c r="AN2771" s="77"/>
      <c r="AO2771" s="77"/>
      <c r="AP2771" s="77"/>
      <c r="AQ2771" s="77"/>
      <c r="AR2771" s="77"/>
      <c r="AS2771" s="77"/>
      <c r="AT2771" s="77"/>
      <c r="AU2771" s="77"/>
      <c r="AV2771" s="80" t="str">
        <f>HYPERLINK("https://pbs.twimg.com/profile_images/1588668531910082561/XEi-lXiu_normal.jpg")</f>
        <v>https://pbs.twimg.com/profile_images/1588668531910082561/XEi-lXiu_normal.jpg</v>
      </c>
      <c r="AW2771" s="82" t="s">
        <v>15855</v>
      </c>
      <c r="AX2771" s="82" t="s">
        <v>15855</v>
      </c>
      <c r="AY2771" s="77"/>
      <c r="AZ2771" s="82" t="s">
        <v>17385</v>
      </c>
      <c r="BA2771" s="82" t="s">
        <v>17385</v>
      </c>
      <c r="BB2771" s="82" t="s">
        <v>17385</v>
      </c>
      <c r="BC2771" s="82" t="s">
        <v>15855</v>
      </c>
      <c r="BD2771" s="82" t="s">
        <v>17667</v>
      </c>
      <c r="BE2771" s="77"/>
      <c r="BF2771" s="77"/>
      <c r="BG2771" s="77"/>
      <c r="BH2771" s="77"/>
      <c r="BI2771" s="77"/>
    </row>
    <row r="2772" spans="1:61" x14ac:dyDescent="0.25">
      <c r="A2772" s="62" t="s">
        <v>646</v>
      </c>
      <c r="B2772" s="62" t="s">
        <v>646</v>
      </c>
      <c r="C2772" s="63"/>
      <c r="D2772" s="64"/>
      <c r="E2772" s="65"/>
      <c r="F2772" s="66"/>
      <c r="G2772" s="63"/>
      <c r="H2772" s="67"/>
      <c r="I2772" s="68"/>
      <c r="J2772" s="68"/>
      <c r="K2772" s="32"/>
      <c r="L2772" s="75">
        <v>2772</v>
      </c>
      <c r="M2772" s="75"/>
      <c r="N2772" s="70"/>
      <c r="O2772" s="77" t="s">
        <v>179</v>
      </c>
      <c r="P2772" s="79">
        <v>45082.578287037039</v>
      </c>
      <c r="Q2772" s="77" t="s">
        <v>3549</v>
      </c>
      <c r="R2772" s="77">
        <v>0</v>
      </c>
      <c r="S2772" s="77">
        <v>0</v>
      </c>
      <c r="T2772" s="77">
        <v>0</v>
      </c>
      <c r="U2772" s="77">
        <v>0</v>
      </c>
      <c r="V2772" s="77">
        <v>34</v>
      </c>
      <c r="W2772" s="82" t="s">
        <v>6382</v>
      </c>
      <c r="X2772" s="80" t="str">
        <f>HYPERLINK("https://tinyurl.com/2h4hbf2g")</f>
        <v>https://tinyurl.com/2h4hbf2g</v>
      </c>
      <c r="Y2772" s="77" t="s">
        <v>7068</v>
      </c>
      <c r="Z2772" s="77"/>
      <c r="AA2772" s="77"/>
      <c r="AB2772" s="77"/>
      <c r="AC2772" s="82" t="s">
        <v>8274</v>
      </c>
      <c r="AD2772" s="77" t="s">
        <v>8278</v>
      </c>
      <c r="AE2772" s="80" t="str">
        <f>HYPERLINK("https://twitter.com/pauta_economica/status/1665718296149098496")</f>
        <v>https://twitter.com/pauta_economica/status/1665718296149098496</v>
      </c>
      <c r="AF2772" s="79">
        <v>45082.578287037039</v>
      </c>
      <c r="AG2772" s="85">
        <v>45082</v>
      </c>
      <c r="AH2772" s="82" t="s">
        <v>10809</v>
      </c>
      <c r="AI2772" s="77" t="b">
        <v>0</v>
      </c>
      <c r="AJ2772" s="77"/>
      <c r="AK2772" s="77"/>
      <c r="AL2772" s="77"/>
      <c r="AM2772" s="77"/>
      <c r="AN2772" s="77"/>
      <c r="AO2772" s="77"/>
      <c r="AP2772" s="77"/>
      <c r="AQ2772" s="77"/>
      <c r="AR2772" s="77"/>
      <c r="AS2772" s="77"/>
      <c r="AT2772" s="77"/>
      <c r="AU2772" s="77"/>
      <c r="AV2772" s="80" t="str">
        <f>HYPERLINK("https://pbs.twimg.com/profile_images/1588668531910082561/XEi-lXiu_normal.jpg")</f>
        <v>https://pbs.twimg.com/profile_images/1588668531910082561/XEi-lXiu_normal.jpg</v>
      </c>
      <c r="AW2772" s="82" t="s">
        <v>15856</v>
      </c>
      <c r="AX2772" s="82" t="s">
        <v>15856</v>
      </c>
      <c r="AY2772" s="77"/>
      <c r="AZ2772" s="82" t="s">
        <v>17385</v>
      </c>
      <c r="BA2772" s="82" t="s">
        <v>17385</v>
      </c>
      <c r="BB2772" s="82" t="s">
        <v>17385</v>
      </c>
      <c r="BC2772" s="82" t="s">
        <v>15856</v>
      </c>
      <c r="BD2772" s="82" t="s">
        <v>17667</v>
      </c>
      <c r="BE2772" s="77"/>
      <c r="BF2772" s="77"/>
      <c r="BG2772" s="77"/>
      <c r="BH2772" s="77"/>
      <c r="BI2772" s="77"/>
    </row>
    <row r="2773" spans="1:61" x14ac:dyDescent="0.25">
      <c r="A2773" s="62" t="s">
        <v>646</v>
      </c>
      <c r="B2773" s="62" t="s">
        <v>646</v>
      </c>
      <c r="C2773" s="63"/>
      <c r="D2773" s="64"/>
      <c r="E2773" s="65"/>
      <c r="F2773" s="66"/>
      <c r="G2773" s="63"/>
      <c r="H2773" s="67"/>
      <c r="I2773" s="68"/>
      <c r="J2773" s="68"/>
      <c r="K2773" s="32"/>
      <c r="L2773" s="75">
        <v>2773</v>
      </c>
      <c r="M2773" s="75"/>
      <c r="N2773" s="70"/>
      <c r="O2773" s="77" t="s">
        <v>179</v>
      </c>
      <c r="P2773" s="79">
        <v>45068.63045138889</v>
      </c>
      <c r="Q2773" s="77" t="s">
        <v>3550</v>
      </c>
      <c r="R2773" s="77">
        <v>0</v>
      </c>
      <c r="S2773" s="77">
        <v>0</v>
      </c>
      <c r="T2773" s="77">
        <v>0</v>
      </c>
      <c r="U2773" s="77">
        <v>0</v>
      </c>
      <c r="V2773" s="77">
        <v>21</v>
      </c>
      <c r="W2773" s="82" t="s">
        <v>6382</v>
      </c>
      <c r="X2773" s="80" t="str">
        <f>HYPERLINK("https://tinyurl.com/2hnylyf4")</f>
        <v>https://tinyurl.com/2hnylyf4</v>
      </c>
      <c r="Y2773" s="77" t="s">
        <v>7068</v>
      </c>
      <c r="Z2773" s="77"/>
      <c r="AA2773" s="77"/>
      <c r="AB2773" s="77"/>
      <c r="AC2773" s="82" t="s">
        <v>8275</v>
      </c>
      <c r="AD2773" s="77" t="s">
        <v>8278</v>
      </c>
      <c r="AE2773" s="80" t="str">
        <f>HYPERLINK("https://twitter.com/pauta_economica/status/1660663772669702144")</f>
        <v>https://twitter.com/pauta_economica/status/1660663772669702144</v>
      </c>
      <c r="AF2773" s="79">
        <v>45068.63045138889</v>
      </c>
      <c r="AG2773" s="85">
        <v>45068</v>
      </c>
      <c r="AH2773" s="82" t="s">
        <v>10810</v>
      </c>
      <c r="AI2773" s="77" t="b">
        <v>0</v>
      </c>
      <c r="AJ2773" s="77"/>
      <c r="AK2773" s="77"/>
      <c r="AL2773" s="77"/>
      <c r="AM2773" s="77"/>
      <c r="AN2773" s="77"/>
      <c r="AO2773" s="77"/>
      <c r="AP2773" s="77"/>
      <c r="AQ2773" s="77"/>
      <c r="AR2773" s="77"/>
      <c r="AS2773" s="77"/>
      <c r="AT2773" s="77"/>
      <c r="AU2773" s="77"/>
      <c r="AV2773" s="80" t="str">
        <f>HYPERLINK("https://pbs.twimg.com/profile_images/1588668531910082561/XEi-lXiu_normal.jpg")</f>
        <v>https://pbs.twimg.com/profile_images/1588668531910082561/XEi-lXiu_normal.jpg</v>
      </c>
      <c r="AW2773" s="82" t="s">
        <v>15857</v>
      </c>
      <c r="AX2773" s="82" t="s">
        <v>15857</v>
      </c>
      <c r="AY2773" s="77"/>
      <c r="AZ2773" s="82" t="s">
        <v>17385</v>
      </c>
      <c r="BA2773" s="82" t="s">
        <v>17385</v>
      </c>
      <c r="BB2773" s="82" t="s">
        <v>17385</v>
      </c>
      <c r="BC2773" s="82" t="s">
        <v>15857</v>
      </c>
      <c r="BD2773" s="82" t="s">
        <v>17667</v>
      </c>
      <c r="BE2773" s="77"/>
      <c r="BF2773" s="77"/>
      <c r="BG2773" s="77"/>
      <c r="BH2773" s="77"/>
      <c r="BI2773" s="77"/>
    </row>
    <row r="2774" spans="1:61" x14ac:dyDescent="0.25">
      <c r="A2774" s="62" t="s">
        <v>646</v>
      </c>
      <c r="B2774" s="62" t="s">
        <v>646</v>
      </c>
      <c r="C2774" s="63"/>
      <c r="D2774" s="64"/>
      <c r="E2774" s="65"/>
      <c r="F2774" s="66"/>
      <c r="G2774" s="63"/>
      <c r="H2774" s="67"/>
      <c r="I2774" s="68"/>
      <c r="J2774" s="68"/>
      <c r="K2774" s="32"/>
      <c r="L2774" s="75">
        <v>2774</v>
      </c>
      <c r="M2774" s="75"/>
      <c r="N2774" s="70"/>
      <c r="O2774" s="77" t="s">
        <v>179</v>
      </c>
      <c r="P2774" s="79">
        <v>45066.355520833335</v>
      </c>
      <c r="Q2774" s="77" t="s">
        <v>3551</v>
      </c>
      <c r="R2774" s="77">
        <v>0</v>
      </c>
      <c r="S2774" s="77">
        <v>0</v>
      </c>
      <c r="T2774" s="77">
        <v>0</v>
      </c>
      <c r="U2774" s="77">
        <v>0</v>
      </c>
      <c r="V2774" s="77">
        <v>77</v>
      </c>
      <c r="W2774" s="82" t="s">
        <v>6382</v>
      </c>
      <c r="X2774" s="80" t="str">
        <f>HYPERLINK("https://tinyurl.com/2h3nyoom")</f>
        <v>https://tinyurl.com/2h3nyoom</v>
      </c>
      <c r="Y2774" s="77" t="s">
        <v>7068</v>
      </c>
      <c r="Z2774" s="77"/>
      <c r="AA2774" s="77"/>
      <c r="AB2774" s="77"/>
      <c r="AC2774" s="82" t="s">
        <v>8275</v>
      </c>
      <c r="AD2774" s="77" t="s">
        <v>8278</v>
      </c>
      <c r="AE2774" s="80" t="str">
        <f>HYPERLINK("https://twitter.com/pauta_economica/status/1659839365957181450")</f>
        <v>https://twitter.com/pauta_economica/status/1659839365957181450</v>
      </c>
      <c r="AF2774" s="79">
        <v>45066.355520833335</v>
      </c>
      <c r="AG2774" s="85">
        <v>45066</v>
      </c>
      <c r="AH2774" s="82" t="s">
        <v>10811</v>
      </c>
      <c r="AI2774" s="77" t="b">
        <v>0</v>
      </c>
      <c r="AJ2774" s="77"/>
      <c r="AK2774" s="77"/>
      <c r="AL2774" s="77"/>
      <c r="AM2774" s="77"/>
      <c r="AN2774" s="77"/>
      <c r="AO2774" s="77"/>
      <c r="AP2774" s="77"/>
      <c r="AQ2774" s="77"/>
      <c r="AR2774" s="77"/>
      <c r="AS2774" s="77"/>
      <c r="AT2774" s="77"/>
      <c r="AU2774" s="77"/>
      <c r="AV2774" s="80" t="str">
        <f>HYPERLINK("https://pbs.twimg.com/profile_images/1588668531910082561/XEi-lXiu_normal.jpg")</f>
        <v>https://pbs.twimg.com/profile_images/1588668531910082561/XEi-lXiu_normal.jpg</v>
      </c>
      <c r="AW2774" s="82" t="s">
        <v>15858</v>
      </c>
      <c r="AX2774" s="82" t="s">
        <v>15858</v>
      </c>
      <c r="AY2774" s="77"/>
      <c r="AZ2774" s="82" t="s">
        <v>17385</v>
      </c>
      <c r="BA2774" s="82" t="s">
        <v>17385</v>
      </c>
      <c r="BB2774" s="82" t="s">
        <v>17385</v>
      </c>
      <c r="BC2774" s="82" t="s">
        <v>15858</v>
      </c>
      <c r="BD2774" s="82" t="s">
        <v>17667</v>
      </c>
      <c r="BE2774" s="77"/>
      <c r="BF2774" s="77"/>
      <c r="BG2774" s="77"/>
      <c r="BH2774" s="77"/>
      <c r="BI2774" s="77"/>
    </row>
    <row r="2775" spans="1:61" x14ac:dyDescent="0.25">
      <c r="A2775" s="62" t="s">
        <v>646</v>
      </c>
      <c r="B2775" s="62" t="s">
        <v>646</v>
      </c>
      <c r="C2775" s="63"/>
      <c r="D2775" s="64"/>
      <c r="E2775" s="65"/>
      <c r="F2775" s="66"/>
      <c r="G2775" s="63"/>
      <c r="H2775" s="67"/>
      <c r="I2775" s="68"/>
      <c r="J2775" s="68"/>
      <c r="K2775" s="32"/>
      <c r="L2775" s="75">
        <v>2775</v>
      </c>
      <c r="M2775" s="75"/>
      <c r="N2775" s="70"/>
      <c r="O2775" s="77" t="s">
        <v>179</v>
      </c>
      <c r="P2775" s="79">
        <v>45066.327696759261</v>
      </c>
      <c r="Q2775" s="77" t="s">
        <v>3552</v>
      </c>
      <c r="R2775" s="77">
        <v>0</v>
      </c>
      <c r="S2775" s="77">
        <v>0</v>
      </c>
      <c r="T2775" s="77">
        <v>0</v>
      </c>
      <c r="U2775" s="77">
        <v>0</v>
      </c>
      <c r="V2775" s="77">
        <v>26</v>
      </c>
      <c r="W2775" s="82" t="s">
        <v>6382</v>
      </c>
      <c r="X2775" s="80" t="str">
        <f>HYPERLINK("https://tinyurl.com/2kycjry2")</f>
        <v>https://tinyurl.com/2kycjry2</v>
      </c>
      <c r="Y2775" s="77" t="s">
        <v>7068</v>
      </c>
      <c r="Z2775" s="77"/>
      <c r="AA2775" s="77"/>
      <c r="AB2775" s="77"/>
      <c r="AC2775" s="82" t="s">
        <v>8275</v>
      </c>
      <c r="AD2775" s="77" t="s">
        <v>8278</v>
      </c>
      <c r="AE2775" s="80" t="str">
        <f>HYPERLINK("https://twitter.com/pauta_economica/status/1659829282644828161")</f>
        <v>https://twitter.com/pauta_economica/status/1659829282644828161</v>
      </c>
      <c r="AF2775" s="79">
        <v>45066.327696759261</v>
      </c>
      <c r="AG2775" s="85">
        <v>45066</v>
      </c>
      <c r="AH2775" s="82" t="s">
        <v>10812</v>
      </c>
      <c r="AI2775" s="77" t="b">
        <v>0</v>
      </c>
      <c r="AJ2775" s="77"/>
      <c r="AK2775" s="77"/>
      <c r="AL2775" s="77"/>
      <c r="AM2775" s="77"/>
      <c r="AN2775" s="77"/>
      <c r="AO2775" s="77"/>
      <c r="AP2775" s="77"/>
      <c r="AQ2775" s="77"/>
      <c r="AR2775" s="77"/>
      <c r="AS2775" s="77"/>
      <c r="AT2775" s="77"/>
      <c r="AU2775" s="77"/>
      <c r="AV2775" s="80" t="str">
        <f>HYPERLINK("https://pbs.twimg.com/profile_images/1588668531910082561/XEi-lXiu_normal.jpg")</f>
        <v>https://pbs.twimg.com/profile_images/1588668531910082561/XEi-lXiu_normal.jpg</v>
      </c>
      <c r="AW2775" s="82" t="s">
        <v>15859</v>
      </c>
      <c r="AX2775" s="82" t="s">
        <v>15859</v>
      </c>
      <c r="AY2775" s="77"/>
      <c r="AZ2775" s="82" t="s">
        <v>17385</v>
      </c>
      <c r="BA2775" s="82" t="s">
        <v>17385</v>
      </c>
      <c r="BB2775" s="82" t="s">
        <v>17385</v>
      </c>
      <c r="BC2775" s="82" t="s">
        <v>15859</v>
      </c>
      <c r="BD2775" s="82" t="s">
        <v>17667</v>
      </c>
      <c r="BE2775" s="77"/>
      <c r="BF2775" s="77"/>
      <c r="BG2775" s="77"/>
      <c r="BH2775" s="77"/>
      <c r="BI2775" s="77"/>
    </row>
    <row r="2776" spans="1:61" x14ac:dyDescent="0.25">
      <c r="A2776" s="62" t="s">
        <v>646</v>
      </c>
      <c r="B2776" s="62" t="s">
        <v>646</v>
      </c>
      <c r="C2776" s="63"/>
      <c r="D2776" s="64"/>
      <c r="E2776" s="65"/>
      <c r="F2776" s="66"/>
      <c r="G2776" s="63"/>
      <c r="H2776" s="67"/>
      <c r="I2776" s="68"/>
      <c r="J2776" s="68"/>
      <c r="K2776" s="32"/>
      <c r="L2776" s="75">
        <v>2776</v>
      </c>
      <c r="M2776" s="75"/>
      <c r="N2776" s="70"/>
      <c r="O2776" s="77" t="s">
        <v>179</v>
      </c>
      <c r="P2776" s="79">
        <v>45066.27202546296</v>
      </c>
      <c r="Q2776" s="77" t="s">
        <v>3553</v>
      </c>
      <c r="R2776" s="77">
        <v>0</v>
      </c>
      <c r="S2776" s="77">
        <v>0</v>
      </c>
      <c r="T2776" s="77">
        <v>0</v>
      </c>
      <c r="U2776" s="77">
        <v>0</v>
      </c>
      <c r="V2776" s="77">
        <v>23</v>
      </c>
      <c r="W2776" s="82" t="s">
        <v>6382</v>
      </c>
      <c r="X2776" s="80" t="str">
        <f>HYPERLINK("https://tinyurl.com/2m62g5p6")</f>
        <v>https://tinyurl.com/2m62g5p6</v>
      </c>
      <c r="Y2776" s="77" t="s">
        <v>7068</v>
      </c>
      <c r="Z2776" s="77"/>
      <c r="AA2776" s="77"/>
      <c r="AB2776" s="77"/>
      <c r="AC2776" s="82" t="s">
        <v>8275</v>
      </c>
      <c r="AD2776" s="77" t="s">
        <v>8278</v>
      </c>
      <c r="AE2776" s="80" t="str">
        <f>HYPERLINK("https://twitter.com/pauta_economica/status/1659809106016755713")</f>
        <v>https://twitter.com/pauta_economica/status/1659809106016755713</v>
      </c>
      <c r="AF2776" s="79">
        <v>45066.27202546296</v>
      </c>
      <c r="AG2776" s="85">
        <v>45066</v>
      </c>
      <c r="AH2776" s="82" t="s">
        <v>10813</v>
      </c>
      <c r="AI2776" s="77" t="b">
        <v>0</v>
      </c>
      <c r="AJ2776" s="77"/>
      <c r="AK2776" s="77"/>
      <c r="AL2776" s="77"/>
      <c r="AM2776" s="77"/>
      <c r="AN2776" s="77"/>
      <c r="AO2776" s="77"/>
      <c r="AP2776" s="77"/>
      <c r="AQ2776" s="77"/>
      <c r="AR2776" s="77"/>
      <c r="AS2776" s="77"/>
      <c r="AT2776" s="77"/>
      <c r="AU2776" s="77"/>
      <c r="AV2776" s="80" t="str">
        <f>HYPERLINK("https://pbs.twimg.com/profile_images/1588668531910082561/XEi-lXiu_normal.jpg")</f>
        <v>https://pbs.twimg.com/profile_images/1588668531910082561/XEi-lXiu_normal.jpg</v>
      </c>
      <c r="AW2776" s="82" t="s">
        <v>15860</v>
      </c>
      <c r="AX2776" s="82" t="s">
        <v>15860</v>
      </c>
      <c r="AY2776" s="77"/>
      <c r="AZ2776" s="82" t="s">
        <v>17385</v>
      </c>
      <c r="BA2776" s="82" t="s">
        <v>17385</v>
      </c>
      <c r="BB2776" s="82" t="s">
        <v>17385</v>
      </c>
      <c r="BC2776" s="82" t="s">
        <v>15860</v>
      </c>
      <c r="BD2776" s="82" t="s">
        <v>17667</v>
      </c>
      <c r="BE2776" s="77"/>
      <c r="BF2776" s="77"/>
      <c r="BG2776" s="77"/>
      <c r="BH2776" s="77"/>
      <c r="BI2776" s="77"/>
    </row>
    <row r="2777" spans="1:61" x14ac:dyDescent="0.25">
      <c r="A2777" s="62" t="s">
        <v>646</v>
      </c>
      <c r="B2777" s="62" t="s">
        <v>646</v>
      </c>
      <c r="C2777" s="63"/>
      <c r="D2777" s="64"/>
      <c r="E2777" s="65"/>
      <c r="F2777" s="66"/>
      <c r="G2777" s="63"/>
      <c r="H2777" s="67"/>
      <c r="I2777" s="68"/>
      <c r="J2777" s="68"/>
      <c r="K2777" s="32"/>
      <c r="L2777" s="75">
        <v>2777</v>
      </c>
      <c r="M2777" s="75"/>
      <c r="N2777" s="70"/>
      <c r="O2777" s="77" t="s">
        <v>179</v>
      </c>
      <c r="P2777" s="79">
        <v>45066.216331018521</v>
      </c>
      <c r="Q2777" s="77" t="s">
        <v>3554</v>
      </c>
      <c r="R2777" s="77">
        <v>0</v>
      </c>
      <c r="S2777" s="77">
        <v>0</v>
      </c>
      <c r="T2777" s="77">
        <v>0</v>
      </c>
      <c r="U2777" s="77">
        <v>0</v>
      </c>
      <c r="V2777" s="77">
        <v>25</v>
      </c>
      <c r="W2777" s="82" t="s">
        <v>6382</v>
      </c>
      <c r="X2777" s="80" t="str">
        <f>HYPERLINK("https://tinyurl.com/2e6sdyz2")</f>
        <v>https://tinyurl.com/2e6sdyz2</v>
      </c>
      <c r="Y2777" s="77" t="s">
        <v>7068</v>
      </c>
      <c r="Z2777" s="77"/>
      <c r="AA2777" s="77"/>
      <c r="AB2777" s="77"/>
      <c r="AC2777" s="82" t="s">
        <v>8275</v>
      </c>
      <c r="AD2777" s="77" t="s">
        <v>8278</v>
      </c>
      <c r="AE2777" s="80" t="str">
        <f>HYPERLINK("https://twitter.com/pauta_economica/status/1659788923080523777")</f>
        <v>https://twitter.com/pauta_economica/status/1659788923080523777</v>
      </c>
      <c r="AF2777" s="79">
        <v>45066.216331018521</v>
      </c>
      <c r="AG2777" s="85">
        <v>45066</v>
      </c>
      <c r="AH2777" s="82" t="s">
        <v>10814</v>
      </c>
      <c r="AI2777" s="77" t="b">
        <v>0</v>
      </c>
      <c r="AJ2777" s="77"/>
      <c r="AK2777" s="77"/>
      <c r="AL2777" s="77"/>
      <c r="AM2777" s="77"/>
      <c r="AN2777" s="77"/>
      <c r="AO2777" s="77"/>
      <c r="AP2777" s="77"/>
      <c r="AQ2777" s="77"/>
      <c r="AR2777" s="77"/>
      <c r="AS2777" s="77"/>
      <c r="AT2777" s="77"/>
      <c r="AU2777" s="77"/>
      <c r="AV2777" s="80" t="str">
        <f>HYPERLINK("https://pbs.twimg.com/profile_images/1588668531910082561/XEi-lXiu_normal.jpg")</f>
        <v>https://pbs.twimg.com/profile_images/1588668531910082561/XEi-lXiu_normal.jpg</v>
      </c>
      <c r="AW2777" s="82" t="s">
        <v>15861</v>
      </c>
      <c r="AX2777" s="82" t="s">
        <v>15861</v>
      </c>
      <c r="AY2777" s="77"/>
      <c r="AZ2777" s="82" t="s">
        <v>17385</v>
      </c>
      <c r="BA2777" s="82" t="s">
        <v>17385</v>
      </c>
      <c r="BB2777" s="82" t="s">
        <v>17385</v>
      </c>
      <c r="BC2777" s="82" t="s">
        <v>15861</v>
      </c>
      <c r="BD2777" s="82" t="s">
        <v>17667</v>
      </c>
      <c r="BE2777" s="77"/>
      <c r="BF2777" s="77"/>
      <c r="BG2777" s="77"/>
      <c r="BH2777" s="77"/>
      <c r="BI2777" s="77"/>
    </row>
    <row r="2778" spans="1:61" x14ac:dyDescent="0.25">
      <c r="A2778" s="62" t="s">
        <v>646</v>
      </c>
      <c r="B2778" s="62" t="s">
        <v>646</v>
      </c>
      <c r="C2778" s="63"/>
      <c r="D2778" s="64"/>
      <c r="E2778" s="65"/>
      <c r="F2778" s="66"/>
      <c r="G2778" s="63"/>
      <c r="H2778" s="67"/>
      <c r="I2778" s="68"/>
      <c r="J2778" s="68"/>
      <c r="K2778" s="32"/>
      <c r="L2778" s="75">
        <v>2778</v>
      </c>
      <c r="M2778" s="75"/>
      <c r="N2778" s="70"/>
      <c r="O2778" s="77" t="s">
        <v>179</v>
      </c>
      <c r="P2778" s="79">
        <v>45066.188483796293</v>
      </c>
      <c r="Q2778" s="77" t="s">
        <v>3555</v>
      </c>
      <c r="R2778" s="77">
        <v>0</v>
      </c>
      <c r="S2778" s="77">
        <v>1</v>
      </c>
      <c r="T2778" s="77">
        <v>0</v>
      </c>
      <c r="U2778" s="77">
        <v>0</v>
      </c>
      <c r="V2778" s="77">
        <v>66</v>
      </c>
      <c r="W2778" s="82" t="s">
        <v>6382</v>
      </c>
      <c r="X2778" s="80" t="str">
        <f>HYPERLINK("https://tinyurl.com/2hqoc48n")</f>
        <v>https://tinyurl.com/2hqoc48n</v>
      </c>
      <c r="Y2778" s="77" t="s">
        <v>7068</v>
      </c>
      <c r="Z2778" s="77"/>
      <c r="AA2778" s="77"/>
      <c r="AB2778" s="77"/>
      <c r="AC2778" s="82" t="s">
        <v>8275</v>
      </c>
      <c r="AD2778" s="77" t="s">
        <v>8278</v>
      </c>
      <c r="AE2778" s="80" t="str">
        <f>HYPERLINK("https://twitter.com/pauta_economica/status/1659778831635415041")</f>
        <v>https://twitter.com/pauta_economica/status/1659778831635415041</v>
      </c>
      <c r="AF2778" s="79">
        <v>45066.188483796293</v>
      </c>
      <c r="AG2778" s="85">
        <v>45066</v>
      </c>
      <c r="AH2778" s="82" t="s">
        <v>10815</v>
      </c>
      <c r="AI2778" s="77" t="b">
        <v>0</v>
      </c>
      <c r="AJ2778" s="77"/>
      <c r="AK2778" s="77"/>
      <c r="AL2778" s="77"/>
      <c r="AM2778" s="77"/>
      <c r="AN2778" s="77"/>
      <c r="AO2778" s="77"/>
      <c r="AP2778" s="77"/>
      <c r="AQ2778" s="77"/>
      <c r="AR2778" s="77"/>
      <c r="AS2778" s="77"/>
      <c r="AT2778" s="77"/>
      <c r="AU2778" s="77"/>
      <c r="AV2778" s="80" t="str">
        <f>HYPERLINK("https://pbs.twimg.com/profile_images/1588668531910082561/XEi-lXiu_normal.jpg")</f>
        <v>https://pbs.twimg.com/profile_images/1588668531910082561/XEi-lXiu_normal.jpg</v>
      </c>
      <c r="AW2778" s="82" t="s">
        <v>15862</v>
      </c>
      <c r="AX2778" s="82" t="s">
        <v>15862</v>
      </c>
      <c r="AY2778" s="77"/>
      <c r="AZ2778" s="82" t="s">
        <v>17385</v>
      </c>
      <c r="BA2778" s="82" t="s">
        <v>17385</v>
      </c>
      <c r="BB2778" s="82" t="s">
        <v>17385</v>
      </c>
      <c r="BC2778" s="82" t="s">
        <v>15862</v>
      </c>
      <c r="BD2778" s="82" t="s">
        <v>17667</v>
      </c>
      <c r="BE2778" s="77"/>
      <c r="BF2778" s="77"/>
      <c r="BG2778" s="77"/>
      <c r="BH2778" s="77"/>
      <c r="BI2778" s="77"/>
    </row>
    <row r="2779" spans="1:61" x14ac:dyDescent="0.25">
      <c r="A2779" s="62" t="s">
        <v>646</v>
      </c>
      <c r="B2779" s="62" t="s">
        <v>646</v>
      </c>
      <c r="C2779" s="63"/>
      <c r="D2779" s="64"/>
      <c r="E2779" s="65"/>
      <c r="F2779" s="66"/>
      <c r="G2779" s="63"/>
      <c r="H2779" s="67"/>
      <c r="I2779" s="68"/>
      <c r="J2779" s="68"/>
      <c r="K2779" s="32"/>
      <c r="L2779" s="75">
        <v>2779</v>
      </c>
      <c r="M2779" s="75"/>
      <c r="N2779" s="70"/>
      <c r="O2779" s="77" t="s">
        <v>179</v>
      </c>
      <c r="P2779" s="79">
        <v>45066.1327662037</v>
      </c>
      <c r="Q2779" s="77" t="s">
        <v>3556</v>
      </c>
      <c r="R2779" s="77">
        <v>0</v>
      </c>
      <c r="S2779" s="77">
        <v>0</v>
      </c>
      <c r="T2779" s="77">
        <v>0</v>
      </c>
      <c r="U2779" s="77">
        <v>0</v>
      </c>
      <c r="V2779" s="77">
        <v>163</v>
      </c>
      <c r="W2779" s="82" t="s">
        <v>6382</v>
      </c>
      <c r="X2779" s="80" t="str">
        <f>HYPERLINK("https://tinyurl.com/2lz7rwmj")</f>
        <v>https://tinyurl.com/2lz7rwmj</v>
      </c>
      <c r="Y2779" s="77" t="s">
        <v>7068</v>
      </c>
      <c r="Z2779" s="77"/>
      <c r="AA2779" s="77"/>
      <c r="AB2779" s="77"/>
      <c r="AC2779" s="82" t="s">
        <v>8275</v>
      </c>
      <c r="AD2779" s="77" t="s">
        <v>8278</v>
      </c>
      <c r="AE2779" s="80" t="str">
        <f>HYPERLINK("https://twitter.com/pauta_economica/status/1659758642093015041")</f>
        <v>https://twitter.com/pauta_economica/status/1659758642093015041</v>
      </c>
      <c r="AF2779" s="79">
        <v>45066.1327662037</v>
      </c>
      <c r="AG2779" s="85">
        <v>45066</v>
      </c>
      <c r="AH2779" s="82" t="s">
        <v>10816</v>
      </c>
      <c r="AI2779" s="77" t="b">
        <v>0</v>
      </c>
      <c r="AJ2779" s="77"/>
      <c r="AK2779" s="77"/>
      <c r="AL2779" s="77"/>
      <c r="AM2779" s="77"/>
      <c r="AN2779" s="77"/>
      <c r="AO2779" s="77"/>
      <c r="AP2779" s="77"/>
      <c r="AQ2779" s="77"/>
      <c r="AR2779" s="77"/>
      <c r="AS2779" s="77"/>
      <c r="AT2779" s="77"/>
      <c r="AU2779" s="77"/>
      <c r="AV2779" s="80" t="str">
        <f>HYPERLINK("https://pbs.twimg.com/profile_images/1588668531910082561/XEi-lXiu_normal.jpg")</f>
        <v>https://pbs.twimg.com/profile_images/1588668531910082561/XEi-lXiu_normal.jpg</v>
      </c>
      <c r="AW2779" s="82" t="s">
        <v>15863</v>
      </c>
      <c r="AX2779" s="82" t="s">
        <v>15863</v>
      </c>
      <c r="AY2779" s="77"/>
      <c r="AZ2779" s="82" t="s">
        <v>17385</v>
      </c>
      <c r="BA2779" s="82" t="s">
        <v>17385</v>
      </c>
      <c r="BB2779" s="82" t="s">
        <v>17385</v>
      </c>
      <c r="BC2779" s="82" t="s">
        <v>15863</v>
      </c>
      <c r="BD2779" s="82" t="s">
        <v>17667</v>
      </c>
      <c r="BE2779" s="77"/>
      <c r="BF2779" s="77"/>
      <c r="BG2779" s="77"/>
      <c r="BH2779" s="77"/>
      <c r="BI2779" s="77"/>
    </row>
    <row r="2780" spans="1:61" x14ac:dyDescent="0.25">
      <c r="A2780" s="62" t="s">
        <v>646</v>
      </c>
      <c r="B2780" s="62" t="s">
        <v>646</v>
      </c>
      <c r="C2780" s="63"/>
      <c r="D2780" s="64"/>
      <c r="E2780" s="65"/>
      <c r="F2780" s="66"/>
      <c r="G2780" s="63"/>
      <c r="H2780" s="67"/>
      <c r="I2780" s="68"/>
      <c r="J2780" s="68"/>
      <c r="K2780" s="32"/>
      <c r="L2780" s="75">
        <v>2780</v>
      </c>
      <c r="M2780" s="75"/>
      <c r="N2780" s="70"/>
      <c r="O2780" s="77" t="s">
        <v>179</v>
      </c>
      <c r="P2780" s="79">
        <v>45066.077037037037</v>
      </c>
      <c r="Q2780" s="77" t="s">
        <v>3557</v>
      </c>
      <c r="R2780" s="77">
        <v>0</v>
      </c>
      <c r="S2780" s="77">
        <v>1</v>
      </c>
      <c r="T2780" s="77">
        <v>0</v>
      </c>
      <c r="U2780" s="77">
        <v>0</v>
      </c>
      <c r="V2780" s="77">
        <v>64</v>
      </c>
      <c r="W2780" s="82" t="s">
        <v>6382</v>
      </c>
      <c r="X2780" s="80" t="str">
        <f>HYPERLINK("https://tinyurl.com/2zry6p23")</f>
        <v>https://tinyurl.com/2zry6p23</v>
      </c>
      <c r="Y2780" s="77" t="s">
        <v>7068</v>
      </c>
      <c r="Z2780" s="77"/>
      <c r="AA2780" s="77"/>
      <c r="AB2780" s="77"/>
      <c r="AC2780" s="82" t="s">
        <v>8275</v>
      </c>
      <c r="AD2780" s="77" t="s">
        <v>8278</v>
      </c>
      <c r="AE2780" s="80" t="str">
        <f>HYPERLINK("https://twitter.com/pauta_economica/status/1659738447442067457")</f>
        <v>https://twitter.com/pauta_economica/status/1659738447442067457</v>
      </c>
      <c r="AF2780" s="79">
        <v>45066.077037037037</v>
      </c>
      <c r="AG2780" s="85">
        <v>45066</v>
      </c>
      <c r="AH2780" s="82" t="s">
        <v>10817</v>
      </c>
      <c r="AI2780" s="77" t="b">
        <v>0</v>
      </c>
      <c r="AJ2780" s="77"/>
      <c r="AK2780" s="77"/>
      <c r="AL2780" s="77"/>
      <c r="AM2780" s="77"/>
      <c r="AN2780" s="77"/>
      <c r="AO2780" s="77"/>
      <c r="AP2780" s="77"/>
      <c r="AQ2780" s="77"/>
      <c r="AR2780" s="77"/>
      <c r="AS2780" s="77"/>
      <c r="AT2780" s="77"/>
      <c r="AU2780" s="77"/>
      <c r="AV2780" s="80" t="str">
        <f>HYPERLINK("https://pbs.twimg.com/profile_images/1588668531910082561/XEi-lXiu_normal.jpg")</f>
        <v>https://pbs.twimg.com/profile_images/1588668531910082561/XEi-lXiu_normal.jpg</v>
      </c>
      <c r="AW2780" s="82" t="s">
        <v>15864</v>
      </c>
      <c r="AX2780" s="82" t="s">
        <v>15864</v>
      </c>
      <c r="AY2780" s="77"/>
      <c r="AZ2780" s="82" t="s">
        <v>17385</v>
      </c>
      <c r="BA2780" s="82" t="s">
        <v>17385</v>
      </c>
      <c r="BB2780" s="82" t="s">
        <v>17385</v>
      </c>
      <c r="BC2780" s="82" t="s">
        <v>15864</v>
      </c>
      <c r="BD2780" s="82" t="s">
        <v>17667</v>
      </c>
      <c r="BE2780" s="77"/>
      <c r="BF2780" s="77"/>
      <c r="BG2780" s="77"/>
      <c r="BH2780" s="77"/>
      <c r="BI2780" s="77"/>
    </row>
    <row r="2781" spans="1:61" x14ac:dyDescent="0.25">
      <c r="A2781" s="62" t="s">
        <v>646</v>
      </c>
      <c r="B2781" s="62" t="s">
        <v>646</v>
      </c>
      <c r="C2781" s="63"/>
      <c r="D2781" s="64"/>
      <c r="E2781" s="65"/>
      <c r="F2781" s="66"/>
      <c r="G2781" s="63"/>
      <c r="H2781" s="67"/>
      <c r="I2781" s="68"/>
      <c r="J2781" s="68"/>
      <c r="K2781" s="32"/>
      <c r="L2781" s="75">
        <v>2781</v>
      </c>
      <c r="M2781" s="75"/>
      <c r="N2781" s="70"/>
      <c r="O2781" s="77" t="s">
        <v>179</v>
      </c>
      <c r="P2781" s="79">
        <v>45066.021412037036</v>
      </c>
      <c r="Q2781" s="77" t="s">
        <v>3558</v>
      </c>
      <c r="R2781" s="77">
        <v>0</v>
      </c>
      <c r="S2781" s="77">
        <v>0</v>
      </c>
      <c r="T2781" s="77">
        <v>0</v>
      </c>
      <c r="U2781" s="77">
        <v>0</v>
      </c>
      <c r="V2781" s="77">
        <v>34</v>
      </c>
      <c r="W2781" s="82" t="s">
        <v>6382</v>
      </c>
      <c r="X2781" s="80" t="str">
        <f>HYPERLINK("https://tinyurl.com/2gzheo4l")</f>
        <v>https://tinyurl.com/2gzheo4l</v>
      </c>
      <c r="Y2781" s="77" t="s">
        <v>7068</v>
      </c>
      <c r="Z2781" s="77"/>
      <c r="AA2781" s="77"/>
      <c r="AB2781" s="77"/>
      <c r="AC2781" s="82" t="s">
        <v>8275</v>
      </c>
      <c r="AD2781" s="77" t="s">
        <v>8278</v>
      </c>
      <c r="AE2781" s="80" t="str">
        <f>HYPERLINK("https://twitter.com/pauta_economica/status/1659718286848786439")</f>
        <v>https://twitter.com/pauta_economica/status/1659718286848786439</v>
      </c>
      <c r="AF2781" s="79">
        <v>45066.021412037036</v>
      </c>
      <c r="AG2781" s="85">
        <v>45066</v>
      </c>
      <c r="AH2781" s="82" t="s">
        <v>10818</v>
      </c>
      <c r="AI2781" s="77" t="b">
        <v>0</v>
      </c>
      <c r="AJ2781" s="77"/>
      <c r="AK2781" s="77"/>
      <c r="AL2781" s="77"/>
      <c r="AM2781" s="77"/>
      <c r="AN2781" s="77"/>
      <c r="AO2781" s="77"/>
      <c r="AP2781" s="77"/>
      <c r="AQ2781" s="77"/>
      <c r="AR2781" s="77"/>
      <c r="AS2781" s="77"/>
      <c r="AT2781" s="77"/>
      <c r="AU2781" s="77"/>
      <c r="AV2781" s="80" t="str">
        <f>HYPERLINK("https://pbs.twimg.com/profile_images/1588668531910082561/XEi-lXiu_normal.jpg")</f>
        <v>https://pbs.twimg.com/profile_images/1588668531910082561/XEi-lXiu_normal.jpg</v>
      </c>
      <c r="AW2781" s="82" t="s">
        <v>15865</v>
      </c>
      <c r="AX2781" s="82" t="s">
        <v>15865</v>
      </c>
      <c r="AY2781" s="77"/>
      <c r="AZ2781" s="82" t="s">
        <v>17385</v>
      </c>
      <c r="BA2781" s="82" t="s">
        <v>17385</v>
      </c>
      <c r="BB2781" s="82" t="s">
        <v>17385</v>
      </c>
      <c r="BC2781" s="82" t="s">
        <v>15865</v>
      </c>
      <c r="BD2781" s="82" t="s">
        <v>17667</v>
      </c>
      <c r="BE2781" s="77"/>
      <c r="BF2781" s="77"/>
      <c r="BG2781" s="77"/>
      <c r="BH2781" s="77"/>
      <c r="BI2781" s="77"/>
    </row>
    <row r="2782" spans="1:61" x14ac:dyDescent="0.25">
      <c r="A2782" s="62" t="s">
        <v>646</v>
      </c>
      <c r="B2782" s="62" t="s">
        <v>646</v>
      </c>
      <c r="C2782" s="63"/>
      <c r="D2782" s="64"/>
      <c r="E2782" s="65"/>
      <c r="F2782" s="66"/>
      <c r="G2782" s="63"/>
      <c r="H2782" s="67"/>
      <c r="I2782" s="68"/>
      <c r="J2782" s="68"/>
      <c r="K2782" s="32"/>
      <c r="L2782" s="75">
        <v>2782</v>
      </c>
      <c r="M2782" s="75"/>
      <c r="N2782" s="70"/>
      <c r="O2782" s="77" t="s">
        <v>179</v>
      </c>
      <c r="P2782" s="79">
        <v>45065.993564814817</v>
      </c>
      <c r="Q2782" s="77" t="s">
        <v>3559</v>
      </c>
      <c r="R2782" s="77">
        <v>0</v>
      </c>
      <c r="S2782" s="77">
        <v>1</v>
      </c>
      <c r="T2782" s="77">
        <v>0</v>
      </c>
      <c r="U2782" s="77">
        <v>0</v>
      </c>
      <c r="V2782" s="77">
        <v>85</v>
      </c>
      <c r="W2782" s="82" t="s">
        <v>6382</v>
      </c>
      <c r="X2782" s="80" t="str">
        <f>HYPERLINK("https://tinyurl.com/2zuuxohr")</f>
        <v>https://tinyurl.com/2zuuxohr</v>
      </c>
      <c r="Y2782" s="77" t="s">
        <v>7068</v>
      </c>
      <c r="Z2782" s="77"/>
      <c r="AA2782" s="77"/>
      <c r="AB2782" s="77"/>
      <c r="AC2782" s="82" t="s">
        <v>8275</v>
      </c>
      <c r="AD2782" s="77" t="s">
        <v>8278</v>
      </c>
      <c r="AE2782" s="80" t="str">
        <f>HYPERLINK("https://twitter.com/pauta_economica/status/1659708197525938176")</f>
        <v>https://twitter.com/pauta_economica/status/1659708197525938176</v>
      </c>
      <c r="AF2782" s="79">
        <v>45065.993564814817</v>
      </c>
      <c r="AG2782" s="85">
        <v>45065</v>
      </c>
      <c r="AH2782" s="82" t="s">
        <v>10819</v>
      </c>
      <c r="AI2782" s="77" t="b">
        <v>0</v>
      </c>
      <c r="AJ2782" s="77"/>
      <c r="AK2782" s="77"/>
      <c r="AL2782" s="77"/>
      <c r="AM2782" s="77"/>
      <c r="AN2782" s="77"/>
      <c r="AO2782" s="77"/>
      <c r="AP2782" s="77"/>
      <c r="AQ2782" s="77"/>
      <c r="AR2782" s="77"/>
      <c r="AS2782" s="77"/>
      <c r="AT2782" s="77"/>
      <c r="AU2782" s="77"/>
      <c r="AV2782" s="80" t="str">
        <f>HYPERLINK("https://pbs.twimg.com/profile_images/1588668531910082561/XEi-lXiu_normal.jpg")</f>
        <v>https://pbs.twimg.com/profile_images/1588668531910082561/XEi-lXiu_normal.jpg</v>
      </c>
      <c r="AW2782" s="82" t="s">
        <v>15866</v>
      </c>
      <c r="AX2782" s="82" t="s">
        <v>15866</v>
      </c>
      <c r="AY2782" s="77"/>
      <c r="AZ2782" s="82" t="s">
        <v>17385</v>
      </c>
      <c r="BA2782" s="82" t="s">
        <v>17385</v>
      </c>
      <c r="BB2782" s="82" t="s">
        <v>17385</v>
      </c>
      <c r="BC2782" s="82" t="s">
        <v>15866</v>
      </c>
      <c r="BD2782" s="82" t="s">
        <v>17667</v>
      </c>
      <c r="BE2782" s="77"/>
      <c r="BF2782" s="77"/>
      <c r="BG2782" s="77"/>
      <c r="BH2782" s="77"/>
      <c r="BI2782" s="77"/>
    </row>
    <row r="2783" spans="1:61" x14ac:dyDescent="0.25">
      <c r="A2783" s="62" t="s">
        <v>646</v>
      </c>
      <c r="B2783" s="62" t="s">
        <v>646</v>
      </c>
      <c r="C2783" s="63"/>
      <c r="D2783" s="64"/>
      <c r="E2783" s="65"/>
      <c r="F2783" s="66"/>
      <c r="G2783" s="63"/>
      <c r="H2783" s="67"/>
      <c r="I2783" s="68"/>
      <c r="J2783" s="68"/>
      <c r="K2783" s="32"/>
      <c r="L2783" s="75">
        <v>2783</v>
      </c>
      <c r="M2783" s="75"/>
      <c r="N2783" s="70"/>
      <c r="O2783" s="77" t="s">
        <v>179</v>
      </c>
      <c r="P2783" s="79">
        <v>45065.965787037036</v>
      </c>
      <c r="Q2783" s="77" t="s">
        <v>3560</v>
      </c>
      <c r="R2783" s="77">
        <v>0</v>
      </c>
      <c r="S2783" s="77">
        <v>0</v>
      </c>
      <c r="T2783" s="77">
        <v>0</v>
      </c>
      <c r="U2783" s="77">
        <v>0</v>
      </c>
      <c r="V2783" s="77">
        <v>57</v>
      </c>
      <c r="W2783" s="82" t="s">
        <v>6382</v>
      </c>
      <c r="X2783" s="80" t="str">
        <f>HYPERLINK("https://tinyurl.com/2fsv7u8r")</f>
        <v>https://tinyurl.com/2fsv7u8r</v>
      </c>
      <c r="Y2783" s="77" t="s">
        <v>7068</v>
      </c>
      <c r="Z2783" s="77"/>
      <c r="AA2783" s="77"/>
      <c r="AB2783" s="77"/>
      <c r="AC2783" s="82" t="s">
        <v>8275</v>
      </c>
      <c r="AD2783" s="77" t="s">
        <v>8279</v>
      </c>
      <c r="AE2783" s="80" t="str">
        <f>HYPERLINK("https://twitter.com/pauta_economica/status/1659698130743336960")</f>
        <v>https://twitter.com/pauta_economica/status/1659698130743336960</v>
      </c>
      <c r="AF2783" s="79">
        <v>45065.965787037036</v>
      </c>
      <c r="AG2783" s="85">
        <v>45065</v>
      </c>
      <c r="AH2783" s="82" t="s">
        <v>10820</v>
      </c>
      <c r="AI2783" s="77" t="b">
        <v>0</v>
      </c>
      <c r="AJ2783" s="77"/>
      <c r="AK2783" s="77"/>
      <c r="AL2783" s="77"/>
      <c r="AM2783" s="77"/>
      <c r="AN2783" s="77"/>
      <c r="AO2783" s="77"/>
      <c r="AP2783" s="77"/>
      <c r="AQ2783" s="77"/>
      <c r="AR2783" s="77"/>
      <c r="AS2783" s="77"/>
      <c r="AT2783" s="77"/>
      <c r="AU2783" s="77"/>
      <c r="AV2783" s="80" t="str">
        <f>HYPERLINK("https://pbs.twimg.com/profile_images/1588668531910082561/XEi-lXiu_normal.jpg")</f>
        <v>https://pbs.twimg.com/profile_images/1588668531910082561/XEi-lXiu_normal.jpg</v>
      </c>
      <c r="AW2783" s="82" t="s">
        <v>15867</v>
      </c>
      <c r="AX2783" s="82" t="s">
        <v>15867</v>
      </c>
      <c r="AY2783" s="77"/>
      <c r="AZ2783" s="82" t="s">
        <v>17385</v>
      </c>
      <c r="BA2783" s="82" t="s">
        <v>17385</v>
      </c>
      <c r="BB2783" s="82" t="s">
        <v>17385</v>
      </c>
      <c r="BC2783" s="82" t="s">
        <v>15867</v>
      </c>
      <c r="BD2783" s="82" t="s">
        <v>17667</v>
      </c>
      <c r="BE2783" s="77"/>
      <c r="BF2783" s="77"/>
      <c r="BG2783" s="77"/>
      <c r="BH2783" s="77"/>
      <c r="BI2783" s="77"/>
    </row>
    <row r="2784" spans="1:61" x14ac:dyDescent="0.25">
      <c r="A2784" s="62" t="s">
        <v>646</v>
      </c>
      <c r="B2784" s="62" t="s">
        <v>646</v>
      </c>
      <c r="C2784" s="63"/>
      <c r="D2784" s="64"/>
      <c r="E2784" s="65"/>
      <c r="F2784" s="66"/>
      <c r="G2784" s="63"/>
      <c r="H2784" s="67"/>
      <c r="I2784" s="68"/>
      <c r="J2784" s="68"/>
      <c r="K2784" s="32"/>
      <c r="L2784" s="75">
        <v>2784</v>
      </c>
      <c r="M2784" s="75"/>
      <c r="N2784" s="70"/>
      <c r="O2784" s="77" t="s">
        <v>179</v>
      </c>
      <c r="P2784" s="79">
        <v>45065.937372685185</v>
      </c>
      <c r="Q2784" s="77" t="s">
        <v>3561</v>
      </c>
      <c r="R2784" s="77">
        <v>0</v>
      </c>
      <c r="S2784" s="77">
        <v>0</v>
      </c>
      <c r="T2784" s="77">
        <v>0</v>
      </c>
      <c r="U2784" s="77">
        <v>0</v>
      </c>
      <c r="V2784" s="77">
        <v>54</v>
      </c>
      <c r="W2784" s="82" t="s">
        <v>6382</v>
      </c>
      <c r="X2784" s="80" t="str">
        <f>HYPERLINK("https://tinyurl.com/2fuwmlus")</f>
        <v>https://tinyurl.com/2fuwmlus</v>
      </c>
      <c r="Y2784" s="77" t="s">
        <v>7068</v>
      </c>
      <c r="Z2784" s="77"/>
      <c r="AA2784" s="77"/>
      <c r="AB2784" s="77"/>
      <c r="AC2784" s="82" t="s">
        <v>8275</v>
      </c>
      <c r="AD2784" s="77" t="s">
        <v>8278</v>
      </c>
      <c r="AE2784" s="80" t="str">
        <f>HYPERLINK("https://twitter.com/pauta_economica/status/1659687834113003520")</f>
        <v>https://twitter.com/pauta_economica/status/1659687834113003520</v>
      </c>
      <c r="AF2784" s="79">
        <v>45065.937372685185</v>
      </c>
      <c r="AG2784" s="85">
        <v>45065</v>
      </c>
      <c r="AH2784" s="82" t="s">
        <v>10821</v>
      </c>
      <c r="AI2784" s="77" t="b">
        <v>0</v>
      </c>
      <c r="AJ2784" s="77"/>
      <c r="AK2784" s="77"/>
      <c r="AL2784" s="77"/>
      <c r="AM2784" s="77"/>
      <c r="AN2784" s="77"/>
      <c r="AO2784" s="77"/>
      <c r="AP2784" s="77"/>
      <c r="AQ2784" s="77"/>
      <c r="AR2784" s="77"/>
      <c r="AS2784" s="77"/>
      <c r="AT2784" s="77"/>
      <c r="AU2784" s="77"/>
      <c r="AV2784" s="80" t="str">
        <f>HYPERLINK("https://pbs.twimg.com/profile_images/1588668531910082561/XEi-lXiu_normal.jpg")</f>
        <v>https://pbs.twimg.com/profile_images/1588668531910082561/XEi-lXiu_normal.jpg</v>
      </c>
      <c r="AW2784" s="82" t="s">
        <v>15868</v>
      </c>
      <c r="AX2784" s="82" t="s">
        <v>15868</v>
      </c>
      <c r="AY2784" s="77"/>
      <c r="AZ2784" s="82" t="s">
        <v>17385</v>
      </c>
      <c r="BA2784" s="82" t="s">
        <v>17385</v>
      </c>
      <c r="BB2784" s="82" t="s">
        <v>17385</v>
      </c>
      <c r="BC2784" s="82" t="s">
        <v>15868</v>
      </c>
      <c r="BD2784" s="82" t="s">
        <v>17667</v>
      </c>
      <c r="BE2784" s="77"/>
      <c r="BF2784" s="77"/>
      <c r="BG2784" s="77"/>
      <c r="BH2784" s="77"/>
      <c r="BI2784" s="77"/>
    </row>
    <row r="2785" spans="1:61" x14ac:dyDescent="0.25">
      <c r="A2785" s="62" t="s">
        <v>646</v>
      </c>
      <c r="B2785" s="62" t="s">
        <v>646</v>
      </c>
      <c r="C2785" s="63"/>
      <c r="D2785" s="64"/>
      <c r="E2785" s="65"/>
      <c r="F2785" s="66"/>
      <c r="G2785" s="63"/>
      <c r="H2785" s="67"/>
      <c r="I2785" s="68"/>
      <c r="J2785" s="68"/>
      <c r="K2785" s="32"/>
      <c r="L2785" s="75">
        <v>2785</v>
      </c>
      <c r="M2785" s="75"/>
      <c r="N2785" s="70"/>
      <c r="O2785" s="77" t="s">
        <v>179</v>
      </c>
      <c r="P2785" s="79">
        <v>45065.909571759257</v>
      </c>
      <c r="Q2785" s="77" t="s">
        <v>3562</v>
      </c>
      <c r="R2785" s="77">
        <v>0</v>
      </c>
      <c r="S2785" s="77">
        <v>1</v>
      </c>
      <c r="T2785" s="77">
        <v>0</v>
      </c>
      <c r="U2785" s="77">
        <v>0</v>
      </c>
      <c r="V2785" s="77">
        <v>50</v>
      </c>
      <c r="W2785" s="82" t="s">
        <v>6382</v>
      </c>
      <c r="X2785" s="80" t="str">
        <f>HYPERLINK("https://tinyurl.com/2nbq5mo3")</f>
        <v>https://tinyurl.com/2nbq5mo3</v>
      </c>
      <c r="Y2785" s="77" t="s">
        <v>7068</v>
      </c>
      <c r="Z2785" s="77"/>
      <c r="AA2785" s="77"/>
      <c r="AB2785" s="77"/>
      <c r="AC2785" s="82" t="s">
        <v>8275</v>
      </c>
      <c r="AD2785" s="77" t="s">
        <v>8278</v>
      </c>
      <c r="AE2785" s="80" t="str">
        <f>HYPERLINK("https://twitter.com/pauta_economica/status/1659677756836261889")</f>
        <v>https://twitter.com/pauta_economica/status/1659677756836261889</v>
      </c>
      <c r="AF2785" s="79">
        <v>45065.909571759257</v>
      </c>
      <c r="AG2785" s="85">
        <v>45065</v>
      </c>
      <c r="AH2785" s="82" t="s">
        <v>10822</v>
      </c>
      <c r="AI2785" s="77" t="b">
        <v>0</v>
      </c>
      <c r="AJ2785" s="77"/>
      <c r="AK2785" s="77"/>
      <c r="AL2785" s="77"/>
      <c r="AM2785" s="77"/>
      <c r="AN2785" s="77"/>
      <c r="AO2785" s="77"/>
      <c r="AP2785" s="77"/>
      <c r="AQ2785" s="77"/>
      <c r="AR2785" s="77"/>
      <c r="AS2785" s="77"/>
      <c r="AT2785" s="77"/>
      <c r="AU2785" s="77"/>
      <c r="AV2785" s="80" t="str">
        <f>HYPERLINK("https://pbs.twimg.com/profile_images/1588668531910082561/XEi-lXiu_normal.jpg")</f>
        <v>https://pbs.twimg.com/profile_images/1588668531910082561/XEi-lXiu_normal.jpg</v>
      </c>
      <c r="AW2785" s="82" t="s">
        <v>15869</v>
      </c>
      <c r="AX2785" s="82" t="s">
        <v>15869</v>
      </c>
      <c r="AY2785" s="77"/>
      <c r="AZ2785" s="82" t="s">
        <v>17385</v>
      </c>
      <c r="BA2785" s="82" t="s">
        <v>17385</v>
      </c>
      <c r="BB2785" s="82" t="s">
        <v>17385</v>
      </c>
      <c r="BC2785" s="82" t="s">
        <v>15869</v>
      </c>
      <c r="BD2785" s="82" t="s">
        <v>17667</v>
      </c>
      <c r="BE2785" s="77"/>
      <c r="BF2785" s="77"/>
      <c r="BG2785" s="77"/>
      <c r="BH2785" s="77"/>
      <c r="BI2785" s="77"/>
    </row>
    <row r="2786" spans="1:61" x14ac:dyDescent="0.25">
      <c r="A2786" s="62" t="s">
        <v>646</v>
      </c>
      <c r="B2786" s="62" t="s">
        <v>646</v>
      </c>
      <c r="C2786" s="63"/>
      <c r="D2786" s="64"/>
      <c r="E2786" s="65"/>
      <c r="F2786" s="66"/>
      <c r="G2786" s="63"/>
      <c r="H2786" s="67"/>
      <c r="I2786" s="68"/>
      <c r="J2786" s="68"/>
      <c r="K2786" s="32"/>
      <c r="L2786" s="75">
        <v>2786</v>
      </c>
      <c r="M2786" s="75"/>
      <c r="N2786" s="70"/>
      <c r="O2786" s="77" t="s">
        <v>179</v>
      </c>
      <c r="P2786" s="79">
        <v>45065.881793981483</v>
      </c>
      <c r="Q2786" s="77" t="s">
        <v>3563</v>
      </c>
      <c r="R2786" s="77">
        <v>0</v>
      </c>
      <c r="S2786" s="77">
        <v>0</v>
      </c>
      <c r="T2786" s="77">
        <v>0</v>
      </c>
      <c r="U2786" s="77">
        <v>0</v>
      </c>
      <c r="V2786" s="77">
        <v>62</v>
      </c>
      <c r="W2786" s="82" t="s">
        <v>6382</v>
      </c>
      <c r="X2786" s="80" t="str">
        <f>HYPERLINK("https://tinyurl.com/2ga6g4r3")</f>
        <v>https://tinyurl.com/2ga6g4r3</v>
      </c>
      <c r="Y2786" s="77" t="s">
        <v>7068</v>
      </c>
      <c r="Z2786" s="77"/>
      <c r="AA2786" s="77"/>
      <c r="AB2786" s="77"/>
      <c r="AC2786" s="82" t="s">
        <v>8275</v>
      </c>
      <c r="AD2786" s="77" t="s">
        <v>8278</v>
      </c>
      <c r="AE2786" s="80" t="str">
        <f>HYPERLINK("https://twitter.com/pauta_economica/status/1659667691907559427")</f>
        <v>https://twitter.com/pauta_economica/status/1659667691907559427</v>
      </c>
      <c r="AF2786" s="79">
        <v>45065.881793981483</v>
      </c>
      <c r="AG2786" s="85">
        <v>45065</v>
      </c>
      <c r="AH2786" s="82" t="s">
        <v>10823</v>
      </c>
      <c r="AI2786" s="77" t="b">
        <v>0</v>
      </c>
      <c r="AJ2786" s="77"/>
      <c r="AK2786" s="77"/>
      <c r="AL2786" s="77"/>
      <c r="AM2786" s="77"/>
      <c r="AN2786" s="77"/>
      <c r="AO2786" s="77"/>
      <c r="AP2786" s="77"/>
      <c r="AQ2786" s="77"/>
      <c r="AR2786" s="77"/>
      <c r="AS2786" s="77"/>
      <c r="AT2786" s="77"/>
      <c r="AU2786" s="77"/>
      <c r="AV2786" s="80" t="str">
        <f>HYPERLINK("https://pbs.twimg.com/profile_images/1588668531910082561/XEi-lXiu_normal.jpg")</f>
        <v>https://pbs.twimg.com/profile_images/1588668531910082561/XEi-lXiu_normal.jpg</v>
      </c>
      <c r="AW2786" s="82" t="s">
        <v>15870</v>
      </c>
      <c r="AX2786" s="82" t="s">
        <v>15870</v>
      </c>
      <c r="AY2786" s="77"/>
      <c r="AZ2786" s="82" t="s">
        <v>17385</v>
      </c>
      <c r="BA2786" s="82" t="s">
        <v>17385</v>
      </c>
      <c r="BB2786" s="82" t="s">
        <v>17385</v>
      </c>
      <c r="BC2786" s="82" t="s">
        <v>15870</v>
      </c>
      <c r="BD2786" s="82" t="s">
        <v>17667</v>
      </c>
      <c r="BE2786" s="77"/>
      <c r="BF2786" s="77"/>
      <c r="BG2786" s="77"/>
      <c r="BH2786" s="77"/>
      <c r="BI2786" s="77"/>
    </row>
    <row r="2787" spans="1:61" x14ac:dyDescent="0.25">
      <c r="A2787" s="62" t="s">
        <v>646</v>
      </c>
      <c r="B2787" s="62" t="s">
        <v>646</v>
      </c>
      <c r="C2787" s="63"/>
      <c r="D2787" s="64"/>
      <c r="E2787" s="65"/>
      <c r="F2787" s="66"/>
      <c r="G2787" s="63"/>
      <c r="H2787" s="67"/>
      <c r="I2787" s="68"/>
      <c r="J2787" s="68"/>
      <c r="K2787" s="32"/>
      <c r="L2787" s="75">
        <v>2787</v>
      </c>
      <c r="M2787" s="75"/>
      <c r="N2787" s="70"/>
      <c r="O2787" s="77" t="s">
        <v>179</v>
      </c>
      <c r="P2787" s="79">
        <v>45065.853819444441</v>
      </c>
      <c r="Q2787" s="77" t="s">
        <v>3564</v>
      </c>
      <c r="R2787" s="77">
        <v>0</v>
      </c>
      <c r="S2787" s="77">
        <v>0</v>
      </c>
      <c r="T2787" s="77">
        <v>0</v>
      </c>
      <c r="U2787" s="77">
        <v>0</v>
      </c>
      <c r="V2787" s="77">
        <v>75</v>
      </c>
      <c r="W2787" s="82" t="s">
        <v>6382</v>
      </c>
      <c r="X2787" s="80" t="str">
        <f>HYPERLINK("https://tinyurl.com/2qzjm96e")</f>
        <v>https://tinyurl.com/2qzjm96e</v>
      </c>
      <c r="Y2787" s="77" t="s">
        <v>7068</v>
      </c>
      <c r="Z2787" s="77"/>
      <c r="AA2787" s="77"/>
      <c r="AB2787" s="77"/>
      <c r="AC2787" s="82" t="s">
        <v>8275</v>
      </c>
      <c r="AD2787" s="77" t="s">
        <v>8278</v>
      </c>
      <c r="AE2787" s="80" t="str">
        <f>HYPERLINK("https://twitter.com/pauta_economica/status/1659657555805609984")</f>
        <v>https://twitter.com/pauta_economica/status/1659657555805609984</v>
      </c>
      <c r="AF2787" s="79">
        <v>45065.853819444441</v>
      </c>
      <c r="AG2787" s="85">
        <v>45065</v>
      </c>
      <c r="AH2787" s="82" t="s">
        <v>10824</v>
      </c>
      <c r="AI2787" s="77" t="b">
        <v>0</v>
      </c>
      <c r="AJ2787" s="77"/>
      <c r="AK2787" s="77"/>
      <c r="AL2787" s="77"/>
      <c r="AM2787" s="77"/>
      <c r="AN2787" s="77"/>
      <c r="AO2787" s="77"/>
      <c r="AP2787" s="77"/>
      <c r="AQ2787" s="77"/>
      <c r="AR2787" s="77"/>
      <c r="AS2787" s="77"/>
      <c r="AT2787" s="77"/>
      <c r="AU2787" s="77"/>
      <c r="AV2787" s="80" t="str">
        <f>HYPERLINK("https://pbs.twimg.com/profile_images/1588668531910082561/XEi-lXiu_normal.jpg")</f>
        <v>https://pbs.twimg.com/profile_images/1588668531910082561/XEi-lXiu_normal.jpg</v>
      </c>
      <c r="AW2787" s="82" t="s">
        <v>15871</v>
      </c>
      <c r="AX2787" s="82" t="s">
        <v>15871</v>
      </c>
      <c r="AY2787" s="77"/>
      <c r="AZ2787" s="82" t="s">
        <v>17385</v>
      </c>
      <c r="BA2787" s="82" t="s">
        <v>17385</v>
      </c>
      <c r="BB2787" s="82" t="s">
        <v>17385</v>
      </c>
      <c r="BC2787" s="82" t="s">
        <v>15871</v>
      </c>
      <c r="BD2787" s="82" t="s">
        <v>17667</v>
      </c>
      <c r="BE2787" s="77"/>
      <c r="BF2787" s="77"/>
      <c r="BG2787" s="77"/>
      <c r="BH2787" s="77"/>
      <c r="BI2787" s="77"/>
    </row>
    <row r="2788" spans="1:61" x14ac:dyDescent="0.25">
      <c r="A2788" s="62" t="s">
        <v>646</v>
      </c>
      <c r="B2788" s="62" t="s">
        <v>646</v>
      </c>
      <c r="C2788" s="63"/>
      <c r="D2788" s="64"/>
      <c r="E2788" s="65"/>
      <c r="F2788" s="66"/>
      <c r="G2788" s="63"/>
      <c r="H2788" s="67"/>
      <c r="I2788" s="68"/>
      <c r="J2788" s="68"/>
      <c r="K2788" s="32"/>
      <c r="L2788" s="75">
        <v>2788</v>
      </c>
      <c r="M2788" s="75"/>
      <c r="N2788" s="70"/>
      <c r="O2788" s="77" t="s">
        <v>179</v>
      </c>
      <c r="P2788" s="79">
        <v>45065.797662037039</v>
      </c>
      <c r="Q2788" s="77" t="s">
        <v>3565</v>
      </c>
      <c r="R2788" s="77">
        <v>0</v>
      </c>
      <c r="S2788" s="77">
        <v>0</v>
      </c>
      <c r="T2788" s="77">
        <v>0</v>
      </c>
      <c r="U2788" s="77">
        <v>0</v>
      </c>
      <c r="V2788" s="77">
        <v>35</v>
      </c>
      <c r="W2788" s="82" t="s">
        <v>6382</v>
      </c>
      <c r="X2788" s="80" t="str">
        <f>HYPERLINK("https://tinyurl.com/2phqxqkw")</f>
        <v>https://tinyurl.com/2phqxqkw</v>
      </c>
      <c r="Y2788" s="77" t="s">
        <v>7068</v>
      </c>
      <c r="Z2788" s="77"/>
      <c r="AA2788" s="77"/>
      <c r="AB2788" s="77"/>
      <c r="AC2788" s="82" t="s">
        <v>8275</v>
      </c>
      <c r="AD2788" s="77" t="s">
        <v>8278</v>
      </c>
      <c r="AE2788" s="80" t="str">
        <f>HYPERLINK("https://twitter.com/pauta_economica/status/1659637204262559744")</f>
        <v>https://twitter.com/pauta_economica/status/1659637204262559744</v>
      </c>
      <c r="AF2788" s="79">
        <v>45065.797662037039</v>
      </c>
      <c r="AG2788" s="85">
        <v>45065</v>
      </c>
      <c r="AH2788" s="82" t="s">
        <v>10825</v>
      </c>
      <c r="AI2788" s="77" t="b">
        <v>0</v>
      </c>
      <c r="AJ2788" s="77"/>
      <c r="AK2788" s="77"/>
      <c r="AL2788" s="77"/>
      <c r="AM2788" s="77"/>
      <c r="AN2788" s="77"/>
      <c r="AO2788" s="77"/>
      <c r="AP2788" s="77"/>
      <c r="AQ2788" s="77"/>
      <c r="AR2788" s="77"/>
      <c r="AS2788" s="77"/>
      <c r="AT2788" s="77"/>
      <c r="AU2788" s="77"/>
      <c r="AV2788" s="80" t="str">
        <f>HYPERLINK("https://pbs.twimg.com/profile_images/1588668531910082561/XEi-lXiu_normal.jpg")</f>
        <v>https://pbs.twimg.com/profile_images/1588668531910082561/XEi-lXiu_normal.jpg</v>
      </c>
      <c r="AW2788" s="82" t="s">
        <v>15872</v>
      </c>
      <c r="AX2788" s="82" t="s">
        <v>15872</v>
      </c>
      <c r="AY2788" s="77"/>
      <c r="AZ2788" s="82" t="s">
        <v>17385</v>
      </c>
      <c r="BA2788" s="82" t="s">
        <v>17385</v>
      </c>
      <c r="BB2788" s="82" t="s">
        <v>17385</v>
      </c>
      <c r="BC2788" s="82" t="s">
        <v>15872</v>
      </c>
      <c r="BD2788" s="82" t="s">
        <v>17667</v>
      </c>
      <c r="BE2788" s="77"/>
      <c r="BF2788" s="77"/>
      <c r="BG2788" s="77"/>
      <c r="BH2788" s="77"/>
      <c r="BI2788" s="77"/>
    </row>
    <row r="2789" spans="1:61" x14ac:dyDescent="0.25">
      <c r="A2789" s="62" t="s">
        <v>646</v>
      </c>
      <c r="B2789" s="62" t="s">
        <v>646</v>
      </c>
      <c r="C2789" s="63"/>
      <c r="D2789" s="64"/>
      <c r="E2789" s="65"/>
      <c r="F2789" s="66"/>
      <c r="G2789" s="63"/>
      <c r="H2789" s="67"/>
      <c r="I2789" s="68"/>
      <c r="J2789" s="68"/>
      <c r="K2789" s="32"/>
      <c r="L2789" s="75">
        <v>2789</v>
      </c>
      <c r="M2789" s="75"/>
      <c r="N2789" s="70"/>
      <c r="O2789" s="77" t="s">
        <v>179</v>
      </c>
      <c r="P2789" s="79">
        <v>45065.770162037035</v>
      </c>
      <c r="Q2789" s="77" t="s">
        <v>3566</v>
      </c>
      <c r="R2789" s="77">
        <v>0</v>
      </c>
      <c r="S2789" s="77">
        <v>0</v>
      </c>
      <c r="T2789" s="77">
        <v>0</v>
      </c>
      <c r="U2789" s="77">
        <v>0</v>
      </c>
      <c r="V2789" s="77">
        <v>60</v>
      </c>
      <c r="W2789" s="82" t="s">
        <v>6382</v>
      </c>
      <c r="X2789" s="80" t="str">
        <f>HYPERLINK("https://tinyurl.com/2zqyackr")</f>
        <v>https://tinyurl.com/2zqyackr</v>
      </c>
      <c r="Y2789" s="77" t="s">
        <v>7068</v>
      </c>
      <c r="Z2789" s="77"/>
      <c r="AA2789" s="77"/>
      <c r="AB2789" s="77"/>
      <c r="AC2789" s="82" t="s">
        <v>8275</v>
      </c>
      <c r="AD2789" s="77" t="s">
        <v>8278</v>
      </c>
      <c r="AE2789" s="80" t="str">
        <f>HYPERLINK("https://twitter.com/pauta_economica/status/1659627237266673664")</f>
        <v>https://twitter.com/pauta_economica/status/1659627237266673664</v>
      </c>
      <c r="AF2789" s="79">
        <v>45065.770162037035</v>
      </c>
      <c r="AG2789" s="85">
        <v>45065</v>
      </c>
      <c r="AH2789" s="82" t="s">
        <v>10826</v>
      </c>
      <c r="AI2789" s="77" t="b">
        <v>0</v>
      </c>
      <c r="AJ2789" s="77"/>
      <c r="AK2789" s="77"/>
      <c r="AL2789" s="77"/>
      <c r="AM2789" s="77"/>
      <c r="AN2789" s="77"/>
      <c r="AO2789" s="77"/>
      <c r="AP2789" s="77"/>
      <c r="AQ2789" s="77"/>
      <c r="AR2789" s="77"/>
      <c r="AS2789" s="77"/>
      <c r="AT2789" s="77"/>
      <c r="AU2789" s="77"/>
      <c r="AV2789" s="80" t="str">
        <f>HYPERLINK("https://pbs.twimg.com/profile_images/1588668531910082561/XEi-lXiu_normal.jpg")</f>
        <v>https://pbs.twimg.com/profile_images/1588668531910082561/XEi-lXiu_normal.jpg</v>
      </c>
      <c r="AW2789" s="82" t="s">
        <v>15873</v>
      </c>
      <c r="AX2789" s="82" t="s">
        <v>15873</v>
      </c>
      <c r="AY2789" s="77"/>
      <c r="AZ2789" s="82" t="s">
        <v>17385</v>
      </c>
      <c r="BA2789" s="82" t="s">
        <v>17385</v>
      </c>
      <c r="BB2789" s="82" t="s">
        <v>17385</v>
      </c>
      <c r="BC2789" s="82" t="s">
        <v>15873</v>
      </c>
      <c r="BD2789" s="82" t="s">
        <v>17667</v>
      </c>
      <c r="BE2789" s="77"/>
      <c r="BF2789" s="77"/>
      <c r="BG2789" s="77"/>
      <c r="BH2789" s="77"/>
      <c r="BI2789" s="77"/>
    </row>
    <row r="2790" spans="1:61" x14ac:dyDescent="0.25">
      <c r="A2790" s="62" t="s">
        <v>646</v>
      </c>
      <c r="B2790" s="62" t="s">
        <v>646</v>
      </c>
      <c r="C2790" s="63"/>
      <c r="D2790" s="64"/>
      <c r="E2790" s="65"/>
      <c r="F2790" s="66"/>
      <c r="G2790" s="63"/>
      <c r="H2790" s="67"/>
      <c r="I2790" s="68"/>
      <c r="J2790" s="68"/>
      <c r="K2790" s="32"/>
      <c r="L2790" s="75">
        <v>2790</v>
      </c>
      <c r="M2790" s="75"/>
      <c r="N2790" s="70"/>
      <c r="O2790" s="77" t="s">
        <v>179</v>
      </c>
      <c r="P2790" s="79">
        <v>45065.686365740738</v>
      </c>
      <c r="Q2790" s="77" t="s">
        <v>3567</v>
      </c>
      <c r="R2790" s="77">
        <v>0</v>
      </c>
      <c r="S2790" s="77">
        <v>0</v>
      </c>
      <c r="T2790" s="77">
        <v>0</v>
      </c>
      <c r="U2790" s="77">
        <v>0</v>
      </c>
      <c r="V2790" s="77">
        <v>50</v>
      </c>
      <c r="W2790" s="82" t="s">
        <v>6382</v>
      </c>
      <c r="X2790" s="80" t="str">
        <f>HYPERLINK("https://tinyurl.com/2gry6s7t")</f>
        <v>https://tinyurl.com/2gry6s7t</v>
      </c>
      <c r="Y2790" s="77" t="s">
        <v>7068</v>
      </c>
      <c r="Z2790" s="77"/>
      <c r="AA2790" s="77"/>
      <c r="AB2790" s="77"/>
      <c r="AC2790" s="82" t="s">
        <v>8275</v>
      </c>
      <c r="AD2790" s="77" t="s">
        <v>8278</v>
      </c>
      <c r="AE2790" s="80" t="str">
        <f>HYPERLINK("https://twitter.com/pauta_economica/status/1659596869574467587")</f>
        <v>https://twitter.com/pauta_economica/status/1659596869574467587</v>
      </c>
      <c r="AF2790" s="79">
        <v>45065.686365740738</v>
      </c>
      <c r="AG2790" s="85">
        <v>45065</v>
      </c>
      <c r="AH2790" s="82" t="s">
        <v>10827</v>
      </c>
      <c r="AI2790" s="77" t="b">
        <v>0</v>
      </c>
      <c r="AJ2790" s="77"/>
      <c r="AK2790" s="77"/>
      <c r="AL2790" s="77"/>
      <c r="AM2790" s="77"/>
      <c r="AN2790" s="77"/>
      <c r="AO2790" s="77"/>
      <c r="AP2790" s="77"/>
      <c r="AQ2790" s="77"/>
      <c r="AR2790" s="77"/>
      <c r="AS2790" s="77"/>
      <c r="AT2790" s="77"/>
      <c r="AU2790" s="77"/>
      <c r="AV2790" s="80" t="str">
        <f>HYPERLINK("https://pbs.twimg.com/profile_images/1588668531910082561/XEi-lXiu_normal.jpg")</f>
        <v>https://pbs.twimg.com/profile_images/1588668531910082561/XEi-lXiu_normal.jpg</v>
      </c>
      <c r="AW2790" s="82" t="s">
        <v>15874</v>
      </c>
      <c r="AX2790" s="82" t="s">
        <v>15874</v>
      </c>
      <c r="AY2790" s="77"/>
      <c r="AZ2790" s="82" t="s">
        <v>17385</v>
      </c>
      <c r="BA2790" s="82" t="s">
        <v>17385</v>
      </c>
      <c r="BB2790" s="82" t="s">
        <v>17385</v>
      </c>
      <c r="BC2790" s="82" t="s">
        <v>15874</v>
      </c>
      <c r="BD2790" s="82" t="s">
        <v>17667</v>
      </c>
      <c r="BE2790" s="77"/>
      <c r="BF2790" s="77"/>
      <c r="BG2790" s="77"/>
      <c r="BH2790" s="77"/>
      <c r="BI2790" s="77"/>
    </row>
    <row r="2791" spans="1:61" x14ac:dyDescent="0.25">
      <c r="A2791" s="62" t="s">
        <v>646</v>
      </c>
      <c r="B2791" s="62" t="s">
        <v>646</v>
      </c>
      <c r="C2791" s="63"/>
      <c r="D2791" s="64"/>
      <c r="E2791" s="65"/>
      <c r="F2791" s="66"/>
      <c r="G2791" s="63"/>
      <c r="H2791" s="67"/>
      <c r="I2791" s="68"/>
      <c r="J2791" s="68"/>
      <c r="K2791" s="32"/>
      <c r="L2791" s="75">
        <v>2791</v>
      </c>
      <c r="M2791" s="75"/>
      <c r="N2791" s="70"/>
      <c r="O2791" s="77" t="s">
        <v>179</v>
      </c>
      <c r="P2791" s="79">
        <v>45065.609918981485</v>
      </c>
      <c r="Q2791" s="77" t="s">
        <v>3568</v>
      </c>
      <c r="R2791" s="77">
        <v>0</v>
      </c>
      <c r="S2791" s="77">
        <v>0</v>
      </c>
      <c r="T2791" s="77">
        <v>0</v>
      </c>
      <c r="U2791" s="77">
        <v>0</v>
      </c>
      <c r="V2791" s="77">
        <v>45</v>
      </c>
      <c r="W2791" s="82" t="s">
        <v>6382</v>
      </c>
      <c r="X2791" s="80" t="str">
        <f>HYPERLINK("https://tinyurl.com/2lajbjp9")</f>
        <v>https://tinyurl.com/2lajbjp9</v>
      </c>
      <c r="Y2791" s="77" t="s">
        <v>7068</v>
      </c>
      <c r="Z2791" s="77"/>
      <c r="AA2791" s="77"/>
      <c r="AB2791" s="77"/>
      <c r="AC2791" s="82" t="s">
        <v>8275</v>
      </c>
      <c r="AD2791" s="77" t="s">
        <v>8278</v>
      </c>
      <c r="AE2791" s="80" t="str">
        <f>HYPERLINK("https://twitter.com/pauta_economica/status/1659569169082228736")</f>
        <v>https://twitter.com/pauta_economica/status/1659569169082228736</v>
      </c>
      <c r="AF2791" s="79">
        <v>45065.609918981485</v>
      </c>
      <c r="AG2791" s="85">
        <v>45065</v>
      </c>
      <c r="AH2791" s="82" t="s">
        <v>10828</v>
      </c>
      <c r="AI2791" s="77" t="b">
        <v>0</v>
      </c>
      <c r="AJ2791" s="77"/>
      <c r="AK2791" s="77"/>
      <c r="AL2791" s="77"/>
      <c r="AM2791" s="77"/>
      <c r="AN2791" s="77"/>
      <c r="AO2791" s="77"/>
      <c r="AP2791" s="77"/>
      <c r="AQ2791" s="77"/>
      <c r="AR2791" s="77"/>
      <c r="AS2791" s="77"/>
      <c r="AT2791" s="77"/>
      <c r="AU2791" s="77"/>
      <c r="AV2791" s="80" t="str">
        <f>HYPERLINK("https://pbs.twimg.com/profile_images/1588668531910082561/XEi-lXiu_normal.jpg")</f>
        <v>https://pbs.twimg.com/profile_images/1588668531910082561/XEi-lXiu_normal.jpg</v>
      </c>
      <c r="AW2791" s="82" t="s">
        <v>15875</v>
      </c>
      <c r="AX2791" s="82" t="s">
        <v>15875</v>
      </c>
      <c r="AY2791" s="77"/>
      <c r="AZ2791" s="82" t="s">
        <v>17385</v>
      </c>
      <c r="BA2791" s="82" t="s">
        <v>17385</v>
      </c>
      <c r="BB2791" s="82" t="s">
        <v>17385</v>
      </c>
      <c r="BC2791" s="82" t="s">
        <v>15875</v>
      </c>
      <c r="BD2791" s="82" t="s">
        <v>17667</v>
      </c>
      <c r="BE2791" s="77"/>
      <c r="BF2791" s="77"/>
      <c r="BG2791" s="77"/>
      <c r="BH2791" s="77"/>
      <c r="BI2791" s="77"/>
    </row>
    <row r="2792" spans="1:61" x14ac:dyDescent="0.25">
      <c r="A2792" s="62" t="s">
        <v>646</v>
      </c>
      <c r="B2792" s="62" t="s">
        <v>646</v>
      </c>
      <c r="C2792" s="63"/>
      <c r="D2792" s="64"/>
      <c r="E2792" s="65"/>
      <c r="F2792" s="66"/>
      <c r="G2792" s="63"/>
      <c r="H2792" s="67"/>
      <c r="I2792" s="68"/>
      <c r="J2792" s="68"/>
      <c r="K2792" s="32"/>
      <c r="L2792" s="75">
        <v>2792</v>
      </c>
      <c r="M2792" s="75"/>
      <c r="N2792" s="70"/>
      <c r="O2792" s="77" t="s">
        <v>179</v>
      </c>
      <c r="P2792" s="79">
        <v>45065.603194444448</v>
      </c>
      <c r="Q2792" s="77" t="s">
        <v>3569</v>
      </c>
      <c r="R2792" s="77">
        <v>0</v>
      </c>
      <c r="S2792" s="77">
        <v>0</v>
      </c>
      <c r="T2792" s="77">
        <v>0</v>
      </c>
      <c r="U2792" s="77">
        <v>0</v>
      </c>
      <c r="V2792" s="77">
        <v>32</v>
      </c>
      <c r="W2792" s="82" t="s">
        <v>6382</v>
      </c>
      <c r="X2792" s="80" t="str">
        <f>HYPERLINK("https://tinyurl.com/2ew8cf6r")</f>
        <v>https://tinyurl.com/2ew8cf6r</v>
      </c>
      <c r="Y2792" s="77" t="s">
        <v>7068</v>
      </c>
      <c r="Z2792" s="77"/>
      <c r="AA2792" s="77"/>
      <c r="AB2792" s="77"/>
      <c r="AC2792" s="82" t="s">
        <v>8275</v>
      </c>
      <c r="AD2792" s="77" t="s">
        <v>8278</v>
      </c>
      <c r="AE2792" s="80" t="str">
        <f>HYPERLINK("https://twitter.com/pauta_economica/status/1659566732481028096")</f>
        <v>https://twitter.com/pauta_economica/status/1659566732481028096</v>
      </c>
      <c r="AF2792" s="79">
        <v>45065.603194444448</v>
      </c>
      <c r="AG2792" s="85">
        <v>45065</v>
      </c>
      <c r="AH2792" s="82" t="s">
        <v>10829</v>
      </c>
      <c r="AI2792" s="77" t="b">
        <v>0</v>
      </c>
      <c r="AJ2792" s="77"/>
      <c r="AK2792" s="77"/>
      <c r="AL2792" s="77"/>
      <c r="AM2792" s="77"/>
      <c r="AN2792" s="77"/>
      <c r="AO2792" s="77"/>
      <c r="AP2792" s="77"/>
      <c r="AQ2792" s="77"/>
      <c r="AR2792" s="77"/>
      <c r="AS2792" s="77"/>
      <c r="AT2792" s="77"/>
      <c r="AU2792" s="77"/>
      <c r="AV2792" s="80" t="str">
        <f>HYPERLINK("https://pbs.twimg.com/profile_images/1588668531910082561/XEi-lXiu_normal.jpg")</f>
        <v>https://pbs.twimg.com/profile_images/1588668531910082561/XEi-lXiu_normal.jpg</v>
      </c>
      <c r="AW2792" s="82" t="s">
        <v>15876</v>
      </c>
      <c r="AX2792" s="82" t="s">
        <v>15876</v>
      </c>
      <c r="AY2792" s="77"/>
      <c r="AZ2792" s="82" t="s">
        <v>17385</v>
      </c>
      <c r="BA2792" s="82" t="s">
        <v>17385</v>
      </c>
      <c r="BB2792" s="82" t="s">
        <v>17385</v>
      </c>
      <c r="BC2792" s="82" t="s">
        <v>15876</v>
      </c>
      <c r="BD2792" s="82" t="s">
        <v>17667</v>
      </c>
      <c r="BE2792" s="77"/>
      <c r="BF2792" s="77"/>
      <c r="BG2792" s="77"/>
      <c r="BH2792" s="77"/>
      <c r="BI2792" s="77"/>
    </row>
    <row r="2793" spans="1:61" x14ac:dyDescent="0.25">
      <c r="A2793" s="62" t="s">
        <v>646</v>
      </c>
      <c r="B2793" s="62" t="s">
        <v>646</v>
      </c>
      <c r="C2793" s="63"/>
      <c r="D2793" s="64"/>
      <c r="E2793" s="65"/>
      <c r="F2793" s="66"/>
      <c r="G2793" s="63"/>
      <c r="H2793" s="67"/>
      <c r="I2793" s="68"/>
      <c r="J2793" s="68"/>
      <c r="K2793" s="32"/>
      <c r="L2793" s="75">
        <v>2793</v>
      </c>
      <c r="M2793" s="75"/>
      <c r="N2793" s="70"/>
      <c r="O2793" s="77" t="s">
        <v>179</v>
      </c>
      <c r="P2793" s="79">
        <v>45065.59542824074</v>
      </c>
      <c r="Q2793" s="77" t="s">
        <v>3570</v>
      </c>
      <c r="R2793" s="77">
        <v>0</v>
      </c>
      <c r="S2793" s="77">
        <v>0</v>
      </c>
      <c r="T2793" s="77">
        <v>0</v>
      </c>
      <c r="U2793" s="77">
        <v>0</v>
      </c>
      <c r="V2793" s="77">
        <v>30</v>
      </c>
      <c r="W2793" s="82" t="s">
        <v>6382</v>
      </c>
      <c r="X2793" s="80" t="str">
        <f>HYPERLINK("https://tinyurl.com/2ohobgmx")</f>
        <v>https://tinyurl.com/2ohobgmx</v>
      </c>
      <c r="Y2793" s="77" t="s">
        <v>7068</v>
      </c>
      <c r="Z2793" s="77"/>
      <c r="AA2793" s="77"/>
      <c r="AB2793" s="77"/>
      <c r="AC2793" s="82" t="s">
        <v>8275</v>
      </c>
      <c r="AD2793" s="77" t="s">
        <v>8278</v>
      </c>
      <c r="AE2793" s="80" t="str">
        <f>HYPERLINK("https://twitter.com/pauta_economica/status/1659563916756647938")</f>
        <v>https://twitter.com/pauta_economica/status/1659563916756647938</v>
      </c>
      <c r="AF2793" s="79">
        <v>45065.59542824074</v>
      </c>
      <c r="AG2793" s="85">
        <v>45065</v>
      </c>
      <c r="AH2793" s="82" t="s">
        <v>10830</v>
      </c>
      <c r="AI2793" s="77" t="b">
        <v>0</v>
      </c>
      <c r="AJ2793" s="77"/>
      <c r="AK2793" s="77"/>
      <c r="AL2793" s="77"/>
      <c r="AM2793" s="77"/>
      <c r="AN2793" s="77"/>
      <c r="AO2793" s="77"/>
      <c r="AP2793" s="77"/>
      <c r="AQ2793" s="77"/>
      <c r="AR2793" s="77"/>
      <c r="AS2793" s="77"/>
      <c r="AT2793" s="77"/>
      <c r="AU2793" s="77"/>
      <c r="AV2793" s="80" t="str">
        <f>HYPERLINK("https://pbs.twimg.com/profile_images/1588668531910082561/XEi-lXiu_normal.jpg")</f>
        <v>https://pbs.twimg.com/profile_images/1588668531910082561/XEi-lXiu_normal.jpg</v>
      </c>
      <c r="AW2793" s="82" t="s">
        <v>15877</v>
      </c>
      <c r="AX2793" s="82" t="s">
        <v>15877</v>
      </c>
      <c r="AY2793" s="77"/>
      <c r="AZ2793" s="82" t="s">
        <v>17385</v>
      </c>
      <c r="BA2793" s="82" t="s">
        <v>17385</v>
      </c>
      <c r="BB2793" s="82" t="s">
        <v>17385</v>
      </c>
      <c r="BC2793" s="82" t="s">
        <v>15877</v>
      </c>
      <c r="BD2793" s="82" t="s">
        <v>17667</v>
      </c>
      <c r="BE2793" s="77"/>
      <c r="BF2793" s="77"/>
      <c r="BG2793" s="77"/>
      <c r="BH2793" s="77"/>
      <c r="BI2793" s="77"/>
    </row>
    <row r="2794" spans="1:61" x14ac:dyDescent="0.25">
      <c r="A2794" s="62" t="s">
        <v>646</v>
      </c>
      <c r="B2794" s="62" t="s">
        <v>646</v>
      </c>
      <c r="C2794" s="63"/>
      <c r="D2794" s="64"/>
      <c r="E2794" s="65"/>
      <c r="F2794" s="66"/>
      <c r="G2794" s="63"/>
      <c r="H2794" s="67"/>
      <c r="I2794" s="68"/>
      <c r="J2794" s="68"/>
      <c r="K2794" s="32"/>
      <c r="L2794" s="75">
        <v>2794</v>
      </c>
      <c r="M2794" s="75"/>
      <c r="N2794" s="70"/>
      <c r="O2794" s="77" t="s">
        <v>179</v>
      </c>
      <c r="P2794" s="79">
        <v>45065.588472222225</v>
      </c>
      <c r="Q2794" s="77" t="s">
        <v>3571</v>
      </c>
      <c r="R2794" s="77">
        <v>0</v>
      </c>
      <c r="S2794" s="77">
        <v>0</v>
      </c>
      <c r="T2794" s="77">
        <v>0</v>
      </c>
      <c r="U2794" s="77">
        <v>0</v>
      </c>
      <c r="V2794" s="77">
        <v>25</v>
      </c>
      <c r="W2794" s="82" t="s">
        <v>6382</v>
      </c>
      <c r="X2794" s="80" t="str">
        <f>HYPERLINK("https://tinyurl.com/2epca4ls")</f>
        <v>https://tinyurl.com/2epca4ls</v>
      </c>
      <c r="Y2794" s="77" t="s">
        <v>7068</v>
      </c>
      <c r="Z2794" s="77"/>
      <c r="AA2794" s="77"/>
      <c r="AB2794" s="77"/>
      <c r="AC2794" s="82" t="s">
        <v>8275</v>
      </c>
      <c r="AD2794" s="77" t="s">
        <v>8278</v>
      </c>
      <c r="AE2794" s="80" t="str">
        <f>HYPERLINK("https://twitter.com/pauta_economica/status/1659561396655337477")</f>
        <v>https://twitter.com/pauta_economica/status/1659561396655337477</v>
      </c>
      <c r="AF2794" s="79">
        <v>45065.588472222225</v>
      </c>
      <c r="AG2794" s="85">
        <v>45065</v>
      </c>
      <c r="AH2794" s="82" t="s">
        <v>10831</v>
      </c>
      <c r="AI2794" s="77" t="b">
        <v>0</v>
      </c>
      <c r="AJ2794" s="77"/>
      <c r="AK2794" s="77"/>
      <c r="AL2794" s="77"/>
      <c r="AM2794" s="77"/>
      <c r="AN2794" s="77"/>
      <c r="AO2794" s="77"/>
      <c r="AP2794" s="77"/>
      <c r="AQ2794" s="77"/>
      <c r="AR2794" s="77"/>
      <c r="AS2794" s="77"/>
      <c r="AT2794" s="77"/>
      <c r="AU2794" s="77"/>
      <c r="AV2794" s="80" t="str">
        <f>HYPERLINK("https://pbs.twimg.com/profile_images/1588668531910082561/XEi-lXiu_normal.jpg")</f>
        <v>https://pbs.twimg.com/profile_images/1588668531910082561/XEi-lXiu_normal.jpg</v>
      </c>
      <c r="AW2794" s="82" t="s">
        <v>15878</v>
      </c>
      <c r="AX2794" s="82" t="s">
        <v>15878</v>
      </c>
      <c r="AY2794" s="77"/>
      <c r="AZ2794" s="82" t="s">
        <v>17385</v>
      </c>
      <c r="BA2794" s="82" t="s">
        <v>17385</v>
      </c>
      <c r="BB2794" s="82" t="s">
        <v>17385</v>
      </c>
      <c r="BC2794" s="82" t="s">
        <v>15878</v>
      </c>
      <c r="BD2794" s="82" t="s">
        <v>17667</v>
      </c>
      <c r="BE2794" s="77"/>
      <c r="BF2794" s="77"/>
      <c r="BG2794" s="77"/>
      <c r="BH2794" s="77"/>
      <c r="BI2794" s="77"/>
    </row>
    <row r="2795" spans="1:61" x14ac:dyDescent="0.25">
      <c r="A2795" s="62" t="s">
        <v>646</v>
      </c>
      <c r="B2795" s="62" t="s">
        <v>646</v>
      </c>
      <c r="C2795" s="63"/>
      <c r="D2795" s="64"/>
      <c r="E2795" s="65"/>
      <c r="F2795" s="66"/>
      <c r="G2795" s="63"/>
      <c r="H2795" s="67"/>
      <c r="I2795" s="68"/>
      <c r="J2795" s="68"/>
      <c r="K2795" s="32"/>
      <c r="L2795" s="75">
        <v>2795</v>
      </c>
      <c r="M2795" s="75"/>
      <c r="N2795" s="70"/>
      <c r="O2795" s="77" t="s">
        <v>179</v>
      </c>
      <c r="P2795" s="79">
        <v>45065.56009259259</v>
      </c>
      <c r="Q2795" s="77" t="s">
        <v>3572</v>
      </c>
      <c r="R2795" s="77">
        <v>0</v>
      </c>
      <c r="S2795" s="77">
        <v>0</v>
      </c>
      <c r="T2795" s="77">
        <v>0</v>
      </c>
      <c r="U2795" s="77">
        <v>0</v>
      </c>
      <c r="V2795" s="77">
        <v>103</v>
      </c>
      <c r="W2795" s="82" t="s">
        <v>6382</v>
      </c>
      <c r="X2795" s="80" t="str">
        <f>HYPERLINK("https://tinyurl.com/2m3tcqsq")</f>
        <v>https://tinyurl.com/2m3tcqsq</v>
      </c>
      <c r="Y2795" s="77" t="s">
        <v>7068</v>
      </c>
      <c r="Z2795" s="77"/>
      <c r="AA2795" s="77"/>
      <c r="AB2795" s="77"/>
      <c r="AC2795" s="82" t="s">
        <v>8275</v>
      </c>
      <c r="AD2795" s="77" t="s">
        <v>8278</v>
      </c>
      <c r="AE2795" s="80" t="str">
        <f>HYPERLINK("https://twitter.com/pauta_economica/status/1659551109877313538")</f>
        <v>https://twitter.com/pauta_economica/status/1659551109877313538</v>
      </c>
      <c r="AF2795" s="79">
        <v>45065.56009259259</v>
      </c>
      <c r="AG2795" s="85">
        <v>45065</v>
      </c>
      <c r="AH2795" s="82" t="s">
        <v>10832</v>
      </c>
      <c r="AI2795" s="77" t="b">
        <v>0</v>
      </c>
      <c r="AJ2795" s="77"/>
      <c r="AK2795" s="77"/>
      <c r="AL2795" s="77"/>
      <c r="AM2795" s="77"/>
      <c r="AN2795" s="77"/>
      <c r="AO2795" s="77"/>
      <c r="AP2795" s="77"/>
      <c r="AQ2795" s="77"/>
      <c r="AR2795" s="77"/>
      <c r="AS2795" s="77"/>
      <c r="AT2795" s="77"/>
      <c r="AU2795" s="77"/>
      <c r="AV2795" s="80" t="str">
        <f>HYPERLINK("https://pbs.twimg.com/profile_images/1588668531910082561/XEi-lXiu_normal.jpg")</f>
        <v>https://pbs.twimg.com/profile_images/1588668531910082561/XEi-lXiu_normal.jpg</v>
      </c>
      <c r="AW2795" s="82" t="s">
        <v>15879</v>
      </c>
      <c r="AX2795" s="82" t="s">
        <v>15879</v>
      </c>
      <c r="AY2795" s="77"/>
      <c r="AZ2795" s="82" t="s">
        <v>17385</v>
      </c>
      <c r="BA2795" s="82" t="s">
        <v>17385</v>
      </c>
      <c r="BB2795" s="82" t="s">
        <v>17385</v>
      </c>
      <c r="BC2795" s="82" t="s">
        <v>15879</v>
      </c>
      <c r="BD2795" s="82" t="s">
        <v>17667</v>
      </c>
      <c r="BE2795" s="77"/>
      <c r="BF2795" s="77"/>
      <c r="BG2795" s="77"/>
      <c r="BH2795" s="77"/>
      <c r="BI2795" s="77"/>
    </row>
    <row r="2796" spans="1:61" x14ac:dyDescent="0.25">
      <c r="A2796" s="62" t="s">
        <v>646</v>
      </c>
      <c r="B2796" s="62" t="s">
        <v>646</v>
      </c>
      <c r="C2796" s="63"/>
      <c r="D2796" s="64"/>
      <c r="E2796" s="65"/>
      <c r="F2796" s="66"/>
      <c r="G2796" s="63"/>
      <c r="H2796" s="67"/>
      <c r="I2796" s="68"/>
      <c r="J2796" s="68"/>
      <c r="K2796" s="32"/>
      <c r="L2796" s="75">
        <v>2796</v>
      </c>
      <c r="M2796" s="75"/>
      <c r="N2796" s="70"/>
      <c r="O2796" s="77" t="s">
        <v>179</v>
      </c>
      <c r="P2796" s="79">
        <v>45065.54614583333</v>
      </c>
      <c r="Q2796" s="77" t="s">
        <v>3573</v>
      </c>
      <c r="R2796" s="77">
        <v>0</v>
      </c>
      <c r="S2796" s="77">
        <v>0</v>
      </c>
      <c r="T2796" s="77">
        <v>0</v>
      </c>
      <c r="U2796" s="77">
        <v>0</v>
      </c>
      <c r="V2796" s="77">
        <v>53</v>
      </c>
      <c r="W2796" s="82" t="s">
        <v>6382</v>
      </c>
      <c r="X2796" s="80" t="str">
        <f>HYPERLINK("https://tinyurl.com/2efhp55y")</f>
        <v>https://tinyurl.com/2efhp55y</v>
      </c>
      <c r="Y2796" s="77" t="s">
        <v>7068</v>
      </c>
      <c r="Z2796" s="77"/>
      <c r="AA2796" s="77"/>
      <c r="AB2796" s="77"/>
      <c r="AC2796" s="82" t="s">
        <v>8275</v>
      </c>
      <c r="AD2796" s="77" t="s">
        <v>8278</v>
      </c>
      <c r="AE2796" s="80" t="str">
        <f>HYPERLINK("https://twitter.com/pauta_economica/status/1659546055627661313")</f>
        <v>https://twitter.com/pauta_economica/status/1659546055627661313</v>
      </c>
      <c r="AF2796" s="79">
        <v>45065.54614583333</v>
      </c>
      <c r="AG2796" s="85">
        <v>45065</v>
      </c>
      <c r="AH2796" s="82" t="s">
        <v>10833</v>
      </c>
      <c r="AI2796" s="77" t="b">
        <v>0</v>
      </c>
      <c r="AJ2796" s="77"/>
      <c r="AK2796" s="77"/>
      <c r="AL2796" s="77"/>
      <c r="AM2796" s="77"/>
      <c r="AN2796" s="77"/>
      <c r="AO2796" s="77"/>
      <c r="AP2796" s="77"/>
      <c r="AQ2796" s="77"/>
      <c r="AR2796" s="77"/>
      <c r="AS2796" s="77"/>
      <c r="AT2796" s="77"/>
      <c r="AU2796" s="77"/>
      <c r="AV2796" s="80" t="str">
        <f>HYPERLINK("https://pbs.twimg.com/profile_images/1588668531910082561/XEi-lXiu_normal.jpg")</f>
        <v>https://pbs.twimg.com/profile_images/1588668531910082561/XEi-lXiu_normal.jpg</v>
      </c>
      <c r="AW2796" s="82" t="s">
        <v>15880</v>
      </c>
      <c r="AX2796" s="82" t="s">
        <v>15880</v>
      </c>
      <c r="AY2796" s="77"/>
      <c r="AZ2796" s="82" t="s">
        <v>17385</v>
      </c>
      <c r="BA2796" s="82" t="s">
        <v>17385</v>
      </c>
      <c r="BB2796" s="82" t="s">
        <v>17385</v>
      </c>
      <c r="BC2796" s="82" t="s">
        <v>15880</v>
      </c>
      <c r="BD2796" s="82" t="s">
        <v>17667</v>
      </c>
      <c r="BE2796" s="77"/>
      <c r="BF2796" s="77"/>
      <c r="BG2796" s="77"/>
      <c r="BH2796" s="77"/>
      <c r="BI2796" s="77"/>
    </row>
    <row r="2797" spans="1:61" x14ac:dyDescent="0.25">
      <c r="A2797" s="62" t="s">
        <v>646</v>
      </c>
      <c r="B2797" s="62" t="s">
        <v>646</v>
      </c>
      <c r="C2797" s="63"/>
      <c r="D2797" s="64"/>
      <c r="E2797" s="65"/>
      <c r="F2797" s="66"/>
      <c r="G2797" s="63"/>
      <c r="H2797" s="67"/>
      <c r="I2797" s="68"/>
      <c r="J2797" s="68"/>
      <c r="K2797" s="32"/>
      <c r="L2797" s="75">
        <v>2797</v>
      </c>
      <c r="M2797" s="75"/>
      <c r="N2797" s="70"/>
      <c r="O2797" s="77" t="s">
        <v>179</v>
      </c>
      <c r="P2797" s="79">
        <v>45065.532233796293</v>
      </c>
      <c r="Q2797" s="77" t="s">
        <v>3574</v>
      </c>
      <c r="R2797" s="77">
        <v>0</v>
      </c>
      <c r="S2797" s="77">
        <v>0</v>
      </c>
      <c r="T2797" s="77">
        <v>0</v>
      </c>
      <c r="U2797" s="77">
        <v>0</v>
      </c>
      <c r="V2797" s="77">
        <v>39</v>
      </c>
      <c r="W2797" s="82" t="s">
        <v>6382</v>
      </c>
      <c r="X2797" s="80" t="str">
        <f>HYPERLINK("https://tinyurl.com/2ln6s3p8")</f>
        <v>https://tinyurl.com/2ln6s3p8</v>
      </c>
      <c r="Y2797" s="77" t="s">
        <v>7068</v>
      </c>
      <c r="Z2797" s="77"/>
      <c r="AA2797" s="77"/>
      <c r="AB2797" s="77"/>
      <c r="AC2797" s="82" t="s">
        <v>8275</v>
      </c>
      <c r="AD2797" s="77" t="s">
        <v>8278</v>
      </c>
      <c r="AE2797" s="80" t="str">
        <f>HYPERLINK("https://twitter.com/pauta_economica/status/1659541016121163778")</f>
        <v>https://twitter.com/pauta_economica/status/1659541016121163778</v>
      </c>
      <c r="AF2797" s="79">
        <v>45065.532233796293</v>
      </c>
      <c r="AG2797" s="85">
        <v>45065</v>
      </c>
      <c r="AH2797" s="82" t="s">
        <v>10834</v>
      </c>
      <c r="AI2797" s="77" t="b">
        <v>0</v>
      </c>
      <c r="AJ2797" s="77"/>
      <c r="AK2797" s="77"/>
      <c r="AL2797" s="77"/>
      <c r="AM2797" s="77"/>
      <c r="AN2797" s="77"/>
      <c r="AO2797" s="77"/>
      <c r="AP2797" s="77"/>
      <c r="AQ2797" s="77"/>
      <c r="AR2797" s="77"/>
      <c r="AS2797" s="77"/>
      <c r="AT2797" s="77"/>
      <c r="AU2797" s="77"/>
      <c r="AV2797" s="80" t="str">
        <f>HYPERLINK("https://pbs.twimg.com/profile_images/1588668531910082561/XEi-lXiu_normal.jpg")</f>
        <v>https://pbs.twimg.com/profile_images/1588668531910082561/XEi-lXiu_normal.jpg</v>
      </c>
      <c r="AW2797" s="82" t="s">
        <v>15881</v>
      </c>
      <c r="AX2797" s="82" t="s">
        <v>15881</v>
      </c>
      <c r="AY2797" s="77"/>
      <c r="AZ2797" s="82" t="s">
        <v>17385</v>
      </c>
      <c r="BA2797" s="82" t="s">
        <v>17385</v>
      </c>
      <c r="BB2797" s="82" t="s">
        <v>17385</v>
      </c>
      <c r="BC2797" s="82" t="s">
        <v>15881</v>
      </c>
      <c r="BD2797" s="82" t="s">
        <v>17667</v>
      </c>
      <c r="BE2797" s="77"/>
      <c r="BF2797" s="77"/>
      <c r="BG2797" s="77"/>
      <c r="BH2797" s="77"/>
      <c r="BI2797" s="77"/>
    </row>
    <row r="2798" spans="1:61" x14ac:dyDescent="0.25">
      <c r="A2798" s="62" t="s">
        <v>646</v>
      </c>
      <c r="B2798" s="62" t="s">
        <v>646</v>
      </c>
      <c r="C2798" s="63"/>
      <c r="D2798" s="64"/>
      <c r="E2798" s="65"/>
      <c r="F2798" s="66"/>
      <c r="G2798" s="63"/>
      <c r="H2798" s="67"/>
      <c r="I2798" s="68"/>
      <c r="J2798" s="68"/>
      <c r="K2798" s="32"/>
      <c r="L2798" s="75">
        <v>2798</v>
      </c>
      <c r="M2798" s="75"/>
      <c r="N2798" s="70"/>
      <c r="O2798" s="77" t="s">
        <v>179</v>
      </c>
      <c r="P2798" s="79">
        <v>45065.517731481479</v>
      </c>
      <c r="Q2798" s="77" t="s">
        <v>3575</v>
      </c>
      <c r="R2798" s="77">
        <v>0</v>
      </c>
      <c r="S2798" s="77">
        <v>0</v>
      </c>
      <c r="T2798" s="77">
        <v>0</v>
      </c>
      <c r="U2798" s="77">
        <v>0</v>
      </c>
      <c r="V2798" s="77">
        <v>24</v>
      </c>
      <c r="W2798" s="82" t="s">
        <v>6382</v>
      </c>
      <c r="X2798" s="80" t="str">
        <f>HYPERLINK("https://tinyurl.com/2h6zrll4")</f>
        <v>https://tinyurl.com/2h6zrll4</v>
      </c>
      <c r="Y2798" s="77" t="s">
        <v>7068</v>
      </c>
      <c r="Z2798" s="77"/>
      <c r="AA2798" s="77"/>
      <c r="AB2798" s="77"/>
      <c r="AC2798" s="82" t="s">
        <v>8275</v>
      </c>
      <c r="AD2798" s="77" t="s">
        <v>8278</v>
      </c>
      <c r="AE2798" s="80" t="str">
        <f>HYPERLINK("https://twitter.com/pauta_economica/status/1659535761413222400")</f>
        <v>https://twitter.com/pauta_economica/status/1659535761413222400</v>
      </c>
      <c r="AF2798" s="79">
        <v>45065.517731481479</v>
      </c>
      <c r="AG2798" s="85">
        <v>45065</v>
      </c>
      <c r="AH2798" s="82" t="s">
        <v>10835</v>
      </c>
      <c r="AI2798" s="77" t="b">
        <v>0</v>
      </c>
      <c r="AJ2798" s="77"/>
      <c r="AK2798" s="77"/>
      <c r="AL2798" s="77"/>
      <c r="AM2798" s="77"/>
      <c r="AN2798" s="77"/>
      <c r="AO2798" s="77"/>
      <c r="AP2798" s="77"/>
      <c r="AQ2798" s="77"/>
      <c r="AR2798" s="77"/>
      <c r="AS2798" s="77"/>
      <c r="AT2798" s="77"/>
      <c r="AU2798" s="77"/>
      <c r="AV2798" s="80" t="str">
        <f>HYPERLINK("https://pbs.twimg.com/profile_images/1588668531910082561/XEi-lXiu_normal.jpg")</f>
        <v>https://pbs.twimg.com/profile_images/1588668531910082561/XEi-lXiu_normal.jpg</v>
      </c>
      <c r="AW2798" s="82" t="s">
        <v>15882</v>
      </c>
      <c r="AX2798" s="82" t="s">
        <v>15882</v>
      </c>
      <c r="AY2798" s="77"/>
      <c r="AZ2798" s="82" t="s">
        <v>17385</v>
      </c>
      <c r="BA2798" s="82" t="s">
        <v>17385</v>
      </c>
      <c r="BB2798" s="82" t="s">
        <v>17385</v>
      </c>
      <c r="BC2798" s="82" t="s">
        <v>15882</v>
      </c>
      <c r="BD2798" s="82" t="s">
        <v>17667</v>
      </c>
      <c r="BE2798" s="77"/>
      <c r="BF2798" s="77"/>
      <c r="BG2798" s="77"/>
      <c r="BH2798" s="77"/>
      <c r="BI2798" s="77"/>
    </row>
    <row r="2799" spans="1:61" x14ac:dyDescent="0.25">
      <c r="A2799" s="62" t="s">
        <v>646</v>
      </c>
      <c r="B2799" s="62" t="s">
        <v>646</v>
      </c>
      <c r="C2799" s="63"/>
      <c r="D2799" s="64"/>
      <c r="E2799" s="65"/>
      <c r="F2799" s="66"/>
      <c r="G2799" s="63"/>
      <c r="H2799" s="67"/>
      <c r="I2799" s="68"/>
      <c r="J2799" s="68"/>
      <c r="K2799" s="32"/>
      <c r="L2799" s="75">
        <v>2799</v>
      </c>
      <c r="M2799" s="75"/>
      <c r="N2799" s="70"/>
      <c r="O2799" s="77" t="s">
        <v>179</v>
      </c>
      <c r="P2799" s="79">
        <v>45065.51021990741</v>
      </c>
      <c r="Q2799" s="77" t="s">
        <v>3576</v>
      </c>
      <c r="R2799" s="77">
        <v>0</v>
      </c>
      <c r="S2799" s="77">
        <v>0</v>
      </c>
      <c r="T2799" s="77">
        <v>0</v>
      </c>
      <c r="U2799" s="77">
        <v>0</v>
      </c>
      <c r="V2799" s="77">
        <v>20</v>
      </c>
      <c r="W2799" s="82" t="s">
        <v>6382</v>
      </c>
      <c r="X2799" s="80" t="str">
        <f>HYPERLINK("https://tinyurl.com/2fg7b4ef")</f>
        <v>https://tinyurl.com/2fg7b4ef</v>
      </c>
      <c r="Y2799" s="77" t="s">
        <v>7068</v>
      </c>
      <c r="Z2799" s="77"/>
      <c r="AA2799" s="77"/>
      <c r="AB2799" s="77"/>
      <c r="AC2799" s="82" t="s">
        <v>8275</v>
      </c>
      <c r="AD2799" s="77" t="s">
        <v>8278</v>
      </c>
      <c r="AE2799" s="80" t="str">
        <f>HYPERLINK("https://twitter.com/pauta_economica/status/1659533038877900800")</f>
        <v>https://twitter.com/pauta_economica/status/1659533038877900800</v>
      </c>
      <c r="AF2799" s="79">
        <v>45065.51021990741</v>
      </c>
      <c r="AG2799" s="85">
        <v>45065</v>
      </c>
      <c r="AH2799" s="82" t="s">
        <v>10836</v>
      </c>
      <c r="AI2799" s="77" t="b">
        <v>0</v>
      </c>
      <c r="AJ2799" s="77"/>
      <c r="AK2799" s="77"/>
      <c r="AL2799" s="77"/>
      <c r="AM2799" s="77"/>
      <c r="AN2799" s="77"/>
      <c r="AO2799" s="77"/>
      <c r="AP2799" s="77"/>
      <c r="AQ2799" s="77"/>
      <c r="AR2799" s="77"/>
      <c r="AS2799" s="77"/>
      <c r="AT2799" s="77"/>
      <c r="AU2799" s="77"/>
      <c r="AV2799" s="80" t="str">
        <f>HYPERLINK("https://pbs.twimg.com/profile_images/1588668531910082561/XEi-lXiu_normal.jpg")</f>
        <v>https://pbs.twimg.com/profile_images/1588668531910082561/XEi-lXiu_normal.jpg</v>
      </c>
      <c r="AW2799" s="82" t="s">
        <v>15883</v>
      </c>
      <c r="AX2799" s="82" t="s">
        <v>15883</v>
      </c>
      <c r="AY2799" s="77"/>
      <c r="AZ2799" s="82" t="s">
        <v>17385</v>
      </c>
      <c r="BA2799" s="82" t="s">
        <v>17385</v>
      </c>
      <c r="BB2799" s="82" t="s">
        <v>17385</v>
      </c>
      <c r="BC2799" s="82" t="s">
        <v>15883</v>
      </c>
      <c r="BD2799" s="82" t="s">
        <v>17667</v>
      </c>
      <c r="BE2799" s="77"/>
      <c r="BF2799" s="77"/>
      <c r="BG2799" s="77"/>
      <c r="BH2799" s="77"/>
      <c r="BI2799" s="77"/>
    </row>
    <row r="2800" spans="1:61" x14ac:dyDescent="0.25">
      <c r="A2800" s="62" t="s">
        <v>646</v>
      </c>
      <c r="B2800" s="62" t="s">
        <v>646</v>
      </c>
      <c r="C2800" s="63"/>
      <c r="D2800" s="64"/>
      <c r="E2800" s="65"/>
      <c r="F2800" s="66"/>
      <c r="G2800" s="63"/>
      <c r="H2800" s="67"/>
      <c r="I2800" s="68"/>
      <c r="J2800" s="68"/>
      <c r="K2800" s="32"/>
      <c r="L2800" s="75">
        <v>2800</v>
      </c>
      <c r="M2800" s="75"/>
      <c r="N2800" s="70"/>
      <c r="O2800" s="77" t="s">
        <v>179</v>
      </c>
      <c r="P2800" s="79">
        <v>45065.324143518519</v>
      </c>
      <c r="Q2800" s="77" t="s">
        <v>3577</v>
      </c>
      <c r="R2800" s="77">
        <v>0</v>
      </c>
      <c r="S2800" s="77">
        <v>0</v>
      </c>
      <c r="T2800" s="77">
        <v>0</v>
      </c>
      <c r="U2800" s="77">
        <v>0</v>
      </c>
      <c r="V2800" s="77">
        <v>25</v>
      </c>
      <c r="W2800" s="82" t="s">
        <v>6382</v>
      </c>
      <c r="X2800" s="80" t="str">
        <f>HYPERLINK("https://tinyurl.com/2hhkfkru")</f>
        <v>https://tinyurl.com/2hhkfkru</v>
      </c>
      <c r="Y2800" s="77" t="s">
        <v>7068</v>
      </c>
      <c r="Z2800" s="77"/>
      <c r="AA2800" s="77"/>
      <c r="AB2800" s="77"/>
      <c r="AC2800" s="82" t="s">
        <v>8275</v>
      </c>
      <c r="AD2800" s="77" t="s">
        <v>8278</v>
      </c>
      <c r="AE2800" s="80" t="str">
        <f>HYPERLINK("https://twitter.com/pauta_economica/status/1659465607517986816")</f>
        <v>https://twitter.com/pauta_economica/status/1659465607517986816</v>
      </c>
      <c r="AF2800" s="79">
        <v>45065.324143518519</v>
      </c>
      <c r="AG2800" s="85">
        <v>45065</v>
      </c>
      <c r="AH2800" s="82" t="s">
        <v>10837</v>
      </c>
      <c r="AI2800" s="77" t="b">
        <v>0</v>
      </c>
      <c r="AJ2800" s="77"/>
      <c r="AK2800" s="77"/>
      <c r="AL2800" s="77"/>
      <c r="AM2800" s="77"/>
      <c r="AN2800" s="77"/>
      <c r="AO2800" s="77"/>
      <c r="AP2800" s="77"/>
      <c r="AQ2800" s="77"/>
      <c r="AR2800" s="77"/>
      <c r="AS2800" s="77"/>
      <c r="AT2800" s="77"/>
      <c r="AU2800" s="77"/>
      <c r="AV2800" s="80" t="str">
        <f>HYPERLINK("https://pbs.twimg.com/profile_images/1588668531910082561/XEi-lXiu_normal.jpg")</f>
        <v>https://pbs.twimg.com/profile_images/1588668531910082561/XEi-lXiu_normal.jpg</v>
      </c>
      <c r="AW2800" s="82" t="s">
        <v>15884</v>
      </c>
      <c r="AX2800" s="82" t="s">
        <v>15884</v>
      </c>
      <c r="AY2800" s="77"/>
      <c r="AZ2800" s="82" t="s">
        <v>17385</v>
      </c>
      <c r="BA2800" s="82" t="s">
        <v>17385</v>
      </c>
      <c r="BB2800" s="82" t="s">
        <v>17385</v>
      </c>
      <c r="BC2800" s="82" t="s">
        <v>15884</v>
      </c>
      <c r="BD2800" s="82" t="s">
        <v>17667</v>
      </c>
      <c r="BE2800" s="77"/>
      <c r="BF2800" s="77"/>
      <c r="BG2800" s="77"/>
      <c r="BH2800" s="77"/>
      <c r="BI2800" s="77"/>
    </row>
    <row r="2801" spans="1:61" x14ac:dyDescent="0.25">
      <c r="A2801" s="62" t="s">
        <v>646</v>
      </c>
      <c r="B2801" s="62" t="s">
        <v>646</v>
      </c>
      <c r="C2801" s="63"/>
      <c r="D2801" s="64"/>
      <c r="E2801" s="65"/>
      <c r="F2801" s="66"/>
      <c r="G2801" s="63"/>
      <c r="H2801" s="67"/>
      <c r="I2801" s="68"/>
      <c r="J2801" s="68"/>
      <c r="K2801" s="32"/>
      <c r="L2801" s="75">
        <v>2801</v>
      </c>
      <c r="M2801" s="75"/>
      <c r="N2801" s="70"/>
      <c r="O2801" s="77" t="s">
        <v>179</v>
      </c>
      <c r="P2801" s="79">
        <v>45065.296249999999</v>
      </c>
      <c r="Q2801" s="77" t="s">
        <v>3578</v>
      </c>
      <c r="R2801" s="77">
        <v>0</v>
      </c>
      <c r="S2801" s="77">
        <v>0</v>
      </c>
      <c r="T2801" s="77">
        <v>0</v>
      </c>
      <c r="U2801" s="77">
        <v>0</v>
      </c>
      <c r="V2801" s="77">
        <v>32</v>
      </c>
      <c r="W2801" s="82" t="s">
        <v>6382</v>
      </c>
      <c r="X2801" s="80" t="str">
        <f>HYPERLINK("https://tinyurl.com/2j6y5p8z")</f>
        <v>https://tinyurl.com/2j6y5p8z</v>
      </c>
      <c r="Y2801" s="77" t="s">
        <v>7068</v>
      </c>
      <c r="Z2801" s="77"/>
      <c r="AA2801" s="77"/>
      <c r="AB2801" s="77"/>
      <c r="AC2801" s="82" t="s">
        <v>8275</v>
      </c>
      <c r="AD2801" s="77" t="s">
        <v>8278</v>
      </c>
      <c r="AE2801" s="80" t="str">
        <f>HYPERLINK("https://twitter.com/pauta_economica/status/1659455499564199937")</f>
        <v>https://twitter.com/pauta_economica/status/1659455499564199937</v>
      </c>
      <c r="AF2801" s="79">
        <v>45065.296249999999</v>
      </c>
      <c r="AG2801" s="85">
        <v>45065</v>
      </c>
      <c r="AH2801" s="82" t="s">
        <v>10838</v>
      </c>
      <c r="AI2801" s="77" t="b">
        <v>0</v>
      </c>
      <c r="AJ2801" s="77"/>
      <c r="AK2801" s="77"/>
      <c r="AL2801" s="77"/>
      <c r="AM2801" s="77"/>
      <c r="AN2801" s="77"/>
      <c r="AO2801" s="77"/>
      <c r="AP2801" s="77"/>
      <c r="AQ2801" s="77"/>
      <c r="AR2801" s="77"/>
      <c r="AS2801" s="77"/>
      <c r="AT2801" s="77"/>
      <c r="AU2801" s="77"/>
      <c r="AV2801" s="80" t="str">
        <f>HYPERLINK("https://pbs.twimg.com/profile_images/1588668531910082561/XEi-lXiu_normal.jpg")</f>
        <v>https://pbs.twimg.com/profile_images/1588668531910082561/XEi-lXiu_normal.jpg</v>
      </c>
      <c r="AW2801" s="82" t="s">
        <v>15885</v>
      </c>
      <c r="AX2801" s="82" t="s">
        <v>15885</v>
      </c>
      <c r="AY2801" s="77"/>
      <c r="AZ2801" s="82" t="s">
        <v>17385</v>
      </c>
      <c r="BA2801" s="82" t="s">
        <v>17385</v>
      </c>
      <c r="BB2801" s="82" t="s">
        <v>17385</v>
      </c>
      <c r="BC2801" s="82" t="s">
        <v>15885</v>
      </c>
      <c r="BD2801" s="82" t="s">
        <v>17667</v>
      </c>
      <c r="BE2801" s="77"/>
      <c r="BF2801" s="77"/>
      <c r="BG2801" s="77"/>
      <c r="BH2801" s="77"/>
      <c r="BI2801" s="77"/>
    </row>
    <row r="2802" spans="1:61" x14ac:dyDescent="0.25">
      <c r="A2802" s="62" t="s">
        <v>646</v>
      </c>
      <c r="B2802" s="62" t="s">
        <v>646</v>
      </c>
      <c r="C2802" s="63"/>
      <c r="D2802" s="64"/>
      <c r="E2802" s="65"/>
      <c r="F2802" s="66"/>
      <c r="G2802" s="63"/>
      <c r="H2802" s="67"/>
      <c r="I2802" s="68"/>
      <c r="J2802" s="68"/>
      <c r="K2802" s="32"/>
      <c r="L2802" s="75">
        <v>2802</v>
      </c>
      <c r="M2802" s="75"/>
      <c r="N2802" s="70"/>
      <c r="O2802" s="77" t="s">
        <v>179</v>
      </c>
      <c r="P2802" s="79">
        <v>45065.240023148152</v>
      </c>
      <c r="Q2802" s="77" t="s">
        <v>3579</v>
      </c>
      <c r="R2802" s="77">
        <v>0</v>
      </c>
      <c r="S2802" s="77">
        <v>0</v>
      </c>
      <c r="T2802" s="77">
        <v>0</v>
      </c>
      <c r="U2802" s="77">
        <v>0</v>
      </c>
      <c r="V2802" s="77">
        <v>17</v>
      </c>
      <c r="W2802" s="82" t="s">
        <v>6382</v>
      </c>
      <c r="X2802" s="80" t="str">
        <f>HYPERLINK("https://tinyurl.com/2fdzqtgt")</f>
        <v>https://tinyurl.com/2fdzqtgt</v>
      </c>
      <c r="Y2802" s="77" t="s">
        <v>7068</v>
      </c>
      <c r="Z2802" s="77"/>
      <c r="AA2802" s="77"/>
      <c r="AB2802" s="77"/>
      <c r="AC2802" s="82" t="s">
        <v>8275</v>
      </c>
      <c r="AD2802" s="77" t="s">
        <v>8278</v>
      </c>
      <c r="AE2802" s="80" t="str">
        <f>HYPERLINK("https://twitter.com/pauta_economica/status/1659435122288934914")</f>
        <v>https://twitter.com/pauta_economica/status/1659435122288934914</v>
      </c>
      <c r="AF2802" s="79">
        <v>45065.240023148152</v>
      </c>
      <c r="AG2802" s="85">
        <v>45065</v>
      </c>
      <c r="AH2802" s="82" t="s">
        <v>10839</v>
      </c>
      <c r="AI2802" s="77" t="b">
        <v>0</v>
      </c>
      <c r="AJ2802" s="77"/>
      <c r="AK2802" s="77"/>
      <c r="AL2802" s="77"/>
      <c r="AM2802" s="77"/>
      <c r="AN2802" s="77"/>
      <c r="AO2802" s="77"/>
      <c r="AP2802" s="77"/>
      <c r="AQ2802" s="77"/>
      <c r="AR2802" s="77"/>
      <c r="AS2802" s="77"/>
      <c r="AT2802" s="77"/>
      <c r="AU2802" s="77"/>
      <c r="AV2802" s="80" t="str">
        <f>HYPERLINK("https://pbs.twimg.com/profile_images/1588668531910082561/XEi-lXiu_normal.jpg")</f>
        <v>https://pbs.twimg.com/profile_images/1588668531910082561/XEi-lXiu_normal.jpg</v>
      </c>
      <c r="AW2802" s="82" t="s">
        <v>15886</v>
      </c>
      <c r="AX2802" s="82" t="s">
        <v>15886</v>
      </c>
      <c r="AY2802" s="77"/>
      <c r="AZ2802" s="82" t="s">
        <v>17385</v>
      </c>
      <c r="BA2802" s="82" t="s">
        <v>17385</v>
      </c>
      <c r="BB2802" s="82" t="s">
        <v>17385</v>
      </c>
      <c r="BC2802" s="82" t="s">
        <v>15886</v>
      </c>
      <c r="BD2802" s="82" t="s">
        <v>17667</v>
      </c>
      <c r="BE2802" s="77"/>
      <c r="BF2802" s="77"/>
      <c r="BG2802" s="77"/>
      <c r="BH2802" s="77"/>
      <c r="BI2802" s="77"/>
    </row>
    <row r="2803" spans="1:61" x14ac:dyDescent="0.25">
      <c r="A2803" s="62" t="s">
        <v>646</v>
      </c>
      <c r="B2803" s="62" t="s">
        <v>646</v>
      </c>
      <c r="C2803" s="63"/>
      <c r="D2803" s="64"/>
      <c r="E2803" s="65"/>
      <c r="F2803" s="66"/>
      <c r="G2803" s="63"/>
      <c r="H2803" s="67"/>
      <c r="I2803" s="68"/>
      <c r="J2803" s="68"/>
      <c r="K2803" s="32"/>
      <c r="L2803" s="75">
        <v>2803</v>
      </c>
      <c r="M2803" s="75"/>
      <c r="N2803" s="70"/>
      <c r="O2803" s="77" t="s">
        <v>179</v>
      </c>
      <c r="P2803" s="79">
        <v>45065.212175925924</v>
      </c>
      <c r="Q2803" s="77" t="s">
        <v>3580</v>
      </c>
      <c r="R2803" s="77">
        <v>0</v>
      </c>
      <c r="S2803" s="77">
        <v>1</v>
      </c>
      <c r="T2803" s="77">
        <v>0</v>
      </c>
      <c r="U2803" s="77">
        <v>0</v>
      </c>
      <c r="V2803" s="77">
        <v>61</v>
      </c>
      <c r="W2803" s="82" t="s">
        <v>6382</v>
      </c>
      <c r="X2803" s="80" t="str">
        <f>HYPERLINK("https://tinyurl.com/2gjdly93")</f>
        <v>https://tinyurl.com/2gjdly93</v>
      </c>
      <c r="Y2803" s="77" t="s">
        <v>7068</v>
      </c>
      <c r="Z2803" s="77"/>
      <c r="AA2803" s="77"/>
      <c r="AB2803" s="77"/>
      <c r="AC2803" s="82" t="s">
        <v>8275</v>
      </c>
      <c r="AD2803" s="77" t="s">
        <v>8278</v>
      </c>
      <c r="AE2803" s="80" t="str">
        <f>HYPERLINK("https://twitter.com/pauta_economica/status/1659425029380005888")</f>
        <v>https://twitter.com/pauta_economica/status/1659425029380005888</v>
      </c>
      <c r="AF2803" s="79">
        <v>45065.212175925924</v>
      </c>
      <c r="AG2803" s="85">
        <v>45065</v>
      </c>
      <c r="AH2803" s="82" t="s">
        <v>10840</v>
      </c>
      <c r="AI2803" s="77" t="b">
        <v>0</v>
      </c>
      <c r="AJ2803" s="77"/>
      <c r="AK2803" s="77"/>
      <c r="AL2803" s="77"/>
      <c r="AM2803" s="77"/>
      <c r="AN2803" s="77"/>
      <c r="AO2803" s="77"/>
      <c r="AP2803" s="77"/>
      <c r="AQ2803" s="77"/>
      <c r="AR2803" s="77"/>
      <c r="AS2803" s="77"/>
      <c r="AT2803" s="77"/>
      <c r="AU2803" s="77"/>
      <c r="AV2803" s="80" t="str">
        <f>HYPERLINK("https://pbs.twimg.com/profile_images/1588668531910082561/XEi-lXiu_normal.jpg")</f>
        <v>https://pbs.twimg.com/profile_images/1588668531910082561/XEi-lXiu_normal.jpg</v>
      </c>
      <c r="AW2803" s="82" t="s">
        <v>15887</v>
      </c>
      <c r="AX2803" s="82" t="s">
        <v>15887</v>
      </c>
      <c r="AY2803" s="77"/>
      <c r="AZ2803" s="82" t="s">
        <v>17385</v>
      </c>
      <c r="BA2803" s="82" t="s">
        <v>17385</v>
      </c>
      <c r="BB2803" s="82" t="s">
        <v>17385</v>
      </c>
      <c r="BC2803" s="82" t="s">
        <v>15887</v>
      </c>
      <c r="BD2803" s="82" t="s">
        <v>17667</v>
      </c>
      <c r="BE2803" s="77"/>
      <c r="BF2803" s="77"/>
      <c r="BG2803" s="77"/>
      <c r="BH2803" s="77"/>
      <c r="BI2803" s="77"/>
    </row>
    <row r="2804" spans="1:61" x14ac:dyDescent="0.25">
      <c r="A2804" s="62" t="s">
        <v>646</v>
      </c>
      <c r="B2804" s="62" t="s">
        <v>646</v>
      </c>
      <c r="C2804" s="63"/>
      <c r="D2804" s="64"/>
      <c r="E2804" s="65"/>
      <c r="F2804" s="66"/>
      <c r="G2804" s="63"/>
      <c r="H2804" s="67"/>
      <c r="I2804" s="68"/>
      <c r="J2804" s="68"/>
      <c r="K2804" s="32"/>
      <c r="L2804" s="75">
        <v>2804</v>
      </c>
      <c r="M2804" s="75"/>
      <c r="N2804" s="70"/>
      <c r="O2804" s="77" t="s">
        <v>179</v>
      </c>
      <c r="P2804" s="79">
        <v>45065.156423611108</v>
      </c>
      <c r="Q2804" s="77" t="s">
        <v>3581</v>
      </c>
      <c r="R2804" s="77">
        <v>0</v>
      </c>
      <c r="S2804" s="77">
        <v>0</v>
      </c>
      <c r="T2804" s="77">
        <v>0</v>
      </c>
      <c r="U2804" s="77">
        <v>0</v>
      </c>
      <c r="V2804" s="77">
        <v>16</v>
      </c>
      <c r="W2804" s="82" t="s">
        <v>6382</v>
      </c>
      <c r="X2804" s="80" t="str">
        <f>HYPERLINK("https://tinyurl.com/2zve8pzw")</f>
        <v>https://tinyurl.com/2zve8pzw</v>
      </c>
      <c r="Y2804" s="77" t="s">
        <v>7068</v>
      </c>
      <c r="Z2804" s="77"/>
      <c r="AA2804" s="77"/>
      <c r="AB2804" s="77"/>
      <c r="AC2804" s="82" t="s">
        <v>8275</v>
      </c>
      <c r="AD2804" s="77" t="s">
        <v>8278</v>
      </c>
      <c r="AE2804" s="80" t="str">
        <f>HYPERLINK("https://twitter.com/pauta_economica/status/1659404826785067009")</f>
        <v>https://twitter.com/pauta_economica/status/1659404826785067009</v>
      </c>
      <c r="AF2804" s="79">
        <v>45065.156423611108</v>
      </c>
      <c r="AG2804" s="85">
        <v>45065</v>
      </c>
      <c r="AH2804" s="82" t="s">
        <v>10841</v>
      </c>
      <c r="AI2804" s="77" t="b">
        <v>0</v>
      </c>
      <c r="AJ2804" s="77"/>
      <c r="AK2804" s="77"/>
      <c r="AL2804" s="77"/>
      <c r="AM2804" s="77"/>
      <c r="AN2804" s="77"/>
      <c r="AO2804" s="77"/>
      <c r="AP2804" s="77"/>
      <c r="AQ2804" s="77"/>
      <c r="AR2804" s="77"/>
      <c r="AS2804" s="77"/>
      <c r="AT2804" s="77"/>
      <c r="AU2804" s="77"/>
      <c r="AV2804" s="80" t="str">
        <f>HYPERLINK("https://pbs.twimg.com/profile_images/1588668531910082561/XEi-lXiu_normal.jpg")</f>
        <v>https://pbs.twimg.com/profile_images/1588668531910082561/XEi-lXiu_normal.jpg</v>
      </c>
      <c r="AW2804" s="82" t="s">
        <v>15888</v>
      </c>
      <c r="AX2804" s="82" t="s">
        <v>15888</v>
      </c>
      <c r="AY2804" s="77"/>
      <c r="AZ2804" s="82" t="s">
        <v>17385</v>
      </c>
      <c r="BA2804" s="82" t="s">
        <v>17385</v>
      </c>
      <c r="BB2804" s="82" t="s">
        <v>17385</v>
      </c>
      <c r="BC2804" s="82" t="s">
        <v>15888</v>
      </c>
      <c r="BD2804" s="82" t="s">
        <v>17667</v>
      </c>
      <c r="BE2804" s="77"/>
      <c r="BF2804" s="77"/>
      <c r="BG2804" s="77"/>
      <c r="BH2804" s="77"/>
      <c r="BI2804" s="77"/>
    </row>
    <row r="2805" spans="1:61" x14ac:dyDescent="0.25">
      <c r="A2805" s="62" t="s">
        <v>646</v>
      </c>
      <c r="B2805" s="62" t="s">
        <v>646</v>
      </c>
      <c r="C2805" s="63"/>
      <c r="D2805" s="64"/>
      <c r="E2805" s="65"/>
      <c r="F2805" s="66"/>
      <c r="G2805" s="63"/>
      <c r="H2805" s="67"/>
      <c r="I2805" s="68"/>
      <c r="J2805" s="68"/>
      <c r="K2805" s="32"/>
      <c r="L2805" s="75">
        <v>2805</v>
      </c>
      <c r="M2805" s="75"/>
      <c r="N2805" s="70"/>
      <c r="O2805" s="77" t="s">
        <v>179</v>
      </c>
      <c r="P2805" s="79">
        <v>45065.10050925926</v>
      </c>
      <c r="Q2805" s="77" t="s">
        <v>3582</v>
      </c>
      <c r="R2805" s="77">
        <v>0</v>
      </c>
      <c r="S2805" s="77">
        <v>0</v>
      </c>
      <c r="T2805" s="77">
        <v>0</v>
      </c>
      <c r="U2805" s="77">
        <v>0</v>
      </c>
      <c r="V2805" s="77">
        <v>69</v>
      </c>
      <c r="W2805" s="82" t="s">
        <v>6382</v>
      </c>
      <c r="X2805" s="80" t="str">
        <f>HYPERLINK("https://tinyurl.com/2guqbf79")</f>
        <v>https://tinyurl.com/2guqbf79</v>
      </c>
      <c r="Y2805" s="77" t="s">
        <v>7068</v>
      </c>
      <c r="Z2805" s="77"/>
      <c r="AA2805" s="77"/>
      <c r="AB2805" s="77"/>
      <c r="AC2805" s="82" t="s">
        <v>8275</v>
      </c>
      <c r="AD2805" s="77" t="s">
        <v>8278</v>
      </c>
      <c r="AE2805" s="80" t="str">
        <f>HYPERLINK("https://twitter.com/pauta_economica/status/1659384562886103040")</f>
        <v>https://twitter.com/pauta_economica/status/1659384562886103040</v>
      </c>
      <c r="AF2805" s="79">
        <v>45065.10050925926</v>
      </c>
      <c r="AG2805" s="85">
        <v>45065</v>
      </c>
      <c r="AH2805" s="82" t="s">
        <v>10842</v>
      </c>
      <c r="AI2805" s="77" t="b">
        <v>0</v>
      </c>
      <c r="AJ2805" s="77"/>
      <c r="AK2805" s="77"/>
      <c r="AL2805" s="77"/>
      <c r="AM2805" s="77"/>
      <c r="AN2805" s="77"/>
      <c r="AO2805" s="77"/>
      <c r="AP2805" s="77"/>
      <c r="AQ2805" s="77"/>
      <c r="AR2805" s="77"/>
      <c r="AS2805" s="77"/>
      <c r="AT2805" s="77"/>
      <c r="AU2805" s="77"/>
      <c r="AV2805" s="80" t="str">
        <f>HYPERLINK("https://pbs.twimg.com/profile_images/1588668531910082561/XEi-lXiu_normal.jpg")</f>
        <v>https://pbs.twimg.com/profile_images/1588668531910082561/XEi-lXiu_normal.jpg</v>
      </c>
      <c r="AW2805" s="82" t="s">
        <v>15889</v>
      </c>
      <c r="AX2805" s="82" t="s">
        <v>15889</v>
      </c>
      <c r="AY2805" s="77"/>
      <c r="AZ2805" s="82" t="s">
        <v>17385</v>
      </c>
      <c r="BA2805" s="82" t="s">
        <v>17385</v>
      </c>
      <c r="BB2805" s="82" t="s">
        <v>17385</v>
      </c>
      <c r="BC2805" s="82" t="s">
        <v>15889</v>
      </c>
      <c r="BD2805" s="82" t="s">
        <v>17667</v>
      </c>
      <c r="BE2805" s="77"/>
      <c r="BF2805" s="77"/>
      <c r="BG2805" s="77"/>
      <c r="BH2805" s="77"/>
      <c r="BI2805" s="77"/>
    </row>
    <row r="2806" spans="1:61" x14ac:dyDescent="0.25">
      <c r="A2806" s="62" t="s">
        <v>646</v>
      </c>
      <c r="B2806" s="62" t="s">
        <v>646</v>
      </c>
      <c r="C2806" s="63"/>
      <c r="D2806" s="64"/>
      <c r="E2806" s="65"/>
      <c r="F2806" s="66"/>
      <c r="G2806" s="63"/>
      <c r="H2806" s="67"/>
      <c r="I2806" s="68"/>
      <c r="J2806" s="68"/>
      <c r="K2806" s="32"/>
      <c r="L2806" s="75">
        <v>2806</v>
      </c>
      <c r="M2806" s="75"/>
      <c r="N2806" s="70"/>
      <c r="O2806" s="77" t="s">
        <v>179</v>
      </c>
      <c r="P2806" s="79">
        <v>45065.017025462963</v>
      </c>
      <c r="Q2806" s="77" t="s">
        <v>3583</v>
      </c>
      <c r="R2806" s="77">
        <v>0</v>
      </c>
      <c r="S2806" s="77">
        <v>1</v>
      </c>
      <c r="T2806" s="77">
        <v>0</v>
      </c>
      <c r="U2806" s="77">
        <v>0</v>
      </c>
      <c r="V2806" s="77">
        <v>63</v>
      </c>
      <c r="W2806" s="82" t="s">
        <v>6382</v>
      </c>
      <c r="X2806" s="80" t="str">
        <f>HYPERLINK("https://tinyurl.com/2jcdkceo")</f>
        <v>https://tinyurl.com/2jcdkceo</v>
      </c>
      <c r="Y2806" s="77" t="s">
        <v>7068</v>
      </c>
      <c r="Z2806" s="77"/>
      <c r="AA2806" s="77"/>
      <c r="AB2806" s="77"/>
      <c r="AC2806" s="82" t="s">
        <v>8275</v>
      </c>
      <c r="AD2806" s="77" t="s">
        <v>8278</v>
      </c>
      <c r="AE2806" s="80" t="str">
        <f>HYPERLINK("https://twitter.com/pauta_economica/status/1659354308607983629")</f>
        <v>https://twitter.com/pauta_economica/status/1659354308607983629</v>
      </c>
      <c r="AF2806" s="79">
        <v>45065.017025462963</v>
      </c>
      <c r="AG2806" s="85">
        <v>45065</v>
      </c>
      <c r="AH2806" s="82" t="s">
        <v>10843</v>
      </c>
      <c r="AI2806" s="77" t="b">
        <v>0</v>
      </c>
      <c r="AJ2806" s="77"/>
      <c r="AK2806" s="77"/>
      <c r="AL2806" s="77"/>
      <c r="AM2806" s="77"/>
      <c r="AN2806" s="77"/>
      <c r="AO2806" s="77"/>
      <c r="AP2806" s="77"/>
      <c r="AQ2806" s="77"/>
      <c r="AR2806" s="77"/>
      <c r="AS2806" s="77"/>
      <c r="AT2806" s="77"/>
      <c r="AU2806" s="77"/>
      <c r="AV2806" s="80" t="str">
        <f>HYPERLINK("https://pbs.twimg.com/profile_images/1588668531910082561/XEi-lXiu_normal.jpg")</f>
        <v>https://pbs.twimg.com/profile_images/1588668531910082561/XEi-lXiu_normal.jpg</v>
      </c>
      <c r="AW2806" s="82" t="s">
        <v>15890</v>
      </c>
      <c r="AX2806" s="82" t="s">
        <v>15890</v>
      </c>
      <c r="AY2806" s="77"/>
      <c r="AZ2806" s="82" t="s">
        <v>17385</v>
      </c>
      <c r="BA2806" s="82" t="s">
        <v>17385</v>
      </c>
      <c r="BB2806" s="82" t="s">
        <v>17385</v>
      </c>
      <c r="BC2806" s="82" t="s">
        <v>15890</v>
      </c>
      <c r="BD2806" s="82" t="s">
        <v>17667</v>
      </c>
      <c r="BE2806" s="77"/>
      <c r="BF2806" s="77"/>
      <c r="BG2806" s="77"/>
      <c r="BH2806" s="77"/>
      <c r="BI2806" s="77"/>
    </row>
    <row r="2807" spans="1:61" x14ac:dyDescent="0.25">
      <c r="A2807" s="62" t="s">
        <v>646</v>
      </c>
      <c r="B2807" s="62" t="s">
        <v>646</v>
      </c>
      <c r="C2807" s="63"/>
      <c r="D2807" s="64"/>
      <c r="E2807" s="65"/>
      <c r="F2807" s="66"/>
      <c r="G2807" s="63"/>
      <c r="H2807" s="67"/>
      <c r="I2807" s="68"/>
      <c r="J2807" s="68"/>
      <c r="K2807" s="32"/>
      <c r="L2807" s="75">
        <v>2807</v>
      </c>
      <c r="M2807" s="75"/>
      <c r="N2807" s="70"/>
      <c r="O2807" s="77" t="s">
        <v>179</v>
      </c>
      <c r="P2807" s="79">
        <v>45064.989201388889</v>
      </c>
      <c r="Q2807" s="77" t="s">
        <v>3584</v>
      </c>
      <c r="R2807" s="77">
        <v>0</v>
      </c>
      <c r="S2807" s="77">
        <v>0</v>
      </c>
      <c r="T2807" s="77">
        <v>0</v>
      </c>
      <c r="U2807" s="77">
        <v>0</v>
      </c>
      <c r="V2807" s="77">
        <v>81</v>
      </c>
      <c r="W2807" s="82" t="s">
        <v>6382</v>
      </c>
      <c r="X2807" s="80" t="str">
        <f>HYPERLINK("https://tinyurl.com/2zuqj8gt")</f>
        <v>https://tinyurl.com/2zuqj8gt</v>
      </c>
      <c r="Y2807" s="77" t="s">
        <v>7068</v>
      </c>
      <c r="Z2807" s="77"/>
      <c r="AA2807" s="77"/>
      <c r="AB2807" s="77"/>
      <c r="AC2807" s="82" t="s">
        <v>8275</v>
      </c>
      <c r="AD2807" s="77" t="s">
        <v>8278</v>
      </c>
      <c r="AE2807" s="80" t="str">
        <f>HYPERLINK("https://twitter.com/pauta_economica/status/1659344225589157890")</f>
        <v>https://twitter.com/pauta_economica/status/1659344225589157890</v>
      </c>
      <c r="AF2807" s="79">
        <v>45064.989201388889</v>
      </c>
      <c r="AG2807" s="85">
        <v>45064</v>
      </c>
      <c r="AH2807" s="82" t="s">
        <v>10844</v>
      </c>
      <c r="AI2807" s="77" t="b">
        <v>0</v>
      </c>
      <c r="AJ2807" s="77"/>
      <c r="AK2807" s="77"/>
      <c r="AL2807" s="77"/>
      <c r="AM2807" s="77"/>
      <c r="AN2807" s="77"/>
      <c r="AO2807" s="77"/>
      <c r="AP2807" s="77"/>
      <c r="AQ2807" s="77"/>
      <c r="AR2807" s="77"/>
      <c r="AS2807" s="77"/>
      <c r="AT2807" s="77"/>
      <c r="AU2807" s="77"/>
      <c r="AV2807" s="80" t="str">
        <f>HYPERLINK("https://pbs.twimg.com/profile_images/1588668531910082561/XEi-lXiu_normal.jpg")</f>
        <v>https://pbs.twimg.com/profile_images/1588668531910082561/XEi-lXiu_normal.jpg</v>
      </c>
      <c r="AW2807" s="82" t="s">
        <v>15891</v>
      </c>
      <c r="AX2807" s="82" t="s">
        <v>15891</v>
      </c>
      <c r="AY2807" s="77"/>
      <c r="AZ2807" s="82" t="s">
        <v>17385</v>
      </c>
      <c r="BA2807" s="82" t="s">
        <v>17385</v>
      </c>
      <c r="BB2807" s="82" t="s">
        <v>17385</v>
      </c>
      <c r="BC2807" s="82" t="s">
        <v>15891</v>
      </c>
      <c r="BD2807" s="82" t="s">
        <v>17667</v>
      </c>
      <c r="BE2807" s="77"/>
      <c r="BF2807" s="77"/>
      <c r="BG2807" s="77"/>
      <c r="BH2807" s="77"/>
      <c r="BI2807" s="77"/>
    </row>
    <row r="2808" spans="1:61" x14ac:dyDescent="0.25">
      <c r="A2808" s="62" t="s">
        <v>646</v>
      </c>
      <c r="B2808" s="62" t="s">
        <v>646</v>
      </c>
      <c r="C2808" s="63"/>
      <c r="D2808" s="64"/>
      <c r="E2808" s="65"/>
      <c r="F2808" s="66"/>
      <c r="G2808" s="63"/>
      <c r="H2808" s="67"/>
      <c r="I2808" s="68"/>
      <c r="J2808" s="68"/>
      <c r="K2808" s="32"/>
      <c r="L2808" s="75">
        <v>2808</v>
      </c>
      <c r="M2808" s="75"/>
      <c r="N2808" s="70"/>
      <c r="O2808" s="77" t="s">
        <v>179</v>
      </c>
      <c r="P2808" s="79">
        <v>45064.961238425924</v>
      </c>
      <c r="Q2808" s="77" t="s">
        <v>3585</v>
      </c>
      <c r="R2808" s="77">
        <v>0</v>
      </c>
      <c r="S2808" s="77">
        <v>1</v>
      </c>
      <c r="T2808" s="77">
        <v>0</v>
      </c>
      <c r="U2808" s="77">
        <v>0</v>
      </c>
      <c r="V2808" s="77">
        <v>49</v>
      </c>
      <c r="W2808" s="82" t="s">
        <v>6382</v>
      </c>
      <c r="X2808" s="80" t="str">
        <f>HYPERLINK("https://tinyurl.com/2nm9kz8e")</f>
        <v>https://tinyurl.com/2nm9kz8e</v>
      </c>
      <c r="Y2808" s="77" t="s">
        <v>7068</v>
      </c>
      <c r="Z2808" s="77"/>
      <c r="AA2808" s="77"/>
      <c r="AB2808" s="77"/>
      <c r="AC2808" s="82" t="s">
        <v>8275</v>
      </c>
      <c r="AD2808" s="77" t="s">
        <v>8278</v>
      </c>
      <c r="AE2808" s="80" t="str">
        <f>HYPERLINK("https://twitter.com/pauta_economica/status/1659334093568368648")</f>
        <v>https://twitter.com/pauta_economica/status/1659334093568368648</v>
      </c>
      <c r="AF2808" s="79">
        <v>45064.961238425924</v>
      </c>
      <c r="AG2808" s="85">
        <v>45064</v>
      </c>
      <c r="AH2808" s="82" t="s">
        <v>10845</v>
      </c>
      <c r="AI2808" s="77" t="b">
        <v>0</v>
      </c>
      <c r="AJ2808" s="77"/>
      <c r="AK2808" s="77"/>
      <c r="AL2808" s="77"/>
      <c r="AM2808" s="77"/>
      <c r="AN2808" s="77"/>
      <c r="AO2808" s="77"/>
      <c r="AP2808" s="77"/>
      <c r="AQ2808" s="77"/>
      <c r="AR2808" s="77"/>
      <c r="AS2808" s="77"/>
      <c r="AT2808" s="77"/>
      <c r="AU2808" s="77"/>
      <c r="AV2808" s="80" t="str">
        <f>HYPERLINK("https://pbs.twimg.com/profile_images/1588668531910082561/XEi-lXiu_normal.jpg")</f>
        <v>https://pbs.twimg.com/profile_images/1588668531910082561/XEi-lXiu_normal.jpg</v>
      </c>
      <c r="AW2808" s="82" t="s">
        <v>15892</v>
      </c>
      <c r="AX2808" s="82" t="s">
        <v>15892</v>
      </c>
      <c r="AY2808" s="77"/>
      <c r="AZ2808" s="82" t="s">
        <v>17385</v>
      </c>
      <c r="BA2808" s="82" t="s">
        <v>17385</v>
      </c>
      <c r="BB2808" s="82" t="s">
        <v>17385</v>
      </c>
      <c r="BC2808" s="82" t="s">
        <v>15892</v>
      </c>
      <c r="BD2808" s="82" t="s">
        <v>17667</v>
      </c>
      <c r="BE2808" s="77"/>
      <c r="BF2808" s="77"/>
      <c r="BG2808" s="77"/>
      <c r="BH2808" s="77"/>
      <c r="BI2808" s="77"/>
    </row>
    <row r="2809" spans="1:61" x14ac:dyDescent="0.25">
      <c r="A2809" s="62" t="s">
        <v>646</v>
      </c>
      <c r="B2809" s="62" t="s">
        <v>646</v>
      </c>
      <c r="C2809" s="63"/>
      <c r="D2809" s="64"/>
      <c r="E2809" s="65"/>
      <c r="F2809" s="66"/>
      <c r="G2809" s="63"/>
      <c r="H2809" s="67"/>
      <c r="I2809" s="68"/>
      <c r="J2809" s="68"/>
      <c r="K2809" s="32"/>
      <c r="L2809" s="75">
        <v>2809</v>
      </c>
      <c r="M2809" s="75"/>
      <c r="N2809" s="70"/>
      <c r="O2809" s="77" t="s">
        <v>179</v>
      </c>
      <c r="P2809" s="79">
        <v>45064.933333333334</v>
      </c>
      <c r="Q2809" s="77" t="s">
        <v>3586</v>
      </c>
      <c r="R2809" s="77">
        <v>0</v>
      </c>
      <c r="S2809" s="77">
        <v>0</v>
      </c>
      <c r="T2809" s="77">
        <v>0</v>
      </c>
      <c r="U2809" s="77">
        <v>0</v>
      </c>
      <c r="V2809" s="77">
        <v>113</v>
      </c>
      <c r="W2809" s="82" t="s">
        <v>6382</v>
      </c>
      <c r="X2809" s="80" t="str">
        <f>HYPERLINK("https://tinyurl.com/2hgb9v9l")</f>
        <v>https://tinyurl.com/2hgb9v9l</v>
      </c>
      <c r="Y2809" s="77" t="s">
        <v>7068</v>
      </c>
      <c r="Z2809" s="77"/>
      <c r="AA2809" s="77"/>
      <c r="AB2809" s="77"/>
      <c r="AC2809" s="82" t="s">
        <v>8275</v>
      </c>
      <c r="AD2809" s="77" t="s">
        <v>8278</v>
      </c>
      <c r="AE2809" s="80" t="str">
        <f>HYPERLINK("https://twitter.com/pauta_economica/status/1659323982703624192")</f>
        <v>https://twitter.com/pauta_economica/status/1659323982703624192</v>
      </c>
      <c r="AF2809" s="79">
        <v>45064.933333333334</v>
      </c>
      <c r="AG2809" s="85">
        <v>45064</v>
      </c>
      <c r="AH2809" s="82" t="s">
        <v>10846</v>
      </c>
      <c r="AI2809" s="77" t="b">
        <v>0</v>
      </c>
      <c r="AJ2809" s="77"/>
      <c r="AK2809" s="77"/>
      <c r="AL2809" s="77"/>
      <c r="AM2809" s="77"/>
      <c r="AN2809" s="77"/>
      <c r="AO2809" s="77"/>
      <c r="AP2809" s="77"/>
      <c r="AQ2809" s="77"/>
      <c r="AR2809" s="77"/>
      <c r="AS2809" s="77"/>
      <c r="AT2809" s="77"/>
      <c r="AU2809" s="77"/>
      <c r="AV2809" s="80" t="str">
        <f>HYPERLINK("https://pbs.twimg.com/profile_images/1588668531910082561/XEi-lXiu_normal.jpg")</f>
        <v>https://pbs.twimg.com/profile_images/1588668531910082561/XEi-lXiu_normal.jpg</v>
      </c>
      <c r="AW2809" s="82" t="s">
        <v>15893</v>
      </c>
      <c r="AX2809" s="82" t="s">
        <v>15893</v>
      </c>
      <c r="AY2809" s="77"/>
      <c r="AZ2809" s="82" t="s">
        <v>17385</v>
      </c>
      <c r="BA2809" s="82" t="s">
        <v>17385</v>
      </c>
      <c r="BB2809" s="82" t="s">
        <v>17385</v>
      </c>
      <c r="BC2809" s="82" t="s">
        <v>15893</v>
      </c>
      <c r="BD2809" s="82" t="s">
        <v>17667</v>
      </c>
      <c r="BE2809" s="77"/>
      <c r="BF2809" s="77"/>
      <c r="BG2809" s="77"/>
      <c r="BH2809" s="77"/>
      <c r="BI2809" s="77"/>
    </row>
    <row r="2810" spans="1:61" x14ac:dyDescent="0.25">
      <c r="A2810" s="62" t="s">
        <v>646</v>
      </c>
      <c r="B2810" s="62" t="s">
        <v>646</v>
      </c>
      <c r="C2810" s="63"/>
      <c r="D2810" s="64"/>
      <c r="E2810" s="65"/>
      <c r="F2810" s="66"/>
      <c r="G2810" s="63"/>
      <c r="H2810" s="67"/>
      <c r="I2810" s="68"/>
      <c r="J2810" s="68"/>
      <c r="K2810" s="32"/>
      <c r="L2810" s="75">
        <v>2810</v>
      </c>
      <c r="M2810" s="75"/>
      <c r="N2810" s="70"/>
      <c r="O2810" s="77" t="s">
        <v>179</v>
      </c>
      <c r="P2810" s="79">
        <v>45064.905497685184</v>
      </c>
      <c r="Q2810" s="77" t="s">
        <v>3587</v>
      </c>
      <c r="R2810" s="77">
        <v>0</v>
      </c>
      <c r="S2810" s="77">
        <v>0</v>
      </c>
      <c r="T2810" s="77">
        <v>0</v>
      </c>
      <c r="U2810" s="77">
        <v>0</v>
      </c>
      <c r="V2810" s="77">
        <v>33</v>
      </c>
      <c r="W2810" s="82" t="s">
        <v>6382</v>
      </c>
      <c r="X2810" s="80" t="str">
        <f>HYPERLINK("https://tinyurl.com/2hjqlvp7")</f>
        <v>https://tinyurl.com/2hjqlvp7</v>
      </c>
      <c r="Y2810" s="77" t="s">
        <v>7068</v>
      </c>
      <c r="Z2810" s="77"/>
      <c r="AA2810" s="77"/>
      <c r="AB2810" s="77"/>
      <c r="AC2810" s="82" t="s">
        <v>8275</v>
      </c>
      <c r="AD2810" s="77" t="s">
        <v>8278</v>
      </c>
      <c r="AE2810" s="80" t="str">
        <f>HYPERLINK("https://twitter.com/pauta_economica/status/1659313892357447680")</f>
        <v>https://twitter.com/pauta_economica/status/1659313892357447680</v>
      </c>
      <c r="AF2810" s="79">
        <v>45064.905497685184</v>
      </c>
      <c r="AG2810" s="85">
        <v>45064</v>
      </c>
      <c r="AH2810" s="82" t="s">
        <v>10847</v>
      </c>
      <c r="AI2810" s="77" t="b">
        <v>0</v>
      </c>
      <c r="AJ2810" s="77"/>
      <c r="AK2810" s="77"/>
      <c r="AL2810" s="77"/>
      <c r="AM2810" s="77"/>
      <c r="AN2810" s="77"/>
      <c r="AO2810" s="77"/>
      <c r="AP2810" s="77"/>
      <c r="AQ2810" s="77"/>
      <c r="AR2810" s="77"/>
      <c r="AS2810" s="77"/>
      <c r="AT2810" s="77"/>
      <c r="AU2810" s="77"/>
      <c r="AV2810" s="80" t="str">
        <f>HYPERLINK("https://pbs.twimg.com/profile_images/1588668531910082561/XEi-lXiu_normal.jpg")</f>
        <v>https://pbs.twimg.com/profile_images/1588668531910082561/XEi-lXiu_normal.jpg</v>
      </c>
      <c r="AW2810" s="82" t="s">
        <v>15894</v>
      </c>
      <c r="AX2810" s="82" t="s">
        <v>15894</v>
      </c>
      <c r="AY2810" s="77"/>
      <c r="AZ2810" s="82" t="s">
        <v>17385</v>
      </c>
      <c r="BA2810" s="82" t="s">
        <v>17385</v>
      </c>
      <c r="BB2810" s="82" t="s">
        <v>17385</v>
      </c>
      <c r="BC2810" s="82" t="s">
        <v>15894</v>
      </c>
      <c r="BD2810" s="82" t="s">
        <v>17667</v>
      </c>
      <c r="BE2810" s="77"/>
      <c r="BF2810" s="77"/>
      <c r="BG2810" s="77"/>
      <c r="BH2810" s="77"/>
      <c r="BI2810" s="77"/>
    </row>
    <row r="2811" spans="1:61" x14ac:dyDescent="0.25">
      <c r="A2811" s="62" t="s">
        <v>646</v>
      </c>
      <c r="B2811" s="62" t="s">
        <v>646</v>
      </c>
      <c r="C2811" s="63"/>
      <c r="D2811" s="64"/>
      <c r="E2811" s="65"/>
      <c r="F2811" s="66"/>
      <c r="G2811" s="63"/>
      <c r="H2811" s="67"/>
      <c r="I2811" s="68"/>
      <c r="J2811" s="68"/>
      <c r="K2811" s="32"/>
      <c r="L2811" s="75">
        <v>2811</v>
      </c>
      <c r="M2811" s="75"/>
      <c r="N2811" s="70"/>
      <c r="O2811" s="77" t="s">
        <v>179</v>
      </c>
      <c r="P2811" s="79">
        <v>45064.84988425926</v>
      </c>
      <c r="Q2811" s="77" t="s">
        <v>3588</v>
      </c>
      <c r="R2811" s="77">
        <v>0</v>
      </c>
      <c r="S2811" s="77">
        <v>0</v>
      </c>
      <c r="T2811" s="77">
        <v>0</v>
      </c>
      <c r="U2811" s="77">
        <v>0</v>
      </c>
      <c r="V2811" s="77">
        <v>41</v>
      </c>
      <c r="W2811" s="82" t="s">
        <v>6382</v>
      </c>
      <c r="X2811" s="80" t="str">
        <f>HYPERLINK("https://tinyurl.com/2llkt4e5")</f>
        <v>https://tinyurl.com/2llkt4e5</v>
      </c>
      <c r="Y2811" s="77" t="s">
        <v>7068</v>
      </c>
      <c r="Z2811" s="77"/>
      <c r="AA2811" s="77"/>
      <c r="AB2811" s="77"/>
      <c r="AC2811" s="82" t="s">
        <v>8275</v>
      </c>
      <c r="AD2811" s="77" t="s">
        <v>8278</v>
      </c>
      <c r="AE2811" s="80" t="str">
        <f>HYPERLINK("https://twitter.com/pauta_economica/status/1659293738110185482")</f>
        <v>https://twitter.com/pauta_economica/status/1659293738110185482</v>
      </c>
      <c r="AF2811" s="79">
        <v>45064.84988425926</v>
      </c>
      <c r="AG2811" s="85">
        <v>45064</v>
      </c>
      <c r="AH2811" s="82" t="s">
        <v>10848</v>
      </c>
      <c r="AI2811" s="77" t="b">
        <v>0</v>
      </c>
      <c r="AJ2811" s="77"/>
      <c r="AK2811" s="77"/>
      <c r="AL2811" s="77"/>
      <c r="AM2811" s="77"/>
      <c r="AN2811" s="77"/>
      <c r="AO2811" s="77"/>
      <c r="AP2811" s="77"/>
      <c r="AQ2811" s="77"/>
      <c r="AR2811" s="77"/>
      <c r="AS2811" s="77"/>
      <c r="AT2811" s="77"/>
      <c r="AU2811" s="77"/>
      <c r="AV2811" s="80" t="str">
        <f>HYPERLINK("https://pbs.twimg.com/profile_images/1588668531910082561/XEi-lXiu_normal.jpg")</f>
        <v>https://pbs.twimg.com/profile_images/1588668531910082561/XEi-lXiu_normal.jpg</v>
      </c>
      <c r="AW2811" s="82" t="s">
        <v>15895</v>
      </c>
      <c r="AX2811" s="82" t="s">
        <v>15895</v>
      </c>
      <c r="AY2811" s="77"/>
      <c r="AZ2811" s="82" t="s">
        <v>17385</v>
      </c>
      <c r="BA2811" s="82" t="s">
        <v>17385</v>
      </c>
      <c r="BB2811" s="82" t="s">
        <v>17385</v>
      </c>
      <c r="BC2811" s="82" t="s">
        <v>15895</v>
      </c>
      <c r="BD2811" s="82" t="s">
        <v>17667</v>
      </c>
      <c r="BE2811" s="77"/>
      <c r="BF2811" s="77"/>
      <c r="BG2811" s="77"/>
      <c r="BH2811" s="77"/>
      <c r="BI2811" s="77"/>
    </row>
    <row r="2812" spans="1:61" x14ac:dyDescent="0.25">
      <c r="A2812" s="62" t="s">
        <v>646</v>
      </c>
      <c r="B2812" s="62" t="s">
        <v>646</v>
      </c>
      <c r="C2812" s="63"/>
      <c r="D2812" s="64"/>
      <c r="E2812" s="65"/>
      <c r="F2812" s="66"/>
      <c r="G2812" s="63"/>
      <c r="H2812" s="67"/>
      <c r="I2812" s="68"/>
      <c r="J2812" s="68"/>
      <c r="K2812" s="32"/>
      <c r="L2812" s="75">
        <v>2812</v>
      </c>
      <c r="M2812" s="75"/>
      <c r="N2812" s="70"/>
      <c r="O2812" s="77" t="s">
        <v>179</v>
      </c>
      <c r="P2812" s="79">
        <v>45064.821643518517</v>
      </c>
      <c r="Q2812" s="77" t="s">
        <v>3589</v>
      </c>
      <c r="R2812" s="77">
        <v>0</v>
      </c>
      <c r="S2812" s="77">
        <v>0</v>
      </c>
      <c r="T2812" s="77">
        <v>0</v>
      </c>
      <c r="U2812" s="77">
        <v>0</v>
      </c>
      <c r="V2812" s="77">
        <v>34</v>
      </c>
      <c r="W2812" s="82" t="s">
        <v>6382</v>
      </c>
      <c r="X2812" s="80" t="str">
        <f>HYPERLINK("https://tinyurl.com/2p85ysno")</f>
        <v>https://tinyurl.com/2p85ysno</v>
      </c>
      <c r="Y2812" s="77" t="s">
        <v>7068</v>
      </c>
      <c r="Z2812" s="77"/>
      <c r="AA2812" s="77"/>
      <c r="AB2812" s="77"/>
      <c r="AC2812" s="82" t="s">
        <v>8275</v>
      </c>
      <c r="AD2812" s="77" t="s">
        <v>8278</v>
      </c>
      <c r="AE2812" s="80" t="str">
        <f>HYPERLINK("https://twitter.com/pauta_economica/status/1659283507359670274")</f>
        <v>https://twitter.com/pauta_economica/status/1659283507359670274</v>
      </c>
      <c r="AF2812" s="79">
        <v>45064.821643518517</v>
      </c>
      <c r="AG2812" s="85">
        <v>45064</v>
      </c>
      <c r="AH2812" s="82" t="s">
        <v>10849</v>
      </c>
      <c r="AI2812" s="77" t="b">
        <v>0</v>
      </c>
      <c r="AJ2812" s="77"/>
      <c r="AK2812" s="77"/>
      <c r="AL2812" s="77"/>
      <c r="AM2812" s="77"/>
      <c r="AN2812" s="77"/>
      <c r="AO2812" s="77"/>
      <c r="AP2812" s="77"/>
      <c r="AQ2812" s="77"/>
      <c r="AR2812" s="77"/>
      <c r="AS2812" s="77"/>
      <c r="AT2812" s="77"/>
      <c r="AU2812" s="77"/>
      <c r="AV2812" s="80" t="str">
        <f>HYPERLINK("https://pbs.twimg.com/profile_images/1588668531910082561/XEi-lXiu_normal.jpg")</f>
        <v>https://pbs.twimg.com/profile_images/1588668531910082561/XEi-lXiu_normal.jpg</v>
      </c>
      <c r="AW2812" s="82" t="s">
        <v>15896</v>
      </c>
      <c r="AX2812" s="82" t="s">
        <v>15896</v>
      </c>
      <c r="AY2812" s="77"/>
      <c r="AZ2812" s="82" t="s">
        <v>17385</v>
      </c>
      <c r="BA2812" s="82" t="s">
        <v>17385</v>
      </c>
      <c r="BB2812" s="82" t="s">
        <v>17385</v>
      </c>
      <c r="BC2812" s="82" t="s">
        <v>15896</v>
      </c>
      <c r="BD2812" s="82" t="s">
        <v>17667</v>
      </c>
      <c r="BE2812" s="77"/>
      <c r="BF2812" s="77"/>
      <c r="BG2812" s="77"/>
      <c r="BH2812" s="77"/>
      <c r="BI2812" s="77"/>
    </row>
    <row r="2813" spans="1:61" x14ac:dyDescent="0.25">
      <c r="A2813" s="62" t="s">
        <v>646</v>
      </c>
      <c r="B2813" s="62" t="s">
        <v>646</v>
      </c>
      <c r="C2813" s="63"/>
      <c r="D2813" s="64"/>
      <c r="E2813" s="65"/>
      <c r="F2813" s="66"/>
      <c r="G2813" s="63"/>
      <c r="H2813" s="67"/>
      <c r="I2813" s="68"/>
      <c r="J2813" s="68"/>
      <c r="K2813" s="32"/>
      <c r="L2813" s="75">
        <v>2813</v>
      </c>
      <c r="M2813" s="75"/>
      <c r="N2813" s="70"/>
      <c r="O2813" s="77" t="s">
        <v>179</v>
      </c>
      <c r="P2813" s="79">
        <v>45064.793611111112</v>
      </c>
      <c r="Q2813" s="77" t="s">
        <v>3590</v>
      </c>
      <c r="R2813" s="77">
        <v>0</v>
      </c>
      <c r="S2813" s="77">
        <v>0</v>
      </c>
      <c r="T2813" s="77">
        <v>0</v>
      </c>
      <c r="U2813" s="77">
        <v>0</v>
      </c>
      <c r="V2813" s="77">
        <v>38</v>
      </c>
      <c r="W2813" s="82" t="s">
        <v>6382</v>
      </c>
      <c r="X2813" s="80" t="str">
        <f>HYPERLINK("https://tinyurl.com/2ou4zert")</f>
        <v>https://tinyurl.com/2ou4zert</v>
      </c>
      <c r="Y2813" s="77" t="s">
        <v>7068</v>
      </c>
      <c r="Z2813" s="77"/>
      <c r="AA2813" s="77"/>
      <c r="AB2813" s="77"/>
      <c r="AC2813" s="82" t="s">
        <v>8275</v>
      </c>
      <c r="AD2813" s="77" t="s">
        <v>8278</v>
      </c>
      <c r="AE2813" s="80" t="str">
        <f>HYPERLINK("https://twitter.com/pauta_economica/status/1659273348067598352")</f>
        <v>https://twitter.com/pauta_economica/status/1659273348067598352</v>
      </c>
      <c r="AF2813" s="79">
        <v>45064.793611111112</v>
      </c>
      <c r="AG2813" s="85">
        <v>45064</v>
      </c>
      <c r="AH2813" s="82" t="s">
        <v>10850</v>
      </c>
      <c r="AI2813" s="77" t="b">
        <v>0</v>
      </c>
      <c r="AJ2813" s="77"/>
      <c r="AK2813" s="77"/>
      <c r="AL2813" s="77"/>
      <c r="AM2813" s="77"/>
      <c r="AN2813" s="77"/>
      <c r="AO2813" s="77"/>
      <c r="AP2813" s="77"/>
      <c r="AQ2813" s="77"/>
      <c r="AR2813" s="77"/>
      <c r="AS2813" s="77"/>
      <c r="AT2813" s="77"/>
      <c r="AU2813" s="77"/>
      <c r="AV2813" s="80" t="str">
        <f>HYPERLINK("https://pbs.twimg.com/profile_images/1588668531910082561/XEi-lXiu_normal.jpg")</f>
        <v>https://pbs.twimg.com/profile_images/1588668531910082561/XEi-lXiu_normal.jpg</v>
      </c>
      <c r="AW2813" s="82" t="s">
        <v>15897</v>
      </c>
      <c r="AX2813" s="82" t="s">
        <v>15897</v>
      </c>
      <c r="AY2813" s="77"/>
      <c r="AZ2813" s="82" t="s">
        <v>17385</v>
      </c>
      <c r="BA2813" s="82" t="s">
        <v>17385</v>
      </c>
      <c r="BB2813" s="82" t="s">
        <v>17385</v>
      </c>
      <c r="BC2813" s="82" t="s">
        <v>15897</v>
      </c>
      <c r="BD2813" s="82" t="s">
        <v>17667</v>
      </c>
      <c r="BE2813" s="77"/>
      <c r="BF2813" s="77"/>
      <c r="BG2813" s="77"/>
      <c r="BH2813" s="77"/>
      <c r="BI2813" s="77"/>
    </row>
    <row r="2814" spans="1:61" x14ac:dyDescent="0.25">
      <c r="A2814" s="62" t="s">
        <v>646</v>
      </c>
      <c r="B2814" s="62" t="s">
        <v>646</v>
      </c>
      <c r="C2814" s="63"/>
      <c r="D2814" s="64"/>
      <c r="E2814" s="65"/>
      <c r="F2814" s="66"/>
      <c r="G2814" s="63"/>
      <c r="H2814" s="67"/>
      <c r="I2814" s="68"/>
      <c r="J2814" s="68"/>
      <c r="K2814" s="32"/>
      <c r="L2814" s="75">
        <v>2814</v>
      </c>
      <c r="M2814" s="75"/>
      <c r="N2814" s="70"/>
      <c r="O2814" s="77" t="s">
        <v>179</v>
      </c>
      <c r="P2814" s="79">
        <v>45064.765717592592</v>
      </c>
      <c r="Q2814" s="77" t="s">
        <v>3591</v>
      </c>
      <c r="R2814" s="77">
        <v>0</v>
      </c>
      <c r="S2814" s="77">
        <v>0</v>
      </c>
      <c r="T2814" s="77">
        <v>0</v>
      </c>
      <c r="U2814" s="77">
        <v>0</v>
      </c>
      <c r="V2814" s="77">
        <v>29</v>
      </c>
      <c r="W2814" s="82" t="s">
        <v>6382</v>
      </c>
      <c r="X2814" s="80" t="str">
        <f>HYPERLINK("https://tinyurl.com/2fl5ywau")</f>
        <v>https://tinyurl.com/2fl5ywau</v>
      </c>
      <c r="Y2814" s="77" t="s">
        <v>7068</v>
      </c>
      <c r="Z2814" s="77"/>
      <c r="AA2814" s="77"/>
      <c r="AB2814" s="77"/>
      <c r="AC2814" s="82" t="s">
        <v>8275</v>
      </c>
      <c r="AD2814" s="77" t="s">
        <v>8278</v>
      </c>
      <c r="AE2814" s="80" t="str">
        <f>HYPERLINK("https://twitter.com/pauta_economica/status/1659263238868201472")</f>
        <v>https://twitter.com/pauta_economica/status/1659263238868201472</v>
      </c>
      <c r="AF2814" s="79">
        <v>45064.765717592592</v>
      </c>
      <c r="AG2814" s="85">
        <v>45064</v>
      </c>
      <c r="AH2814" s="82" t="s">
        <v>10851</v>
      </c>
      <c r="AI2814" s="77" t="b">
        <v>0</v>
      </c>
      <c r="AJ2814" s="77"/>
      <c r="AK2814" s="77"/>
      <c r="AL2814" s="77"/>
      <c r="AM2814" s="77"/>
      <c r="AN2814" s="77"/>
      <c r="AO2814" s="77"/>
      <c r="AP2814" s="77"/>
      <c r="AQ2814" s="77"/>
      <c r="AR2814" s="77"/>
      <c r="AS2814" s="77"/>
      <c r="AT2814" s="77"/>
      <c r="AU2814" s="77"/>
      <c r="AV2814" s="80" t="str">
        <f>HYPERLINK("https://pbs.twimg.com/profile_images/1588668531910082561/XEi-lXiu_normal.jpg")</f>
        <v>https://pbs.twimg.com/profile_images/1588668531910082561/XEi-lXiu_normal.jpg</v>
      </c>
      <c r="AW2814" s="82" t="s">
        <v>15898</v>
      </c>
      <c r="AX2814" s="82" t="s">
        <v>15898</v>
      </c>
      <c r="AY2814" s="77"/>
      <c r="AZ2814" s="82" t="s">
        <v>17385</v>
      </c>
      <c r="BA2814" s="82" t="s">
        <v>17385</v>
      </c>
      <c r="BB2814" s="82" t="s">
        <v>17385</v>
      </c>
      <c r="BC2814" s="82" t="s">
        <v>15898</v>
      </c>
      <c r="BD2814" s="82" t="s">
        <v>17667</v>
      </c>
      <c r="BE2814" s="77"/>
      <c r="BF2814" s="77"/>
      <c r="BG2814" s="77"/>
      <c r="BH2814" s="77"/>
      <c r="BI2814" s="77"/>
    </row>
    <row r="2815" spans="1:61" x14ac:dyDescent="0.25">
      <c r="A2815" s="62" t="s">
        <v>646</v>
      </c>
      <c r="B2815" s="62" t="s">
        <v>646</v>
      </c>
      <c r="C2815" s="63"/>
      <c r="D2815" s="64"/>
      <c r="E2815" s="65"/>
      <c r="F2815" s="66"/>
      <c r="G2815" s="63"/>
      <c r="H2815" s="67"/>
      <c r="I2815" s="68"/>
      <c r="J2815" s="68"/>
      <c r="K2815" s="32"/>
      <c r="L2815" s="75">
        <v>2815</v>
      </c>
      <c r="M2815" s="75"/>
      <c r="N2815" s="70"/>
      <c r="O2815" s="77" t="s">
        <v>179</v>
      </c>
      <c r="P2815" s="79">
        <v>45197.570729166669</v>
      </c>
      <c r="Q2815" s="77" t="s">
        <v>3592</v>
      </c>
      <c r="R2815" s="77">
        <v>0</v>
      </c>
      <c r="S2815" s="77">
        <v>0</v>
      </c>
      <c r="T2815" s="77">
        <v>0</v>
      </c>
      <c r="U2815" s="77">
        <v>0</v>
      </c>
      <c r="V2815" s="77">
        <v>23</v>
      </c>
      <c r="W2815" s="82" t="s">
        <v>6382</v>
      </c>
      <c r="X2815" s="80" t="str">
        <f>HYPERLINK("https://tinyurl.com/2b5tv257")</f>
        <v>https://tinyurl.com/2b5tv257</v>
      </c>
      <c r="Y2815" s="77" t="s">
        <v>7068</v>
      </c>
      <c r="Z2815" s="77"/>
      <c r="AA2815" s="77"/>
      <c r="AB2815" s="77"/>
      <c r="AC2815" s="82" t="s">
        <v>8276</v>
      </c>
      <c r="AD2815" s="77" t="s">
        <v>8278</v>
      </c>
      <c r="AE2815" s="80" t="str">
        <f>HYPERLINK("https://twitter.com/pauta_economica/status/1707390163314204689")</f>
        <v>https://twitter.com/pauta_economica/status/1707390163314204689</v>
      </c>
      <c r="AF2815" s="79">
        <v>45197.570729166669</v>
      </c>
      <c r="AG2815" s="85">
        <v>45197</v>
      </c>
      <c r="AH2815" s="82" t="s">
        <v>10852</v>
      </c>
      <c r="AI2815" s="77" t="b">
        <v>0</v>
      </c>
      <c r="AJ2815" s="77"/>
      <c r="AK2815" s="77"/>
      <c r="AL2815" s="77"/>
      <c r="AM2815" s="77"/>
      <c r="AN2815" s="77"/>
      <c r="AO2815" s="77"/>
      <c r="AP2815" s="77"/>
      <c r="AQ2815" s="77"/>
      <c r="AR2815" s="77"/>
      <c r="AS2815" s="77"/>
      <c r="AT2815" s="77"/>
      <c r="AU2815" s="77"/>
      <c r="AV2815" s="80" t="str">
        <f>HYPERLINK("https://pbs.twimg.com/profile_images/1588668531910082561/XEi-lXiu_normal.jpg")</f>
        <v>https://pbs.twimg.com/profile_images/1588668531910082561/XEi-lXiu_normal.jpg</v>
      </c>
      <c r="AW2815" s="82" t="s">
        <v>15899</v>
      </c>
      <c r="AX2815" s="82" t="s">
        <v>15899</v>
      </c>
      <c r="AY2815" s="77"/>
      <c r="AZ2815" s="82" t="s">
        <v>17385</v>
      </c>
      <c r="BA2815" s="82" t="s">
        <v>17385</v>
      </c>
      <c r="BB2815" s="82" t="s">
        <v>17385</v>
      </c>
      <c r="BC2815" s="82" t="s">
        <v>15899</v>
      </c>
      <c r="BD2815" s="82" t="s">
        <v>17667</v>
      </c>
      <c r="BE2815" s="77"/>
      <c r="BF2815" s="77"/>
      <c r="BG2815" s="77"/>
      <c r="BH2815" s="77"/>
      <c r="BI2815" s="77"/>
    </row>
    <row r="2816" spans="1:61" x14ac:dyDescent="0.25">
      <c r="A2816" s="62" t="s">
        <v>646</v>
      </c>
      <c r="B2816" s="62" t="s">
        <v>646</v>
      </c>
      <c r="C2816" s="63"/>
      <c r="D2816" s="64"/>
      <c r="E2816" s="65"/>
      <c r="F2816" s="66"/>
      <c r="G2816" s="63"/>
      <c r="H2816" s="67"/>
      <c r="I2816" s="68"/>
      <c r="J2816" s="68"/>
      <c r="K2816" s="32"/>
      <c r="L2816" s="75">
        <v>2816</v>
      </c>
      <c r="M2816" s="75"/>
      <c r="N2816" s="70"/>
      <c r="O2816" s="77" t="s">
        <v>179</v>
      </c>
      <c r="P2816" s="79">
        <v>45190.605833333335</v>
      </c>
      <c r="Q2816" s="77" t="s">
        <v>3593</v>
      </c>
      <c r="R2816" s="77">
        <v>0</v>
      </c>
      <c r="S2816" s="77">
        <v>0</v>
      </c>
      <c r="T2816" s="77">
        <v>0</v>
      </c>
      <c r="U2816" s="77">
        <v>0</v>
      </c>
      <c r="V2816" s="77">
        <v>153</v>
      </c>
      <c r="W2816" s="82" t="s">
        <v>6382</v>
      </c>
      <c r="X2816" s="80" t="str">
        <f>HYPERLINK("https://tinyurl.com/26hu78bb")</f>
        <v>https://tinyurl.com/26hu78bb</v>
      </c>
      <c r="Y2816" s="77" t="s">
        <v>7068</v>
      </c>
      <c r="Z2816" s="77"/>
      <c r="AA2816" s="77"/>
      <c r="AB2816" s="77"/>
      <c r="AC2816" s="82" t="s">
        <v>8276</v>
      </c>
      <c r="AD2816" s="77" t="s">
        <v>8278</v>
      </c>
      <c r="AE2816" s="80" t="str">
        <f>HYPERLINK("https://twitter.com/pauta_economica/status/1704866170216554641")</f>
        <v>https://twitter.com/pauta_economica/status/1704866170216554641</v>
      </c>
      <c r="AF2816" s="79">
        <v>45190.605833333335</v>
      </c>
      <c r="AG2816" s="85">
        <v>45190</v>
      </c>
      <c r="AH2816" s="82" t="s">
        <v>10853</v>
      </c>
      <c r="AI2816" s="77" t="b">
        <v>0</v>
      </c>
      <c r="AJ2816" s="77"/>
      <c r="AK2816" s="77"/>
      <c r="AL2816" s="77"/>
      <c r="AM2816" s="77"/>
      <c r="AN2816" s="77"/>
      <c r="AO2816" s="77"/>
      <c r="AP2816" s="77"/>
      <c r="AQ2816" s="77"/>
      <c r="AR2816" s="77"/>
      <c r="AS2816" s="77"/>
      <c r="AT2816" s="77"/>
      <c r="AU2816" s="77"/>
      <c r="AV2816" s="80" t="str">
        <f>HYPERLINK("https://pbs.twimg.com/profile_images/1588668531910082561/XEi-lXiu_normal.jpg")</f>
        <v>https://pbs.twimg.com/profile_images/1588668531910082561/XEi-lXiu_normal.jpg</v>
      </c>
      <c r="AW2816" s="82" t="s">
        <v>15900</v>
      </c>
      <c r="AX2816" s="82" t="s">
        <v>15900</v>
      </c>
      <c r="AY2816" s="77"/>
      <c r="AZ2816" s="82" t="s">
        <v>17385</v>
      </c>
      <c r="BA2816" s="82" t="s">
        <v>17385</v>
      </c>
      <c r="BB2816" s="82" t="s">
        <v>17385</v>
      </c>
      <c r="BC2816" s="82" t="s">
        <v>15900</v>
      </c>
      <c r="BD2816" s="82" t="s">
        <v>17667</v>
      </c>
      <c r="BE2816" s="77"/>
      <c r="BF2816" s="77"/>
      <c r="BG2816" s="77"/>
      <c r="BH2816" s="77"/>
      <c r="BI2816" s="77"/>
    </row>
    <row r="2817" spans="1:61" x14ac:dyDescent="0.25">
      <c r="A2817" s="62" t="s">
        <v>646</v>
      </c>
      <c r="B2817" s="62" t="s">
        <v>646</v>
      </c>
      <c r="C2817" s="63"/>
      <c r="D2817" s="64"/>
      <c r="E2817" s="65"/>
      <c r="F2817" s="66"/>
      <c r="G2817" s="63"/>
      <c r="H2817" s="67"/>
      <c r="I2817" s="68"/>
      <c r="J2817" s="68"/>
      <c r="K2817" s="32"/>
      <c r="L2817" s="75">
        <v>2817</v>
      </c>
      <c r="M2817" s="75"/>
      <c r="N2817" s="70"/>
      <c r="O2817" s="77" t="s">
        <v>179</v>
      </c>
      <c r="P2817" s="79">
        <v>45190.598900462966</v>
      </c>
      <c r="Q2817" s="77" t="s">
        <v>3594</v>
      </c>
      <c r="R2817" s="77">
        <v>0</v>
      </c>
      <c r="S2817" s="77">
        <v>0</v>
      </c>
      <c r="T2817" s="77">
        <v>0</v>
      </c>
      <c r="U2817" s="77">
        <v>0</v>
      </c>
      <c r="V2817" s="77">
        <v>31</v>
      </c>
      <c r="W2817" s="82" t="s">
        <v>6382</v>
      </c>
      <c r="X2817" s="80" t="str">
        <f>HYPERLINK("https://tinyurl.com/29bpn5yg")</f>
        <v>https://tinyurl.com/29bpn5yg</v>
      </c>
      <c r="Y2817" s="77" t="s">
        <v>7068</v>
      </c>
      <c r="Z2817" s="77"/>
      <c r="AA2817" s="77"/>
      <c r="AB2817" s="77"/>
      <c r="AC2817" s="82" t="s">
        <v>8276</v>
      </c>
      <c r="AD2817" s="77" t="s">
        <v>8278</v>
      </c>
      <c r="AE2817" s="80" t="str">
        <f>HYPERLINK("https://twitter.com/pauta_economica/status/1704863656691880119")</f>
        <v>https://twitter.com/pauta_economica/status/1704863656691880119</v>
      </c>
      <c r="AF2817" s="79">
        <v>45190.598900462966</v>
      </c>
      <c r="AG2817" s="85">
        <v>45190</v>
      </c>
      <c r="AH2817" s="82" t="s">
        <v>10854</v>
      </c>
      <c r="AI2817" s="77" t="b">
        <v>0</v>
      </c>
      <c r="AJ2817" s="77"/>
      <c r="AK2817" s="77"/>
      <c r="AL2817" s="77"/>
      <c r="AM2817" s="77"/>
      <c r="AN2817" s="77"/>
      <c r="AO2817" s="77"/>
      <c r="AP2817" s="77"/>
      <c r="AQ2817" s="77"/>
      <c r="AR2817" s="77"/>
      <c r="AS2817" s="77"/>
      <c r="AT2817" s="77"/>
      <c r="AU2817" s="77"/>
      <c r="AV2817" s="80" t="str">
        <f>HYPERLINK("https://pbs.twimg.com/profile_images/1588668531910082561/XEi-lXiu_normal.jpg")</f>
        <v>https://pbs.twimg.com/profile_images/1588668531910082561/XEi-lXiu_normal.jpg</v>
      </c>
      <c r="AW2817" s="82" t="s">
        <v>15901</v>
      </c>
      <c r="AX2817" s="82" t="s">
        <v>15901</v>
      </c>
      <c r="AY2817" s="77"/>
      <c r="AZ2817" s="82" t="s">
        <v>17385</v>
      </c>
      <c r="BA2817" s="82" t="s">
        <v>17385</v>
      </c>
      <c r="BB2817" s="82" t="s">
        <v>17385</v>
      </c>
      <c r="BC2817" s="82" t="s">
        <v>15901</v>
      </c>
      <c r="BD2817" s="82" t="s">
        <v>17667</v>
      </c>
      <c r="BE2817" s="77"/>
      <c r="BF2817" s="77"/>
      <c r="BG2817" s="77"/>
      <c r="BH2817" s="77"/>
      <c r="BI2817" s="77"/>
    </row>
    <row r="2818" spans="1:61" x14ac:dyDescent="0.25">
      <c r="A2818" s="62" t="s">
        <v>646</v>
      </c>
      <c r="B2818" s="62" t="s">
        <v>646</v>
      </c>
      <c r="C2818" s="63"/>
      <c r="D2818" s="64"/>
      <c r="E2818" s="65"/>
      <c r="F2818" s="66"/>
      <c r="G2818" s="63"/>
      <c r="H2818" s="67"/>
      <c r="I2818" s="68"/>
      <c r="J2818" s="68"/>
      <c r="K2818" s="32"/>
      <c r="L2818" s="75">
        <v>2818</v>
      </c>
      <c r="M2818" s="75"/>
      <c r="N2818" s="70"/>
      <c r="O2818" s="77" t="s">
        <v>179</v>
      </c>
      <c r="P2818" s="79">
        <v>45190.591805555552</v>
      </c>
      <c r="Q2818" s="77" t="s">
        <v>3595</v>
      </c>
      <c r="R2818" s="77">
        <v>0</v>
      </c>
      <c r="S2818" s="77">
        <v>0</v>
      </c>
      <c r="T2818" s="77">
        <v>0</v>
      </c>
      <c r="U2818" s="77">
        <v>0</v>
      </c>
      <c r="V2818" s="77">
        <v>33</v>
      </c>
      <c r="W2818" s="82" t="s">
        <v>6382</v>
      </c>
      <c r="X2818" s="80" t="str">
        <f>HYPERLINK("https://tinyurl.com/2b3gobz7")</f>
        <v>https://tinyurl.com/2b3gobz7</v>
      </c>
      <c r="Y2818" s="77" t="s">
        <v>7068</v>
      </c>
      <c r="Z2818" s="77"/>
      <c r="AA2818" s="77"/>
      <c r="AB2818" s="77"/>
      <c r="AC2818" s="82" t="s">
        <v>8276</v>
      </c>
      <c r="AD2818" s="77" t="s">
        <v>8278</v>
      </c>
      <c r="AE2818" s="80" t="str">
        <f>HYPERLINK("https://twitter.com/pauta_economica/status/1704861087860961682")</f>
        <v>https://twitter.com/pauta_economica/status/1704861087860961682</v>
      </c>
      <c r="AF2818" s="79">
        <v>45190.591805555552</v>
      </c>
      <c r="AG2818" s="85">
        <v>45190</v>
      </c>
      <c r="AH2818" s="82" t="s">
        <v>9852</v>
      </c>
      <c r="AI2818" s="77" t="b">
        <v>0</v>
      </c>
      <c r="AJ2818" s="77"/>
      <c r="AK2818" s="77"/>
      <c r="AL2818" s="77"/>
      <c r="AM2818" s="77"/>
      <c r="AN2818" s="77"/>
      <c r="AO2818" s="77"/>
      <c r="AP2818" s="77"/>
      <c r="AQ2818" s="77"/>
      <c r="AR2818" s="77"/>
      <c r="AS2818" s="77"/>
      <c r="AT2818" s="77"/>
      <c r="AU2818" s="77"/>
      <c r="AV2818" s="80" t="str">
        <f>HYPERLINK("https://pbs.twimg.com/profile_images/1588668531910082561/XEi-lXiu_normal.jpg")</f>
        <v>https://pbs.twimg.com/profile_images/1588668531910082561/XEi-lXiu_normal.jpg</v>
      </c>
      <c r="AW2818" s="82" t="s">
        <v>15902</v>
      </c>
      <c r="AX2818" s="82" t="s">
        <v>15902</v>
      </c>
      <c r="AY2818" s="77"/>
      <c r="AZ2818" s="82" t="s">
        <v>17385</v>
      </c>
      <c r="BA2818" s="82" t="s">
        <v>17385</v>
      </c>
      <c r="BB2818" s="82" t="s">
        <v>17385</v>
      </c>
      <c r="BC2818" s="82" t="s">
        <v>15902</v>
      </c>
      <c r="BD2818" s="82" t="s">
        <v>17667</v>
      </c>
      <c r="BE2818" s="77"/>
      <c r="BF2818" s="77"/>
      <c r="BG2818" s="77"/>
      <c r="BH2818" s="77"/>
      <c r="BI2818" s="77"/>
    </row>
    <row r="2819" spans="1:61" x14ac:dyDescent="0.25">
      <c r="A2819" s="62" t="s">
        <v>646</v>
      </c>
      <c r="B2819" s="62" t="s">
        <v>646</v>
      </c>
      <c r="C2819" s="63"/>
      <c r="D2819" s="64"/>
      <c r="E2819" s="65"/>
      <c r="F2819" s="66"/>
      <c r="G2819" s="63"/>
      <c r="H2819" s="67"/>
      <c r="I2819" s="68"/>
      <c r="J2819" s="68"/>
      <c r="K2819" s="32"/>
      <c r="L2819" s="75">
        <v>2819</v>
      </c>
      <c r="M2819" s="75"/>
      <c r="N2819" s="70"/>
      <c r="O2819" s="77" t="s">
        <v>179</v>
      </c>
      <c r="P2819" s="79">
        <v>45190.584837962961</v>
      </c>
      <c r="Q2819" s="77" t="s">
        <v>3596</v>
      </c>
      <c r="R2819" s="77">
        <v>0</v>
      </c>
      <c r="S2819" s="77">
        <v>0</v>
      </c>
      <c r="T2819" s="77">
        <v>0</v>
      </c>
      <c r="U2819" s="77">
        <v>0</v>
      </c>
      <c r="V2819" s="77">
        <v>51</v>
      </c>
      <c r="W2819" s="82" t="s">
        <v>6382</v>
      </c>
      <c r="X2819" s="80" t="str">
        <f>HYPERLINK("https://tinyurl.com/23z5cklb")</f>
        <v>https://tinyurl.com/23z5cklb</v>
      </c>
      <c r="Y2819" s="77" t="s">
        <v>7068</v>
      </c>
      <c r="Z2819" s="77"/>
      <c r="AA2819" s="77"/>
      <c r="AB2819" s="77"/>
      <c r="AC2819" s="82" t="s">
        <v>8276</v>
      </c>
      <c r="AD2819" s="77" t="s">
        <v>8278</v>
      </c>
      <c r="AE2819" s="80" t="str">
        <f>HYPERLINK("https://twitter.com/pauta_economica/status/1704858563204571152")</f>
        <v>https://twitter.com/pauta_economica/status/1704858563204571152</v>
      </c>
      <c r="AF2819" s="79">
        <v>45190.584837962961</v>
      </c>
      <c r="AG2819" s="85">
        <v>45190</v>
      </c>
      <c r="AH2819" s="82" t="s">
        <v>10855</v>
      </c>
      <c r="AI2819" s="77" t="b">
        <v>0</v>
      </c>
      <c r="AJ2819" s="77"/>
      <c r="AK2819" s="77"/>
      <c r="AL2819" s="77"/>
      <c r="AM2819" s="77"/>
      <c r="AN2819" s="77"/>
      <c r="AO2819" s="77"/>
      <c r="AP2819" s="77"/>
      <c r="AQ2819" s="77"/>
      <c r="AR2819" s="77"/>
      <c r="AS2819" s="77"/>
      <c r="AT2819" s="77"/>
      <c r="AU2819" s="77"/>
      <c r="AV2819" s="80" t="str">
        <f>HYPERLINK("https://pbs.twimg.com/profile_images/1588668531910082561/XEi-lXiu_normal.jpg")</f>
        <v>https://pbs.twimg.com/profile_images/1588668531910082561/XEi-lXiu_normal.jpg</v>
      </c>
      <c r="AW2819" s="82" t="s">
        <v>15903</v>
      </c>
      <c r="AX2819" s="82" t="s">
        <v>15903</v>
      </c>
      <c r="AY2819" s="77"/>
      <c r="AZ2819" s="82" t="s">
        <v>17385</v>
      </c>
      <c r="BA2819" s="82" t="s">
        <v>17385</v>
      </c>
      <c r="BB2819" s="82" t="s">
        <v>17385</v>
      </c>
      <c r="BC2819" s="82" t="s">
        <v>15903</v>
      </c>
      <c r="BD2819" s="82" t="s">
        <v>17667</v>
      </c>
      <c r="BE2819" s="77"/>
      <c r="BF2819" s="77"/>
      <c r="BG2819" s="77"/>
      <c r="BH2819" s="77"/>
      <c r="BI2819" s="77"/>
    </row>
    <row r="2820" spans="1:61" x14ac:dyDescent="0.25">
      <c r="A2820" s="62" t="s">
        <v>646</v>
      </c>
      <c r="B2820" s="62" t="s">
        <v>646</v>
      </c>
      <c r="C2820" s="63"/>
      <c r="D2820" s="64"/>
      <c r="E2820" s="65"/>
      <c r="F2820" s="66"/>
      <c r="G2820" s="63"/>
      <c r="H2820" s="67"/>
      <c r="I2820" s="68"/>
      <c r="J2820" s="68"/>
      <c r="K2820" s="32"/>
      <c r="L2820" s="75">
        <v>2820</v>
      </c>
      <c r="M2820" s="75"/>
      <c r="N2820" s="70"/>
      <c r="O2820" s="77" t="s">
        <v>179</v>
      </c>
      <c r="P2820" s="79">
        <v>45190.570891203701</v>
      </c>
      <c r="Q2820" s="77" t="s">
        <v>3597</v>
      </c>
      <c r="R2820" s="77">
        <v>0</v>
      </c>
      <c r="S2820" s="77">
        <v>0</v>
      </c>
      <c r="T2820" s="77">
        <v>0</v>
      </c>
      <c r="U2820" s="77">
        <v>0</v>
      </c>
      <c r="V2820" s="77">
        <v>44</v>
      </c>
      <c r="W2820" s="82" t="s">
        <v>6382</v>
      </c>
      <c r="X2820" s="80" t="str">
        <f>HYPERLINK("https://tinyurl.com/225s2pk8")</f>
        <v>https://tinyurl.com/225s2pk8</v>
      </c>
      <c r="Y2820" s="77" t="s">
        <v>7068</v>
      </c>
      <c r="Z2820" s="77"/>
      <c r="AA2820" s="77"/>
      <c r="AB2820" s="77"/>
      <c r="AC2820" s="82" t="s">
        <v>8276</v>
      </c>
      <c r="AD2820" s="77" t="s">
        <v>8278</v>
      </c>
      <c r="AE2820" s="80" t="str">
        <f>HYPERLINK("https://twitter.com/pauta_economica/status/1704853508036431875")</f>
        <v>https://twitter.com/pauta_economica/status/1704853508036431875</v>
      </c>
      <c r="AF2820" s="79">
        <v>45190.570891203701</v>
      </c>
      <c r="AG2820" s="85">
        <v>45190</v>
      </c>
      <c r="AH2820" s="82" t="s">
        <v>10856</v>
      </c>
      <c r="AI2820" s="77" t="b">
        <v>0</v>
      </c>
      <c r="AJ2820" s="77"/>
      <c r="AK2820" s="77"/>
      <c r="AL2820" s="77"/>
      <c r="AM2820" s="77"/>
      <c r="AN2820" s="77"/>
      <c r="AO2820" s="77"/>
      <c r="AP2820" s="77"/>
      <c r="AQ2820" s="77"/>
      <c r="AR2820" s="77"/>
      <c r="AS2820" s="77"/>
      <c r="AT2820" s="77"/>
      <c r="AU2820" s="77"/>
      <c r="AV2820" s="80" t="str">
        <f>HYPERLINK("https://pbs.twimg.com/profile_images/1588668531910082561/XEi-lXiu_normal.jpg")</f>
        <v>https://pbs.twimg.com/profile_images/1588668531910082561/XEi-lXiu_normal.jpg</v>
      </c>
      <c r="AW2820" s="82" t="s">
        <v>15904</v>
      </c>
      <c r="AX2820" s="82" t="s">
        <v>15904</v>
      </c>
      <c r="AY2820" s="77"/>
      <c r="AZ2820" s="82" t="s">
        <v>17385</v>
      </c>
      <c r="BA2820" s="82" t="s">
        <v>17385</v>
      </c>
      <c r="BB2820" s="82" t="s">
        <v>17385</v>
      </c>
      <c r="BC2820" s="82" t="s">
        <v>15904</v>
      </c>
      <c r="BD2820" s="82" t="s">
        <v>17667</v>
      </c>
      <c r="BE2820" s="77"/>
      <c r="BF2820" s="77"/>
      <c r="BG2820" s="77"/>
      <c r="BH2820" s="77"/>
      <c r="BI2820" s="77"/>
    </row>
    <row r="2821" spans="1:61" x14ac:dyDescent="0.25">
      <c r="A2821" s="62" t="s">
        <v>646</v>
      </c>
      <c r="B2821" s="62" t="s">
        <v>646</v>
      </c>
      <c r="C2821" s="63"/>
      <c r="D2821" s="64"/>
      <c r="E2821" s="65"/>
      <c r="F2821" s="66"/>
      <c r="G2821" s="63"/>
      <c r="H2821" s="67"/>
      <c r="I2821" s="68"/>
      <c r="J2821" s="68"/>
      <c r="K2821" s="32"/>
      <c r="L2821" s="75">
        <v>2821</v>
      </c>
      <c r="M2821" s="75"/>
      <c r="N2821" s="70"/>
      <c r="O2821" s="77" t="s">
        <v>179</v>
      </c>
      <c r="P2821" s="79">
        <v>45190.56391203704</v>
      </c>
      <c r="Q2821" s="77" t="s">
        <v>3598</v>
      </c>
      <c r="R2821" s="77">
        <v>0</v>
      </c>
      <c r="S2821" s="77">
        <v>0</v>
      </c>
      <c r="T2821" s="77">
        <v>0</v>
      </c>
      <c r="U2821" s="77">
        <v>0</v>
      </c>
      <c r="V2821" s="77">
        <v>193</v>
      </c>
      <c r="W2821" s="82" t="s">
        <v>6382</v>
      </c>
      <c r="X2821" s="80" t="str">
        <f>HYPERLINK("https://tinyurl.com/2bcpa4p3")</f>
        <v>https://tinyurl.com/2bcpa4p3</v>
      </c>
      <c r="Y2821" s="77" t="s">
        <v>7068</v>
      </c>
      <c r="Z2821" s="77"/>
      <c r="AA2821" s="77"/>
      <c r="AB2821" s="77"/>
      <c r="AC2821" s="82" t="s">
        <v>8276</v>
      </c>
      <c r="AD2821" s="77" t="s">
        <v>8278</v>
      </c>
      <c r="AE2821" s="80" t="str">
        <f>HYPERLINK("https://twitter.com/pauta_economica/status/1704850979504410969")</f>
        <v>https://twitter.com/pauta_economica/status/1704850979504410969</v>
      </c>
      <c r="AF2821" s="79">
        <v>45190.56391203704</v>
      </c>
      <c r="AG2821" s="85">
        <v>45190</v>
      </c>
      <c r="AH2821" s="82" t="s">
        <v>10857</v>
      </c>
      <c r="AI2821" s="77" t="b">
        <v>0</v>
      </c>
      <c r="AJ2821" s="77"/>
      <c r="AK2821" s="77"/>
      <c r="AL2821" s="77"/>
      <c r="AM2821" s="77"/>
      <c r="AN2821" s="77"/>
      <c r="AO2821" s="77"/>
      <c r="AP2821" s="77"/>
      <c r="AQ2821" s="77"/>
      <c r="AR2821" s="77"/>
      <c r="AS2821" s="77"/>
      <c r="AT2821" s="77"/>
      <c r="AU2821" s="77"/>
      <c r="AV2821" s="80" t="str">
        <f>HYPERLINK("https://pbs.twimg.com/profile_images/1588668531910082561/XEi-lXiu_normal.jpg")</f>
        <v>https://pbs.twimg.com/profile_images/1588668531910082561/XEi-lXiu_normal.jpg</v>
      </c>
      <c r="AW2821" s="82" t="s">
        <v>15905</v>
      </c>
      <c r="AX2821" s="82" t="s">
        <v>15905</v>
      </c>
      <c r="AY2821" s="77"/>
      <c r="AZ2821" s="82" t="s">
        <v>17385</v>
      </c>
      <c r="BA2821" s="82" t="s">
        <v>17385</v>
      </c>
      <c r="BB2821" s="82" t="s">
        <v>17385</v>
      </c>
      <c r="BC2821" s="82" t="s">
        <v>15905</v>
      </c>
      <c r="BD2821" s="82" t="s">
        <v>17667</v>
      </c>
      <c r="BE2821" s="77"/>
      <c r="BF2821" s="77"/>
      <c r="BG2821" s="77"/>
      <c r="BH2821" s="77"/>
      <c r="BI2821" s="77"/>
    </row>
    <row r="2822" spans="1:61" x14ac:dyDescent="0.25">
      <c r="A2822" s="62" t="s">
        <v>646</v>
      </c>
      <c r="B2822" s="62" t="s">
        <v>646</v>
      </c>
      <c r="C2822" s="63"/>
      <c r="D2822" s="64"/>
      <c r="E2822" s="65"/>
      <c r="F2822" s="66"/>
      <c r="G2822" s="63"/>
      <c r="H2822" s="67"/>
      <c r="I2822" s="68"/>
      <c r="J2822" s="68"/>
      <c r="K2822" s="32"/>
      <c r="L2822" s="75">
        <v>2822</v>
      </c>
      <c r="M2822" s="75"/>
      <c r="N2822" s="70"/>
      <c r="O2822" s="77" t="s">
        <v>179</v>
      </c>
      <c r="P2822" s="79">
        <v>45082.512789351851</v>
      </c>
      <c r="Q2822" s="77" t="s">
        <v>3599</v>
      </c>
      <c r="R2822" s="77">
        <v>0</v>
      </c>
      <c r="S2822" s="77">
        <v>1</v>
      </c>
      <c r="T2822" s="77">
        <v>0</v>
      </c>
      <c r="U2822" s="77">
        <v>0</v>
      </c>
      <c r="V2822" s="77">
        <v>32</v>
      </c>
      <c r="W2822" s="82" t="s">
        <v>6382</v>
      </c>
      <c r="X2822" s="80" t="str">
        <f>HYPERLINK("https://tinyurl.com/2zjejoz2")</f>
        <v>https://tinyurl.com/2zjejoz2</v>
      </c>
      <c r="Y2822" s="77" t="s">
        <v>7068</v>
      </c>
      <c r="Z2822" s="77"/>
      <c r="AA2822" s="77"/>
      <c r="AB2822" s="77"/>
      <c r="AC2822" s="82" t="s">
        <v>8274</v>
      </c>
      <c r="AD2822" s="77" t="s">
        <v>8278</v>
      </c>
      <c r="AE2822" s="80" t="str">
        <f>HYPERLINK("https://twitter.com/pauta_economica/status/1665694563413917697")</f>
        <v>https://twitter.com/pauta_economica/status/1665694563413917697</v>
      </c>
      <c r="AF2822" s="79">
        <v>45082.512789351851</v>
      </c>
      <c r="AG2822" s="85">
        <v>45082</v>
      </c>
      <c r="AH2822" s="82" t="s">
        <v>10858</v>
      </c>
      <c r="AI2822" s="77" t="b">
        <v>0</v>
      </c>
      <c r="AJ2822" s="77"/>
      <c r="AK2822" s="77"/>
      <c r="AL2822" s="77"/>
      <c r="AM2822" s="77"/>
      <c r="AN2822" s="77"/>
      <c r="AO2822" s="77"/>
      <c r="AP2822" s="77"/>
      <c r="AQ2822" s="77"/>
      <c r="AR2822" s="77"/>
      <c r="AS2822" s="77"/>
      <c r="AT2822" s="77"/>
      <c r="AU2822" s="77"/>
      <c r="AV2822" s="80" t="str">
        <f>HYPERLINK("https://pbs.twimg.com/profile_images/1588668531910082561/XEi-lXiu_normal.jpg")</f>
        <v>https://pbs.twimg.com/profile_images/1588668531910082561/XEi-lXiu_normal.jpg</v>
      </c>
      <c r="AW2822" s="82" t="s">
        <v>15906</v>
      </c>
      <c r="AX2822" s="82" t="s">
        <v>15906</v>
      </c>
      <c r="AY2822" s="77"/>
      <c r="AZ2822" s="82" t="s">
        <v>17385</v>
      </c>
      <c r="BA2822" s="82" t="s">
        <v>17385</v>
      </c>
      <c r="BB2822" s="82" t="s">
        <v>17385</v>
      </c>
      <c r="BC2822" s="82" t="s">
        <v>15906</v>
      </c>
      <c r="BD2822" s="82" t="s">
        <v>17667</v>
      </c>
      <c r="BE2822" s="77"/>
      <c r="BF2822" s="77"/>
      <c r="BG2822" s="77"/>
      <c r="BH2822" s="77"/>
      <c r="BI2822" s="77"/>
    </row>
    <row r="2823" spans="1:61" x14ac:dyDescent="0.25">
      <c r="A2823" s="62" t="s">
        <v>646</v>
      </c>
      <c r="B2823" s="62" t="s">
        <v>646</v>
      </c>
      <c r="C2823" s="63"/>
      <c r="D2823" s="64"/>
      <c r="E2823" s="65"/>
      <c r="F2823" s="66"/>
      <c r="G2823" s="63"/>
      <c r="H2823" s="67"/>
      <c r="I2823" s="68"/>
      <c r="J2823" s="68"/>
      <c r="K2823" s="32"/>
      <c r="L2823" s="75">
        <v>2823</v>
      </c>
      <c r="M2823" s="75"/>
      <c r="N2823" s="70"/>
      <c r="O2823" s="77" t="s">
        <v>179</v>
      </c>
      <c r="P2823" s="79">
        <v>45082.50582175926</v>
      </c>
      <c r="Q2823" s="77" t="s">
        <v>3600</v>
      </c>
      <c r="R2823" s="77">
        <v>0</v>
      </c>
      <c r="S2823" s="77">
        <v>0</v>
      </c>
      <c r="T2823" s="77">
        <v>0</v>
      </c>
      <c r="U2823" s="77">
        <v>0</v>
      </c>
      <c r="V2823" s="77">
        <v>33</v>
      </c>
      <c r="W2823" s="82" t="s">
        <v>6382</v>
      </c>
      <c r="X2823" s="80" t="str">
        <f>HYPERLINK("https://tinyurl.com/2ejhdlm8")</f>
        <v>https://tinyurl.com/2ejhdlm8</v>
      </c>
      <c r="Y2823" s="77" t="s">
        <v>7068</v>
      </c>
      <c r="Z2823" s="77"/>
      <c r="AA2823" s="77"/>
      <c r="AB2823" s="77"/>
      <c r="AC2823" s="82" t="s">
        <v>8274</v>
      </c>
      <c r="AD2823" s="77" t="s">
        <v>8278</v>
      </c>
      <c r="AE2823" s="80" t="str">
        <f>HYPERLINK("https://twitter.com/pauta_economica/status/1665692038493270022")</f>
        <v>https://twitter.com/pauta_economica/status/1665692038493270022</v>
      </c>
      <c r="AF2823" s="79">
        <v>45082.50582175926</v>
      </c>
      <c r="AG2823" s="85">
        <v>45082</v>
      </c>
      <c r="AH2823" s="82" t="s">
        <v>10859</v>
      </c>
      <c r="AI2823" s="77" t="b">
        <v>0</v>
      </c>
      <c r="AJ2823" s="77"/>
      <c r="AK2823" s="77"/>
      <c r="AL2823" s="77"/>
      <c r="AM2823" s="77"/>
      <c r="AN2823" s="77"/>
      <c r="AO2823" s="77"/>
      <c r="AP2823" s="77"/>
      <c r="AQ2823" s="77"/>
      <c r="AR2823" s="77"/>
      <c r="AS2823" s="77"/>
      <c r="AT2823" s="77"/>
      <c r="AU2823" s="77"/>
      <c r="AV2823" s="80" t="str">
        <f>HYPERLINK("https://pbs.twimg.com/profile_images/1588668531910082561/XEi-lXiu_normal.jpg")</f>
        <v>https://pbs.twimg.com/profile_images/1588668531910082561/XEi-lXiu_normal.jpg</v>
      </c>
      <c r="AW2823" s="82" t="s">
        <v>15907</v>
      </c>
      <c r="AX2823" s="82" t="s">
        <v>15907</v>
      </c>
      <c r="AY2823" s="77"/>
      <c r="AZ2823" s="82" t="s">
        <v>17385</v>
      </c>
      <c r="BA2823" s="82" t="s">
        <v>17385</v>
      </c>
      <c r="BB2823" s="82" t="s">
        <v>17385</v>
      </c>
      <c r="BC2823" s="82" t="s">
        <v>15907</v>
      </c>
      <c r="BD2823" s="82" t="s">
        <v>17667</v>
      </c>
      <c r="BE2823" s="77"/>
      <c r="BF2823" s="77"/>
      <c r="BG2823" s="77"/>
      <c r="BH2823" s="77"/>
      <c r="BI2823" s="77"/>
    </row>
    <row r="2824" spans="1:61" x14ac:dyDescent="0.25">
      <c r="A2824" s="62" t="s">
        <v>646</v>
      </c>
      <c r="B2824" s="62" t="s">
        <v>646</v>
      </c>
      <c r="C2824" s="63"/>
      <c r="D2824" s="64"/>
      <c r="E2824" s="65"/>
      <c r="F2824" s="66"/>
      <c r="G2824" s="63"/>
      <c r="H2824" s="67"/>
      <c r="I2824" s="68"/>
      <c r="J2824" s="68"/>
      <c r="K2824" s="32"/>
      <c r="L2824" s="75">
        <v>2824</v>
      </c>
      <c r="M2824" s="75"/>
      <c r="N2824" s="70"/>
      <c r="O2824" s="77" t="s">
        <v>179</v>
      </c>
      <c r="P2824" s="79">
        <v>45082.498877314814</v>
      </c>
      <c r="Q2824" s="77" t="s">
        <v>3601</v>
      </c>
      <c r="R2824" s="77">
        <v>0</v>
      </c>
      <c r="S2824" s="77">
        <v>1</v>
      </c>
      <c r="T2824" s="77">
        <v>0</v>
      </c>
      <c r="U2824" s="77">
        <v>0</v>
      </c>
      <c r="V2824" s="77">
        <v>40</v>
      </c>
      <c r="W2824" s="82" t="s">
        <v>6382</v>
      </c>
      <c r="X2824" s="80" t="str">
        <f>HYPERLINK("https://tinyurl.com/2psucqbe")</f>
        <v>https://tinyurl.com/2psucqbe</v>
      </c>
      <c r="Y2824" s="77" t="s">
        <v>7068</v>
      </c>
      <c r="Z2824" s="77"/>
      <c r="AA2824" s="77"/>
      <c r="AB2824" s="77"/>
      <c r="AC2824" s="82" t="s">
        <v>8274</v>
      </c>
      <c r="AD2824" s="77" t="s">
        <v>8278</v>
      </c>
      <c r="AE2824" s="80" t="str">
        <f>HYPERLINK("https://twitter.com/pauta_economica/status/1665689521457885185")</f>
        <v>https://twitter.com/pauta_economica/status/1665689521457885185</v>
      </c>
      <c r="AF2824" s="79">
        <v>45082.498877314814</v>
      </c>
      <c r="AG2824" s="85">
        <v>45082</v>
      </c>
      <c r="AH2824" s="82" t="s">
        <v>10860</v>
      </c>
      <c r="AI2824" s="77" t="b">
        <v>0</v>
      </c>
      <c r="AJ2824" s="77"/>
      <c r="AK2824" s="77"/>
      <c r="AL2824" s="77"/>
      <c r="AM2824" s="77"/>
      <c r="AN2824" s="77"/>
      <c r="AO2824" s="77"/>
      <c r="AP2824" s="77"/>
      <c r="AQ2824" s="77"/>
      <c r="AR2824" s="77"/>
      <c r="AS2824" s="77"/>
      <c r="AT2824" s="77"/>
      <c r="AU2824" s="77"/>
      <c r="AV2824" s="80" t="str">
        <f>HYPERLINK("https://pbs.twimg.com/profile_images/1588668531910082561/XEi-lXiu_normal.jpg")</f>
        <v>https://pbs.twimg.com/profile_images/1588668531910082561/XEi-lXiu_normal.jpg</v>
      </c>
      <c r="AW2824" s="82" t="s">
        <v>15908</v>
      </c>
      <c r="AX2824" s="82" t="s">
        <v>15908</v>
      </c>
      <c r="AY2824" s="77"/>
      <c r="AZ2824" s="82" t="s">
        <v>17385</v>
      </c>
      <c r="BA2824" s="82" t="s">
        <v>17385</v>
      </c>
      <c r="BB2824" s="82" t="s">
        <v>17385</v>
      </c>
      <c r="BC2824" s="82" t="s">
        <v>15908</v>
      </c>
      <c r="BD2824" s="82" t="s">
        <v>17667</v>
      </c>
      <c r="BE2824" s="77"/>
      <c r="BF2824" s="77"/>
      <c r="BG2824" s="77"/>
      <c r="BH2824" s="77"/>
      <c r="BI2824" s="77"/>
    </row>
    <row r="2825" spans="1:61" x14ac:dyDescent="0.25">
      <c r="A2825" s="62" t="s">
        <v>646</v>
      </c>
      <c r="B2825" s="62" t="s">
        <v>646</v>
      </c>
      <c r="C2825" s="63"/>
      <c r="D2825" s="64"/>
      <c r="E2825" s="65"/>
      <c r="F2825" s="66"/>
      <c r="G2825" s="63"/>
      <c r="H2825" s="67"/>
      <c r="I2825" s="68"/>
      <c r="J2825" s="68"/>
      <c r="K2825" s="32"/>
      <c r="L2825" s="75">
        <v>2825</v>
      </c>
      <c r="M2825" s="75"/>
      <c r="N2825" s="70"/>
      <c r="O2825" s="77" t="s">
        <v>179</v>
      </c>
      <c r="P2825" s="79">
        <v>45080.505023148151</v>
      </c>
      <c r="Q2825" s="77" t="s">
        <v>3602</v>
      </c>
      <c r="R2825" s="77">
        <v>0</v>
      </c>
      <c r="S2825" s="77">
        <v>2</v>
      </c>
      <c r="T2825" s="77">
        <v>0</v>
      </c>
      <c r="U2825" s="77">
        <v>0</v>
      </c>
      <c r="V2825" s="77">
        <v>53</v>
      </c>
      <c r="W2825" s="82" t="s">
        <v>6382</v>
      </c>
      <c r="X2825" s="80" t="str">
        <f>HYPERLINK("https://tinyurl.com/2jwo8mfq")</f>
        <v>https://tinyurl.com/2jwo8mfq</v>
      </c>
      <c r="Y2825" s="77" t="s">
        <v>7068</v>
      </c>
      <c r="Z2825" s="77"/>
      <c r="AA2825" s="77"/>
      <c r="AB2825" s="77"/>
      <c r="AC2825" s="82" t="s">
        <v>8274</v>
      </c>
      <c r="AD2825" s="77" t="s">
        <v>8278</v>
      </c>
      <c r="AE2825" s="80" t="str">
        <f>HYPERLINK("https://twitter.com/pauta_economica/status/1664966973388730370")</f>
        <v>https://twitter.com/pauta_economica/status/1664966973388730370</v>
      </c>
      <c r="AF2825" s="79">
        <v>45080.505023148151</v>
      </c>
      <c r="AG2825" s="85">
        <v>45080</v>
      </c>
      <c r="AH2825" s="82" t="s">
        <v>10861</v>
      </c>
      <c r="AI2825" s="77" t="b">
        <v>0</v>
      </c>
      <c r="AJ2825" s="77"/>
      <c r="AK2825" s="77"/>
      <c r="AL2825" s="77"/>
      <c r="AM2825" s="77"/>
      <c r="AN2825" s="77"/>
      <c r="AO2825" s="77"/>
      <c r="AP2825" s="77"/>
      <c r="AQ2825" s="77"/>
      <c r="AR2825" s="77"/>
      <c r="AS2825" s="77"/>
      <c r="AT2825" s="77"/>
      <c r="AU2825" s="77"/>
      <c r="AV2825" s="80" t="str">
        <f>HYPERLINK("https://pbs.twimg.com/profile_images/1588668531910082561/XEi-lXiu_normal.jpg")</f>
        <v>https://pbs.twimg.com/profile_images/1588668531910082561/XEi-lXiu_normal.jpg</v>
      </c>
      <c r="AW2825" s="82" t="s">
        <v>15909</v>
      </c>
      <c r="AX2825" s="82" t="s">
        <v>15909</v>
      </c>
      <c r="AY2825" s="77"/>
      <c r="AZ2825" s="82" t="s">
        <v>17385</v>
      </c>
      <c r="BA2825" s="82" t="s">
        <v>17385</v>
      </c>
      <c r="BB2825" s="82" t="s">
        <v>17385</v>
      </c>
      <c r="BC2825" s="82" t="s">
        <v>15909</v>
      </c>
      <c r="BD2825" s="82" t="s">
        <v>17667</v>
      </c>
      <c r="BE2825" s="77"/>
      <c r="BF2825" s="77"/>
      <c r="BG2825" s="77"/>
      <c r="BH2825" s="77"/>
      <c r="BI2825" s="77"/>
    </row>
    <row r="2826" spans="1:61" x14ac:dyDescent="0.25">
      <c r="A2826" s="62" t="s">
        <v>646</v>
      </c>
      <c r="B2826" s="62" t="s">
        <v>646</v>
      </c>
      <c r="C2826" s="63"/>
      <c r="D2826" s="64"/>
      <c r="E2826" s="65"/>
      <c r="F2826" s="66"/>
      <c r="G2826" s="63"/>
      <c r="H2826" s="67"/>
      <c r="I2826" s="68"/>
      <c r="J2826" s="68"/>
      <c r="K2826" s="32"/>
      <c r="L2826" s="75">
        <v>2826</v>
      </c>
      <c r="M2826" s="75"/>
      <c r="N2826" s="70"/>
      <c r="O2826" s="77" t="s">
        <v>179</v>
      </c>
      <c r="P2826" s="79">
        <v>45080.477129629631</v>
      </c>
      <c r="Q2826" s="77" t="s">
        <v>3603</v>
      </c>
      <c r="R2826" s="77">
        <v>0</v>
      </c>
      <c r="S2826" s="77">
        <v>0</v>
      </c>
      <c r="T2826" s="77">
        <v>0</v>
      </c>
      <c r="U2826" s="77">
        <v>0</v>
      </c>
      <c r="V2826" s="77">
        <v>30</v>
      </c>
      <c r="W2826" s="82" t="s">
        <v>6382</v>
      </c>
      <c r="X2826" s="80" t="str">
        <f>HYPERLINK("https://tinyurl.com/2o5acm63")</f>
        <v>https://tinyurl.com/2o5acm63</v>
      </c>
      <c r="Y2826" s="77" t="s">
        <v>7068</v>
      </c>
      <c r="Z2826" s="77"/>
      <c r="AA2826" s="77"/>
      <c r="AB2826" s="77"/>
      <c r="AC2826" s="82" t="s">
        <v>8274</v>
      </c>
      <c r="AD2826" s="77" t="s">
        <v>8278</v>
      </c>
      <c r="AE2826" s="80" t="str">
        <f>HYPERLINK("https://twitter.com/pauta_economica/status/1664956863333519362")</f>
        <v>https://twitter.com/pauta_economica/status/1664956863333519362</v>
      </c>
      <c r="AF2826" s="79">
        <v>45080.477129629631</v>
      </c>
      <c r="AG2826" s="85">
        <v>45080</v>
      </c>
      <c r="AH2826" s="82" t="s">
        <v>10862</v>
      </c>
      <c r="AI2826" s="77" t="b">
        <v>0</v>
      </c>
      <c r="AJ2826" s="77"/>
      <c r="AK2826" s="77"/>
      <c r="AL2826" s="77"/>
      <c r="AM2826" s="77"/>
      <c r="AN2826" s="77"/>
      <c r="AO2826" s="77"/>
      <c r="AP2826" s="77"/>
      <c r="AQ2826" s="77"/>
      <c r="AR2826" s="77"/>
      <c r="AS2826" s="77"/>
      <c r="AT2826" s="77"/>
      <c r="AU2826" s="77"/>
      <c r="AV2826" s="80" t="str">
        <f>HYPERLINK("https://pbs.twimg.com/profile_images/1588668531910082561/XEi-lXiu_normal.jpg")</f>
        <v>https://pbs.twimg.com/profile_images/1588668531910082561/XEi-lXiu_normal.jpg</v>
      </c>
      <c r="AW2826" s="82" t="s">
        <v>15910</v>
      </c>
      <c r="AX2826" s="82" t="s">
        <v>15910</v>
      </c>
      <c r="AY2826" s="77"/>
      <c r="AZ2826" s="82" t="s">
        <v>17385</v>
      </c>
      <c r="BA2826" s="82" t="s">
        <v>17385</v>
      </c>
      <c r="BB2826" s="82" t="s">
        <v>17385</v>
      </c>
      <c r="BC2826" s="82" t="s">
        <v>15910</v>
      </c>
      <c r="BD2826" s="82" t="s">
        <v>17667</v>
      </c>
      <c r="BE2826" s="77"/>
      <c r="BF2826" s="77"/>
      <c r="BG2826" s="77"/>
      <c r="BH2826" s="77"/>
      <c r="BI2826" s="77"/>
    </row>
    <row r="2827" spans="1:61" x14ac:dyDescent="0.25">
      <c r="A2827" s="62" t="s">
        <v>646</v>
      </c>
      <c r="B2827" s="62" t="s">
        <v>646</v>
      </c>
      <c r="C2827" s="63"/>
      <c r="D2827" s="64"/>
      <c r="E2827" s="65"/>
      <c r="F2827" s="66"/>
      <c r="G2827" s="63"/>
      <c r="H2827" s="67"/>
      <c r="I2827" s="68"/>
      <c r="J2827" s="68"/>
      <c r="K2827" s="32"/>
      <c r="L2827" s="75">
        <v>2827</v>
      </c>
      <c r="M2827" s="75"/>
      <c r="N2827" s="70"/>
      <c r="O2827" s="77" t="s">
        <v>179</v>
      </c>
      <c r="P2827" s="79">
        <v>45080.36546296296</v>
      </c>
      <c r="Q2827" s="77" t="s">
        <v>3604</v>
      </c>
      <c r="R2827" s="77">
        <v>0</v>
      </c>
      <c r="S2827" s="77">
        <v>0</v>
      </c>
      <c r="T2827" s="77">
        <v>0</v>
      </c>
      <c r="U2827" s="77">
        <v>0</v>
      </c>
      <c r="V2827" s="77">
        <v>49</v>
      </c>
      <c r="W2827" s="82" t="s">
        <v>6382</v>
      </c>
      <c r="X2827" s="80" t="str">
        <f>HYPERLINK("https://tinyurl.com/2j3hx3sc")</f>
        <v>https://tinyurl.com/2j3hx3sc</v>
      </c>
      <c r="Y2827" s="77" t="s">
        <v>7068</v>
      </c>
      <c r="Z2827" s="77"/>
      <c r="AA2827" s="77"/>
      <c r="AB2827" s="77"/>
      <c r="AC2827" s="82" t="s">
        <v>8274</v>
      </c>
      <c r="AD2827" s="77" t="s">
        <v>8278</v>
      </c>
      <c r="AE2827" s="80" t="str">
        <f>HYPERLINK("https://twitter.com/pauta_economica/status/1664916395581140999")</f>
        <v>https://twitter.com/pauta_economica/status/1664916395581140999</v>
      </c>
      <c r="AF2827" s="79">
        <v>45080.36546296296</v>
      </c>
      <c r="AG2827" s="85">
        <v>45080</v>
      </c>
      <c r="AH2827" s="82" t="s">
        <v>10863</v>
      </c>
      <c r="AI2827" s="77" t="b">
        <v>0</v>
      </c>
      <c r="AJ2827" s="77"/>
      <c r="AK2827" s="77"/>
      <c r="AL2827" s="77"/>
      <c r="AM2827" s="77"/>
      <c r="AN2827" s="77"/>
      <c r="AO2827" s="77"/>
      <c r="AP2827" s="77"/>
      <c r="AQ2827" s="77"/>
      <c r="AR2827" s="77"/>
      <c r="AS2827" s="77"/>
      <c r="AT2827" s="77"/>
      <c r="AU2827" s="77"/>
      <c r="AV2827" s="80" t="str">
        <f>HYPERLINK("https://pbs.twimg.com/profile_images/1588668531910082561/XEi-lXiu_normal.jpg")</f>
        <v>https://pbs.twimg.com/profile_images/1588668531910082561/XEi-lXiu_normal.jpg</v>
      </c>
      <c r="AW2827" s="82" t="s">
        <v>15911</v>
      </c>
      <c r="AX2827" s="82" t="s">
        <v>15911</v>
      </c>
      <c r="AY2827" s="77"/>
      <c r="AZ2827" s="82" t="s">
        <v>17385</v>
      </c>
      <c r="BA2827" s="82" t="s">
        <v>17385</v>
      </c>
      <c r="BB2827" s="82" t="s">
        <v>17385</v>
      </c>
      <c r="BC2827" s="82" t="s">
        <v>15911</v>
      </c>
      <c r="BD2827" s="82" t="s">
        <v>17667</v>
      </c>
      <c r="BE2827" s="77"/>
      <c r="BF2827" s="77"/>
      <c r="BG2827" s="77"/>
      <c r="BH2827" s="77"/>
      <c r="BI2827" s="77"/>
    </row>
    <row r="2828" spans="1:61" x14ac:dyDescent="0.25">
      <c r="A2828" s="62" t="s">
        <v>646</v>
      </c>
      <c r="B2828" s="62" t="s">
        <v>646</v>
      </c>
      <c r="C2828" s="63"/>
      <c r="D2828" s="64"/>
      <c r="E2828" s="65"/>
      <c r="F2828" s="66"/>
      <c r="G2828" s="63"/>
      <c r="H2828" s="67"/>
      <c r="I2828" s="68"/>
      <c r="J2828" s="68"/>
      <c r="K2828" s="32"/>
      <c r="L2828" s="75">
        <v>2828</v>
      </c>
      <c r="M2828" s="75"/>
      <c r="N2828" s="70"/>
      <c r="O2828" s="77" t="s">
        <v>179</v>
      </c>
      <c r="P2828" s="79">
        <v>45080.197650462964</v>
      </c>
      <c r="Q2828" s="77" t="s">
        <v>3605</v>
      </c>
      <c r="R2828" s="77">
        <v>0</v>
      </c>
      <c r="S2828" s="77">
        <v>0</v>
      </c>
      <c r="T2828" s="77">
        <v>0</v>
      </c>
      <c r="U2828" s="77">
        <v>0</v>
      </c>
      <c r="V2828" s="77">
        <v>25</v>
      </c>
      <c r="W2828" s="82" t="s">
        <v>6382</v>
      </c>
      <c r="X2828" s="80" t="str">
        <f>HYPERLINK("https://tinyurl.com/2m2sn9hd")</f>
        <v>https://tinyurl.com/2m2sn9hd</v>
      </c>
      <c r="Y2828" s="77" t="s">
        <v>7068</v>
      </c>
      <c r="Z2828" s="77"/>
      <c r="AA2828" s="77"/>
      <c r="AB2828" s="77"/>
      <c r="AC2828" s="82" t="s">
        <v>8274</v>
      </c>
      <c r="AD2828" s="77" t="s">
        <v>8278</v>
      </c>
      <c r="AE2828" s="80" t="str">
        <f>HYPERLINK("https://twitter.com/pauta_economica/status/1664855586184347649")</f>
        <v>https://twitter.com/pauta_economica/status/1664855586184347649</v>
      </c>
      <c r="AF2828" s="79">
        <v>45080.197650462964</v>
      </c>
      <c r="AG2828" s="85">
        <v>45080</v>
      </c>
      <c r="AH2828" s="82" t="s">
        <v>10864</v>
      </c>
      <c r="AI2828" s="77" t="b">
        <v>0</v>
      </c>
      <c r="AJ2828" s="77"/>
      <c r="AK2828" s="77"/>
      <c r="AL2828" s="77"/>
      <c r="AM2828" s="77"/>
      <c r="AN2828" s="77"/>
      <c r="AO2828" s="77"/>
      <c r="AP2828" s="77"/>
      <c r="AQ2828" s="77"/>
      <c r="AR2828" s="77"/>
      <c r="AS2828" s="77"/>
      <c r="AT2828" s="77"/>
      <c r="AU2828" s="77"/>
      <c r="AV2828" s="80" t="str">
        <f>HYPERLINK("https://pbs.twimg.com/profile_images/1588668531910082561/XEi-lXiu_normal.jpg")</f>
        <v>https://pbs.twimg.com/profile_images/1588668531910082561/XEi-lXiu_normal.jpg</v>
      </c>
      <c r="AW2828" s="82" t="s">
        <v>15912</v>
      </c>
      <c r="AX2828" s="82" t="s">
        <v>15912</v>
      </c>
      <c r="AY2828" s="77"/>
      <c r="AZ2828" s="82" t="s">
        <v>17385</v>
      </c>
      <c r="BA2828" s="82" t="s">
        <v>17385</v>
      </c>
      <c r="BB2828" s="82" t="s">
        <v>17385</v>
      </c>
      <c r="BC2828" s="82" t="s">
        <v>15912</v>
      </c>
      <c r="BD2828" s="82" t="s">
        <v>17667</v>
      </c>
      <c r="BE2828" s="77"/>
      <c r="BF2828" s="77"/>
      <c r="BG2828" s="77"/>
      <c r="BH2828" s="77"/>
      <c r="BI2828" s="77"/>
    </row>
    <row r="2829" spans="1:61" x14ac:dyDescent="0.25">
      <c r="A2829" s="62" t="s">
        <v>646</v>
      </c>
      <c r="B2829" s="62" t="s">
        <v>646</v>
      </c>
      <c r="C2829" s="63"/>
      <c r="D2829" s="64"/>
      <c r="E2829" s="65"/>
      <c r="F2829" s="66"/>
      <c r="G2829" s="63"/>
      <c r="H2829" s="67"/>
      <c r="I2829" s="68"/>
      <c r="J2829" s="68"/>
      <c r="K2829" s="32"/>
      <c r="L2829" s="75">
        <v>2829</v>
      </c>
      <c r="M2829" s="75"/>
      <c r="N2829" s="70"/>
      <c r="O2829" s="77" t="s">
        <v>179</v>
      </c>
      <c r="P2829" s="79">
        <v>45080.169745370367</v>
      </c>
      <c r="Q2829" s="77" t="s">
        <v>3606</v>
      </c>
      <c r="R2829" s="77">
        <v>0</v>
      </c>
      <c r="S2829" s="77">
        <v>0</v>
      </c>
      <c r="T2829" s="77">
        <v>0</v>
      </c>
      <c r="U2829" s="77">
        <v>0</v>
      </c>
      <c r="V2829" s="77">
        <v>25</v>
      </c>
      <c r="W2829" s="82" t="s">
        <v>6382</v>
      </c>
      <c r="X2829" s="80" t="str">
        <f>HYPERLINK("https://tinyurl.com/2n6ug3gk")</f>
        <v>https://tinyurl.com/2n6ug3gk</v>
      </c>
      <c r="Y2829" s="77" t="s">
        <v>7068</v>
      </c>
      <c r="Z2829" s="77"/>
      <c r="AA2829" s="77"/>
      <c r="AB2829" s="77"/>
      <c r="AC2829" s="82" t="s">
        <v>8274</v>
      </c>
      <c r="AD2829" s="77" t="s">
        <v>8278</v>
      </c>
      <c r="AE2829" s="80" t="str">
        <f>HYPERLINK("https://twitter.com/pauta_economica/status/1664845470810660866")</f>
        <v>https://twitter.com/pauta_economica/status/1664845470810660866</v>
      </c>
      <c r="AF2829" s="79">
        <v>45080.169745370367</v>
      </c>
      <c r="AG2829" s="85">
        <v>45080</v>
      </c>
      <c r="AH2829" s="82" t="s">
        <v>10865</v>
      </c>
      <c r="AI2829" s="77" t="b">
        <v>0</v>
      </c>
      <c r="AJ2829" s="77"/>
      <c r="AK2829" s="77"/>
      <c r="AL2829" s="77"/>
      <c r="AM2829" s="77"/>
      <c r="AN2829" s="77"/>
      <c r="AO2829" s="77"/>
      <c r="AP2829" s="77"/>
      <c r="AQ2829" s="77"/>
      <c r="AR2829" s="77"/>
      <c r="AS2829" s="77"/>
      <c r="AT2829" s="77"/>
      <c r="AU2829" s="77"/>
      <c r="AV2829" s="80" t="str">
        <f>HYPERLINK("https://pbs.twimg.com/profile_images/1588668531910082561/XEi-lXiu_normal.jpg")</f>
        <v>https://pbs.twimg.com/profile_images/1588668531910082561/XEi-lXiu_normal.jpg</v>
      </c>
      <c r="AW2829" s="82" t="s">
        <v>15913</v>
      </c>
      <c r="AX2829" s="82" t="s">
        <v>15913</v>
      </c>
      <c r="AY2829" s="77"/>
      <c r="AZ2829" s="82" t="s">
        <v>17385</v>
      </c>
      <c r="BA2829" s="82" t="s">
        <v>17385</v>
      </c>
      <c r="BB2829" s="82" t="s">
        <v>17385</v>
      </c>
      <c r="BC2829" s="82" t="s">
        <v>15913</v>
      </c>
      <c r="BD2829" s="82" t="s">
        <v>17667</v>
      </c>
      <c r="BE2829" s="77"/>
      <c r="BF2829" s="77"/>
      <c r="BG2829" s="77"/>
      <c r="BH2829" s="77"/>
      <c r="BI2829" s="77"/>
    </row>
    <row r="2830" spans="1:61" x14ac:dyDescent="0.25">
      <c r="A2830" s="62" t="s">
        <v>646</v>
      </c>
      <c r="B2830" s="62" t="s">
        <v>646</v>
      </c>
      <c r="C2830" s="63"/>
      <c r="D2830" s="64"/>
      <c r="E2830" s="65"/>
      <c r="F2830" s="66"/>
      <c r="G2830" s="63"/>
      <c r="H2830" s="67"/>
      <c r="I2830" s="68"/>
      <c r="J2830" s="68"/>
      <c r="K2830" s="32"/>
      <c r="L2830" s="75">
        <v>2830</v>
      </c>
      <c r="M2830" s="75"/>
      <c r="N2830" s="70"/>
      <c r="O2830" s="77" t="s">
        <v>179</v>
      </c>
      <c r="P2830" s="79">
        <v>45080.141817129632</v>
      </c>
      <c r="Q2830" s="77" t="s">
        <v>3607</v>
      </c>
      <c r="R2830" s="77">
        <v>0</v>
      </c>
      <c r="S2830" s="77">
        <v>0</v>
      </c>
      <c r="T2830" s="77">
        <v>0</v>
      </c>
      <c r="U2830" s="77">
        <v>0</v>
      </c>
      <c r="V2830" s="77">
        <v>24</v>
      </c>
      <c r="W2830" s="82" t="s">
        <v>6382</v>
      </c>
      <c r="X2830" s="80" t="str">
        <f>HYPERLINK("https://tinyurl.com/2fx5nrtf")</f>
        <v>https://tinyurl.com/2fx5nrtf</v>
      </c>
      <c r="Y2830" s="77" t="s">
        <v>7068</v>
      </c>
      <c r="Z2830" s="77"/>
      <c r="AA2830" s="77"/>
      <c r="AB2830" s="77"/>
      <c r="AC2830" s="82" t="s">
        <v>8274</v>
      </c>
      <c r="AD2830" s="77" t="s">
        <v>8278</v>
      </c>
      <c r="AE2830" s="80" t="str">
        <f>HYPERLINK("https://twitter.com/pauta_economica/status/1664835350005415939")</f>
        <v>https://twitter.com/pauta_economica/status/1664835350005415939</v>
      </c>
      <c r="AF2830" s="79">
        <v>45080.141817129632</v>
      </c>
      <c r="AG2830" s="85">
        <v>45080</v>
      </c>
      <c r="AH2830" s="82" t="s">
        <v>10866</v>
      </c>
      <c r="AI2830" s="77" t="b">
        <v>0</v>
      </c>
      <c r="AJ2830" s="77"/>
      <c r="AK2830" s="77"/>
      <c r="AL2830" s="77"/>
      <c r="AM2830" s="77"/>
      <c r="AN2830" s="77"/>
      <c r="AO2830" s="77"/>
      <c r="AP2830" s="77"/>
      <c r="AQ2830" s="77"/>
      <c r="AR2830" s="77"/>
      <c r="AS2830" s="77"/>
      <c r="AT2830" s="77"/>
      <c r="AU2830" s="77"/>
      <c r="AV2830" s="80" t="str">
        <f>HYPERLINK("https://pbs.twimg.com/profile_images/1588668531910082561/XEi-lXiu_normal.jpg")</f>
        <v>https://pbs.twimg.com/profile_images/1588668531910082561/XEi-lXiu_normal.jpg</v>
      </c>
      <c r="AW2830" s="82" t="s">
        <v>15914</v>
      </c>
      <c r="AX2830" s="82" t="s">
        <v>15914</v>
      </c>
      <c r="AY2830" s="77"/>
      <c r="AZ2830" s="82" t="s">
        <v>17385</v>
      </c>
      <c r="BA2830" s="82" t="s">
        <v>17385</v>
      </c>
      <c r="BB2830" s="82" t="s">
        <v>17385</v>
      </c>
      <c r="BC2830" s="82" t="s">
        <v>15914</v>
      </c>
      <c r="BD2830" s="82" t="s">
        <v>17667</v>
      </c>
      <c r="BE2830" s="77"/>
      <c r="BF2830" s="77"/>
      <c r="BG2830" s="77"/>
      <c r="BH2830" s="77"/>
      <c r="BI2830" s="77"/>
    </row>
    <row r="2831" spans="1:61" x14ac:dyDescent="0.25">
      <c r="A2831" s="62" t="s">
        <v>646</v>
      </c>
      <c r="B2831" s="62" t="s">
        <v>646</v>
      </c>
      <c r="C2831" s="63"/>
      <c r="D2831" s="64"/>
      <c r="E2831" s="65"/>
      <c r="F2831" s="66"/>
      <c r="G2831" s="63"/>
      <c r="H2831" s="67"/>
      <c r="I2831" s="68"/>
      <c r="J2831" s="68"/>
      <c r="K2831" s="32"/>
      <c r="L2831" s="75">
        <v>2831</v>
      </c>
      <c r="M2831" s="75"/>
      <c r="N2831" s="70"/>
      <c r="O2831" s="77" t="s">
        <v>179</v>
      </c>
      <c r="P2831" s="79">
        <v>45080.11377314815</v>
      </c>
      <c r="Q2831" s="77" t="s">
        <v>3608</v>
      </c>
      <c r="R2831" s="77">
        <v>0</v>
      </c>
      <c r="S2831" s="77">
        <v>0</v>
      </c>
      <c r="T2831" s="77">
        <v>0</v>
      </c>
      <c r="U2831" s="77">
        <v>0</v>
      </c>
      <c r="V2831" s="77">
        <v>50</v>
      </c>
      <c r="W2831" s="82" t="s">
        <v>6382</v>
      </c>
      <c r="X2831" s="80" t="str">
        <f>HYPERLINK("https://tinyurl.com/2h6ckuq3")</f>
        <v>https://tinyurl.com/2h6ckuq3</v>
      </c>
      <c r="Y2831" s="77" t="s">
        <v>7068</v>
      </c>
      <c r="Z2831" s="77"/>
      <c r="AA2831" s="77"/>
      <c r="AB2831" s="77"/>
      <c r="AC2831" s="82" t="s">
        <v>8274</v>
      </c>
      <c r="AD2831" s="77" t="s">
        <v>8278</v>
      </c>
      <c r="AE2831" s="80" t="str">
        <f>HYPERLINK("https://twitter.com/pauta_economica/status/1664825186728771585")</f>
        <v>https://twitter.com/pauta_economica/status/1664825186728771585</v>
      </c>
      <c r="AF2831" s="79">
        <v>45080.11377314815</v>
      </c>
      <c r="AG2831" s="85">
        <v>45080</v>
      </c>
      <c r="AH2831" s="82" t="s">
        <v>10867</v>
      </c>
      <c r="AI2831" s="77" t="b">
        <v>0</v>
      </c>
      <c r="AJ2831" s="77"/>
      <c r="AK2831" s="77"/>
      <c r="AL2831" s="77"/>
      <c r="AM2831" s="77"/>
      <c r="AN2831" s="77"/>
      <c r="AO2831" s="77"/>
      <c r="AP2831" s="77"/>
      <c r="AQ2831" s="77"/>
      <c r="AR2831" s="77"/>
      <c r="AS2831" s="77"/>
      <c r="AT2831" s="77"/>
      <c r="AU2831" s="77"/>
      <c r="AV2831" s="80" t="str">
        <f>HYPERLINK("https://pbs.twimg.com/profile_images/1588668531910082561/XEi-lXiu_normal.jpg")</f>
        <v>https://pbs.twimg.com/profile_images/1588668531910082561/XEi-lXiu_normal.jpg</v>
      </c>
      <c r="AW2831" s="82" t="s">
        <v>15915</v>
      </c>
      <c r="AX2831" s="82" t="s">
        <v>15915</v>
      </c>
      <c r="AY2831" s="77"/>
      <c r="AZ2831" s="82" t="s">
        <v>17385</v>
      </c>
      <c r="BA2831" s="82" t="s">
        <v>17385</v>
      </c>
      <c r="BB2831" s="82" t="s">
        <v>17385</v>
      </c>
      <c r="BC2831" s="82" t="s">
        <v>15915</v>
      </c>
      <c r="BD2831" s="82" t="s">
        <v>17667</v>
      </c>
      <c r="BE2831" s="77"/>
      <c r="BF2831" s="77"/>
      <c r="BG2831" s="77"/>
      <c r="BH2831" s="77"/>
      <c r="BI2831" s="77"/>
    </row>
    <row r="2832" spans="1:61" x14ac:dyDescent="0.25">
      <c r="A2832" s="62" t="s">
        <v>646</v>
      </c>
      <c r="B2832" s="62" t="s">
        <v>646</v>
      </c>
      <c r="C2832" s="63"/>
      <c r="D2832" s="64"/>
      <c r="E2832" s="65"/>
      <c r="F2832" s="66"/>
      <c r="G2832" s="63"/>
      <c r="H2832" s="67"/>
      <c r="I2832" s="68"/>
      <c r="J2832" s="68"/>
      <c r="K2832" s="32"/>
      <c r="L2832" s="75">
        <v>2832</v>
      </c>
      <c r="M2832" s="75"/>
      <c r="N2832" s="70"/>
      <c r="O2832" s="77" t="s">
        <v>179</v>
      </c>
      <c r="P2832" s="79">
        <v>45080.085706018515</v>
      </c>
      <c r="Q2832" s="77" t="s">
        <v>3609</v>
      </c>
      <c r="R2832" s="77">
        <v>0</v>
      </c>
      <c r="S2832" s="77">
        <v>0</v>
      </c>
      <c r="T2832" s="77">
        <v>0</v>
      </c>
      <c r="U2832" s="77">
        <v>0</v>
      </c>
      <c r="V2832" s="77">
        <v>34</v>
      </c>
      <c r="W2832" s="82" t="s">
        <v>6382</v>
      </c>
      <c r="X2832" s="80" t="str">
        <f>HYPERLINK("https://tinyurl.com/2gnth44l")</f>
        <v>https://tinyurl.com/2gnth44l</v>
      </c>
      <c r="Y2832" s="77" t="s">
        <v>7068</v>
      </c>
      <c r="Z2832" s="77"/>
      <c r="AA2832" s="77"/>
      <c r="AB2832" s="77"/>
      <c r="AC2832" s="82" t="s">
        <v>8274</v>
      </c>
      <c r="AD2832" s="77" t="s">
        <v>8278</v>
      </c>
      <c r="AE2832" s="80" t="str">
        <f>HYPERLINK("https://twitter.com/pauta_economica/status/1664815018200772608")</f>
        <v>https://twitter.com/pauta_economica/status/1664815018200772608</v>
      </c>
      <c r="AF2832" s="79">
        <v>45080.085706018515</v>
      </c>
      <c r="AG2832" s="85">
        <v>45080</v>
      </c>
      <c r="AH2832" s="82" t="s">
        <v>10868</v>
      </c>
      <c r="AI2832" s="77" t="b">
        <v>0</v>
      </c>
      <c r="AJ2832" s="77"/>
      <c r="AK2832" s="77"/>
      <c r="AL2832" s="77"/>
      <c r="AM2832" s="77"/>
      <c r="AN2832" s="77"/>
      <c r="AO2832" s="77"/>
      <c r="AP2832" s="77"/>
      <c r="AQ2832" s="77"/>
      <c r="AR2832" s="77"/>
      <c r="AS2832" s="77"/>
      <c r="AT2832" s="77"/>
      <c r="AU2832" s="77"/>
      <c r="AV2832" s="80" t="str">
        <f>HYPERLINK("https://pbs.twimg.com/profile_images/1588668531910082561/XEi-lXiu_normal.jpg")</f>
        <v>https://pbs.twimg.com/profile_images/1588668531910082561/XEi-lXiu_normal.jpg</v>
      </c>
      <c r="AW2832" s="82" t="s">
        <v>15916</v>
      </c>
      <c r="AX2832" s="82" t="s">
        <v>15916</v>
      </c>
      <c r="AY2832" s="77"/>
      <c r="AZ2832" s="82" t="s">
        <v>17385</v>
      </c>
      <c r="BA2832" s="82" t="s">
        <v>17385</v>
      </c>
      <c r="BB2832" s="82" t="s">
        <v>17385</v>
      </c>
      <c r="BC2832" s="82" t="s">
        <v>15916</v>
      </c>
      <c r="BD2832" s="82" t="s">
        <v>17667</v>
      </c>
      <c r="BE2832" s="77"/>
      <c r="BF2832" s="77"/>
      <c r="BG2832" s="77"/>
      <c r="BH2832" s="77"/>
      <c r="BI2832" s="77"/>
    </row>
    <row r="2833" spans="1:61" x14ac:dyDescent="0.25">
      <c r="A2833" s="62" t="s">
        <v>646</v>
      </c>
      <c r="B2833" s="62" t="s">
        <v>646</v>
      </c>
      <c r="C2833" s="63"/>
      <c r="D2833" s="64"/>
      <c r="E2833" s="65"/>
      <c r="F2833" s="66"/>
      <c r="G2833" s="63"/>
      <c r="H2833" s="67"/>
      <c r="I2833" s="68"/>
      <c r="J2833" s="68"/>
      <c r="K2833" s="32"/>
      <c r="L2833" s="75">
        <v>2833</v>
      </c>
      <c r="M2833" s="75"/>
      <c r="N2833" s="70"/>
      <c r="O2833" s="77" t="s">
        <v>179</v>
      </c>
      <c r="P2833" s="79">
        <v>45080.057835648149</v>
      </c>
      <c r="Q2833" s="77" t="s">
        <v>3610</v>
      </c>
      <c r="R2833" s="77">
        <v>0</v>
      </c>
      <c r="S2833" s="77">
        <v>0</v>
      </c>
      <c r="T2833" s="77">
        <v>0</v>
      </c>
      <c r="U2833" s="77">
        <v>0</v>
      </c>
      <c r="V2833" s="77">
        <v>43</v>
      </c>
      <c r="W2833" s="82" t="s">
        <v>6382</v>
      </c>
      <c r="X2833" s="80" t="str">
        <f>HYPERLINK("https://tinyurl.com/2fdsfk6h")</f>
        <v>https://tinyurl.com/2fdsfk6h</v>
      </c>
      <c r="Y2833" s="77" t="s">
        <v>7068</v>
      </c>
      <c r="Z2833" s="77"/>
      <c r="AA2833" s="77"/>
      <c r="AB2833" s="77"/>
      <c r="AC2833" s="82" t="s">
        <v>8274</v>
      </c>
      <c r="AD2833" s="77" t="s">
        <v>8278</v>
      </c>
      <c r="AE2833" s="80" t="str">
        <f>HYPERLINK("https://twitter.com/pauta_economica/status/1664804915150041089")</f>
        <v>https://twitter.com/pauta_economica/status/1664804915150041089</v>
      </c>
      <c r="AF2833" s="79">
        <v>45080.057835648149</v>
      </c>
      <c r="AG2833" s="85">
        <v>45080</v>
      </c>
      <c r="AH2833" s="82" t="s">
        <v>10869</v>
      </c>
      <c r="AI2833" s="77" t="b">
        <v>0</v>
      </c>
      <c r="AJ2833" s="77"/>
      <c r="AK2833" s="77"/>
      <c r="AL2833" s="77"/>
      <c r="AM2833" s="77"/>
      <c r="AN2833" s="77"/>
      <c r="AO2833" s="77"/>
      <c r="AP2833" s="77"/>
      <c r="AQ2833" s="77"/>
      <c r="AR2833" s="77"/>
      <c r="AS2833" s="77"/>
      <c r="AT2833" s="77"/>
      <c r="AU2833" s="77"/>
      <c r="AV2833" s="80" t="str">
        <f>HYPERLINK("https://pbs.twimg.com/profile_images/1588668531910082561/XEi-lXiu_normal.jpg")</f>
        <v>https://pbs.twimg.com/profile_images/1588668531910082561/XEi-lXiu_normal.jpg</v>
      </c>
      <c r="AW2833" s="82" t="s">
        <v>15917</v>
      </c>
      <c r="AX2833" s="82" t="s">
        <v>15917</v>
      </c>
      <c r="AY2833" s="77"/>
      <c r="AZ2833" s="82" t="s">
        <v>17385</v>
      </c>
      <c r="BA2833" s="82" t="s">
        <v>17385</v>
      </c>
      <c r="BB2833" s="82" t="s">
        <v>17385</v>
      </c>
      <c r="BC2833" s="82" t="s">
        <v>15917</v>
      </c>
      <c r="BD2833" s="82" t="s">
        <v>17667</v>
      </c>
      <c r="BE2833" s="77"/>
      <c r="BF2833" s="77"/>
      <c r="BG2833" s="77"/>
      <c r="BH2833" s="77"/>
      <c r="BI2833" s="77"/>
    </row>
    <row r="2834" spans="1:61" x14ac:dyDescent="0.25">
      <c r="A2834" s="62" t="s">
        <v>646</v>
      </c>
      <c r="B2834" s="62" t="s">
        <v>646</v>
      </c>
      <c r="C2834" s="63"/>
      <c r="D2834" s="64"/>
      <c r="E2834" s="65"/>
      <c r="F2834" s="66"/>
      <c r="G2834" s="63"/>
      <c r="H2834" s="67"/>
      <c r="I2834" s="68"/>
      <c r="J2834" s="68"/>
      <c r="K2834" s="32"/>
      <c r="L2834" s="75">
        <v>2834</v>
      </c>
      <c r="M2834" s="75"/>
      <c r="N2834" s="70"/>
      <c r="O2834" s="77" t="s">
        <v>179</v>
      </c>
      <c r="P2834" s="79">
        <v>45080.029953703706</v>
      </c>
      <c r="Q2834" s="77" t="s">
        <v>3611</v>
      </c>
      <c r="R2834" s="77">
        <v>0</v>
      </c>
      <c r="S2834" s="77">
        <v>0</v>
      </c>
      <c r="T2834" s="77">
        <v>0</v>
      </c>
      <c r="U2834" s="77">
        <v>0</v>
      </c>
      <c r="V2834" s="77">
        <v>29</v>
      </c>
      <c r="W2834" s="82" t="s">
        <v>6382</v>
      </c>
      <c r="X2834" s="80" t="str">
        <f>HYPERLINK("https://tinyurl.com/2f3ur92s")</f>
        <v>https://tinyurl.com/2f3ur92s</v>
      </c>
      <c r="Y2834" s="77" t="s">
        <v>7068</v>
      </c>
      <c r="Z2834" s="77"/>
      <c r="AA2834" s="77"/>
      <c r="AB2834" s="77"/>
      <c r="AC2834" s="82" t="s">
        <v>8274</v>
      </c>
      <c r="AD2834" s="77" t="s">
        <v>8278</v>
      </c>
      <c r="AE2834" s="80" t="str">
        <f>HYPERLINK("https://twitter.com/pauta_economica/status/1664794811826593792")</f>
        <v>https://twitter.com/pauta_economica/status/1664794811826593792</v>
      </c>
      <c r="AF2834" s="79">
        <v>45080.029953703706</v>
      </c>
      <c r="AG2834" s="85">
        <v>45080</v>
      </c>
      <c r="AH2834" s="82" t="s">
        <v>10870</v>
      </c>
      <c r="AI2834" s="77" t="b">
        <v>0</v>
      </c>
      <c r="AJ2834" s="77"/>
      <c r="AK2834" s="77"/>
      <c r="AL2834" s="77"/>
      <c r="AM2834" s="77"/>
      <c r="AN2834" s="77"/>
      <c r="AO2834" s="77"/>
      <c r="AP2834" s="77"/>
      <c r="AQ2834" s="77"/>
      <c r="AR2834" s="77"/>
      <c r="AS2834" s="77"/>
      <c r="AT2834" s="77"/>
      <c r="AU2834" s="77"/>
      <c r="AV2834" s="80" t="str">
        <f>HYPERLINK("https://pbs.twimg.com/profile_images/1588668531910082561/XEi-lXiu_normal.jpg")</f>
        <v>https://pbs.twimg.com/profile_images/1588668531910082561/XEi-lXiu_normal.jpg</v>
      </c>
      <c r="AW2834" s="82" t="s">
        <v>15918</v>
      </c>
      <c r="AX2834" s="82" t="s">
        <v>15918</v>
      </c>
      <c r="AY2834" s="77"/>
      <c r="AZ2834" s="82" t="s">
        <v>17385</v>
      </c>
      <c r="BA2834" s="82" t="s">
        <v>17385</v>
      </c>
      <c r="BB2834" s="82" t="s">
        <v>17385</v>
      </c>
      <c r="BC2834" s="82" t="s">
        <v>15918</v>
      </c>
      <c r="BD2834" s="82" t="s">
        <v>17667</v>
      </c>
      <c r="BE2834" s="77"/>
      <c r="BF2834" s="77"/>
      <c r="BG2834" s="77"/>
      <c r="BH2834" s="77"/>
      <c r="BI2834" s="77"/>
    </row>
    <row r="2835" spans="1:61" x14ac:dyDescent="0.25">
      <c r="A2835" s="62" t="s">
        <v>646</v>
      </c>
      <c r="B2835" s="62" t="s">
        <v>646</v>
      </c>
      <c r="C2835" s="63"/>
      <c r="D2835" s="64"/>
      <c r="E2835" s="65"/>
      <c r="F2835" s="66"/>
      <c r="G2835" s="63"/>
      <c r="H2835" s="67"/>
      <c r="I2835" s="68"/>
      <c r="J2835" s="68"/>
      <c r="K2835" s="32"/>
      <c r="L2835" s="75">
        <v>2835</v>
      </c>
      <c r="M2835" s="75"/>
      <c r="N2835" s="70"/>
      <c r="O2835" s="77" t="s">
        <v>179</v>
      </c>
      <c r="P2835" s="79">
        <v>45080.00203703704</v>
      </c>
      <c r="Q2835" s="77" t="s">
        <v>3612</v>
      </c>
      <c r="R2835" s="77">
        <v>0</v>
      </c>
      <c r="S2835" s="77">
        <v>2</v>
      </c>
      <c r="T2835" s="77">
        <v>0</v>
      </c>
      <c r="U2835" s="77">
        <v>0</v>
      </c>
      <c r="V2835" s="77">
        <v>116</v>
      </c>
      <c r="W2835" s="82" t="s">
        <v>6382</v>
      </c>
      <c r="X2835" s="80" t="str">
        <f>HYPERLINK("https://tinyurl.com/2fnj62nq")</f>
        <v>https://tinyurl.com/2fnj62nq</v>
      </c>
      <c r="Y2835" s="77" t="s">
        <v>7068</v>
      </c>
      <c r="Z2835" s="77"/>
      <c r="AA2835" s="77"/>
      <c r="AB2835" s="77"/>
      <c r="AC2835" s="82" t="s">
        <v>8274</v>
      </c>
      <c r="AD2835" s="77" t="s">
        <v>8278</v>
      </c>
      <c r="AE2835" s="80" t="str">
        <f>HYPERLINK("https://twitter.com/pauta_economica/status/1664784696696340483")</f>
        <v>https://twitter.com/pauta_economica/status/1664784696696340483</v>
      </c>
      <c r="AF2835" s="79">
        <v>45080.00203703704</v>
      </c>
      <c r="AG2835" s="85">
        <v>45080</v>
      </c>
      <c r="AH2835" s="82" t="s">
        <v>10871</v>
      </c>
      <c r="AI2835" s="77" t="b">
        <v>0</v>
      </c>
      <c r="AJ2835" s="77"/>
      <c r="AK2835" s="77"/>
      <c r="AL2835" s="77"/>
      <c r="AM2835" s="77"/>
      <c r="AN2835" s="77"/>
      <c r="AO2835" s="77"/>
      <c r="AP2835" s="77"/>
      <c r="AQ2835" s="77"/>
      <c r="AR2835" s="77"/>
      <c r="AS2835" s="77"/>
      <c r="AT2835" s="77"/>
      <c r="AU2835" s="77"/>
      <c r="AV2835" s="80" t="str">
        <f>HYPERLINK("https://pbs.twimg.com/profile_images/1588668531910082561/XEi-lXiu_normal.jpg")</f>
        <v>https://pbs.twimg.com/profile_images/1588668531910082561/XEi-lXiu_normal.jpg</v>
      </c>
      <c r="AW2835" s="82" t="s">
        <v>15919</v>
      </c>
      <c r="AX2835" s="82" t="s">
        <v>15919</v>
      </c>
      <c r="AY2835" s="77"/>
      <c r="AZ2835" s="82" t="s">
        <v>17385</v>
      </c>
      <c r="BA2835" s="82" t="s">
        <v>17385</v>
      </c>
      <c r="BB2835" s="82" t="s">
        <v>17385</v>
      </c>
      <c r="BC2835" s="82" t="s">
        <v>15919</v>
      </c>
      <c r="BD2835" s="82" t="s">
        <v>17667</v>
      </c>
      <c r="BE2835" s="77"/>
      <c r="BF2835" s="77"/>
      <c r="BG2835" s="77"/>
      <c r="BH2835" s="77"/>
      <c r="BI2835" s="77"/>
    </row>
    <row r="2836" spans="1:61" x14ac:dyDescent="0.25">
      <c r="A2836" s="62" t="s">
        <v>646</v>
      </c>
      <c r="B2836" s="62" t="s">
        <v>646</v>
      </c>
      <c r="C2836" s="63"/>
      <c r="D2836" s="64"/>
      <c r="E2836" s="65"/>
      <c r="F2836" s="66"/>
      <c r="G2836" s="63"/>
      <c r="H2836" s="67"/>
      <c r="I2836" s="68"/>
      <c r="J2836" s="68"/>
      <c r="K2836" s="32"/>
      <c r="L2836" s="75">
        <v>2836</v>
      </c>
      <c r="M2836" s="75"/>
      <c r="N2836" s="70"/>
      <c r="O2836" s="77" t="s">
        <v>179</v>
      </c>
      <c r="P2836" s="79">
        <v>45079.974143518521</v>
      </c>
      <c r="Q2836" s="77" t="s">
        <v>3613</v>
      </c>
      <c r="R2836" s="77">
        <v>0</v>
      </c>
      <c r="S2836" s="77">
        <v>0</v>
      </c>
      <c r="T2836" s="77">
        <v>0</v>
      </c>
      <c r="U2836" s="77">
        <v>0</v>
      </c>
      <c r="V2836" s="77">
        <v>40</v>
      </c>
      <c r="W2836" s="82" t="s">
        <v>6382</v>
      </c>
      <c r="X2836" s="80" t="str">
        <f>HYPERLINK("https://tinyurl.com/2pqncvfe")</f>
        <v>https://tinyurl.com/2pqncvfe</v>
      </c>
      <c r="Y2836" s="77" t="s">
        <v>7068</v>
      </c>
      <c r="Z2836" s="77"/>
      <c r="AA2836" s="77"/>
      <c r="AB2836" s="77"/>
      <c r="AC2836" s="82" t="s">
        <v>8274</v>
      </c>
      <c r="AD2836" s="77" t="s">
        <v>8278</v>
      </c>
      <c r="AE2836" s="80" t="str">
        <f>HYPERLINK("https://twitter.com/pauta_economica/status/1664774587823927298")</f>
        <v>https://twitter.com/pauta_economica/status/1664774587823927298</v>
      </c>
      <c r="AF2836" s="79">
        <v>45079.974143518521</v>
      </c>
      <c r="AG2836" s="85">
        <v>45079</v>
      </c>
      <c r="AH2836" s="82" t="s">
        <v>10872</v>
      </c>
      <c r="AI2836" s="77" t="b">
        <v>0</v>
      </c>
      <c r="AJ2836" s="77"/>
      <c r="AK2836" s="77"/>
      <c r="AL2836" s="77"/>
      <c r="AM2836" s="77"/>
      <c r="AN2836" s="77"/>
      <c r="AO2836" s="77"/>
      <c r="AP2836" s="77"/>
      <c r="AQ2836" s="77"/>
      <c r="AR2836" s="77"/>
      <c r="AS2836" s="77"/>
      <c r="AT2836" s="77"/>
      <c r="AU2836" s="77"/>
      <c r="AV2836" s="80" t="str">
        <f>HYPERLINK("https://pbs.twimg.com/profile_images/1588668531910082561/XEi-lXiu_normal.jpg")</f>
        <v>https://pbs.twimg.com/profile_images/1588668531910082561/XEi-lXiu_normal.jpg</v>
      </c>
      <c r="AW2836" s="82" t="s">
        <v>15920</v>
      </c>
      <c r="AX2836" s="82" t="s">
        <v>15920</v>
      </c>
      <c r="AY2836" s="77"/>
      <c r="AZ2836" s="82" t="s">
        <v>17385</v>
      </c>
      <c r="BA2836" s="82" t="s">
        <v>17385</v>
      </c>
      <c r="BB2836" s="82" t="s">
        <v>17385</v>
      </c>
      <c r="BC2836" s="82" t="s">
        <v>15920</v>
      </c>
      <c r="BD2836" s="82" t="s">
        <v>17667</v>
      </c>
      <c r="BE2836" s="77"/>
      <c r="BF2836" s="77"/>
      <c r="BG2836" s="77"/>
      <c r="BH2836" s="77"/>
      <c r="BI2836" s="77"/>
    </row>
    <row r="2837" spans="1:61" x14ac:dyDescent="0.25">
      <c r="A2837" s="62" t="s">
        <v>646</v>
      </c>
      <c r="B2837" s="62" t="s">
        <v>646</v>
      </c>
      <c r="C2837" s="63"/>
      <c r="D2837" s="64"/>
      <c r="E2837" s="65"/>
      <c r="F2837" s="66"/>
      <c r="G2837" s="63"/>
      <c r="H2837" s="67"/>
      <c r="I2837" s="68"/>
      <c r="J2837" s="68"/>
      <c r="K2837" s="32"/>
      <c r="L2837" s="75">
        <v>2837</v>
      </c>
      <c r="M2837" s="75"/>
      <c r="N2837" s="70"/>
      <c r="O2837" s="77" t="s">
        <v>179</v>
      </c>
      <c r="P2837" s="79">
        <v>45079.946226851855</v>
      </c>
      <c r="Q2837" s="77" t="s">
        <v>3614</v>
      </c>
      <c r="R2837" s="77">
        <v>0</v>
      </c>
      <c r="S2837" s="77">
        <v>0</v>
      </c>
      <c r="T2837" s="77">
        <v>0</v>
      </c>
      <c r="U2837" s="77">
        <v>0</v>
      </c>
      <c r="V2837" s="77">
        <v>21</v>
      </c>
      <c r="W2837" s="82" t="s">
        <v>6382</v>
      </c>
      <c r="X2837" s="80" t="str">
        <f>HYPERLINK("https://tinyurl.com/2o35n39f")</f>
        <v>https://tinyurl.com/2o35n39f</v>
      </c>
      <c r="Y2837" s="77" t="s">
        <v>7068</v>
      </c>
      <c r="Z2837" s="77"/>
      <c r="AA2837" s="77"/>
      <c r="AB2837" s="77"/>
      <c r="AC2837" s="82" t="s">
        <v>8274</v>
      </c>
      <c r="AD2837" s="77" t="s">
        <v>8278</v>
      </c>
      <c r="AE2837" s="80" t="str">
        <f>HYPERLINK("https://twitter.com/pauta_economica/status/1664764472429355009")</f>
        <v>https://twitter.com/pauta_economica/status/1664764472429355009</v>
      </c>
      <c r="AF2837" s="79">
        <v>45079.946226851855</v>
      </c>
      <c r="AG2837" s="85">
        <v>45079</v>
      </c>
      <c r="AH2837" s="82" t="s">
        <v>10873</v>
      </c>
      <c r="AI2837" s="77" t="b">
        <v>0</v>
      </c>
      <c r="AJ2837" s="77"/>
      <c r="AK2837" s="77"/>
      <c r="AL2837" s="77"/>
      <c r="AM2837" s="77"/>
      <c r="AN2837" s="77"/>
      <c r="AO2837" s="77"/>
      <c r="AP2837" s="77"/>
      <c r="AQ2837" s="77"/>
      <c r="AR2837" s="77"/>
      <c r="AS2837" s="77"/>
      <c r="AT2837" s="77"/>
      <c r="AU2837" s="77"/>
      <c r="AV2837" s="80" t="str">
        <f>HYPERLINK("https://pbs.twimg.com/profile_images/1588668531910082561/XEi-lXiu_normal.jpg")</f>
        <v>https://pbs.twimg.com/profile_images/1588668531910082561/XEi-lXiu_normal.jpg</v>
      </c>
      <c r="AW2837" s="82" t="s">
        <v>15921</v>
      </c>
      <c r="AX2837" s="82" t="s">
        <v>15921</v>
      </c>
      <c r="AY2837" s="77"/>
      <c r="AZ2837" s="82" t="s">
        <v>17385</v>
      </c>
      <c r="BA2837" s="82" t="s">
        <v>17385</v>
      </c>
      <c r="BB2837" s="82" t="s">
        <v>17385</v>
      </c>
      <c r="BC2837" s="82" t="s">
        <v>15921</v>
      </c>
      <c r="BD2837" s="82" t="s">
        <v>17667</v>
      </c>
      <c r="BE2837" s="77"/>
      <c r="BF2837" s="77"/>
      <c r="BG2837" s="77"/>
      <c r="BH2837" s="77"/>
      <c r="BI2837" s="77"/>
    </row>
    <row r="2838" spans="1:61" x14ac:dyDescent="0.25">
      <c r="A2838" s="62" t="s">
        <v>646</v>
      </c>
      <c r="B2838" s="62" t="s">
        <v>646</v>
      </c>
      <c r="C2838" s="63"/>
      <c r="D2838" s="64"/>
      <c r="E2838" s="65"/>
      <c r="F2838" s="66"/>
      <c r="G2838" s="63"/>
      <c r="H2838" s="67"/>
      <c r="I2838" s="68"/>
      <c r="J2838" s="68"/>
      <c r="K2838" s="32"/>
      <c r="L2838" s="75">
        <v>2838</v>
      </c>
      <c r="M2838" s="75"/>
      <c r="N2838" s="70"/>
      <c r="O2838" s="77" t="s">
        <v>179</v>
      </c>
      <c r="P2838" s="79">
        <v>45079.890104166669</v>
      </c>
      <c r="Q2838" s="77" t="s">
        <v>3615</v>
      </c>
      <c r="R2838" s="77">
        <v>0</v>
      </c>
      <c r="S2838" s="77">
        <v>0</v>
      </c>
      <c r="T2838" s="77">
        <v>0</v>
      </c>
      <c r="U2838" s="77">
        <v>0</v>
      </c>
      <c r="V2838" s="77">
        <v>27</v>
      </c>
      <c r="W2838" s="82" t="s">
        <v>6382</v>
      </c>
      <c r="X2838" s="80" t="str">
        <f>HYPERLINK("https://tinyurl.com/2frz9ztu")</f>
        <v>https://tinyurl.com/2frz9ztu</v>
      </c>
      <c r="Y2838" s="77" t="s">
        <v>7068</v>
      </c>
      <c r="Z2838" s="77"/>
      <c r="AA2838" s="77"/>
      <c r="AB2838" s="77"/>
      <c r="AC2838" s="82" t="s">
        <v>8274</v>
      </c>
      <c r="AD2838" s="77" t="s">
        <v>8278</v>
      </c>
      <c r="AE2838" s="80" t="str">
        <f>HYPERLINK("https://twitter.com/pauta_economica/status/1664744133875970050")</f>
        <v>https://twitter.com/pauta_economica/status/1664744133875970050</v>
      </c>
      <c r="AF2838" s="79">
        <v>45079.890104166669</v>
      </c>
      <c r="AG2838" s="85">
        <v>45079</v>
      </c>
      <c r="AH2838" s="82" t="s">
        <v>10874</v>
      </c>
      <c r="AI2838" s="77" t="b">
        <v>0</v>
      </c>
      <c r="AJ2838" s="77"/>
      <c r="AK2838" s="77"/>
      <c r="AL2838" s="77"/>
      <c r="AM2838" s="77"/>
      <c r="AN2838" s="77"/>
      <c r="AO2838" s="77"/>
      <c r="AP2838" s="77"/>
      <c r="AQ2838" s="77"/>
      <c r="AR2838" s="77"/>
      <c r="AS2838" s="77"/>
      <c r="AT2838" s="77"/>
      <c r="AU2838" s="77"/>
      <c r="AV2838" s="80" t="str">
        <f>HYPERLINK("https://pbs.twimg.com/profile_images/1588668531910082561/XEi-lXiu_normal.jpg")</f>
        <v>https://pbs.twimg.com/profile_images/1588668531910082561/XEi-lXiu_normal.jpg</v>
      </c>
      <c r="AW2838" s="82" t="s">
        <v>15922</v>
      </c>
      <c r="AX2838" s="82" t="s">
        <v>15922</v>
      </c>
      <c r="AY2838" s="77"/>
      <c r="AZ2838" s="82" t="s">
        <v>17385</v>
      </c>
      <c r="BA2838" s="82" t="s">
        <v>17385</v>
      </c>
      <c r="BB2838" s="82" t="s">
        <v>17385</v>
      </c>
      <c r="BC2838" s="82" t="s">
        <v>15922</v>
      </c>
      <c r="BD2838" s="82" t="s">
        <v>17667</v>
      </c>
      <c r="BE2838" s="77"/>
      <c r="BF2838" s="77"/>
      <c r="BG2838" s="77"/>
      <c r="BH2838" s="77"/>
      <c r="BI2838" s="77"/>
    </row>
    <row r="2839" spans="1:61" x14ac:dyDescent="0.25">
      <c r="A2839" s="62" t="s">
        <v>646</v>
      </c>
      <c r="B2839" s="62" t="s">
        <v>646</v>
      </c>
      <c r="C2839" s="63"/>
      <c r="D2839" s="64"/>
      <c r="E2839" s="65"/>
      <c r="F2839" s="66"/>
      <c r="G2839" s="63"/>
      <c r="H2839" s="67"/>
      <c r="I2839" s="68"/>
      <c r="J2839" s="68"/>
      <c r="K2839" s="32"/>
      <c r="L2839" s="75">
        <v>2839</v>
      </c>
      <c r="M2839" s="75"/>
      <c r="N2839" s="70"/>
      <c r="O2839" s="77" t="s">
        <v>179</v>
      </c>
      <c r="P2839" s="79">
        <v>45064.737847222219</v>
      </c>
      <c r="Q2839" s="77" t="s">
        <v>3616</v>
      </c>
      <c r="R2839" s="77">
        <v>0</v>
      </c>
      <c r="S2839" s="77">
        <v>0</v>
      </c>
      <c r="T2839" s="77">
        <v>0</v>
      </c>
      <c r="U2839" s="77">
        <v>0</v>
      </c>
      <c r="V2839" s="77">
        <v>31</v>
      </c>
      <c r="W2839" s="82" t="s">
        <v>6382</v>
      </c>
      <c r="X2839" s="80" t="str">
        <f>HYPERLINK("https://tinyurl.com/2eyqo8bu")</f>
        <v>https://tinyurl.com/2eyqo8bu</v>
      </c>
      <c r="Y2839" s="77" t="s">
        <v>7068</v>
      </c>
      <c r="Z2839" s="77"/>
      <c r="AA2839" s="77"/>
      <c r="AB2839" s="77"/>
      <c r="AC2839" s="82" t="s">
        <v>8275</v>
      </c>
      <c r="AD2839" s="77" t="s">
        <v>8278</v>
      </c>
      <c r="AE2839" s="80" t="str">
        <f>HYPERLINK("https://twitter.com/pauta_economica/status/1659253137885077508")</f>
        <v>https://twitter.com/pauta_economica/status/1659253137885077508</v>
      </c>
      <c r="AF2839" s="79">
        <v>45064.737847222219</v>
      </c>
      <c r="AG2839" s="85">
        <v>45064</v>
      </c>
      <c r="AH2839" s="82" t="s">
        <v>10875</v>
      </c>
      <c r="AI2839" s="77" t="b">
        <v>0</v>
      </c>
      <c r="AJ2839" s="77"/>
      <c r="AK2839" s="77"/>
      <c r="AL2839" s="77"/>
      <c r="AM2839" s="77"/>
      <c r="AN2839" s="77"/>
      <c r="AO2839" s="77"/>
      <c r="AP2839" s="77"/>
      <c r="AQ2839" s="77"/>
      <c r="AR2839" s="77"/>
      <c r="AS2839" s="77"/>
      <c r="AT2839" s="77"/>
      <c r="AU2839" s="77"/>
      <c r="AV2839" s="80" t="str">
        <f>HYPERLINK("https://pbs.twimg.com/profile_images/1588668531910082561/XEi-lXiu_normal.jpg")</f>
        <v>https://pbs.twimg.com/profile_images/1588668531910082561/XEi-lXiu_normal.jpg</v>
      </c>
      <c r="AW2839" s="82" t="s">
        <v>15923</v>
      </c>
      <c r="AX2839" s="82" t="s">
        <v>15923</v>
      </c>
      <c r="AY2839" s="77"/>
      <c r="AZ2839" s="82" t="s">
        <v>17385</v>
      </c>
      <c r="BA2839" s="82" t="s">
        <v>17385</v>
      </c>
      <c r="BB2839" s="82" t="s">
        <v>17385</v>
      </c>
      <c r="BC2839" s="82" t="s">
        <v>15923</v>
      </c>
      <c r="BD2839" s="82" t="s">
        <v>17667</v>
      </c>
      <c r="BE2839" s="77"/>
      <c r="BF2839" s="77"/>
      <c r="BG2839" s="77"/>
      <c r="BH2839" s="77"/>
      <c r="BI2839" s="77"/>
    </row>
    <row r="2840" spans="1:61" x14ac:dyDescent="0.25">
      <c r="A2840" s="62" t="s">
        <v>646</v>
      </c>
      <c r="B2840" s="62" t="s">
        <v>646</v>
      </c>
      <c r="C2840" s="63"/>
      <c r="D2840" s="64"/>
      <c r="E2840" s="65"/>
      <c r="F2840" s="66"/>
      <c r="G2840" s="63"/>
      <c r="H2840" s="67"/>
      <c r="I2840" s="68"/>
      <c r="J2840" s="68"/>
      <c r="K2840" s="32"/>
      <c r="L2840" s="75">
        <v>2840</v>
      </c>
      <c r="M2840" s="75"/>
      <c r="N2840" s="70"/>
      <c r="O2840" s="77" t="s">
        <v>179</v>
      </c>
      <c r="P2840" s="79">
        <v>45064.681979166664</v>
      </c>
      <c r="Q2840" s="77" t="s">
        <v>3617</v>
      </c>
      <c r="R2840" s="77">
        <v>0</v>
      </c>
      <c r="S2840" s="77">
        <v>0</v>
      </c>
      <c r="T2840" s="77">
        <v>0</v>
      </c>
      <c r="U2840" s="77">
        <v>0</v>
      </c>
      <c r="V2840" s="77">
        <v>37</v>
      </c>
      <c r="W2840" s="82" t="s">
        <v>6382</v>
      </c>
      <c r="X2840" s="80" t="str">
        <f>HYPERLINK("https://tinyurl.com/2eaemred")</f>
        <v>https://tinyurl.com/2eaemred</v>
      </c>
      <c r="Y2840" s="77" t="s">
        <v>7068</v>
      </c>
      <c r="Z2840" s="77"/>
      <c r="AA2840" s="77"/>
      <c r="AB2840" s="77"/>
      <c r="AC2840" s="82" t="s">
        <v>8275</v>
      </c>
      <c r="AD2840" s="77" t="s">
        <v>8278</v>
      </c>
      <c r="AE2840" s="80" t="str">
        <f>HYPERLINK("https://twitter.com/pauta_economica/status/1659232891459497984")</f>
        <v>https://twitter.com/pauta_economica/status/1659232891459497984</v>
      </c>
      <c r="AF2840" s="79">
        <v>45064.681979166664</v>
      </c>
      <c r="AG2840" s="85">
        <v>45064</v>
      </c>
      <c r="AH2840" s="82" t="s">
        <v>10876</v>
      </c>
      <c r="AI2840" s="77" t="b">
        <v>0</v>
      </c>
      <c r="AJ2840" s="77"/>
      <c r="AK2840" s="77"/>
      <c r="AL2840" s="77"/>
      <c r="AM2840" s="77"/>
      <c r="AN2840" s="77"/>
      <c r="AO2840" s="77"/>
      <c r="AP2840" s="77"/>
      <c r="AQ2840" s="77"/>
      <c r="AR2840" s="77"/>
      <c r="AS2840" s="77"/>
      <c r="AT2840" s="77"/>
      <c r="AU2840" s="77"/>
      <c r="AV2840" s="80" t="str">
        <f>HYPERLINK("https://pbs.twimg.com/profile_images/1588668531910082561/XEi-lXiu_normal.jpg")</f>
        <v>https://pbs.twimg.com/profile_images/1588668531910082561/XEi-lXiu_normal.jpg</v>
      </c>
      <c r="AW2840" s="82" t="s">
        <v>15924</v>
      </c>
      <c r="AX2840" s="82" t="s">
        <v>15924</v>
      </c>
      <c r="AY2840" s="77"/>
      <c r="AZ2840" s="82" t="s">
        <v>17385</v>
      </c>
      <c r="BA2840" s="82" t="s">
        <v>17385</v>
      </c>
      <c r="BB2840" s="82" t="s">
        <v>17385</v>
      </c>
      <c r="BC2840" s="82" t="s">
        <v>15924</v>
      </c>
      <c r="BD2840" s="82" t="s">
        <v>17667</v>
      </c>
      <c r="BE2840" s="77"/>
      <c r="BF2840" s="77"/>
      <c r="BG2840" s="77"/>
      <c r="BH2840" s="77"/>
      <c r="BI2840" s="77"/>
    </row>
    <row r="2841" spans="1:61" x14ac:dyDescent="0.25">
      <c r="A2841" s="62" t="s">
        <v>646</v>
      </c>
      <c r="B2841" s="62" t="s">
        <v>646</v>
      </c>
      <c r="C2841" s="63"/>
      <c r="D2841" s="64"/>
      <c r="E2841" s="65"/>
      <c r="F2841" s="66"/>
      <c r="G2841" s="63"/>
      <c r="H2841" s="67"/>
      <c r="I2841" s="68"/>
      <c r="J2841" s="68"/>
      <c r="K2841" s="32"/>
      <c r="L2841" s="75">
        <v>2841</v>
      </c>
      <c r="M2841" s="75"/>
      <c r="N2841" s="70"/>
      <c r="O2841" s="77" t="s">
        <v>179</v>
      </c>
      <c r="P2841" s="79">
        <v>45064.629479166666</v>
      </c>
      <c r="Q2841" s="77" t="s">
        <v>3618</v>
      </c>
      <c r="R2841" s="77">
        <v>0</v>
      </c>
      <c r="S2841" s="77">
        <v>0</v>
      </c>
      <c r="T2841" s="77">
        <v>0</v>
      </c>
      <c r="U2841" s="77">
        <v>0</v>
      </c>
      <c r="V2841" s="77">
        <v>30</v>
      </c>
      <c r="W2841" s="82" t="s">
        <v>6382</v>
      </c>
      <c r="X2841" s="80" t="str">
        <f>HYPERLINK("https://tinyurl.com/2j2xrur9")</f>
        <v>https://tinyurl.com/2j2xrur9</v>
      </c>
      <c r="Y2841" s="77" t="s">
        <v>7068</v>
      </c>
      <c r="Z2841" s="77"/>
      <c r="AA2841" s="77"/>
      <c r="AB2841" s="77"/>
      <c r="AC2841" s="82" t="s">
        <v>8275</v>
      </c>
      <c r="AD2841" s="77" t="s">
        <v>8278</v>
      </c>
      <c r="AE2841" s="80" t="str">
        <f>HYPERLINK("https://twitter.com/pauta_economica/status/1659213868067954688")</f>
        <v>https://twitter.com/pauta_economica/status/1659213868067954688</v>
      </c>
      <c r="AF2841" s="79">
        <v>45064.629479166666</v>
      </c>
      <c r="AG2841" s="85">
        <v>45064</v>
      </c>
      <c r="AH2841" s="82" t="s">
        <v>10877</v>
      </c>
      <c r="AI2841" s="77" t="b">
        <v>0</v>
      </c>
      <c r="AJ2841" s="77"/>
      <c r="AK2841" s="77"/>
      <c r="AL2841" s="77"/>
      <c r="AM2841" s="77"/>
      <c r="AN2841" s="77"/>
      <c r="AO2841" s="77"/>
      <c r="AP2841" s="77"/>
      <c r="AQ2841" s="77"/>
      <c r="AR2841" s="77"/>
      <c r="AS2841" s="77"/>
      <c r="AT2841" s="77"/>
      <c r="AU2841" s="77"/>
      <c r="AV2841" s="80" t="str">
        <f>HYPERLINK("https://pbs.twimg.com/profile_images/1588668531910082561/XEi-lXiu_normal.jpg")</f>
        <v>https://pbs.twimg.com/profile_images/1588668531910082561/XEi-lXiu_normal.jpg</v>
      </c>
      <c r="AW2841" s="82" t="s">
        <v>15925</v>
      </c>
      <c r="AX2841" s="82" t="s">
        <v>15925</v>
      </c>
      <c r="AY2841" s="77"/>
      <c r="AZ2841" s="82" t="s">
        <v>17385</v>
      </c>
      <c r="BA2841" s="82" t="s">
        <v>17385</v>
      </c>
      <c r="BB2841" s="82" t="s">
        <v>17385</v>
      </c>
      <c r="BC2841" s="82" t="s">
        <v>15925</v>
      </c>
      <c r="BD2841" s="82" t="s">
        <v>17667</v>
      </c>
      <c r="BE2841" s="77"/>
      <c r="BF2841" s="77"/>
      <c r="BG2841" s="77"/>
      <c r="BH2841" s="77"/>
      <c r="BI2841" s="77"/>
    </row>
    <row r="2842" spans="1:61" x14ac:dyDescent="0.25">
      <c r="A2842" s="62" t="s">
        <v>646</v>
      </c>
      <c r="B2842" s="62" t="s">
        <v>646</v>
      </c>
      <c r="C2842" s="63"/>
      <c r="D2842" s="64"/>
      <c r="E2842" s="65"/>
      <c r="F2842" s="66"/>
      <c r="G2842" s="63"/>
      <c r="H2842" s="67"/>
      <c r="I2842" s="68"/>
      <c r="J2842" s="68"/>
      <c r="K2842" s="32"/>
      <c r="L2842" s="75">
        <v>2842</v>
      </c>
      <c r="M2842" s="75"/>
      <c r="N2842" s="70"/>
      <c r="O2842" s="77" t="s">
        <v>179</v>
      </c>
      <c r="P2842" s="79">
        <v>45064.626006944447</v>
      </c>
      <c r="Q2842" s="77" t="s">
        <v>3619</v>
      </c>
      <c r="R2842" s="77">
        <v>0</v>
      </c>
      <c r="S2842" s="77">
        <v>0</v>
      </c>
      <c r="T2842" s="77">
        <v>0</v>
      </c>
      <c r="U2842" s="77">
        <v>0</v>
      </c>
      <c r="V2842" s="77">
        <v>25</v>
      </c>
      <c r="W2842" s="82" t="s">
        <v>6382</v>
      </c>
      <c r="X2842" s="80" t="str">
        <f>HYPERLINK("https://tinyurl.com/2zmxblxa")</f>
        <v>https://tinyurl.com/2zmxblxa</v>
      </c>
      <c r="Y2842" s="77" t="s">
        <v>7068</v>
      </c>
      <c r="Z2842" s="77"/>
      <c r="AA2842" s="77"/>
      <c r="AB2842" s="77"/>
      <c r="AC2842" s="82" t="s">
        <v>8275</v>
      </c>
      <c r="AD2842" s="77" t="s">
        <v>8278</v>
      </c>
      <c r="AE2842" s="80" t="str">
        <f>HYPERLINK("https://twitter.com/pauta_economica/status/1659212609055502339")</f>
        <v>https://twitter.com/pauta_economica/status/1659212609055502339</v>
      </c>
      <c r="AF2842" s="79">
        <v>45064.626006944447</v>
      </c>
      <c r="AG2842" s="85">
        <v>45064</v>
      </c>
      <c r="AH2842" s="82" t="s">
        <v>10878</v>
      </c>
      <c r="AI2842" s="77" t="b">
        <v>0</v>
      </c>
      <c r="AJ2842" s="77"/>
      <c r="AK2842" s="77"/>
      <c r="AL2842" s="77"/>
      <c r="AM2842" s="77"/>
      <c r="AN2842" s="77"/>
      <c r="AO2842" s="77"/>
      <c r="AP2842" s="77"/>
      <c r="AQ2842" s="77"/>
      <c r="AR2842" s="77"/>
      <c r="AS2842" s="77"/>
      <c r="AT2842" s="77"/>
      <c r="AU2842" s="77"/>
      <c r="AV2842" s="80" t="str">
        <f>HYPERLINK("https://pbs.twimg.com/profile_images/1588668531910082561/XEi-lXiu_normal.jpg")</f>
        <v>https://pbs.twimg.com/profile_images/1588668531910082561/XEi-lXiu_normal.jpg</v>
      </c>
      <c r="AW2842" s="82" t="s">
        <v>15926</v>
      </c>
      <c r="AX2842" s="82" t="s">
        <v>15926</v>
      </c>
      <c r="AY2842" s="77"/>
      <c r="AZ2842" s="82" t="s">
        <v>17385</v>
      </c>
      <c r="BA2842" s="82" t="s">
        <v>17385</v>
      </c>
      <c r="BB2842" s="82" t="s">
        <v>17385</v>
      </c>
      <c r="BC2842" s="82" t="s">
        <v>15926</v>
      </c>
      <c r="BD2842" s="82" t="s">
        <v>17667</v>
      </c>
      <c r="BE2842" s="77"/>
      <c r="BF2842" s="77"/>
      <c r="BG2842" s="77"/>
      <c r="BH2842" s="77"/>
      <c r="BI2842" s="77"/>
    </row>
    <row r="2843" spans="1:61" x14ac:dyDescent="0.25">
      <c r="A2843" s="62" t="s">
        <v>646</v>
      </c>
      <c r="B2843" s="62" t="s">
        <v>646</v>
      </c>
      <c r="C2843" s="63"/>
      <c r="D2843" s="64"/>
      <c r="E2843" s="65"/>
      <c r="F2843" s="66"/>
      <c r="G2843" s="63"/>
      <c r="H2843" s="67"/>
      <c r="I2843" s="68"/>
      <c r="J2843" s="68"/>
      <c r="K2843" s="32"/>
      <c r="L2843" s="75">
        <v>2843</v>
      </c>
      <c r="M2843" s="75"/>
      <c r="N2843" s="70"/>
      <c r="O2843" s="77" t="s">
        <v>179</v>
      </c>
      <c r="P2843" s="79">
        <v>45064.622499999998</v>
      </c>
      <c r="Q2843" s="77" t="s">
        <v>3620</v>
      </c>
      <c r="R2843" s="77">
        <v>0</v>
      </c>
      <c r="S2843" s="77">
        <v>0</v>
      </c>
      <c r="T2843" s="77">
        <v>0</v>
      </c>
      <c r="U2843" s="77">
        <v>0</v>
      </c>
      <c r="V2843" s="77">
        <v>18</v>
      </c>
      <c r="W2843" s="82" t="s">
        <v>6382</v>
      </c>
      <c r="X2843" s="80" t="str">
        <f>HYPERLINK("https://tinyurl.com/2k56rdgr")</f>
        <v>https://tinyurl.com/2k56rdgr</v>
      </c>
      <c r="Y2843" s="77" t="s">
        <v>7068</v>
      </c>
      <c r="Z2843" s="77"/>
      <c r="AA2843" s="77"/>
      <c r="AB2843" s="77"/>
      <c r="AC2843" s="82" t="s">
        <v>8275</v>
      </c>
      <c r="AD2843" s="77" t="s">
        <v>8278</v>
      </c>
      <c r="AE2843" s="80" t="str">
        <f>HYPERLINK("https://twitter.com/pauta_economica/status/1659211337841655811")</f>
        <v>https://twitter.com/pauta_economica/status/1659211337841655811</v>
      </c>
      <c r="AF2843" s="79">
        <v>45064.622499999998</v>
      </c>
      <c r="AG2843" s="85">
        <v>45064</v>
      </c>
      <c r="AH2843" s="82" t="s">
        <v>10879</v>
      </c>
      <c r="AI2843" s="77" t="b">
        <v>0</v>
      </c>
      <c r="AJ2843" s="77"/>
      <c r="AK2843" s="77"/>
      <c r="AL2843" s="77"/>
      <c r="AM2843" s="77"/>
      <c r="AN2843" s="77"/>
      <c r="AO2843" s="77"/>
      <c r="AP2843" s="77"/>
      <c r="AQ2843" s="77"/>
      <c r="AR2843" s="77"/>
      <c r="AS2843" s="77"/>
      <c r="AT2843" s="77"/>
      <c r="AU2843" s="77"/>
      <c r="AV2843" s="80" t="str">
        <f>HYPERLINK("https://pbs.twimg.com/profile_images/1588668531910082561/XEi-lXiu_normal.jpg")</f>
        <v>https://pbs.twimg.com/profile_images/1588668531910082561/XEi-lXiu_normal.jpg</v>
      </c>
      <c r="AW2843" s="82" t="s">
        <v>15927</v>
      </c>
      <c r="AX2843" s="82" t="s">
        <v>15927</v>
      </c>
      <c r="AY2843" s="77"/>
      <c r="AZ2843" s="82" t="s">
        <v>17385</v>
      </c>
      <c r="BA2843" s="82" t="s">
        <v>17385</v>
      </c>
      <c r="BB2843" s="82" t="s">
        <v>17385</v>
      </c>
      <c r="BC2843" s="82" t="s">
        <v>15927</v>
      </c>
      <c r="BD2843" s="82" t="s">
        <v>17667</v>
      </c>
      <c r="BE2843" s="77"/>
      <c r="BF2843" s="77"/>
      <c r="BG2843" s="77"/>
      <c r="BH2843" s="77"/>
      <c r="BI2843" s="77"/>
    </row>
    <row r="2844" spans="1:61" x14ac:dyDescent="0.25">
      <c r="A2844" s="62" t="s">
        <v>646</v>
      </c>
      <c r="B2844" s="62" t="s">
        <v>646</v>
      </c>
      <c r="C2844" s="63"/>
      <c r="D2844" s="64"/>
      <c r="E2844" s="65"/>
      <c r="F2844" s="66"/>
      <c r="G2844" s="63"/>
      <c r="H2844" s="67"/>
      <c r="I2844" s="68"/>
      <c r="J2844" s="68"/>
      <c r="K2844" s="32"/>
      <c r="L2844" s="75">
        <v>2844</v>
      </c>
      <c r="M2844" s="75"/>
      <c r="N2844" s="70"/>
      <c r="O2844" s="77" t="s">
        <v>179</v>
      </c>
      <c r="P2844" s="79">
        <v>45064.608576388891</v>
      </c>
      <c r="Q2844" s="77" t="s">
        <v>3621</v>
      </c>
      <c r="R2844" s="77">
        <v>0</v>
      </c>
      <c r="S2844" s="77">
        <v>0</v>
      </c>
      <c r="T2844" s="77">
        <v>0</v>
      </c>
      <c r="U2844" s="77">
        <v>0</v>
      </c>
      <c r="V2844" s="77">
        <v>22</v>
      </c>
      <c r="W2844" s="82" t="s">
        <v>6382</v>
      </c>
      <c r="X2844" s="80" t="str">
        <f>HYPERLINK("https://tinyurl.com/2l43rqyw")</f>
        <v>https://tinyurl.com/2l43rqyw</v>
      </c>
      <c r="Y2844" s="77" t="s">
        <v>7068</v>
      </c>
      <c r="Z2844" s="77"/>
      <c r="AA2844" s="77"/>
      <c r="AB2844" s="77"/>
      <c r="AC2844" s="82" t="s">
        <v>8275</v>
      </c>
      <c r="AD2844" s="77" t="s">
        <v>8278</v>
      </c>
      <c r="AE2844" s="80" t="str">
        <f>HYPERLINK("https://twitter.com/pauta_economica/status/1659206292131692549")</f>
        <v>https://twitter.com/pauta_economica/status/1659206292131692549</v>
      </c>
      <c r="AF2844" s="79">
        <v>45064.608576388891</v>
      </c>
      <c r="AG2844" s="85">
        <v>45064</v>
      </c>
      <c r="AH2844" s="82" t="s">
        <v>10880</v>
      </c>
      <c r="AI2844" s="77" t="b">
        <v>0</v>
      </c>
      <c r="AJ2844" s="77"/>
      <c r="AK2844" s="77"/>
      <c r="AL2844" s="77"/>
      <c r="AM2844" s="77"/>
      <c r="AN2844" s="77"/>
      <c r="AO2844" s="77"/>
      <c r="AP2844" s="77"/>
      <c r="AQ2844" s="77"/>
      <c r="AR2844" s="77"/>
      <c r="AS2844" s="77"/>
      <c r="AT2844" s="77"/>
      <c r="AU2844" s="77"/>
      <c r="AV2844" s="80" t="str">
        <f>HYPERLINK("https://pbs.twimg.com/profile_images/1588668531910082561/XEi-lXiu_normal.jpg")</f>
        <v>https://pbs.twimg.com/profile_images/1588668531910082561/XEi-lXiu_normal.jpg</v>
      </c>
      <c r="AW2844" s="82" t="s">
        <v>15928</v>
      </c>
      <c r="AX2844" s="82" t="s">
        <v>15928</v>
      </c>
      <c r="AY2844" s="77"/>
      <c r="AZ2844" s="82" t="s">
        <v>17385</v>
      </c>
      <c r="BA2844" s="82" t="s">
        <v>17385</v>
      </c>
      <c r="BB2844" s="82" t="s">
        <v>17385</v>
      </c>
      <c r="BC2844" s="82" t="s">
        <v>15928</v>
      </c>
      <c r="BD2844" s="82" t="s">
        <v>17667</v>
      </c>
      <c r="BE2844" s="77"/>
      <c r="BF2844" s="77"/>
      <c r="BG2844" s="77"/>
      <c r="BH2844" s="77"/>
      <c r="BI2844" s="77"/>
    </row>
    <row r="2845" spans="1:61" x14ac:dyDescent="0.25">
      <c r="A2845" s="62" t="s">
        <v>646</v>
      </c>
      <c r="B2845" s="62" t="s">
        <v>646</v>
      </c>
      <c r="C2845" s="63"/>
      <c r="D2845" s="64"/>
      <c r="E2845" s="65"/>
      <c r="F2845" s="66"/>
      <c r="G2845" s="63"/>
      <c r="H2845" s="67"/>
      <c r="I2845" s="68"/>
      <c r="J2845" s="68"/>
      <c r="K2845" s="32"/>
      <c r="L2845" s="75">
        <v>2845</v>
      </c>
      <c r="M2845" s="75"/>
      <c r="N2845" s="70"/>
      <c r="O2845" s="77" t="s">
        <v>179</v>
      </c>
      <c r="P2845" s="79">
        <v>45064.59814814815</v>
      </c>
      <c r="Q2845" s="77" t="s">
        <v>3622</v>
      </c>
      <c r="R2845" s="77">
        <v>0</v>
      </c>
      <c r="S2845" s="77">
        <v>0</v>
      </c>
      <c r="T2845" s="77">
        <v>0</v>
      </c>
      <c r="U2845" s="77">
        <v>0</v>
      </c>
      <c r="V2845" s="77">
        <v>19</v>
      </c>
      <c r="W2845" s="82" t="s">
        <v>6382</v>
      </c>
      <c r="X2845" s="80" t="str">
        <f>HYPERLINK("https://tinyurl.com/2k64a4pd")</f>
        <v>https://tinyurl.com/2k64a4pd</v>
      </c>
      <c r="Y2845" s="77" t="s">
        <v>7068</v>
      </c>
      <c r="Z2845" s="77"/>
      <c r="AA2845" s="77"/>
      <c r="AB2845" s="77"/>
      <c r="AC2845" s="82" t="s">
        <v>8275</v>
      </c>
      <c r="AD2845" s="77" t="s">
        <v>8278</v>
      </c>
      <c r="AE2845" s="80" t="str">
        <f>HYPERLINK("https://twitter.com/pauta_economica/status/1659202513319632897")</f>
        <v>https://twitter.com/pauta_economica/status/1659202513319632897</v>
      </c>
      <c r="AF2845" s="79">
        <v>45064.59814814815</v>
      </c>
      <c r="AG2845" s="85">
        <v>45064</v>
      </c>
      <c r="AH2845" s="82" t="s">
        <v>10881</v>
      </c>
      <c r="AI2845" s="77" t="b">
        <v>0</v>
      </c>
      <c r="AJ2845" s="77"/>
      <c r="AK2845" s="77"/>
      <c r="AL2845" s="77"/>
      <c r="AM2845" s="77"/>
      <c r="AN2845" s="77"/>
      <c r="AO2845" s="77"/>
      <c r="AP2845" s="77"/>
      <c r="AQ2845" s="77"/>
      <c r="AR2845" s="77"/>
      <c r="AS2845" s="77"/>
      <c r="AT2845" s="77"/>
      <c r="AU2845" s="77"/>
      <c r="AV2845" s="80" t="str">
        <f>HYPERLINK("https://pbs.twimg.com/profile_images/1588668531910082561/XEi-lXiu_normal.jpg")</f>
        <v>https://pbs.twimg.com/profile_images/1588668531910082561/XEi-lXiu_normal.jpg</v>
      </c>
      <c r="AW2845" s="82" t="s">
        <v>15929</v>
      </c>
      <c r="AX2845" s="82" t="s">
        <v>15929</v>
      </c>
      <c r="AY2845" s="77"/>
      <c r="AZ2845" s="82" t="s">
        <v>17385</v>
      </c>
      <c r="BA2845" s="82" t="s">
        <v>17385</v>
      </c>
      <c r="BB2845" s="82" t="s">
        <v>17385</v>
      </c>
      <c r="BC2845" s="82" t="s">
        <v>15929</v>
      </c>
      <c r="BD2845" s="82" t="s">
        <v>17667</v>
      </c>
      <c r="BE2845" s="77"/>
      <c r="BF2845" s="77"/>
      <c r="BG2845" s="77"/>
      <c r="BH2845" s="77"/>
      <c r="BI2845" s="77"/>
    </row>
    <row r="2846" spans="1:61" x14ac:dyDescent="0.25">
      <c r="A2846" s="62" t="s">
        <v>646</v>
      </c>
      <c r="B2846" s="62" t="s">
        <v>646</v>
      </c>
      <c r="C2846" s="63"/>
      <c r="D2846" s="64"/>
      <c r="E2846" s="65"/>
      <c r="F2846" s="66"/>
      <c r="G2846" s="63"/>
      <c r="H2846" s="67"/>
      <c r="I2846" s="68"/>
      <c r="J2846" s="68"/>
      <c r="K2846" s="32"/>
      <c r="L2846" s="75">
        <v>2846</v>
      </c>
      <c r="M2846" s="75"/>
      <c r="N2846" s="70"/>
      <c r="O2846" s="77" t="s">
        <v>179</v>
      </c>
      <c r="P2846" s="79">
        <v>45064.542534722219</v>
      </c>
      <c r="Q2846" s="77" t="s">
        <v>3623</v>
      </c>
      <c r="R2846" s="77">
        <v>0</v>
      </c>
      <c r="S2846" s="77">
        <v>0</v>
      </c>
      <c r="T2846" s="77">
        <v>0</v>
      </c>
      <c r="U2846" s="77">
        <v>0</v>
      </c>
      <c r="V2846" s="77">
        <v>21</v>
      </c>
      <c r="W2846" s="82" t="s">
        <v>6382</v>
      </c>
      <c r="X2846" s="80" t="str">
        <f>HYPERLINK("https://tinyurl.com/2zjjzjh4")</f>
        <v>https://tinyurl.com/2zjjzjh4</v>
      </c>
      <c r="Y2846" s="77" t="s">
        <v>7068</v>
      </c>
      <c r="Z2846" s="77"/>
      <c r="AA2846" s="77"/>
      <c r="AB2846" s="77"/>
      <c r="AC2846" s="82" t="s">
        <v>8275</v>
      </c>
      <c r="AD2846" s="77" t="s">
        <v>8278</v>
      </c>
      <c r="AE2846" s="80" t="str">
        <f>HYPERLINK("https://twitter.com/pauta_economica/status/1659182361072787456")</f>
        <v>https://twitter.com/pauta_economica/status/1659182361072787456</v>
      </c>
      <c r="AF2846" s="79">
        <v>45064.542534722219</v>
      </c>
      <c r="AG2846" s="85">
        <v>45064</v>
      </c>
      <c r="AH2846" s="82" t="s">
        <v>10882</v>
      </c>
      <c r="AI2846" s="77" t="b">
        <v>0</v>
      </c>
      <c r="AJ2846" s="77"/>
      <c r="AK2846" s="77"/>
      <c r="AL2846" s="77"/>
      <c r="AM2846" s="77"/>
      <c r="AN2846" s="77"/>
      <c r="AO2846" s="77"/>
      <c r="AP2846" s="77"/>
      <c r="AQ2846" s="77"/>
      <c r="AR2846" s="77"/>
      <c r="AS2846" s="77"/>
      <c r="AT2846" s="77"/>
      <c r="AU2846" s="77"/>
      <c r="AV2846" s="80" t="str">
        <f>HYPERLINK("https://pbs.twimg.com/profile_images/1588668531910082561/XEi-lXiu_normal.jpg")</f>
        <v>https://pbs.twimg.com/profile_images/1588668531910082561/XEi-lXiu_normal.jpg</v>
      </c>
      <c r="AW2846" s="82" t="s">
        <v>15930</v>
      </c>
      <c r="AX2846" s="82" t="s">
        <v>15930</v>
      </c>
      <c r="AY2846" s="77"/>
      <c r="AZ2846" s="82" t="s">
        <v>17385</v>
      </c>
      <c r="BA2846" s="82" t="s">
        <v>17385</v>
      </c>
      <c r="BB2846" s="82" t="s">
        <v>17385</v>
      </c>
      <c r="BC2846" s="82" t="s">
        <v>15930</v>
      </c>
      <c r="BD2846" s="82" t="s">
        <v>17667</v>
      </c>
      <c r="BE2846" s="77"/>
      <c r="BF2846" s="77"/>
      <c r="BG2846" s="77"/>
      <c r="BH2846" s="77"/>
      <c r="BI2846" s="77"/>
    </row>
    <row r="2847" spans="1:61" x14ac:dyDescent="0.25">
      <c r="A2847" s="62" t="s">
        <v>646</v>
      </c>
      <c r="B2847" s="62" t="s">
        <v>646</v>
      </c>
      <c r="C2847" s="63"/>
      <c r="D2847" s="64"/>
      <c r="E2847" s="65"/>
      <c r="F2847" s="66"/>
      <c r="G2847" s="63"/>
      <c r="H2847" s="67"/>
      <c r="I2847" s="68"/>
      <c r="J2847" s="68"/>
      <c r="K2847" s="32"/>
      <c r="L2847" s="75">
        <v>2847</v>
      </c>
      <c r="M2847" s="75"/>
      <c r="N2847" s="70"/>
      <c r="O2847" s="77" t="s">
        <v>179</v>
      </c>
      <c r="P2847" s="79">
        <v>45064.530949074076</v>
      </c>
      <c r="Q2847" s="77" t="s">
        <v>3624</v>
      </c>
      <c r="R2847" s="77">
        <v>0</v>
      </c>
      <c r="S2847" s="77">
        <v>0</v>
      </c>
      <c r="T2847" s="77">
        <v>0</v>
      </c>
      <c r="U2847" s="77">
        <v>0</v>
      </c>
      <c r="V2847" s="77">
        <v>85</v>
      </c>
      <c r="W2847" s="82" t="s">
        <v>6382</v>
      </c>
      <c r="X2847" s="80" t="str">
        <f>HYPERLINK("https://tinyurl.com/2h53gopo")</f>
        <v>https://tinyurl.com/2h53gopo</v>
      </c>
      <c r="Y2847" s="77" t="s">
        <v>7068</v>
      </c>
      <c r="Z2847" s="77"/>
      <c r="AA2847" s="77"/>
      <c r="AB2847" s="77"/>
      <c r="AC2847" s="82" t="s">
        <v>8275</v>
      </c>
      <c r="AD2847" s="77" t="s">
        <v>8278</v>
      </c>
      <c r="AE2847" s="80" t="str">
        <f>HYPERLINK("https://twitter.com/pauta_economica/status/1659178160003461128")</f>
        <v>https://twitter.com/pauta_economica/status/1659178160003461128</v>
      </c>
      <c r="AF2847" s="79">
        <v>45064.530949074076</v>
      </c>
      <c r="AG2847" s="85">
        <v>45064</v>
      </c>
      <c r="AH2847" s="82" t="s">
        <v>10883</v>
      </c>
      <c r="AI2847" s="77" t="b">
        <v>0</v>
      </c>
      <c r="AJ2847" s="77"/>
      <c r="AK2847" s="77"/>
      <c r="AL2847" s="77"/>
      <c r="AM2847" s="77"/>
      <c r="AN2847" s="77"/>
      <c r="AO2847" s="77"/>
      <c r="AP2847" s="77"/>
      <c r="AQ2847" s="77"/>
      <c r="AR2847" s="77"/>
      <c r="AS2847" s="77"/>
      <c r="AT2847" s="77"/>
      <c r="AU2847" s="77"/>
      <c r="AV2847" s="80" t="str">
        <f>HYPERLINK("https://pbs.twimg.com/profile_images/1588668531910082561/XEi-lXiu_normal.jpg")</f>
        <v>https://pbs.twimg.com/profile_images/1588668531910082561/XEi-lXiu_normal.jpg</v>
      </c>
      <c r="AW2847" s="82" t="s">
        <v>15931</v>
      </c>
      <c r="AX2847" s="82" t="s">
        <v>15931</v>
      </c>
      <c r="AY2847" s="77"/>
      <c r="AZ2847" s="82" t="s">
        <v>17385</v>
      </c>
      <c r="BA2847" s="82" t="s">
        <v>17385</v>
      </c>
      <c r="BB2847" s="82" t="s">
        <v>17385</v>
      </c>
      <c r="BC2847" s="82" t="s">
        <v>15931</v>
      </c>
      <c r="BD2847" s="82" t="s">
        <v>17667</v>
      </c>
      <c r="BE2847" s="77"/>
      <c r="BF2847" s="77"/>
      <c r="BG2847" s="77"/>
      <c r="BH2847" s="77"/>
      <c r="BI2847" s="77"/>
    </row>
    <row r="2848" spans="1:61" x14ac:dyDescent="0.25">
      <c r="A2848" s="62" t="s">
        <v>646</v>
      </c>
      <c r="B2848" s="62" t="s">
        <v>646</v>
      </c>
      <c r="C2848" s="63"/>
      <c r="D2848" s="64"/>
      <c r="E2848" s="65"/>
      <c r="F2848" s="66"/>
      <c r="G2848" s="63"/>
      <c r="H2848" s="67"/>
      <c r="I2848" s="68"/>
      <c r="J2848" s="68"/>
      <c r="K2848" s="32"/>
      <c r="L2848" s="75">
        <v>2848</v>
      </c>
      <c r="M2848" s="75"/>
      <c r="N2848" s="70"/>
      <c r="O2848" s="77" t="s">
        <v>179</v>
      </c>
      <c r="P2848" s="79">
        <v>45064.524004629631</v>
      </c>
      <c r="Q2848" s="77" t="s">
        <v>3625</v>
      </c>
      <c r="R2848" s="77">
        <v>0</v>
      </c>
      <c r="S2848" s="77">
        <v>0</v>
      </c>
      <c r="T2848" s="77">
        <v>0</v>
      </c>
      <c r="U2848" s="77">
        <v>0</v>
      </c>
      <c r="V2848" s="77">
        <v>26</v>
      </c>
      <c r="W2848" s="82" t="s">
        <v>6382</v>
      </c>
      <c r="X2848" s="80" t="str">
        <f>HYPERLINK("https://tinyurl.com/2peyhdnl")</f>
        <v>https://tinyurl.com/2peyhdnl</v>
      </c>
      <c r="Y2848" s="77" t="s">
        <v>7068</v>
      </c>
      <c r="Z2848" s="77"/>
      <c r="AA2848" s="77"/>
      <c r="AB2848" s="77"/>
      <c r="AC2848" s="82" t="s">
        <v>8275</v>
      </c>
      <c r="AD2848" s="77" t="s">
        <v>8278</v>
      </c>
      <c r="AE2848" s="80" t="str">
        <f>HYPERLINK("https://twitter.com/pauta_economica/status/1659175643802750976")</f>
        <v>https://twitter.com/pauta_economica/status/1659175643802750976</v>
      </c>
      <c r="AF2848" s="79">
        <v>45064.524004629631</v>
      </c>
      <c r="AG2848" s="85">
        <v>45064</v>
      </c>
      <c r="AH2848" s="82" t="s">
        <v>10884</v>
      </c>
      <c r="AI2848" s="77" t="b">
        <v>0</v>
      </c>
      <c r="AJ2848" s="77"/>
      <c r="AK2848" s="77"/>
      <c r="AL2848" s="77"/>
      <c r="AM2848" s="77"/>
      <c r="AN2848" s="77"/>
      <c r="AO2848" s="77"/>
      <c r="AP2848" s="77"/>
      <c r="AQ2848" s="77"/>
      <c r="AR2848" s="77"/>
      <c r="AS2848" s="77"/>
      <c r="AT2848" s="77"/>
      <c r="AU2848" s="77"/>
      <c r="AV2848" s="80" t="str">
        <f>HYPERLINK("https://pbs.twimg.com/profile_images/1588668531910082561/XEi-lXiu_normal.jpg")</f>
        <v>https://pbs.twimg.com/profile_images/1588668531910082561/XEi-lXiu_normal.jpg</v>
      </c>
      <c r="AW2848" s="82" t="s">
        <v>15932</v>
      </c>
      <c r="AX2848" s="82" t="s">
        <v>15932</v>
      </c>
      <c r="AY2848" s="77"/>
      <c r="AZ2848" s="82" t="s">
        <v>17385</v>
      </c>
      <c r="BA2848" s="82" t="s">
        <v>17385</v>
      </c>
      <c r="BB2848" s="82" t="s">
        <v>17385</v>
      </c>
      <c r="BC2848" s="82" t="s">
        <v>15932</v>
      </c>
      <c r="BD2848" s="82" t="s">
        <v>17667</v>
      </c>
      <c r="BE2848" s="77"/>
      <c r="BF2848" s="77"/>
      <c r="BG2848" s="77"/>
      <c r="BH2848" s="77"/>
      <c r="BI2848" s="77"/>
    </row>
    <row r="2849" spans="1:61" x14ac:dyDescent="0.25">
      <c r="A2849" s="62" t="s">
        <v>646</v>
      </c>
      <c r="B2849" s="62" t="s">
        <v>646</v>
      </c>
      <c r="C2849" s="63"/>
      <c r="D2849" s="64"/>
      <c r="E2849" s="65"/>
      <c r="F2849" s="66"/>
      <c r="G2849" s="63"/>
      <c r="H2849" s="67"/>
      <c r="I2849" s="68"/>
      <c r="J2849" s="68"/>
      <c r="K2849" s="32"/>
      <c r="L2849" s="75">
        <v>2849</v>
      </c>
      <c r="M2849" s="75"/>
      <c r="N2849" s="70"/>
      <c r="O2849" s="77" t="s">
        <v>179</v>
      </c>
      <c r="P2849" s="79">
        <v>45064.516481481478</v>
      </c>
      <c r="Q2849" s="77" t="s">
        <v>3626</v>
      </c>
      <c r="R2849" s="77">
        <v>0</v>
      </c>
      <c r="S2849" s="77">
        <v>0</v>
      </c>
      <c r="T2849" s="77">
        <v>0</v>
      </c>
      <c r="U2849" s="77">
        <v>0</v>
      </c>
      <c r="V2849" s="77">
        <v>41</v>
      </c>
      <c r="W2849" s="82" t="s">
        <v>6382</v>
      </c>
      <c r="X2849" s="80" t="str">
        <f>HYPERLINK("https://tinyurl.com/2ep2bh94")</f>
        <v>https://tinyurl.com/2ep2bh94</v>
      </c>
      <c r="Y2849" s="77" t="s">
        <v>7068</v>
      </c>
      <c r="Z2849" s="77"/>
      <c r="AA2849" s="77"/>
      <c r="AB2849" s="77"/>
      <c r="AC2849" s="82" t="s">
        <v>8275</v>
      </c>
      <c r="AD2849" s="77" t="s">
        <v>8278</v>
      </c>
      <c r="AE2849" s="80" t="str">
        <f>HYPERLINK("https://twitter.com/pauta_economica/status/1659172919543472129")</f>
        <v>https://twitter.com/pauta_economica/status/1659172919543472129</v>
      </c>
      <c r="AF2849" s="79">
        <v>45064.516481481478</v>
      </c>
      <c r="AG2849" s="85">
        <v>45064</v>
      </c>
      <c r="AH2849" s="82" t="s">
        <v>10885</v>
      </c>
      <c r="AI2849" s="77" t="b">
        <v>0</v>
      </c>
      <c r="AJ2849" s="77"/>
      <c r="AK2849" s="77"/>
      <c r="AL2849" s="77"/>
      <c r="AM2849" s="77"/>
      <c r="AN2849" s="77"/>
      <c r="AO2849" s="77"/>
      <c r="AP2849" s="77"/>
      <c r="AQ2849" s="77"/>
      <c r="AR2849" s="77"/>
      <c r="AS2849" s="77"/>
      <c r="AT2849" s="77"/>
      <c r="AU2849" s="77"/>
      <c r="AV2849" s="80" t="str">
        <f>HYPERLINK("https://pbs.twimg.com/profile_images/1588668531910082561/XEi-lXiu_normal.jpg")</f>
        <v>https://pbs.twimg.com/profile_images/1588668531910082561/XEi-lXiu_normal.jpg</v>
      </c>
      <c r="AW2849" s="82" t="s">
        <v>15933</v>
      </c>
      <c r="AX2849" s="82" t="s">
        <v>15933</v>
      </c>
      <c r="AY2849" s="77"/>
      <c r="AZ2849" s="82" t="s">
        <v>17385</v>
      </c>
      <c r="BA2849" s="82" t="s">
        <v>17385</v>
      </c>
      <c r="BB2849" s="82" t="s">
        <v>17385</v>
      </c>
      <c r="BC2849" s="82" t="s">
        <v>15933</v>
      </c>
      <c r="BD2849" s="82" t="s">
        <v>17667</v>
      </c>
      <c r="BE2849" s="77"/>
      <c r="BF2849" s="77"/>
      <c r="BG2849" s="77"/>
      <c r="BH2849" s="77"/>
      <c r="BI2849" s="77"/>
    </row>
    <row r="2850" spans="1:61" x14ac:dyDescent="0.25">
      <c r="A2850" s="62" t="s">
        <v>646</v>
      </c>
      <c r="B2850" s="62" t="s">
        <v>646</v>
      </c>
      <c r="C2850" s="63"/>
      <c r="D2850" s="64"/>
      <c r="E2850" s="65"/>
      <c r="F2850" s="66"/>
      <c r="G2850" s="63"/>
      <c r="H2850" s="67"/>
      <c r="I2850" s="68"/>
      <c r="J2850" s="68"/>
      <c r="K2850" s="32"/>
      <c r="L2850" s="75">
        <v>2850</v>
      </c>
      <c r="M2850" s="75"/>
      <c r="N2850" s="70"/>
      <c r="O2850" s="77" t="s">
        <v>179</v>
      </c>
      <c r="P2850" s="79">
        <v>45064.514166666668</v>
      </c>
      <c r="Q2850" s="77" t="s">
        <v>3627</v>
      </c>
      <c r="R2850" s="77">
        <v>0</v>
      </c>
      <c r="S2850" s="77">
        <v>0</v>
      </c>
      <c r="T2850" s="77">
        <v>0</v>
      </c>
      <c r="U2850" s="77">
        <v>0</v>
      </c>
      <c r="V2850" s="77">
        <v>21</v>
      </c>
      <c r="W2850" s="82" t="s">
        <v>6382</v>
      </c>
      <c r="X2850" s="80" t="str">
        <f>HYPERLINK("https://tinyurl.com/2jhjn9qy")</f>
        <v>https://tinyurl.com/2jhjn9qy</v>
      </c>
      <c r="Y2850" s="77" t="s">
        <v>7068</v>
      </c>
      <c r="Z2850" s="77"/>
      <c r="AA2850" s="77"/>
      <c r="AB2850" s="77"/>
      <c r="AC2850" s="82" t="s">
        <v>8275</v>
      </c>
      <c r="AD2850" s="77" t="s">
        <v>8278</v>
      </c>
      <c r="AE2850" s="80" t="str">
        <f>HYPERLINK("https://twitter.com/pauta_economica/status/1659172081198661632")</f>
        <v>https://twitter.com/pauta_economica/status/1659172081198661632</v>
      </c>
      <c r="AF2850" s="79">
        <v>45064.514166666668</v>
      </c>
      <c r="AG2850" s="85">
        <v>45064</v>
      </c>
      <c r="AH2850" s="82" t="s">
        <v>10886</v>
      </c>
      <c r="AI2850" s="77" t="b">
        <v>0</v>
      </c>
      <c r="AJ2850" s="77"/>
      <c r="AK2850" s="77"/>
      <c r="AL2850" s="77"/>
      <c r="AM2850" s="77"/>
      <c r="AN2850" s="77"/>
      <c r="AO2850" s="77"/>
      <c r="AP2850" s="77"/>
      <c r="AQ2850" s="77"/>
      <c r="AR2850" s="77"/>
      <c r="AS2850" s="77"/>
      <c r="AT2850" s="77"/>
      <c r="AU2850" s="77"/>
      <c r="AV2850" s="80" t="str">
        <f>HYPERLINK("https://pbs.twimg.com/profile_images/1588668531910082561/XEi-lXiu_normal.jpg")</f>
        <v>https://pbs.twimg.com/profile_images/1588668531910082561/XEi-lXiu_normal.jpg</v>
      </c>
      <c r="AW2850" s="82" t="s">
        <v>15934</v>
      </c>
      <c r="AX2850" s="82" t="s">
        <v>15934</v>
      </c>
      <c r="AY2850" s="77"/>
      <c r="AZ2850" s="82" t="s">
        <v>17385</v>
      </c>
      <c r="BA2850" s="82" t="s">
        <v>17385</v>
      </c>
      <c r="BB2850" s="82" t="s">
        <v>17385</v>
      </c>
      <c r="BC2850" s="82" t="s">
        <v>15934</v>
      </c>
      <c r="BD2850" s="82" t="s">
        <v>17667</v>
      </c>
      <c r="BE2850" s="77"/>
      <c r="BF2850" s="77"/>
      <c r="BG2850" s="77"/>
      <c r="BH2850" s="77"/>
      <c r="BI2850" s="77"/>
    </row>
    <row r="2851" spans="1:61" x14ac:dyDescent="0.25">
      <c r="A2851" s="62" t="s">
        <v>646</v>
      </c>
      <c r="B2851" s="62" t="s">
        <v>646</v>
      </c>
      <c r="C2851" s="63"/>
      <c r="D2851" s="64"/>
      <c r="E2851" s="65"/>
      <c r="F2851" s="66"/>
      <c r="G2851" s="63"/>
      <c r="H2851" s="67"/>
      <c r="I2851" s="68"/>
      <c r="J2851" s="68"/>
      <c r="K2851" s="32"/>
      <c r="L2851" s="75">
        <v>2851</v>
      </c>
      <c r="M2851" s="75"/>
      <c r="N2851" s="70"/>
      <c r="O2851" s="77" t="s">
        <v>179</v>
      </c>
      <c r="P2851" s="79">
        <v>45064.509548611109</v>
      </c>
      <c r="Q2851" s="77" t="s">
        <v>3628</v>
      </c>
      <c r="R2851" s="77">
        <v>0</v>
      </c>
      <c r="S2851" s="77">
        <v>0</v>
      </c>
      <c r="T2851" s="77">
        <v>0</v>
      </c>
      <c r="U2851" s="77">
        <v>0</v>
      </c>
      <c r="V2851" s="77">
        <v>18</v>
      </c>
      <c r="W2851" s="82" t="s">
        <v>6382</v>
      </c>
      <c r="X2851" s="80" t="str">
        <f>HYPERLINK("https://tinyurl.com/2fvu83p2")</f>
        <v>https://tinyurl.com/2fvu83p2</v>
      </c>
      <c r="Y2851" s="77" t="s">
        <v>7068</v>
      </c>
      <c r="Z2851" s="77"/>
      <c r="AA2851" s="77"/>
      <c r="AB2851" s="77"/>
      <c r="AC2851" s="82" t="s">
        <v>8275</v>
      </c>
      <c r="AD2851" s="77" t="s">
        <v>8278</v>
      </c>
      <c r="AE2851" s="80" t="str">
        <f>HYPERLINK("https://twitter.com/pauta_economica/status/1659170405838364672")</f>
        <v>https://twitter.com/pauta_economica/status/1659170405838364672</v>
      </c>
      <c r="AF2851" s="79">
        <v>45064.509548611109</v>
      </c>
      <c r="AG2851" s="85">
        <v>45064</v>
      </c>
      <c r="AH2851" s="82" t="s">
        <v>10887</v>
      </c>
      <c r="AI2851" s="77" t="b">
        <v>0</v>
      </c>
      <c r="AJ2851" s="77"/>
      <c r="AK2851" s="77"/>
      <c r="AL2851" s="77"/>
      <c r="AM2851" s="77"/>
      <c r="AN2851" s="77"/>
      <c r="AO2851" s="77"/>
      <c r="AP2851" s="77"/>
      <c r="AQ2851" s="77"/>
      <c r="AR2851" s="77"/>
      <c r="AS2851" s="77"/>
      <c r="AT2851" s="77"/>
      <c r="AU2851" s="77"/>
      <c r="AV2851" s="80" t="str">
        <f>HYPERLINK("https://pbs.twimg.com/profile_images/1588668531910082561/XEi-lXiu_normal.jpg")</f>
        <v>https://pbs.twimg.com/profile_images/1588668531910082561/XEi-lXiu_normal.jpg</v>
      </c>
      <c r="AW2851" s="82" t="s">
        <v>15935</v>
      </c>
      <c r="AX2851" s="82" t="s">
        <v>15935</v>
      </c>
      <c r="AY2851" s="77"/>
      <c r="AZ2851" s="82" t="s">
        <v>17385</v>
      </c>
      <c r="BA2851" s="82" t="s">
        <v>17385</v>
      </c>
      <c r="BB2851" s="82" t="s">
        <v>17385</v>
      </c>
      <c r="BC2851" s="82" t="s">
        <v>15935</v>
      </c>
      <c r="BD2851" s="82" t="s">
        <v>17667</v>
      </c>
      <c r="BE2851" s="77"/>
      <c r="BF2851" s="77"/>
      <c r="BG2851" s="77"/>
      <c r="BH2851" s="77"/>
      <c r="BI2851" s="77"/>
    </row>
    <row r="2852" spans="1:61" x14ac:dyDescent="0.25">
      <c r="A2852" s="62" t="s">
        <v>646</v>
      </c>
      <c r="B2852" s="62" t="s">
        <v>646</v>
      </c>
      <c r="C2852" s="63"/>
      <c r="D2852" s="64"/>
      <c r="E2852" s="65"/>
      <c r="F2852" s="66"/>
      <c r="G2852" s="63"/>
      <c r="H2852" s="67"/>
      <c r="I2852" s="68"/>
      <c r="J2852" s="68"/>
      <c r="K2852" s="32"/>
      <c r="L2852" s="75">
        <v>2852</v>
      </c>
      <c r="M2852" s="75"/>
      <c r="N2852" s="70"/>
      <c r="O2852" s="77" t="s">
        <v>179</v>
      </c>
      <c r="P2852" s="79">
        <v>45064.495613425926</v>
      </c>
      <c r="Q2852" s="77" t="s">
        <v>3629</v>
      </c>
      <c r="R2852" s="77">
        <v>0</v>
      </c>
      <c r="S2852" s="77">
        <v>0</v>
      </c>
      <c r="T2852" s="77">
        <v>0</v>
      </c>
      <c r="U2852" s="77">
        <v>0</v>
      </c>
      <c r="V2852" s="77">
        <v>29</v>
      </c>
      <c r="W2852" s="82" t="s">
        <v>6382</v>
      </c>
      <c r="X2852" s="80" t="str">
        <f>HYPERLINK("https://tinyurl.com/2nbpux5k")</f>
        <v>https://tinyurl.com/2nbpux5k</v>
      </c>
      <c r="Y2852" s="77" t="s">
        <v>7068</v>
      </c>
      <c r="Z2852" s="77"/>
      <c r="AA2852" s="77"/>
      <c r="AB2852" s="77"/>
      <c r="AC2852" s="82" t="s">
        <v>8275</v>
      </c>
      <c r="AD2852" s="77" t="s">
        <v>8278</v>
      </c>
      <c r="AE2852" s="80" t="str">
        <f>HYPERLINK("https://twitter.com/pauta_economica/status/1659165357452537858")</f>
        <v>https://twitter.com/pauta_economica/status/1659165357452537858</v>
      </c>
      <c r="AF2852" s="79">
        <v>45064.495613425926</v>
      </c>
      <c r="AG2852" s="85">
        <v>45064</v>
      </c>
      <c r="AH2852" s="82" t="s">
        <v>10888</v>
      </c>
      <c r="AI2852" s="77" t="b">
        <v>0</v>
      </c>
      <c r="AJ2852" s="77"/>
      <c r="AK2852" s="77"/>
      <c r="AL2852" s="77"/>
      <c r="AM2852" s="77"/>
      <c r="AN2852" s="77"/>
      <c r="AO2852" s="77"/>
      <c r="AP2852" s="77"/>
      <c r="AQ2852" s="77"/>
      <c r="AR2852" s="77"/>
      <c r="AS2852" s="77"/>
      <c r="AT2852" s="77"/>
      <c r="AU2852" s="77"/>
      <c r="AV2852" s="80" t="str">
        <f>HYPERLINK("https://pbs.twimg.com/profile_images/1588668531910082561/XEi-lXiu_normal.jpg")</f>
        <v>https://pbs.twimg.com/profile_images/1588668531910082561/XEi-lXiu_normal.jpg</v>
      </c>
      <c r="AW2852" s="82" t="s">
        <v>15936</v>
      </c>
      <c r="AX2852" s="82" t="s">
        <v>15936</v>
      </c>
      <c r="AY2852" s="77"/>
      <c r="AZ2852" s="82" t="s">
        <v>17385</v>
      </c>
      <c r="BA2852" s="82" t="s">
        <v>17385</v>
      </c>
      <c r="BB2852" s="82" t="s">
        <v>17385</v>
      </c>
      <c r="BC2852" s="82" t="s">
        <v>15936</v>
      </c>
      <c r="BD2852" s="82" t="s">
        <v>17667</v>
      </c>
      <c r="BE2852" s="77"/>
      <c r="BF2852" s="77"/>
      <c r="BG2852" s="77"/>
      <c r="BH2852" s="77"/>
      <c r="BI2852" s="77"/>
    </row>
    <row r="2853" spans="1:61" x14ac:dyDescent="0.25">
      <c r="A2853" s="62" t="s">
        <v>646</v>
      </c>
      <c r="B2853" s="62" t="s">
        <v>646</v>
      </c>
      <c r="C2853" s="63"/>
      <c r="D2853" s="64"/>
      <c r="E2853" s="65"/>
      <c r="F2853" s="66"/>
      <c r="G2853" s="63"/>
      <c r="H2853" s="67"/>
      <c r="I2853" s="68"/>
      <c r="J2853" s="68"/>
      <c r="K2853" s="32"/>
      <c r="L2853" s="75">
        <v>2853</v>
      </c>
      <c r="M2853" s="75"/>
      <c r="N2853" s="70"/>
      <c r="O2853" s="77" t="s">
        <v>179</v>
      </c>
      <c r="P2853" s="79">
        <v>45064.430763888886</v>
      </c>
      <c r="Q2853" s="77" t="s">
        <v>3630</v>
      </c>
      <c r="R2853" s="77">
        <v>0</v>
      </c>
      <c r="S2853" s="77">
        <v>0</v>
      </c>
      <c r="T2853" s="77">
        <v>0</v>
      </c>
      <c r="U2853" s="77">
        <v>0</v>
      </c>
      <c r="V2853" s="77">
        <v>27</v>
      </c>
      <c r="W2853" s="82" t="s">
        <v>6382</v>
      </c>
      <c r="X2853" s="80" t="str">
        <f>HYPERLINK("https://tinyurl.com/2h9a7p3b")</f>
        <v>https://tinyurl.com/2h9a7p3b</v>
      </c>
      <c r="Y2853" s="77" t="s">
        <v>7068</v>
      </c>
      <c r="Z2853" s="77"/>
      <c r="AA2853" s="77"/>
      <c r="AB2853" s="77"/>
      <c r="AC2853" s="82" t="s">
        <v>8275</v>
      </c>
      <c r="AD2853" s="77" t="s">
        <v>8278</v>
      </c>
      <c r="AE2853" s="80" t="str">
        <f>HYPERLINK("https://twitter.com/pauta_economica/status/1659141854732877824")</f>
        <v>https://twitter.com/pauta_economica/status/1659141854732877824</v>
      </c>
      <c r="AF2853" s="79">
        <v>45064.430763888886</v>
      </c>
      <c r="AG2853" s="85">
        <v>45064</v>
      </c>
      <c r="AH2853" s="82" t="s">
        <v>10889</v>
      </c>
      <c r="AI2853" s="77" t="b">
        <v>0</v>
      </c>
      <c r="AJ2853" s="77"/>
      <c r="AK2853" s="77"/>
      <c r="AL2853" s="77"/>
      <c r="AM2853" s="77"/>
      <c r="AN2853" s="77"/>
      <c r="AO2853" s="77"/>
      <c r="AP2853" s="77"/>
      <c r="AQ2853" s="77"/>
      <c r="AR2853" s="77"/>
      <c r="AS2853" s="77"/>
      <c r="AT2853" s="77"/>
      <c r="AU2853" s="77"/>
      <c r="AV2853" s="80" t="str">
        <f>HYPERLINK("https://pbs.twimg.com/profile_images/1588668531910082561/XEi-lXiu_normal.jpg")</f>
        <v>https://pbs.twimg.com/profile_images/1588668531910082561/XEi-lXiu_normal.jpg</v>
      </c>
      <c r="AW2853" s="82" t="s">
        <v>15937</v>
      </c>
      <c r="AX2853" s="82" t="s">
        <v>15937</v>
      </c>
      <c r="AY2853" s="77"/>
      <c r="AZ2853" s="82" t="s">
        <v>17385</v>
      </c>
      <c r="BA2853" s="82" t="s">
        <v>17385</v>
      </c>
      <c r="BB2853" s="82" t="s">
        <v>17385</v>
      </c>
      <c r="BC2853" s="82" t="s">
        <v>15937</v>
      </c>
      <c r="BD2853" s="82" t="s">
        <v>17667</v>
      </c>
      <c r="BE2853" s="77"/>
      <c r="BF2853" s="77"/>
      <c r="BG2853" s="77"/>
      <c r="BH2853" s="77"/>
      <c r="BI2853" s="77"/>
    </row>
    <row r="2854" spans="1:61" x14ac:dyDescent="0.25">
      <c r="A2854" s="62" t="s">
        <v>646</v>
      </c>
      <c r="B2854" s="62" t="s">
        <v>646</v>
      </c>
      <c r="C2854" s="63"/>
      <c r="D2854" s="64"/>
      <c r="E2854" s="65"/>
      <c r="F2854" s="66"/>
      <c r="G2854" s="63"/>
      <c r="H2854" s="67"/>
      <c r="I2854" s="68"/>
      <c r="J2854" s="68"/>
      <c r="K2854" s="32"/>
      <c r="L2854" s="75">
        <v>2854</v>
      </c>
      <c r="M2854" s="75"/>
      <c r="N2854" s="70"/>
      <c r="O2854" s="77" t="s">
        <v>179</v>
      </c>
      <c r="P2854" s="79">
        <v>45064.402928240743</v>
      </c>
      <c r="Q2854" s="77" t="s">
        <v>3631</v>
      </c>
      <c r="R2854" s="77">
        <v>0</v>
      </c>
      <c r="S2854" s="77">
        <v>0</v>
      </c>
      <c r="T2854" s="77">
        <v>0</v>
      </c>
      <c r="U2854" s="77">
        <v>0</v>
      </c>
      <c r="V2854" s="77">
        <v>36</v>
      </c>
      <c r="W2854" s="82" t="s">
        <v>6382</v>
      </c>
      <c r="X2854" s="80" t="str">
        <f>HYPERLINK("https://tinyurl.com/2pu39xhu")</f>
        <v>https://tinyurl.com/2pu39xhu</v>
      </c>
      <c r="Y2854" s="77" t="s">
        <v>7068</v>
      </c>
      <c r="Z2854" s="77"/>
      <c r="AA2854" s="77"/>
      <c r="AB2854" s="77"/>
      <c r="AC2854" s="82" t="s">
        <v>8275</v>
      </c>
      <c r="AD2854" s="77" t="s">
        <v>8278</v>
      </c>
      <c r="AE2854" s="80" t="str">
        <f>HYPERLINK("https://twitter.com/pauta_economica/status/1659131770741174273")</f>
        <v>https://twitter.com/pauta_economica/status/1659131770741174273</v>
      </c>
      <c r="AF2854" s="79">
        <v>45064.402928240743</v>
      </c>
      <c r="AG2854" s="85">
        <v>45064</v>
      </c>
      <c r="AH2854" s="82" t="s">
        <v>10890</v>
      </c>
      <c r="AI2854" s="77" t="b">
        <v>0</v>
      </c>
      <c r="AJ2854" s="77"/>
      <c r="AK2854" s="77"/>
      <c r="AL2854" s="77"/>
      <c r="AM2854" s="77"/>
      <c r="AN2854" s="77"/>
      <c r="AO2854" s="77"/>
      <c r="AP2854" s="77"/>
      <c r="AQ2854" s="77"/>
      <c r="AR2854" s="77"/>
      <c r="AS2854" s="77"/>
      <c r="AT2854" s="77"/>
      <c r="AU2854" s="77"/>
      <c r="AV2854" s="80" t="str">
        <f>HYPERLINK("https://pbs.twimg.com/profile_images/1588668531910082561/XEi-lXiu_normal.jpg")</f>
        <v>https://pbs.twimg.com/profile_images/1588668531910082561/XEi-lXiu_normal.jpg</v>
      </c>
      <c r="AW2854" s="82" t="s">
        <v>15938</v>
      </c>
      <c r="AX2854" s="82" t="s">
        <v>15938</v>
      </c>
      <c r="AY2854" s="77"/>
      <c r="AZ2854" s="82" t="s">
        <v>17385</v>
      </c>
      <c r="BA2854" s="82" t="s">
        <v>17385</v>
      </c>
      <c r="BB2854" s="82" t="s">
        <v>17385</v>
      </c>
      <c r="BC2854" s="82" t="s">
        <v>15938</v>
      </c>
      <c r="BD2854" s="82" t="s">
        <v>17667</v>
      </c>
      <c r="BE2854" s="77"/>
      <c r="BF2854" s="77"/>
      <c r="BG2854" s="77"/>
      <c r="BH2854" s="77"/>
      <c r="BI2854" s="77"/>
    </row>
    <row r="2855" spans="1:61" x14ac:dyDescent="0.25">
      <c r="A2855" s="62" t="s">
        <v>646</v>
      </c>
      <c r="B2855" s="62" t="s">
        <v>646</v>
      </c>
      <c r="C2855" s="63"/>
      <c r="D2855" s="64"/>
      <c r="E2855" s="65"/>
      <c r="F2855" s="66"/>
      <c r="G2855" s="63"/>
      <c r="H2855" s="67"/>
      <c r="I2855" s="68"/>
      <c r="J2855" s="68"/>
      <c r="K2855" s="32"/>
      <c r="L2855" s="75">
        <v>2855</v>
      </c>
      <c r="M2855" s="75"/>
      <c r="N2855" s="70"/>
      <c r="O2855" s="77" t="s">
        <v>179</v>
      </c>
      <c r="P2855" s="79">
        <v>45064.374583333331</v>
      </c>
      <c r="Q2855" s="77" t="s">
        <v>3632</v>
      </c>
      <c r="R2855" s="77">
        <v>0</v>
      </c>
      <c r="S2855" s="77">
        <v>0</v>
      </c>
      <c r="T2855" s="77">
        <v>0</v>
      </c>
      <c r="U2855" s="77">
        <v>0</v>
      </c>
      <c r="V2855" s="77">
        <v>65</v>
      </c>
      <c r="W2855" s="82" t="s">
        <v>6382</v>
      </c>
      <c r="X2855" s="80" t="str">
        <f>HYPERLINK("https://tinyurl.com/2kaa9cxl")</f>
        <v>https://tinyurl.com/2kaa9cxl</v>
      </c>
      <c r="Y2855" s="77" t="s">
        <v>7068</v>
      </c>
      <c r="Z2855" s="77"/>
      <c r="AA2855" s="77"/>
      <c r="AB2855" s="77"/>
      <c r="AC2855" s="82" t="s">
        <v>8275</v>
      </c>
      <c r="AD2855" s="77" t="s">
        <v>8278</v>
      </c>
      <c r="AE2855" s="80" t="str">
        <f>HYPERLINK("https://twitter.com/pauta_economica/status/1659121496554389504")</f>
        <v>https://twitter.com/pauta_economica/status/1659121496554389504</v>
      </c>
      <c r="AF2855" s="79">
        <v>45064.374583333331</v>
      </c>
      <c r="AG2855" s="85">
        <v>45064</v>
      </c>
      <c r="AH2855" s="82" t="s">
        <v>10891</v>
      </c>
      <c r="AI2855" s="77" t="b">
        <v>0</v>
      </c>
      <c r="AJ2855" s="77"/>
      <c r="AK2855" s="77"/>
      <c r="AL2855" s="77"/>
      <c r="AM2855" s="77"/>
      <c r="AN2855" s="77"/>
      <c r="AO2855" s="77"/>
      <c r="AP2855" s="77"/>
      <c r="AQ2855" s="77"/>
      <c r="AR2855" s="77"/>
      <c r="AS2855" s="77"/>
      <c r="AT2855" s="77"/>
      <c r="AU2855" s="77"/>
      <c r="AV2855" s="80" t="str">
        <f>HYPERLINK("https://pbs.twimg.com/profile_images/1588668531910082561/XEi-lXiu_normal.jpg")</f>
        <v>https://pbs.twimg.com/profile_images/1588668531910082561/XEi-lXiu_normal.jpg</v>
      </c>
      <c r="AW2855" s="82" t="s">
        <v>15939</v>
      </c>
      <c r="AX2855" s="82" t="s">
        <v>15939</v>
      </c>
      <c r="AY2855" s="77"/>
      <c r="AZ2855" s="82" t="s">
        <v>17385</v>
      </c>
      <c r="BA2855" s="82" t="s">
        <v>17385</v>
      </c>
      <c r="BB2855" s="82" t="s">
        <v>17385</v>
      </c>
      <c r="BC2855" s="82" t="s">
        <v>15939</v>
      </c>
      <c r="BD2855" s="82" t="s">
        <v>17667</v>
      </c>
      <c r="BE2855" s="77"/>
      <c r="BF2855" s="77"/>
      <c r="BG2855" s="77"/>
      <c r="BH2855" s="77"/>
      <c r="BI2855" s="77"/>
    </row>
    <row r="2856" spans="1:61" x14ac:dyDescent="0.25">
      <c r="A2856" s="62" t="s">
        <v>646</v>
      </c>
      <c r="B2856" s="62" t="s">
        <v>646</v>
      </c>
      <c r="C2856" s="63"/>
      <c r="D2856" s="64"/>
      <c r="E2856" s="65"/>
      <c r="F2856" s="66"/>
      <c r="G2856" s="63"/>
      <c r="H2856" s="67"/>
      <c r="I2856" s="68"/>
      <c r="J2856" s="68"/>
      <c r="K2856" s="32"/>
      <c r="L2856" s="75">
        <v>2856</v>
      </c>
      <c r="M2856" s="75"/>
      <c r="N2856" s="70"/>
      <c r="O2856" s="77" t="s">
        <v>179</v>
      </c>
      <c r="P2856" s="79">
        <v>45064.318865740737</v>
      </c>
      <c r="Q2856" s="77" t="s">
        <v>3633</v>
      </c>
      <c r="R2856" s="77">
        <v>0</v>
      </c>
      <c r="S2856" s="77">
        <v>0</v>
      </c>
      <c r="T2856" s="77">
        <v>0</v>
      </c>
      <c r="U2856" s="77">
        <v>0</v>
      </c>
      <c r="V2856" s="77">
        <v>17</v>
      </c>
      <c r="W2856" s="82" t="s">
        <v>6382</v>
      </c>
      <c r="X2856" s="80" t="str">
        <f>HYPERLINK("https://tinyurl.com/2fyq52bm")</f>
        <v>https://tinyurl.com/2fyq52bm</v>
      </c>
      <c r="Y2856" s="77" t="s">
        <v>7068</v>
      </c>
      <c r="Z2856" s="77"/>
      <c r="AA2856" s="77"/>
      <c r="AB2856" s="77"/>
      <c r="AC2856" s="82" t="s">
        <v>8275</v>
      </c>
      <c r="AD2856" s="77" t="s">
        <v>8278</v>
      </c>
      <c r="AE2856" s="80" t="str">
        <f>HYPERLINK("https://twitter.com/pauta_economica/status/1659101304101150721")</f>
        <v>https://twitter.com/pauta_economica/status/1659101304101150721</v>
      </c>
      <c r="AF2856" s="79">
        <v>45064.318865740737</v>
      </c>
      <c r="AG2856" s="85">
        <v>45064</v>
      </c>
      <c r="AH2856" s="82" t="s">
        <v>10892</v>
      </c>
      <c r="AI2856" s="77" t="b">
        <v>0</v>
      </c>
      <c r="AJ2856" s="77"/>
      <c r="AK2856" s="77"/>
      <c r="AL2856" s="77"/>
      <c r="AM2856" s="77"/>
      <c r="AN2856" s="77"/>
      <c r="AO2856" s="77"/>
      <c r="AP2856" s="77"/>
      <c r="AQ2856" s="77"/>
      <c r="AR2856" s="77"/>
      <c r="AS2856" s="77"/>
      <c r="AT2856" s="77"/>
      <c r="AU2856" s="77"/>
      <c r="AV2856" s="80" t="str">
        <f>HYPERLINK("https://pbs.twimg.com/profile_images/1588668531910082561/XEi-lXiu_normal.jpg")</f>
        <v>https://pbs.twimg.com/profile_images/1588668531910082561/XEi-lXiu_normal.jpg</v>
      </c>
      <c r="AW2856" s="82" t="s">
        <v>15940</v>
      </c>
      <c r="AX2856" s="82" t="s">
        <v>15940</v>
      </c>
      <c r="AY2856" s="77"/>
      <c r="AZ2856" s="82" t="s">
        <v>17385</v>
      </c>
      <c r="BA2856" s="82" t="s">
        <v>17385</v>
      </c>
      <c r="BB2856" s="82" t="s">
        <v>17385</v>
      </c>
      <c r="BC2856" s="82" t="s">
        <v>15940</v>
      </c>
      <c r="BD2856" s="82" t="s">
        <v>17667</v>
      </c>
      <c r="BE2856" s="77"/>
      <c r="BF2856" s="77"/>
      <c r="BG2856" s="77"/>
      <c r="BH2856" s="77"/>
      <c r="BI2856" s="77"/>
    </row>
    <row r="2857" spans="1:61" x14ac:dyDescent="0.25">
      <c r="A2857" s="62" t="s">
        <v>646</v>
      </c>
      <c r="B2857" s="62" t="s">
        <v>646</v>
      </c>
      <c r="C2857" s="63"/>
      <c r="D2857" s="64"/>
      <c r="E2857" s="65"/>
      <c r="F2857" s="66"/>
      <c r="G2857" s="63"/>
      <c r="H2857" s="67"/>
      <c r="I2857" s="68"/>
      <c r="J2857" s="68"/>
      <c r="K2857" s="32"/>
      <c r="L2857" s="75">
        <v>2857</v>
      </c>
      <c r="M2857" s="75"/>
      <c r="N2857" s="70"/>
      <c r="O2857" s="77" t="s">
        <v>179</v>
      </c>
      <c r="P2857" s="79">
        <v>45064.263182870367</v>
      </c>
      <c r="Q2857" s="77" t="s">
        <v>3634</v>
      </c>
      <c r="R2857" s="77">
        <v>0</v>
      </c>
      <c r="S2857" s="77">
        <v>0</v>
      </c>
      <c r="T2857" s="77">
        <v>0</v>
      </c>
      <c r="U2857" s="77">
        <v>0</v>
      </c>
      <c r="V2857" s="77">
        <v>15</v>
      </c>
      <c r="W2857" s="82" t="s">
        <v>6382</v>
      </c>
      <c r="X2857" s="80" t="str">
        <f>HYPERLINK("https://tinyurl.com/2npjebh5")</f>
        <v>https://tinyurl.com/2npjebh5</v>
      </c>
      <c r="Y2857" s="77" t="s">
        <v>7068</v>
      </c>
      <c r="Z2857" s="77"/>
      <c r="AA2857" s="77"/>
      <c r="AB2857" s="77"/>
      <c r="AC2857" s="82" t="s">
        <v>8275</v>
      </c>
      <c r="AD2857" s="77" t="s">
        <v>8278</v>
      </c>
      <c r="AE2857" s="80" t="str">
        <f>HYPERLINK("https://twitter.com/pauta_economica/status/1659081127380889600")</f>
        <v>https://twitter.com/pauta_economica/status/1659081127380889600</v>
      </c>
      <c r="AF2857" s="79">
        <v>45064.263182870367</v>
      </c>
      <c r="AG2857" s="85">
        <v>45064</v>
      </c>
      <c r="AH2857" s="82" t="s">
        <v>10893</v>
      </c>
      <c r="AI2857" s="77" t="b">
        <v>0</v>
      </c>
      <c r="AJ2857" s="77"/>
      <c r="AK2857" s="77"/>
      <c r="AL2857" s="77"/>
      <c r="AM2857" s="77"/>
      <c r="AN2857" s="77"/>
      <c r="AO2857" s="77"/>
      <c r="AP2857" s="77"/>
      <c r="AQ2857" s="77"/>
      <c r="AR2857" s="77"/>
      <c r="AS2857" s="77"/>
      <c r="AT2857" s="77"/>
      <c r="AU2857" s="77"/>
      <c r="AV2857" s="80" t="str">
        <f>HYPERLINK("https://pbs.twimg.com/profile_images/1588668531910082561/XEi-lXiu_normal.jpg")</f>
        <v>https://pbs.twimg.com/profile_images/1588668531910082561/XEi-lXiu_normal.jpg</v>
      </c>
      <c r="AW2857" s="82" t="s">
        <v>15941</v>
      </c>
      <c r="AX2857" s="82" t="s">
        <v>15941</v>
      </c>
      <c r="AY2857" s="77"/>
      <c r="AZ2857" s="82" t="s">
        <v>17385</v>
      </c>
      <c r="BA2857" s="82" t="s">
        <v>17385</v>
      </c>
      <c r="BB2857" s="82" t="s">
        <v>17385</v>
      </c>
      <c r="BC2857" s="82" t="s">
        <v>15941</v>
      </c>
      <c r="BD2857" s="82" t="s">
        <v>17667</v>
      </c>
      <c r="BE2857" s="77"/>
      <c r="BF2857" s="77"/>
      <c r="BG2857" s="77"/>
      <c r="BH2857" s="77"/>
      <c r="BI2857" s="77"/>
    </row>
    <row r="2858" spans="1:61" x14ac:dyDescent="0.25">
      <c r="A2858" s="62" t="s">
        <v>646</v>
      </c>
      <c r="B2858" s="62" t="s">
        <v>646</v>
      </c>
      <c r="C2858" s="63"/>
      <c r="D2858" s="64"/>
      <c r="E2858" s="65"/>
      <c r="F2858" s="66"/>
      <c r="G2858" s="63"/>
      <c r="H2858" s="67"/>
      <c r="I2858" s="68"/>
      <c r="J2858" s="68"/>
      <c r="K2858" s="32"/>
      <c r="L2858" s="75">
        <v>2858</v>
      </c>
      <c r="M2858" s="75"/>
      <c r="N2858" s="70"/>
      <c r="O2858" s="77" t="s">
        <v>179</v>
      </c>
      <c r="P2858" s="79">
        <v>45064.235324074078</v>
      </c>
      <c r="Q2858" s="77" t="s">
        <v>3635</v>
      </c>
      <c r="R2858" s="77">
        <v>0</v>
      </c>
      <c r="S2858" s="77">
        <v>0</v>
      </c>
      <c r="T2858" s="77">
        <v>0</v>
      </c>
      <c r="U2858" s="77">
        <v>0</v>
      </c>
      <c r="V2858" s="77">
        <v>13</v>
      </c>
      <c r="W2858" s="82" t="s">
        <v>6382</v>
      </c>
      <c r="X2858" s="80" t="str">
        <f>HYPERLINK("https://tinyurl.com/2qyf49ah")</f>
        <v>https://tinyurl.com/2qyf49ah</v>
      </c>
      <c r="Y2858" s="77" t="s">
        <v>7068</v>
      </c>
      <c r="Z2858" s="77"/>
      <c r="AA2858" s="77"/>
      <c r="AB2858" s="77"/>
      <c r="AC2858" s="82" t="s">
        <v>8275</v>
      </c>
      <c r="AD2858" s="77" t="s">
        <v>8278</v>
      </c>
      <c r="AE2858" s="80" t="str">
        <f>HYPERLINK("https://twitter.com/pauta_economica/status/1659071032731262980")</f>
        <v>https://twitter.com/pauta_economica/status/1659071032731262980</v>
      </c>
      <c r="AF2858" s="79">
        <v>45064.235324074078</v>
      </c>
      <c r="AG2858" s="85">
        <v>45064</v>
      </c>
      <c r="AH2858" s="82" t="s">
        <v>10894</v>
      </c>
      <c r="AI2858" s="77" t="b">
        <v>0</v>
      </c>
      <c r="AJ2858" s="77"/>
      <c r="AK2858" s="77"/>
      <c r="AL2858" s="77"/>
      <c r="AM2858" s="77"/>
      <c r="AN2858" s="77"/>
      <c r="AO2858" s="77"/>
      <c r="AP2858" s="77"/>
      <c r="AQ2858" s="77"/>
      <c r="AR2858" s="77"/>
      <c r="AS2858" s="77"/>
      <c r="AT2858" s="77"/>
      <c r="AU2858" s="77"/>
      <c r="AV2858" s="80" t="str">
        <f>HYPERLINK("https://pbs.twimg.com/profile_images/1588668531910082561/XEi-lXiu_normal.jpg")</f>
        <v>https://pbs.twimg.com/profile_images/1588668531910082561/XEi-lXiu_normal.jpg</v>
      </c>
      <c r="AW2858" s="82" t="s">
        <v>15942</v>
      </c>
      <c r="AX2858" s="82" t="s">
        <v>15942</v>
      </c>
      <c r="AY2858" s="77"/>
      <c r="AZ2858" s="82" t="s">
        <v>17385</v>
      </c>
      <c r="BA2858" s="82" t="s">
        <v>17385</v>
      </c>
      <c r="BB2858" s="82" t="s">
        <v>17385</v>
      </c>
      <c r="BC2858" s="82" t="s">
        <v>15942</v>
      </c>
      <c r="BD2858" s="82" t="s">
        <v>17667</v>
      </c>
      <c r="BE2858" s="77"/>
      <c r="BF2858" s="77"/>
      <c r="BG2858" s="77"/>
      <c r="BH2858" s="77"/>
      <c r="BI2858" s="77"/>
    </row>
    <row r="2859" spans="1:61" x14ac:dyDescent="0.25">
      <c r="A2859" s="62" t="s">
        <v>646</v>
      </c>
      <c r="B2859" s="62" t="s">
        <v>646</v>
      </c>
      <c r="C2859" s="63"/>
      <c r="D2859" s="64"/>
      <c r="E2859" s="65"/>
      <c r="F2859" s="66"/>
      <c r="G2859" s="63"/>
      <c r="H2859" s="67"/>
      <c r="I2859" s="68"/>
      <c r="J2859" s="68"/>
      <c r="K2859" s="32"/>
      <c r="L2859" s="75">
        <v>2859</v>
      </c>
      <c r="M2859" s="75"/>
      <c r="N2859" s="70"/>
      <c r="O2859" s="77" t="s">
        <v>179</v>
      </c>
      <c r="P2859" s="79">
        <v>45064.207557870373</v>
      </c>
      <c r="Q2859" s="77" t="s">
        <v>3636</v>
      </c>
      <c r="R2859" s="77">
        <v>0</v>
      </c>
      <c r="S2859" s="77">
        <v>0</v>
      </c>
      <c r="T2859" s="77">
        <v>0</v>
      </c>
      <c r="U2859" s="77">
        <v>0</v>
      </c>
      <c r="V2859" s="77">
        <v>39</v>
      </c>
      <c r="W2859" s="82" t="s">
        <v>6382</v>
      </c>
      <c r="X2859" s="80" t="str">
        <f>HYPERLINK("https://tinyurl.com/2jcnwr3u")</f>
        <v>https://tinyurl.com/2jcnwr3u</v>
      </c>
      <c r="Y2859" s="77" t="s">
        <v>7068</v>
      </c>
      <c r="Z2859" s="77"/>
      <c r="AA2859" s="77"/>
      <c r="AB2859" s="77"/>
      <c r="AC2859" s="82" t="s">
        <v>8275</v>
      </c>
      <c r="AD2859" s="77" t="s">
        <v>8278</v>
      </c>
      <c r="AE2859" s="80" t="str">
        <f>HYPERLINK("https://twitter.com/pauta_economica/status/1659060970075856898")</f>
        <v>https://twitter.com/pauta_economica/status/1659060970075856898</v>
      </c>
      <c r="AF2859" s="79">
        <v>45064.207557870373</v>
      </c>
      <c r="AG2859" s="85">
        <v>45064</v>
      </c>
      <c r="AH2859" s="82" t="s">
        <v>10895</v>
      </c>
      <c r="AI2859" s="77" t="b">
        <v>0</v>
      </c>
      <c r="AJ2859" s="77"/>
      <c r="AK2859" s="77"/>
      <c r="AL2859" s="77"/>
      <c r="AM2859" s="77"/>
      <c r="AN2859" s="77"/>
      <c r="AO2859" s="77"/>
      <c r="AP2859" s="77"/>
      <c r="AQ2859" s="77"/>
      <c r="AR2859" s="77"/>
      <c r="AS2859" s="77"/>
      <c r="AT2859" s="77"/>
      <c r="AU2859" s="77"/>
      <c r="AV2859" s="80" t="str">
        <f>HYPERLINK("https://pbs.twimg.com/profile_images/1588668531910082561/XEi-lXiu_normal.jpg")</f>
        <v>https://pbs.twimg.com/profile_images/1588668531910082561/XEi-lXiu_normal.jpg</v>
      </c>
      <c r="AW2859" s="82" t="s">
        <v>15943</v>
      </c>
      <c r="AX2859" s="82" t="s">
        <v>15943</v>
      </c>
      <c r="AY2859" s="77"/>
      <c r="AZ2859" s="82" t="s">
        <v>17385</v>
      </c>
      <c r="BA2859" s="82" t="s">
        <v>17385</v>
      </c>
      <c r="BB2859" s="82" t="s">
        <v>17385</v>
      </c>
      <c r="BC2859" s="82" t="s">
        <v>15943</v>
      </c>
      <c r="BD2859" s="82" t="s">
        <v>17667</v>
      </c>
      <c r="BE2859" s="77"/>
      <c r="BF2859" s="77"/>
      <c r="BG2859" s="77"/>
      <c r="BH2859" s="77"/>
      <c r="BI2859" s="77"/>
    </row>
    <row r="2860" spans="1:61" x14ac:dyDescent="0.25">
      <c r="A2860" s="62" t="s">
        <v>646</v>
      </c>
      <c r="B2860" s="62" t="s">
        <v>646</v>
      </c>
      <c r="C2860" s="63"/>
      <c r="D2860" s="64"/>
      <c r="E2860" s="65"/>
      <c r="F2860" s="66"/>
      <c r="G2860" s="63"/>
      <c r="H2860" s="67"/>
      <c r="I2860" s="68"/>
      <c r="J2860" s="68"/>
      <c r="K2860" s="32"/>
      <c r="L2860" s="75">
        <v>2860</v>
      </c>
      <c r="M2860" s="75"/>
      <c r="N2860" s="70"/>
      <c r="O2860" s="77" t="s">
        <v>179</v>
      </c>
      <c r="P2860" s="79">
        <v>45064.179571759261</v>
      </c>
      <c r="Q2860" s="77" t="s">
        <v>3637</v>
      </c>
      <c r="R2860" s="77">
        <v>0</v>
      </c>
      <c r="S2860" s="77">
        <v>0</v>
      </c>
      <c r="T2860" s="77">
        <v>0</v>
      </c>
      <c r="U2860" s="77">
        <v>0</v>
      </c>
      <c r="V2860" s="77">
        <v>20</v>
      </c>
      <c r="W2860" s="82" t="s">
        <v>6382</v>
      </c>
      <c r="X2860" s="80" t="str">
        <f>HYPERLINK("https://tinyurl.com/2m7x88mf")</f>
        <v>https://tinyurl.com/2m7x88mf</v>
      </c>
      <c r="Y2860" s="77" t="s">
        <v>7068</v>
      </c>
      <c r="Z2860" s="77"/>
      <c r="AA2860" s="77"/>
      <c r="AB2860" s="77"/>
      <c r="AC2860" s="82" t="s">
        <v>8275</v>
      </c>
      <c r="AD2860" s="77" t="s">
        <v>8278</v>
      </c>
      <c r="AE2860" s="80" t="str">
        <f>HYPERLINK("https://twitter.com/pauta_economica/status/1659050828697681921")</f>
        <v>https://twitter.com/pauta_economica/status/1659050828697681921</v>
      </c>
      <c r="AF2860" s="79">
        <v>45064.179571759261</v>
      </c>
      <c r="AG2860" s="85">
        <v>45064</v>
      </c>
      <c r="AH2860" s="82" t="s">
        <v>10896</v>
      </c>
      <c r="AI2860" s="77" t="b">
        <v>0</v>
      </c>
      <c r="AJ2860" s="77"/>
      <c r="AK2860" s="77"/>
      <c r="AL2860" s="77"/>
      <c r="AM2860" s="77"/>
      <c r="AN2860" s="77"/>
      <c r="AO2860" s="77"/>
      <c r="AP2860" s="77"/>
      <c r="AQ2860" s="77"/>
      <c r="AR2860" s="77"/>
      <c r="AS2860" s="77"/>
      <c r="AT2860" s="77"/>
      <c r="AU2860" s="77"/>
      <c r="AV2860" s="80" t="str">
        <f>HYPERLINK("https://pbs.twimg.com/profile_images/1588668531910082561/XEi-lXiu_normal.jpg")</f>
        <v>https://pbs.twimg.com/profile_images/1588668531910082561/XEi-lXiu_normal.jpg</v>
      </c>
      <c r="AW2860" s="82" t="s">
        <v>15944</v>
      </c>
      <c r="AX2860" s="82" t="s">
        <v>15944</v>
      </c>
      <c r="AY2860" s="77"/>
      <c r="AZ2860" s="82" t="s">
        <v>17385</v>
      </c>
      <c r="BA2860" s="82" t="s">
        <v>17385</v>
      </c>
      <c r="BB2860" s="82" t="s">
        <v>17385</v>
      </c>
      <c r="BC2860" s="82" t="s">
        <v>15944</v>
      </c>
      <c r="BD2860" s="82" t="s">
        <v>17667</v>
      </c>
      <c r="BE2860" s="77"/>
      <c r="BF2860" s="77"/>
      <c r="BG2860" s="77"/>
      <c r="BH2860" s="77"/>
      <c r="BI2860" s="77"/>
    </row>
    <row r="2861" spans="1:61" x14ac:dyDescent="0.25">
      <c r="A2861" s="62" t="s">
        <v>646</v>
      </c>
      <c r="B2861" s="62" t="s">
        <v>646</v>
      </c>
      <c r="C2861" s="63"/>
      <c r="D2861" s="64"/>
      <c r="E2861" s="65"/>
      <c r="F2861" s="66"/>
      <c r="G2861" s="63"/>
      <c r="H2861" s="67"/>
      <c r="I2861" s="68"/>
      <c r="J2861" s="68"/>
      <c r="K2861" s="32"/>
      <c r="L2861" s="75">
        <v>2861</v>
      </c>
      <c r="M2861" s="75"/>
      <c r="N2861" s="70"/>
      <c r="O2861" s="77" t="s">
        <v>179</v>
      </c>
      <c r="P2861" s="79">
        <v>45064.151759259257</v>
      </c>
      <c r="Q2861" s="77" t="s">
        <v>3638</v>
      </c>
      <c r="R2861" s="77">
        <v>0</v>
      </c>
      <c r="S2861" s="77">
        <v>0</v>
      </c>
      <c r="T2861" s="77">
        <v>0</v>
      </c>
      <c r="U2861" s="77">
        <v>0</v>
      </c>
      <c r="V2861" s="77">
        <v>12</v>
      </c>
      <c r="W2861" s="82" t="s">
        <v>6382</v>
      </c>
      <c r="X2861" s="80" t="str">
        <f>HYPERLINK("https://tinyurl.com/2lhskw4o")</f>
        <v>https://tinyurl.com/2lhskw4o</v>
      </c>
      <c r="Y2861" s="77" t="s">
        <v>7068</v>
      </c>
      <c r="Z2861" s="77"/>
      <c r="AA2861" s="77"/>
      <c r="AB2861" s="77"/>
      <c r="AC2861" s="82" t="s">
        <v>8275</v>
      </c>
      <c r="AD2861" s="77" t="s">
        <v>8284</v>
      </c>
      <c r="AE2861" s="80" t="str">
        <f>HYPERLINK("https://twitter.com/pauta_economica/status/1659040748879114240")</f>
        <v>https://twitter.com/pauta_economica/status/1659040748879114240</v>
      </c>
      <c r="AF2861" s="79">
        <v>45064.151759259257</v>
      </c>
      <c r="AG2861" s="85">
        <v>45064</v>
      </c>
      <c r="AH2861" s="82" t="s">
        <v>10897</v>
      </c>
      <c r="AI2861" s="77" t="b">
        <v>0</v>
      </c>
      <c r="AJ2861" s="77"/>
      <c r="AK2861" s="77"/>
      <c r="AL2861" s="77"/>
      <c r="AM2861" s="77"/>
      <c r="AN2861" s="77"/>
      <c r="AO2861" s="77"/>
      <c r="AP2861" s="77"/>
      <c r="AQ2861" s="77"/>
      <c r="AR2861" s="77"/>
      <c r="AS2861" s="77"/>
      <c r="AT2861" s="77"/>
      <c r="AU2861" s="77"/>
      <c r="AV2861" s="80" t="str">
        <f>HYPERLINK("https://pbs.twimg.com/profile_images/1588668531910082561/XEi-lXiu_normal.jpg")</f>
        <v>https://pbs.twimg.com/profile_images/1588668531910082561/XEi-lXiu_normal.jpg</v>
      </c>
      <c r="AW2861" s="82" t="s">
        <v>15945</v>
      </c>
      <c r="AX2861" s="82" t="s">
        <v>15945</v>
      </c>
      <c r="AY2861" s="77"/>
      <c r="AZ2861" s="82" t="s">
        <v>17385</v>
      </c>
      <c r="BA2861" s="82" t="s">
        <v>17385</v>
      </c>
      <c r="BB2861" s="82" t="s">
        <v>17385</v>
      </c>
      <c r="BC2861" s="82" t="s">
        <v>15945</v>
      </c>
      <c r="BD2861" s="82" t="s">
        <v>17667</v>
      </c>
      <c r="BE2861" s="77"/>
      <c r="BF2861" s="77"/>
      <c r="BG2861" s="77"/>
      <c r="BH2861" s="77"/>
      <c r="BI2861" s="77"/>
    </row>
    <row r="2862" spans="1:61" x14ac:dyDescent="0.25">
      <c r="A2862" s="62" t="s">
        <v>646</v>
      </c>
      <c r="B2862" s="62" t="s">
        <v>646</v>
      </c>
      <c r="C2862" s="63"/>
      <c r="D2862" s="64"/>
      <c r="E2862" s="65"/>
      <c r="F2862" s="66"/>
      <c r="G2862" s="63"/>
      <c r="H2862" s="67"/>
      <c r="I2862" s="68"/>
      <c r="J2862" s="68"/>
      <c r="K2862" s="32"/>
      <c r="L2862" s="75">
        <v>2862</v>
      </c>
      <c r="M2862" s="75"/>
      <c r="N2862" s="70"/>
      <c r="O2862" s="77" t="s">
        <v>179</v>
      </c>
      <c r="P2862" s="79">
        <v>45064.123969907407</v>
      </c>
      <c r="Q2862" s="77" t="s">
        <v>3639</v>
      </c>
      <c r="R2862" s="77">
        <v>0</v>
      </c>
      <c r="S2862" s="77">
        <v>0</v>
      </c>
      <c r="T2862" s="77">
        <v>0</v>
      </c>
      <c r="U2862" s="77">
        <v>0</v>
      </c>
      <c r="V2862" s="77">
        <v>126</v>
      </c>
      <c r="W2862" s="82" t="s">
        <v>6382</v>
      </c>
      <c r="X2862" s="80" t="str">
        <f>HYPERLINK("https://tinyurl.com/2lzt8lls")</f>
        <v>https://tinyurl.com/2lzt8lls</v>
      </c>
      <c r="Y2862" s="77" t="s">
        <v>7068</v>
      </c>
      <c r="Z2862" s="77"/>
      <c r="AA2862" s="77"/>
      <c r="AB2862" s="77"/>
      <c r="AC2862" s="82" t="s">
        <v>8275</v>
      </c>
      <c r="AD2862" s="77" t="s">
        <v>8278</v>
      </c>
      <c r="AE2862" s="80" t="str">
        <f>HYPERLINK("https://twitter.com/pauta_economica/status/1659030676472037378")</f>
        <v>https://twitter.com/pauta_economica/status/1659030676472037378</v>
      </c>
      <c r="AF2862" s="79">
        <v>45064.123969907407</v>
      </c>
      <c r="AG2862" s="85">
        <v>45064</v>
      </c>
      <c r="AH2862" s="82" t="s">
        <v>10898</v>
      </c>
      <c r="AI2862" s="77" t="b">
        <v>0</v>
      </c>
      <c r="AJ2862" s="77"/>
      <c r="AK2862" s="77"/>
      <c r="AL2862" s="77"/>
      <c r="AM2862" s="77"/>
      <c r="AN2862" s="77"/>
      <c r="AO2862" s="77"/>
      <c r="AP2862" s="77"/>
      <c r="AQ2862" s="77"/>
      <c r="AR2862" s="77"/>
      <c r="AS2862" s="77"/>
      <c r="AT2862" s="77"/>
      <c r="AU2862" s="77"/>
      <c r="AV2862" s="80" t="str">
        <f>HYPERLINK("https://pbs.twimg.com/profile_images/1588668531910082561/XEi-lXiu_normal.jpg")</f>
        <v>https://pbs.twimg.com/profile_images/1588668531910082561/XEi-lXiu_normal.jpg</v>
      </c>
      <c r="AW2862" s="82" t="s">
        <v>15946</v>
      </c>
      <c r="AX2862" s="82" t="s">
        <v>15946</v>
      </c>
      <c r="AY2862" s="77"/>
      <c r="AZ2862" s="82" t="s">
        <v>17385</v>
      </c>
      <c r="BA2862" s="82" t="s">
        <v>17385</v>
      </c>
      <c r="BB2862" s="82" t="s">
        <v>17385</v>
      </c>
      <c r="BC2862" s="82" t="s">
        <v>15946</v>
      </c>
      <c r="BD2862" s="82" t="s">
        <v>17667</v>
      </c>
      <c r="BE2862" s="77"/>
      <c r="BF2862" s="77"/>
      <c r="BG2862" s="77"/>
      <c r="BH2862" s="77"/>
      <c r="BI2862" s="77"/>
    </row>
    <row r="2863" spans="1:61" x14ac:dyDescent="0.25">
      <c r="A2863" s="62" t="s">
        <v>646</v>
      </c>
      <c r="B2863" s="62" t="s">
        <v>646</v>
      </c>
      <c r="C2863" s="63"/>
      <c r="D2863" s="64"/>
      <c r="E2863" s="65"/>
      <c r="F2863" s="66"/>
      <c r="G2863" s="63"/>
      <c r="H2863" s="67"/>
      <c r="I2863" s="68"/>
      <c r="J2863" s="68"/>
      <c r="K2863" s="32"/>
      <c r="L2863" s="75">
        <v>2863</v>
      </c>
      <c r="M2863" s="75"/>
      <c r="N2863" s="70"/>
      <c r="O2863" s="77" t="s">
        <v>179</v>
      </c>
      <c r="P2863" s="79">
        <v>45064.068368055552</v>
      </c>
      <c r="Q2863" s="77" t="s">
        <v>3640</v>
      </c>
      <c r="R2863" s="77">
        <v>0</v>
      </c>
      <c r="S2863" s="77">
        <v>1</v>
      </c>
      <c r="T2863" s="77">
        <v>0</v>
      </c>
      <c r="U2863" s="77">
        <v>0</v>
      </c>
      <c r="V2863" s="77">
        <v>32</v>
      </c>
      <c r="W2863" s="82" t="s">
        <v>6382</v>
      </c>
      <c r="X2863" s="80" t="str">
        <f>HYPERLINK("https://tinyurl.com/2hvsabuj")</f>
        <v>https://tinyurl.com/2hvsabuj</v>
      </c>
      <c r="Y2863" s="77" t="s">
        <v>7068</v>
      </c>
      <c r="Z2863" s="77"/>
      <c r="AA2863" s="77"/>
      <c r="AB2863" s="77"/>
      <c r="AC2863" s="82" t="s">
        <v>8275</v>
      </c>
      <c r="AD2863" s="77" t="s">
        <v>8278</v>
      </c>
      <c r="AE2863" s="80" t="str">
        <f>HYPERLINK("https://twitter.com/pauta_economica/status/1659010526624509952")</f>
        <v>https://twitter.com/pauta_economica/status/1659010526624509952</v>
      </c>
      <c r="AF2863" s="79">
        <v>45064.068368055552</v>
      </c>
      <c r="AG2863" s="85">
        <v>45064</v>
      </c>
      <c r="AH2863" s="82" t="s">
        <v>10899</v>
      </c>
      <c r="AI2863" s="77" t="b">
        <v>0</v>
      </c>
      <c r="AJ2863" s="77"/>
      <c r="AK2863" s="77"/>
      <c r="AL2863" s="77"/>
      <c r="AM2863" s="77"/>
      <c r="AN2863" s="77"/>
      <c r="AO2863" s="77"/>
      <c r="AP2863" s="77"/>
      <c r="AQ2863" s="77"/>
      <c r="AR2863" s="77"/>
      <c r="AS2863" s="77"/>
      <c r="AT2863" s="77"/>
      <c r="AU2863" s="77"/>
      <c r="AV2863" s="80" t="str">
        <f>HYPERLINK("https://pbs.twimg.com/profile_images/1588668531910082561/XEi-lXiu_normal.jpg")</f>
        <v>https://pbs.twimg.com/profile_images/1588668531910082561/XEi-lXiu_normal.jpg</v>
      </c>
      <c r="AW2863" s="82" t="s">
        <v>15947</v>
      </c>
      <c r="AX2863" s="82" t="s">
        <v>15947</v>
      </c>
      <c r="AY2863" s="77"/>
      <c r="AZ2863" s="82" t="s">
        <v>17385</v>
      </c>
      <c r="BA2863" s="82" t="s">
        <v>17385</v>
      </c>
      <c r="BB2863" s="82" t="s">
        <v>17385</v>
      </c>
      <c r="BC2863" s="82" t="s">
        <v>15947</v>
      </c>
      <c r="BD2863" s="82" t="s">
        <v>17667</v>
      </c>
      <c r="BE2863" s="77"/>
      <c r="BF2863" s="77"/>
      <c r="BG2863" s="77"/>
      <c r="BH2863" s="77"/>
      <c r="BI2863" s="77"/>
    </row>
    <row r="2864" spans="1:61" x14ac:dyDescent="0.25">
      <c r="A2864" s="62" t="s">
        <v>646</v>
      </c>
      <c r="B2864" s="62" t="s">
        <v>646</v>
      </c>
      <c r="C2864" s="63"/>
      <c r="D2864" s="64"/>
      <c r="E2864" s="65"/>
      <c r="F2864" s="66"/>
      <c r="G2864" s="63"/>
      <c r="H2864" s="67"/>
      <c r="I2864" s="68"/>
      <c r="J2864" s="68"/>
      <c r="K2864" s="32"/>
      <c r="L2864" s="75">
        <v>2864</v>
      </c>
      <c r="M2864" s="75"/>
      <c r="N2864" s="70"/>
      <c r="O2864" s="77" t="s">
        <v>179</v>
      </c>
      <c r="P2864" s="79">
        <v>45063.984837962962</v>
      </c>
      <c r="Q2864" s="77" t="s">
        <v>3641</v>
      </c>
      <c r="R2864" s="77">
        <v>0</v>
      </c>
      <c r="S2864" s="77">
        <v>0</v>
      </c>
      <c r="T2864" s="77">
        <v>0</v>
      </c>
      <c r="U2864" s="77">
        <v>0</v>
      </c>
      <c r="V2864" s="77">
        <v>57</v>
      </c>
      <c r="W2864" s="82" t="s">
        <v>6382</v>
      </c>
      <c r="X2864" s="80" t="str">
        <f>HYPERLINK("https://tinyurl.com/2kzfspfp")</f>
        <v>https://tinyurl.com/2kzfspfp</v>
      </c>
      <c r="Y2864" s="77" t="s">
        <v>7068</v>
      </c>
      <c r="Z2864" s="77"/>
      <c r="AA2864" s="77"/>
      <c r="AB2864" s="77"/>
      <c r="AC2864" s="82" t="s">
        <v>8275</v>
      </c>
      <c r="AD2864" s="77" t="s">
        <v>8278</v>
      </c>
      <c r="AE2864" s="80" t="str">
        <f>HYPERLINK("https://twitter.com/pauta_economica/status/1658980257263656963")</f>
        <v>https://twitter.com/pauta_economica/status/1658980257263656963</v>
      </c>
      <c r="AF2864" s="79">
        <v>45063.984837962962</v>
      </c>
      <c r="AG2864" s="85">
        <v>45063</v>
      </c>
      <c r="AH2864" s="82" t="s">
        <v>10900</v>
      </c>
      <c r="AI2864" s="77" t="b">
        <v>0</v>
      </c>
      <c r="AJ2864" s="77"/>
      <c r="AK2864" s="77"/>
      <c r="AL2864" s="77"/>
      <c r="AM2864" s="77"/>
      <c r="AN2864" s="77"/>
      <c r="AO2864" s="77"/>
      <c r="AP2864" s="77"/>
      <c r="AQ2864" s="77"/>
      <c r="AR2864" s="77"/>
      <c r="AS2864" s="77"/>
      <c r="AT2864" s="77"/>
      <c r="AU2864" s="77"/>
      <c r="AV2864" s="80" t="str">
        <f>HYPERLINK("https://pbs.twimg.com/profile_images/1588668531910082561/XEi-lXiu_normal.jpg")</f>
        <v>https://pbs.twimg.com/profile_images/1588668531910082561/XEi-lXiu_normal.jpg</v>
      </c>
      <c r="AW2864" s="82" t="s">
        <v>15948</v>
      </c>
      <c r="AX2864" s="82" t="s">
        <v>15948</v>
      </c>
      <c r="AY2864" s="77"/>
      <c r="AZ2864" s="82" t="s">
        <v>17385</v>
      </c>
      <c r="BA2864" s="82" t="s">
        <v>17385</v>
      </c>
      <c r="BB2864" s="82" t="s">
        <v>17385</v>
      </c>
      <c r="BC2864" s="82" t="s">
        <v>15948</v>
      </c>
      <c r="BD2864" s="82" t="s">
        <v>17667</v>
      </c>
      <c r="BE2864" s="77"/>
      <c r="BF2864" s="77"/>
      <c r="BG2864" s="77"/>
      <c r="BH2864" s="77"/>
      <c r="BI2864" s="77"/>
    </row>
    <row r="2865" spans="1:61" x14ac:dyDescent="0.25">
      <c r="A2865" s="62" t="s">
        <v>646</v>
      </c>
      <c r="B2865" s="62" t="s">
        <v>646</v>
      </c>
      <c r="C2865" s="63"/>
      <c r="D2865" s="64"/>
      <c r="E2865" s="65"/>
      <c r="F2865" s="66"/>
      <c r="G2865" s="63"/>
      <c r="H2865" s="67"/>
      <c r="I2865" s="68"/>
      <c r="J2865" s="68"/>
      <c r="K2865" s="32"/>
      <c r="L2865" s="75">
        <v>2865</v>
      </c>
      <c r="M2865" s="75"/>
      <c r="N2865" s="70"/>
      <c r="O2865" s="77" t="s">
        <v>179</v>
      </c>
      <c r="P2865" s="79">
        <v>45063.957037037035</v>
      </c>
      <c r="Q2865" s="77" t="s">
        <v>3642</v>
      </c>
      <c r="R2865" s="77">
        <v>0</v>
      </c>
      <c r="S2865" s="77">
        <v>0</v>
      </c>
      <c r="T2865" s="77">
        <v>0</v>
      </c>
      <c r="U2865" s="77">
        <v>0</v>
      </c>
      <c r="V2865" s="77">
        <v>59</v>
      </c>
      <c r="W2865" s="82" t="s">
        <v>6382</v>
      </c>
      <c r="X2865" s="80" t="str">
        <f>HYPERLINK("https://tinyurl.com/2nfyrjk9")</f>
        <v>https://tinyurl.com/2nfyrjk9</v>
      </c>
      <c r="Y2865" s="77" t="s">
        <v>7068</v>
      </c>
      <c r="Z2865" s="77"/>
      <c r="AA2865" s="77"/>
      <c r="AB2865" s="77"/>
      <c r="AC2865" s="82" t="s">
        <v>8275</v>
      </c>
      <c r="AD2865" s="77" t="s">
        <v>8278</v>
      </c>
      <c r="AE2865" s="80" t="str">
        <f>HYPERLINK("https://twitter.com/pauta_economica/status/1658970185263448064")</f>
        <v>https://twitter.com/pauta_economica/status/1658970185263448064</v>
      </c>
      <c r="AF2865" s="79">
        <v>45063.957037037035</v>
      </c>
      <c r="AG2865" s="85">
        <v>45063</v>
      </c>
      <c r="AH2865" s="82" t="s">
        <v>10901</v>
      </c>
      <c r="AI2865" s="77" t="b">
        <v>0</v>
      </c>
      <c r="AJ2865" s="77"/>
      <c r="AK2865" s="77"/>
      <c r="AL2865" s="77"/>
      <c r="AM2865" s="77"/>
      <c r="AN2865" s="77"/>
      <c r="AO2865" s="77"/>
      <c r="AP2865" s="77"/>
      <c r="AQ2865" s="77"/>
      <c r="AR2865" s="77"/>
      <c r="AS2865" s="77"/>
      <c r="AT2865" s="77"/>
      <c r="AU2865" s="77"/>
      <c r="AV2865" s="80" t="str">
        <f>HYPERLINK("https://pbs.twimg.com/profile_images/1588668531910082561/XEi-lXiu_normal.jpg")</f>
        <v>https://pbs.twimg.com/profile_images/1588668531910082561/XEi-lXiu_normal.jpg</v>
      </c>
      <c r="AW2865" s="82" t="s">
        <v>15949</v>
      </c>
      <c r="AX2865" s="82" t="s">
        <v>15949</v>
      </c>
      <c r="AY2865" s="77"/>
      <c r="AZ2865" s="82" t="s">
        <v>17385</v>
      </c>
      <c r="BA2865" s="82" t="s">
        <v>17385</v>
      </c>
      <c r="BB2865" s="82" t="s">
        <v>17385</v>
      </c>
      <c r="BC2865" s="82" t="s">
        <v>15949</v>
      </c>
      <c r="BD2865" s="82" t="s">
        <v>17667</v>
      </c>
      <c r="BE2865" s="77"/>
      <c r="BF2865" s="77"/>
      <c r="BG2865" s="77"/>
      <c r="BH2865" s="77"/>
      <c r="BI2865" s="77"/>
    </row>
    <row r="2866" spans="1:61" x14ac:dyDescent="0.25">
      <c r="A2866" s="62" t="s">
        <v>646</v>
      </c>
      <c r="B2866" s="62" t="s">
        <v>646</v>
      </c>
      <c r="C2866" s="63"/>
      <c r="D2866" s="64"/>
      <c r="E2866" s="65"/>
      <c r="F2866" s="66"/>
      <c r="G2866" s="63"/>
      <c r="H2866" s="67"/>
      <c r="I2866" s="68"/>
      <c r="J2866" s="68"/>
      <c r="K2866" s="32"/>
      <c r="L2866" s="75">
        <v>2866</v>
      </c>
      <c r="M2866" s="75"/>
      <c r="N2866" s="70"/>
      <c r="O2866" s="77" t="s">
        <v>179</v>
      </c>
      <c r="P2866" s="79">
        <v>45063.873599537037</v>
      </c>
      <c r="Q2866" s="77" t="s">
        <v>3643</v>
      </c>
      <c r="R2866" s="77">
        <v>0</v>
      </c>
      <c r="S2866" s="77">
        <v>0</v>
      </c>
      <c r="T2866" s="77">
        <v>1</v>
      </c>
      <c r="U2866" s="77">
        <v>0</v>
      </c>
      <c r="V2866" s="77">
        <v>24</v>
      </c>
      <c r="W2866" s="82" t="s">
        <v>6382</v>
      </c>
      <c r="X2866" s="80" t="str">
        <f>HYPERLINK("https://tinyurl.com/2ov4u7yh")</f>
        <v>https://tinyurl.com/2ov4u7yh</v>
      </c>
      <c r="Y2866" s="77" t="s">
        <v>7068</v>
      </c>
      <c r="Z2866" s="77"/>
      <c r="AA2866" s="77"/>
      <c r="AB2866" s="77"/>
      <c r="AC2866" s="82" t="s">
        <v>8275</v>
      </c>
      <c r="AD2866" s="77" t="s">
        <v>8278</v>
      </c>
      <c r="AE2866" s="80" t="str">
        <f>HYPERLINK("https://twitter.com/pauta_economica/status/1658939948475580416")</f>
        <v>https://twitter.com/pauta_economica/status/1658939948475580416</v>
      </c>
      <c r="AF2866" s="79">
        <v>45063.873599537037</v>
      </c>
      <c r="AG2866" s="85">
        <v>45063</v>
      </c>
      <c r="AH2866" s="82" t="s">
        <v>10902</v>
      </c>
      <c r="AI2866" s="77" t="b">
        <v>0</v>
      </c>
      <c r="AJ2866" s="77"/>
      <c r="AK2866" s="77"/>
      <c r="AL2866" s="77"/>
      <c r="AM2866" s="77"/>
      <c r="AN2866" s="77"/>
      <c r="AO2866" s="77"/>
      <c r="AP2866" s="77"/>
      <c r="AQ2866" s="77"/>
      <c r="AR2866" s="77"/>
      <c r="AS2866" s="77"/>
      <c r="AT2866" s="77"/>
      <c r="AU2866" s="77"/>
      <c r="AV2866" s="80" t="str">
        <f>HYPERLINK("https://pbs.twimg.com/profile_images/1588668531910082561/XEi-lXiu_normal.jpg")</f>
        <v>https://pbs.twimg.com/profile_images/1588668531910082561/XEi-lXiu_normal.jpg</v>
      </c>
      <c r="AW2866" s="82" t="s">
        <v>15950</v>
      </c>
      <c r="AX2866" s="82" t="s">
        <v>15950</v>
      </c>
      <c r="AY2866" s="77"/>
      <c r="AZ2866" s="82" t="s">
        <v>17385</v>
      </c>
      <c r="BA2866" s="82" t="s">
        <v>17385</v>
      </c>
      <c r="BB2866" s="82" t="s">
        <v>17385</v>
      </c>
      <c r="BC2866" s="82" t="s">
        <v>15950</v>
      </c>
      <c r="BD2866" s="82" t="s">
        <v>17667</v>
      </c>
      <c r="BE2866" s="77"/>
      <c r="BF2866" s="77"/>
      <c r="BG2866" s="77"/>
      <c r="BH2866" s="77"/>
      <c r="BI2866" s="77"/>
    </row>
    <row r="2867" spans="1:61" x14ac:dyDescent="0.25">
      <c r="A2867" s="62" t="s">
        <v>646</v>
      </c>
      <c r="B2867" s="62" t="s">
        <v>646</v>
      </c>
      <c r="C2867" s="63"/>
      <c r="D2867" s="64"/>
      <c r="E2867" s="65"/>
      <c r="F2867" s="66"/>
      <c r="G2867" s="63"/>
      <c r="H2867" s="67"/>
      <c r="I2867" s="68"/>
      <c r="J2867" s="68"/>
      <c r="K2867" s="32"/>
      <c r="L2867" s="75">
        <v>2867</v>
      </c>
      <c r="M2867" s="75"/>
      <c r="N2867" s="70"/>
      <c r="O2867" s="77" t="s">
        <v>179</v>
      </c>
      <c r="P2867" s="79">
        <v>45063.845821759256</v>
      </c>
      <c r="Q2867" s="77" t="s">
        <v>3644</v>
      </c>
      <c r="R2867" s="77">
        <v>0</v>
      </c>
      <c r="S2867" s="77">
        <v>0</v>
      </c>
      <c r="T2867" s="77">
        <v>0</v>
      </c>
      <c r="U2867" s="77">
        <v>0</v>
      </c>
      <c r="V2867" s="77">
        <v>21</v>
      </c>
      <c r="W2867" s="82" t="s">
        <v>6382</v>
      </c>
      <c r="X2867" s="80" t="str">
        <f>HYPERLINK("https://tinyurl.com/2ghxc6vw")</f>
        <v>https://tinyurl.com/2ghxc6vw</v>
      </c>
      <c r="Y2867" s="77" t="s">
        <v>7068</v>
      </c>
      <c r="Z2867" s="77"/>
      <c r="AA2867" s="77"/>
      <c r="AB2867" s="77"/>
      <c r="AC2867" s="82" t="s">
        <v>8275</v>
      </c>
      <c r="AD2867" s="77" t="s">
        <v>8278</v>
      </c>
      <c r="AE2867" s="80" t="str">
        <f>HYPERLINK("https://twitter.com/pauta_economica/status/1658929879415508994")</f>
        <v>https://twitter.com/pauta_economica/status/1658929879415508994</v>
      </c>
      <c r="AF2867" s="79">
        <v>45063.845821759256</v>
      </c>
      <c r="AG2867" s="85">
        <v>45063</v>
      </c>
      <c r="AH2867" s="82" t="s">
        <v>10903</v>
      </c>
      <c r="AI2867" s="77" t="b">
        <v>0</v>
      </c>
      <c r="AJ2867" s="77"/>
      <c r="AK2867" s="77"/>
      <c r="AL2867" s="77"/>
      <c r="AM2867" s="77"/>
      <c r="AN2867" s="77"/>
      <c r="AO2867" s="77"/>
      <c r="AP2867" s="77"/>
      <c r="AQ2867" s="77"/>
      <c r="AR2867" s="77"/>
      <c r="AS2867" s="77"/>
      <c r="AT2867" s="77"/>
      <c r="AU2867" s="77"/>
      <c r="AV2867" s="80" t="str">
        <f>HYPERLINK("https://pbs.twimg.com/profile_images/1588668531910082561/XEi-lXiu_normal.jpg")</f>
        <v>https://pbs.twimg.com/profile_images/1588668531910082561/XEi-lXiu_normal.jpg</v>
      </c>
      <c r="AW2867" s="82" t="s">
        <v>15951</v>
      </c>
      <c r="AX2867" s="82" t="s">
        <v>15951</v>
      </c>
      <c r="AY2867" s="77"/>
      <c r="AZ2867" s="82" t="s">
        <v>17385</v>
      </c>
      <c r="BA2867" s="82" t="s">
        <v>17385</v>
      </c>
      <c r="BB2867" s="82" t="s">
        <v>17385</v>
      </c>
      <c r="BC2867" s="82" t="s">
        <v>15951</v>
      </c>
      <c r="BD2867" s="82" t="s">
        <v>17667</v>
      </c>
      <c r="BE2867" s="77"/>
      <c r="BF2867" s="77"/>
      <c r="BG2867" s="77"/>
      <c r="BH2867" s="77"/>
      <c r="BI2867" s="77"/>
    </row>
    <row r="2868" spans="1:61" x14ac:dyDescent="0.25">
      <c r="A2868" s="62" t="s">
        <v>646</v>
      </c>
      <c r="B2868" s="62" t="s">
        <v>646</v>
      </c>
      <c r="C2868" s="63"/>
      <c r="D2868" s="64"/>
      <c r="E2868" s="65"/>
      <c r="F2868" s="66"/>
      <c r="G2868" s="63"/>
      <c r="H2868" s="67"/>
      <c r="I2868" s="68"/>
      <c r="J2868" s="68"/>
      <c r="K2868" s="32"/>
      <c r="L2868" s="75">
        <v>2868</v>
      </c>
      <c r="M2868" s="75"/>
      <c r="N2868" s="70"/>
      <c r="O2868" s="77" t="s">
        <v>179</v>
      </c>
      <c r="P2868" s="79">
        <v>45063.790243055555</v>
      </c>
      <c r="Q2868" s="77" t="s">
        <v>3645</v>
      </c>
      <c r="R2868" s="77">
        <v>0</v>
      </c>
      <c r="S2868" s="77">
        <v>0</v>
      </c>
      <c r="T2868" s="77">
        <v>0</v>
      </c>
      <c r="U2868" s="77">
        <v>0</v>
      </c>
      <c r="V2868" s="77">
        <v>34</v>
      </c>
      <c r="W2868" s="82" t="s">
        <v>6382</v>
      </c>
      <c r="X2868" s="80" t="str">
        <f>HYPERLINK("https://tinyurl.com/2h5863et")</f>
        <v>https://tinyurl.com/2h5863et</v>
      </c>
      <c r="Y2868" s="77" t="s">
        <v>7068</v>
      </c>
      <c r="Z2868" s="77"/>
      <c r="AA2868" s="77"/>
      <c r="AB2868" s="77"/>
      <c r="AC2868" s="82" t="s">
        <v>8275</v>
      </c>
      <c r="AD2868" s="77" t="s">
        <v>8278</v>
      </c>
      <c r="AE2868" s="80" t="str">
        <f>HYPERLINK("https://twitter.com/pauta_economica/status/1658909738329939989")</f>
        <v>https://twitter.com/pauta_economica/status/1658909738329939989</v>
      </c>
      <c r="AF2868" s="79">
        <v>45063.790243055555</v>
      </c>
      <c r="AG2868" s="85">
        <v>45063</v>
      </c>
      <c r="AH2868" s="82" t="s">
        <v>8365</v>
      </c>
      <c r="AI2868" s="77" t="b">
        <v>0</v>
      </c>
      <c r="AJ2868" s="77"/>
      <c r="AK2868" s="77"/>
      <c r="AL2868" s="77"/>
      <c r="AM2868" s="77"/>
      <c r="AN2868" s="77"/>
      <c r="AO2868" s="77"/>
      <c r="AP2868" s="77"/>
      <c r="AQ2868" s="77"/>
      <c r="AR2868" s="77"/>
      <c r="AS2868" s="77"/>
      <c r="AT2868" s="77"/>
      <c r="AU2868" s="77"/>
      <c r="AV2868" s="80" t="str">
        <f>HYPERLINK("https://pbs.twimg.com/profile_images/1588668531910082561/XEi-lXiu_normal.jpg")</f>
        <v>https://pbs.twimg.com/profile_images/1588668531910082561/XEi-lXiu_normal.jpg</v>
      </c>
      <c r="AW2868" s="82" t="s">
        <v>15952</v>
      </c>
      <c r="AX2868" s="82" t="s">
        <v>15952</v>
      </c>
      <c r="AY2868" s="77"/>
      <c r="AZ2868" s="82" t="s">
        <v>17385</v>
      </c>
      <c r="BA2868" s="82" t="s">
        <v>17385</v>
      </c>
      <c r="BB2868" s="82" t="s">
        <v>17385</v>
      </c>
      <c r="BC2868" s="82" t="s">
        <v>15952</v>
      </c>
      <c r="BD2868" s="82" t="s">
        <v>17667</v>
      </c>
      <c r="BE2868" s="77"/>
      <c r="BF2868" s="77"/>
      <c r="BG2868" s="77"/>
      <c r="BH2868" s="77"/>
      <c r="BI2868" s="77"/>
    </row>
    <row r="2869" spans="1:61" x14ac:dyDescent="0.25">
      <c r="A2869" s="62" t="s">
        <v>646</v>
      </c>
      <c r="B2869" s="62" t="s">
        <v>646</v>
      </c>
      <c r="C2869" s="63"/>
      <c r="D2869" s="64"/>
      <c r="E2869" s="65"/>
      <c r="F2869" s="66"/>
      <c r="G2869" s="63"/>
      <c r="H2869" s="67"/>
      <c r="I2869" s="68"/>
      <c r="J2869" s="68"/>
      <c r="K2869" s="32"/>
      <c r="L2869" s="75">
        <v>2869</v>
      </c>
      <c r="M2869" s="75"/>
      <c r="N2869" s="70"/>
      <c r="O2869" s="77" t="s">
        <v>179</v>
      </c>
      <c r="P2869" s="79">
        <v>45063.762418981481</v>
      </c>
      <c r="Q2869" s="77" t="s">
        <v>3646</v>
      </c>
      <c r="R2869" s="77">
        <v>0</v>
      </c>
      <c r="S2869" s="77">
        <v>0</v>
      </c>
      <c r="T2869" s="77">
        <v>0</v>
      </c>
      <c r="U2869" s="77">
        <v>0</v>
      </c>
      <c r="V2869" s="77">
        <v>20</v>
      </c>
      <c r="W2869" s="82" t="s">
        <v>6382</v>
      </c>
      <c r="X2869" s="80" t="str">
        <f>HYPERLINK("https://tinyurl.com/2zl5mhn8")</f>
        <v>https://tinyurl.com/2zl5mhn8</v>
      </c>
      <c r="Y2869" s="77" t="s">
        <v>7068</v>
      </c>
      <c r="Z2869" s="77"/>
      <c r="AA2869" s="77"/>
      <c r="AB2869" s="77"/>
      <c r="AC2869" s="82" t="s">
        <v>8275</v>
      </c>
      <c r="AD2869" s="77" t="s">
        <v>8278</v>
      </c>
      <c r="AE2869" s="80" t="str">
        <f>HYPERLINK("https://twitter.com/pauta_economica/status/1658899656493998095")</f>
        <v>https://twitter.com/pauta_economica/status/1658899656493998095</v>
      </c>
      <c r="AF2869" s="79">
        <v>45063.762418981481</v>
      </c>
      <c r="AG2869" s="85">
        <v>45063</v>
      </c>
      <c r="AH2869" s="82" t="s">
        <v>10904</v>
      </c>
      <c r="AI2869" s="77" t="b">
        <v>0</v>
      </c>
      <c r="AJ2869" s="77"/>
      <c r="AK2869" s="77"/>
      <c r="AL2869" s="77"/>
      <c r="AM2869" s="77"/>
      <c r="AN2869" s="77"/>
      <c r="AO2869" s="77"/>
      <c r="AP2869" s="77"/>
      <c r="AQ2869" s="77"/>
      <c r="AR2869" s="77"/>
      <c r="AS2869" s="77"/>
      <c r="AT2869" s="77"/>
      <c r="AU2869" s="77"/>
      <c r="AV2869" s="80" t="str">
        <f>HYPERLINK("https://pbs.twimg.com/profile_images/1588668531910082561/XEi-lXiu_normal.jpg")</f>
        <v>https://pbs.twimg.com/profile_images/1588668531910082561/XEi-lXiu_normal.jpg</v>
      </c>
      <c r="AW2869" s="82" t="s">
        <v>15953</v>
      </c>
      <c r="AX2869" s="82" t="s">
        <v>15953</v>
      </c>
      <c r="AY2869" s="77"/>
      <c r="AZ2869" s="82" t="s">
        <v>17385</v>
      </c>
      <c r="BA2869" s="82" t="s">
        <v>17385</v>
      </c>
      <c r="BB2869" s="82" t="s">
        <v>17385</v>
      </c>
      <c r="BC2869" s="82" t="s">
        <v>15953</v>
      </c>
      <c r="BD2869" s="82" t="s">
        <v>17667</v>
      </c>
      <c r="BE2869" s="77"/>
      <c r="BF2869" s="77"/>
      <c r="BG2869" s="77"/>
      <c r="BH2869" s="77"/>
      <c r="BI2869" s="77"/>
    </row>
    <row r="2870" spans="1:61" x14ac:dyDescent="0.25">
      <c r="A2870" s="62" t="s">
        <v>646</v>
      </c>
      <c r="B2870" s="62" t="s">
        <v>646</v>
      </c>
      <c r="C2870" s="63"/>
      <c r="D2870" s="64"/>
      <c r="E2870" s="65"/>
      <c r="F2870" s="66"/>
      <c r="G2870" s="63"/>
      <c r="H2870" s="67"/>
      <c r="I2870" s="68"/>
      <c r="J2870" s="68"/>
      <c r="K2870" s="32"/>
      <c r="L2870" s="75">
        <v>2870</v>
      </c>
      <c r="M2870" s="75"/>
      <c r="N2870" s="70"/>
      <c r="O2870" s="77" t="s">
        <v>179</v>
      </c>
      <c r="P2870" s="79">
        <v>45063.734560185185</v>
      </c>
      <c r="Q2870" s="77" t="s">
        <v>3647</v>
      </c>
      <c r="R2870" s="77">
        <v>0</v>
      </c>
      <c r="S2870" s="77">
        <v>0</v>
      </c>
      <c r="T2870" s="77">
        <v>0</v>
      </c>
      <c r="U2870" s="77">
        <v>0</v>
      </c>
      <c r="V2870" s="77">
        <v>28</v>
      </c>
      <c r="W2870" s="82" t="s">
        <v>6382</v>
      </c>
      <c r="X2870" s="80" t="str">
        <f>HYPERLINK("https://tinyurl.com/2e5zof9t")</f>
        <v>https://tinyurl.com/2e5zof9t</v>
      </c>
      <c r="Y2870" s="77" t="s">
        <v>7068</v>
      </c>
      <c r="Z2870" s="77"/>
      <c r="AA2870" s="77"/>
      <c r="AB2870" s="77"/>
      <c r="AC2870" s="82" t="s">
        <v>8275</v>
      </c>
      <c r="AD2870" s="77" t="s">
        <v>8278</v>
      </c>
      <c r="AE2870" s="80" t="str">
        <f>HYPERLINK("https://twitter.com/pauta_economica/status/1658889559613009921")</f>
        <v>https://twitter.com/pauta_economica/status/1658889559613009921</v>
      </c>
      <c r="AF2870" s="79">
        <v>45063.734560185185</v>
      </c>
      <c r="AG2870" s="85">
        <v>45063</v>
      </c>
      <c r="AH2870" s="82" t="s">
        <v>10905</v>
      </c>
      <c r="AI2870" s="77" t="b">
        <v>0</v>
      </c>
      <c r="AJ2870" s="77"/>
      <c r="AK2870" s="77"/>
      <c r="AL2870" s="77"/>
      <c r="AM2870" s="77"/>
      <c r="AN2870" s="77"/>
      <c r="AO2870" s="77"/>
      <c r="AP2870" s="77"/>
      <c r="AQ2870" s="77"/>
      <c r="AR2870" s="77"/>
      <c r="AS2870" s="77"/>
      <c r="AT2870" s="77"/>
      <c r="AU2870" s="77"/>
      <c r="AV2870" s="80" t="str">
        <f>HYPERLINK("https://pbs.twimg.com/profile_images/1588668531910082561/XEi-lXiu_normal.jpg")</f>
        <v>https://pbs.twimg.com/profile_images/1588668531910082561/XEi-lXiu_normal.jpg</v>
      </c>
      <c r="AW2870" s="82" t="s">
        <v>15954</v>
      </c>
      <c r="AX2870" s="82" t="s">
        <v>15954</v>
      </c>
      <c r="AY2870" s="77"/>
      <c r="AZ2870" s="82" t="s">
        <v>17385</v>
      </c>
      <c r="BA2870" s="82" t="s">
        <v>17385</v>
      </c>
      <c r="BB2870" s="82" t="s">
        <v>17385</v>
      </c>
      <c r="BC2870" s="82" t="s">
        <v>15954</v>
      </c>
      <c r="BD2870" s="82" t="s">
        <v>17667</v>
      </c>
      <c r="BE2870" s="77"/>
      <c r="BF2870" s="77"/>
      <c r="BG2870" s="77"/>
      <c r="BH2870" s="77"/>
      <c r="BI2870" s="77"/>
    </row>
    <row r="2871" spans="1:61" x14ac:dyDescent="0.25">
      <c r="A2871" s="62" t="s">
        <v>646</v>
      </c>
      <c r="B2871" s="62" t="s">
        <v>646</v>
      </c>
      <c r="C2871" s="63"/>
      <c r="D2871" s="64"/>
      <c r="E2871" s="65"/>
      <c r="F2871" s="66"/>
      <c r="G2871" s="63"/>
      <c r="H2871" s="67"/>
      <c r="I2871" s="68"/>
      <c r="J2871" s="68"/>
      <c r="K2871" s="32"/>
      <c r="L2871" s="75">
        <v>2871</v>
      </c>
      <c r="M2871" s="75"/>
      <c r="N2871" s="70"/>
      <c r="O2871" s="77" t="s">
        <v>179</v>
      </c>
      <c r="P2871" s="79">
        <v>45063.706226851849</v>
      </c>
      <c r="Q2871" s="77" t="s">
        <v>3648</v>
      </c>
      <c r="R2871" s="77">
        <v>0</v>
      </c>
      <c r="S2871" s="77">
        <v>0</v>
      </c>
      <c r="T2871" s="77">
        <v>0</v>
      </c>
      <c r="U2871" s="77">
        <v>0</v>
      </c>
      <c r="V2871" s="77">
        <v>23</v>
      </c>
      <c r="W2871" s="82" t="s">
        <v>6382</v>
      </c>
      <c r="X2871" s="80" t="str">
        <f>HYPERLINK("https://tinyurl.com/2gtco2n8")</f>
        <v>https://tinyurl.com/2gtco2n8</v>
      </c>
      <c r="Y2871" s="77" t="s">
        <v>7068</v>
      </c>
      <c r="Z2871" s="77"/>
      <c r="AA2871" s="77"/>
      <c r="AB2871" s="77"/>
      <c r="AC2871" s="82" t="s">
        <v>8275</v>
      </c>
      <c r="AD2871" s="77" t="s">
        <v>8278</v>
      </c>
      <c r="AE2871" s="80" t="str">
        <f>HYPERLINK("https://twitter.com/pauta_economica/status/1658879293458350095")</f>
        <v>https://twitter.com/pauta_economica/status/1658879293458350095</v>
      </c>
      <c r="AF2871" s="79">
        <v>45063.706226851849</v>
      </c>
      <c r="AG2871" s="85">
        <v>45063</v>
      </c>
      <c r="AH2871" s="82" t="s">
        <v>10906</v>
      </c>
      <c r="AI2871" s="77" t="b">
        <v>0</v>
      </c>
      <c r="AJ2871" s="77"/>
      <c r="AK2871" s="77"/>
      <c r="AL2871" s="77"/>
      <c r="AM2871" s="77"/>
      <c r="AN2871" s="77"/>
      <c r="AO2871" s="77"/>
      <c r="AP2871" s="77"/>
      <c r="AQ2871" s="77"/>
      <c r="AR2871" s="77"/>
      <c r="AS2871" s="77"/>
      <c r="AT2871" s="77"/>
      <c r="AU2871" s="77"/>
      <c r="AV2871" s="80" t="str">
        <f>HYPERLINK("https://pbs.twimg.com/profile_images/1588668531910082561/XEi-lXiu_normal.jpg")</f>
        <v>https://pbs.twimg.com/profile_images/1588668531910082561/XEi-lXiu_normal.jpg</v>
      </c>
      <c r="AW2871" s="82" t="s">
        <v>15955</v>
      </c>
      <c r="AX2871" s="82" t="s">
        <v>15955</v>
      </c>
      <c r="AY2871" s="77"/>
      <c r="AZ2871" s="82" t="s">
        <v>17385</v>
      </c>
      <c r="BA2871" s="82" t="s">
        <v>17385</v>
      </c>
      <c r="BB2871" s="82" t="s">
        <v>17385</v>
      </c>
      <c r="BC2871" s="82" t="s">
        <v>15955</v>
      </c>
      <c r="BD2871" s="82" t="s">
        <v>17667</v>
      </c>
      <c r="BE2871" s="77"/>
      <c r="BF2871" s="77"/>
      <c r="BG2871" s="77"/>
      <c r="BH2871" s="77"/>
      <c r="BI2871" s="77"/>
    </row>
    <row r="2872" spans="1:61" x14ac:dyDescent="0.25">
      <c r="A2872" s="62" t="s">
        <v>646</v>
      </c>
      <c r="B2872" s="62" t="s">
        <v>646</v>
      </c>
      <c r="C2872" s="63"/>
      <c r="D2872" s="64"/>
      <c r="E2872" s="65"/>
      <c r="F2872" s="66"/>
      <c r="G2872" s="63"/>
      <c r="H2872" s="67"/>
      <c r="I2872" s="68"/>
      <c r="J2872" s="68"/>
      <c r="K2872" s="32"/>
      <c r="L2872" s="75">
        <v>2872</v>
      </c>
      <c r="M2872" s="75"/>
      <c r="N2872" s="70"/>
      <c r="O2872" s="77" t="s">
        <v>179</v>
      </c>
      <c r="P2872" s="79">
        <v>45063.678368055553</v>
      </c>
      <c r="Q2872" s="77" t="s">
        <v>3649</v>
      </c>
      <c r="R2872" s="77">
        <v>0</v>
      </c>
      <c r="S2872" s="77">
        <v>0</v>
      </c>
      <c r="T2872" s="77">
        <v>0</v>
      </c>
      <c r="U2872" s="77">
        <v>0</v>
      </c>
      <c r="V2872" s="77">
        <v>77</v>
      </c>
      <c r="W2872" s="82" t="s">
        <v>6382</v>
      </c>
      <c r="X2872" s="80" t="str">
        <f>HYPERLINK("https://tinyurl.com/2fvfnsld")</f>
        <v>https://tinyurl.com/2fvfnsld</v>
      </c>
      <c r="Y2872" s="77" t="s">
        <v>7068</v>
      </c>
      <c r="Z2872" s="77"/>
      <c r="AA2872" s="77"/>
      <c r="AB2872" s="77"/>
      <c r="AC2872" s="82" t="s">
        <v>8275</v>
      </c>
      <c r="AD2872" s="77" t="s">
        <v>8278</v>
      </c>
      <c r="AE2872" s="80" t="str">
        <f>HYPERLINK("https://twitter.com/pauta_economica/status/1658869198678786056")</f>
        <v>https://twitter.com/pauta_economica/status/1658869198678786056</v>
      </c>
      <c r="AF2872" s="79">
        <v>45063.678368055553</v>
      </c>
      <c r="AG2872" s="85">
        <v>45063</v>
      </c>
      <c r="AH2872" s="82" t="s">
        <v>10907</v>
      </c>
      <c r="AI2872" s="77" t="b">
        <v>0</v>
      </c>
      <c r="AJ2872" s="77"/>
      <c r="AK2872" s="77"/>
      <c r="AL2872" s="77"/>
      <c r="AM2872" s="77"/>
      <c r="AN2872" s="77"/>
      <c r="AO2872" s="77"/>
      <c r="AP2872" s="77"/>
      <c r="AQ2872" s="77"/>
      <c r="AR2872" s="77"/>
      <c r="AS2872" s="77"/>
      <c r="AT2872" s="77"/>
      <c r="AU2872" s="77"/>
      <c r="AV2872" s="80" t="str">
        <f>HYPERLINK("https://pbs.twimg.com/profile_images/1588668531910082561/XEi-lXiu_normal.jpg")</f>
        <v>https://pbs.twimg.com/profile_images/1588668531910082561/XEi-lXiu_normal.jpg</v>
      </c>
      <c r="AW2872" s="82" t="s">
        <v>15956</v>
      </c>
      <c r="AX2872" s="82" t="s">
        <v>15956</v>
      </c>
      <c r="AY2872" s="77"/>
      <c r="AZ2872" s="82" t="s">
        <v>17385</v>
      </c>
      <c r="BA2872" s="82" t="s">
        <v>17385</v>
      </c>
      <c r="BB2872" s="82" t="s">
        <v>17385</v>
      </c>
      <c r="BC2872" s="82" t="s">
        <v>15956</v>
      </c>
      <c r="BD2872" s="82" t="s">
        <v>17667</v>
      </c>
      <c r="BE2872" s="77"/>
      <c r="BF2872" s="77"/>
      <c r="BG2872" s="77"/>
      <c r="BH2872" s="77"/>
      <c r="BI2872" s="77"/>
    </row>
    <row r="2873" spans="1:61" x14ac:dyDescent="0.25">
      <c r="A2873" s="62" t="s">
        <v>646</v>
      </c>
      <c r="B2873" s="62" t="s">
        <v>646</v>
      </c>
      <c r="C2873" s="63"/>
      <c r="D2873" s="64"/>
      <c r="E2873" s="65"/>
      <c r="F2873" s="66"/>
      <c r="G2873" s="63"/>
      <c r="H2873" s="67"/>
      <c r="I2873" s="68"/>
      <c r="J2873" s="68"/>
      <c r="K2873" s="32"/>
      <c r="L2873" s="75">
        <v>2873</v>
      </c>
      <c r="M2873" s="75"/>
      <c r="N2873" s="70"/>
      <c r="O2873" s="77" t="s">
        <v>179</v>
      </c>
      <c r="P2873" s="79">
        <v>45063.612905092596</v>
      </c>
      <c r="Q2873" s="77" t="s">
        <v>3650</v>
      </c>
      <c r="R2873" s="77">
        <v>0</v>
      </c>
      <c r="S2873" s="77">
        <v>0</v>
      </c>
      <c r="T2873" s="77">
        <v>0</v>
      </c>
      <c r="U2873" s="77">
        <v>0</v>
      </c>
      <c r="V2873" s="77">
        <v>73</v>
      </c>
      <c r="W2873" s="82" t="s">
        <v>6382</v>
      </c>
      <c r="X2873" s="80" t="str">
        <f>HYPERLINK("https://tinyurl.com/2rxuzsrg")</f>
        <v>https://tinyurl.com/2rxuzsrg</v>
      </c>
      <c r="Y2873" s="77" t="s">
        <v>7068</v>
      </c>
      <c r="Z2873" s="77"/>
      <c r="AA2873" s="77"/>
      <c r="AB2873" s="77"/>
      <c r="AC2873" s="82" t="s">
        <v>8275</v>
      </c>
      <c r="AD2873" s="77" t="s">
        <v>8278</v>
      </c>
      <c r="AE2873" s="80" t="str">
        <f>HYPERLINK("https://twitter.com/pauta_economica/status/1658845473770205185")</f>
        <v>https://twitter.com/pauta_economica/status/1658845473770205185</v>
      </c>
      <c r="AF2873" s="79">
        <v>45063.612905092596</v>
      </c>
      <c r="AG2873" s="85">
        <v>45063</v>
      </c>
      <c r="AH2873" s="82" t="s">
        <v>10908</v>
      </c>
      <c r="AI2873" s="77" t="b">
        <v>0</v>
      </c>
      <c r="AJ2873" s="77"/>
      <c r="AK2873" s="77"/>
      <c r="AL2873" s="77"/>
      <c r="AM2873" s="77"/>
      <c r="AN2873" s="77"/>
      <c r="AO2873" s="77"/>
      <c r="AP2873" s="77"/>
      <c r="AQ2873" s="77"/>
      <c r="AR2873" s="77"/>
      <c r="AS2873" s="77"/>
      <c r="AT2873" s="77"/>
      <c r="AU2873" s="77"/>
      <c r="AV2873" s="80" t="str">
        <f>HYPERLINK("https://pbs.twimg.com/profile_images/1588668531910082561/XEi-lXiu_normal.jpg")</f>
        <v>https://pbs.twimg.com/profile_images/1588668531910082561/XEi-lXiu_normal.jpg</v>
      </c>
      <c r="AW2873" s="82" t="s">
        <v>15957</v>
      </c>
      <c r="AX2873" s="82" t="s">
        <v>15957</v>
      </c>
      <c r="AY2873" s="77"/>
      <c r="AZ2873" s="82" t="s">
        <v>17385</v>
      </c>
      <c r="BA2873" s="82" t="s">
        <v>17385</v>
      </c>
      <c r="BB2873" s="82" t="s">
        <v>17385</v>
      </c>
      <c r="BC2873" s="82" t="s">
        <v>15957</v>
      </c>
      <c r="BD2873" s="82" t="s">
        <v>17667</v>
      </c>
      <c r="BE2873" s="77"/>
      <c r="BF2873" s="77"/>
      <c r="BG2873" s="77"/>
      <c r="BH2873" s="77"/>
      <c r="BI2873" s="77"/>
    </row>
    <row r="2874" spans="1:61" x14ac:dyDescent="0.25">
      <c r="A2874" s="62" t="s">
        <v>646</v>
      </c>
      <c r="B2874" s="62" t="s">
        <v>646</v>
      </c>
      <c r="C2874" s="63"/>
      <c r="D2874" s="64"/>
      <c r="E2874" s="65"/>
      <c r="F2874" s="66"/>
      <c r="G2874" s="63"/>
      <c r="H2874" s="67"/>
      <c r="I2874" s="68"/>
      <c r="J2874" s="68"/>
      <c r="K2874" s="32"/>
      <c r="L2874" s="75">
        <v>2874</v>
      </c>
      <c r="M2874" s="75"/>
      <c r="N2874" s="70"/>
      <c r="O2874" s="77" t="s">
        <v>179</v>
      </c>
      <c r="P2874" s="79">
        <v>45063.605937499997</v>
      </c>
      <c r="Q2874" s="77" t="s">
        <v>3651</v>
      </c>
      <c r="R2874" s="77">
        <v>0</v>
      </c>
      <c r="S2874" s="77">
        <v>0</v>
      </c>
      <c r="T2874" s="77">
        <v>0</v>
      </c>
      <c r="U2874" s="77">
        <v>0</v>
      </c>
      <c r="V2874" s="77">
        <v>59</v>
      </c>
      <c r="W2874" s="82" t="s">
        <v>6382</v>
      </c>
      <c r="X2874" s="80" t="str">
        <f>HYPERLINK("https://tinyurl.com/2h6vjfdd")</f>
        <v>https://tinyurl.com/2h6vjfdd</v>
      </c>
      <c r="Y2874" s="77" t="s">
        <v>7068</v>
      </c>
      <c r="Z2874" s="77"/>
      <c r="AA2874" s="77"/>
      <c r="AB2874" s="77"/>
      <c r="AC2874" s="82" t="s">
        <v>8275</v>
      </c>
      <c r="AD2874" s="77" t="s">
        <v>8278</v>
      </c>
      <c r="AE2874" s="80" t="str">
        <f>HYPERLINK("https://twitter.com/pauta_economica/status/1658842947633176576")</f>
        <v>https://twitter.com/pauta_economica/status/1658842947633176576</v>
      </c>
      <c r="AF2874" s="79">
        <v>45063.605937499997</v>
      </c>
      <c r="AG2874" s="85">
        <v>45063</v>
      </c>
      <c r="AH2874" s="82" t="s">
        <v>10909</v>
      </c>
      <c r="AI2874" s="77" t="b">
        <v>0</v>
      </c>
      <c r="AJ2874" s="77"/>
      <c r="AK2874" s="77"/>
      <c r="AL2874" s="77"/>
      <c r="AM2874" s="77"/>
      <c r="AN2874" s="77"/>
      <c r="AO2874" s="77"/>
      <c r="AP2874" s="77"/>
      <c r="AQ2874" s="77"/>
      <c r="AR2874" s="77"/>
      <c r="AS2874" s="77"/>
      <c r="AT2874" s="77"/>
      <c r="AU2874" s="77"/>
      <c r="AV2874" s="80" t="str">
        <f>HYPERLINK("https://pbs.twimg.com/profile_images/1588668531910082561/XEi-lXiu_normal.jpg")</f>
        <v>https://pbs.twimg.com/profile_images/1588668531910082561/XEi-lXiu_normal.jpg</v>
      </c>
      <c r="AW2874" s="82" t="s">
        <v>15958</v>
      </c>
      <c r="AX2874" s="82" t="s">
        <v>15958</v>
      </c>
      <c r="AY2874" s="77"/>
      <c r="AZ2874" s="82" t="s">
        <v>17385</v>
      </c>
      <c r="BA2874" s="82" t="s">
        <v>17385</v>
      </c>
      <c r="BB2874" s="82" t="s">
        <v>17385</v>
      </c>
      <c r="BC2874" s="82" t="s">
        <v>15958</v>
      </c>
      <c r="BD2874" s="82" t="s">
        <v>17667</v>
      </c>
      <c r="BE2874" s="77"/>
      <c r="BF2874" s="77"/>
      <c r="BG2874" s="77"/>
      <c r="BH2874" s="77"/>
      <c r="BI2874" s="77"/>
    </row>
    <row r="2875" spans="1:61" x14ac:dyDescent="0.25">
      <c r="A2875" s="62" t="s">
        <v>646</v>
      </c>
      <c r="B2875" s="62" t="s">
        <v>646</v>
      </c>
      <c r="C2875" s="63"/>
      <c r="D2875" s="64"/>
      <c r="E2875" s="65"/>
      <c r="F2875" s="66"/>
      <c r="G2875" s="63"/>
      <c r="H2875" s="67"/>
      <c r="I2875" s="68"/>
      <c r="J2875" s="68"/>
      <c r="K2875" s="32"/>
      <c r="L2875" s="75">
        <v>2875</v>
      </c>
      <c r="M2875" s="75"/>
      <c r="N2875" s="70"/>
      <c r="O2875" s="77" t="s">
        <v>179</v>
      </c>
      <c r="P2875" s="79">
        <v>45063.592037037037</v>
      </c>
      <c r="Q2875" s="77" t="s">
        <v>3652</v>
      </c>
      <c r="R2875" s="77">
        <v>0</v>
      </c>
      <c r="S2875" s="77">
        <v>0</v>
      </c>
      <c r="T2875" s="77">
        <v>0</v>
      </c>
      <c r="U2875" s="77">
        <v>0</v>
      </c>
      <c r="V2875" s="77">
        <v>35</v>
      </c>
      <c r="W2875" s="82" t="s">
        <v>6382</v>
      </c>
      <c r="X2875" s="80" t="str">
        <f>HYPERLINK("https://tinyurl.com/2dtb7zy3")</f>
        <v>https://tinyurl.com/2dtb7zy3</v>
      </c>
      <c r="Y2875" s="77" t="s">
        <v>7068</v>
      </c>
      <c r="Z2875" s="77"/>
      <c r="AA2875" s="77"/>
      <c r="AB2875" s="77"/>
      <c r="AC2875" s="82" t="s">
        <v>8275</v>
      </c>
      <c r="AD2875" s="77" t="s">
        <v>8278</v>
      </c>
      <c r="AE2875" s="80" t="str">
        <f>HYPERLINK("https://twitter.com/pauta_economica/status/1658837909670068227")</f>
        <v>https://twitter.com/pauta_economica/status/1658837909670068227</v>
      </c>
      <c r="AF2875" s="79">
        <v>45063.592037037037</v>
      </c>
      <c r="AG2875" s="85">
        <v>45063</v>
      </c>
      <c r="AH2875" s="82" t="s">
        <v>10910</v>
      </c>
      <c r="AI2875" s="77" t="b">
        <v>0</v>
      </c>
      <c r="AJ2875" s="77"/>
      <c r="AK2875" s="77"/>
      <c r="AL2875" s="77"/>
      <c r="AM2875" s="77"/>
      <c r="AN2875" s="77"/>
      <c r="AO2875" s="77"/>
      <c r="AP2875" s="77"/>
      <c r="AQ2875" s="77"/>
      <c r="AR2875" s="77"/>
      <c r="AS2875" s="77"/>
      <c r="AT2875" s="77"/>
      <c r="AU2875" s="77"/>
      <c r="AV2875" s="80" t="str">
        <f>HYPERLINK("https://pbs.twimg.com/profile_images/1588668531910082561/XEi-lXiu_normal.jpg")</f>
        <v>https://pbs.twimg.com/profile_images/1588668531910082561/XEi-lXiu_normal.jpg</v>
      </c>
      <c r="AW2875" s="82" t="s">
        <v>15959</v>
      </c>
      <c r="AX2875" s="82" t="s">
        <v>15959</v>
      </c>
      <c r="AY2875" s="77"/>
      <c r="AZ2875" s="82" t="s">
        <v>17385</v>
      </c>
      <c r="BA2875" s="82" t="s">
        <v>17385</v>
      </c>
      <c r="BB2875" s="82" t="s">
        <v>17385</v>
      </c>
      <c r="BC2875" s="82" t="s">
        <v>15959</v>
      </c>
      <c r="BD2875" s="82" t="s">
        <v>17667</v>
      </c>
      <c r="BE2875" s="77"/>
      <c r="BF2875" s="77"/>
      <c r="BG2875" s="77"/>
      <c r="BH2875" s="77"/>
      <c r="BI2875" s="77"/>
    </row>
    <row r="2876" spans="1:61" x14ac:dyDescent="0.25">
      <c r="A2876" s="62" t="s">
        <v>646</v>
      </c>
      <c r="B2876" s="62" t="s">
        <v>646</v>
      </c>
      <c r="C2876" s="63"/>
      <c r="D2876" s="64"/>
      <c r="E2876" s="65"/>
      <c r="F2876" s="66"/>
      <c r="G2876" s="63"/>
      <c r="H2876" s="67"/>
      <c r="I2876" s="68"/>
      <c r="J2876" s="68"/>
      <c r="K2876" s="32"/>
      <c r="L2876" s="75">
        <v>2876</v>
      </c>
      <c r="M2876" s="75"/>
      <c r="N2876" s="70"/>
      <c r="O2876" s="77" t="s">
        <v>179</v>
      </c>
      <c r="P2876" s="79">
        <v>45063.578113425923</v>
      </c>
      <c r="Q2876" s="77" t="s">
        <v>3653</v>
      </c>
      <c r="R2876" s="77">
        <v>0</v>
      </c>
      <c r="S2876" s="77">
        <v>0</v>
      </c>
      <c r="T2876" s="77">
        <v>0</v>
      </c>
      <c r="U2876" s="77">
        <v>0</v>
      </c>
      <c r="V2876" s="77">
        <v>25</v>
      </c>
      <c r="W2876" s="82" t="s">
        <v>6382</v>
      </c>
      <c r="X2876" s="80" t="str">
        <f>HYPERLINK("https://tinyurl.com/2m9bn3sz")</f>
        <v>https://tinyurl.com/2m9bn3sz</v>
      </c>
      <c r="Y2876" s="77" t="s">
        <v>7068</v>
      </c>
      <c r="Z2876" s="77"/>
      <c r="AA2876" s="77"/>
      <c r="AB2876" s="77"/>
      <c r="AC2876" s="82" t="s">
        <v>8275</v>
      </c>
      <c r="AD2876" s="77" t="s">
        <v>8278</v>
      </c>
      <c r="AE2876" s="80" t="str">
        <f>HYPERLINK("https://twitter.com/pauta_economica/status/1658832864195104771")</f>
        <v>https://twitter.com/pauta_economica/status/1658832864195104771</v>
      </c>
      <c r="AF2876" s="79">
        <v>45063.578113425923</v>
      </c>
      <c r="AG2876" s="85">
        <v>45063</v>
      </c>
      <c r="AH2876" s="82" t="s">
        <v>10911</v>
      </c>
      <c r="AI2876" s="77" t="b">
        <v>0</v>
      </c>
      <c r="AJ2876" s="77"/>
      <c r="AK2876" s="77"/>
      <c r="AL2876" s="77"/>
      <c r="AM2876" s="77"/>
      <c r="AN2876" s="77"/>
      <c r="AO2876" s="77"/>
      <c r="AP2876" s="77"/>
      <c r="AQ2876" s="77"/>
      <c r="AR2876" s="77"/>
      <c r="AS2876" s="77"/>
      <c r="AT2876" s="77"/>
      <c r="AU2876" s="77"/>
      <c r="AV2876" s="80" t="str">
        <f>HYPERLINK("https://pbs.twimg.com/profile_images/1588668531910082561/XEi-lXiu_normal.jpg")</f>
        <v>https://pbs.twimg.com/profile_images/1588668531910082561/XEi-lXiu_normal.jpg</v>
      </c>
      <c r="AW2876" s="82" t="s">
        <v>15960</v>
      </c>
      <c r="AX2876" s="82" t="s">
        <v>15960</v>
      </c>
      <c r="AY2876" s="77"/>
      <c r="AZ2876" s="82" t="s">
        <v>17385</v>
      </c>
      <c r="BA2876" s="82" t="s">
        <v>17385</v>
      </c>
      <c r="BB2876" s="82" t="s">
        <v>17385</v>
      </c>
      <c r="BC2876" s="82" t="s">
        <v>15960</v>
      </c>
      <c r="BD2876" s="82" t="s">
        <v>17667</v>
      </c>
      <c r="BE2876" s="77"/>
      <c r="BF2876" s="77"/>
      <c r="BG2876" s="77"/>
      <c r="BH2876" s="77"/>
      <c r="BI2876" s="77"/>
    </row>
    <row r="2877" spans="1:61" x14ac:dyDescent="0.25">
      <c r="A2877" s="62" t="s">
        <v>646</v>
      </c>
      <c r="B2877" s="62" t="s">
        <v>646</v>
      </c>
      <c r="C2877" s="63"/>
      <c r="D2877" s="64"/>
      <c r="E2877" s="65"/>
      <c r="F2877" s="66"/>
      <c r="G2877" s="63"/>
      <c r="H2877" s="67"/>
      <c r="I2877" s="68"/>
      <c r="J2877" s="68"/>
      <c r="K2877" s="32"/>
      <c r="L2877" s="75">
        <v>2877</v>
      </c>
      <c r="M2877" s="75"/>
      <c r="N2877" s="70"/>
      <c r="O2877" s="77" t="s">
        <v>179</v>
      </c>
      <c r="P2877" s="79">
        <v>45063.567118055558</v>
      </c>
      <c r="Q2877" s="77" t="s">
        <v>3654</v>
      </c>
      <c r="R2877" s="77">
        <v>0</v>
      </c>
      <c r="S2877" s="77">
        <v>0</v>
      </c>
      <c r="T2877" s="77">
        <v>0</v>
      </c>
      <c r="U2877" s="77">
        <v>0</v>
      </c>
      <c r="V2877" s="77">
        <v>22</v>
      </c>
      <c r="W2877" s="82" t="s">
        <v>6382</v>
      </c>
      <c r="X2877" s="80" t="str">
        <f>HYPERLINK("https://tinyurl.com/2fhe6thg")</f>
        <v>https://tinyurl.com/2fhe6thg</v>
      </c>
      <c r="Y2877" s="77" t="s">
        <v>7068</v>
      </c>
      <c r="Z2877" s="77"/>
      <c r="AA2877" s="77"/>
      <c r="AB2877" s="77"/>
      <c r="AC2877" s="82" t="s">
        <v>8275</v>
      </c>
      <c r="AD2877" s="77" t="s">
        <v>8278</v>
      </c>
      <c r="AE2877" s="80" t="str">
        <f>HYPERLINK("https://twitter.com/pauta_economica/status/1658828881112055810")</f>
        <v>https://twitter.com/pauta_economica/status/1658828881112055810</v>
      </c>
      <c r="AF2877" s="79">
        <v>45063.567118055558</v>
      </c>
      <c r="AG2877" s="85">
        <v>45063</v>
      </c>
      <c r="AH2877" s="82" t="s">
        <v>10912</v>
      </c>
      <c r="AI2877" s="77" t="b">
        <v>0</v>
      </c>
      <c r="AJ2877" s="77"/>
      <c r="AK2877" s="77"/>
      <c r="AL2877" s="77"/>
      <c r="AM2877" s="77"/>
      <c r="AN2877" s="77"/>
      <c r="AO2877" s="77"/>
      <c r="AP2877" s="77"/>
      <c r="AQ2877" s="77"/>
      <c r="AR2877" s="77"/>
      <c r="AS2877" s="77"/>
      <c r="AT2877" s="77"/>
      <c r="AU2877" s="77"/>
      <c r="AV2877" s="80" t="str">
        <f>HYPERLINK("https://pbs.twimg.com/profile_images/1588668531910082561/XEi-lXiu_normal.jpg")</f>
        <v>https://pbs.twimg.com/profile_images/1588668531910082561/XEi-lXiu_normal.jpg</v>
      </c>
      <c r="AW2877" s="82" t="s">
        <v>15961</v>
      </c>
      <c r="AX2877" s="82" t="s">
        <v>15961</v>
      </c>
      <c r="AY2877" s="77"/>
      <c r="AZ2877" s="82" t="s">
        <v>17385</v>
      </c>
      <c r="BA2877" s="82" t="s">
        <v>17385</v>
      </c>
      <c r="BB2877" s="82" t="s">
        <v>17385</v>
      </c>
      <c r="BC2877" s="82" t="s">
        <v>15961</v>
      </c>
      <c r="BD2877" s="82" t="s">
        <v>17667</v>
      </c>
      <c r="BE2877" s="77"/>
      <c r="BF2877" s="77"/>
      <c r="BG2877" s="77"/>
      <c r="BH2877" s="77"/>
      <c r="BI2877" s="77"/>
    </row>
    <row r="2878" spans="1:61" x14ac:dyDescent="0.25">
      <c r="A2878" s="62" t="s">
        <v>646</v>
      </c>
      <c r="B2878" s="62" t="s">
        <v>646</v>
      </c>
      <c r="C2878" s="63"/>
      <c r="D2878" s="64"/>
      <c r="E2878" s="65"/>
      <c r="F2878" s="66"/>
      <c r="G2878" s="63"/>
      <c r="H2878" s="67"/>
      <c r="I2878" s="68"/>
      <c r="J2878" s="68"/>
      <c r="K2878" s="32"/>
      <c r="L2878" s="75">
        <v>2878</v>
      </c>
      <c r="M2878" s="75"/>
      <c r="N2878" s="70"/>
      <c r="O2878" s="77" t="s">
        <v>179</v>
      </c>
      <c r="P2878" s="79">
        <v>45063.550324074073</v>
      </c>
      <c r="Q2878" s="77" t="s">
        <v>3655</v>
      </c>
      <c r="R2878" s="77">
        <v>0</v>
      </c>
      <c r="S2878" s="77">
        <v>1</v>
      </c>
      <c r="T2878" s="77">
        <v>0</v>
      </c>
      <c r="U2878" s="77">
        <v>0</v>
      </c>
      <c r="V2878" s="77">
        <v>30</v>
      </c>
      <c r="W2878" s="82" t="s">
        <v>6382</v>
      </c>
      <c r="X2878" s="80" t="str">
        <f>HYPERLINK("https://tinyurl.com/2eq5bjjk")</f>
        <v>https://tinyurl.com/2eq5bjjk</v>
      </c>
      <c r="Y2878" s="77" t="s">
        <v>7068</v>
      </c>
      <c r="Z2878" s="77"/>
      <c r="AA2878" s="77"/>
      <c r="AB2878" s="77"/>
      <c r="AC2878" s="82" t="s">
        <v>8275</v>
      </c>
      <c r="AD2878" s="77" t="s">
        <v>8278</v>
      </c>
      <c r="AE2878" s="80" t="str">
        <f>HYPERLINK("https://twitter.com/pauta_economica/status/1658822793885102082")</f>
        <v>https://twitter.com/pauta_economica/status/1658822793885102082</v>
      </c>
      <c r="AF2878" s="79">
        <v>45063.550324074073</v>
      </c>
      <c r="AG2878" s="85">
        <v>45063</v>
      </c>
      <c r="AH2878" s="82" t="s">
        <v>10913</v>
      </c>
      <c r="AI2878" s="77" t="b">
        <v>0</v>
      </c>
      <c r="AJ2878" s="77"/>
      <c r="AK2878" s="77"/>
      <c r="AL2878" s="77"/>
      <c r="AM2878" s="77"/>
      <c r="AN2878" s="77"/>
      <c r="AO2878" s="77"/>
      <c r="AP2878" s="77"/>
      <c r="AQ2878" s="77"/>
      <c r="AR2878" s="77"/>
      <c r="AS2878" s="77"/>
      <c r="AT2878" s="77"/>
      <c r="AU2878" s="77"/>
      <c r="AV2878" s="80" t="str">
        <f>HYPERLINK("https://pbs.twimg.com/profile_images/1588668531910082561/XEi-lXiu_normal.jpg")</f>
        <v>https://pbs.twimg.com/profile_images/1588668531910082561/XEi-lXiu_normal.jpg</v>
      </c>
      <c r="AW2878" s="82" t="s">
        <v>15962</v>
      </c>
      <c r="AX2878" s="82" t="s">
        <v>15962</v>
      </c>
      <c r="AY2878" s="77"/>
      <c r="AZ2878" s="82" t="s">
        <v>17385</v>
      </c>
      <c r="BA2878" s="82" t="s">
        <v>17385</v>
      </c>
      <c r="BB2878" s="82" t="s">
        <v>17385</v>
      </c>
      <c r="BC2878" s="82" t="s">
        <v>15962</v>
      </c>
      <c r="BD2878" s="82" t="s">
        <v>17667</v>
      </c>
      <c r="BE2878" s="77"/>
      <c r="BF2878" s="77"/>
      <c r="BG2878" s="77"/>
      <c r="BH2878" s="77"/>
      <c r="BI2878" s="77"/>
    </row>
    <row r="2879" spans="1:61" x14ac:dyDescent="0.25">
      <c r="A2879" s="62" t="s">
        <v>646</v>
      </c>
      <c r="B2879" s="62" t="s">
        <v>646</v>
      </c>
      <c r="C2879" s="63"/>
      <c r="D2879" s="64"/>
      <c r="E2879" s="65"/>
      <c r="F2879" s="66"/>
      <c r="G2879" s="63"/>
      <c r="H2879" s="67"/>
      <c r="I2879" s="68"/>
      <c r="J2879" s="68"/>
      <c r="K2879" s="32"/>
      <c r="L2879" s="75">
        <v>2879</v>
      </c>
      <c r="M2879" s="75"/>
      <c r="N2879" s="70"/>
      <c r="O2879" s="77" t="s">
        <v>179</v>
      </c>
      <c r="P2879" s="79">
        <v>45063.539317129631</v>
      </c>
      <c r="Q2879" s="77" t="s">
        <v>3656</v>
      </c>
      <c r="R2879" s="77">
        <v>0</v>
      </c>
      <c r="S2879" s="77">
        <v>1</v>
      </c>
      <c r="T2879" s="77">
        <v>0</v>
      </c>
      <c r="U2879" s="77">
        <v>0</v>
      </c>
      <c r="V2879" s="77">
        <v>83</v>
      </c>
      <c r="W2879" s="82" t="s">
        <v>6382</v>
      </c>
      <c r="X2879" s="80" t="str">
        <f>HYPERLINK("https://tinyurl.com/2jtpujrt")</f>
        <v>https://tinyurl.com/2jtpujrt</v>
      </c>
      <c r="Y2879" s="77" t="s">
        <v>7068</v>
      </c>
      <c r="Z2879" s="77"/>
      <c r="AA2879" s="77"/>
      <c r="AB2879" s="77"/>
      <c r="AC2879" s="82" t="s">
        <v>8275</v>
      </c>
      <c r="AD2879" s="77" t="s">
        <v>8278</v>
      </c>
      <c r="AE2879" s="80" t="str">
        <f>HYPERLINK("https://twitter.com/pauta_economica/status/1658818805169045506")</f>
        <v>https://twitter.com/pauta_economica/status/1658818805169045506</v>
      </c>
      <c r="AF2879" s="79">
        <v>45063.539317129631</v>
      </c>
      <c r="AG2879" s="85">
        <v>45063</v>
      </c>
      <c r="AH2879" s="82" t="s">
        <v>10914</v>
      </c>
      <c r="AI2879" s="77" t="b">
        <v>0</v>
      </c>
      <c r="AJ2879" s="77"/>
      <c r="AK2879" s="77"/>
      <c r="AL2879" s="77"/>
      <c r="AM2879" s="77"/>
      <c r="AN2879" s="77"/>
      <c r="AO2879" s="77"/>
      <c r="AP2879" s="77"/>
      <c r="AQ2879" s="77"/>
      <c r="AR2879" s="77"/>
      <c r="AS2879" s="77"/>
      <c r="AT2879" s="77"/>
      <c r="AU2879" s="77"/>
      <c r="AV2879" s="80" t="str">
        <f>HYPERLINK("https://pbs.twimg.com/profile_images/1588668531910082561/XEi-lXiu_normal.jpg")</f>
        <v>https://pbs.twimg.com/profile_images/1588668531910082561/XEi-lXiu_normal.jpg</v>
      </c>
      <c r="AW2879" s="82" t="s">
        <v>15963</v>
      </c>
      <c r="AX2879" s="82" t="s">
        <v>15963</v>
      </c>
      <c r="AY2879" s="77"/>
      <c r="AZ2879" s="82" t="s">
        <v>17385</v>
      </c>
      <c r="BA2879" s="82" t="s">
        <v>17385</v>
      </c>
      <c r="BB2879" s="82" t="s">
        <v>17385</v>
      </c>
      <c r="BC2879" s="82" t="s">
        <v>15963</v>
      </c>
      <c r="BD2879" s="82" t="s">
        <v>17667</v>
      </c>
      <c r="BE2879" s="77"/>
      <c r="BF2879" s="77"/>
      <c r="BG2879" s="77"/>
      <c r="BH2879" s="77"/>
      <c r="BI2879" s="77"/>
    </row>
    <row r="2880" spans="1:61" x14ac:dyDescent="0.25">
      <c r="A2880" s="62" t="s">
        <v>646</v>
      </c>
      <c r="B2880" s="62" t="s">
        <v>646</v>
      </c>
      <c r="C2880" s="63"/>
      <c r="D2880" s="64"/>
      <c r="E2880" s="65"/>
      <c r="F2880" s="66"/>
      <c r="G2880" s="63"/>
      <c r="H2880" s="67"/>
      <c r="I2880" s="68"/>
      <c r="J2880" s="68"/>
      <c r="K2880" s="32"/>
      <c r="L2880" s="75">
        <v>2880</v>
      </c>
      <c r="M2880" s="75"/>
      <c r="N2880" s="70"/>
      <c r="O2880" s="77" t="s">
        <v>179</v>
      </c>
      <c r="P2880" s="79">
        <v>45063.529479166667</v>
      </c>
      <c r="Q2880" s="77" t="s">
        <v>3657</v>
      </c>
      <c r="R2880" s="77">
        <v>0</v>
      </c>
      <c r="S2880" s="77">
        <v>0</v>
      </c>
      <c r="T2880" s="77">
        <v>0</v>
      </c>
      <c r="U2880" s="77">
        <v>0</v>
      </c>
      <c r="V2880" s="77">
        <v>77</v>
      </c>
      <c r="W2880" s="82" t="s">
        <v>6382</v>
      </c>
      <c r="X2880" s="80" t="str">
        <f>HYPERLINK("https://tinyurl.com/2ljx8oxa")</f>
        <v>https://tinyurl.com/2ljx8oxa</v>
      </c>
      <c r="Y2880" s="77" t="s">
        <v>7068</v>
      </c>
      <c r="Z2880" s="77"/>
      <c r="AA2880" s="77"/>
      <c r="AB2880" s="77"/>
      <c r="AC2880" s="82" t="s">
        <v>8275</v>
      </c>
      <c r="AD2880" s="77" t="s">
        <v>8278</v>
      </c>
      <c r="AE2880" s="80" t="str">
        <f>HYPERLINK("https://twitter.com/pauta_economica/status/1658815239993819141")</f>
        <v>https://twitter.com/pauta_economica/status/1658815239993819141</v>
      </c>
      <c r="AF2880" s="79">
        <v>45063.529479166667</v>
      </c>
      <c r="AG2880" s="85">
        <v>45063</v>
      </c>
      <c r="AH2880" s="82" t="s">
        <v>10915</v>
      </c>
      <c r="AI2880" s="77" t="b">
        <v>0</v>
      </c>
      <c r="AJ2880" s="77"/>
      <c r="AK2880" s="77"/>
      <c r="AL2880" s="77"/>
      <c r="AM2880" s="77"/>
      <c r="AN2880" s="77"/>
      <c r="AO2880" s="77"/>
      <c r="AP2880" s="77"/>
      <c r="AQ2880" s="77"/>
      <c r="AR2880" s="77"/>
      <c r="AS2880" s="77"/>
      <c r="AT2880" s="77"/>
      <c r="AU2880" s="77"/>
      <c r="AV2880" s="80" t="str">
        <f>HYPERLINK("https://pbs.twimg.com/profile_images/1588668531910082561/XEi-lXiu_normal.jpg")</f>
        <v>https://pbs.twimg.com/profile_images/1588668531910082561/XEi-lXiu_normal.jpg</v>
      </c>
      <c r="AW2880" s="82" t="s">
        <v>15964</v>
      </c>
      <c r="AX2880" s="82" t="s">
        <v>15964</v>
      </c>
      <c r="AY2880" s="77"/>
      <c r="AZ2880" s="82" t="s">
        <v>17385</v>
      </c>
      <c r="BA2880" s="82" t="s">
        <v>17385</v>
      </c>
      <c r="BB2880" s="82" t="s">
        <v>17385</v>
      </c>
      <c r="BC2880" s="82" t="s">
        <v>15964</v>
      </c>
      <c r="BD2880" s="82" t="s">
        <v>17667</v>
      </c>
      <c r="BE2880" s="77"/>
      <c r="BF2880" s="77"/>
      <c r="BG2880" s="77"/>
      <c r="BH2880" s="77"/>
      <c r="BI2880" s="77"/>
    </row>
    <row r="2881" spans="1:61" x14ac:dyDescent="0.25">
      <c r="A2881" s="62" t="s">
        <v>646</v>
      </c>
      <c r="B2881" s="62" t="s">
        <v>646</v>
      </c>
      <c r="C2881" s="63"/>
      <c r="D2881" s="64"/>
      <c r="E2881" s="65"/>
      <c r="F2881" s="66"/>
      <c r="G2881" s="63"/>
      <c r="H2881" s="67"/>
      <c r="I2881" s="68"/>
      <c r="J2881" s="68"/>
      <c r="K2881" s="32"/>
      <c r="L2881" s="75">
        <v>2881</v>
      </c>
      <c r="M2881" s="75"/>
      <c r="N2881" s="70"/>
      <c r="O2881" s="77" t="s">
        <v>179</v>
      </c>
      <c r="P2881" s="79">
        <v>45063.511516203704</v>
      </c>
      <c r="Q2881" s="77" t="s">
        <v>3658</v>
      </c>
      <c r="R2881" s="77">
        <v>1</v>
      </c>
      <c r="S2881" s="77">
        <v>1</v>
      </c>
      <c r="T2881" s="77">
        <v>0</v>
      </c>
      <c r="U2881" s="77">
        <v>0</v>
      </c>
      <c r="V2881" s="77">
        <v>55</v>
      </c>
      <c r="W2881" s="82" t="s">
        <v>6382</v>
      </c>
      <c r="X2881" s="80" t="str">
        <f>HYPERLINK("https://tinyurl.com/2hk6tlyk")</f>
        <v>https://tinyurl.com/2hk6tlyk</v>
      </c>
      <c r="Y2881" s="77" t="s">
        <v>7068</v>
      </c>
      <c r="Z2881" s="77"/>
      <c r="AA2881" s="77"/>
      <c r="AB2881" s="77"/>
      <c r="AC2881" s="82" t="s">
        <v>8275</v>
      </c>
      <c r="AD2881" s="77" t="s">
        <v>8278</v>
      </c>
      <c r="AE2881" s="80" t="str">
        <f>HYPERLINK("https://twitter.com/pauta_economica/status/1658808731033894914")</f>
        <v>https://twitter.com/pauta_economica/status/1658808731033894914</v>
      </c>
      <c r="AF2881" s="79">
        <v>45063.511516203704</v>
      </c>
      <c r="AG2881" s="85">
        <v>45063</v>
      </c>
      <c r="AH2881" s="82" t="s">
        <v>10916</v>
      </c>
      <c r="AI2881" s="77" t="b">
        <v>0</v>
      </c>
      <c r="AJ2881" s="77"/>
      <c r="AK2881" s="77"/>
      <c r="AL2881" s="77"/>
      <c r="AM2881" s="77"/>
      <c r="AN2881" s="77"/>
      <c r="AO2881" s="77"/>
      <c r="AP2881" s="77"/>
      <c r="AQ2881" s="77"/>
      <c r="AR2881" s="77"/>
      <c r="AS2881" s="77"/>
      <c r="AT2881" s="77"/>
      <c r="AU2881" s="77"/>
      <c r="AV2881" s="80" t="str">
        <f>HYPERLINK("https://pbs.twimg.com/profile_images/1588668531910082561/XEi-lXiu_normal.jpg")</f>
        <v>https://pbs.twimg.com/profile_images/1588668531910082561/XEi-lXiu_normal.jpg</v>
      </c>
      <c r="AW2881" s="82" t="s">
        <v>15965</v>
      </c>
      <c r="AX2881" s="82" t="s">
        <v>15965</v>
      </c>
      <c r="AY2881" s="77"/>
      <c r="AZ2881" s="82" t="s">
        <v>17385</v>
      </c>
      <c r="BA2881" s="82" t="s">
        <v>17385</v>
      </c>
      <c r="BB2881" s="82" t="s">
        <v>17385</v>
      </c>
      <c r="BC2881" s="82" t="s">
        <v>15965</v>
      </c>
      <c r="BD2881" s="82" t="s">
        <v>17667</v>
      </c>
      <c r="BE2881" s="77"/>
      <c r="BF2881" s="77"/>
      <c r="BG2881" s="77"/>
      <c r="BH2881" s="77"/>
      <c r="BI2881" s="77"/>
    </row>
    <row r="2882" spans="1:61" x14ac:dyDescent="0.25">
      <c r="A2882" s="62" t="s">
        <v>646</v>
      </c>
      <c r="B2882" s="62" t="s">
        <v>646</v>
      </c>
      <c r="C2882" s="63"/>
      <c r="D2882" s="64"/>
      <c r="E2882" s="65"/>
      <c r="F2882" s="66"/>
      <c r="G2882" s="63"/>
      <c r="H2882" s="67"/>
      <c r="I2882" s="68"/>
      <c r="J2882" s="68"/>
      <c r="K2882" s="32"/>
      <c r="L2882" s="75">
        <v>2882</v>
      </c>
      <c r="M2882" s="75"/>
      <c r="N2882" s="70"/>
      <c r="O2882" s="77" t="s">
        <v>179</v>
      </c>
      <c r="P2882" s="79">
        <v>45063.483715277776</v>
      </c>
      <c r="Q2882" s="77" t="s">
        <v>3659</v>
      </c>
      <c r="R2882" s="77">
        <v>0</v>
      </c>
      <c r="S2882" s="77">
        <v>0</v>
      </c>
      <c r="T2882" s="77">
        <v>0</v>
      </c>
      <c r="U2882" s="77">
        <v>0</v>
      </c>
      <c r="V2882" s="77">
        <v>51</v>
      </c>
      <c r="W2882" s="82" t="s">
        <v>6382</v>
      </c>
      <c r="X2882" s="80" t="str">
        <f>HYPERLINK("https://tinyurl.com/2f7da86n")</f>
        <v>https://tinyurl.com/2f7da86n</v>
      </c>
      <c r="Y2882" s="77" t="s">
        <v>7068</v>
      </c>
      <c r="Z2882" s="77"/>
      <c r="AA2882" s="77"/>
      <c r="AB2882" s="77"/>
      <c r="AC2882" s="82" t="s">
        <v>8275</v>
      </c>
      <c r="AD2882" s="77" t="s">
        <v>8278</v>
      </c>
      <c r="AE2882" s="80" t="str">
        <f>HYPERLINK("https://twitter.com/pauta_economica/status/1658798655527084038")</f>
        <v>https://twitter.com/pauta_economica/status/1658798655527084038</v>
      </c>
      <c r="AF2882" s="79">
        <v>45063.483715277776</v>
      </c>
      <c r="AG2882" s="85">
        <v>45063</v>
      </c>
      <c r="AH2882" s="82" t="s">
        <v>10917</v>
      </c>
      <c r="AI2882" s="77" t="b">
        <v>0</v>
      </c>
      <c r="AJ2882" s="77"/>
      <c r="AK2882" s="77"/>
      <c r="AL2882" s="77"/>
      <c r="AM2882" s="77"/>
      <c r="AN2882" s="77"/>
      <c r="AO2882" s="77"/>
      <c r="AP2882" s="77"/>
      <c r="AQ2882" s="77"/>
      <c r="AR2882" s="77"/>
      <c r="AS2882" s="77"/>
      <c r="AT2882" s="77"/>
      <c r="AU2882" s="77"/>
      <c r="AV2882" s="80" t="str">
        <f>HYPERLINK("https://pbs.twimg.com/profile_images/1588668531910082561/XEi-lXiu_normal.jpg")</f>
        <v>https://pbs.twimg.com/profile_images/1588668531910082561/XEi-lXiu_normal.jpg</v>
      </c>
      <c r="AW2882" s="82" t="s">
        <v>15966</v>
      </c>
      <c r="AX2882" s="82" t="s">
        <v>15966</v>
      </c>
      <c r="AY2882" s="77"/>
      <c r="AZ2882" s="82" t="s">
        <v>17385</v>
      </c>
      <c r="BA2882" s="82" t="s">
        <v>17385</v>
      </c>
      <c r="BB2882" s="82" t="s">
        <v>17385</v>
      </c>
      <c r="BC2882" s="82" t="s">
        <v>15966</v>
      </c>
      <c r="BD2882" s="82" t="s">
        <v>17667</v>
      </c>
      <c r="BE2882" s="77"/>
      <c r="BF2882" s="77"/>
      <c r="BG2882" s="77"/>
      <c r="BH2882" s="77"/>
      <c r="BI2882" s="77"/>
    </row>
    <row r="2883" spans="1:61" x14ac:dyDescent="0.25">
      <c r="A2883" s="62" t="s">
        <v>646</v>
      </c>
      <c r="B2883" s="62" t="s">
        <v>646</v>
      </c>
      <c r="C2883" s="63"/>
      <c r="D2883" s="64"/>
      <c r="E2883" s="65"/>
      <c r="F2883" s="66"/>
      <c r="G2883" s="63"/>
      <c r="H2883" s="67"/>
      <c r="I2883" s="68"/>
      <c r="J2883" s="68"/>
      <c r="K2883" s="32"/>
      <c r="L2883" s="75">
        <v>2883</v>
      </c>
      <c r="M2883" s="75"/>
      <c r="N2883" s="70"/>
      <c r="O2883" s="77" t="s">
        <v>179</v>
      </c>
      <c r="P2883" s="79">
        <v>45063.45585648148</v>
      </c>
      <c r="Q2883" s="77" t="s">
        <v>3660</v>
      </c>
      <c r="R2883" s="77">
        <v>0</v>
      </c>
      <c r="S2883" s="77">
        <v>0</v>
      </c>
      <c r="T2883" s="77">
        <v>0</v>
      </c>
      <c r="U2883" s="77">
        <v>0</v>
      </c>
      <c r="V2883" s="77">
        <v>60</v>
      </c>
      <c r="W2883" s="82" t="s">
        <v>6382</v>
      </c>
      <c r="X2883" s="80" t="str">
        <f>HYPERLINK("https://tinyurl.com/2n39de5f")</f>
        <v>https://tinyurl.com/2n39de5f</v>
      </c>
      <c r="Y2883" s="77" t="s">
        <v>7068</v>
      </c>
      <c r="Z2883" s="77"/>
      <c r="AA2883" s="77"/>
      <c r="AB2883" s="77"/>
      <c r="AC2883" s="82" t="s">
        <v>8275</v>
      </c>
      <c r="AD2883" s="77" t="s">
        <v>8278</v>
      </c>
      <c r="AE2883" s="80" t="str">
        <f>HYPERLINK("https://twitter.com/pauta_economica/status/1658788560843993088")</f>
        <v>https://twitter.com/pauta_economica/status/1658788560843993088</v>
      </c>
      <c r="AF2883" s="79">
        <v>45063.45585648148</v>
      </c>
      <c r="AG2883" s="85">
        <v>45063</v>
      </c>
      <c r="AH2883" s="82" t="s">
        <v>10918</v>
      </c>
      <c r="AI2883" s="77" t="b">
        <v>0</v>
      </c>
      <c r="AJ2883" s="77"/>
      <c r="AK2883" s="77"/>
      <c r="AL2883" s="77"/>
      <c r="AM2883" s="77"/>
      <c r="AN2883" s="77"/>
      <c r="AO2883" s="77"/>
      <c r="AP2883" s="77"/>
      <c r="AQ2883" s="77"/>
      <c r="AR2883" s="77"/>
      <c r="AS2883" s="77"/>
      <c r="AT2883" s="77"/>
      <c r="AU2883" s="77"/>
      <c r="AV2883" s="80" t="str">
        <f>HYPERLINK("https://pbs.twimg.com/profile_images/1588668531910082561/XEi-lXiu_normal.jpg")</f>
        <v>https://pbs.twimg.com/profile_images/1588668531910082561/XEi-lXiu_normal.jpg</v>
      </c>
      <c r="AW2883" s="82" t="s">
        <v>15967</v>
      </c>
      <c r="AX2883" s="82" t="s">
        <v>15967</v>
      </c>
      <c r="AY2883" s="77"/>
      <c r="AZ2883" s="82" t="s">
        <v>17385</v>
      </c>
      <c r="BA2883" s="82" t="s">
        <v>17385</v>
      </c>
      <c r="BB2883" s="82" t="s">
        <v>17385</v>
      </c>
      <c r="BC2883" s="82" t="s">
        <v>15967</v>
      </c>
      <c r="BD2883" s="82" t="s">
        <v>17667</v>
      </c>
      <c r="BE2883" s="77"/>
      <c r="BF2883" s="77"/>
      <c r="BG2883" s="77"/>
      <c r="BH2883" s="77"/>
      <c r="BI2883" s="77"/>
    </row>
    <row r="2884" spans="1:61" x14ac:dyDescent="0.25">
      <c r="A2884" s="62" t="s">
        <v>646</v>
      </c>
      <c r="B2884" s="62" t="s">
        <v>646</v>
      </c>
      <c r="C2884" s="63"/>
      <c r="D2884" s="64"/>
      <c r="E2884" s="65"/>
      <c r="F2884" s="66"/>
      <c r="G2884" s="63"/>
      <c r="H2884" s="67"/>
      <c r="I2884" s="68"/>
      <c r="J2884" s="68"/>
      <c r="K2884" s="32"/>
      <c r="L2884" s="75">
        <v>2884</v>
      </c>
      <c r="M2884" s="75"/>
      <c r="N2884" s="70"/>
      <c r="O2884" s="77" t="s">
        <v>179</v>
      </c>
      <c r="P2884" s="79">
        <v>45063.427997685183</v>
      </c>
      <c r="Q2884" s="77" t="s">
        <v>3661</v>
      </c>
      <c r="R2884" s="77">
        <v>0</v>
      </c>
      <c r="S2884" s="77">
        <v>0</v>
      </c>
      <c r="T2884" s="77">
        <v>0</v>
      </c>
      <c r="U2884" s="77">
        <v>0</v>
      </c>
      <c r="V2884" s="77">
        <v>44</v>
      </c>
      <c r="W2884" s="82" t="s">
        <v>6382</v>
      </c>
      <c r="X2884" s="80" t="str">
        <f>HYPERLINK("https://tinyurl.com/2fga56o6")</f>
        <v>https://tinyurl.com/2fga56o6</v>
      </c>
      <c r="Y2884" s="77" t="s">
        <v>7068</v>
      </c>
      <c r="Z2884" s="77"/>
      <c r="AA2884" s="77"/>
      <c r="AB2884" s="77"/>
      <c r="AC2884" s="82" t="s">
        <v>8275</v>
      </c>
      <c r="AD2884" s="77" t="s">
        <v>8278</v>
      </c>
      <c r="AE2884" s="80" t="str">
        <f>HYPERLINK("https://twitter.com/pauta_economica/status/1658778465703739392")</f>
        <v>https://twitter.com/pauta_economica/status/1658778465703739392</v>
      </c>
      <c r="AF2884" s="79">
        <v>45063.427997685183</v>
      </c>
      <c r="AG2884" s="85">
        <v>45063</v>
      </c>
      <c r="AH2884" s="82" t="s">
        <v>10919</v>
      </c>
      <c r="AI2884" s="77" t="b">
        <v>0</v>
      </c>
      <c r="AJ2884" s="77"/>
      <c r="AK2884" s="77"/>
      <c r="AL2884" s="77"/>
      <c r="AM2884" s="77"/>
      <c r="AN2884" s="77"/>
      <c r="AO2884" s="77"/>
      <c r="AP2884" s="77"/>
      <c r="AQ2884" s="77"/>
      <c r="AR2884" s="77"/>
      <c r="AS2884" s="77"/>
      <c r="AT2884" s="77"/>
      <c r="AU2884" s="77"/>
      <c r="AV2884" s="80" t="str">
        <f>HYPERLINK("https://pbs.twimg.com/profile_images/1588668531910082561/XEi-lXiu_normal.jpg")</f>
        <v>https://pbs.twimg.com/profile_images/1588668531910082561/XEi-lXiu_normal.jpg</v>
      </c>
      <c r="AW2884" s="82" t="s">
        <v>15968</v>
      </c>
      <c r="AX2884" s="82" t="s">
        <v>15968</v>
      </c>
      <c r="AY2884" s="77"/>
      <c r="AZ2884" s="82" t="s">
        <v>17385</v>
      </c>
      <c r="BA2884" s="82" t="s">
        <v>17385</v>
      </c>
      <c r="BB2884" s="82" t="s">
        <v>17385</v>
      </c>
      <c r="BC2884" s="82" t="s">
        <v>15968</v>
      </c>
      <c r="BD2884" s="82" t="s">
        <v>17667</v>
      </c>
      <c r="BE2884" s="77"/>
      <c r="BF2884" s="77"/>
      <c r="BG2884" s="77"/>
      <c r="BH2884" s="77"/>
      <c r="BI2884" s="77"/>
    </row>
    <row r="2885" spans="1:61" x14ac:dyDescent="0.25">
      <c r="A2885" s="62" t="s">
        <v>646</v>
      </c>
      <c r="B2885" s="62" t="s">
        <v>646</v>
      </c>
      <c r="C2885" s="63"/>
      <c r="D2885" s="64"/>
      <c r="E2885" s="65"/>
      <c r="F2885" s="66"/>
      <c r="G2885" s="63"/>
      <c r="H2885" s="67"/>
      <c r="I2885" s="68"/>
      <c r="J2885" s="68"/>
      <c r="K2885" s="32"/>
      <c r="L2885" s="75">
        <v>2885</v>
      </c>
      <c r="M2885" s="75"/>
      <c r="N2885" s="70"/>
      <c r="O2885" s="77" t="s">
        <v>179</v>
      </c>
      <c r="P2885" s="79">
        <v>45063.316631944443</v>
      </c>
      <c r="Q2885" s="77" t="s">
        <v>3662</v>
      </c>
      <c r="R2885" s="77">
        <v>0</v>
      </c>
      <c r="S2885" s="77">
        <v>0</v>
      </c>
      <c r="T2885" s="77">
        <v>0</v>
      </c>
      <c r="U2885" s="77">
        <v>0</v>
      </c>
      <c r="V2885" s="77">
        <v>61</v>
      </c>
      <c r="W2885" s="82" t="s">
        <v>6382</v>
      </c>
      <c r="X2885" s="80" t="str">
        <f>HYPERLINK("https://tinyurl.com/2qtrorcy")</f>
        <v>https://tinyurl.com/2qtrorcy</v>
      </c>
      <c r="Y2885" s="77" t="s">
        <v>7068</v>
      </c>
      <c r="Z2885" s="77"/>
      <c r="AA2885" s="77"/>
      <c r="AB2885" s="77"/>
      <c r="AC2885" s="82" t="s">
        <v>8275</v>
      </c>
      <c r="AD2885" s="77" t="s">
        <v>8278</v>
      </c>
      <c r="AE2885" s="80" t="str">
        <f>HYPERLINK("https://twitter.com/pauta_economica/status/1658738109222211584")</f>
        <v>https://twitter.com/pauta_economica/status/1658738109222211584</v>
      </c>
      <c r="AF2885" s="79">
        <v>45063.316631944443</v>
      </c>
      <c r="AG2885" s="85">
        <v>45063</v>
      </c>
      <c r="AH2885" s="82" t="s">
        <v>10920</v>
      </c>
      <c r="AI2885" s="77" t="b">
        <v>0</v>
      </c>
      <c r="AJ2885" s="77"/>
      <c r="AK2885" s="77"/>
      <c r="AL2885" s="77"/>
      <c r="AM2885" s="77"/>
      <c r="AN2885" s="77"/>
      <c r="AO2885" s="77"/>
      <c r="AP2885" s="77"/>
      <c r="AQ2885" s="77"/>
      <c r="AR2885" s="77"/>
      <c r="AS2885" s="77"/>
      <c r="AT2885" s="77"/>
      <c r="AU2885" s="77"/>
      <c r="AV2885" s="80" t="str">
        <f>HYPERLINK("https://pbs.twimg.com/profile_images/1588668531910082561/XEi-lXiu_normal.jpg")</f>
        <v>https://pbs.twimg.com/profile_images/1588668531910082561/XEi-lXiu_normal.jpg</v>
      </c>
      <c r="AW2885" s="82" t="s">
        <v>15969</v>
      </c>
      <c r="AX2885" s="82" t="s">
        <v>15969</v>
      </c>
      <c r="AY2885" s="77"/>
      <c r="AZ2885" s="82" t="s">
        <v>17385</v>
      </c>
      <c r="BA2885" s="82" t="s">
        <v>17385</v>
      </c>
      <c r="BB2885" s="82" t="s">
        <v>17385</v>
      </c>
      <c r="BC2885" s="82" t="s">
        <v>15969</v>
      </c>
      <c r="BD2885" s="82" t="s">
        <v>17667</v>
      </c>
      <c r="BE2885" s="77"/>
      <c r="BF2885" s="77"/>
      <c r="BG2885" s="77"/>
      <c r="BH2885" s="77"/>
      <c r="BI2885" s="77"/>
    </row>
    <row r="2886" spans="1:61" x14ac:dyDescent="0.25">
      <c r="A2886" s="62" t="s">
        <v>646</v>
      </c>
      <c r="B2886" s="62" t="s">
        <v>646</v>
      </c>
      <c r="C2886" s="63"/>
      <c r="D2886" s="64"/>
      <c r="E2886" s="65"/>
      <c r="F2886" s="66"/>
      <c r="G2886" s="63"/>
      <c r="H2886" s="67"/>
      <c r="I2886" s="68"/>
      <c r="J2886" s="68"/>
      <c r="K2886" s="32"/>
      <c r="L2886" s="75">
        <v>2886</v>
      </c>
      <c r="M2886" s="75"/>
      <c r="N2886" s="70"/>
      <c r="O2886" s="77" t="s">
        <v>179</v>
      </c>
      <c r="P2886" s="79">
        <v>45063.288854166669</v>
      </c>
      <c r="Q2886" s="77" t="s">
        <v>3663</v>
      </c>
      <c r="R2886" s="77">
        <v>0</v>
      </c>
      <c r="S2886" s="77">
        <v>0</v>
      </c>
      <c r="T2886" s="77">
        <v>0</v>
      </c>
      <c r="U2886" s="77">
        <v>0</v>
      </c>
      <c r="V2886" s="77">
        <v>34</v>
      </c>
      <c r="W2886" s="82" t="s">
        <v>6382</v>
      </c>
      <c r="X2886" s="80" t="str">
        <f>HYPERLINK("https://tinyurl.com/2lemgna8")</f>
        <v>https://tinyurl.com/2lemgna8</v>
      </c>
      <c r="Y2886" s="77" t="s">
        <v>7068</v>
      </c>
      <c r="Z2886" s="77"/>
      <c r="AA2886" s="77"/>
      <c r="AB2886" s="77"/>
      <c r="AC2886" s="82" t="s">
        <v>8275</v>
      </c>
      <c r="AD2886" s="77" t="s">
        <v>8278</v>
      </c>
      <c r="AE2886" s="80" t="str">
        <f>HYPERLINK("https://twitter.com/pauta_economica/status/1658728043458842624")</f>
        <v>https://twitter.com/pauta_economica/status/1658728043458842624</v>
      </c>
      <c r="AF2886" s="79">
        <v>45063.288854166669</v>
      </c>
      <c r="AG2886" s="85">
        <v>45063</v>
      </c>
      <c r="AH2886" s="82" t="s">
        <v>10921</v>
      </c>
      <c r="AI2886" s="77" t="b">
        <v>0</v>
      </c>
      <c r="AJ2886" s="77"/>
      <c r="AK2886" s="77"/>
      <c r="AL2886" s="77"/>
      <c r="AM2886" s="77"/>
      <c r="AN2886" s="77"/>
      <c r="AO2886" s="77"/>
      <c r="AP2886" s="77"/>
      <c r="AQ2886" s="77"/>
      <c r="AR2886" s="77"/>
      <c r="AS2886" s="77"/>
      <c r="AT2886" s="77"/>
      <c r="AU2886" s="77"/>
      <c r="AV2886" s="80" t="str">
        <f>HYPERLINK("https://pbs.twimg.com/profile_images/1588668531910082561/XEi-lXiu_normal.jpg")</f>
        <v>https://pbs.twimg.com/profile_images/1588668531910082561/XEi-lXiu_normal.jpg</v>
      </c>
      <c r="AW2886" s="82" t="s">
        <v>15970</v>
      </c>
      <c r="AX2886" s="82" t="s">
        <v>15970</v>
      </c>
      <c r="AY2886" s="77"/>
      <c r="AZ2886" s="82" t="s">
        <v>17385</v>
      </c>
      <c r="BA2886" s="82" t="s">
        <v>17385</v>
      </c>
      <c r="BB2886" s="82" t="s">
        <v>17385</v>
      </c>
      <c r="BC2886" s="82" t="s">
        <v>15970</v>
      </c>
      <c r="BD2886" s="82" t="s">
        <v>17667</v>
      </c>
      <c r="BE2886" s="77"/>
      <c r="BF2886" s="77"/>
      <c r="BG2886" s="77"/>
      <c r="BH2886" s="77"/>
      <c r="BI2886" s="77"/>
    </row>
    <row r="2887" spans="1:61" x14ac:dyDescent="0.25">
      <c r="A2887" s="62" t="s">
        <v>646</v>
      </c>
      <c r="B2887" s="62" t="s">
        <v>646</v>
      </c>
      <c r="C2887" s="63"/>
      <c r="D2887" s="64"/>
      <c r="E2887" s="65"/>
      <c r="F2887" s="66"/>
      <c r="G2887" s="63"/>
      <c r="H2887" s="67"/>
      <c r="I2887" s="68"/>
      <c r="J2887" s="68"/>
      <c r="K2887" s="32"/>
      <c r="L2887" s="75">
        <v>2887</v>
      </c>
      <c r="M2887" s="75"/>
      <c r="N2887" s="70"/>
      <c r="O2887" s="77" t="s">
        <v>179</v>
      </c>
      <c r="P2887" s="79">
        <v>45063.177442129629</v>
      </c>
      <c r="Q2887" s="77" t="s">
        <v>3664</v>
      </c>
      <c r="R2887" s="77">
        <v>0</v>
      </c>
      <c r="S2887" s="77">
        <v>0</v>
      </c>
      <c r="T2887" s="77">
        <v>0</v>
      </c>
      <c r="U2887" s="77">
        <v>0</v>
      </c>
      <c r="V2887" s="77">
        <v>73</v>
      </c>
      <c r="W2887" s="82" t="s">
        <v>6382</v>
      </c>
      <c r="X2887" s="80" t="str">
        <f>HYPERLINK("https://tinyurl.com/2pnna3bj")</f>
        <v>https://tinyurl.com/2pnna3bj</v>
      </c>
      <c r="Y2887" s="77" t="s">
        <v>7068</v>
      </c>
      <c r="Z2887" s="77"/>
      <c r="AA2887" s="77"/>
      <c r="AB2887" s="77"/>
      <c r="AC2887" s="82" t="s">
        <v>8275</v>
      </c>
      <c r="AD2887" s="77" t="s">
        <v>8278</v>
      </c>
      <c r="AE2887" s="80" t="str">
        <f>HYPERLINK("https://twitter.com/pauta_economica/status/1658687667691745280")</f>
        <v>https://twitter.com/pauta_economica/status/1658687667691745280</v>
      </c>
      <c r="AF2887" s="79">
        <v>45063.177442129629</v>
      </c>
      <c r="AG2887" s="85">
        <v>45063</v>
      </c>
      <c r="AH2887" s="82" t="s">
        <v>10922</v>
      </c>
      <c r="AI2887" s="77" t="b">
        <v>0</v>
      </c>
      <c r="AJ2887" s="77"/>
      <c r="AK2887" s="77"/>
      <c r="AL2887" s="77"/>
      <c r="AM2887" s="77"/>
      <c r="AN2887" s="77"/>
      <c r="AO2887" s="77"/>
      <c r="AP2887" s="77"/>
      <c r="AQ2887" s="77"/>
      <c r="AR2887" s="77"/>
      <c r="AS2887" s="77"/>
      <c r="AT2887" s="77"/>
      <c r="AU2887" s="77"/>
      <c r="AV2887" s="80" t="str">
        <f>HYPERLINK("https://pbs.twimg.com/profile_images/1588668531910082561/XEi-lXiu_normal.jpg")</f>
        <v>https://pbs.twimg.com/profile_images/1588668531910082561/XEi-lXiu_normal.jpg</v>
      </c>
      <c r="AW2887" s="82" t="s">
        <v>15971</v>
      </c>
      <c r="AX2887" s="82" t="s">
        <v>15971</v>
      </c>
      <c r="AY2887" s="77"/>
      <c r="AZ2887" s="82" t="s">
        <v>17385</v>
      </c>
      <c r="BA2887" s="82" t="s">
        <v>17385</v>
      </c>
      <c r="BB2887" s="82" t="s">
        <v>17385</v>
      </c>
      <c r="BC2887" s="82" t="s">
        <v>15971</v>
      </c>
      <c r="BD2887" s="82" t="s">
        <v>17667</v>
      </c>
      <c r="BE2887" s="77"/>
      <c r="BF2887" s="77"/>
      <c r="BG2887" s="77"/>
      <c r="BH2887" s="77"/>
      <c r="BI2887" s="77"/>
    </row>
    <row r="2888" spans="1:61" x14ac:dyDescent="0.25">
      <c r="A2888" s="62" t="s">
        <v>646</v>
      </c>
      <c r="B2888" s="62" t="s">
        <v>646</v>
      </c>
      <c r="C2888" s="63"/>
      <c r="D2888" s="64"/>
      <c r="E2888" s="65"/>
      <c r="F2888" s="66"/>
      <c r="G2888" s="63"/>
      <c r="H2888" s="67"/>
      <c r="I2888" s="68"/>
      <c r="J2888" s="68"/>
      <c r="K2888" s="32"/>
      <c r="L2888" s="75">
        <v>2888</v>
      </c>
      <c r="M2888" s="75"/>
      <c r="N2888" s="70"/>
      <c r="O2888" s="77" t="s">
        <v>179</v>
      </c>
      <c r="P2888" s="79">
        <v>45063.149571759262</v>
      </c>
      <c r="Q2888" s="77" t="s">
        <v>3665</v>
      </c>
      <c r="R2888" s="77">
        <v>0</v>
      </c>
      <c r="S2888" s="77">
        <v>0</v>
      </c>
      <c r="T2888" s="77">
        <v>1</v>
      </c>
      <c r="U2888" s="77">
        <v>0</v>
      </c>
      <c r="V2888" s="77">
        <v>71</v>
      </c>
      <c r="W2888" s="82" t="s">
        <v>6382</v>
      </c>
      <c r="X2888" s="80" t="str">
        <f>HYPERLINK("https://tinyurl.com/2ojgeob6")</f>
        <v>https://tinyurl.com/2ojgeob6</v>
      </c>
      <c r="Y2888" s="77" t="s">
        <v>7068</v>
      </c>
      <c r="Z2888" s="77"/>
      <c r="AA2888" s="77"/>
      <c r="AB2888" s="77"/>
      <c r="AC2888" s="82" t="s">
        <v>8275</v>
      </c>
      <c r="AD2888" s="77" t="s">
        <v>8278</v>
      </c>
      <c r="AE2888" s="80" t="str">
        <f>HYPERLINK("https://twitter.com/pauta_economica/status/1658677567732301824")</f>
        <v>https://twitter.com/pauta_economica/status/1658677567732301824</v>
      </c>
      <c r="AF2888" s="79">
        <v>45063.149571759262</v>
      </c>
      <c r="AG2888" s="85">
        <v>45063</v>
      </c>
      <c r="AH2888" s="82" t="s">
        <v>10923</v>
      </c>
      <c r="AI2888" s="77" t="b">
        <v>0</v>
      </c>
      <c r="AJ2888" s="77"/>
      <c r="AK2888" s="77"/>
      <c r="AL2888" s="77"/>
      <c r="AM2888" s="77"/>
      <c r="AN2888" s="77"/>
      <c r="AO2888" s="77"/>
      <c r="AP2888" s="77"/>
      <c r="AQ2888" s="77"/>
      <c r="AR2888" s="77"/>
      <c r="AS2888" s="77"/>
      <c r="AT2888" s="77"/>
      <c r="AU2888" s="77"/>
      <c r="AV2888" s="80" t="str">
        <f>HYPERLINK("https://pbs.twimg.com/profile_images/1588668531910082561/XEi-lXiu_normal.jpg")</f>
        <v>https://pbs.twimg.com/profile_images/1588668531910082561/XEi-lXiu_normal.jpg</v>
      </c>
      <c r="AW2888" s="82" t="s">
        <v>15972</v>
      </c>
      <c r="AX2888" s="82" t="s">
        <v>15972</v>
      </c>
      <c r="AY2888" s="77"/>
      <c r="AZ2888" s="82" t="s">
        <v>17385</v>
      </c>
      <c r="BA2888" s="82" t="s">
        <v>17385</v>
      </c>
      <c r="BB2888" s="82" t="s">
        <v>17385</v>
      </c>
      <c r="BC2888" s="82" t="s">
        <v>15972</v>
      </c>
      <c r="BD2888" s="82" t="s">
        <v>17667</v>
      </c>
      <c r="BE2888" s="77"/>
      <c r="BF2888" s="77"/>
      <c r="BG2888" s="77"/>
      <c r="BH2888" s="77"/>
      <c r="BI2888" s="77"/>
    </row>
    <row r="2889" spans="1:61" x14ac:dyDescent="0.25">
      <c r="A2889" s="62" t="s">
        <v>646</v>
      </c>
      <c r="B2889" s="62" t="s">
        <v>646</v>
      </c>
      <c r="C2889" s="63"/>
      <c r="D2889" s="64"/>
      <c r="E2889" s="65"/>
      <c r="F2889" s="66"/>
      <c r="G2889" s="63"/>
      <c r="H2889" s="67"/>
      <c r="I2889" s="68"/>
      <c r="J2889" s="68"/>
      <c r="K2889" s="32"/>
      <c r="L2889" s="75">
        <v>2889</v>
      </c>
      <c r="M2889" s="75"/>
      <c r="N2889" s="70"/>
      <c r="O2889" s="77" t="s">
        <v>179</v>
      </c>
      <c r="P2889" s="79">
        <v>45063.121724537035</v>
      </c>
      <c r="Q2889" s="77" t="s">
        <v>3666</v>
      </c>
      <c r="R2889" s="77">
        <v>0</v>
      </c>
      <c r="S2889" s="77">
        <v>0</v>
      </c>
      <c r="T2889" s="77">
        <v>0</v>
      </c>
      <c r="U2889" s="77">
        <v>0</v>
      </c>
      <c r="V2889" s="77">
        <v>30</v>
      </c>
      <c r="W2889" s="82" t="s">
        <v>6382</v>
      </c>
      <c r="X2889" s="80" t="str">
        <f>HYPERLINK("https://tinyurl.com/2zrc9by4")</f>
        <v>https://tinyurl.com/2zrc9by4</v>
      </c>
      <c r="Y2889" s="77" t="s">
        <v>7068</v>
      </c>
      <c r="Z2889" s="77"/>
      <c r="AA2889" s="77"/>
      <c r="AB2889" s="77"/>
      <c r="AC2889" s="82" t="s">
        <v>8275</v>
      </c>
      <c r="AD2889" s="77" t="s">
        <v>8278</v>
      </c>
      <c r="AE2889" s="80" t="str">
        <f>HYPERLINK("https://twitter.com/pauta_economica/status/1658667474227798016")</f>
        <v>https://twitter.com/pauta_economica/status/1658667474227798016</v>
      </c>
      <c r="AF2889" s="79">
        <v>45063.121724537035</v>
      </c>
      <c r="AG2889" s="85">
        <v>45063</v>
      </c>
      <c r="AH2889" s="82" t="s">
        <v>10924</v>
      </c>
      <c r="AI2889" s="77" t="b">
        <v>0</v>
      </c>
      <c r="AJ2889" s="77"/>
      <c r="AK2889" s="77"/>
      <c r="AL2889" s="77"/>
      <c r="AM2889" s="77"/>
      <c r="AN2889" s="77"/>
      <c r="AO2889" s="77"/>
      <c r="AP2889" s="77"/>
      <c r="AQ2889" s="77"/>
      <c r="AR2889" s="77"/>
      <c r="AS2889" s="77"/>
      <c r="AT2889" s="77"/>
      <c r="AU2889" s="77"/>
      <c r="AV2889" s="80" t="str">
        <f>HYPERLINK("https://pbs.twimg.com/profile_images/1588668531910082561/XEi-lXiu_normal.jpg")</f>
        <v>https://pbs.twimg.com/profile_images/1588668531910082561/XEi-lXiu_normal.jpg</v>
      </c>
      <c r="AW2889" s="82" t="s">
        <v>15973</v>
      </c>
      <c r="AX2889" s="82" t="s">
        <v>15973</v>
      </c>
      <c r="AY2889" s="77"/>
      <c r="AZ2889" s="82" t="s">
        <v>17385</v>
      </c>
      <c r="BA2889" s="82" t="s">
        <v>17385</v>
      </c>
      <c r="BB2889" s="82" t="s">
        <v>17385</v>
      </c>
      <c r="BC2889" s="82" t="s">
        <v>15973</v>
      </c>
      <c r="BD2889" s="82" t="s">
        <v>17667</v>
      </c>
      <c r="BE2889" s="77"/>
      <c r="BF2889" s="77"/>
      <c r="BG2889" s="77"/>
      <c r="BH2889" s="77"/>
      <c r="BI2889" s="77"/>
    </row>
    <row r="2890" spans="1:61" x14ac:dyDescent="0.25">
      <c r="A2890" s="62" t="s">
        <v>646</v>
      </c>
      <c r="B2890" s="62" t="s">
        <v>646</v>
      </c>
      <c r="C2890" s="63"/>
      <c r="D2890" s="64"/>
      <c r="E2890" s="65"/>
      <c r="F2890" s="66"/>
      <c r="G2890" s="63"/>
      <c r="H2890" s="67"/>
      <c r="I2890" s="68"/>
      <c r="J2890" s="68"/>
      <c r="K2890" s="32"/>
      <c r="L2890" s="75">
        <v>2890</v>
      </c>
      <c r="M2890" s="75"/>
      <c r="N2890" s="70"/>
      <c r="O2890" s="77" t="s">
        <v>179</v>
      </c>
      <c r="P2890" s="79">
        <v>45063.093946759262</v>
      </c>
      <c r="Q2890" s="77" t="s">
        <v>3667</v>
      </c>
      <c r="R2890" s="77">
        <v>0</v>
      </c>
      <c r="S2890" s="77">
        <v>0</v>
      </c>
      <c r="T2890" s="77">
        <v>0</v>
      </c>
      <c r="U2890" s="77">
        <v>0</v>
      </c>
      <c r="V2890" s="77">
        <v>43</v>
      </c>
      <c r="W2890" s="82" t="s">
        <v>6382</v>
      </c>
      <c r="X2890" s="80" t="str">
        <f>HYPERLINK("https://tinyurl.com/2pbxes5v")</f>
        <v>https://tinyurl.com/2pbxes5v</v>
      </c>
      <c r="Y2890" s="77" t="s">
        <v>7068</v>
      </c>
      <c r="Z2890" s="77"/>
      <c r="AA2890" s="77"/>
      <c r="AB2890" s="77"/>
      <c r="AC2890" s="82" t="s">
        <v>8275</v>
      </c>
      <c r="AD2890" s="77" t="s">
        <v>8278</v>
      </c>
      <c r="AE2890" s="80" t="str">
        <f>HYPERLINK("https://twitter.com/pauta_economica/status/1658657409013800961")</f>
        <v>https://twitter.com/pauta_economica/status/1658657409013800961</v>
      </c>
      <c r="AF2890" s="79">
        <v>45063.093946759262</v>
      </c>
      <c r="AG2890" s="85">
        <v>45063</v>
      </c>
      <c r="AH2890" s="82" t="s">
        <v>10925</v>
      </c>
      <c r="AI2890" s="77" t="b">
        <v>0</v>
      </c>
      <c r="AJ2890" s="77"/>
      <c r="AK2890" s="77"/>
      <c r="AL2890" s="77"/>
      <c r="AM2890" s="77"/>
      <c r="AN2890" s="77"/>
      <c r="AO2890" s="77"/>
      <c r="AP2890" s="77"/>
      <c r="AQ2890" s="77"/>
      <c r="AR2890" s="77"/>
      <c r="AS2890" s="77"/>
      <c r="AT2890" s="77"/>
      <c r="AU2890" s="77"/>
      <c r="AV2890" s="80" t="str">
        <f>HYPERLINK("https://pbs.twimg.com/profile_images/1588668531910082561/XEi-lXiu_normal.jpg")</f>
        <v>https://pbs.twimg.com/profile_images/1588668531910082561/XEi-lXiu_normal.jpg</v>
      </c>
      <c r="AW2890" s="82" t="s">
        <v>15974</v>
      </c>
      <c r="AX2890" s="82" t="s">
        <v>15974</v>
      </c>
      <c r="AY2890" s="77"/>
      <c r="AZ2890" s="82" t="s">
        <v>17385</v>
      </c>
      <c r="BA2890" s="82" t="s">
        <v>17385</v>
      </c>
      <c r="BB2890" s="82" t="s">
        <v>17385</v>
      </c>
      <c r="BC2890" s="82" t="s">
        <v>15974</v>
      </c>
      <c r="BD2890" s="82" t="s">
        <v>17667</v>
      </c>
      <c r="BE2890" s="77"/>
      <c r="BF2890" s="77"/>
      <c r="BG2890" s="77"/>
      <c r="BH2890" s="77"/>
      <c r="BI2890" s="77"/>
    </row>
    <row r="2891" spans="1:61" x14ac:dyDescent="0.25">
      <c r="A2891" s="62" t="s">
        <v>646</v>
      </c>
      <c r="B2891" s="62" t="s">
        <v>646</v>
      </c>
      <c r="C2891" s="63"/>
      <c r="D2891" s="64"/>
      <c r="E2891" s="65"/>
      <c r="F2891" s="66"/>
      <c r="G2891" s="63"/>
      <c r="H2891" s="67"/>
      <c r="I2891" s="68"/>
      <c r="J2891" s="68"/>
      <c r="K2891" s="32"/>
      <c r="L2891" s="75">
        <v>2891</v>
      </c>
      <c r="M2891" s="75"/>
      <c r="N2891" s="70"/>
      <c r="O2891" s="77" t="s">
        <v>179</v>
      </c>
      <c r="P2891" s="79">
        <v>45063.010358796295</v>
      </c>
      <c r="Q2891" s="77" t="s">
        <v>3668</v>
      </c>
      <c r="R2891" s="77">
        <v>0</v>
      </c>
      <c r="S2891" s="77">
        <v>0</v>
      </c>
      <c r="T2891" s="77">
        <v>0</v>
      </c>
      <c r="U2891" s="77">
        <v>0</v>
      </c>
      <c r="V2891" s="77">
        <v>104</v>
      </c>
      <c r="W2891" s="82" t="s">
        <v>6382</v>
      </c>
      <c r="X2891" s="80" t="str">
        <f>HYPERLINK("https://tinyurl.com/2eqbk6ar")</f>
        <v>https://tinyurl.com/2eqbk6ar</v>
      </c>
      <c r="Y2891" s="77" t="s">
        <v>7068</v>
      </c>
      <c r="Z2891" s="77"/>
      <c r="AA2891" s="77"/>
      <c r="AB2891" s="77"/>
      <c r="AC2891" s="82" t="s">
        <v>8275</v>
      </c>
      <c r="AD2891" s="77" t="s">
        <v>8278</v>
      </c>
      <c r="AE2891" s="80" t="str">
        <f>HYPERLINK("https://twitter.com/pauta_economica/status/1658627118262099971")</f>
        <v>https://twitter.com/pauta_economica/status/1658627118262099971</v>
      </c>
      <c r="AF2891" s="79">
        <v>45063.010358796295</v>
      </c>
      <c r="AG2891" s="85">
        <v>45063</v>
      </c>
      <c r="AH2891" s="82" t="s">
        <v>10926</v>
      </c>
      <c r="AI2891" s="77" t="b">
        <v>0</v>
      </c>
      <c r="AJ2891" s="77"/>
      <c r="AK2891" s="77"/>
      <c r="AL2891" s="77"/>
      <c r="AM2891" s="77"/>
      <c r="AN2891" s="77"/>
      <c r="AO2891" s="77"/>
      <c r="AP2891" s="77"/>
      <c r="AQ2891" s="77"/>
      <c r="AR2891" s="77"/>
      <c r="AS2891" s="77"/>
      <c r="AT2891" s="77"/>
      <c r="AU2891" s="77"/>
      <c r="AV2891" s="80" t="str">
        <f>HYPERLINK("https://pbs.twimg.com/profile_images/1588668531910082561/XEi-lXiu_normal.jpg")</f>
        <v>https://pbs.twimg.com/profile_images/1588668531910082561/XEi-lXiu_normal.jpg</v>
      </c>
      <c r="AW2891" s="82" t="s">
        <v>15975</v>
      </c>
      <c r="AX2891" s="82" t="s">
        <v>15975</v>
      </c>
      <c r="AY2891" s="77"/>
      <c r="AZ2891" s="82" t="s">
        <v>17385</v>
      </c>
      <c r="BA2891" s="82" t="s">
        <v>17385</v>
      </c>
      <c r="BB2891" s="82" t="s">
        <v>17385</v>
      </c>
      <c r="BC2891" s="82" t="s">
        <v>15975</v>
      </c>
      <c r="BD2891" s="82" t="s">
        <v>17667</v>
      </c>
      <c r="BE2891" s="77"/>
      <c r="BF2891" s="77"/>
      <c r="BG2891" s="77"/>
      <c r="BH2891" s="77"/>
      <c r="BI2891" s="77"/>
    </row>
    <row r="2892" spans="1:61" x14ac:dyDescent="0.25">
      <c r="A2892" s="62" t="s">
        <v>646</v>
      </c>
      <c r="B2892" s="62" t="s">
        <v>646</v>
      </c>
      <c r="C2892" s="63"/>
      <c r="D2892" s="64"/>
      <c r="E2892" s="65"/>
      <c r="F2892" s="66"/>
      <c r="G2892" s="63"/>
      <c r="H2892" s="67"/>
      <c r="I2892" s="68"/>
      <c r="J2892" s="68"/>
      <c r="K2892" s="32"/>
      <c r="L2892" s="75">
        <v>2892</v>
      </c>
      <c r="M2892" s="75"/>
      <c r="N2892" s="70"/>
      <c r="O2892" s="77" t="s">
        <v>179</v>
      </c>
      <c r="P2892" s="79">
        <v>45062.982071759259</v>
      </c>
      <c r="Q2892" s="77" t="s">
        <v>3669</v>
      </c>
      <c r="R2892" s="77">
        <v>0</v>
      </c>
      <c r="S2892" s="77">
        <v>0</v>
      </c>
      <c r="T2892" s="77">
        <v>0</v>
      </c>
      <c r="U2892" s="77">
        <v>0</v>
      </c>
      <c r="V2892" s="77">
        <v>113</v>
      </c>
      <c r="W2892" s="82" t="s">
        <v>6382</v>
      </c>
      <c r="X2892" s="80" t="str">
        <f>HYPERLINK("https://tinyurl.com/2k3lq525")</f>
        <v>https://tinyurl.com/2k3lq525</v>
      </c>
      <c r="Y2892" s="77" t="s">
        <v>7068</v>
      </c>
      <c r="Z2892" s="77"/>
      <c r="AA2892" s="77"/>
      <c r="AB2892" s="77"/>
      <c r="AC2892" s="82" t="s">
        <v>8275</v>
      </c>
      <c r="AD2892" s="77" t="s">
        <v>8278</v>
      </c>
      <c r="AE2892" s="80" t="str">
        <f>HYPERLINK("https://twitter.com/pauta_economica/status/1658616868897210368")</f>
        <v>https://twitter.com/pauta_economica/status/1658616868897210368</v>
      </c>
      <c r="AF2892" s="79">
        <v>45062.982071759259</v>
      </c>
      <c r="AG2892" s="85">
        <v>45062</v>
      </c>
      <c r="AH2892" s="82" t="s">
        <v>10927</v>
      </c>
      <c r="AI2892" s="77" t="b">
        <v>0</v>
      </c>
      <c r="AJ2892" s="77"/>
      <c r="AK2892" s="77"/>
      <c r="AL2892" s="77"/>
      <c r="AM2892" s="77"/>
      <c r="AN2892" s="77"/>
      <c r="AO2892" s="77"/>
      <c r="AP2892" s="77"/>
      <c r="AQ2892" s="77"/>
      <c r="AR2892" s="77"/>
      <c r="AS2892" s="77"/>
      <c r="AT2892" s="77"/>
      <c r="AU2892" s="77"/>
      <c r="AV2892" s="80" t="str">
        <f>HYPERLINK("https://pbs.twimg.com/profile_images/1588668531910082561/XEi-lXiu_normal.jpg")</f>
        <v>https://pbs.twimg.com/profile_images/1588668531910082561/XEi-lXiu_normal.jpg</v>
      </c>
      <c r="AW2892" s="82" t="s">
        <v>15976</v>
      </c>
      <c r="AX2892" s="82" t="s">
        <v>15976</v>
      </c>
      <c r="AY2892" s="77"/>
      <c r="AZ2892" s="82" t="s">
        <v>17385</v>
      </c>
      <c r="BA2892" s="82" t="s">
        <v>17385</v>
      </c>
      <c r="BB2892" s="82" t="s">
        <v>17385</v>
      </c>
      <c r="BC2892" s="82" t="s">
        <v>15976</v>
      </c>
      <c r="BD2892" s="82" t="s">
        <v>17667</v>
      </c>
      <c r="BE2892" s="77"/>
      <c r="BF2892" s="77"/>
      <c r="BG2892" s="77"/>
      <c r="BH2892" s="77"/>
      <c r="BI2892" s="77"/>
    </row>
    <row r="2893" spans="1:61" x14ac:dyDescent="0.25">
      <c r="A2893" s="62" t="s">
        <v>646</v>
      </c>
      <c r="B2893" s="62" t="s">
        <v>646</v>
      </c>
      <c r="C2893" s="63"/>
      <c r="D2893" s="64"/>
      <c r="E2893" s="65"/>
      <c r="F2893" s="66"/>
      <c r="G2893" s="63"/>
      <c r="H2893" s="67"/>
      <c r="I2893" s="68"/>
      <c r="J2893" s="68"/>
      <c r="K2893" s="32"/>
      <c r="L2893" s="75">
        <v>2893</v>
      </c>
      <c r="M2893" s="75"/>
      <c r="N2893" s="70"/>
      <c r="O2893" s="77" t="s">
        <v>179</v>
      </c>
      <c r="P2893" s="79">
        <v>45062.870659722219</v>
      </c>
      <c r="Q2893" s="77" t="s">
        <v>3670</v>
      </c>
      <c r="R2893" s="77">
        <v>0</v>
      </c>
      <c r="S2893" s="77">
        <v>0</v>
      </c>
      <c r="T2893" s="77">
        <v>0</v>
      </c>
      <c r="U2893" s="77">
        <v>0</v>
      </c>
      <c r="V2893" s="77">
        <v>200</v>
      </c>
      <c r="W2893" s="82" t="s">
        <v>6382</v>
      </c>
      <c r="X2893" s="80" t="str">
        <f>HYPERLINK("https://tinyurl.com/2qoulkxp")</f>
        <v>https://tinyurl.com/2qoulkxp</v>
      </c>
      <c r="Y2893" s="77" t="s">
        <v>7068</v>
      </c>
      <c r="Z2893" s="77"/>
      <c r="AA2893" s="77"/>
      <c r="AB2893" s="77"/>
      <c r="AC2893" s="82" t="s">
        <v>8275</v>
      </c>
      <c r="AD2893" s="77" t="s">
        <v>8278</v>
      </c>
      <c r="AE2893" s="80" t="str">
        <f>HYPERLINK("https://twitter.com/pauta_economica/status/1658576494539558912")</f>
        <v>https://twitter.com/pauta_economica/status/1658576494539558912</v>
      </c>
      <c r="AF2893" s="79">
        <v>45062.870659722219</v>
      </c>
      <c r="AG2893" s="85">
        <v>45062</v>
      </c>
      <c r="AH2893" s="82" t="s">
        <v>10928</v>
      </c>
      <c r="AI2893" s="77" t="b">
        <v>0</v>
      </c>
      <c r="AJ2893" s="77"/>
      <c r="AK2893" s="77"/>
      <c r="AL2893" s="77"/>
      <c r="AM2893" s="77"/>
      <c r="AN2893" s="77"/>
      <c r="AO2893" s="77"/>
      <c r="AP2893" s="77"/>
      <c r="AQ2893" s="77"/>
      <c r="AR2893" s="77"/>
      <c r="AS2893" s="77"/>
      <c r="AT2893" s="77"/>
      <c r="AU2893" s="77"/>
      <c r="AV2893" s="80" t="str">
        <f>HYPERLINK("https://pbs.twimg.com/profile_images/1588668531910082561/XEi-lXiu_normal.jpg")</f>
        <v>https://pbs.twimg.com/profile_images/1588668531910082561/XEi-lXiu_normal.jpg</v>
      </c>
      <c r="AW2893" s="82" t="s">
        <v>15977</v>
      </c>
      <c r="AX2893" s="82" t="s">
        <v>15977</v>
      </c>
      <c r="AY2893" s="77"/>
      <c r="AZ2893" s="82" t="s">
        <v>17385</v>
      </c>
      <c r="BA2893" s="82" t="s">
        <v>17385</v>
      </c>
      <c r="BB2893" s="82" t="s">
        <v>17385</v>
      </c>
      <c r="BC2893" s="82" t="s">
        <v>15977</v>
      </c>
      <c r="BD2893" s="82" t="s">
        <v>17667</v>
      </c>
      <c r="BE2893" s="77"/>
      <c r="BF2893" s="77"/>
      <c r="BG2893" s="77"/>
      <c r="BH2893" s="77"/>
      <c r="BI2893" s="77"/>
    </row>
    <row r="2894" spans="1:61" x14ac:dyDescent="0.25">
      <c r="A2894" s="62" t="s">
        <v>646</v>
      </c>
      <c r="B2894" s="62" t="s">
        <v>646</v>
      </c>
      <c r="C2894" s="63"/>
      <c r="D2894" s="64"/>
      <c r="E2894" s="65"/>
      <c r="F2894" s="66"/>
      <c r="G2894" s="63"/>
      <c r="H2894" s="67"/>
      <c r="I2894" s="68"/>
      <c r="J2894" s="68"/>
      <c r="K2894" s="32"/>
      <c r="L2894" s="75">
        <v>2894</v>
      </c>
      <c r="M2894" s="75"/>
      <c r="N2894" s="70"/>
      <c r="O2894" s="77" t="s">
        <v>179</v>
      </c>
      <c r="P2894" s="79">
        <v>45062.842858796299</v>
      </c>
      <c r="Q2894" s="77" t="s">
        <v>3671</v>
      </c>
      <c r="R2894" s="77">
        <v>0</v>
      </c>
      <c r="S2894" s="77">
        <v>0</v>
      </c>
      <c r="T2894" s="77">
        <v>0</v>
      </c>
      <c r="U2894" s="77">
        <v>0</v>
      </c>
      <c r="V2894" s="77">
        <v>47</v>
      </c>
      <c r="W2894" s="82" t="s">
        <v>6382</v>
      </c>
      <c r="X2894" s="80" t="str">
        <f>HYPERLINK("https://tinyurl.com/2mrmxk9e")</f>
        <v>https://tinyurl.com/2mrmxk9e</v>
      </c>
      <c r="Y2894" s="77" t="s">
        <v>7068</v>
      </c>
      <c r="Z2894" s="77"/>
      <c r="AA2894" s="77"/>
      <c r="AB2894" s="77"/>
      <c r="AC2894" s="82" t="s">
        <v>8275</v>
      </c>
      <c r="AD2894" s="77" t="s">
        <v>8278</v>
      </c>
      <c r="AE2894" s="80" t="str">
        <f>HYPERLINK("https://twitter.com/pauta_economica/status/1658566419540332576")</f>
        <v>https://twitter.com/pauta_economica/status/1658566419540332576</v>
      </c>
      <c r="AF2894" s="79">
        <v>45062.842858796299</v>
      </c>
      <c r="AG2894" s="85">
        <v>45062</v>
      </c>
      <c r="AH2894" s="82" t="s">
        <v>10929</v>
      </c>
      <c r="AI2894" s="77" t="b">
        <v>0</v>
      </c>
      <c r="AJ2894" s="77"/>
      <c r="AK2894" s="77"/>
      <c r="AL2894" s="77"/>
      <c r="AM2894" s="77"/>
      <c r="AN2894" s="77"/>
      <c r="AO2894" s="77"/>
      <c r="AP2894" s="77"/>
      <c r="AQ2894" s="77"/>
      <c r="AR2894" s="77"/>
      <c r="AS2894" s="77"/>
      <c r="AT2894" s="77"/>
      <c r="AU2894" s="77"/>
      <c r="AV2894" s="80" t="str">
        <f>HYPERLINK("https://pbs.twimg.com/profile_images/1588668531910082561/XEi-lXiu_normal.jpg")</f>
        <v>https://pbs.twimg.com/profile_images/1588668531910082561/XEi-lXiu_normal.jpg</v>
      </c>
      <c r="AW2894" s="82" t="s">
        <v>15978</v>
      </c>
      <c r="AX2894" s="82" t="s">
        <v>15978</v>
      </c>
      <c r="AY2894" s="77"/>
      <c r="AZ2894" s="82" t="s">
        <v>17385</v>
      </c>
      <c r="BA2894" s="82" t="s">
        <v>17385</v>
      </c>
      <c r="BB2894" s="82" t="s">
        <v>17385</v>
      </c>
      <c r="BC2894" s="82" t="s">
        <v>15978</v>
      </c>
      <c r="BD2894" s="82" t="s">
        <v>17667</v>
      </c>
      <c r="BE2894" s="77"/>
      <c r="BF2894" s="77"/>
      <c r="BG2894" s="77"/>
      <c r="BH2894" s="77"/>
      <c r="BI2894" s="77"/>
    </row>
    <row r="2895" spans="1:61" x14ac:dyDescent="0.25">
      <c r="A2895" s="62" t="s">
        <v>646</v>
      </c>
      <c r="B2895" s="62" t="s">
        <v>646</v>
      </c>
      <c r="C2895" s="63"/>
      <c r="D2895" s="64"/>
      <c r="E2895" s="65"/>
      <c r="F2895" s="66"/>
      <c r="G2895" s="63"/>
      <c r="H2895" s="67"/>
      <c r="I2895" s="68"/>
      <c r="J2895" s="68"/>
      <c r="K2895" s="32"/>
      <c r="L2895" s="75">
        <v>2895</v>
      </c>
      <c r="M2895" s="75"/>
      <c r="N2895" s="70"/>
      <c r="O2895" s="77" t="s">
        <v>179</v>
      </c>
      <c r="P2895" s="79">
        <v>45197.557280092595</v>
      </c>
      <c r="Q2895" s="77" t="s">
        <v>3672</v>
      </c>
      <c r="R2895" s="77">
        <v>0</v>
      </c>
      <c r="S2895" s="77">
        <v>0</v>
      </c>
      <c r="T2895" s="77">
        <v>0</v>
      </c>
      <c r="U2895" s="77">
        <v>0</v>
      </c>
      <c r="V2895" s="77">
        <v>36</v>
      </c>
      <c r="W2895" s="82" t="s">
        <v>6382</v>
      </c>
      <c r="X2895" s="80" t="str">
        <f>HYPERLINK("https://tinyurl.com/2bt5qgx3")</f>
        <v>https://tinyurl.com/2bt5qgx3</v>
      </c>
      <c r="Y2895" s="77" t="s">
        <v>7068</v>
      </c>
      <c r="Z2895" s="77"/>
      <c r="AA2895" s="77"/>
      <c r="AB2895" s="77"/>
      <c r="AC2895" s="82" t="s">
        <v>8276</v>
      </c>
      <c r="AD2895" s="77" t="s">
        <v>8278</v>
      </c>
      <c r="AE2895" s="80" t="str">
        <f>HYPERLINK("https://twitter.com/pauta_economica/status/1707385290371862732")</f>
        <v>https://twitter.com/pauta_economica/status/1707385290371862732</v>
      </c>
      <c r="AF2895" s="79">
        <v>45197.557280092595</v>
      </c>
      <c r="AG2895" s="85">
        <v>45197</v>
      </c>
      <c r="AH2895" s="82" t="s">
        <v>10930</v>
      </c>
      <c r="AI2895" s="77" t="b">
        <v>0</v>
      </c>
      <c r="AJ2895" s="77"/>
      <c r="AK2895" s="77"/>
      <c r="AL2895" s="77"/>
      <c r="AM2895" s="77"/>
      <c r="AN2895" s="77"/>
      <c r="AO2895" s="77"/>
      <c r="AP2895" s="77"/>
      <c r="AQ2895" s="77"/>
      <c r="AR2895" s="77"/>
      <c r="AS2895" s="77"/>
      <c r="AT2895" s="77"/>
      <c r="AU2895" s="77"/>
      <c r="AV2895" s="80" t="str">
        <f>HYPERLINK("https://pbs.twimg.com/profile_images/1588668531910082561/XEi-lXiu_normal.jpg")</f>
        <v>https://pbs.twimg.com/profile_images/1588668531910082561/XEi-lXiu_normal.jpg</v>
      </c>
      <c r="AW2895" s="82" t="s">
        <v>15979</v>
      </c>
      <c r="AX2895" s="82" t="s">
        <v>15979</v>
      </c>
      <c r="AY2895" s="77"/>
      <c r="AZ2895" s="82" t="s">
        <v>17385</v>
      </c>
      <c r="BA2895" s="82" t="s">
        <v>17385</v>
      </c>
      <c r="BB2895" s="82" t="s">
        <v>17385</v>
      </c>
      <c r="BC2895" s="82" t="s">
        <v>15979</v>
      </c>
      <c r="BD2895" s="82" t="s">
        <v>17667</v>
      </c>
      <c r="BE2895" s="77"/>
      <c r="BF2895" s="77"/>
      <c r="BG2895" s="77"/>
      <c r="BH2895" s="77"/>
      <c r="BI2895" s="77"/>
    </row>
    <row r="2896" spans="1:61" x14ac:dyDescent="0.25">
      <c r="A2896" s="62" t="s">
        <v>646</v>
      </c>
      <c r="B2896" s="62" t="s">
        <v>646</v>
      </c>
      <c r="C2896" s="63"/>
      <c r="D2896" s="64"/>
      <c r="E2896" s="65"/>
      <c r="F2896" s="66"/>
      <c r="G2896" s="63"/>
      <c r="H2896" s="67"/>
      <c r="I2896" s="68"/>
      <c r="J2896" s="68"/>
      <c r="K2896" s="32"/>
      <c r="L2896" s="75">
        <v>2896</v>
      </c>
      <c r="M2896" s="75"/>
      <c r="N2896" s="70"/>
      <c r="O2896" s="77" t="s">
        <v>179</v>
      </c>
      <c r="P2896" s="79">
        <v>45117.134768518517</v>
      </c>
      <c r="Q2896" s="77" t="s">
        <v>3673</v>
      </c>
      <c r="R2896" s="77">
        <v>0</v>
      </c>
      <c r="S2896" s="77">
        <v>0</v>
      </c>
      <c r="T2896" s="77">
        <v>0</v>
      </c>
      <c r="U2896" s="77">
        <v>0</v>
      </c>
      <c r="V2896" s="77">
        <v>103</v>
      </c>
      <c r="W2896" s="82" t="s">
        <v>6382</v>
      </c>
      <c r="X2896" s="80" t="str">
        <f>HYPERLINK("https://tinyurl.com/27lmbk4l")</f>
        <v>https://tinyurl.com/27lmbk4l</v>
      </c>
      <c r="Y2896" s="77" t="s">
        <v>7068</v>
      </c>
      <c r="Z2896" s="77"/>
      <c r="AA2896" s="77"/>
      <c r="AB2896" s="77"/>
      <c r="AC2896" s="82" t="s">
        <v>8276</v>
      </c>
      <c r="AD2896" s="77" t="s">
        <v>8278</v>
      </c>
      <c r="AE2896" s="80" t="str">
        <f>HYPERLINK("https://twitter.com/pauta_economica/status/1678241147867594754")</f>
        <v>https://twitter.com/pauta_economica/status/1678241147867594754</v>
      </c>
      <c r="AF2896" s="79">
        <v>45117.134768518517</v>
      </c>
      <c r="AG2896" s="85">
        <v>45117</v>
      </c>
      <c r="AH2896" s="82" t="s">
        <v>10931</v>
      </c>
      <c r="AI2896" s="77" t="b">
        <v>0</v>
      </c>
      <c r="AJ2896" s="77"/>
      <c r="AK2896" s="77"/>
      <c r="AL2896" s="77"/>
      <c r="AM2896" s="77"/>
      <c r="AN2896" s="77"/>
      <c r="AO2896" s="77"/>
      <c r="AP2896" s="77"/>
      <c r="AQ2896" s="77"/>
      <c r="AR2896" s="77"/>
      <c r="AS2896" s="77"/>
      <c r="AT2896" s="77"/>
      <c r="AU2896" s="77"/>
      <c r="AV2896" s="80" t="str">
        <f>HYPERLINK("https://pbs.twimg.com/profile_images/1588668531910082561/XEi-lXiu_normal.jpg")</f>
        <v>https://pbs.twimg.com/profile_images/1588668531910082561/XEi-lXiu_normal.jpg</v>
      </c>
      <c r="AW2896" s="82" t="s">
        <v>15980</v>
      </c>
      <c r="AX2896" s="82" t="s">
        <v>15980</v>
      </c>
      <c r="AY2896" s="77"/>
      <c r="AZ2896" s="82" t="s">
        <v>17385</v>
      </c>
      <c r="BA2896" s="82" t="s">
        <v>17385</v>
      </c>
      <c r="BB2896" s="82" t="s">
        <v>17385</v>
      </c>
      <c r="BC2896" s="82" t="s">
        <v>15980</v>
      </c>
      <c r="BD2896" s="82" t="s">
        <v>17667</v>
      </c>
      <c r="BE2896" s="77"/>
      <c r="BF2896" s="77"/>
      <c r="BG2896" s="77"/>
      <c r="BH2896" s="77"/>
      <c r="BI2896" s="77"/>
    </row>
    <row r="2897" spans="1:61" x14ac:dyDescent="0.25">
      <c r="A2897" s="62" t="s">
        <v>646</v>
      </c>
      <c r="B2897" s="62" t="s">
        <v>646</v>
      </c>
      <c r="C2897" s="63"/>
      <c r="D2897" s="64"/>
      <c r="E2897" s="65"/>
      <c r="F2897" s="66"/>
      <c r="G2897" s="63"/>
      <c r="H2897" s="67"/>
      <c r="I2897" s="68"/>
      <c r="J2897" s="68"/>
      <c r="K2897" s="32"/>
      <c r="L2897" s="75">
        <v>2897</v>
      </c>
      <c r="M2897" s="75"/>
      <c r="N2897" s="70"/>
      <c r="O2897" s="77" t="s">
        <v>179</v>
      </c>
      <c r="P2897" s="79">
        <v>45086.046284722222</v>
      </c>
      <c r="Q2897" s="77" t="s">
        <v>3674</v>
      </c>
      <c r="R2897" s="77">
        <v>0</v>
      </c>
      <c r="S2897" s="77">
        <v>0</v>
      </c>
      <c r="T2897" s="77">
        <v>0</v>
      </c>
      <c r="U2897" s="77">
        <v>0</v>
      </c>
      <c r="V2897" s="77">
        <v>96</v>
      </c>
      <c r="W2897" s="82" t="s">
        <v>6382</v>
      </c>
      <c r="X2897" s="80" t="str">
        <f>HYPERLINK("https://tinyurl.com/2yfu7hx4")</f>
        <v>https://tinyurl.com/2yfu7hx4</v>
      </c>
      <c r="Y2897" s="77" t="s">
        <v>7068</v>
      </c>
      <c r="Z2897" s="77"/>
      <c r="AA2897" s="77"/>
      <c r="AB2897" s="77"/>
      <c r="AC2897" s="82" t="s">
        <v>8274</v>
      </c>
      <c r="AD2897" s="77" t="s">
        <v>8278</v>
      </c>
      <c r="AE2897" s="80" t="str">
        <f>HYPERLINK("https://twitter.com/pauta_economica/status/1666975060031164418")</f>
        <v>https://twitter.com/pauta_economica/status/1666975060031164418</v>
      </c>
      <c r="AF2897" s="79">
        <v>45086.046284722222</v>
      </c>
      <c r="AG2897" s="85">
        <v>45086</v>
      </c>
      <c r="AH2897" s="82" t="s">
        <v>10932</v>
      </c>
      <c r="AI2897" s="77" t="b">
        <v>0</v>
      </c>
      <c r="AJ2897" s="77"/>
      <c r="AK2897" s="77"/>
      <c r="AL2897" s="77"/>
      <c r="AM2897" s="77"/>
      <c r="AN2897" s="77"/>
      <c r="AO2897" s="77"/>
      <c r="AP2897" s="77"/>
      <c r="AQ2897" s="77"/>
      <c r="AR2897" s="77"/>
      <c r="AS2897" s="77"/>
      <c r="AT2897" s="77"/>
      <c r="AU2897" s="77"/>
      <c r="AV2897" s="80" t="str">
        <f>HYPERLINK("https://pbs.twimg.com/profile_images/1588668531910082561/XEi-lXiu_normal.jpg")</f>
        <v>https://pbs.twimg.com/profile_images/1588668531910082561/XEi-lXiu_normal.jpg</v>
      </c>
      <c r="AW2897" s="82" t="s">
        <v>15981</v>
      </c>
      <c r="AX2897" s="82" t="s">
        <v>15981</v>
      </c>
      <c r="AY2897" s="77"/>
      <c r="AZ2897" s="82" t="s">
        <v>17385</v>
      </c>
      <c r="BA2897" s="82" t="s">
        <v>17385</v>
      </c>
      <c r="BB2897" s="82" t="s">
        <v>17385</v>
      </c>
      <c r="BC2897" s="82" t="s">
        <v>15981</v>
      </c>
      <c r="BD2897" s="82" t="s">
        <v>17667</v>
      </c>
      <c r="BE2897" s="77"/>
      <c r="BF2897" s="77"/>
      <c r="BG2897" s="77"/>
      <c r="BH2897" s="77"/>
      <c r="BI2897" s="77"/>
    </row>
    <row r="2898" spans="1:61" x14ac:dyDescent="0.25">
      <c r="A2898" s="62" t="s">
        <v>646</v>
      </c>
      <c r="B2898" s="62" t="s">
        <v>646</v>
      </c>
      <c r="C2898" s="63"/>
      <c r="D2898" s="64"/>
      <c r="E2898" s="65"/>
      <c r="F2898" s="66"/>
      <c r="G2898" s="63"/>
      <c r="H2898" s="67"/>
      <c r="I2898" s="68"/>
      <c r="J2898" s="68"/>
      <c r="K2898" s="32"/>
      <c r="L2898" s="75">
        <v>2898</v>
      </c>
      <c r="M2898" s="75"/>
      <c r="N2898" s="70"/>
      <c r="O2898" s="77" t="s">
        <v>179</v>
      </c>
      <c r="P2898" s="79">
        <v>45086.018472222226</v>
      </c>
      <c r="Q2898" s="77" t="s">
        <v>3675</v>
      </c>
      <c r="R2898" s="77">
        <v>0</v>
      </c>
      <c r="S2898" s="77">
        <v>2</v>
      </c>
      <c r="T2898" s="77">
        <v>0</v>
      </c>
      <c r="U2898" s="77">
        <v>0</v>
      </c>
      <c r="V2898" s="77">
        <v>117</v>
      </c>
      <c r="W2898" s="82" t="s">
        <v>6382</v>
      </c>
      <c r="X2898" s="80" t="str">
        <f>HYPERLINK("https://tinyurl.com/2cetpzdr")</f>
        <v>https://tinyurl.com/2cetpzdr</v>
      </c>
      <c r="Y2898" s="77" t="s">
        <v>7068</v>
      </c>
      <c r="Z2898" s="77"/>
      <c r="AA2898" s="77"/>
      <c r="AB2898" s="77"/>
      <c r="AC2898" s="82" t="s">
        <v>8274</v>
      </c>
      <c r="AD2898" s="77" t="s">
        <v>8278</v>
      </c>
      <c r="AE2898" s="80" t="str">
        <f>HYPERLINK("https://twitter.com/pauta_economica/status/1666964978455179265")</f>
        <v>https://twitter.com/pauta_economica/status/1666964978455179265</v>
      </c>
      <c r="AF2898" s="79">
        <v>45086.018472222226</v>
      </c>
      <c r="AG2898" s="85">
        <v>45086</v>
      </c>
      <c r="AH2898" s="82" t="s">
        <v>10933</v>
      </c>
      <c r="AI2898" s="77" t="b">
        <v>0</v>
      </c>
      <c r="AJ2898" s="77"/>
      <c r="AK2898" s="77"/>
      <c r="AL2898" s="77"/>
      <c r="AM2898" s="77"/>
      <c r="AN2898" s="77"/>
      <c r="AO2898" s="77"/>
      <c r="AP2898" s="77"/>
      <c r="AQ2898" s="77"/>
      <c r="AR2898" s="77"/>
      <c r="AS2898" s="77"/>
      <c r="AT2898" s="77"/>
      <c r="AU2898" s="77"/>
      <c r="AV2898" s="80" t="str">
        <f>HYPERLINK("https://pbs.twimg.com/profile_images/1588668531910082561/XEi-lXiu_normal.jpg")</f>
        <v>https://pbs.twimg.com/profile_images/1588668531910082561/XEi-lXiu_normal.jpg</v>
      </c>
      <c r="AW2898" s="82" t="s">
        <v>15982</v>
      </c>
      <c r="AX2898" s="82" t="s">
        <v>15982</v>
      </c>
      <c r="AY2898" s="77"/>
      <c r="AZ2898" s="82" t="s">
        <v>17385</v>
      </c>
      <c r="BA2898" s="82" t="s">
        <v>17385</v>
      </c>
      <c r="BB2898" s="82" t="s">
        <v>17385</v>
      </c>
      <c r="BC2898" s="82" t="s">
        <v>15982</v>
      </c>
      <c r="BD2898" s="82" t="s">
        <v>17667</v>
      </c>
      <c r="BE2898" s="77"/>
      <c r="BF2898" s="77"/>
      <c r="BG2898" s="77"/>
      <c r="BH2898" s="77"/>
      <c r="BI2898" s="77"/>
    </row>
    <row r="2899" spans="1:61" x14ac:dyDescent="0.25">
      <c r="A2899" s="62" t="s">
        <v>646</v>
      </c>
      <c r="B2899" s="62" t="s">
        <v>646</v>
      </c>
      <c r="C2899" s="63"/>
      <c r="D2899" s="64"/>
      <c r="E2899" s="65"/>
      <c r="F2899" s="66"/>
      <c r="G2899" s="63"/>
      <c r="H2899" s="67"/>
      <c r="I2899" s="68"/>
      <c r="J2899" s="68"/>
      <c r="K2899" s="32"/>
      <c r="L2899" s="75">
        <v>2899</v>
      </c>
      <c r="M2899" s="75"/>
      <c r="N2899" s="70"/>
      <c r="O2899" s="77" t="s">
        <v>179</v>
      </c>
      <c r="P2899" s="79">
        <v>45085.935069444444</v>
      </c>
      <c r="Q2899" s="77" t="s">
        <v>3676</v>
      </c>
      <c r="R2899" s="77">
        <v>0</v>
      </c>
      <c r="S2899" s="77">
        <v>1</v>
      </c>
      <c r="T2899" s="77">
        <v>0</v>
      </c>
      <c r="U2899" s="77">
        <v>1</v>
      </c>
      <c r="V2899" s="77">
        <v>134</v>
      </c>
      <c r="W2899" s="82" t="s">
        <v>6382</v>
      </c>
      <c r="X2899" s="80" t="str">
        <f>HYPERLINK("https://tinyurl.com/2425enz8")</f>
        <v>https://tinyurl.com/2425enz8</v>
      </c>
      <c r="Y2899" s="77" t="s">
        <v>7068</v>
      </c>
      <c r="Z2899" s="77"/>
      <c r="AA2899" s="77"/>
      <c r="AB2899" s="77"/>
      <c r="AC2899" s="82" t="s">
        <v>8274</v>
      </c>
      <c r="AD2899" s="77" t="s">
        <v>8278</v>
      </c>
      <c r="AE2899" s="80" t="str">
        <f>HYPERLINK("https://twitter.com/pauta_economica/status/1666934755621830659")</f>
        <v>https://twitter.com/pauta_economica/status/1666934755621830659</v>
      </c>
      <c r="AF2899" s="79">
        <v>45085.935069444444</v>
      </c>
      <c r="AG2899" s="85">
        <v>45085</v>
      </c>
      <c r="AH2899" s="82" t="s">
        <v>10934</v>
      </c>
      <c r="AI2899" s="77" t="b">
        <v>0</v>
      </c>
      <c r="AJ2899" s="77"/>
      <c r="AK2899" s="77"/>
      <c r="AL2899" s="77"/>
      <c r="AM2899" s="77"/>
      <c r="AN2899" s="77"/>
      <c r="AO2899" s="77"/>
      <c r="AP2899" s="77"/>
      <c r="AQ2899" s="77"/>
      <c r="AR2899" s="77"/>
      <c r="AS2899" s="77"/>
      <c r="AT2899" s="77"/>
      <c r="AU2899" s="77"/>
      <c r="AV2899" s="80" t="str">
        <f>HYPERLINK("https://pbs.twimg.com/profile_images/1588668531910082561/XEi-lXiu_normal.jpg")</f>
        <v>https://pbs.twimg.com/profile_images/1588668531910082561/XEi-lXiu_normal.jpg</v>
      </c>
      <c r="AW2899" s="82" t="s">
        <v>15983</v>
      </c>
      <c r="AX2899" s="82" t="s">
        <v>15983</v>
      </c>
      <c r="AY2899" s="77"/>
      <c r="AZ2899" s="82" t="s">
        <v>17385</v>
      </c>
      <c r="BA2899" s="82" t="s">
        <v>17385</v>
      </c>
      <c r="BB2899" s="82" t="s">
        <v>17385</v>
      </c>
      <c r="BC2899" s="82" t="s">
        <v>15983</v>
      </c>
      <c r="BD2899" s="82" t="s">
        <v>17667</v>
      </c>
      <c r="BE2899" s="77"/>
      <c r="BF2899" s="77"/>
      <c r="BG2899" s="77"/>
      <c r="BH2899" s="77"/>
      <c r="BI2899" s="77"/>
    </row>
    <row r="2900" spans="1:61" x14ac:dyDescent="0.25">
      <c r="A2900" s="62" t="s">
        <v>646</v>
      </c>
      <c r="B2900" s="62" t="s">
        <v>646</v>
      </c>
      <c r="C2900" s="63"/>
      <c r="D2900" s="64"/>
      <c r="E2900" s="65"/>
      <c r="F2900" s="66"/>
      <c r="G2900" s="63"/>
      <c r="H2900" s="67"/>
      <c r="I2900" s="68"/>
      <c r="J2900" s="68"/>
      <c r="K2900" s="32"/>
      <c r="L2900" s="75">
        <v>2900</v>
      </c>
      <c r="M2900" s="75"/>
      <c r="N2900" s="70"/>
      <c r="O2900" s="77" t="s">
        <v>179</v>
      </c>
      <c r="P2900" s="79">
        <v>45085.907222222224</v>
      </c>
      <c r="Q2900" s="77" t="s">
        <v>3677</v>
      </c>
      <c r="R2900" s="77">
        <v>0</v>
      </c>
      <c r="S2900" s="77">
        <v>0</v>
      </c>
      <c r="T2900" s="77">
        <v>0</v>
      </c>
      <c r="U2900" s="77">
        <v>0</v>
      </c>
      <c r="V2900" s="77">
        <v>30</v>
      </c>
      <c r="W2900" s="82" t="s">
        <v>6382</v>
      </c>
      <c r="X2900" s="80" t="str">
        <f>HYPERLINK("https://tinyurl.com/24lvult2")</f>
        <v>https://tinyurl.com/24lvult2</v>
      </c>
      <c r="Y2900" s="77" t="s">
        <v>7068</v>
      </c>
      <c r="Z2900" s="77"/>
      <c r="AA2900" s="77"/>
      <c r="AB2900" s="77"/>
      <c r="AC2900" s="82" t="s">
        <v>8274</v>
      </c>
      <c r="AD2900" s="77" t="s">
        <v>8278</v>
      </c>
      <c r="AE2900" s="80" t="str">
        <f>HYPERLINK("https://twitter.com/pauta_economica/status/1666924664998821889")</f>
        <v>https://twitter.com/pauta_economica/status/1666924664998821889</v>
      </c>
      <c r="AF2900" s="79">
        <v>45085.907222222224</v>
      </c>
      <c r="AG2900" s="85">
        <v>45085</v>
      </c>
      <c r="AH2900" s="82" t="s">
        <v>10935</v>
      </c>
      <c r="AI2900" s="77" t="b">
        <v>0</v>
      </c>
      <c r="AJ2900" s="77"/>
      <c r="AK2900" s="77"/>
      <c r="AL2900" s="77"/>
      <c r="AM2900" s="77"/>
      <c r="AN2900" s="77"/>
      <c r="AO2900" s="77"/>
      <c r="AP2900" s="77"/>
      <c r="AQ2900" s="77"/>
      <c r="AR2900" s="77"/>
      <c r="AS2900" s="77"/>
      <c r="AT2900" s="77"/>
      <c r="AU2900" s="77"/>
      <c r="AV2900" s="80" t="str">
        <f>HYPERLINK("https://pbs.twimg.com/profile_images/1588668531910082561/XEi-lXiu_normal.jpg")</f>
        <v>https://pbs.twimg.com/profile_images/1588668531910082561/XEi-lXiu_normal.jpg</v>
      </c>
      <c r="AW2900" s="82" t="s">
        <v>15984</v>
      </c>
      <c r="AX2900" s="82" t="s">
        <v>15984</v>
      </c>
      <c r="AY2900" s="77"/>
      <c r="AZ2900" s="82" t="s">
        <v>17385</v>
      </c>
      <c r="BA2900" s="82" t="s">
        <v>17385</v>
      </c>
      <c r="BB2900" s="82" t="s">
        <v>17385</v>
      </c>
      <c r="BC2900" s="82" t="s">
        <v>15984</v>
      </c>
      <c r="BD2900" s="82" t="s">
        <v>17667</v>
      </c>
      <c r="BE2900" s="77"/>
      <c r="BF2900" s="77"/>
      <c r="BG2900" s="77"/>
      <c r="BH2900" s="77"/>
      <c r="BI2900" s="77"/>
    </row>
    <row r="2901" spans="1:61" x14ac:dyDescent="0.25">
      <c r="A2901" s="62" t="s">
        <v>646</v>
      </c>
      <c r="B2901" s="62" t="s">
        <v>646</v>
      </c>
      <c r="C2901" s="63"/>
      <c r="D2901" s="64"/>
      <c r="E2901" s="65"/>
      <c r="F2901" s="66"/>
      <c r="G2901" s="63"/>
      <c r="H2901" s="67"/>
      <c r="I2901" s="68"/>
      <c r="J2901" s="68"/>
      <c r="K2901" s="32"/>
      <c r="L2901" s="75">
        <v>2901</v>
      </c>
      <c r="M2901" s="75"/>
      <c r="N2901" s="70"/>
      <c r="O2901" s="77" t="s">
        <v>179</v>
      </c>
      <c r="P2901" s="79">
        <v>45085.795914351853</v>
      </c>
      <c r="Q2901" s="77" t="s">
        <v>3678</v>
      </c>
      <c r="R2901" s="77">
        <v>0</v>
      </c>
      <c r="S2901" s="77">
        <v>0</v>
      </c>
      <c r="T2901" s="77">
        <v>0</v>
      </c>
      <c r="U2901" s="77">
        <v>0</v>
      </c>
      <c r="V2901" s="77">
        <v>36</v>
      </c>
      <c r="W2901" s="82" t="s">
        <v>6382</v>
      </c>
      <c r="X2901" s="80" t="str">
        <f>HYPERLINK("https://tinyurl.com/28tpqh9o")</f>
        <v>https://tinyurl.com/28tpqh9o</v>
      </c>
      <c r="Y2901" s="77" t="s">
        <v>7068</v>
      </c>
      <c r="Z2901" s="77"/>
      <c r="AA2901" s="77"/>
      <c r="AB2901" s="77"/>
      <c r="AC2901" s="82" t="s">
        <v>8274</v>
      </c>
      <c r="AD2901" s="77" t="s">
        <v>8278</v>
      </c>
      <c r="AE2901" s="80" t="str">
        <f>HYPERLINK("https://twitter.com/pauta_economica/status/1666884326674292736")</f>
        <v>https://twitter.com/pauta_economica/status/1666884326674292736</v>
      </c>
      <c r="AF2901" s="79">
        <v>45085.795914351853</v>
      </c>
      <c r="AG2901" s="85">
        <v>45085</v>
      </c>
      <c r="AH2901" s="82" t="s">
        <v>10936</v>
      </c>
      <c r="AI2901" s="77" t="b">
        <v>0</v>
      </c>
      <c r="AJ2901" s="77"/>
      <c r="AK2901" s="77"/>
      <c r="AL2901" s="77"/>
      <c r="AM2901" s="77"/>
      <c r="AN2901" s="77"/>
      <c r="AO2901" s="77"/>
      <c r="AP2901" s="77"/>
      <c r="AQ2901" s="77"/>
      <c r="AR2901" s="77"/>
      <c r="AS2901" s="77"/>
      <c r="AT2901" s="77"/>
      <c r="AU2901" s="77"/>
      <c r="AV2901" s="80" t="str">
        <f>HYPERLINK("https://pbs.twimg.com/profile_images/1588668531910082561/XEi-lXiu_normal.jpg")</f>
        <v>https://pbs.twimg.com/profile_images/1588668531910082561/XEi-lXiu_normal.jpg</v>
      </c>
      <c r="AW2901" s="82" t="s">
        <v>15985</v>
      </c>
      <c r="AX2901" s="82" t="s">
        <v>15985</v>
      </c>
      <c r="AY2901" s="77"/>
      <c r="AZ2901" s="82" t="s">
        <v>17385</v>
      </c>
      <c r="BA2901" s="82" t="s">
        <v>17385</v>
      </c>
      <c r="BB2901" s="82" t="s">
        <v>17385</v>
      </c>
      <c r="BC2901" s="82" t="s">
        <v>15985</v>
      </c>
      <c r="BD2901" s="82" t="s">
        <v>17667</v>
      </c>
      <c r="BE2901" s="77"/>
      <c r="BF2901" s="77"/>
      <c r="BG2901" s="77"/>
      <c r="BH2901" s="77"/>
      <c r="BI2901" s="77"/>
    </row>
    <row r="2902" spans="1:61" x14ac:dyDescent="0.25">
      <c r="A2902" s="62" t="s">
        <v>646</v>
      </c>
      <c r="B2902" s="62" t="s">
        <v>646</v>
      </c>
      <c r="C2902" s="63"/>
      <c r="D2902" s="64"/>
      <c r="E2902" s="65"/>
      <c r="F2902" s="66"/>
      <c r="G2902" s="63"/>
      <c r="H2902" s="67"/>
      <c r="I2902" s="68"/>
      <c r="J2902" s="68"/>
      <c r="K2902" s="32"/>
      <c r="L2902" s="75">
        <v>2902</v>
      </c>
      <c r="M2902" s="75"/>
      <c r="N2902" s="70"/>
      <c r="O2902" s="77" t="s">
        <v>179</v>
      </c>
      <c r="P2902" s="79">
        <v>45085.768043981479</v>
      </c>
      <c r="Q2902" s="77" t="s">
        <v>3679</v>
      </c>
      <c r="R2902" s="77">
        <v>0</v>
      </c>
      <c r="S2902" s="77">
        <v>0</v>
      </c>
      <c r="T2902" s="77">
        <v>0</v>
      </c>
      <c r="U2902" s="77">
        <v>0</v>
      </c>
      <c r="V2902" s="77">
        <v>54</v>
      </c>
      <c r="W2902" s="82" t="s">
        <v>6382</v>
      </c>
      <c r="X2902" s="80" t="str">
        <f>HYPERLINK("https://tinyurl.com/28ve3quq")</f>
        <v>https://tinyurl.com/28ve3quq</v>
      </c>
      <c r="Y2902" s="77" t="s">
        <v>7068</v>
      </c>
      <c r="Z2902" s="77"/>
      <c r="AA2902" s="77"/>
      <c r="AB2902" s="77"/>
      <c r="AC2902" s="82" t="s">
        <v>8274</v>
      </c>
      <c r="AD2902" s="77" t="s">
        <v>8278</v>
      </c>
      <c r="AE2902" s="80" t="str">
        <f>HYPERLINK("https://twitter.com/pauta_economica/status/1666874226999951387")</f>
        <v>https://twitter.com/pauta_economica/status/1666874226999951387</v>
      </c>
      <c r="AF2902" s="79">
        <v>45085.768043981479</v>
      </c>
      <c r="AG2902" s="85">
        <v>45085</v>
      </c>
      <c r="AH2902" s="82" t="s">
        <v>10937</v>
      </c>
      <c r="AI2902" s="77" t="b">
        <v>0</v>
      </c>
      <c r="AJ2902" s="77"/>
      <c r="AK2902" s="77"/>
      <c r="AL2902" s="77"/>
      <c r="AM2902" s="77"/>
      <c r="AN2902" s="77"/>
      <c r="AO2902" s="77"/>
      <c r="AP2902" s="77"/>
      <c r="AQ2902" s="77"/>
      <c r="AR2902" s="77"/>
      <c r="AS2902" s="77"/>
      <c r="AT2902" s="77"/>
      <c r="AU2902" s="77"/>
      <c r="AV2902" s="80" t="str">
        <f>HYPERLINK("https://pbs.twimg.com/profile_images/1588668531910082561/XEi-lXiu_normal.jpg")</f>
        <v>https://pbs.twimg.com/profile_images/1588668531910082561/XEi-lXiu_normal.jpg</v>
      </c>
      <c r="AW2902" s="82" t="s">
        <v>15986</v>
      </c>
      <c r="AX2902" s="82" t="s">
        <v>15986</v>
      </c>
      <c r="AY2902" s="77"/>
      <c r="AZ2902" s="82" t="s">
        <v>17385</v>
      </c>
      <c r="BA2902" s="82" t="s">
        <v>17385</v>
      </c>
      <c r="BB2902" s="82" t="s">
        <v>17385</v>
      </c>
      <c r="BC2902" s="82" t="s">
        <v>15986</v>
      </c>
      <c r="BD2902" s="82" t="s">
        <v>17667</v>
      </c>
      <c r="BE2902" s="77"/>
      <c r="BF2902" s="77"/>
      <c r="BG2902" s="77"/>
      <c r="BH2902" s="77"/>
      <c r="BI2902" s="77"/>
    </row>
    <row r="2903" spans="1:61" x14ac:dyDescent="0.25">
      <c r="A2903" s="62" t="s">
        <v>646</v>
      </c>
      <c r="B2903" s="62" t="s">
        <v>646</v>
      </c>
      <c r="C2903" s="63"/>
      <c r="D2903" s="64"/>
      <c r="E2903" s="65"/>
      <c r="F2903" s="66"/>
      <c r="G2903" s="63"/>
      <c r="H2903" s="67"/>
      <c r="I2903" s="68"/>
      <c r="J2903" s="68"/>
      <c r="K2903" s="32"/>
      <c r="L2903" s="75">
        <v>2903</v>
      </c>
      <c r="M2903" s="75"/>
      <c r="N2903" s="70"/>
      <c r="O2903" s="77" t="s">
        <v>179</v>
      </c>
      <c r="P2903" s="79">
        <v>45085.656805555554</v>
      </c>
      <c r="Q2903" s="77" t="s">
        <v>3680</v>
      </c>
      <c r="R2903" s="77">
        <v>0</v>
      </c>
      <c r="S2903" s="77">
        <v>0</v>
      </c>
      <c r="T2903" s="77">
        <v>0</v>
      </c>
      <c r="U2903" s="77">
        <v>0</v>
      </c>
      <c r="V2903" s="77">
        <v>40</v>
      </c>
      <c r="W2903" s="82" t="s">
        <v>6382</v>
      </c>
      <c r="X2903" s="80" t="str">
        <f>HYPERLINK("https://tinyurl.com/2czqqpkb")</f>
        <v>https://tinyurl.com/2czqqpkb</v>
      </c>
      <c r="Y2903" s="77" t="s">
        <v>7068</v>
      </c>
      <c r="Z2903" s="77"/>
      <c r="AA2903" s="77"/>
      <c r="AB2903" s="77"/>
      <c r="AC2903" s="82" t="s">
        <v>8274</v>
      </c>
      <c r="AD2903" s="77" t="s">
        <v>8278</v>
      </c>
      <c r="AE2903" s="80" t="str">
        <f>HYPERLINK("https://twitter.com/pauta_economica/status/1666833915770814464")</f>
        <v>https://twitter.com/pauta_economica/status/1666833915770814464</v>
      </c>
      <c r="AF2903" s="79">
        <v>45085.656805555554</v>
      </c>
      <c r="AG2903" s="85">
        <v>45085</v>
      </c>
      <c r="AH2903" s="82" t="s">
        <v>10938</v>
      </c>
      <c r="AI2903" s="77" t="b">
        <v>0</v>
      </c>
      <c r="AJ2903" s="77"/>
      <c r="AK2903" s="77"/>
      <c r="AL2903" s="77"/>
      <c r="AM2903" s="77"/>
      <c r="AN2903" s="77"/>
      <c r="AO2903" s="77"/>
      <c r="AP2903" s="77"/>
      <c r="AQ2903" s="77"/>
      <c r="AR2903" s="77"/>
      <c r="AS2903" s="77"/>
      <c r="AT2903" s="77"/>
      <c r="AU2903" s="77"/>
      <c r="AV2903" s="80" t="str">
        <f>HYPERLINK("https://pbs.twimg.com/profile_images/1588668531910082561/XEi-lXiu_normal.jpg")</f>
        <v>https://pbs.twimg.com/profile_images/1588668531910082561/XEi-lXiu_normal.jpg</v>
      </c>
      <c r="AW2903" s="82" t="s">
        <v>15987</v>
      </c>
      <c r="AX2903" s="82" t="s">
        <v>15987</v>
      </c>
      <c r="AY2903" s="77"/>
      <c r="AZ2903" s="82" t="s">
        <v>17385</v>
      </c>
      <c r="BA2903" s="82" t="s">
        <v>17385</v>
      </c>
      <c r="BB2903" s="82" t="s">
        <v>17385</v>
      </c>
      <c r="BC2903" s="82" t="s">
        <v>15987</v>
      </c>
      <c r="BD2903" s="82" t="s">
        <v>17667</v>
      </c>
      <c r="BE2903" s="77"/>
      <c r="BF2903" s="77"/>
      <c r="BG2903" s="77"/>
      <c r="BH2903" s="77"/>
      <c r="BI2903" s="77"/>
    </row>
    <row r="2904" spans="1:61" x14ac:dyDescent="0.25">
      <c r="A2904" s="62" t="s">
        <v>646</v>
      </c>
      <c r="B2904" s="62" t="s">
        <v>646</v>
      </c>
      <c r="C2904" s="63"/>
      <c r="D2904" s="64"/>
      <c r="E2904" s="65"/>
      <c r="F2904" s="66"/>
      <c r="G2904" s="63"/>
      <c r="H2904" s="67"/>
      <c r="I2904" s="68"/>
      <c r="J2904" s="68"/>
      <c r="K2904" s="32"/>
      <c r="L2904" s="75">
        <v>2904</v>
      </c>
      <c r="M2904" s="75"/>
      <c r="N2904" s="70"/>
      <c r="O2904" s="77" t="s">
        <v>179</v>
      </c>
      <c r="P2904" s="79">
        <v>45085.628958333335</v>
      </c>
      <c r="Q2904" s="77" t="s">
        <v>3681</v>
      </c>
      <c r="R2904" s="77">
        <v>0</v>
      </c>
      <c r="S2904" s="77">
        <v>0</v>
      </c>
      <c r="T2904" s="77">
        <v>0</v>
      </c>
      <c r="U2904" s="77">
        <v>0</v>
      </c>
      <c r="V2904" s="77">
        <v>22</v>
      </c>
      <c r="W2904" s="82" t="s">
        <v>6382</v>
      </c>
      <c r="X2904" s="80" t="str">
        <f>HYPERLINK("https://tinyurl.com/263udmww")</f>
        <v>https://tinyurl.com/263udmww</v>
      </c>
      <c r="Y2904" s="77" t="s">
        <v>7068</v>
      </c>
      <c r="Z2904" s="77"/>
      <c r="AA2904" s="77"/>
      <c r="AB2904" s="77"/>
      <c r="AC2904" s="82" t="s">
        <v>8274</v>
      </c>
      <c r="AD2904" s="77" t="s">
        <v>8278</v>
      </c>
      <c r="AE2904" s="80" t="str">
        <f>HYPERLINK("https://twitter.com/pauta_economica/status/1666823823809806336")</f>
        <v>https://twitter.com/pauta_economica/status/1666823823809806336</v>
      </c>
      <c r="AF2904" s="79">
        <v>45085.628958333335</v>
      </c>
      <c r="AG2904" s="85">
        <v>45085</v>
      </c>
      <c r="AH2904" s="82" t="s">
        <v>10939</v>
      </c>
      <c r="AI2904" s="77" t="b">
        <v>0</v>
      </c>
      <c r="AJ2904" s="77"/>
      <c r="AK2904" s="77"/>
      <c r="AL2904" s="77"/>
      <c r="AM2904" s="77"/>
      <c r="AN2904" s="77"/>
      <c r="AO2904" s="77"/>
      <c r="AP2904" s="77"/>
      <c r="AQ2904" s="77"/>
      <c r="AR2904" s="77"/>
      <c r="AS2904" s="77"/>
      <c r="AT2904" s="77"/>
      <c r="AU2904" s="77"/>
      <c r="AV2904" s="80" t="str">
        <f>HYPERLINK("https://pbs.twimg.com/profile_images/1588668531910082561/XEi-lXiu_normal.jpg")</f>
        <v>https://pbs.twimg.com/profile_images/1588668531910082561/XEi-lXiu_normal.jpg</v>
      </c>
      <c r="AW2904" s="82" t="s">
        <v>15988</v>
      </c>
      <c r="AX2904" s="82" t="s">
        <v>15988</v>
      </c>
      <c r="AY2904" s="77"/>
      <c r="AZ2904" s="82" t="s">
        <v>17385</v>
      </c>
      <c r="BA2904" s="82" t="s">
        <v>17385</v>
      </c>
      <c r="BB2904" s="82" t="s">
        <v>17385</v>
      </c>
      <c r="BC2904" s="82" t="s">
        <v>15988</v>
      </c>
      <c r="BD2904" s="82" t="s">
        <v>17667</v>
      </c>
      <c r="BE2904" s="77"/>
      <c r="BF2904" s="77"/>
      <c r="BG2904" s="77"/>
      <c r="BH2904" s="77"/>
      <c r="BI2904" s="77"/>
    </row>
    <row r="2905" spans="1:61" x14ac:dyDescent="0.25">
      <c r="A2905" s="62" t="s">
        <v>646</v>
      </c>
      <c r="B2905" s="62" t="s">
        <v>646</v>
      </c>
      <c r="C2905" s="63"/>
      <c r="D2905" s="64"/>
      <c r="E2905" s="65"/>
      <c r="F2905" s="66"/>
      <c r="G2905" s="63"/>
      <c r="H2905" s="67"/>
      <c r="I2905" s="68"/>
      <c r="J2905" s="68"/>
      <c r="K2905" s="32"/>
      <c r="L2905" s="75">
        <v>2905</v>
      </c>
      <c r="M2905" s="75"/>
      <c r="N2905" s="70"/>
      <c r="O2905" s="77" t="s">
        <v>179</v>
      </c>
      <c r="P2905" s="79">
        <v>45084.501354166663</v>
      </c>
      <c r="Q2905" s="77" t="s">
        <v>3682</v>
      </c>
      <c r="R2905" s="77">
        <v>0</v>
      </c>
      <c r="S2905" s="77">
        <v>0</v>
      </c>
      <c r="T2905" s="77">
        <v>0</v>
      </c>
      <c r="U2905" s="77">
        <v>0</v>
      </c>
      <c r="V2905" s="77">
        <v>33</v>
      </c>
      <c r="W2905" s="82" t="s">
        <v>6382</v>
      </c>
      <c r="X2905" s="80" t="str">
        <f>HYPERLINK("https://tinyurl.com/2eqv4ukd")</f>
        <v>https://tinyurl.com/2eqv4ukd</v>
      </c>
      <c r="Y2905" s="77" t="s">
        <v>7068</v>
      </c>
      <c r="Z2905" s="77"/>
      <c r="AA2905" s="77"/>
      <c r="AB2905" s="77"/>
      <c r="AC2905" s="82" t="s">
        <v>8274</v>
      </c>
      <c r="AD2905" s="77" t="s">
        <v>8278</v>
      </c>
      <c r="AE2905" s="80" t="str">
        <f>HYPERLINK("https://twitter.com/pauta_economica/status/1666415193537011712")</f>
        <v>https://twitter.com/pauta_economica/status/1666415193537011712</v>
      </c>
      <c r="AF2905" s="79">
        <v>45084.501354166663</v>
      </c>
      <c r="AG2905" s="85">
        <v>45084</v>
      </c>
      <c r="AH2905" s="82" t="s">
        <v>10940</v>
      </c>
      <c r="AI2905" s="77" t="b">
        <v>0</v>
      </c>
      <c r="AJ2905" s="77"/>
      <c r="AK2905" s="77"/>
      <c r="AL2905" s="77"/>
      <c r="AM2905" s="77"/>
      <c r="AN2905" s="77"/>
      <c r="AO2905" s="77"/>
      <c r="AP2905" s="77"/>
      <c r="AQ2905" s="77"/>
      <c r="AR2905" s="77"/>
      <c r="AS2905" s="77"/>
      <c r="AT2905" s="77"/>
      <c r="AU2905" s="77"/>
      <c r="AV2905" s="80" t="str">
        <f>HYPERLINK("https://pbs.twimg.com/profile_images/1588668531910082561/XEi-lXiu_normal.jpg")</f>
        <v>https://pbs.twimg.com/profile_images/1588668531910082561/XEi-lXiu_normal.jpg</v>
      </c>
      <c r="AW2905" s="82" t="s">
        <v>15989</v>
      </c>
      <c r="AX2905" s="82" t="s">
        <v>15989</v>
      </c>
      <c r="AY2905" s="77"/>
      <c r="AZ2905" s="82" t="s">
        <v>17385</v>
      </c>
      <c r="BA2905" s="82" t="s">
        <v>17385</v>
      </c>
      <c r="BB2905" s="82" t="s">
        <v>17385</v>
      </c>
      <c r="BC2905" s="82" t="s">
        <v>15989</v>
      </c>
      <c r="BD2905" s="82" t="s">
        <v>17667</v>
      </c>
      <c r="BE2905" s="77"/>
      <c r="BF2905" s="77"/>
      <c r="BG2905" s="77"/>
      <c r="BH2905" s="77"/>
      <c r="BI2905" s="77"/>
    </row>
    <row r="2906" spans="1:61" x14ac:dyDescent="0.25">
      <c r="A2906" s="62" t="s">
        <v>646</v>
      </c>
      <c r="B2906" s="62" t="s">
        <v>646</v>
      </c>
      <c r="C2906" s="63"/>
      <c r="D2906" s="64"/>
      <c r="E2906" s="65"/>
      <c r="F2906" s="66"/>
      <c r="G2906" s="63"/>
      <c r="H2906" s="67"/>
      <c r="I2906" s="68"/>
      <c r="J2906" s="68"/>
      <c r="K2906" s="32"/>
      <c r="L2906" s="75">
        <v>2906</v>
      </c>
      <c r="M2906" s="75"/>
      <c r="N2906" s="70"/>
      <c r="O2906" s="77" t="s">
        <v>179</v>
      </c>
      <c r="P2906" s="79">
        <v>45084.494386574072</v>
      </c>
      <c r="Q2906" s="77" t="s">
        <v>3683</v>
      </c>
      <c r="R2906" s="77">
        <v>0</v>
      </c>
      <c r="S2906" s="77">
        <v>0</v>
      </c>
      <c r="T2906" s="77">
        <v>0</v>
      </c>
      <c r="U2906" s="77">
        <v>0</v>
      </c>
      <c r="V2906" s="77">
        <v>30</v>
      </c>
      <c r="W2906" s="82" t="s">
        <v>6382</v>
      </c>
      <c r="X2906" s="80" t="str">
        <f>HYPERLINK("https://tinyurl.com/2fvo7x5o")</f>
        <v>https://tinyurl.com/2fvo7x5o</v>
      </c>
      <c r="Y2906" s="77" t="s">
        <v>7068</v>
      </c>
      <c r="Z2906" s="77"/>
      <c r="AA2906" s="77"/>
      <c r="AB2906" s="77"/>
      <c r="AC2906" s="82" t="s">
        <v>8274</v>
      </c>
      <c r="AD2906" s="77" t="s">
        <v>8278</v>
      </c>
      <c r="AE2906" s="80" t="str">
        <f>HYPERLINK("https://twitter.com/pauta_economica/status/1666412668868018178")</f>
        <v>https://twitter.com/pauta_economica/status/1666412668868018178</v>
      </c>
      <c r="AF2906" s="79">
        <v>45084.494386574072</v>
      </c>
      <c r="AG2906" s="85">
        <v>45084</v>
      </c>
      <c r="AH2906" s="82" t="s">
        <v>10941</v>
      </c>
      <c r="AI2906" s="77" t="b">
        <v>0</v>
      </c>
      <c r="AJ2906" s="77"/>
      <c r="AK2906" s="77"/>
      <c r="AL2906" s="77"/>
      <c r="AM2906" s="77"/>
      <c r="AN2906" s="77"/>
      <c r="AO2906" s="77"/>
      <c r="AP2906" s="77"/>
      <c r="AQ2906" s="77"/>
      <c r="AR2906" s="77"/>
      <c r="AS2906" s="77"/>
      <c r="AT2906" s="77"/>
      <c r="AU2906" s="77"/>
      <c r="AV2906" s="80" t="str">
        <f>HYPERLINK("https://pbs.twimg.com/profile_images/1588668531910082561/XEi-lXiu_normal.jpg")</f>
        <v>https://pbs.twimg.com/profile_images/1588668531910082561/XEi-lXiu_normal.jpg</v>
      </c>
      <c r="AW2906" s="82" t="s">
        <v>15990</v>
      </c>
      <c r="AX2906" s="82" t="s">
        <v>15990</v>
      </c>
      <c r="AY2906" s="77"/>
      <c r="AZ2906" s="82" t="s">
        <v>17385</v>
      </c>
      <c r="BA2906" s="82" t="s">
        <v>17385</v>
      </c>
      <c r="BB2906" s="82" t="s">
        <v>17385</v>
      </c>
      <c r="BC2906" s="82" t="s">
        <v>15990</v>
      </c>
      <c r="BD2906" s="82" t="s">
        <v>17667</v>
      </c>
      <c r="BE2906" s="77"/>
      <c r="BF2906" s="77"/>
      <c r="BG2906" s="77"/>
      <c r="BH2906" s="77"/>
      <c r="BI2906" s="77"/>
    </row>
    <row r="2907" spans="1:61" x14ac:dyDescent="0.25">
      <c r="A2907" s="62" t="s">
        <v>646</v>
      </c>
      <c r="B2907" s="62" t="s">
        <v>646</v>
      </c>
      <c r="C2907" s="63"/>
      <c r="D2907" s="64"/>
      <c r="E2907" s="65"/>
      <c r="F2907" s="66"/>
      <c r="G2907" s="63"/>
      <c r="H2907" s="67"/>
      <c r="I2907" s="68"/>
      <c r="J2907" s="68"/>
      <c r="K2907" s="32"/>
      <c r="L2907" s="75">
        <v>2907</v>
      </c>
      <c r="M2907" s="75"/>
      <c r="N2907" s="70"/>
      <c r="O2907" s="77" t="s">
        <v>179</v>
      </c>
      <c r="P2907" s="79">
        <v>45053.576724537037</v>
      </c>
      <c r="Q2907" s="77" t="s">
        <v>3684</v>
      </c>
      <c r="R2907" s="77">
        <v>0</v>
      </c>
      <c r="S2907" s="77">
        <v>0</v>
      </c>
      <c r="T2907" s="77">
        <v>0</v>
      </c>
      <c r="U2907" s="77">
        <v>0</v>
      </c>
      <c r="V2907" s="77">
        <v>62</v>
      </c>
      <c r="W2907" s="82" t="s">
        <v>6382</v>
      </c>
      <c r="X2907" s="80" t="str">
        <f>HYPERLINK("https://tinyurl.com/2o3qglf9")</f>
        <v>https://tinyurl.com/2o3qglf9</v>
      </c>
      <c r="Y2907" s="77" t="s">
        <v>7068</v>
      </c>
      <c r="Z2907" s="77"/>
      <c r="AA2907" s="77"/>
      <c r="AB2907" s="77"/>
      <c r="AC2907" s="82" t="s">
        <v>8275</v>
      </c>
      <c r="AD2907" s="77" t="s">
        <v>8278</v>
      </c>
      <c r="AE2907" s="80" t="str">
        <f>HYPERLINK("https://twitter.com/pauta_economica/status/1655208484088979459")</f>
        <v>https://twitter.com/pauta_economica/status/1655208484088979459</v>
      </c>
      <c r="AF2907" s="79">
        <v>45053.576724537037</v>
      </c>
      <c r="AG2907" s="85">
        <v>45053</v>
      </c>
      <c r="AH2907" s="82" t="s">
        <v>10942</v>
      </c>
      <c r="AI2907" s="77" t="b">
        <v>0</v>
      </c>
      <c r="AJ2907" s="77"/>
      <c r="AK2907" s="77"/>
      <c r="AL2907" s="77"/>
      <c r="AM2907" s="77"/>
      <c r="AN2907" s="77"/>
      <c r="AO2907" s="77"/>
      <c r="AP2907" s="77"/>
      <c r="AQ2907" s="77"/>
      <c r="AR2907" s="77"/>
      <c r="AS2907" s="77"/>
      <c r="AT2907" s="77"/>
      <c r="AU2907" s="77"/>
      <c r="AV2907" s="80" t="str">
        <f>HYPERLINK("https://pbs.twimg.com/profile_images/1588668531910082561/XEi-lXiu_normal.jpg")</f>
        <v>https://pbs.twimg.com/profile_images/1588668531910082561/XEi-lXiu_normal.jpg</v>
      </c>
      <c r="AW2907" s="82" t="s">
        <v>15991</v>
      </c>
      <c r="AX2907" s="82" t="s">
        <v>15991</v>
      </c>
      <c r="AY2907" s="77"/>
      <c r="AZ2907" s="82" t="s">
        <v>17385</v>
      </c>
      <c r="BA2907" s="82" t="s">
        <v>17385</v>
      </c>
      <c r="BB2907" s="82" t="s">
        <v>17385</v>
      </c>
      <c r="BC2907" s="82" t="s">
        <v>15991</v>
      </c>
      <c r="BD2907" s="82" t="s">
        <v>17667</v>
      </c>
      <c r="BE2907" s="77"/>
      <c r="BF2907" s="77"/>
      <c r="BG2907" s="77"/>
      <c r="BH2907" s="77"/>
      <c r="BI2907" s="77"/>
    </row>
    <row r="2908" spans="1:61" x14ac:dyDescent="0.25">
      <c r="A2908" s="62" t="s">
        <v>646</v>
      </c>
      <c r="B2908" s="62" t="s">
        <v>646</v>
      </c>
      <c r="C2908" s="63"/>
      <c r="D2908" s="64"/>
      <c r="E2908" s="65"/>
      <c r="F2908" s="66"/>
      <c r="G2908" s="63"/>
      <c r="H2908" s="67"/>
      <c r="I2908" s="68"/>
      <c r="J2908" s="68"/>
      <c r="K2908" s="32"/>
      <c r="L2908" s="75">
        <v>2908</v>
      </c>
      <c r="M2908" s="75"/>
      <c r="N2908" s="70"/>
      <c r="O2908" s="77" t="s">
        <v>179</v>
      </c>
      <c r="P2908" s="79">
        <v>45053.548854166664</v>
      </c>
      <c r="Q2908" s="77" t="s">
        <v>3685</v>
      </c>
      <c r="R2908" s="77">
        <v>0</v>
      </c>
      <c r="S2908" s="77">
        <v>0</v>
      </c>
      <c r="T2908" s="77">
        <v>0</v>
      </c>
      <c r="U2908" s="77">
        <v>0</v>
      </c>
      <c r="V2908" s="77">
        <v>21</v>
      </c>
      <c r="W2908" s="82" t="s">
        <v>6382</v>
      </c>
      <c r="X2908" s="80" t="str">
        <f>HYPERLINK("https://tinyurl.com/2ogcottc")</f>
        <v>https://tinyurl.com/2ogcottc</v>
      </c>
      <c r="Y2908" s="77" t="s">
        <v>7068</v>
      </c>
      <c r="Z2908" s="77"/>
      <c r="AA2908" s="77"/>
      <c r="AB2908" s="77"/>
      <c r="AC2908" s="82" t="s">
        <v>8275</v>
      </c>
      <c r="AD2908" s="77" t="s">
        <v>8278</v>
      </c>
      <c r="AE2908" s="80" t="str">
        <f>HYPERLINK("https://twitter.com/pauta_economica/status/1655198383919755268")</f>
        <v>https://twitter.com/pauta_economica/status/1655198383919755268</v>
      </c>
      <c r="AF2908" s="79">
        <v>45053.548854166664</v>
      </c>
      <c r="AG2908" s="85">
        <v>45053</v>
      </c>
      <c r="AH2908" s="82" t="s">
        <v>10943</v>
      </c>
      <c r="AI2908" s="77" t="b">
        <v>0</v>
      </c>
      <c r="AJ2908" s="77"/>
      <c r="AK2908" s="77"/>
      <c r="AL2908" s="77"/>
      <c r="AM2908" s="77"/>
      <c r="AN2908" s="77"/>
      <c r="AO2908" s="77"/>
      <c r="AP2908" s="77"/>
      <c r="AQ2908" s="77"/>
      <c r="AR2908" s="77"/>
      <c r="AS2908" s="77"/>
      <c r="AT2908" s="77"/>
      <c r="AU2908" s="77"/>
      <c r="AV2908" s="80" t="str">
        <f>HYPERLINK("https://pbs.twimg.com/profile_images/1588668531910082561/XEi-lXiu_normal.jpg")</f>
        <v>https://pbs.twimg.com/profile_images/1588668531910082561/XEi-lXiu_normal.jpg</v>
      </c>
      <c r="AW2908" s="82" t="s">
        <v>15992</v>
      </c>
      <c r="AX2908" s="82" t="s">
        <v>15992</v>
      </c>
      <c r="AY2908" s="77"/>
      <c r="AZ2908" s="82" t="s">
        <v>17385</v>
      </c>
      <c r="BA2908" s="82" t="s">
        <v>17385</v>
      </c>
      <c r="BB2908" s="82" t="s">
        <v>17385</v>
      </c>
      <c r="BC2908" s="82" t="s">
        <v>15992</v>
      </c>
      <c r="BD2908" s="82" t="s">
        <v>17667</v>
      </c>
      <c r="BE2908" s="77"/>
      <c r="BF2908" s="77"/>
      <c r="BG2908" s="77"/>
      <c r="BH2908" s="77"/>
      <c r="BI2908" s="77"/>
    </row>
    <row r="2909" spans="1:61" x14ac:dyDescent="0.25">
      <c r="A2909" s="62" t="s">
        <v>646</v>
      </c>
      <c r="B2909" s="62" t="s">
        <v>646</v>
      </c>
      <c r="C2909" s="63"/>
      <c r="D2909" s="64"/>
      <c r="E2909" s="65"/>
      <c r="F2909" s="66"/>
      <c r="G2909" s="63"/>
      <c r="H2909" s="67"/>
      <c r="I2909" s="68"/>
      <c r="J2909" s="68"/>
      <c r="K2909" s="32"/>
      <c r="L2909" s="75">
        <v>2909</v>
      </c>
      <c r="M2909" s="75"/>
      <c r="N2909" s="70"/>
      <c r="O2909" s="77" t="s">
        <v>179</v>
      </c>
      <c r="P2909" s="79">
        <v>45053.520752314813</v>
      </c>
      <c r="Q2909" s="77" t="s">
        <v>3686</v>
      </c>
      <c r="R2909" s="77">
        <v>0</v>
      </c>
      <c r="S2909" s="77">
        <v>0</v>
      </c>
      <c r="T2909" s="77">
        <v>0</v>
      </c>
      <c r="U2909" s="77">
        <v>0</v>
      </c>
      <c r="V2909" s="77">
        <v>32</v>
      </c>
      <c r="W2909" s="82" t="s">
        <v>6382</v>
      </c>
      <c r="X2909" s="80" t="str">
        <f>HYPERLINK("https://tinyurl.com/2jhk4djm")</f>
        <v>https://tinyurl.com/2jhk4djm</v>
      </c>
      <c r="Y2909" s="77" t="s">
        <v>7068</v>
      </c>
      <c r="Z2909" s="77"/>
      <c r="AA2909" s="77"/>
      <c r="AB2909" s="77"/>
      <c r="AC2909" s="82" t="s">
        <v>8275</v>
      </c>
      <c r="AD2909" s="77" t="s">
        <v>8278</v>
      </c>
      <c r="AE2909" s="80" t="str">
        <f>HYPERLINK("https://twitter.com/pauta_economica/status/1655188200485208066")</f>
        <v>https://twitter.com/pauta_economica/status/1655188200485208066</v>
      </c>
      <c r="AF2909" s="79">
        <v>45053.520752314813</v>
      </c>
      <c r="AG2909" s="85">
        <v>45053</v>
      </c>
      <c r="AH2909" s="82" t="s">
        <v>10944</v>
      </c>
      <c r="AI2909" s="77" t="b">
        <v>0</v>
      </c>
      <c r="AJ2909" s="77"/>
      <c r="AK2909" s="77"/>
      <c r="AL2909" s="77"/>
      <c r="AM2909" s="77"/>
      <c r="AN2909" s="77"/>
      <c r="AO2909" s="77"/>
      <c r="AP2909" s="77"/>
      <c r="AQ2909" s="77"/>
      <c r="AR2909" s="77"/>
      <c r="AS2909" s="77"/>
      <c r="AT2909" s="77"/>
      <c r="AU2909" s="77"/>
      <c r="AV2909" s="80" t="str">
        <f>HYPERLINK("https://pbs.twimg.com/profile_images/1588668531910082561/XEi-lXiu_normal.jpg")</f>
        <v>https://pbs.twimg.com/profile_images/1588668531910082561/XEi-lXiu_normal.jpg</v>
      </c>
      <c r="AW2909" s="82" t="s">
        <v>15993</v>
      </c>
      <c r="AX2909" s="82" t="s">
        <v>15993</v>
      </c>
      <c r="AY2909" s="77"/>
      <c r="AZ2909" s="82" t="s">
        <v>17385</v>
      </c>
      <c r="BA2909" s="82" t="s">
        <v>17385</v>
      </c>
      <c r="BB2909" s="82" t="s">
        <v>17385</v>
      </c>
      <c r="BC2909" s="82" t="s">
        <v>15993</v>
      </c>
      <c r="BD2909" s="82" t="s">
        <v>17667</v>
      </c>
      <c r="BE2909" s="77"/>
      <c r="BF2909" s="77"/>
      <c r="BG2909" s="77"/>
      <c r="BH2909" s="77"/>
      <c r="BI2909" s="77"/>
    </row>
    <row r="2910" spans="1:61" x14ac:dyDescent="0.25">
      <c r="A2910" s="62" t="s">
        <v>646</v>
      </c>
      <c r="B2910" s="62" t="s">
        <v>646</v>
      </c>
      <c r="C2910" s="63"/>
      <c r="D2910" s="64"/>
      <c r="E2910" s="65"/>
      <c r="F2910" s="66"/>
      <c r="G2910" s="63"/>
      <c r="H2910" s="67"/>
      <c r="I2910" s="68"/>
      <c r="J2910" s="68"/>
      <c r="K2910" s="32"/>
      <c r="L2910" s="75">
        <v>2910</v>
      </c>
      <c r="M2910" s="75"/>
      <c r="N2910" s="70"/>
      <c r="O2910" s="77" t="s">
        <v>179</v>
      </c>
      <c r="P2910" s="79">
        <v>45053.492766203701</v>
      </c>
      <c r="Q2910" s="77" t="s">
        <v>3687</v>
      </c>
      <c r="R2910" s="77">
        <v>0</v>
      </c>
      <c r="S2910" s="77">
        <v>0</v>
      </c>
      <c r="T2910" s="77">
        <v>0</v>
      </c>
      <c r="U2910" s="77">
        <v>0</v>
      </c>
      <c r="V2910" s="77">
        <v>31</v>
      </c>
      <c r="W2910" s="82" t="s">
        <v>6382</v>
      </c>
      <c r="X2910" s="80" t="str">
        <f>HYPERLINK("https://tinyurl.com/2hygqb29")</f>
        <v>https://tinyurl.com/2hygqb29</v>
      </c>
      <c r="Y2910" s="77" t="s">
        <v>7068</v>
      </c>
      <c r="Z2910" s="77"/>
      <c r="AA2910" s="77"/>
      <c r="AB2910" s="77"/>
      <c r="AC2910" s="82" t="s">
        <v>8275</v>
      </c>
      <c r="AD2910" s="77" t="s">
        <v>8278</v>
      </c>
      <c r="AE2910" s="80" t="str">
        <f>HYPERLINK("https://twitter.com/pauta_economica/status/1655178060252020738")</f>
        <v>https://twitter.com/pauta_economica/status/1655178060252020738</v>
      </c>
      <c r="AF2910" s="79">
        <v>45053.492766203701</v>
      </c>
      <c r="AG2910" s="85">
        <v>45053</v>
      </c>
      <c r="AH2910" s="82" t="s">
        <v>10945</v>
      </c>
      <c r="AI2910" s="77" t="b">
        <v>0</v>
      </c>
      <c r="AJ2910" s="77"/>
      <c r="AK2910" s="77"/>
      <c r="AL2910" s="77"/>
      <c r="AM2910" s="77"/>
      <c r="AN2910" s="77"/>
      <c r="AO2910" s="77"/>
      <c r="AP2910" s="77"/>
      <c r="AQ2910" s="77"/>
      <c r="AR2910" s="77"/>
      <c r="AS2910" s="77"/>
      <c r="AT2910" s="77"/>
      <c r="AU2910" s="77"/>
      <c r="AV2910" s="80" t="str">
        <f>HYPERLINK("https://pbs.twimg.com/profile_images/1588668531910082561/XEi-lXiu_normal.jpg")</f>
        <v>https://pbs.twimg.com/profile_images/1588668531910082561/XEi-lXiu_normal.jpg</v>
      </c>
      <c r="AW2910" s="82" t="s">
        <v>15994</v>
      </c>
      <c r="AX2910" s="82" t="s">
        <v>15994</v>
      </c>
      <c r="AY2910" s="77"/>
      <c r="AZ2910" s="82" t="s">
        <v>17385</v>
      </c>
      <c r="BA2910" s="82" t="s">
        <v>17385</v>
      </c>
      <c r="BB2910" s="82" t="s">
        <v>17385</v>
      </c>
      <c r="BC2910" s="82" t="s">
        <v>15994</v>
      </c>
      <c r="BD2910" s="82" t="s">
        <v>17667</v>
      </c>
      <c r="BE2910" s="77"/>
      <c r="BF2910" s="77"/>
      <c r="BG2910" s="77"/>
      <c r="BH2910" s="77"/>
      <c r="BI2910" s="77"/>
    </row>
    <row r="2911" spans="1:61" x14ac:dyDescent="0.25">
      <c r="A2911" s="62" t="s">
        <v>646</v>
      </c>
      <c r="B2911" s="62" t="s">
        <v>646</v>
      </c>
      <c r="C2911" s="63"/>
      <c r="D2911" s="64"/>
      <c r="E2911" s="65"/>
      <c r="F2911" s="66"/>
      <c r="G2911" s="63"/>
      <c r="H2911" s="67"/>
      <c r="I2911" s="68"/>
      <c r="J2911" s="68"/>
      <c r="K2911" s="32"/>
      <c r="L2911" s="75">
        <v>2911</v>
      </c>
      <c r="M2911" s="75"/>
      <c r="N2911" s="70"/>
      <c r="O2911" s="77" t="s">
        <v>179</v>
      </c>
      <c r="P2911" s="79">
        <v>45053.381030092591</v>
      </c>
      <c r="Q2911" s="77" t="s">
        <v>3688</v>
      </c>
      <c r="R2911" s="77">
        <v>0</v>
      </c>
      <c r="S2911" s="77">
        <v>0</v>
      </c>
      <c r="T2911" s="77">
        <v>0</v>
      </c>
      <c r="U2911" s="77">
        <v>0</v>
      </c>
      <c r="V2911" s="77">
        <v>18</v>
      </c>
      <c r="W2911" s="82" t="s">
        <v>6382</v>
      </c>
      <c r="X2911" s="80" t="str">
        <f>HYPERLINK("https://tinyurl.com/2pytu5ss")</f>
        <v>https://tinyurl.com/2pytu5ss</v>
      </c>
      <c r="Y2911" s="77" t="s">
        <v>7068</v>
      </c>
      <c r="Z2911" s="77"/>
      <c r="AA2911" s="77"/>
      <c r="AB2911" s="77"/>
      <c r="AC2911" s="82" t="s">
        <v>8275</v>
      </c>
      <c r="AD2911" s="77" t="s">
        <v>8278</v>
      </c>
      <c r="AE2911" s="80" t="str">
        <f>HYPERLINK("https://twitter.com/pauta_economica/status/1655137565509316608")</f>
        <v>https://twitter.com/pauta_economica/status/1655137565509316608</v>
      </c>
      <c r="AF2911" s="79">
        <v>45053.381030092591</v>
      </c>
      <c r="AG2911" s="85">
        <v>45053</v>
      </c>
      <c r="AH2911" s="82" t="s">
        <v>10946</v>
      </c>
      <c r="AI2911" s="77" t="b">
        <v>0</v>
      </c>
      <c r="AJ2911" s="77"/>
      <c r="AK2911" s="77"/>
      <c r="AL2911" s="77"/>
      <c r="AM2911" s="77"/>
      <c r="AN2911" s="77"/>
      <c r="AO2911" s="77"/>
      <c r="AP2911" s="77"/>
      <c r="AQ2911" s="77"/>
      <c r="AR2911" s="77"/>
      <c r="AS2911" s="77"/>
      <c r="AT2911" s="77"/>
      <c r="AU2911" s="77"/>
      <c r="AV2911" s="80" t="str">
        <f>HYPERLINK("https://pbs.twimg.com/profile_images/1588668531910082561/XEi-lXiu_normal.jpg")</f>
        <v>https://pbs.twimg.com/profile_images/1588668531910082561/XEi-lXiu_normal.jpg</v>
      </c>
      <c r="AW2911" s="82" t="s">
        <v>15995</v>
      </c>
      <c r="AX2911" s="82" t="s">
        <v>15995</v>
      </c>
      <c r="AY2911" s="77"/>
      <c r="AZ2911" s="82" t="s">
        <v>17385</v>
      </c>
      <c r="BA2911" s="82" t="s">
        <v>17385</v>
      </c>
      <c r="BB2911" s="82" t="s">
        <v>17385</v>
      </c>
      <c r="BC2911" s="82" t="s">
        <v>15995</v>
      </c>
      <c r="BD2911" s="82" t="s">
        <v>17667</v>
      </c>
      <c r="BE2911" s="77"/>
      <c r="BF2911" s="77"/>
      <c r="BG2911" s="77"/>
      <c r="BH2911" s="77"/>
      <c r="BI2911" s="77"/>
    </row>
    <row r="2912" spans="1:61" x14ac:dyDescent="0.25">
      <c r="A2912" s="62" t="s">
        <v>646</v>
      </c>
      <c r="B2912" s="62" t="s">
        <v>646</v>
      </c>
      <c r="C2912" s="63"/>
      <c r="D2912" s="64"/>
      <c r="E2912" s="65"/>
      <c r="F2912" s="66"/>
      <c r="G2912" s="63"/>
      <c r="H2912" s="67"/>
      <c r="I2912" s="68"/>
      <c r="J2912" s="68"/>
      <c r="K2912" s="32"/>
      <c r="L2912" s="75">
        <v>2912</v>
      </c>
      <c r="M2912" s="75"/>
      <c r="N2912" s="70"/>
      <c r="O2912" s="77" t="s">
        <v>179</v>
      </c>
      <c r="P2912" s="79">
        <v>45053.353171296294</v>
      </c>
      <c r="Q2912" s="77" t="s">
        <v>3689</v>
      </c>
      <c r="R2912" s="77">
        <v>0</v>
      </c>
      <c r="S2912" s="77">
        <v>0</v>
      </c>
      <c r="T2912" s="77">
        <v>0</v>
      </c>
      <c r="U2912" s="77">
        <v>0</v>
      </c>
      <c r="V2912" s="77">
        <v>84</v>
      </c>
      <c r="W2912" s="82" t="s">
        <v>6382</v>
      </c>
      <c r="X2912" s="80" t="str">
        <f>HYPERLINK("https://tinyurl.com/2r3egdtc")</f>
        <v>https://tinyurl.com/2r3egdtc</v>
      </c>
      <c r="Y2912" s="77" t="s">
        <v>7068</v>
      </c>
      <c r="Z2912" s="77"/>
      <c r="AA2912" s="77"/>
      <c r="AB2912" s="77"/>
      <c r="AC2912" s="82" t="s">
        <v>8275</v>
      </c>
      <c r="AD2912" s="77" t="s">
        <v>8278</v>
      </c>
      <c r="AE2912" s="80" t="str">
        <f>HYPERLINK("https://twitter.com/pauta_economica/status/1655127469479936002")</f>
        <v>https://twitter.com/pauta_economica/status/1655127469479936002</v>
      </c>
      <c r="AF2912" s="79">
        <v>45053.353171296294</v>
      </c>
      <c r="AG2912" s="85">
        <v>45053</v>
      </c>
      <c r="AH2912" s="82" t="s">
        <v>10947</v>
      </c>
      <c r="AI2912" s="77" t="b">
        <v>0</v>
      </c>
      <c r="AJ2912" s="77"/>
      <c r="AK2912" s="77"/>
      <c r="AL2912" s="77"/>
      <c r="AM2912" s="77"/>
      <c r="AN2912" s="77"/>
      <c r="AO2912" s="77"/>
      <c r="AP2912" s="77"/>
      <c r="AQ2912" s="77"/>
      <c r="AR2912" s="77"/>
      <c r="AS2912" s="77"/>
      <c r="AT2912" s="77"/>
      <c r="AU2912" s="77"/>
      <c r="AV2912" s="80" t="str">
        <f>HYPERLINK("https://pbs.twimg.com/profile_images/1588668531910082561/XEi-lXiu_normal.jpg")</f>
        <v>https://pbs.twimg.com/profile_images/1588668531910082561/XEi-lXiu_normal.jpg</v>
      </c>
      <c r="AW2912" s="82" t="s">
        <v>15996</v>
      </c>
      <c r="AX2912" s="82" t="s">
        <v>15996</v>
      </c>
      <c r="AY2912" s="77"/>
      <c r="AZ2912" s="82" t="s">
        <v>17385</v>
      </c>
      <c r="BA2912" s="82" t="s">
        <v>17385</v>
      </c>
      <c r="BB2912" s="82" t="s">
        <v>17385</v>
      </c>
      <c r="BC2912" s="82" t="s">
        <v>15996</v>
      </c>
      <c r="BD2912" s="82" t="s">
        <v>17667</v>
      </c>
      <c r="BE2912" s="77"/>
      <c r="BF2912" s="77"/>
      <c r="BG2912" s="77"/>
      <c r="BH2912" s="77"/>
      <c r="BI2912" s="77"/>
    </row>
    <row r="2913" spans="1:61" x14ac:dyDescent="0.25">
      <c r="A2913" s="62" t="s">
        <v>646</v>
      </c>
      <c r="B2913" s="62" t="s">
        <v>646</v>
      </c>
      <c r="C2913" s="63"/>
      <c r="D2913" s="64"/>
      <c r="E2913" s="65"/>
      <c r="F2913" s="66"/>
      <c r="G2913" s="63"/>
      <c r="H2913" s="67"/>
      <c r="I2913" s="68"/>
      <c r="J2913" s="68"/>
      <c r="K2913" s="32"/>
      <c r="L2913" s="75">
        <v>2913</v>
      </c>
      <c r="M2913" s="75"/>
      <c r="N2913" s="70"/>
      <c r="O2913" s="77" t="s">
        <v>179</v>
      </c>
      <c r="P2913" s="79">
        <v>45053.297337962962</v>
      </c>
      <c r="Q2913" s="77" t="s">
        <v>3690</v>
      </c>
      <c r="R2913" s="77">
        <v>0</v>
      </c>
      <c r="S2913" s="77">
        <v>0</v>
      </c>
      <c r="T2913" s="77">
        <v>0</v>
      </c>
      <c r="U2913" s="77">
        <v>0</v>
      </c>
      <c r="V2913" s="77">
        <v>44</v>
      </c>
      <c r="W2913" s="82" t="s">
        <v>6382</v>
      </c>
      <c r="X2913" s="80" t="str">
        <f>HYPERLINK("https://tinyurl.com/2zebrmly")</f>
        <v>https://tinyurl.com/2zebrmly</v>
      </c>
      <c r="Y2913" s="77" t="s">
        <v>7068</v>
      </c>
      <c r="Z2913" s="77"/>
      <c r="AA2913" s="77"/>
      <c r="AB2913" s="77"/>
      <c r="AC2913" s="82" t="s">
        <v>8275</v>
      </c>
      <c r="AD2913" s="77" t="s">
        <v>8278</v>
      </c>
      <c r="AE2913" s="80" t="str">
        <f>HYPERLINK("https://twitter.com/pauta_economica/status/1655107237336031232")</f>
        <v>https://twitter.com/pauta_economica/status/1655107237336031232</v>
      </c>
      <c r="AF2913" s="79">
        <v>45053.297337962962</v>
      </c>
      <c r="AG2913" s="85">
        <v>45053</v>
      </c>
      <c r="AH2913" s="82" t="s">
        <v>10948</v>
      </c>
      <c r="AI2913" s="77" t="b">
        <v>0</v>
      </c>
      <c r="AJ2913" s="77"/>
      <c r="AK2913" s="77"/>
      <c r="AL2913" s="77"/>
      <c r="AM2913" s="77"/>
      <c r="AN2913" s="77"/>
      <c r="AO2913" s="77"/>
      <c r="AP2913" s="77"/>
      <c r="AQ2913" s="77"/>
      <c r="AR2913" s="77"/>
      <c r="AS2913" s="77"/>
      <c r="AT2913" s="77"/>
      <c r="AU2913" s="77"/>
      <c r="AV2913" s="80" t="str">
        <f>HYPERLINK("https://pbs.twimg.com/profile_images/1588668531910082561/XEi-lXiu_normal.jpg")</f>
        <v>https://pbs.twimg.com/profile_images/1588668531910082561/XEi-lXiu_normal.jpg</v>
      </c>
      <c r="AW2913" s="82" t="s">
        <v>15997</v>
      </c>
      <c r="AX2913" s="82" t="s">
        <v>15997</v>
      </c>
      <c r="AY2913" s="77"/>
      <c r="AZ2913" s="82" t="s">
        <v>17385</v>
      </c>
      <c r="BA2913" s="82" t="s">
        <v>17385</v>
      </c>
      <c r="BB2913" s="82" t="s">
        <v>17385</v>
      </c>
      <c r="BC2913" s="82" t="s">
        <v>15997</v>
      </c>
      <c r="BD2913" s="82" t="s">
        <v>17667</v>
      </c>
      <c r="BE2913" s="77"/>
      <c r="BF2913" s="77"/>
      <c r="BG2913" s="77"/>
      <c r="BH2913" s="77"/>
      <c r="BI2913" s="77"/>
    </row>
    <row r="2914" spans="1:61" x14ac:dyDescent="0.25">
      <c r="A2914" s="62" t="s">
        <v>646</v>
      </c>
      <c r="B2914" s="62" t="s">
        <v>646</v>
      </c>
      <c r="C2914" s="63"/>
      <c r="D2914" s="64"/>
      <c r="E2914" s="65"/>
      <c r="F2914" s="66"/>
      <c r="G2914" s="63"/>
      <c r="H2914" s="67"/>
      <c r="I2914" s="68"/>
      <c r="J2914" s="68"/>
      <c r="K2914" s="32"/>
      <c r="L2914" s="75">
        <v>2914</v>
      </c>
      <c r="M2914" s="75"/>
      <c r="N2914" s="70"/>
      <c r="O2914" s="77" t="s">
        <v>179</v>
      </c>
      <c r="P2914" s="79">
        <v>45053.269502314812</v>
      </c>
      <c r="Q2914" s="77" t="s">
        <v>3691</v>
      </c>
      <c r="R2914" s="77">
        <v>0</v>
      </c>
      <c r="S2914" s="77">
        <v>1</v>
      </c>
      <c r="T2914" s="77">
        <v>4</v>
      </c>
      <c r="U2914" s="77">
        <v>0</v>
      </c>
      <c r="V2914" s="77">
        <v>27</v>
      </c>
      <c r="W2914" s="82" t="s">
        <v>6382</v>
      </c>
      <c r="X2914" s="80" t="str">
        <f>HYPERLINK("https://tinyurl.com/2hs9y5e8")</f>
        <v>https://tinyurl.com/2hs9y5e8</v>
      </c>
      <c r="Y2914" s="77" t="s">
        <v>7068</v>
      </c>
      <c r="Z2914" s="77"/>
      <c r="AA2914" s="77"/>
      <c r="AB2914" s="77"/>
      <c r="AC2914" s="82" t="s">
        <v>8275</v>
      </c>
      <c r="AD2914" s="77" t="s">
        <v>8278</v>
      </c>
      <c r="AE2914" s="80" t="str">
        <f>HYPERLINK("https://twitter.com/pauta_economica/status/1655097148248141825")</f>
        <v>https://twitter.com/pauta_economica/status/1655097148248141825</v>
      </c>
      <c r="AF2914" s="79">
        <v>45053.269502314812</v>
      </c>
      <c r="AG2914" s="85">
        <v>45053</v>
      </c>
      <c r="AH2914" s="82" t="s">
        <v>10949</v>
      </c>
      <c r="AI2914" s="77" t="b">
        <v>0</v>
      </c>
      <c r="AJ2914" s="77"/>
      <c r="AK2914" s="77"/>
      <c r="AL2914" s="77"/>
      <c r="AM2914" s="77"/>
      <c r="AN2914" s="77"/>
      <c r="AO2914" s="77"/>
      <c r="AP2914" s="77"/>
      <c r="AQ2914" s="77"/>
      <c r="AR2914" s="77"/>
      <c r="AS2914" s="77"/>
      <c r="AT2914" s="77"/>
      <c r="AU2914" s="77"/>
      <c r="AV2914" s="80" t="str">
        <f>HYPERLINK("https://pbs.twimg.com/profile_images/1588668531910082561/XEi-lXiu_normal.jpg")</f>
        <v>https://pbs.twimg.com/profile_images/1588668531910082561/XEi-lXiu_normal.jpg</v>
      </c>
      <c r="AW2914" s="82" t="s">
        <v>15998</v>
      </c>
      <c r="AX2914" s="82" t="s">
        <v>15998</v>
      </c>
      <c r="AY2914" s="77"/>
      <c r="AZ2914" s="82" t="s">
        <v>17385</v>
      </c>
      <c r="BA2914" s="82" t="s">
        <v>17385</v>
      </c>
      <c r="BB2914" s="82" t="s">
        <v>17385</v>
      </c>
      <c r="BC2914" s="82" t="s">
        <v>15998</v>
      </c>
      <c r="BD2914" s="82" t="s">
        <v>17667</v>
      </c>
      <c r="BE2914" s="77"/>
      <c r="BF2914" s="77"/>
      <c r="BG2914" s="77"/>
      <c r="BH2914" s="77"/>
      <c r="BI2914" s="77"/>
    </row>
    <row r="2915" spans="1:61" x14ac:dyDescent="0.25">
      <c r="A2915" s="62" t="s">
        <v>646</v>
      </c>
      <c r="B2915" s="62" t="s">
        <v>646</v>
      </c>
      <c r="C2915" s="63"/>
      <c r="D2915" s="64"/>
      <c r="E2915" s="65"/>
      <c r="F2915" s="66"/>
      <c r="G2915" s="63"/>
      <c r="H2915" s="67"/>
      <c r="I2915" s="68"/>
      <c r="J2915" s="68"/>
      <c r="K2915" s="32"/>
      <c r="L2915" s="75">
        <v>2915</v>
      </c>
      <c r="M2915" s="75"/>
      <c r="N2915" s="70"/>
      <c r="O2915" s="77" t="s">
        <v>179</v>
      </c>
      <c r="P2915" s="79">
        <v>45053.241562499999</v>
      </c>
      <c r="Q2915" s="77" t="s">
        <v>3692</v>
      </c>
      <c r="R2915" s="77">
        <v>0</v>
      </c>
      <c r="S2915" s="77">
        <v>1</v>
      </c>
      <c r="T2915" s="77">
        <v>0</v>
      </c>
      <c r="U2915" s="77">
        <v>0</v>
      </c>
      <c r="V2915" s="77">
        <v>31</v>
      </c>
      <c r="W2915" s="82" t="s">
        <v>6382</v>
      </c>
      <c r="X2915" s="80" t="str">
        <f>HYPERLINK("https://tinyurl.com/2n9kexxg")</f>
        <v>https://tinyurl.com/2n9kexxg</v>
      </c>
      <c r="Y2915" s="77" t="s">
        <v>7068</v>
      </c>
      <c r="Z2915" s="77"/>
      <c r="AA2915" s="77"/>
      <c r="AB2915" s="77"/>
      <c r="AC2915" s="82" t="s">
        <v>8275</v>
      </c>
      <c r="AD2915" s="77" t="s">
        <v>8278</v>
      </c>
      <c r="AE2915" s="80" t="str">
        <f>HYPERLINK("https://twitter.com/pauta_economica/status/1655087023290458112")</f>
        <v>https://twitter.com/pauta_economica/status/1655087023290458112</v>
      </c>
      <c r="AF2915" s="79">
        <v>45053.241562499999</v>
      </c>
      <c r="AG2915" s="85">
        <v>45053</v>
      </c>
      <c r="AH2915" s="82" t="s">
        <v>10950</v>
      </c>
      <c r="AI2915" s="77" t="b">
        <v>0</v>
      </c>
      <c r="AJ2915" s="77"/>
      <c r="AK2915" s="77"/>
      <c r="AL2915" s="77"/>
      <c r="AM2915" s="77"/>
      <c r="AN2915" s="77"/>
      <c r="AO2915" s="77"/>
      <c r="AP2915" s="77"/>
      <c r="AQ2915" s="77"/>
      <c r="AR2915" s="77"/>
      <c r="AS2915" s="77"/>
      <c r="AT2915" s="77"/>
      <c r="AU2915" s="77"/>
      <c r="AV2915" s="80" t="str">
        <f>HYPERLINK("https://pbs.twimg.com/profile_images/1588668531910082561/XEi-lXiu_normal.jpg")</f>
        <v>https://pbs.twimg.com/profile_images/1588668531910082561/XEi-lXiu_normal.jpg</v>
      </c>
      <c r="AW2915" s="82" t="s">
        <v>15999</v>
      </c>
      <c r="AX2915" s="82" t="s">
        <v>15999</v>
      </c>
      <c r="AY2915" s="77"/>
      <c r="AZ2915" s="82" t="s">
        <v>17385</v>
      </c>
      <c r="BA2915" s="82" t="s">
        <v>17385</v>
      </c>
      <c r="BB2915" s="82" t="s">
        <v>17385</v>
      </c>
      <c r="BC2915" s="82" t="s">
        <v>15999</v>
      </c>
      <c r="BD2915" s="82" t="s">
        <v>17667</v>
      </c>
      <c r="BE2915" s="77"/>
      <c r="BF2915" s="77"/>
      <c r="BG2915" s="77"/>
      <c r="BH2915" s="77"/>
      <c r="BI2915" s="77"/>
    </row>
    <row r="2916" spans="1:61" x14ac:dyDescent="0.25">
      <c r="A2916" s="62" t="s">
        <v>646</v>
      </c>
      <c r="B2916" s="62" t="s">
        <v>646</v>
      </c>
      <c r="C2916" s="63"/>
      <c r="D2916" s="64"/>
      <c r="E2916" s="65"/>
      <c r="F2916" s="66"/>
      <c r="G2916" s="63"/>
      <c r="H2916" s="67"/>
      <c r="I2916" s="68"/>
      <c r="J2916" s="68"/>
      <c r="K2916" s="32"/>
      <c r="L2916" s="75">
        <v>2916</v>
      </c>
      <c r="M2916" s="75"/>
      <c r="N2916" s="70"/>
      <c r="O2916" s="77" t="s">
        <v>179</v>
      </c>
      <c r="P2916" s="79">
        <v>45053.158078703702</v>
      </c>
      <c r="Q2916" s="77" t="s">
        <v>3693</v>
      </c>
      <c r="R2916" s="77">
        <v>0</v>
      </c>
      <c r="S2916" s="77">
        <v>0</v>
      </c>
      <c r="T2916" s="77">
        <v>0</v>
      </c>
      <c r="U2916" s="77">
        <v>0</v>
      </c>
      <c r="V2916" s="77">
        <v>197</v>
      </c>
      <c r="W2916" s="82" t="s">
        <v>6382</v>
      </c>
      <c r="X2916" s="80" t="str">
        <f>HYPERLINK("https://tinyurl.com/2g5hpakl")</f>
        <v>https://tinyurl.com/2g5hpakl</v>
      </c>
      <c r="Y2916" s="77" t="s">
        <v>7068</v>
      </c>
      <c r="Z2916" s="77"/>
      <c r="AA2916" s="77"/>
      <c r="AB2916" s="77"/>
      <c r="AC2916" s="82" t="s">
        <v>8275</v>
      </c>
      <c r="AD2916" s="77" t="s">
        <v>8278</v>
      </c>
      <c r="AE2916" s="80" t="str">
        <f>HYPERLINK("https://twitter.com/pauta_economica/status/1655056771814154241")</f>
        <v>https://twitter.com/pauta_economica/status/1655056771814154241</v>
      </c>
      <c r="AF2916" s="79">
        <v>45053.158078703702</v>
      </c>
      <c r="AG2916" s="85">
        <v>45053</v>
      </c>
      <c r="AH2916" s="82" t="s">
        <v>10951</v>
      </c>
      <c r="AI2916" s="77" t="b">
        <v>0</v>
      </c>
      <c r="AJ2916" s="77"/>
      <c r="AK2916" s="77"/>
      <c r="AL2916" s="77"/>
      <c r="AM2916" s="77"/>
      <c r="AN2916" s="77"/>
      <c r="AO2916" s="77"/>
      <c r="AP2916" s="77"/>
      <c r="AQ2916" s="77"/>
      <c r="AR2916" s="77"/>
      <c r="AS2916" s="77"/>
      <c r="AT2916" s="77"/>
      <c r="AU2916" s="77"/>
      <c r="AV2916" s="80" t="str">
        <f>HYPERLINK("https://pbs.twimg.com/profile_images/1588668531910082561/XEi-lXiu_normal.jpg")</f>
        <v>https://pbs.twimg.com/profile_images/1588668531910082561/XEi-lXiu_normal.jpg</v>
      </c>
      <c r="AW2916" s="82" t="s">
        <v>16000</v>
      </c>
      <c r="AX2916" s="82" t="s">
        <v>16000</v>
      </c>
      <c r="AY2916" s="77"/>
      <c r="AZ2916" s="82" t="s">
        <v>17385</v>
      </c>
      <c r="BA2916" s="82" t="s">
        <v>17385</v>
      </c>
      <c r="BB2916" s="82" t="s">
        <v>17385</v>
      </c>
      <c r="BC2916" s="82" t="s">
        <v>16000</v>
      </c>
      <c r="BD2916" s="82" t="s">
        <v>17667</v>
      </c>
      <c r="BE2916" s="77"/>
      <c r="BF2916" s="77"/>
      <c r="BG2916" s="77"/>
      <c r="BH2916" s="77"/>
      <c r="BI2916" s="77"/>
    </row>
    <row r="2917" spans="1:61" x14ac:dyDescent="0.25">
      <c r="A2917" s="62" t="s">
        <v>646</v>
      </c>
      <c r="B2917" s="62" t="s">
        <v>646</v>
      </c>
      <c r="C2917" s="63"/>
      <c r="D2917" s="64"/>
      <c r="E2917" s="65"/>
      <c r="F2917" s="66"/>
      <c r="G2917" s="63"/>
      <c r="H2917" s="67"/>
      <c r="I2917" s="68"/>
      <c r="J2917" s="68"/>
      <c r="K2917" s="32"/>
      <c r="L2917" s="75">
        <v>2917</v>
      </c>
      <c r="M2917" s="75"/>
      <c r="N2917" s="70"/>
      <c r="O2917" s="77" t="s">
        <v>179</v>
      </c>
      <c r="P2917" s="79">
        <v>45053.130115740743</v>
      </c>
      <c r="Q2917" s="77" t="s">
        <v>3694</v>
      </c>
      <c r="R2917" s="77">
        <v>0</v>
      </c>
      <c r="S2917" s="77">
        <v>0</v>
      </c>
      <c r="T2917" s="77">
        <v>0</v>
      </c>
      <c r="U2917" s="77">
        <v>0</v>
      </c>
      <c r="V2917" s="77">
        <v>45</v>
      </c>
      <c r="W2917" s="82" t="s">
        <v>6382</v>
      </c>
      <c r="X2917" s="80" t="str">
        <f>HYPERLINK("https://tinyurl.com/2fh8a5qy")</f>
        <v>https://tinyurl.com/2fh8a5qy</v>
      </c>
      <c r="Y2917" s="77" t="s">
        <v>7068</v>
      </c>
      <c r="Z2917" s="77"/>
      <c r="AA2917" s="77"/>
      <c r="AB2917" s="77"/>
      <c r="AC2917" s="82" t="s">
        <v>8275</v>
      </c>
      <c r="AD2917" s="77" t="s">
        <v>8281</v>
      </c>
      <c r="AE2917" s="80" t="str">
        <f>HYPERLINK("https://twitter.com/pauta_economica/status/1655046638241566721")</f>
        <v>https://twitter.com/pauta_economica/status/1655046638241566721</v>
      </c>
      <c r="AF2917" s="79">
        <v>45053.130115740743</v>
      </c>
      <c r="AG2917" s="85">
        <v>45053</v>
      </c>
      <c r="AH2917" s="82" t="s">
        <v>10952</v>
      </c>
      <c r="AI2917" s="77" t="b">
        <v>0</v>
      </c>
      <c r="AJ2917" s="77"/>
      <c r="AK2917" s="77"/>
      <c r="AL2917" s="77"/>
      <c r="AM2917" s="77"/>
      <c r="AN2917" s="77"/>
      <c r="AO2917" s="77"/>
      <c r="AP2917" s="77"/>
      <c r="AQ2917" s="77"/>
      <c r="AR2917" s="77"/>
      <c r="AS2917" s="77"/>
      <c r="AT2917" s="77"/>
      <c r="AU2917" s="77"/>
      <c r="AV2917" s="80" t="str">
        <f>HYPERLINK("https://pbs.twimg.com/profile_images/1588668531910082561/XEi-lXiu_normal.jpg")</f>
        <v>https://pbs.twimg.com/profile_images/1588668531910082561/XEi-lXiu_normal.jpg</v>
      </c>
      <c r="AW2917" s="82" t="s">
        <v>16001</v>
      </c>
      <c r="AX2917" s="82" t="s">
        <v>16001</v>
      </c>
      <c r="AY2917" s="77"/>
      <c r="AZ2917" s="82" t="s">
        <v>17385</v>
      </c>
      <c r="BA2917" s="82" t="s">
        <v>17385</v>
      </c>
      <c r="BB2917" s="82" t="s">
        <v>17385</v>
      </c>
      <c r="BC2917" s="82" t="s">
        <v>16001</v>
      </c>
      <c r="BD2917" s="82" t="s">
        <v>17667</v>
      </c>
      <c r="BE2917" s="77"/>
      <c r="BF2917" s="77"/>
      <c r="BG2917" s="77"/>
      <c r="BH2917" s="77"/>
      <c r="BI2917" s="77"/>
    </row>
    <row r="2918" spans="1:61" x14ac:dyDescent="0.25">
      <c r="A2918" s="62" t="s">
        <v>646</v>
      </c>
      <c r="B2918" s="62" t="s">
        <v>646</v>
      </c>
      <c r="C2918" s="63"/>
      <c r="D2918" s="64"/>
      <c r="E2918" s="65"/>
      <c r="F2918" s="66"/>
      <c r="G2918" s="63"/>
      <c r="H2918" s="67"/>
      <c r="I2918" s="68"/>
      <c r="J2918" s="68"/>
      <c r="K2918" s="32"/>
      <c r="L2918" s="75">
        <v>2918</v>
      </c>
      <c r="M2918" s="75"/>
      <c r="N2918" s="70"/>
      <c r="O2918" s="77" t="s">
        <v>179</v>
      </c>
      <c r="P2918" s="79">
        <v>45053.046481481484</v>
      </c>
      <c r="Q2918" s="77" t="s">
        <v>3695</v>
      </c>
      <c r="R2918" s="77">
        <v>0</v>
      </c>
      <c r="S2918" s="77">
        <v>0</v>
      </c>
      <c r="T2918" s="77">
        <v>0</v>
      </c>
      <c r="U2918" s="77">
        <v>0</v>
      </c>
      <c r="V2918" s="77">
        <v>35</v>
      </c>
      <c r="W2918" s="82" t="s">
        <v>6382</v>
      </c>
      <c r="X2918" s="80" t="str">
        <f>HYPERLINK("https://tinyurl.com/2mdys765")</f>
        <v>https://tinyurl.com/2mdys765</v>
      </c>
      <c r="Y2918" s="77" t="s">
        <v>7068</v>
      </c>
      <c r="Z2918" s="77"/>
      <c r="AA2918" s="77"/>
      <c r="AB2918" s="77"/>
      <c r="AC2918" s="82" t="s">
        <v>8275</v>
      </c>
      <c r="AD2918" s="77" t="s">
        <v>8278</v>
      </c>
      <c r="AE2918" s="80" t="str">
        <f>HYPERLINK("https://twitter.com/pauta_economica/status/1655016330033020928")</f>
        <v>https://twitter.com/pauta_economica/status/1655016330033020928</v>
      </c>
      <c r="AF2918" s="79">
        <v>45053.046481481484</v>
      </c>
      <c r="AG2918" s="85">
        <v>45053</v>
      </c>
      <c r="AH2918" s="82" t="s">
        <v>10953</v>
      </c>
      <c r="AI2918" s="77" t="b">
        <v>0</v>
      </c>
      <c r="AJ2918" s="77"/>
      <c r="AK2918" s="77"/>
      <c r="AL2918" s="77"/>
      <c r="AM2918" s="77"/>
      <c r="AN2918" s="77"/>
      <c r="AO2918" s="77"/>
      <c r="AP2918" s="77"/>
      <c r="AQ2918" s="77"/>
      <c r="AR2918" s="77"/>
      <c r="AS2918" s="77"/>
      <c r="AT2918" s="77"/>
      <c r="AU2918" s="77"/>
      <c r="AV2918" s="80" t="str">
        <f>HYPERLINK("https://pbs.twimg.com/profile_images/1588668531910082561/XEi-lXiu_normal.jpg")</f>
        <v>https://pbs.twimg.com/profile_images/1588668531910082561/XEi-lXiu_normal.jpg</v>
      </c>
      <c r="AW2918" s="82" t="s">
        <v>16002</v>
      </c>
      <c r="AX2918" s="82" t="s">
        <v>16002</v>
      </c>
      <c r="AY2918" s="77"/>
      <c r="AZ2918" s="82" t="s">
        <v>17385</v>
      </c>
      <c r="BA2918" s="82" t="s">
        <v>17385</v>
      </c>
      <c r="BB2918" s="82" t="s">
        <v>17385</v>
      </c>
      <c r="BC2918" s="82" t="s">
        <v>16002</v>
      </c>
      <c r="BD2918" s="82" t="s">
        <v>17667</v>
      </c>
      <c r="BE2918" s="77"/>
      <c r="BF2918" s="77"/>
      <c r="BG2918" s="77"/>
      <c r="BH2918" s="77"/>
      <c r="BI2918" s="77"/>
    </row>
    <row r="2919" spans="1:61" x14ac:dyDescent="0.25">
      <c r="A2919" s="62" t="s">
        <v>646</v>
      </c>
      <c r="B2919" s="62" t="s">
        <v>646</v>
      </c>
      <c r="C2919" s="63"/>
      <c r="D2919" s="64"/>
      <c r="E2919" s="65"/>
      <c r="F2919" s="66"/>
      <c r="G2919" s="63"/>
      <c r="H2919" s="67"/>
      <c r="I2919" s="68"/>
      <c r="J2919" s="68"/>
      <c r="K2919" s="32"/>
      <c r="L2919" s="75">
        <v>2919</v>
      </c>
      <c r="M2919" s="75"/>
      <c r="N2919" s="70"/>
      <c r="O2919" s="77" t="s">
        <v>179</v>
      </c>
      <c r="P2919" s="79">
        <v>45053.018495370372</v>
      </c>
      <c r="Q2919" s="77" t="s">
        <v>3696</v>
      </c>
      <c r="R2919" s="77">
        <v>0</v>
      </c>
      <c r="S2919" s="77">
        <v>1</v>
      </c>
      <c r="T2919" s="77">
        <v>0</v>
      </c>
      <c r="U2919" s="77">
        <v>0</v>
      </c>
      <c r="V2919" s="77">
        <v>90</v>
      </c>
      <c r="W2919" s="82" t="s">
        <v>6382</v>
      </c>
      <c r="X2919" s="80" t="str">
        <f>HYPERLINK("https://tinyurl.com/2hd2hejx")</f>
        <v>https://tinyurl.com/2hd2hejx</v>
      </c>
      <c r="Y2919" s="77" t="s">
        <v>7068</v>
      </c>
      <c r="Z2919" s="77"/>
      <c r="AA2919" s="77"/>
      <c r="AB2919" s="77"/>
      <c r="AC2919" s="82" t="s">
        <v>8275</v>
      </c>
      <c r="AD2919" s="77" t="s">
        <v>8278</v>
      </c>
      <c r="AE2919" s="80" t="str">
        <f>HYPERLINK("https://twitter.com/pauta_economica/status/1655006186360455169")</f>
        <v>https://twitter.com/pauta_economica/status/1655006186360455169</v>
      </c>
      <c r="AF2919" s="79">
        <v>45053.018495370372</v>
      </c>
      <c r="AG2919" s="85">
        <v>45053</v>
      </c>
      <c r="AH2919" s="82" t="s">
        <v>10954</v>
      </c>
      <c r="AI2919" s="77" t="b">
        <v>0</v>
      </c>
      <c r="AJ2919" s="77"/>
      <c r="AK2919" s="77"/>
      <c r="AL2919" s="77"/>
      <c r="AM2919" s="77"/>
      <c r="AN2919" s="77"/>
      <c r="AO2919" s="77"/>
      <c r="AP2919" s="77"/>
      <c r="AQ2919" s="77"/>
      <c r="AR2919" s="77"/>
      <c r="AS2919" s="77"/>
      <c r="AT2919" s="77"/>
      <c r="AU2919" s="77"/>
      <c r="AV2919" s="80" t="str">
        <f>HYPERLINK("https://pbs.twimg.com/profile_images/1588668531910082561/XEi-lXiu_normal.jpg")</f>
        <v>https://pbs.twimg.com/profile_images/1588668531910082561/XEi-lXiu_normal.jpg</v>
      </c>
      <c r="AW2919" s="82" t="s">
        <v>16003</v>
      </c>
      <c r="AX2919" s="82" t="s">
        <v>16003</v>
      </c>
      <c r="AY2919" s="77"/>
      <c r="AZ2919" s="82" t="s">
        <v>17385</v>
      </c>
      <c r="BA2919" s="82" t="s">
        <v>17385</v>
      </c>
      <c r="BB2919" s="82" t="s">
        <v>17385</v>
      </c>
      <c r="BC2919" s="82" t="s">
        <v>16003</v>
      </c>
      <c r="BD2919" s="82" t="s">
        <v>17667</v>
      </c>
      <c r="BE2919" s="77"/>
      <c r="BF2919" s="77"/>
      <c r="BG2919" s="77"/>
      <c r="BH2919" s="77"/>
      <c r="BI2919" s="77"/>
    </row>
    <row r="2920" spans="1:61" x14ac:dyDescent="0.25">
      <c r="A2920" s="62" t="s">
        <v>646</v>
      </c>
      <c r="B2920" s="62" t="s">
        <v>646</v>
      </c>
      <c r="C2920" s="63"/>
      <c r="D2920" s="64"/>
      <c r="E2920" s="65"/>
      <c r="F2920" s="66"/>
      <c r="G2920" s="63"/>
      <c r="H2920" s="67"/>
      <c r="I2920" s="68"/>
      <c r="J2920" s="68"/>
      <c r="K2920" s="32"/>
      <c r="L2920" s="75">
        <v>2920</v>
      </c>
      <c r="M2920" s="75"/>
      <c r="N2920" s="70"/>
      <c r="O2920" s="77" t="s">
        <v>179</v>
      </c>
      <c r="P2920" s="79">
        <v>45052.990567129629</v>
      </c>
      <c r="Q2920" s="77" t="s">
        <v>3697</v>
      </c>
      <c r="R2920" s="77">
        <v>6</v>
      </c>
      <c r="S2920" s="77">
        <v>6</v>
      </c>
      <c r="T2920" s="77">
        <v>3</v>
      </c>
      <c r="U2920" s="77">
        <v>1</v>
      </c>
      <c r="V2920" s="77">
        <v>113</v>
      </c>
      <c r="W2920" s="82" t="s">
        <v>6382</v>
      </c>
      <c r="X2920" s="80" t="str">
        <f>HYPERLINK("https://tinyurl.com/2pfxza68")</f>
        <v>https://tinyurl.com/2pfxza68</v>
      </c>
      <c r="Y2920" s="77" t="s">
        <v>7068</v>
      </c>
      <c r="Z2920" s="77"/>
      <c r="AA2920" s="77"/>
      <c r="AB2920" s="77"/>
      <c r="AC2920" s="82" t="s">
        <v>8275</v>
      </c>
      <c r="AD2920" s="77" t="s">
        <v>8278</v>
      </c>
      <c r="AE2920" s="80" t="str">
        <f>HYPERLINK("https://twitter.com/pauta_economica/status/1654996066926723072")</f>
        <v>https://twitter.com/pauta_economica/status/1654996066926723072</v>
      </c>
      <c r="AF2920" s="79">
        <v>45052.990567129629</v>
      </c>
      <c r="AG2920" s="85">
        <v>45052</v>
      </c>
      <c r="AH2920" s="82" t="s">
        <v>10955</v>
      </c>
      <c r="AI2920" s="77" t="b">
        <v>0</v>
      </c>
      <c r="AJ2920" s="77"/>
      <c r="AK2920" s="77"/>
      <c r="AL2920" s="77"/>
      <c r="AM2920" s="77"/>
      <c r="AN2920" s="77"/>
      <c r="AO2920" s="77"/>
      <c r="AP2920" s="77"/>
      <c r="AQ2920" s="77"/>
      <c r="AR2920" s="77"/>
      <c r="AS2920" s="77"/>
      <c r="AT2920" s="77"/>
      <c r="AU2920" s="77"/>
      <c r="AV2920" s="80" t="str">
        <f>HYPERLINK("https://pbs.twimg.com/profile_images/1588668531910082561/XEi-lXiu_normal.jpg")</f>
        <v>https://pbs.twimg.com/profile_images/1588668531910082561/XEi-lXiu_normal.jpg</v>
      </c>
      <c r="AW2920" s="82" t="s">
        <v>16004</v>
      </c>
      <c r="AX2920" s="82" t="s">
        <v>16004</v>
      </c>
      <c r="AY2920" s="77"/>
      <c r="AZ2920" s="82" t="s">
        <v>17385</v>
      </c>
      <c r="BA2920" s="82" t="s">
        <v>17385</v>
      </c>
      <c r="BB2920" s="82" t="s">
        <v>17385</v>
      </c>
      <c r="BC2920" s="82" t="s">
        <v>16004</v>
      </c>
      <c r="BD2920" s="82" t="s">
        <v>17667</v>
      </c>
      <c r="BE2920" s="77"/>
      <c r="BF2920" s="77"/>
      <c r="BG2920" s="77"/>
      <c r="BH2920" s="77"/>
      <c r="BI2920" s="77"/>
    </row>
    <row r="2921" spans="1:61" x14ac:dyDescent="0.25">
      <c r="A2921" s="62" t="s">
        <v>646</v>
      </c>
      <c r="B2921" s="62" t="s">
        <v>646</v>
      </c>
      <c r="C2921" s="63"/>
      <c r="D2921" s="64"/>
      <c r="E2921" s="65"/>
      <c r="F2921" s="66"/>
      <c r="G2921" s="63"/>
      <c r="H2921" s="67"/>
      <c r="I2921" s="68"/>
      <c r="J2921" s="68"/>
      <c r="K2921" s="32"/>
      <c r="L2921" s="75">
        <v>2921</v>
      </c>
      <c r="M2921" s="75"/>
      <c r="N2921" s="70"/>
      <c r="O2921" s="77" t="s">
        <v>179</v>
      </c>
      <c r="P2921" s="79">
        <v>45052.962743055556</v>
      </c>
      <c r="Q2921" s="77" t="s">
        <v>3698</v>
      </c>
      <c r="R2921" s="77">
        <v>0</v>
      </c>
      <c r="S2921" s="77">
        <v>0</v>
      </c>
      <c r="T2921" s="77">
        <v>0</v>
      </c>
      <c r="U2921" s="77">
        <v>0</v>
      </c>
      <c r="V2921" s="77">
        <v>38</v>
      </c>
      <c r="W2921" s="82" t="s">
        <v>6382</v>
      </c>
      <c r="X2921" s="80" t="str">
        <f>HYPERLINK("https://tinyurl.com/2lkpjn33")</f>
        <v>https://tinyurl.com/2lkpjn33</v>
      </c>
      <c r="Y2921" s="77" t="s">
        <v>7068</v>
      </c>
      <c r="Z2921" s="77"/>
      <c r="AA2921" s="77"/>
      <c r="AB2921" s="77"/>
      <c r="AC2921" s="82" t="s">
        <v>8275</v>
      </c>
      <c r="AD2921" s="77" t="s">
        <v>8278</v>
      </c>
      <c r="AE2921" s="80" t="str">
        <f>HYPERLINK("https://twitter.com/pauta_economica/status/1654985982695948289")</f>
        <v>https://twitter.com/pauta_economica/status/1654985982695948289</v>
      </c>
      <c r="AF2921" s="79">
        <v>45052.962743055556</v>
      </c>
      <c r="AG2921" s="85">
        <v>45052</v>
      </c>
      <c r="AH2921" s="82" t="s">
        <v>10956</v>
      </c>
      <c r="AI2921" s="77" t="b">
        <v>0</v>
      </c>
      <c r="AJ2921" s="77"/>
      <c r="AK2921" s="77"/>
      <c r="AL2921" s="77"/>
      <c r="AM2921" s="77"/>
      <c r="AN2921" s="77"/>
      <c r="AO2921" s="77"/>
      <c r="AP2921" s="77"/>
      <c r="AQ2921" s="77"/>
      <c r="AR2921" s="77"/>
      <c r="AS2921" s="77"/>
      <c r="AT2921" s="77"/>
      <c r="AU2921" s="77"/>
      <c r="AV2921" s="80" t="str">
        <f>HYPERLINK("https://pbs.twimg.com/profile_images/1588668531910082561/XEi-lXiu_normal.jpg")</f>
        <v>https://pbs.twimg.com/profile_images/1588668531910082561/XEi-lXiu_normal.jpg</v>
      </c>
      <c r="AW2921" s="82" t="s">
        <v>16005</v>
      </c>
      <c r="AX2921" s="82" t="s">
        <v>16005</v>
      </c>
      <c r="AY2921" s="77"/>
      <c r="AZ2921" s="82" t="s">
        <v>17385</v>
      </c>
      <c r="BA2921" s="82" t="s">
        <v>17385</v>
      </c>
      <c r="BB2921" s="82" t="s">
        <v>17385</v>
      </c>
      <c r="BC2921" s="82" t="s">
        <v>16005</v>
      </c>
      <c r="BD2921" s="82" t="s">
        <v>17667</v>
      </c>
      <c r="BE2921" s="77"/>
      <c r="BF2921" s="77"/>
      <c r="BG2921" s="77"/>
      <c r="BH2921" s="77"/>
      <c r="BI2921" s="77"/>
    </row>
    <row r="2922" spans="1:61" x14ac:dyDescent="0.25">
      <c r="A2922" s="62" t="s">
        <v>646</v>
      </c>
      <c r="B2922" s="62" t="s">
        <v>646</v>
      </c>
      <c r="C2922" s="63"/>
      <c r="D2922" s="64"/>
      <c r="E2922" s="65"/>
      <c r="F2922" s="66"/>
      <c r="G2922" s="63"/>
      <c r="H2922" s="67"/>
      <c r="I2922" s="68"/>
      <c r="J2922" s="68"/>
      <c r="K2922" s="32"/>
      <c r="L2922" s="75">
        <v>2922</v>
      </c>
      <c r="M2922" s="75"/>
      <c r="N2922" s="70"/>
      <c r="O2922" s="77" t="s">
        <v>179</v>
      </c>
      <c r="P2922" s="79">
        <v>45052.934814814813</v>
      </c>
      <c r="Q2922" s="77" t="s">
        <v>3699</v>
      </c>
      <c r="R2922" s="77">
        <v>0</v>
      </c>
      <c r="S2922" s="77">
        <v>0</v>
      </c>
      <c r="T2922" s="77">
        <v>0</v>
      </c>
      <c r="U2922" s="77">
        <v>0</v>
      </c>
      <c r="V2922" s="77">
        <v>46</v>
      </c>
      <c r="W2922" s="82" t="s">
        <v>6382</v>
      </c>
      <c r="X2922" s="80" t="str">
        <f>HYPERLINK("https://tinyurl.com/2hmoqgds")</f>
        <v>https://tinyurl.com/2hmoqgds</v>
      </c>
      <c r="Y2922" s="77" t="s">
        <v>7068</v>
      </c>
      <c r="Z2922" s="77"/>
      <c r="AA2922" s="77"/>
      <c r="AB2922" s="77"/>
      <c r="AC2922" s="82" t="s">
        <v>8275</v>
      </c>
      <c r="AD2922" s="77" t="s">
        <v>8278</v>
      </c>
      <c r="AE2922" s="80" t="str">
        <f>HYPERLINK("https://twitter.com/pauta_economica/status/1654975862716915714")</f>
        <v>https://twitter.com/pauta_economica/status/1654975862716915714</v>
      </c>
      <c r="AF2922" s="79">
        <v>45052.934814814813</v>
      </c>
      <c r="AG2922" s="85">
        <v>45052</v>
      </c>
      <c r="AH2922" s="82" t="s">
        <v>10957</v>
      </c>
      <c r="AI2922" s="77" t="b">
        <v>0</v>
      </c>
      <c r="AJ2922" s="77"/>
      <c r="AK2922" s="77"/>
      <c r="AL2922" s="77"/>
      <c r="AM2922" s="77"/>
      <c r="AN2922" s="77"/>
      <c r="AO2922" s="77"/>
      <c r="AP2922" s="77"/>
      <c r="AQ2922" s="77"/>
      <c r="AR2922" s="77"/>
      <c r="AS2922" s="77"/>
      <c r="AT2922" s="77"/>
      <c r="AU2922" s="77"/>
      <c r="AV2922" s="80" t="str">
        <f>HYPERLINK("https://pbs.twimg.com/profile_images/1588668531910082561/XEi-lXiu_normal.jpg")</f>
        <v>https://pbs.twimg.com/profile_images/1588668531910082561/XEi-lXiu_normal.jpg</v>
      </c>
      <c r="AW2922" s="82" t="s">
        <v>16006</v>
      </c>
      <c r="AX2922" s="82" t="s">
        <v>16006</v>
      </c>
      <c r="AY2922" s="77"/>
      <c r="AZ2922" s="82" t="s">
        <v>17385</v>
      </c>
      <c r="BA2922" s="82" t="s">
        <v>17385</v>
      </c>
      <c r="BB2922" s="82" t="s">
        <v>17385</v>
      </c>
      <c r="BC2922" s="82" t="s">
        <v>16006</v>
      </c>
      <c r="BD2922" s="82" t="s">
        <v>17667</v>
      </c>
      <c r="BE2922" s="77"/>
      <c r="BF2922" s="77"/>
      <c r="BG2922" s="77"/>
      <c r="BH2922" s="77"/>
      <c r="BI2922" s="77"/>
    </row>
    <row r="2923" spans="1:61" x14ac:dyDescent="0.25">
      <c r="A2923" s="62" t="s">
        <v>646</v>
      </c>
      <c r="B2923" s="62" t="s">
        <v>646</v>
      </c>
      <c r="C2923" s="63"/>
      <c r="D2923" s="64"/>
      <c r="E2923" s="65"/>
      <c r="F2923" s="66"/>
      <c r="G2923" s="63"/>
      <c r="H2923" s="67"/>
      <c r="I2923" s="68"/>
      <c r="J2923" s="68"/>
      <c r="K2923" s="32"/>
      <c r="L2923" s="75">
        <v>2923</v>
      </c>
      <c r="M2923" s="75"/>
      <c r="N2923" s="70"/>
      <c r="O2923" s="77" t="s">
        <v>179</v>
      </c>
      <c r="P2923" s="79">
        <v>45052.878981481481</v>
      </c>
      <c r="Q2923" s="77" t="s">
        <v>3700</v>
      </c>
      <c r="R2923" s="77">
        <v>0</v>
      </c>
      <c r="S2923" s="77">
        <v>0</v>
      </c>
      <c r="T2923" s="77">
        <v>0</v>
      </c>
      <c r="U2923" s="77">
        <v>0</v>
      </c>
      <c r="V2923" s="77">
        <v>45</v>
      </c>
      <c r="W2923" s="82" t="s">
        <v>6382</v>
      </c>
      <c r="X2923" s="80" t="str">
        <f>HYPERLINK("https://tinyurl.com/2p2h9tn9")</f>
        <v>https://tinyurl.com/2p2h9tn9</v>
      </c>
      <c r="Y2923" s="77" t="s">
        <v>7068</v>
      </c>
      <c r="Z2923" s="77"/>
      <c r="AA2923" s="77"/>
      <c r="AB2923" s="77"/>
      <c r="AC2923" s="82" t="s">
        <v>8275</v>
      </c>
      <c r="AD2923" s="77" t="s">
        <v>8278</v>
      </c>
      <c r="AE2923" s="80" t="str">
        <f>HYPERLINK("https://twitter.com/pauta_economica/status/1654955628773756928")</f>
        <v>https://twitter.com/pauta_economica/status/1654955628773756928</v>
      </c>
      <c r="AF2923" s="79">
        <v>45052.878981481481</v>
      </c>
      <c r="AG2923" s="85">
        <v>45052</v>
      </c>
      <c r="AH2923" s="82" t="s">
        <v>10958</v>
      </c>
      <c r="AI2923" s="77" t="b">
        <v>0</v>
      </c>
      <c r="AJ2923" s="77"/>
      <c r="AK2923" s="77"/>
      <c r="AL2923" s="77"/>
      <c r="AM2923" s="77"/>
      <c r="AN2923" s="77"/>
      <c r="AO2923" s="77"/>
      <c r="AP2923" s="77"/>
      <c r="AQ2923" s="77"/>
      <c r="AR2923" s="77"/>
      <c r="AS2923" s="77"/>
      <c r="AT2923" s="77"/>
      <c r="AU2923" s="77"/>
      <c r="AV2923" s="80" t="str">
        <f>HYPERLINK("https://pbs.twimg.com/profile_images/1588668531910082561/XEi-lXiu_normal.jpg")</f>
        <v>https://pbs.twimg.com/profile_images/1588668531910082561/XEi-lXiu_normal.jpg</v>
      </c>
      <c r="AW2923" s="82" t="s">
        <v>16007</v>
      </c>
      <c r="AX2923" s="82" t="s">
        <v>16007</v>
      </c>
      <c r="AY2923" s="77"/>
      <c r="AZ2923" s="82" t="s">
        <v>17385</v>
      </c>
      <c r="BA2923" s="82" t="s">
        <v>17385</v>
      </c>
      <c r="BB2923" s="82" t="s">
        <v>17385</v>
      </c>
      <c r="BC2923" s="82" t="s">
        <v>16007</v>
      </c>
      <c r="BD2923" s="82" t="s">
        <v>17667</v>
      </c>
      <c r="BE2923" s="77"/>
      <c r="BF2923" s="77"/>
      <c r="BG2923" s="77"/>
      <c r="BH2923" s="77"/>
      <c r="BI2923" s="77"/>
    </row>
    <row r="2924" spans="1:61" x14ac:dyDescent="0.25">
      <c r="A2924" s="62" t="s">
        <v>646</v>
      </c>
      <c r="B2924" s="62" t="s">
        <v>646</v>
      </c>
      <c r="C2924" s="63"/>
      <c r="D2924" s="64"/>
      <c r="E2924" s="65"/>
      <c r="F2924" s="66"/>
      <c r="G2924" s="63"/>
      <c r="H2924" s="67"/>
      <c r="I2924" s="68"/>
      <c r="J2924" s="68"/>
      <c r="K2924" s="32"/>
      <c r="L2924" s="75">
        <v>2924</v>
      </c>
      <c r="M2924" s="75"/>
      <c r="N2924" s="70"/>
      <c r="O2924" s="77" t="s">
        <v>179</v>
      </c>
      <c r="P2924" s="79">
        <v>45052.851122685184</v>
      </c>
      <c r="Q2924" s="77" t="s">
        <v>3701</v>
      </c>
      <c r="R2924" s="77">
        <v>0</v>
      </c>
      <c r="S2924" s="77">
        <v>0</v>
      </c>
      <c r="T2924" s="77">
        <v>0</v>
      </c>
      <c r="U2924" s="77">
        <v>0</v>
      </c>
      <c r="V2924" s="77">
        <v>33</v>
      </c>
      <c r="W2924" s="82" t="s">
        <v>6382</v>
      </c>
      <c r="X2924" s="80" t="str">
        <f>HYPERLINK("https://tinyurl.com/2hun542y")</f>
        <v>https://tinyurl.com/2hun542y</v>
      </c>
      <c r="Y2924" s="77" t="s">
        <v>7068</v>
      </c>
      <c r="Z2924" s="77"/>
      <c r="AA2924" s="77"/>
      <c r="AB2924" s="77"/>
      <c r="AC2924" s="82" t="s">
        <v>8275</v>
      </c>
      <c r="AD2924" s="77" t="s">
        <v>8278</v>
      </c>
      <c r="AE2924" s="80" t="str">
        <f>HYPERLINK("https://twitter.com/pauta_economica/status/1654945535554379776")</f>
        <v>https://twitter.com/pauta_economica/status/1654945535554379776</v>
      </c>
      <c r="AF2924" s="79">
        <v>45052.851122685184</v>
      </c>
      <c r="AG2924" s="85">
        <v>45052</v>
      </c>
      <c r="AH2924" s="82" t="s">
        <v>10680</v>
      </c>
      <c r="AI2924" s="77" t="b">
        <v>0</v>
      </c>
      <c r="AJ2924" s="77"/>
      <c r="AK2924" s="77"/>
      <c r="AL2924" s="77"/>
      <c r="AM2924" s="77"/>
      <c r="AN2924" s="77"/>
      <c r="AO2924" s="77"/>
      <c r="AP2924" s="77"/>
      <c r="AQ2924" s="77"/>
      <c r="AR2924" s="77"/>
      <c r="AS2924" s="77"/>
      <c r="AT2924" s="77"/>
      <c r="AU2924" s="77"/>
      <c r="AV2924" s="80" t="str">
        <f>HYPERLINK("https://pbs.twimg.com/profile_images/1588668531910082561/XEi-lXiu_normal.jpg")</f>
        <v>https://pbs.twimg.com/profile_images/1588668531910082561/XEi-lXiu_normal.jpg</v>
      </c>
      <c r="AW2924" s="82" t="s">
        <v>16008</v>
      </c>
      <c r="AX2924" s="82" t="s">
        <v>16008</v>
      </c>
      <c r="AY2924" s="77"/>
      <c r="AZ2924" s="82" t="s">
        <v>17385</v>
      </c>
      <c r="BA2924" s="82" t="s">
        <v>17385</v>
      </c>
      <c r="BB2924" s="82" t="s">
        <v>17385</v>
      </c>
      <c r="BC2924" s="82" t="s">
        <v>16008</v>
      </c>
      <c r="BD2924" s="82" t="s">
        <v>17667</v>
      </c>
      <c r="BE2924" s="77"/>
      <c r="BF2924" s="77"/>
      <c r="BG2924" s="77"/>
      <c r="BH2924" s="77"/>
      <c r="BI2924" s="77"/>
    </row>
    <row r="2925" spans="1:61" x14ac:dyDescent="0.25">
      <c r="A2925" s="62" t="s">
        <v>646</v>
      </c>
      <c r="B2925" s="62" t="s">
        <v>646</v>
      </c>
      <c r="C2925" s="63"/>
      <c r="D2925" s="64"/>
      <c r="E2925" s="65"/>
      <c r="F2925" s="66"/>
      <c r="G2925" s="63"/>
      <c r="H2925" s="67"/>
      <c r="I2925" s="68"/>
      <c r="J2925" s="68"/>
      <c r="K2925" s="32"/>
      <c r="L2925" s="75">
        <v>2925</v>
      </c>
      <c r="M2925" s="75"/>
      <c r="N2925" s="70"/>
      <c r="O2925" s="77" t="s">
        <v>179</v>
      </c>
      <c r="P2925" s="79">
        <v>45052.823252314818</v>
      </c>
      <c r="Q2925" s="77" t="s">
        <v>3702</v>
      </c>
      <c r="R2925" s="77">
        <v>0</v>
      </c>
      <c r="S2925" s="77">
        <v>0</v>
      </c>
      <c r="T2925" s="77">
        <v>0</v>
      </c>
      <c r="U2925" s="77">
        <v>0</v>
      </c>
      <c r="V2925" s="77">
        <v>27</v>
      </c>
      <c r="W2925" s="82" t="s">
        <v>6382</v>
      </c>
      <c r="X2925" s="80" t="str">
        <f>HYPERLINK("https://tinyurl.com/2f9na8xh")</f>
        <v>https://tinyurl.com/2f9na8xh</v>
      </c>
      <c r="Y2925" s="77" t="s">
        <v>7068</v>
      </c>
      <c r="Z2925" s="77"/>
      <c r="AA2925" s="77"/>
      <c r="AB2925" s="77"/>
      <c r="AC2925" s="82" t="s">
        <v>8275</v>
      </c>
      <c r="AD2925" s="77" t="s">
        <v>8278</v>
      </c>
      <c r="AE2925" s="80" t="str">
        <f>HYPERLINK("https://twitter.com/pauta_economica/status/1654935434777042944")</f>
        <v>https://twitter.com/pauta_economica/status/1654935434777042944</v>
      </c>
      <c r="AF2925" s="79">
        <v>45052.823252314818</v>
      </c>
      <c r="AG2925" s="85">
        <v>45052</v>
      </c>
      <c r="AH2925" s="82" t="s">
        <v>10959</v>
      </c>
      <c r="AI2925" s="77" t="b">
        <v>0</v>
      </c>
      <c r="AJ2925" s="77"/>
      <c r="AK2925" s="77"/>
      <c r="AL2925" s="77"/>
      <c r="AM2925" s="77"/>
      <c r="AN2925" s="77"/>
      <c r="AO2925" s="77"/>
      <c r="AP2925" s="77"/>
      <c r="AQ2925" s="77"/>
      <c r="AR2925" s="77"/>
      <c r="AS2925" s="77"/>
      <c r="AT2925" s="77"/>
      <c r="AU2925" s="77"/>
      <c r="AV2925" s="80" t="str">
        <f>HYPERLINK("https://pbs.twimg.com/profile_images/1588668531910082561/XEi-lXiu_normal.jpg")</f>
        <v>https://pbs.twimg.com/profile_images/1588668531910082561/XEi-lXiu_normal.jpg</v>
      </c>
      <c r="AW2925" s="82" t="s">
        <v>16009</v>
      </c>
      <c r="AX2925" s="82" t="s">
        <v>16009</v>
      </c>
      <c r="AY2925" s="77"/>
      <c r="AZ2925" s="82" t="s">
        <v>17385</v>
      </c>
      <c r="BA2925" s="82" t="s">
        <v>17385</v>
      </c>
      <c r="BB2925" s="82" t="s">
        <v>17385</v>
      </c>
      <c r="BC2925" s="82" t="s">
        <v>16009</v>
      </c>
      <c r="BD2925" s="82" t="s">
        <v>17667</v>
      </c>
      <c r="BE2925" s="77"/>
      <c r="BF2925" s="77"/>
      <c r="BG2925" s="77"/>
      <c r="BH2925" s="77"/>
      <c r="BI2925" s="77"/>
    </row>
    <row r="2926" spans="1:61" x14ac:dyDescent="0.25">
      <c r="A2926" s="62" t="s">
        <v>646</v>
      </c>
      <c r="B2926" s="62" t="s">
        <v>646</v>
      </c>
      <c r="C2926" s="63"/>
      <c r="D2926" s="64"/>
      <c r="E2926" s="65"/>
      <c r="F2926" s="66"/>
      <c r="G2926" s="63"/>
      <c r="H2926" s="67"/>
      <c r="I2926" s="68"/>
      <c r="J2926" s="68"/>
      <c r="K2926" s="32"/>
      <c r="L2926" s="75">
        <v>2926</v>
      </c>
      <c r="M2926" s="75"/>
      <c r="N2926" s="70"/>
      <c r="O2926" s="77" t="s">
        <v>179</v>
      </c>
      <c r="P2926" s="79">
        <v>45051.233043981483</v>
      </c>
      <c r="Q2926" s="77" t="s">
        <v>3703</v>
      </c>
      <c r="R2926" s="77">
        <v>0</v>
      </c>
      <c r="S2926" s="77">
        <v>0</v>
      </c>
      <c r="T2926" s="77">
        <v>0</v>
      </c>
      <c r="U2926" s="77">
        <v>0</v>
      </c>
      <c r="V2926" s="77">
        <v>29</v>
      </c>
      <c r="W2926" s="82" t="s">
        <v>6382</v>
      </c>
      <c r="X2926" s="80" t="str">
        <f>HYPERLINK("https://tinyurl.com/2j3cx2pl")</f>
        <v>https://tinyurl.com/2j3cx2pl</v>
      </c>
      <c r="Y2926" s="77" t="s">
        <v>7068</v>
      </c>
      <c r="Z2926" s="77"/>
      <c r="AA2926" s="77"/>
      <c r="AB2926" s="77"/>
      <c r="AC2926" s="82" t="s">
        <v>8275</v>
      </c>
      <c r="AD2926" s="77" t="s">
        <v>8278</v>
      </c>
      <c r="AE2926" s="80" t="str">
        <f>HYPERLINK("https://twitter.com/pauta_economica/status/1654359161994354691")</f>
        <v>https://twitter.com/pauta_economica/status/1654359161994354691</v>
      </c>
      <c r="AF2926" s="79">
        <v>45051.233043981483</v>
      </c>
      <c r="AG2926" s="85">
        <v>45051</v>
      </c>
      <c r="AH2926" s="82" t="s">
        <v>10960</v>
      </c>
      <c r="AI2926" s="77" t="b">
        <v>0</v>
      </c>
      <c r="AJ2926" s="77"/>
      <c r="AK2926" s="77"/>
      <c r="AL2926" s="77"/>
      <c r="AM2926" s="77"/>
      <c r="AN2926" s="77"/>
      <c r="AO2926" s="77"/>
      <c r="AP2926" s="77"/>
      <c r="AQ2926" s="77"/>
      <c r="AR2926" s="77"/>
      <c r="AS2926" s="77"/>
      <c r="AT2926" s="77"/>
      <c r="AU2926" s="77"/>
      <c r="AV2926" s="80" t="str">
        <f>HYPERLINK("https://pbs.twimg.com/profile_images/1588668531910082561/XEi-lXiu_normal.jpg")</f>
        <v>https://pbs.twimg.com/profile_images/1588668531910082561/XEi-lXiu_normal.jpg</v>
      </c>
      <c r="AW2926" s="82" t="s">
        <v>16010</v>
      </c>
      <c r="AX2926" s="82" t="s">
        <v>16010</v>
      </c>
      <c r="AY2926" s="77"/>
      <c r="AZ2926" s="82" t="s">
        <v>17385</v>
      </c>
      <c r="BA2926" s="82" t="s">
        <v>17385</v>
      </c>
      <c r="BB2926" s="82" t="s">
        <v>17385</v>
      </c>
      <c r="BC2926" s="82" t="s">
        <v>16010</v>
      </c>
      <c r="BD2926" s="82" t="s">
        <v>17667</v>
      </c>
      <c r="BE2926" s="77"/>
      <c r="BF2926" s="77"/>
      <c r="BG2926" s="77"/>
      <c r="BH2926" s="77"/>
      <c r="BI2926" s="77"/>
    </row>
    <row r="2927" spans="1:61" x14ac:dyDescent="0.25">
      <c r="A2927" s="62" t="s">
        <v>646</v>
      </c>
      <c r="B2927" s="62" t="s">
        <v>646</v>
      </c>
      <c r="C2927" s="63"/>
      <c r="D2927" s="64"/>
      <c r="E2927" s="65"/>
      <c r="F2927" s="66"/>
      <c r="G2927" s="63"/>
      <c r="H2927" s="67"/>
      <c r="I2927" s="68"/>
      <c r="J2927" s="68"/>
      <c r="K2927" s="32"/>
      <c r="L2927" s="75">
        <v>2927</v>
      </c>
      <c r="M2927" s="75"/>
      <c r="N2927" s="70"/>
      <c r="O2927" s="77" t="s">
        <v>179</v>
      </c>
      <c r="P2927" s="79">
        <v>45051.205208333333</v>
      </c>
      <c r="Q2927" s="77" t="s">
        <v>3704</v>
      </c>
      <c r="R2927" s="77">
        <v>0</v>
      </c>
      <c r="S2927" s="77">
        <v>0</v>
      </c>
      <c r="T2927" s="77">
        <v>0</v>
      </c>
      <c r="U2927" s="77">
        <v>0</v>
      </c>
      <c r="V2927" s="77">
        <v>32</v>
      </c>
      <c r="W2927" s="82" t="s">
        <v>6382</v>
      </c>
      <c r="X2927" s="80" t="str">
        <f>HYPERLINK("https://tinyurl.com/2mtrtm89")</f>
        <v>https://tinyurl.com/2mtrtm89</v>
      </c>
      <c r="Y2927" s="77" t="s">
        <v>7068</v>
      </c>
      <c r="Z2927" s="77"/>
      <c r="AA2927" s="77"/>
      <c r="AB2927" s="77"/>
      <c r="AC2927" s="82" t="s">
        <v>8275</v>
      </c>
      <c r="AD2927" s="77" t="s">
        <v>8278</v>
      </c>
      <c r="AE2927" s="80" t="str">
        <f>HYPERLINK("https://twitter.com/pauta_economica/status/1654349073439129600")</f>
        <v>https://twitter.com/pauta_economica/status/1654349073439129600</v>
      </c>
      <c r="AF2927" s="79">
        <v>45051.205208333333</v>
      </c>
      <c r="AG2927" s="85">
        <v>45051</v>
      </c>
      <c r="AH2927" s="82" t="s">
        <v>10961</v>
      </c>
      <c r="AI2927" s="77" t="b">
        <v>0</v>
      </c>
      <c r="AJ2927" s="77"/>
      <c r="AK2927" s="77"/>
      <c r="AL2927" s="77"/>
      <c r="AM2927" s="77"/>
      <c r="AN2927" s="77"/>
      <c r="AO2927" s="77"/>
      <c r="AP2927" s="77"/>
      <c r="AQ2927" s="77"/>
      <c r="AR2927" s="77"/>
      <c r="AS2927" s="77"/>
      <c r="AT2927" s="77"/>
      <c r="AU2927" s="77"/>
      <c r="AV2927" s="80" t="str">
        <f>HYPERLINK("https://pbs.twimg.com/profile_images/1588668531910082561/XEi-lXiu_normal.jpg")</f>
        <v>https://pbs.twimg.com/profile_images/1588668531910082561/XEi-lXiu_normal.jpg</v>
      </c>
      <c r="AW2927" s="82" t="s">
        <v>16011</v>
      </c>
      <c r="AX2927" s="82" t="s">
        <v>16011</v>
      </c>
      <c r="AY2927" s="77"/>
      <c r="AZ2927" s="82" t="s">
        <v>17385</v>
      </c>
      <c r="BA2927" s="82" t="s">
        <v>17385</v>
      </c>
      <c r="BB2927" s="82" t="s">
        <v>17385</v>
      </c>
      <c r="BC2927" s="82" t="s">
        <v>16011</v>
      </c>
      <c r="BD2927" s="82" t="s">
        <v>17667</v>
      </c>
      <c r="BE2927" s="77"/>
      <c r="BF2927" s="77"/>
      <c r="BG2927" s="77"/>
      <c r="BH2927" s="77"/>
      <c r="BI2927" s="77"/>
    </row>
    <row r="2928" spans="1:61" x14ac:dyDescent="0.25">
      <c r="A2928" s="62" t="s">
        <v>646</v>
      </c>
      <c r="B2928" s="62" t="s">
        <v>646</v>
      </c>
      <c r="C2928" s="63"/>
      <c r="D2928" s="64"/>
      <c r="E2928" s="65"/>
      <c r="F2928" s="66"/>
      <c r="G2928" s="63"/>
      <c r="H2928" s="67"/>
      <c r="I2928" s="68"/>
      <c r="J2928" s="68"/>
      <c r="K2928" s="32"/>
      <c r="L2928" s="75">
        <v>2928</v>
      </c>
      <c r="M2928" s="75"/>
      <c r="N2928" s="70"/>
      <c r="O2928" s="77" t="s">
        <v>179</v>
      </c>
      <c r="P2928" s="79">
        <v>45051.177349537036</v>
      </c>
      <c r="Q2928" s="77" t="s">
        <v>3705</v>
      </c>
      <c r="R2928" s="77">
        <v>0</v>
      </c>
      <c r="S2928" s="77">
        <v>0</v>
      </c>
      <c r="T2928" s="77">
        <v>0</v>
      </c>
      <c r="U2928" s="77">
        <v>0</v>
      </c>
      <c r="V2928" s="77">
        <v>37</v>
      </c>
      <c r="W2928" s="82" t="s">
        <v>6382</v>
      </c>
      <c r="X2928" s="80" t="str">
        <f>HYPERLINK("https://tinyurl.com/2z2o6u9p")</f>
        <v>https://tinyurl.com/2z2o6u9p</v>
      </c>
      <c r="Y2928" s="77" t="s">
        <v>7068</v>
      </c>
      <c r="Z2928" s="77"/>
      <c r="AA2928" s="77"/>
      <c r="AB2928" s="77"/>
      <c r="AC2928" s="82" t="s">
        <v>8275</v>
      </c>
      <c r="AD2928" s="77" t="s">
        <v>8278</v>
      </c>
      <c r="AE2928" s="80" t="str">
        <f>HYPERLINK("https://twitter.com/pauta_economica/status/1654338978575777794")</f>
        <v>https://twitter.com/pauta_economica/status/1654338978575777794</v>
      </c>
      <c r="AF2928" s="79">
        <v>45051.177349537036</v>
      </c>
      <c r="AG2928" s="85">
        <v>45051</v>
      </c>
      <c r="AH2928" s="82" t="s">
        <v>10962</v>
      </c>
      <c r="AI2928" s="77" t="b">
        <v>0</v>
      </c>
      <c r="AJ2928" s="77"/>
      <c r="AK2928" s="77"/>
      <c r="AL2928" s="77"/>
      <c r="AM2928" s="77"/>
      <c r="AN2928" s="77"/>
      <c r="AO2928" s="77"/>
      <c r="AP2928" s="77"/>
      <c r="AQ2928" s="77"/>
      <c r="AR2928" s="77"/>
      <c r="AS2928" s="77"/>
      <c r="AT2928" s="77"/>
      <c r="AU2928" s="77"/>
      <c r="AV2928" s="80" t="str">
        <f>HYPERLINK("https://pbs.twimg.com/profile_images/1588668531910082561/XEi-lXiu_normal.jpg")</f>
        <v>https://pbs.twimg.com/profile_images/1588668531910082561/XEi-lXiu_normal.jpg</v>
      </c>
      <c r="AW2928" s="82" t="s">
        <v>16012</v>
      </c>
      <c r="AX2928" s="82" t="s">
        <v>16012</v>
      </c>
      <c r="AY2928" s="77"/>
      <c r="AZ2928" s="82" t="s">
        <v>17385</v>
      </c>
      <c r="BA2928" s="82" t="s">
        <v>17385</v>
      </c>
      <c r="BB2928" s="82" t="s">
        <v>17385</v>
      </c>
      <c r="BC2928" s="82" t="s">
        <v>16012</v>
      </c>
      <c r="BD2928" s="82" t="s">
        <v>17667</v>
      </c>
      <c r="BE2928" s="77"/>
      <c r="BF2928" s="77"/>
      <c r="BG2928" s="77"/>
      <c r="BH2928" s="77"/>
      <c r="BI2928" s="77"/>
    </row>
    <row r="2929" spans="1:61" x14ac:dyDescent="0.25">
      <c r="A2929" s="62" t="s">
        <v>646</v>
      </c>
      <c r="B2929" s="62" t="s">
        <v>646</v>
      </c>
      <c r="C2929" s="63"/>
      <c r="D2929" s="64"/>
      <c r="E2929" s="65"/>
      <c r="F2929" s="66"/>
      <c r="G2929" s="63"/>
      <c r="H2929" s="67"/>
      <c r="I2929" s="68"/>
      <c r="J2929" s="68"/>
      <c r="K2929" s="32"/>
      <c r="L2929" s="75">
        <v>2929</v>
      </c>
      <c r="M2929" s="75"/>
      <c r="N2929" s="70"/>
      <c r="O2929" s="77" t="s">
        <v>179</v>
      </c>
      <c r="P2929" s="79">
        <v>45051.149525462963</v>
      </c>
      <c r="Q2929" s="77" t="s">
        <v>3706</v>
      </c>
      <c r="R2929" s="77">
        <v>0</v>
      </c>
      <c r="S2929" s="77">
        <v>0</v>
      </c>
      <c r="T2929" s="77">
        <v>0</v>
      </c>
      <c r="U2929" s="77">
        <v>0</v>
      </c>
      <c r="V2929" s="77">
        <v>41</v>
      </c>
      <c r="W2929" s="82" t="s">
        <v>6382</v>
      </c>
      <c r="X2929" s="80" t="str">
        <f>HYPERLINK("https://tinyurl.com/2k8kz7pg")</f>
        <v>https://tinyurl.com/2k8kz7pg</v>
      </c>
      <c r="Y2929" s="77" t="s">
        <v>7068</v>
      </c>
      <c r="Z2929" s="77"/>
      <c r="AA2929" s="77"/>
      <c r="AB2929" s="77"/>
      <c r="AC2929" s="82" t="s">
        <v>8275</v>
      </c>
      <c r="AD2929" s="77" t="s">
        <v>8278</v>
      </c>
      <c r="AE2929" s="80" t="str">
        <f>HYPERLINK("https://twitter.com/pauta_economica/status/1654328898430156801")</f>
        <v>https://twitter.com/pauta_economica/status/1654328898430156801</v>
      </c>
      <c r="AF2929" s="79">
        <v>45051.149525462963</v>
      </c>
      <c r="AG2929" s="85">
        <v>45051</v>
      </c>
      <c r="AH2929" s="82" t="s">
        <v>10963</v>
      </c>
      <c r="AI2929" s="77" t="b">
        <v>0</v>
      </c>
      <c r="AJ2929" s="77"/>
      <c r="AK2929" s="77"/>
      <c r="AL2929" s="77"/>
      <c r="AM2929" s="77"/>
      <c r="AN2929" s="77"/>
      <c r="AO2929" s="77"/>
      <c r="AP2929" s="77"/>
      <c r="AQ2929" s="77"/>
      <c r="AR2929" s="77"/>
      <c r="AS2929" s="77"/>
      <c r="AT2929" s="77"/>
      <c r="AU2929" s="77"/>
      <c r="AV2929" s="80" t="str">
        <f>HYPERLINK("https://pbs.twimg.com/profile_images/1588668531910082561/XEi-lXiu_normal.jpg")</f>
        <v>https://pbs.twimg.com/profile_images/1588668531910082561/XEi-lXiu_normal.jpg</v>
      </c>
      <c r="AW2929" s="82" t="s">
        <v>16013</v>
      </c>
      <c r="AX2929" s="82" t="s">
        <v>16013</v>
      </c>
      <c r="AY2929" s="77"/>
      <c r="AZ2929" s="82" t="s">
        <v>17385</v>
      </c>
      <c r="BA2929" s="82" t="s">
        <v>17385</v>
      </c>
      <c r="BB2929" s="82" t="s">
        <v>17385</v>
      </c>
      <c r="BC2929" s="82" t="s">
        <v>16013</v>
      </c>
      <c r="BD2929" s="82" t="s">
        <v>17667</v>
      </c>
      <c r="BE2929" s="77"/>
      <c r="BF2929" s="77"/>
      <c r="BG2929" s="77"/>
      <c r="BH2929" s="77"/>
      <c r="BI2929" s="77"/>
    </row>
    <row r="2930" spans="1:61" x14ac:dyDescent="0.25">
      <c r="A2930" s="62" t="s">
        <v>646</v>
      </c>
      <c r="B2930" s="62" t="s">
        <v>646</v>
      </c>
      <c r="C2930" s="63"/>
      <c r="D2930" s="64"/>
      <c r="E2930" s="65"/>
      <c r="F2930" s="66"/>
      <c r="G2930" s="63"/>
      <c r="H2930" s="67"/>
      <c r="I2930" s="68"/>
      <c r="J2930" s="68"/>
      <c r="K2930" s="32"/>
      <c r="L2930" s="75">
        <v>2930</v>
      </c>
      <c r="M2930" s="75"/>
      <c r="N2930" s="70"/>
      <c r="O2930" s="77" t="s">
        <v>179</v>
      </c>
      <c r="P2930" s="79">
        <v>45051.121678240743</v>
      </c>
      <c r="Q2930" s="77" t="s">
        <v>3707</v>
      </c>
      <c r="R2930" s="77">
        <v>0</v>
      </c>
      <c r="S2930" s="77">
        <v>0</v>
      </c>
      <c r="T2930" s="77">
        <v>0</v>
      </c>
      <c r="U2930" s="77">
        <v>0</v>
      </c>
      <c r="V2930" s="77">
        <v>42</v>
      </c>
      <c r="W2930" s="82" t="s">
        <v>6382</v>
      </c>
      <c r="X2930" s="80" t="str">
        <f>HYPERLINK("https://tinyurl.com/2odrl49g")</f>
        <v>https://tinyurl.com/2odrl49g</v>
      </c>
      <c r="Y2930" s="77" t="s">
        <v>7068</v>
      </c>
      <c r="Z2930" s="77"/>
      <c r="AA2930" s="77"/>
      <c r="AB2930" s="77"/>
      <c r="AC2930" s="82" t="s">
        <v>8275</v>
      </c>
      <c r="AD2930" s="77" t="s">
        <v>8278</v>
      </c>
      <c r="AE2930" s="80" t="str">
        <f>HYPERLINK("https://twitter.com/pauta_economica/status/1654318806330736640")</f>
        <v>https://twitter.com/pauta_economica/status/1654318806330736640</v>
      </c>
      <c r="AF2930" s="79">
        <v>45051.121678240743</v>
      </c>
      <c r="AG2930" s="85">
        <v>45051</v>
      </c>
      <c r="AH2930" s="82" t="s">
        <v>10964</v>
      </c>
      <c r="AI2930" s="77" t="b">
        <v>0</v>
      </c>
      <c r="AJ2930" s="77"/>
      <c r="AK2930" s="77"/>
      <c r="AL2930" s="77"/>
      <c r="AM2930" s="77"/>
      <c r="AN2930" s="77"/>
      <c r="AO2930" s="77"/>
      <c r="AP2930" s="77"/>
      <c r="AQ2930" s="77"/>
      <c r="AR2930" s="77"/>
      <c r="AS2930" s="77"/>
      <c r="AT2930" s="77"/>
      <c r="AU2930" s="77"/>
      <c r="AV2930" s="80" t="str">
        <f>HYPERLINK("https://pbs.twimg.com/profile_images/1588668531910082561/XEi-lXiu_normal.jpg")</f>
        <v>https://pbs.twimg.com/profile_images/1588668531910082561/XEi-lXiu_normal.jpg</v>
      </c>
      <c r="AW2930" s="82" t="s">
        <v>16014</v>
      </c>
      <c r="AX2930" s="82" t="s">
        <v>16014</v>
      </c>
      <c r="AY2930" s="77"/>
      <c r="AZ2930" s="82" t="s">
        <v>17385</v>
      </c>
      <c r="BA2930" s="82" t="s">
        <v>17385</v>
      </c>
      <c r="BB2930" s="82" t="s">
        <v>17385</v>
      </c>
      <c r="BC2930" s="82" t="s">
        <v>16014</v>
      </c>
      <c r="BD2930" s="82" t="s">
        <v>17667</v>
      </c>
      <c r="BE2930" s="77"/>
      <c r="BF2930" s="77"/>
      <c r="BG2930" s="77"/>
      <c r="BH2930" s="77"/>
      <c r="BI2930" s="77"/>
    </row>
    <row r="2931" spans="1:61" x14ac:dyDescent="0.25">
      <c r="A2931" s="62" t="s">
        <v>646</v>
      </c>
      <c r="B2931" s="62" t="s">
        <v>646</v>
      </c>
      <c r="C2931" s="63"/>
      <c r="D2931" s="64"/>
      <c r="E2931" s="65"/>
      <c r="F2931" s="66"/>
      <c r="G2931" s="63"/>
      <c r="H2931" s="67"/>
      <c r="I2931" s="68"/>
      <c r="J2931" s="68"/>
      <c r="K2931" s="32"/>
      <c r="L2931" s="75">
        <v>2931</v>
      </c>
      <c r="M2931" s="75"/>
      <c r="N2931" s="70"/>
      <c r="O2931" s="77" t="s">
        <v>179</v>
      </c>
      <c r="P2931" s="79">
        <v>45051.093715277777</v>
      </c>
      <c r="Q2931" s="77" t="s">
        <v>3708</v>
      </c>
      <c r="R2931" s="77">
        <v>0</v>
      </c>
      <c r="S2931" s="77">
        <v>1</v>
      </c>
      <c r="T2931" s="77">
        <v>0</v>
      </c>
      <c r="U2931" s="77">
        <v>0</v>
      </c>
      <c r="V2931" s="77">
        <v>60</v>
      </c>
      <c r="W2931" s="82" t="s">
        <v>6382</v>
      </c>
      <c r="X2931" s="80" t="str">
        <f>HYPERLINK("https://tinyurl.com/2hxyzprq")</f>
        <v>https://tinyurl.com/2hxyzprq</v>
      </c>
      <c r="Y2931" s="77" t="s">
        <v>7068</v>
      </c>
      <c r="Z2931" s="77"/>
      <c r="AA2931" s="77"/>
      <c r="AB2931" s="77"/>
      <c r="AC2931" s="82" t="s">
        <v>8275</v>
      </c>
      <c r="AD2931" s="77" t="s">
        <v>8278</v>
      </c>
      <c r="AE2931" s="80" t="str">
        <f>HYPERLINK("https://twitter.com/pauta_economica/status/1654308670761467905")</f>
        <v>https://twitter.com/pauta_economica/status/1654308670761467905</v>
      </c>
      <c r="AF2931" s="79">
        <v>45051.093715277777</v>
      </c>
      <c r="AG2931" s="85">
        <v>45051</v>
      </c>
      <c r="AH2931" s="82" t="s">
        <v>10965</v>
      </c>
      <c r="AI2931" s="77" t="b">
        <v>0</v>
      </c>
      <c r="AJ2931" s="77"/>
      <c r="AK2931" s="77"/>
      <c r="AL2931" s="77"/>
      <c r="AM2931" s="77"/>
      <c r="AN2931" s="77"/>
      <c r="AO2931" s="77"/>
      <c r="AP2931" s="77"/>
      <c r="AQ2931" s="77"/>
      <c r="AR2931" s="77"/>
      <c r="AS2931" s="77"/>
      <c r="AT2931" s="77"/>
      <c r="AU2931" s="77"/>
      <c r="AV2931" s="80" t="str">
        <f>HYPERLINK("https://pbs.twimg.com/profile_images/1588668531910082561/XEi-lXiu_normal.jpg")</f>
        <v>https://pbs.twimg.com/profile_images/1588668531910082561/XEi-lXiu_normal.jpg</v>
      </c>
      <c r="AW2931" s="82" t="s">
        <v>16015</v>
      </c>
      <c r="AX2931" s="82" t="s">
        <v>16015</v>
      </c>
      <c r="AY2931" s="77"/>
      <c r="AZ2931" s="82" t="s">
        <v>17385</v>
      </c>
      <c r="BA2931" s="82" t="s">
        <v>17385</v>
      </c>
      <c r="BB2931" s="82" t="s">
        <v>17385</v>
      </c>
      <c r="BC2931" s="82" t="s">
        <v>16015</v>
      </c>
      <c r="BD2931" s="82" t="s">
        <v>17667</v>
      </c>
      <c r="BE2931" s="77"/>
      <c r="BF2931" s="77"/>
      <c r="BG2931" s="77"/>
      <c r="BH2931" s="77"/>
      <c r="BI2931" s="77"/>
    </row>
    <row r="2932" spans="1:61" x14ac:dyDescent="0.25">
      <c r="A2932" s="62" t="s">
        <v>646</v>
      </c>
      <c r="B2932" s="62" t="s">
        <v>646</v>
      </c>
      <c r="C2932" s="63"/>
      <c r="D2932" s="64"/>
      <c r="E2932" s="65"/>
      <c r="F2932" s="66"/>
      <c r="G2932" s="63"/>
      <c r="H2932" s="67"/>
      <c r="I2932" s="68"/>
      <c r="J2932" s="68"/>
      <c r="K2932" s="32"/>
      <c r="L2932" s="75">
        <v>2932</v>
      </c>
      <c r="M2932" s="75"/>
      <c r="N2932" s="70"/>
      <c r="O2932" s="77" t="s">
        <v>179</v>
      </c>
      <c r="P2932" s="79">
        <v>45051.065937500003</v>
      </c>
      <c r="Q2932" s="77" t="s">
        <v>3709</v>
      </c>
      <c r="R2932" s="77">
        <v>0</v>
      </c>
      <c r="S2932" s="77">
        <v>2</v>
      </c>
      <c r="T2932" s="77">
        <v>0</v>
      </c>
      <c r="U2932" s="77">
        <v>0</v>
      </c>
      <c r="V2932" s="77">
        <v>44</v>
      </c>
      <c r="W2932" s="82" t="s">
        <v>6382</v>
      </c>
      <c r="X2932" s="80" t="str">
        <f>HYPERLINK("https://tinyurl.com/2kcos7nx")</f>
        <v>https://tinyurl.com/2kcos7nx</v>
      </c>
      <c r="Y2932" s="77" t="s">
        <v>7068</v>
      </c>
      <c r="Z2932" s="77"/>
      <c r="AA2932" s="77"/>
      <c r="AB2932" s="77"/>
      <c r="AC2932" s="82" t="s">
        <v>8275</v>
      </c>
      <c r="AD2932" s="77" t="s">
        <v>8278</v>
      </c>
      <c r="AE2932" s="80" t="str">
        <f>HYPERLINK("https://twitter.com/pauta_economica/status/1654298603299524608")</f>
        <v>https://twitter.com/pauta_economica/status/1654298603299524608</v>
      </c>
      <c r="AF2932" s="79">
        <v>45051.065937500003</v>
      </c>
      <c r="AG2932" s="85">
        <v>45051</v>
      </c>
      <c r="AH2932" s="82" t="s">
        <v>10966</v>
      </c>
      <c r="AI2932" s="77" t="b">
        <v>0</v>
      </c>
      <c r="AJ2932" s="77"/>
      <c r="AK2932" s="77"/>
      <c r="AL2932" s="77"/>
      <c r="AM2932" s="77"/>
      <c r="AN2932" s="77"/>
      <c r="AO2932" s="77"/>
      <c r="AP2932" s="77"/>
      <c r="AQ2932" s="77"/>
      <c r="AR2932" s="77"/>
      <c r="AS2932" s="77"/>
      <c r="AT2932" s="77"/>
      <c r="AU2932" s="77"/>
      <c r="AV2932" s="80" t="str">
        <f>HYPERLINK("https://pbs.twimg.com/profile_images/1588668531910082561/XEi-lXiu_normal.jpg")</f>
        <v>https://pbs.twimg.com/profile_images/1588668531910082561/XEi-lXiu_normal.jpg</v>
      </c>
      <c r="AW2932" s="82" t="s">
        <v>16016</v>
      </c>
      <c r="AX2932" s="82" t="s">
        <v>16016</v>
      </c>
      <c r="AY2932" s="77"/>
      <c r="AZ2932" s="82" t="s">
        <v>17385</v>
      </c>
      <c r="BA2932" s="82" t="s">
        <v>17385</v>
      </c>
      <c r="BB2932" s="82" t="s">
        <v>17385</v>
      </c>
      <c r="BC2932" s="82" t="s">
        <v>16016</v>
      </c>
      <c r="BD2932" s="82" t="s">
        <v>17667</v>
      </c>
      <c r="BE2932" s="77"/>
      <c r="BF2932" s="77"/>
      <c r="BG2932" s="77"/>
      <c r="BH2932" s="77"/>
      <c r="BI2932" s="77"/>
    </row>
    <row r="2933" spans="1:61" x14ac:dyDescent="0.25">
      <c r="A2933" s="62" t="s">
        <v>646</v>
      </c>
      <c r="B2933" s="62" t="s">
        <v>646</v>
      </c>
      <c r="C2933" s="63"/>
      <c r="D2933" s="64"/>
      <c r="E2933" s="65"/>
      <c r="F2933" s="66"/>
      <c r="G2933" s="63"/>
      <c r="H2933" s="67"/>
      <c r="I2933" s="68"/>
      <c r="J2933" s="68"/>
      <c r="K2933" s="32"/>
      <c r="L2933" s="75">
        <v>2933</v>
      </c>
      <c r="M2933" s="75"/>
      <c r="N2933" s="70"/>
      <c r="O2933" s="77" t="s">
        <v>179</v>
      </c>
      <c r="P2933" s="79">
        <v>45051.010254629633</v>
      </c>
      <c r="Q2933" s="77" t="s">
        <v>3710</v>
      </c>
      <c r="R2933" s="77">
        <v>0</v>
      </c>
      <c r="S2933" s="77">
        <v>0</v>
      </c>
      <c r="T2933" s="77">
        <v>0</v>
      </c>
      <c r="U2933" s="77">
        <v>0</v>
      </c>
      <c r="V2933" s="77">
        <v>91</v>
      </c>
      <c r="W2933" s="82" t="s">
        <v>6382</v>
      </c>
      <c r="X2933" s="80" t="str">
        <f>HYPERLINK("https://tinyurl.com/2mdg2jse")</f>
        <v>https://tinyurl.com/2mdg2jse</v>
      </c>
      <c r="Y2933" s="77" t="s">
        <v>7068</v>
      </c>
      <c r="Z2933" s="77"/>
      <c r="AA2933" s="77"/>
      <c r="AB2933" s="77"/>
      <c r="AC2933" s="82" t="s">
        <v>8275</v>
      </c>
      <c r="AD2933" s="77" t="s">
        <v>8278</v>
      </c>
      <c r="AE2933" s="80" t="str">
        <f>HYPERLINK("https://twitter.com/pauta_economica/status/1654278427455651842")</f>
        <v>https://twitter.com/pauta_economica/status/1654278427455651842</v>
      </c>
      <c r="AF2933" s="79">
        <v>45051.010254629633</v>
      </c>
      <c r="AG2933" s="85">
        <v>45051</v>
      </c>
      <c r="AH2933" s="82" t="s">
        <v>10967</v>
      </c>
      <c r="AI2933" s="77" t="b">
        <v>0</v>
      </c>
      <c r="AJ2933" s="77"/>
      <c r="AK2933" s="77"/>
      <c r="AL2933" s="77"/>
      <c r="AM2933" s="77"/>
      <c r="AN2933" s="77"/>
      <c r="AO2933" s="77"/>
      <c r="AP2933" s="77"/>
      <c r="AQ2933" s="77"/>
      <c r="AR2933" s="77"/>
      <c r="AS2933" s="77"/>
      <c r="AT2933" s="77"/>
      <c r="AU2933" s="77"/>
      <c r="AV2933" s="80" t="str">
        <f>HYPERLINK("https://pbs.twimg.com/profile_images/1588668531910082561/XEi-lXiu_normal.jpg")</f>
        <v>https://pbs.twimg.com/profile_images/1588668531910082561/XEi-lXiu_normal.jpg</v>
      </c>
      <c r="AW2933" s="82" t="s">
        <v>16017</v>
      </c>
      <c r="AX2933" s="82" t="s">
        <v>16017</v>
      </c>
      <c r="AY2933" s="77"/>
      <c r="AZ2933" s="82" t="s">
        <v>17385</v>
      </c>
      <c r="BA2933" s="82" t="s">
        <v>17385</v>
      </c>
      <c r="BB2933" s="82" t="s">
        <v>17385</v>
      </c>
      <c r="BC2933" s="82" t="s">
        <v>16017</v>
      </c>
      <c r="BD2933" s="82" t="s">
        <v>17667</v>
      </c>
      <c r="BE2933" s="77"/>
      <c r="BF2933" s="77"/>
      <c r="BG2933" s="77"/>
      <c r="BH2933" s="77"/>
      <c r="BI2933" s="77"/>
    </row>
    <row r="2934" spans="1:61" x14ac:dyDescent="0.25">
      <c r="A2934" s="62" t="s">
        <v>646</v>
      </c>
      <c r="B2934" s="62" t="s">
        <v>646</v>
      </c>
      <c r="C2934" s="63"/>
      <c r="D2934" s="64"/>
      <c r="E2934" s="65"/>
      <c r="F2934" s="66"/>
      <c r="G2934" s="63"/>
      <c r="H2934" s="67"/>
      <c r="I2934" s="68"/>
      <c r="J2934" s="68"/>
      <c r="K2934" s="32"/>
      <c r="L2934" s="75">
        <v>2934</v>
      </c>
      <c r="M2934" s="75"/>
      <c r="N2934" s="70"/>
      <c r="O2934" s="77" t="s">
        <v>179</v>
      </c>
      <c r="P2934" s="79">
        <v>45050.899016203701</v>
      </c>
      <c r="Q2934" s="77" t="s">
        <v>3711</v>
      </c>
      <c r="R2934" s="77">
        <v>0</v>
      </c>
      <c r="S2934" s="77">
        <v>0</v>
      </c>
      <c r="T2934" s="77">
        <v>0</v>
      </c>
      <c r="U2934" s="77">
        <v>0</v>
      </c>
      <c r="V2934" s="77">
        <v>20</v>
      </c>
      <c r="W2934" s="82" t="s">
        <v>6382</v>
      </c>
      <c r="X2934" s="80" t="str">
        <f>HYPERLINK("https://tinyurl.com/2e92t8tn")</f>
        <v>https://tinyurl.com/2e92t8tn</v>
      </c>
      <c r="Y2934" s="77" t="s">
        <v>7068</v>
      </c>
      <c r="Z2934" s="77"/>
      <c r="AA2934" s="77"/>
      <c r="AB2934" s="77"/>
      <c r="AC2934" s="82" t="s">
        <v>8275</v>
      </c>
      <c r="AD2934" s="77" t="s">
        <v>8278</v>
      </c>
      <c r="AE2934" s="80" t="str">
        <f>HYPERLINK("https://twitter.com/pauta_economica/status/1654238113068118019")</f>
        <v>https://twitter.com/pauta_economica/status/1654238113068118019</v>
      </c>
      <c r="AF2934" s="79">
        <v>45050.899016203701</v>
      </c>
      <c r="AG2934" s="85">
        <v>45050</v>
      </c>
      <c r="AH2934" s="82" t="s">
        <v>10968</v>
      </c>
      <c r="AI2934" s="77" t="b">
        <v>0</v>
      </c>
      <c r="AJ2934" s="77"/>
      <c r="AK2934" s="77"/>
      <c r="AL2934" s="77"/>
      <c r="AM2934" s="77"/>
      <c r="AN2934" s="77"/>
      <c r="AO2934" s="77"/>
      <c r="AP2934" s="77"/>
      <c r="AQ2934" s="77"/>
      <c r="AR2934" s="77"/>
      <c r="AS2934" s="77"/>
      <c r="AT2934" s="77"/>
      <c r="AU2934" s="77"/>
      <c r="AV2934" s="80" t="str">
        <f>HYPERLINK("https://pbs.twimg.com/profile_images/1588668531910082561/XEi-lXiu_normal.jpg")</f>
        <v>https://pbs.twimg.com/profile_images/1588668531910082561/XEi-lXiu_normal.jpg</v>
      </c>
      <c r="AW2934" s="82" t="s">
        <v>16018</v>
      </c>
      <c r="AX2934" s="82" t="s">
        <v>16018</v>
      </c>
      <c r="AY2934" s="77"/>
      <c r="AZ2934" s="82" t="s">
        <v>17385</v>
      </c>
      <c r="BA2934" s="82" t="s">
        <v>17385</v>
      </c>
      <c r="BB2934" s="82" t="s">
        <v>17385</v>
      </c>
      <c r="BC2934" s="82" t="s">
        <v>16018</v>
      </c>
      <c r="BD2934" s="82" t="s">
        <v>17667</v>
      </c>
      <c r="BE2934" s="77"/>
      <c r="BF2934" s="77"/>
      <c r="BG2934" s="77"/>
      <c r="BH2934" s="77"/>
      <c r="BI2934" s="77"/>
    </row>
    <row r="2935" spans="1:61" x14ac:dyDescent="0.25">
      <c r="A2935" s="62" t="s">
        <v>646</v>
      </c>
      <c r="B2935" s="62" t="s">
        <v>646</v>
      </c>
      <c r="C2935" s="63"/>
      <c r="D2935" s="64"/>
      <c r="E2935" s="65"/>
      <c r="F2935" s="66"/>
      <c r="G2935" s="63"/>
      <c r="H2935" s="67"/>
      <c r="I2935" s="68"/>
      <c r="J2935" s="68"/>
      <c r="K2935" s="32"/>
      <c r="L2935" s="75">
        <v>2935</v>
      </c>
      <c r="M2935" s="75"/>
      <c r="N2935" s="70"/>
      <c r="O2935" s="77" t="s">
        <v>179</v>
      </c>
      <c r="P2935" s="79">
        <v>45050.871180555558</v>
      </c>
      <c r="Q2935" s="77" t="s">
        <v>3712</v>
      </c>
      <c r="R2935" s="77">
        <v>0</v>
      </c>
      <c r="S2935" s="77">
        <v>0</v>
      </c>
      <c r="T2935" s="77">
        <v>0</v>
      </c>
      <c r="U2935" s="77">
        <v>0</v>
      </c>
      <c r="V2935" s="77">
        <v>24</v>
      </c>
      <c r="W2935" s="82" t="s">
        <v>6382</v>
      </c>
      <c r="X2935" s="80" t="str">
        <f>HYPERLINK("https://tinyurl.com/2nwntl5d")</f>
        <v>https://tinyurl.com/2nwntl5d</v>
      </c>
      <c r="Y2935" s="77" t="s">
        <v>7068</v>
      </c>
      <c r="Z2935" s="77"/>
      <c r="AA2935" s="77"/>
      <c r="AB2935" s="77"/>
      <c r="AC2935" s="82" t="s">
        <v>8275</v>
      </c>
      <c r="AD2935" s="77" t="s">
        <v>8278</v>
      </c>
      <c r="AE2935" s="80" t="str">
        <f>HYPERLINK("https://twitter.com/pauta_economica/status/1654228027759374336")</f>
        <v>https://twitter.com/pauta_economica/status/1654228027759374336</v>
      </c>
      <c r="AF2935" s="79">
        <v>45050.871180555558</v>
      </c>
      <c r="AG2935" s="85">
        <v>45050</v>
      </c>
      <c r="AH2935" s="82" t="s">
        <v>10969</v>
      </c>
      <c r="AI2935" s="77" t="b">
        <v>0</v>
      </c>
      <c r="AJ2935" s="77"/>
      <c r="AK2935" s="77"/>
      <c r="AL2935" s="77"/>
      <c r="AM2935" s="77"/>
      <c r="AN2935" s="77"/>
      <c r="AO2935" s="77"/>
      <c r="AP2935" s="77"/>
      <c r="AQ2935" s="77"/>
      <c r="AR2935" s="77"/>
      <c r="AS2935" s="77"/>
      <c r="AT2935" s="77"/>
      <c r="AU2935" s="77"/>
      <c r="AV2935" s="80" t="str">
        <f>HYPERLINK("https://pbs.twimg.com/profile_images/1588668531910082561/XEi-lXiu_normal.jpg")</f>
        <v>https://pbs.twimg.com/profile_images/1588668531910082561/XEi-lXiu_normal.jpg</v>
      </c>
      <c r="AW2935" s="82" t="s">
        <v>16019</v>
      </c>
      <c r="AX2935" s="82" t="s">
        <v>16019</v>
      </c>
      <c r="AY2935" s="77"/>
      <c r="AZ2935" s="82" t="s">
        <v>17385</v>
      </c>
      <c r="BA2935" s="82" t="s">
        <v>17385</v>
      </c>
      <c r="BB2935" s="82" t="s">
        <v>17385</v>
      </c>
      <c r="BC2935" s="82" t="s">
        <v>16019</v>
      </c>
      <c r="BD2935" s="82" t="s">
        <v>17667</v>
      </c>
      <c r="BE2935" s="77"/>
      <c r="BF2935" s="77"/>
      <c r="BG2935" s="77"/>
      <c r="BH2935" s="77"/>
      <c r="BI2935" s="77"/>
    </row>
    <row r="2936" spans="1:61" x14ac:dyDescent="0.25">
      <c r="A2936" s="62" t="s">
        <v>646</v>
      </c>
      <c r="B2936" s="62" t="s">
        <v>646</v>
      </c>
      <c r="C2936" s="63"/>
      <c r="D2936" s="64"/>
      <c r="E2936" s="65"/>
      <c r="F2936" s="66"/>
      <c r="G2936" s="63"/>
      <c r="H2936" s="67"/>
      <c r="I2936" s="68"/>
      <c r="J2936" s="68"/>
      <c r="K2936" s="32"/>
      <c r="L2936" s="75">
        <v>2936</v>
      </c>
      <c r="M2936" s="75"/>
      <c r="N2936" s="70"/>
      <c r="O2936" s="77" t="s">
        <v>179</v>
      </c>
      <c r="P2936" s="79">
        <v>45050.787662037037</v>
      </c>
      <c r="Q2936" s="77" t="s">
        <v>3713</v>
      </c>
      <c r="R2936" s="77">
        <v>3</v>
      </c>
      <c r="S2936" s="77">
        <v>4</v>
      </c>
      <c r="T2936" s="77">
        <v>1</v>
      </c>
      <c r="U2936" s="77">
        <v>0</v>
      </c>
      <c r="V2936" s="77">
        <v>58</v>
      </c>
      <c r="W2936" s="82" t="s">
        <v>6382</v>
      </c>
      <c r="X2936" s="80" t="str">
        <f>HYPERLINK("https://tinyurl.com/2jg4zjx6")</f>
        <v>https://tinyurl.com/2jg4zjx6</v>
      </c>
      <c r="Y2936" s="77" t="s">
        <v>7068</v>
      </c>
      <c r="Z2936" s="77"/>
      <c r="AA2936" s="77"/>
      <c r="AB2936" s="77"/>
      <c r="AC2936" s="82" t="s">
        <v>8275</v>
      </c>
      <c r="AD2936" s="77" t="s">
        <v>8278</v>
      </c>
      <c r="AE2936" s="80" t="str">
        <f>HYPERLINK("https://twitter.com/pauta_economica/status/1654197762584465425")</f>
        <v>https://twitter.com/pauta_economica/status/1654197762584465425</v>
      </c>
      <c r="AF2936" s="79">
        <v>45050.787662037037</v>
      </c>
      <c r="AG2936" s="85">
        <v>45050</v>
      </c>
      <c r="AH2936" s="82" t="s">
        <v>10970</v>
      </c>
      <c r="AI2936" s="77" t="b">
        <v>0</v>
      </c>
      <c r="AJ2936" s="77"/>
      <c r="AK2936" s="77"/>
      <c r="AL2936" s="77"/>
      <c r="AM2936" s="77"/>
      <c r="AN2936" s="77"/>
      <c r="AO2936" s="77"/>
      <c r="AP2936" s="77"/>
      <c r="AQ2936" s="77"/>
      <c r="AR2936" s="77"/>
      <c r="AS2936" s="77"/>
      <c r="AT2936" s="77"/>
      <c r="AU2936" s="77"/>
      <c r="AV2936" s="80" t="str">
        <f>HYPERLINK("https://pbs.twimg.com/profile_images/1588668531910082561/XEi-lXiu_normal.jpg")</f>
        <v>https://pbs.twimg.com/profile_images/1588668531910082561/XEi-lXiu_normal.jpg</v>
      </c>
      <c r="AW2936" s="82" t="s">
        <v>16020</v>
      </c>
      <c r="AX2936" s="82" t="s">
        <v>16020</v>
      </c>
      <c r="AY2936" s="77"/>
      <c r="AZ2936" s="82" t="s">
        <v>17385</v>
      </c>
      <c r="BA2936" s="82" t="s">
        <v>17385</v>
      </c>
      <c r="BB2936" s="82" t="s">
        <v>17385</v>
      </c>
      <c r="BC2936" s="82" t="s">
        <v>16020</v>
      </c>
      <c r="BD2936" s="82" t="s">
        <v>17667</v>
      </c>
      <c r="BE2936" s="77"/>
      <c r="BF2936" s="77"/>
      <c r="BG2936" s="77"/>
      <c r="BH2936" s="77"/>
      <c r="BI2936" s="77"/>
    </row>
    <row r="2937" spans="1:61" x14ac:dyDescent="0.25">
      <c r="A2937" s="62" t="s">
        <v>646</v>
      </c>
      <c r="B2937" s="62" t="s">
        <v>646</v>
      </c>
      <c r="C2937" s="63"/>
      <c r="D2937" s="64"/>
      <c r="E2937" s="65"/>
      <c r="F2937" s="66"/>
      <c r="G2937" s="63"/>
      <c r="H2937" s="67"/>
      <c r="I2937" s="68"/>
      <c r="J2937" s="68"/>
      <c r="K2937" s="32"/>
      <c r="L2937" s="75">
        <v>2937</v>
      </c>
      <c r="M2937" s="75"/>
      <c r="N2937" s="70"/>
      <c r="O2937" s="77" t="s">
        <v>179</v>
      </c>
      <c r="P2937" s="79">
        <v>45050.73196759259</v>
      </c>
      <c r="Q2937" s="77" t="s">
        <v>3714</v>
      </c>
      <c r="R2937" s="77">
        <v>0</v>
      </c>
      <c r="S2937" s="77">
        <v>0</v>
      </c>
      <c r="T2937" s="77">
        <v>0</v>
      </c>
      <c r="U2937" s="77">
        <v>0</v>
      </c>
      <c r="V2937" s="77">
        <v>11</v>
      </c>
      <c r="W2937" s="82" t="s">
        <v>6382</v>
      </c>
      <c r="X2937" s="80" t="str">
        <f>HYPERLINK("https://tinyurl.com/2mm4qxtb")</f>
        <v>https://tinyurl.com/2mm4qxtb</v>
      </c>
      <c r="Y2937" s="77" t="s">
        <v>7068</v>
      </c>
      <c r="Z2937" s="77"/>
      <c r="AA2937" s="77"/>
      <c r="AB2937" s="77"/>
      <c r="AC2937" s="82" t="s">
        <v>8275</v>
      </c>
      <c r="AD2937" s="77" t="s">
        <v>8278</v>
      </c>
      <c r="AE2937" s="80" t="str">
        <f>HYPERLINK("https://twitter.com/pauta_economica/status/1654177576732983326")</f>
        <v>https://twitter.com/pauta_economica/status/1654177576732983326</v>
      </c>
      <c r="AF2937" s="79">
        <v>45050.73196759259</v>
      </c>
      <c r="AG2937" s="85">
        <v>45050</v>
      </c>
      <c r="AH2937" s="82" t="s">
        <v>10971</v>
      </c>
      <c r="AI2937" s="77" t="b">
        <v>0</v>
      </c>
      <c r="AJ2937" s="77"/>
      <c r="AK2937" s="77"/>
      <c r="AL2937" s="77"/>
      <c r="AM2937" s="77"/>
      <c r="AN2937" s="77"/>
      <c r="AO2937" s="77"/>
      <c r="AP2937" s="77"/>
      <c r="AQ2937" s="77"/>
      <c r="AR2937" s="77"/>
      <c r="AS2937" s="77"/>
      <c r="AT2937" s="77"/>
      <c r="AU2937" s="77"/>
      <c r="AV2937" s="80" t="str">
        <f>HYPERLINK("https://pbs.twimg.com/profile_images/1588668531910082561/XEi-lXiu_normal.jpg")</f>
        <v>https://pbs.twimg.com/profile_images/1588668531910082561/XEi-lXiu_normal.jpg</v>
      </c>
      <c r="AW2937" s="82" t="s">
        <v>16021</v>
      </c>
      <c r="AX2937" s="82" t="s">
        <v>16021</v>
      </c>
      <c r="AY2937" s="77"/>
      <c r="AZ2937" s="82" t="s">
        <v>17385</v>
      </c>
      <c r="BA2937" s="82" t="s">
        <v>17385</v>
      </c>
      <c r="BB2937" s="82" t="s">
        <v>17385</v>
      </c>
      <c r="BC2937" s="82" t="s">
        <v>16021</v>
      </c>
      <c r="BD2937" s="82" t="s">
        <v>17667</v>
      </c>
      <c r="BE2937" s="77"/>
      <c r="BF2937" s="77"/>
      <c r="BG2937" s="77"/>
      <c r="BH2937" s="77"/>
      <c r="BI2937" s="77"/>
    </row>
    <row r="2938" spans="1:61" x14ac:dyDescent="0.25">
      <c r="A2938" s="62" t="s">
        <v>646</v>
      </c>
      <c r="B2938" s="62" t="s">
        <v>646</v>
      </c>
      <c r="C2938" s="63"/>
      <c r="D2938" s="64"/>
      <c r="E2938" s="65"/>
      <c r="F2938" s="66"/>
      <c r="G2938" s="63"/>
      <c r="H2938" s="67"/>
      <c r="I2938" s="68"/>
      <c r="J2938" s="68"/>
      <c r="K2938" s="32"/>
      <c r="L2938" s="75">
        <v>2938</v>
      </c>
      <c r="M2938" s="75"/>
      <c r="N2938" s="70"/>
      <c r="O2938" s="77" t="s">
        <v>179</v>
      </c>
      <c r="P2938" s="79">
        <v>45050.704016203701</v>
      </c>
      <c r="Q2938" s="77" t="s">
        <v>3715</v>
      </c>
      <c r="R2938" s="77">
        <v>0</v>
      </c>
      <c r="S2938" s="77">
        <v>0</v>
      </c>
      <c r="T2938" s="77">
        <v>0</v>
      </c>
      <c r="U2938" s="77">
        <v>1</v>
      </c>
      <c r="V2938" s="77">
        <v>52</v>
      </c>
      <c r="W2938" s="82" t="s">
        <v>6382</v>
      </c>
      <c r="X2938" s="80" t="str">
        <f>HYPERLINK("https://tinyurl.com/2gg9cwl8")</f>
        <v>https://tinyurl.com/2gg9cwl8</v>
      </c>
      <c r="Y2938" s="77" t="s">
        <v>7068</v>
      </c>
      <c r="Z2938" s="77"/>
      <c r="AA2938" s="77"/>
      <c r="AB2938" s="77"/>
      <c r="AC2938" s="82" t="s">
        <v>8275</v>
      </c>
      <c r="AD2938" s="77" t="s">
        <v>8278</v>
      </c>
      <c r="AE2938" s="80" t="str">
        <f>HYPERLINK("https://twitter.com/pauta_economica/status/1654167448562683904")</f>
        <v>https://twitter.com/pauta_economica/status/1654167448562683904</v>
      </c>
      <c r="AF2938" s="79">
        <v>45050.704016203701</v>
      </c>
      <c r="AG2938" s="85">
        <v>45050</v>
      </c>
      <c r="AH2938" s="82" t="s">
        <v>10972</v>
      </c>
      <c r="AI2938" s="77" t="b">
        <v>0</v>
      </c>
      <c r="AJ2938" s="77"/>
      <c r="AK2938" s="77"/>
      <c r="AL2938" s="77"/>
      <c r="AM2938" s="77"/>
      <c r="AN2938" s="77"/>
      <c r="AO2938" s="77"/>
      <c r="AP2938" s="77"/>
      <c r="AQ2938" s="77"/>
      <c r="AR2938" s="77"/>
      <c r="AS2938" s="77"/>
      <c r="AT2938" s="77"/>
      <c r="AU2938" s="77"/>
      <c r="AV2938" s="80" t="str">
        <f>HYPERLINK("https://pbs.twimg.com/profile_images/1588668531910082561/XEi-lXiu_normal.jpg")</f>
        <v>https://pbs.twimg.com/profile_images/1588668531910082561/XEi-lXiu_normal.jpg</v>
      </c>
      <c r="AW2938" s="82" t="s">
        <v>16022</v>
      </c>
      <c r="AX2938" s="82" t="s">
        <v>16022</v>
      </c>
      <c r="AY2938" s="77"/>
      <c r="AZ2938" s="82" t="s">
        <v>17385</v>
      </c>
      <c r="BA2938" s="82" t="s">
        <v>17385</v>
      </c>
      <c r="BB2938" s="82" t="s">
        <v>17385</v>
      </c>
      <c r="BC2938" s="82" t="s">
        <v>16022</v>
      </c>
      <c r="BD2938" s="82" t="s">
        <v>17667</v>
      </c>
      <c r="BE2938" s="77"/>
      <c r="BF2938" s="77"/>
      <c r="BG2938" s="77"/>
      <c r="BH2938" s="77"/>
      <c r="BI2938" s="77"/>
    </row>
    <row r="2939" spans="1:61" x14ac:dyDescent="0.25">
      <c r="A2939" s="62" t="s">
        <v>646</v>
      </c>
      <c r="B2939" s="62" t="s">
        <v>646</v>
      </c>
      <c r="C2939" s="63"/>
      <c r="D2939" s="64"/>
      <c r="E2939" s="65"/>
      <c r="F2939" s="66"/>
      <c r="G2939" s="63"/>
      <c r="H2939" s="67"/>
      <c r="I2939" s="68"/>
      <c r="J2939" s="68"/>
      <c r="K2939" s="32"/>
      <c r="L2939" s="75">
        <v>2939</v>
      </c>
      <c r="M2939" s="75"/>
      <c r="N2939" s="70"/>
      <c r="O2939" s="77" t="s">
        <v>179</v>
      </c>
      <c r="P2939" s="79">
        <v>45050.591550925928</v>
      </c>
      <c r="Q2939" s="77" t="s">
        <v>3716</v>
      </c>
      <c r="R2939" s="77">
        <v>0</v>
      </c>
      <c r="S2939" s="77">
        <v>0</v>
      </c>
      <c r="T2939" s="77">
        <v>0</v>
      </c>
      <c r="U2939" s="77">
        <v>0</v>
      </c>
      <c r="V2939" s="77">
        <v>212</v>
      </c>
      <c r="W2939" s="82" t="s">
        <v>6382</v>
      </c>
      <c r="X2939" s="80" t="str">
        <f>HYPERLINK("https://tinyurl.com/2jb6vm3m")</f>
        <v>https://tinyurl.com/2jb6vm3m</v>
      </c>
      <c r="Y2939" s="77" t="s">
        <v>7068</v>
      </c>
      <c r="Z2939" s="77"/>
      <c r="AA2939" s="77"/>
      <c r="AB2939" s="77"/>
      <c r="AC2939" s="82" t="s">
        <v>8275</v>
      </c>
      <c r="AD2939" s="77" t="s">
        <v>8278</v>
      </c>
      <c r="AE2939" s="80" t="str">
        <f>HYPERLINK("https://twitter.com/pauta_economica/status/1654126694368964610")</f>
        <v>https://twitter.com/pauta_economica/status/1654126694368964610</v>
      </c>
      <c r="AF2939" s="79">
        <v>45050.591550925928</v>
      </c>
      <c r="AG2939" s="85">
        <v>45050</v>
      </c>
      <c r="AH2939" s="82" t="s">
        <v>8742</v>
      </c>
      <c r="AI2939" s="77" t="b">
        <v>0</v>
      </c>
      <c r="AJ2939" s="77"/>
      <c r="AK2939" s="77"/>
      <c r="AL2939" s="77"/>
      <c r="AM2939" s="77"/>
      <c r="AN2939" s="77"/>
      <c r="AO2939" s="77"/>
      <c r="AP2939" s="77"/>
      <c r="AQ2939" s="77"/>
      <c r="AR2939" s="77"/>
      <c r="AS2939" s="77"/>
      <c r="AT2939" s="77"/>
      <c r="AU2939" s="77"/>
      <c r="AV2939" s="80" t="str">
        <f>HYPERLINK("https://pbs.twimg.com/profile_images/1588668531910082561/XEi-lXiu_normal.jpg")</f>
        <v>https://pbs.twimg.com/profile_images/1588668531910082561/XEi-lXiu_normal.jpg</v>
      </c>
      <c r="AW2939" s="82" t="s">
        <v>16023</v>
      </c>
      <c r="AX2939" s="82" t="s">
        <v>16023</v>
      </c>
      <c r="AY2939" s="77"/>
      <c r="AZ2939" s="82" t="s">
        <v>17385</v>
      </c>
      <c r="BA2939" s="82" t="s">
        <v>17385</v>
      </c>
      <c r="BB2939" s="82" t="s">
        <v>17385</v>
      </c>
      <c r="BC2939" s="82" t="s">
        <v>16023</v>
      </c>
      <c r="BD2939" s="82" t="s">
        <v>17667</v>
      </c>
      <c r="BE2939" s="77"/>
      <c r="BF2939" s="77"/>
      <c r="BG2939" s="77"/>
      <c r="BH2939" s="77"/>
      <c r="BI2939" s="77"/>
    </row>
    <row r="2940" spans="1:61" x14ac:dyDescent="0.25">
      <c r="A2940" s="62" t="s">
        <v>646</v>
      </c>
      <c r="B2940" s="62" t="s">
        <v>646</v>
      </c>
      <c r="C2940" s="63"/>
      <c r="D2940" s="64"/>
      <c r="E2940" s="65"/>
      <c r="F2940" s="66"/>
      <c r="G2940" s="63"/>
      <c r="H2940" s="67"/>
      <c r="I2940" s="68"/>
      <c r="J2940" s="68"/>
      <c r="K2940" s="32"/>
      <c r="L2940" s="75">
        <v>2940</v>
      </c>
      <c r="M2940" s="75"/>
      <c r="N2940" s="70"/>
      <c r="O2940" s="77" t="s">
        <v>179</v>
      </c>
      <c r="P2940" s="79">
        <v>45050.562013888892</v>
      </c>
      <c r="Q2940" s="77" t="s">
        <v>3717</v>
      </c>
      <c r="R2940" s="77">
        <v>0</v>
      </c>
      <c r="S2940" s="77">
        <v>0</v>
      </c>
      <c r="T2940" s="77">
        <v>0</v>
      </c>
      <c r="U2940" s="77">
        <v>0</v>
      </c>
      <c r="V2940" s="77">
        <v>13</v>
      </c>
      <c r="W2940" s="82" t="s">
        <v>6382</v>
      </c>
      <c r="X2940" s="80" t="str">
        <f>HYPERLINK("https://tinyurl.com/2ozenbg8")</f>
        <v>https://tinyurl.com/2ozenbg8</v>
      </c>
      <c r="Y2940" s="77" t="s">
        <v>7068</v>
      </c>
      <c r="Z2940" s="77"/>
      <c r="AA2940" s="77"/>
      <c r="AB2940" s="77"/>
      <c r="AC2940" s="82" t="s">
        <v>8275</v>
      </c>
      <c r="AD2940" s="77" t="s">
        <v>8278</v>
      </c>
      <c r="AE2940" s="80" t="str">
        <f>HYPERLINK("https://twitter.com/pauta_economica/status/1654115988789510149")</f>
        <v>https://twitter.com/pauta_economica/status/1654115988789510149</v>
      </c>
      <c r="AF2940" s="79">
        <v>45050.562013888892</v>
      </c>
      <c r="AG2940" s="85">
        <v>45050</v>
      </c>
      <c r="AH2940" s="82" t="s">
        <v>10973</v>
      </c>
      <c r="AI2940" s="77" t="b">
        <v>0</v>
      </c>
      <c r="AJ2940" s="77"/>
      <c r="AK2940" s="77"/>
      <c r="AL2940" s="77"/>
      <c r="AM2940" s="77"/>
      <c r="AN2940" s="77"/>
      <c r="AO2940" s="77"/>
      <c r="AP2940" s="77"/>
      <c r="AQ2940" s="77"/>
      <c r="AR2940" s="77"/>
      <c r="AS2940" s="77"/>
      <c r="AT2940" s="77"/>
      <c r="AU2940" s="77"/>
      <c r="AV2940" s="80" t="str">
        <f>HYPERLINK("https://pbs.twimg.com/profile_images/1588668531910082561/XEi-lXiu_normal.jpg")</f>
        <v>https://pbs.twimg.com/profile_images/1588668531910082561/XEi-lXiu_normal.jpg</v>
      </c>
      <c r="AW2940" s="82" t="s">
        <v>16024</v>
      </c>
      <c r="AX2940" s="82" t="s">
        <v>16024</v>
      </c>
      <c r="AY2940" s="77"/>
      <c r="AZ2940" s="82" t="s">
        <v>17385</v>
      </c>
      <c r="BA2940" s="82" t="s">
        <v>17385</v>
      </c>
      <c r="BB2940" s="82" t="s">
        <v>17385</v>
      </c>
      <c r="BC2940" s="82" t="s">
        <v>16024</v>
      </c>
      <c r="BD2940" s="82" t="s">
        <v>17667</v>
      </c>
      <c r="BE2940" s="77"/>
      <c r="BF2940" s="77"/>
      <c r="BG2940" s="77"/>
      <c r="BH2940" s="77"/>
      <c r="BI2940" s="77"/>
    </row>
    <row r="2941" spans="1:61" x14ac:dyDescent="0.25">
      <c r="A2941" s="62" t="s">
        <v>646</v>
      </c>
      <c r="B2941" s="62" t="s">
        <v>646</v>
      </c>
      <c r="C2941" s="63"/>
      <c r="D2941" s="64"/>
      <c r="E2941" s="65"/>
      <c r="F2941" s="66"/>
      <c r="G2941" s="63"/>
      <c r="H2941" s="67"/>
      <c r="I2941" s="68"/>
      <c r="J2941" s="68"/>
      <c r="K2941" s="32"/>
      <c r="L2941" s="75">
        <v>2941</v>
      </c>
      <c r="M2941" s="75"/>
      <c r="N2941" s="70"/>
      <c r="O2941" s="77" t="s">
        <v>179</v>
      </c>
      <c r="P2941" s="79">
        <v>45050.55505787037</v>
      </c>
      <c r="Q2941" s="77" t="s">
        <v>3718</v>
      </c>
      <c r="R2941" s="77">
        <v>0</v>
      </c>
      <c r="S2941" s="77">
        <v>0</v>
      </c>
      <c r="T2941" s="77">
        <v>0</v>
      </c>
      <c r="U2941" s="77">
        <v>0</v>
      </c>
      <c r="V2941" s="77">
        <v>232</v>
      </c>
      <c r="W2941" s="82" t="s">
        <v>6382</v>
      </c>
      <c r="X2941" s="80" t="str">
        <f>HYPERLINK("https://tinyurl.com/2m9yevgl")</f>
        <v>https://tinyurl.com/2m9yevgl</v>
      </c>
      <c r="Y2941" s="77" t="s">
        <v>7068</v>
      </c>
      <c r="Z2941" s="77"/>
      <c r="AA2941" s="77"/>
      <c r="AB2941" s="77"/>
      <c r="AC2941" s="82" t="s">
        <v>8275</v>
      </c>
      <c r="AD2941" s="77" t="s">
        <v>8278</v>
      </c>
      <c r="AE2941" s="80" t="str">
        <f>HYPERLINK("https://twitter.com/pauta_economica/status/1654113469380141057")</f>
        <v>https://twitter.com/pauta_economica/status/1654113469380141057</v>
      </c>
      <c r="AF2941" s="79">
        <v>45050.55505787037</v>
      </c>
      <c r="AG2941" s="85">
        <v>45050</v>
      </c>
      <c r="AH2941" s="82" t="s">
        <v>10974</v>
      </c>
      <c r="AI2941" s="77" t="b">
        <v>0</v>
      </c>
      <c r="AJ2941" s="77"/>
      <c r="AK2941" s="77"/>
      <c r="AL2941" s="77"/>
      <c r="AM2941" s="77"/>
      <c r="AN2941" s="77"/>
      <c r="AO2941" s="77"/>
      <c r="AP2941" s="77"/>
      <c r="AQ2941" s="77"/>
      <c r="AR2941" s="77"/>
      <c r="AS2941" s="77"/>
      <c r="AT2941" s="77"/>
      <c r="AU2941" s="77"/>
      <c r="AV2941" s="80" t="str">
        <f>HYPERLINK("https://pbs.twimg.com/profile_images/1588668531910082561/XEi-lXiu_normal.jpg")</f>
        <v>https://pbs.twimg.com/profile_images/1588668531910082561/XEi-lXiu_normal.jpg</v>
      </c>
      <c r="AW2941" s="82" t="s">
        <v>16025</v>
      </c>
      <c r="AX2941" s="82" t="s">
        <v>16025</v>
      </c>
      <c r="AY2941" s="77"/>
      <c r="AZ2941" s="82" t="s">
        <v>17385</v>
      </c>
      <c r="BA2941" s="82" t="s">
        <v>17385</v>
      </c>
      <c r="BB2941" s="82" t="s">
        <v>17385</v>
      </c>
      <c r="BC2941" s="82" t="s">
        <v>16025</v>
      </c>
      <c r="BD2941" s="82" t="s">
        <v>17667</v>
      </c>
      <c r="BE2941" s="77"/>
      <c r="BF2941" s="77"/>
      <c r="BG2941" s="77"/>
      <c r="BH2941" s="77"/>
      <c r="BI2941" s="77"/>
    </row>
    <row r="2942" spans="1:61" x14ac:dyDescent="0.25">
      <c r="A2942" s="62" t="s">
        <v>646</v>
      </c>
      <c r="B2942" s="62" t="s">
        <v>646</v>
      </c>
      <c r="C2942" s="63"/>
      <c r="D2942" s="64"/>
      <c r="E2942" s="65"/>
      <c r="F2942" s="66"/>
      <c r="G2942" s="63"/>
      <c r="H2942" s="67"/>
      <c r="I2942" s="68"/>
      <c r="J2942" s="68"/>
      <c r="K2942" s="32"/>
      <c r="L2942" s="75">
        <v>2942</v>
      </c>
      <c r="M2942" s="75"/>
      <c r="N2942" s="70"/>
      <c r="O2942" s="77" t="s">
        <v>179</v>
      </c>
      <c r="P2942" s="79">
        <v>45050.541145833333</v>
      </c>
      <c r="Q2942" s="77" t="s">
        <v>3719</v>
      </c>
      <c r="R2942" s="77">
        <v>0</v>
      </c>
      <c r="S2942" s="77">
        <v>0</v>
      </c>
      <c r="T2942" s="77">
        <v>0</v>
      </c>
      <c r="U2942" s="77">
        <v>0</v>
      </c>
      <c r="V2942" s="77">
        <v>30</v>
      </c>
      <c r="W2942" s="82" t="s">
        <v>6382</v>
      </c>
      <c r="X2942" s="80" t="str">
        <f>HYPERLINK("https://tinyurl.com/2oxepc34")</f>
        <v>https://tinyurl.com/2oxepc34</v>
      </c>
      <c r="Y2942" s="77" t="s">
        <v>7068</v>
      </c>
      <c r="Z2942" s="77"/>
      <c r="AA2942" s="77"/>
      <c r="AB2942" s="77"/>
      <c r="AC2942" s="82" t="s">
        <v>8275</v>
      </c>
      <c r="AD2942" s="77" t="s">
        <v>8278</v>
      </c>
      <c r="AE2942" s="80" t="str">
        <f>HYPERLINK("https://twitter.com/pauta_economica/status/1654108428531388418")</f>
        <v>https://twitter.com/pauta_economica/status/1654108428531388418</v>
      </c>
      <c r="AF2942" s="79">
        <v>45050.541145833333</v>
      </c>
      <c r="AG2942" s="85">
        <v>45050</v>
      </c>
      <c r="AH2942" s="82" t="s">
        <v>10975</v>
      </c>
      <c r="AI2942" s="77" t="b">
        <v>0</v>
      </c>
      <c r="AJ2942" s="77"/>
      <c r="AK2942" s="77"/>
      <c r="AL2942" s="77"/>
      <c r="AM2942" s="77"/>
      <c r="AN2942" s="77"/>
      <c r="AO2942" s="77"/>
      <c r="AP2942" s="77"/>
      <c r="AQ2942" s="77"/>
      <c r="AR2942" s="77"/>
      <c r="AS2942" s="77"/>
      <c r="AT2942" s="77"/>
      <c r="AU2942" s="77"/>
      <c r="AV2942" s="80" t="str">
        <f>HYPERLINK("https://pbs.twimg.com/profile_images/1588668531910082561/XEi-lXiu_normal.jpg")</f>
        <v>https://pbs.twimg.com/profile_images/1588668531910082561/XEi-lXiu_normal.jpg</v>
      </c>
      <c r="AW2942" s="82" t="s">
        <v>16026</v>
      </c>
      <c r="AX2942" s="82" t="s">
        <v>16026</v>
      </c>
      <c r="AY2942" s="77"/>
      <c r="AZ2942" s="82" t="s">
        <v>17385</v>
      </c>
      <c r="BA2942" s="82" t="s">
        <v>17385</v>
      </c>
      <c r="BB2942" s="82" t="s">
        <v>17385</v>
      </c>
      <c r="BC2942" s="82" t="s">
        <v>16026</v>
      </c>
      <c r="BD2942" s="82" t="s">
        <v>17667</v>
      </c>
      <c r="BE2942" s="77"/>
      <c r="BF2942" s="77"/>
      <c r="BG2942" s="77"/>
      <c r="BH2942" s="77"/>
      <c r="BI2942" s="77"/>
    </row>
    <row r="2943" spans="1:61" x14ac:dyDescent="0.25">
      <c r="A2943" s="62" t="s">
        <v>646</v>
      </c>
      <c r="B2943" s="62" t="s">
        <v>646</v>
      </c>
      <c r="C2943" s="63"/>
      <c r="D2943" s="64"/>
      <c r="E2943" s="65"/>
      <c r="F2943" s="66"/>
      <c r="G2943" s="63"/>
      <c r="H2943" s="67"/>
      <c r="I2943" s="68"/>
      <c r="J2943" s="68"/>
      <c r="K2943" s="32"/>
      <c r="L2943" s="75">
        <v>2943</v>
      </c>
      <c r="M2943" s="75"/>
      <c r="N2943" s="70"/>
      <c r="O2943" s="77" t="s">
        <v>179</v>
      </c>
      <c r="P2943" s="79">
        <v>45050.534201388888</v>
      </c>
      <c r="Q2943" s="77" t="s">
        <v>3720</v>
      </c>
      <c r="R2943" s="77">
        <v>0</v>
      </c>
      <c r="S2943" s="77">
        <v>0</v>
      </c>
      <c r="T2943" s="77">
        <v>0</v>
      </c>
      <c r="U2943" s="77">
        <v>0</v>
      </c>
      <c r="V2943" s="77">
        <v>18</v>
      </c>
      <c r="W2943" s="82" t="s">
        <v>6382</v>
      </c>
      <c r="X2943" s="80" t="str">
        <f>HYPERLINK("https://tinyurl.com/2e8mfvea")</f>
        <v>https://tinyurl.com/2e8mfvea</v>
      </c>
      <c r="Y2943" s="77" t="s">
        <v>7068</v>
      </c>
      <c r="Z2943" s="77"/>
      <c r="AA2943" s="77"/>
      <c r="AB2943" s="77"/>
      <c r="AC2943" s="82" t="s">
        <v>8275</v>
      </c>
      <c r="AD2943" s="77" t="s">
        <v>8278</v>
      </c>
      <c r="AE2943" s="80" t="str">
        <f>HYPERLINK("https://twitter.com/pauta_economica/status/1654105910157926401")</f>
        <v>https://twitter.com/pauta_economica/status/1654105910157926401</v>
      </c>
      <c r="AF2943" s="79">
        <v>45050.534201388888</v>
      </c>
      <c r="AG2943" s="85">
        <v>45050</v>
      </c>
      <c r="AH2943" s="82" t="s">
        <v>10976</v>
      </c>
      <c r="AI2943" s="77" t="b">
        <v>0</v>
      </c>
      <c r="AJ2943" s="77"/>
      <c r="AK2943" s="77"/>
      <c r="AL2943" s="77"/>
      <c r="AM2943" s="77"/>
      <c r="AN2943" s="77"/>
      <c r="AO2943" s="77"/>
      <c r="AP2943" s="77"/>
      <c r="AQ2943" s="77"/>
      <c r="AR2943" s="77"/>
      <c r="AS2943" s="77"/>
      <c r="AT2943" s="77"/>
      <c r="AU2943" s="77"/>
      <c r="AV2943" s="80" t="str">
        <f>HYPERLINK("https://pbs.twimg.com/profile_images/1588668531910082561/XEi-lXiu_normal.jpg")</f>
        <v>https://pbs.twimg.com/profile_images/1588668531910082561/XEi-lXiu_normal.jpg</v>
      </c>
      <c r="AW2943" s="82" t="s">
        <v>16027</v>
      </c>
      <c r="AX2943" s="82" t="s">
        <v>16027</v>
      </c>
      <c r="AY2943" s="77"/>
      <c r="AZ2943" s="82" t="s">
        <v>17385</v>
      </c>
      <c r="BA2943" s="82" t="s">
        <v>17385</v>
      </c>
      <c r="BB2943" s="82" t="s">
        <v>17385</v>
      </c>
      <c r="BC2943" s="82" t="s">
        <v>16027</v>
      </c>
      <c r="BD2943" s="82" t="s">
        <v>17667</v>
      </c>
      <c r="BE2943" s="77"/>
      <c r="BF2943" s="77"/>
      <c r="BG2943" s="77"/>
      <c r="BH2943" s="77"/>
      <c r="BI2943" s="77"/>
    </row>
    <row r="2944" spans="1:61" x14ac:dyDescent="0.25">
      <c r="A2944" s="62" t="s">
        <v>646</v>
      </c>
      <c r="B2944" s="62" t="s">
        <v>646</v>
      </c>
      <c r="C2944" s="63"/>
      <c r="D2944" s="64"/>
      <c r="E2944" s="65"/>
      <c r="F2944" s="66"/>
      <c r="G2944" s="63"/>
      <c r="H2944" s="67"/>
      <c r="I2944" s="68"/>
      <c r="J2944" s="68"/>
      <c r="K2944" s="32"/>
      <c r="L2944" s="75">
        <v>2944</v>
      </c>
      <c r="M2944" s="75"/>
      <c r="N2944" s="70"/>
      <c r="O2944" s="77" t="s">
        <v>179</v>
      </c>
      <c r="P2944" s="79">
        <v>45050.50818287037</v>
      </c>
      <c r="Q2944" s="77" t="s">
        <v>3721</v>
      </c>
      <c r="R2944" s="77">
        <v>0</v>
      </c>
      <c r="S2944" s="77">
        <v>0</v>
      </c>
      <c r="T2944" s="77">
        <v>0</v>
      </c>
      <c r="U2944" s="77">
        <v>0</v>
      </c>
      <c r="V2944" s="77">
        <v>22</v>
      </c>
      <c r="W2944" s="82" t="s">
        <v>6382</v>
      </c>
      <c r="X2944" s="80" t="str">
        <f>HYPERLINK("https://tinyurl.com/2o4yryj6")</f>
        <v>https://tinyurl.com/2o4yryj6</v>
      </c>
      <c r="Y2944" s="77" t="s">
        <v>7068</v>
      </c>
      <c r="Z2944" s="77"/>
      <c r="AA2944" s="77"/>
      <c r="AB2944" s="77"/>
      <c r="AC2944" s="82" t="s">
        <v>8275</v>
      </c>
      <c r="AD2944" s="77" t="s">
        <v>8278</v>
      </c>
      <c r="AE2944" s="80" t="str">
        <f>HYPERLINK("https://twitter.com/pauta_economica/status/1654096481681391616")</f>
        <v>https://twitter.com/pauta_economica/status/1654096481681391616</v>
      </c>
      <c r="AF2944" s="79">
        <v>45050.50818287037</v>
      </c>
      <c r="AG2944" s="85">
        <v>45050</v>
      </c>
      <c r="AH2944" s="82" t="s">
        <v>10977</v>
      </c>
      <c r="AI2944" s="77" t="b">
        <v>0</v>
      </c>
      <c r="AJ2944" s="77"/>
      <c r="AK2944" s="77"/>
      <c r="AL2944" s="77"/>
      <c r="AM2944" s="77"/>
      <c r="AN2944" s="77"/>
      <c r="AO2944" s="77"/>
      <c r="AP2944" s="77"/>
      <c r="AQ2944" s="77"/>
      <c r="AR2944" s="77"/>
      <c r="AS2944" s="77"/>
      <c r="AT2944" s="77"/>
      <c r="AU2944" s="77"/>
      <c r="AV2944" s="80" t="str">
        <f>HYPERLINK("https://pbs.twimg.com/profile_images/1588668531910082561/XEi-lXiu_normal.jpg")</f>
        <v>https://pbs.twimg.com/profile_images/1588668531910082561/XEi-lXiu_normal.jpg</v>
      </c>
      <c r="AW2944" s="82" t="s">
        <v>16028</v>
      </c>
      <c r="AX2944" s="82" t="s">
        <v>16028</v>
      </c>
      <c r="AY2944" s="77"/>
      <c r="AZ2944" s="82" t="s">
        <v>17385</v>
      </c>
      <c r="BA2944" s="82" t="s">
        <v>17385</v>
      </c>
      <c r="BB2944" s="82" t="s">
        <v>17385</v>
      </c>
      <c r="BC2944" s="82" t="s">
        <v>16028</v>
      </c>
      <c r="BD2944" s="82" t="s">
        <v>17667</v>
      </c>
      <c r="BE2944" s="77"/>
      <c r="BF2944" s="77"/>
      <c r="BG2944" s="77"/>
      <c r="BH2944" s="77"/>
      <c r="BI2944" s="77"/>
    </row>
    <row r="2945" spans="1:61" x14ac:dyDescent="0.25">
      <c r="A2945" s="62" t="s">
        <v>646</v>
      </c>
      <c r="B2945" s="62" t="s">
        <v>646</v>
      </c>
      <c r="C2945" s="63"/>
      <c r="D2945" s="64"/>
      <c r="E2945" s="65"/>
      <c r="F2945" s="66"/>
      <c r="G2945" s="63"/>
      <c r="H2945" s="67"/>
      <c r="I2945" s="68"/>
      <c r="J2945" s="68"/>
      <c r="K2945" s="32"/>
      <c r="L2945" s="75">
        <v>2945</v>
      </c>
      <c r="M2945" s="75"/>
      <c r="N2945" s="70"/>
      <c r="O2945" s="77" t="s">
        <v>179</v>
      </c>
      <c r="P2945" s="79">
        <v>45050.506423611114</v>
      </c>
      <c r="Q2945" s="77" t="s">
        <v>3722</v>
      </c>
      <c r="R2945" s="77">
        <v>0</v>
      </c>
      <c r="S2945" s="77">
        <v>0</v>
      </c>
      <c r="T2945" s="77">
        <v>0</v>
      </c>
      <c r="U2945" s="77">
        <v>0</v>
      </c>
      <c r="V2945" s="77">
        <v>33</v>
      </c>
      <c r="W2945" s="82" t="s">
        <v>6382</v>
      </c>
      <c r="X2945" s="80" t="str">
        <f>HYPERLINK("https://tinyurl.com/2h52kgbb")</f>
        <v>https://tinyurl.com/2h52kgbb</v>
      </c>
      <c r="Y2945" s="77" t="s">
        <v>7068</v>
      </c>
      <c r="Z2945" s="77"/>
      <c r="AA2945" s="77"/>
      <c r="AB2945" s="77"/>
      <c r="AC2945" s="82" t="s">
        <v>8275</v>
      </c>
      <c r="AD2945" s="77" t="s">
        <v>8278</v>
      </c>
      <c r="AE2945" s="80" t="str">
        <f>HYPERLINK("https://twitter.com/pauta_economica/status/1654095842347712512")</f>
        <v>https://twitter.com/pauta_economica/status/1654095842347712512</v>
      </c>
      <c r="AF2945" s="79">
        <v>45050.506423611114</v>
      </c>
      <c r="AG2945" s="85">
        <v>45050</v>
      </c>
      <c r="AH2945" s="82" t="s">
        <v>10978</v>
      </c>
      <c r="AI2945" s="77" t="b">
        <v>0</v>
      </c>
      <c r="AJ2945" s="77"/>
      <c r="AK2945" s="77"/>
      <c r="AL2945" s="77"/>
      <c r="AM2945" s="77"/>
      <c r="AN2945" s="77"/>
      <c r="AO2945" s="77"/>
      <c r="AP2945" s="77"/>
      <c r="AQ2945" s="77"/>
      <c r="AR2945" s="77"/>
      <c r="AS2945" s="77"/>
      <c r="AT2945" s="77"/>
      <c r="AU2945" s="77"/>
      <c r="AV2945" s="80" t="str">
        <f>HYPERLINK("https://pbs.twimg.com/profile_images/1588668531910082561/XEi-lXiu_normal.jpg")</f>
        <v>https://pbs.twimg.com/profile_images/1588668531910082561/XEi-lXiu_normal.jpg</v>
      </c>
      <c r="AW2945" s="82" t="s">
        <v>16029</v>
      </c>
      <c r="AX2945" s="82" t="s">
        <v>16029</v>
      </c>
      <c r="AY2945" s="77"/>
      <c r="AZ2945" s="82" t="s">
        <v>17385</v>
      </c>
      <c r="BA2945" s="82" t="s">
        <v>17385</v>
      </c>
      <c r="BB2945" s="82" t="s">
        <v>17385</v>
      </c>
      <c r="BC2945" s="82" t="s">
        <v>16029</v>
      </c>
      <c r="BD2945" s="82" t="s">
        <v>17667</v>
      </c>
      <c r="BE2945" s="77"/>
      <c r="BF2945" s="77"/>
      <c r="BG2945" s="77"/>
      <c r="BH2945" s="77"/>
      <c r="BI2945" s="77"/>
    </row>
    <row r="2946" spans="1:61" x14ac:dyDescent="0.25">
      <c r="A2946" s="62" t="s">
        <v>646</v>
      </c>
      <c r="B2946" s="62" t="s">
        <v>646</v>
      </c>
      <c r="C2946" s="63"/>
      <c r="D2946" s="64"/>
      <c r="E2946" s="65"/>
      <c r="F2946" s="66"/>
      <c r="G2946" s="63"/>
      <c r="H2946" s="67"/>
      <c r="I2946" s="68"/>
      <c r="J2946" s="68"/>
      <c r="K2946" s="32"/>
      <c r="L2946" s="75">
        <v>2946</v>
      </c>
      <c r="M2946" s="75"/>
      <c r="N2946" s="70"/>
      <c r="O2946" s="77" t="s">
        <v>179</v>
      </c>
      <c r="P2946" s="79">
        <v>45050.499467592592</v>
      </c>
      <c r="Q2946" s="77" t="s">
        <v>3723</v>
      </c>
      <c r="R2946" s="77">
        <v>0</v>
      </c>
      <c r="S2946" s="77">
        <v>0</v>
      </c>
      <c r="T2946" s="77">
        <v>0</v>
      </c>
      <c r="U2946" s="77">
        <v>0</v>
      </c>
      <c r="V2946" s="77">
        <v>13</v>
      </c>
      <c r="W2946" s="82" t="s">
        <v>6382</v>
      </c>
      <c r="X2946" s="80" t="str">
        <f>HYPERLINK("https://tinyurl.com/2hazapt5")</f>
        <v>https://tinyurl.com/2hazapt5</v>
      </c>
      <c r="Y2946" s="77" t="s">
        <v>7068</v>
      </c>
      <c r="Z2946" s="77"/>
      <c r="AA2946" s="77"/>
      <c r="AB2946" s="77"/>
      <c r="AC2946" s="82" t="s">
        <v>8275</v>
      </c>
      <c r="AD2946" s="77" t="s">
        <v>8278</v>
      </c>
      <c r="AE2946" s="80" t="str">
        <f>HYPERLINK("https://twitter.com/pauta_economica/status/1654093322988732416")</f>
        <v>https://twitter.com/pauta_economica/status/1654093322988732416</v>
      </c>
      <c r="AF2946" s="79">
        <v>45050.499467592592</v>
      </c>
      <c r="AG2946" s="85">
        <v>45050</v>
      </c>
      <c r="AH2946" s="82" t="s">
        <v>10979</v>
      </c>
      <c r="AI2946" s="77" t="b">
        <v>0</v>
      </c>
      <c r="AJ2946" s="77"/>
      <c r="AK2946" s="77"/>
      <c r="AL2946" s="77"/>
      <c r="AM2946" s="77"/>
      <c r="AN2946" s="77"/>
      <c r="AO2946" s="77"/>
      <c r="AP2946" s="77"/>
      <c r="AQ2946" s="77"/>
      <c r="AR2946" s="77"/>
      <c r="AS2946" s="77"/>
      <c r="AT2946" s="77"/>
      <c r="AU2946" s="77"/>
      <c r="AV2946" s="80" t="str">
        <f>HYPERLINK("https://pbs.twimg.com/profile_images/1588668531910082561/XEi-lXiu_normal.jpg")</f>
        <v>https://pbs.twimg.com/profile_images/1588668531910082561/XEi-lXiu_normal.jpg</v>
      </c>
      <c r="AW2946" s="82" t="s">
        <v>16030</v>
      </c>
      <c r="AX2946" s="82" t="s">
        <v>16030</v>
      </c>
      <c r="AY2946" s="77"/>
      <c r="AZ2946" s="82" t="s">
        <v>17385</v>
      </c>
      <c r="BA2946" s="82" t="s">
        <v>17385</v>
      </c>
      <c r="BB2946" s="82" t="s">
        <v>17385</v>
      </c>
      <c r="BC2946" s="82" t="s">
        <v>16030</v>
      </c>
      <c r="BD2946" s="82" t="s">
        <v>17667</v>
      </c>
      <c r="BE2946" s="77"/>
      <c r="BF2946" s="77"/>
      <c r="BG2946" s="77"/>
      <c r="BH2946" s="77"/>
      <c r="BI2946" s="77"/>
    </row>
    <row r="2947" spans="1:61" x14ac:dyDescent="0.25">
      <c r="A2947" s="62" t="s">
        <v>646</v>
      </c>
      <c r="B2947" s="62" t="s">
        <v>646</v>
      </c>
      <c r="C2947" s="63"/>
      <c r="D2947" s="64"/>
      <c r="E2947" s="65"/>
      <c r="F2947" s="66"/>
      <c r="G2947" s="63"/>
      <c r="H2947" s="67"/>
      <c r="I2947" s="68"/>
      <c r="J2947" s="68"/>
      <c r="K2947" s="32"/>
      <c r="L2947" s="75">
        <v>2947</v>
      </c>
      <c r="M2947" s="75"/>
      <c r="N2947" s="70"/>
      <c r="O2947" s="77" t="s">
        <v>179</v>
      </c>
      <c r="P2947" s="79">
        <v>45050.424710648149</v>
      </c>
      <c r="Q2947" s="77" t="s">
        <v>3724</v>
      </c>
      <c r="R2947" s="77">
        <v>0</v>
      </c>
      <c r="S2947" s="77">
        <v>0</v>
      </c>
      <c r="T2947" s="77">
        <v>0</v>
      </c>
      <c r="U2947" s="77">
        <v>0</v>
      </c>
      <c r="V2947" s="77">
        <v>53</v>
      </c>
      <c r="W2947" s="82" t="s">
        <v>6382</v>
      </c>
      <c r="X2947" s="80" t="str">
        <f>HYPERLINK("https://tinyurl.com/2n5hos6b")</f>
        <v>https://tinyurl.com/2n5hos6b</v>
      </c>
      <c r="Y2947" s="77" t="s">
        <v>7068</v>
      </c>
      <c r="Z2947" s="77"/>
      <c r="AA2947" s="77"/>
      <c r="AB2947" s="77"/>
      <c r="AC2947" s="82" t="s">
        <v>8275</v>
      </c>
      <c r="AD2947" s="77" t="s">
        <v>8278</v>
      </c>
      <c r="AE2947" s="80" t="str">
        <f>HYPERLINK("https://twitter.com/pauta_economica/status/1654066231480131585")</f>
        <v>https://twitter.com/pauta_economica/status/1654066231480131585</v>
      </c>
      <c r="AF2947" s="79">
        <v>45050.424710648149</v>
      </c>
      <c r="AG2947" s="85">
        <v>45050</v>
      </c>
      <c r="AH2947" s="82" t="s">
        <v>10980</v>
      </c>
      <c r="AI2947" s="77" t="b">
        <v>0</v>
      </c>
      <c r="AJ2947" s="77"/>
      <c r="AK2947" s="77"/>
      <c r="AL2947" s="77"/>
      <c r="AM2947" s="77"/>
      <c r="AN2947" s="77"/>
      <c r="AO2947" s="77"/>
      <c r="AP2947" s="77"/>
      <c r="AQ2947" s="77"/>
      <c r="AR2947" s="77"/>
      <c r="AS2947" s="77"/>
      <c r="AT2947" s="77"/>
      <c r="AU2947" s="77"/>
      <c r="AV2947" s="80" t="str">
        <f>HYPERLINK("https://pbs.twimg.com/profile_images/1588668531910082561/XEi-lXiu_normal.jpg")</f>
        <v>https://pbs.twimg.com/profile_images/1588668531910082561/XEi-lXiu_normal.jpg</v>
      </c>
      <c r="AW2947" s="82" t="s">
        <v>16031</v>
      </c>
      <c r="AX2947" s="82" t="s">
        <v>16031</v>
      </c>
      <c r="AY2947" s="77"/>
      <c r="AZ2947" s="82" t="s">
        <v>17385</v>
      </c>
      <c r="BA2947" s="82" t="s">
        <v>17385</v>
      </c>
      <c r="BB2947" s="82" t="s">
        <v>17385</v>
      </c>
      <c r="BC2947" s="82" t="s">
        <v>16031</v>
      </c>
      <c r="BD2947" s="82" t="s">
        <v>17667</v>
      </c>
      <c r="BE2947" s="77"/>
      <c r="BF2947" s="77"/>
      <c r="BG2947" s="77"/>
      <c r="BH2947" s="77"/>
      <c r="BI2947" s="77"/>
    </row>
    <row r="2948" spans="1:61" x14ac:dyDescent="0.25">
      <c r="A2948" s="62" t="s">
        <v>646</v>
      </c>
      <c r="B2948" s="62" t="s">
        <v>646</v>
      </c>
      <c r="C2948" s="63"/>
      <c r="D2948" s="64"/>
      <c r="E2948" s="65"/>
      <c r="F2948" s="66"/>
      <c r="G2948" s="63"/>
      <c r="H2948" s="67"/>
      <c r="I2948" s="68"/>
      <c r="J2948" s="68"/>
      <c r="K2948" s="32"/>
      <c r="L2948" s="75">
        <v>2948</v>
      </c>
      <c r="M2948" s="75"/>
      <c r="N2948" s="70"/>
      <c r="O2948" s="77" t="s">
        <v>179</v>
      </c>
      <c r="P2948" s="79">
        <v>45050.369050925925</v>
      </c>
      <c r="Q2948" s="77" t="s">
        <v>3725</v>
      </c>
      <c r="R2948" s="77">
        <v>0</v>
      </c>
      <c r="S2948" s="77">
        <v>0</v>
      </c>
      <c r="T2948" s="77">
        <v>0</v>
      </c>
      <c r="U2948" s="77">
        <v>0</v>
      </c>
      <c r="V2948" s="77">
        <v>36</v>
      </c>
      <c r="W2948" s="82" t="s">
        <v>6382</v>
      </c>
      <c r="X2948" s="80" t="str">
        <f>HYPERLINK("https://tinyurl.com/2ft833k4")</f>
        <v>https://tinyurl.com/2ft833k4</v>
      </c>
      <c r="Y2948" s="77" t="s">
        <v>7068</v>
      </c>
      <c r="Z2948" s="77"/>
      <c r="AA2948" s="77"/>
      <c r="AB2948" s="77"/>
      <c r="AC2948" s="82" t="s">
        <v>8275</v>
      </c>
      <c r="AD2948" s="77" t="s">
        <v>8278</v>
      </c>
      <c r="AE2948" s="80" t="str">
        <f>HYPERLINK("https://twitter.com/pauta_economica/status/1654046063496425473")</f>
        <v>https://twitter.com/pauta_economica/status/1654046063496425473</v>
      </c>
      <c r="AF2948" s="79">
        <v>45050.369050925925</v>
      </c>
      <c r="AG2948" s="85">
        <v>45050</v>
      </c>
      <c r="AH2948" s="82" t="s">
        <v>10981</v>
      </c>
      <c r="AI2948" s="77" t="b">
        <v>0</v>
      </c>
      <c r="AJ2948" s="77"/>
      <c r="AK2948" s="77"/>
      <c r="AL2948" s="77"/>
      <c r="AM2948" s="77"/>
      <c r="AN2948" s="77"/>
      <c r="AO2948" s="77"/>
      <c r="AP2948" s="77"/>
      <c r="AQ2948" s="77"/>
      <c r="AR2948" s="77"/>
      <c r="AS2948" s="77"/>
      <c r="AT2948" s="77"/>
      <c r="AU2948" s="77"/>
      <c r="AV2948" s="80" t="str">
        <f>HYPERLINK("https://pbs.twimg.com/profile_images/1588668531910082561/XEi-lXiu_normal.jpg")</f>
        <v>https://pbs.twimg.com/profile_images/1588668531910082561/XEi-lXiu_normal.jpg</v>
      </c>
      <c r="AW2948" s="82" t="s">
        <v>16032</v>
      </c>
      <c r="AX2948" s="82" t="s">
        <v>16032</v>
      </c>
      <c r="AY2948" s="77"/>
      <c r="AZ2948" s="82" t="s">
        <v>17385</v>
      </c>
      <c r="BA2948" s="82" t="s">
        <v>17385</v>
      </c>
      <c r="BB2948" s="82" t="s">
        <v>17385</v>
      </c>
      <c r="BC2948" s="82" t="s">
        <v>16032</v>
      </c>
      <c r="BD2948" s="82" t="s">
        <v>17667</v>
      </c>
      <c r="BE2948" s="77"/>
      <c r="BF2948" s="77"/>
      <c r="BG2948" s="77"/>
      <c r="BH2948" s="77"/>
      <c r="BI2948" s="77"/>
    </row>
    <row r="2949" spans="1:61" x14ac:dyDescent="0.25">
      <c r="A2949" s="62" t="s">
        <v>646</v>
      </c>
      <c r="B2949" s="62" t="s">
        <v>646</v>
      </c>
      <c r="C2949" s="63"/>
      <c r="D2949" s="64"/>
      <c r="E2949" s="65"/>
      <c r="F2949" s="66"/>
      <c r="G2949" s="63"/>
      <c r="H2949" s="67"/>
      <c r="I2949" s="68"/>
      <c r="J2949" s="68"/>
      <c r="K2949" s="32"/>
      <c r="L2949" s="75">
        <v>2949</v>
      </c>
      <c r="M2949" s="75"/>
      <c r="N2949" s="70"/>
      <c r="O2949" s="77" t="s">
        <v>179</v>
      </c>
      <c r="P2949" s="79">
        <v>45050.341249999998</v>
      </c>
      <c r="Q2949" s="77" t="s">
        <v>3726</v>
      </c>
      <c r="R2949" s="77">
        <v>0</v>
      </c>
      <c r="S2949" s="77">
        <v>0</v>
      </c>
      <c r="T2949" s="77">
        <v>0</v>
      </c>
      <c r="U2949" s="77">
        <v>0</v>
      </c>
      <c r="V2949" s="77">
        <v>63</v>
      </c>
      <c r="W2949" s="82" t="s">
        <v>6382</v>
      </c>
      <c r="X2949" s="80" t="str">
        <f>HYPERLINK("https://tinyurl.com/2nx7e4mc")</f>
        <v>https://tinyurl.com/2nx7e4mc</v>
      </c>
      <c r="Y2949" s="77" t="s">
        <v>7068</v>
      </c>
      <c r="Z2949" s="77"/>
      <c r="AA2949" s="77"/>
      <c r="AB2949" s="77"/>
      <c r="AC2949" s="82" t="s">
        <v>8275</v>
      </c>
      <c r="AD2949" s="77" t="s">
        <v>8278</v>
      </c>
      <c r="AE2949" s="80" t="str">
        <f>HYPERLINK("https://twitter.com/pauta_economica/status/1654035989067620352")</f>
        <v>https://twitter.com/pauta_economica/status/1654035989067620352</v>
      </c>
      <c r="AF2949" s="79">
        <v>45050.341249999998</v>
      </c>
      <c r="AG2949" s="85">
        <v>45050</v>
      </c>
      <c r="AH2949" s="82" t="s">
        <v>10982</v>
      </c>
      <c r="AI2949" s="77" t="b">
        <v>0</v>
      </c>
      <c r="AJ2949" s="77"/>
      <c r="AK2949" s="77"/>
      <c r="AL2949" s="77"/>
      <c r="AM2949" s="77"/>
      <c r="AN2949" s="77"/>
      <c r="AO2949" s="77"/>
      <c r="AP2949" s="77"/>
      <c r="AQ2949" s="77"/>
      <c r="AR2949" s="77"/>
      <c r="AS2949" s="77"/>
      <c r="AT2949" s="77"/>
      <c r="AU2949" s="77"/>
      <c r="AV2949" s="80" t="str">
        <f>HYPERLINK("https://pbs.twimg.com/profile_images/1588668531910082561/XEi-lXiu_normal.jpg")</f>
        <v>https://pbs.twimg.com/profile_images/1588668531910082561/XEi-lXiu_normal.jpg</v>
      </c>
      <c r="AW2949" s="82" t="s">
        <v>16033</v>
      </c>
      <c r="AX2949" s="82" t="s">
        <v>16033</v>
      </c>
      <c r="AY2949" s="77"/>
      <c r="AZ2949" s="82" t="s">
        <v>17385</v>
      </c>
      <c r="BA2949" s="82" t="s">
        <v>17385</v>
      </c>
      <c r="BB2949" s="82" t="s">
        <v>17385</v>
      </c>
      <c r="BC2949" s="82" t="s">
        <v>16033</v>
      </c>
      <c r="BD2949" s="82" t="s">
        <v>17667</v>
      </c>
      <c r="BE2949" s="77"/>
      <c r="BF2949" s="77"/>
      <c r="BG2949" s="77"/>
      <c r="BH2949" s="77"/>
      <c r="BI2949" s="77"/>
    </row>
    <row r="2950" spans="1:61" x14ac:dyDescent="0.25">
      <c r="A2950" s="62" t="s">
        <v>646</v>
      </c>
      <c r="B2950" s="62" t="s">
        <v>646</v>
      </c>
      <c r="C2950" s="63"/>
      <c r="D2950" s="64"/>
      <c r="E2950" s="65"/>
      <c r="F2950" s="66"/>
      <c r="G2950" s="63"/>
      <c r="H2950" s="67"/>
      <c r="I2950" s="68"/>
      <c r="J2950" s="68"/>
      <c r="K2950" s="32"/>
      <c r="L2950" s="75">
        <v>2950</v>
      </c>
      <c r="M2950" s="75"/>
      <c r="N2950" s="70"/>
      <c r="O2950" s="77" t="s">
        <v>179</v>
      </c>
      <c r="P2950" s="79">
        <v>45050.313344907408</v>
      </c>
      <c r="Q2950" s="77" t="s">
        <v>3727</v>
      </c>
      <c r="R2950" s="77">
        <v>0</v>
      </c>
      <c r="S2950" s="77">
        <v>0</v>
      </c>
      <c r="T2950" s="77">
        <v>0</v>
      </c>
      <c r="U2950" s="77">
        <v>0</v>
      </c>
      <c r="V2950" s="77">
        <v>14</v>
      </c>
      <c r="W2950" s="82" t="s">
        <v>6382</v>
      </c>
      <c r="X2950" s="80" t="str">
        <f>HYPERLINK("https://tinyurl.com/2lyepbhp")</f>
        <v>https://tinyurl.com/2lyepbhp</v>
      </c>
      <c r="Y2950" s="77" t="s">
        <v>7068</v>
      </c>
      <c r="Z2950" s="77"/>
      <c r="AA2950" s="77"/>
      <c r="AB2950" s="77"/>
      <c r="AC2950" s="82" t="s">
        <v>8275</v>
      </c>
      <c r="AD2950" s="77" t="s">
        <v>8278</v>
      </c>
      <c r="AE2950" s="80" t="str">
        <f>HYPERLINK("https://twitter.com/pauta_economica/status/1654025876420415489")</f>
        <v>https://twitter.com/pauta_economica/status/1654025876420415489</v>
      </c>
      <c r="AF2950" s="79">
        <v>45050.313344907408</v>
      </c>
      <c r="AG2950" s="85">
        <v>45050</v>
      </c>
      <c r="AH2950" s="82" t="s">
        <v>10983</v>
      </c>
      <c r="AI2950" s="77" t="b">
        <v>0</v>
      </c>
      <c r="AJ2950" s="77"/>
      <c r="AK2950" s="77"/>
      <c r="AL2950" s="77"/>
      <c r="AM2950" s="77"/>
      <c r="AN2950" s="77"/>
      <c r="AO2950" s="77"/>
      <c r="AP2950" s="77"/>
      <c r="AQ2950" s="77"/>
      <c r="AR2950" s="77"/>
      <c r="AS2950" s="77"/>
      <c r="AT2950" s="77"/>
      <c r="AU2950" s="77"/>
      <c r="AV2950" s="80" t="str">
        <f>HYPERLINK("https://pbs.twimg.com/profile_images/1588668531910082561/XEi-lXiu_normal.jpg")</f>
        <v>https://pbs.twimg.com/profile_images/1588668531910082561/XEi-lXiu_normal.jpg</v>
      </c>
      <c r="AW2950" s="82" t="s">
        <v>16034</v>
      </c>
      <c r="AX2950" s="82" t="s">
        <v>16034</v>
      </c>
      <c r="AY2950" s="77"/>
      <c r="AZ2950" s="82" t="s">
        <v>17385</v>
      </c>
      <c r="BA2950" s="82" t="s">
        <v>17385</v>
      </c>
      <c r="BB2950" s="82" t="s">
        <v>17385</v>
      </c>
      <c r="BC2950" s="82" t="s">
        <v>16034</v>
      </c>
      <c r="BD2950" s="82" t="s">
        <v>17667</v>
      </c>
      <c r="BE2950" s="77"/>
      <c r="BF2950" s="77"/>
      <c r="BG2950" s="77"/>
      <c r="BH2950" s="77"/>
      <c r="BI2950" s="77"/>
    </row>
    <row r="2951" spans="1:61" x14ac:dyDescent="0.25">
      <c r="A2951" s="62" t="s">
        <v>646</v>
      </c>
      <c r="B2951" s="62" t="s">
        <v>646</v>
      </c>
      <c r="C2951" s="63"/>
      <c r="D2951" s="64"/>
      <c r="E2951" s="65"/>
      <c r="F2951" s="66"/>
      <c r="G2951" s="63"/>
      <c r="H2951" s="67"/>
      <c r="I2951" s="68"/>
      <c r="J2951" s="68"/>
      <c r="K2951" s="32"/>
      <c r="L2951" s="75">
        <v>2951</v>
      </c>
      <c r="M2951" s="75"/>
      <c r="N2951" s="70"/>
      <c r="O2951" s="77" t="s">
        <v>179</v>
      </c>
      <c r="P2951" s="79">
        <v>45050.229872685188</v>
      </c>
      <c r="Q2951" s="77" t="s">
        <v>3728</v>
      </c>
      <c r="R2951" s="77">
        <v>0</v>
      </c>
      <c r="S2951" s="77">
        <v>0</v>
      </c>
      <c r="T2951" s="77">
        <v>0</v>
      </c>
      <c r="U2951" s="77">
        <v>0</v>
      </c>
      <c r="V2951" s="77">
        <v>27</v>
      </c>
      <c r="W2951" s="82" t="s">
        <v>6382</v>
      </c>
      <c r="X2951" s="80" t="str">
        <f>HYPERLINK("https://tinyurl.com/2j8sdc4u")</f>
        <v>https://tinyurl.com/2j8sdc4u</v>
      </c>
      <c r="Y2951" s="77" t="s">
        <v>7068</v>
      </c>
      <c r="Z2951" s="77"/>
      <c r="AA2951" s="77"/>
      <c r="AB2951" s="77"/>
      <c r="AC2951" s="82" t="s">
        <v>8275</v>
      </c>
      <c r="AD2951" s="77" t="s">
        <v>8278</v>
      </c>
      <c r="AE2951" s="80" t="str">
        <f>HYPERLINK("https://twitter.com/pauta_economica/status/1653995625820610561")</f>
        <v>https://twitter.com/pauta_economica/status/1653995625820610561</v>
      </c>
      <c r="AF2951" s="79">
        <v>45050.229872685188</v>
      </c>
      <c r="AG2951" s="85">
        <v>45050</v>
      </c>
      <c r="AH2951" s="82" t="s">
        <v>10984</v>
      </c>
      <c r="AI2951" s="77" t="b">
        <v>0</v>
      </c>
      <c r="AJ2951" s="77"/>
      <c r="AK2951" s="77"/>
      <c r="AL2951" s="77"/>
      <c r="AM2951" s="77"/>
      <c r="AN2951" s="77"/>
      <c r="AO2951" s="77"/>
      <c r="AP2951" s="77"/>
      <c r="AQ2951" s="77"/>
      <c r="AR2951" s="77"/>
      <c r="AS2951" s="77"/>
      <c r="AT2951" s="77"/>
      <c r="AU2951" s="77"/>
      <c r="AV2951" s="80" t="str">
        <f>HYPERLINK("https://pbs.twimg.com/profile_images/1588668531910082561/XEi-lXiu_normal.jpg")</f>
        <v>https://pbs.twimg.com/profile_images/1588668531910082561/XEi-lXiu_normal.jpg</v>
      </c>
      <c r="AW2951" s="82" t="s">
        <v>16035</v>
      </c>
      <c r="AX2951" s="82" t="s">
        <v>16035</v>
      </c>
      <c r="AY2951" s="77"/>
      <c r="AZ2951" s="82" t="s">
        <v>17385</v>
      </c>
      <c r="BA2951" s="82" t="s">
        <v>17385</v>
      </c>
      <c r="BB2951" s="82" t="s">
        <v>17385</v>
      </c>
      <c r="BC2951" s="82" t="s">
        <v>16035</v>
      </c>
      <c r="BD2951" s="82" t="s">
        <v>17667</v>
      </c>
      <c r="BE2951" s="77"/>
      <c r="BF2951" s="77"/>
      <c r="BG2951" s="77"/>
      <c r="BH2951" s="77"/>
      <c r="BI2951" s="77"/>
    </row>
    <row r="2952" spans="1:61" x14ac:dyDescent="0.25">
      <c r="A2952" s="62" t="s">
        <v>646</v>
      </c>
      <c r="B2952" s="62" t="s">
        <v>646</v>
      </c>
      <c r="C2952" s="63"/>
      <c r="D2952" s="64"/>
      <c r="E2952" s="65"/>
      <c r="F2952" s="66"/>
      <c r="G2952" s="63"/>
      <c r="H2952" s="67"/>
      <c r="I2952" s="68"/>
      <c r="J2952" s="68"/>
      <c r="K2952" s="32"/>
      <c r="L2952" s="75">
        <v>2952</v>
      </c>
      <c r="M2952" s="75"/>
      <c r="N2952" s="70"/>
      <c r="O2952" s="77" t="s">
        <v>179</v>
      </c>
      <c r="P2952" s="79">
        <v>45050.146435185183</v>
      </c>
      <c r="Q2952" s="77" t="s">
        <v>3729</v>
      </c>
      <c r="R2952" s="77">
        <v>0</v>
      </c>
      <c r="S2952" s="77">
        <v>1</v>
      </c>
      <c r="T2952" s="77">
        <v>0</v>
      </c>
      <c r="U2952" s="77">
        <v>0</v>
      </c>
      <c r="V2952" s="77">
        <v>32</v>
      </c>
      <c r="W2952" s="82" t="s">
        <v>6382</v>
      </c>
      <c r="X2952" s="80" t="str">
        <f>HYPERLINK("https://tinyurl.com/2fqkt26g")</f>
        <v>https://tinyurl.com/2fqkt26g</v>
      </c>
      <c r="Y2952" s="77" t="s">
        <v>7068</v>
      </c>
      <c r="Z2952" s="77"/>
      <c r="AA2952" s="77"/>
      <c r="AB2952" s="77"/>
      <c r="AC2952" s="82" t="s">
        <v>8275</v>
      </c>
      <c r="AD2952" s="77" t="s">
        <v>8278</v>
      </c>
      <c r="AE2952" s="80" t="str">
        <f>HYPERLINK("https://twitter.com/pauta_economica/status/1653965386826543104")</f>
        <v>https://twitter.com/pauta_economica/status/1653965386826543104</v>
      </c>
      <c r="AF2952" s="79">
        <v>45050.146435185183</v>
      </c>
      <c r="AG2952" s="85">
        <v>45050</v>
      </c>
      <c r="AH2952" s="82" t="s">
        <v>10985</v>
      </c>
      <c r="AI2952" s="77" t="b">
        <v>0</v>
      </c>
      <c r="AJ2952" s="77"/>
      <c r="AK2952" s="77"/>
      <c r="AL2952" s="77"/>
      <c r="AM2952" s="77"/>
      <c r="AN2952" s="77"/>
      <c r="AO2952" s="77"/>
      <c r="AP2952" s="77"/>
      <c r="AQ2952" s="77"/>
      <c r="AR2952" s="77"/>
      <c r="AS2952" s="77"/>
      <c r="AT2952" s="77"/>
      <c r="AU2952" s="77"/>
      <c r="AV2952" s="80" t="str">
        <f>HYPERLINK("https://pbs.twimg.com/profile_images/1588668531910082561/XEi-lXiu_normal.jpg")</f>
        <v>https://pbs.twimg.com/profile_images/1588668531910082561/XEi-lXiu_normal.jpg</v>
      </c>
      <c r="AW2952" s="82" t="s">
        <v>16036</v>
      </c>
      <c r="AX2952" s="82" t="s">
        <v>16036</v>
      </c>
      <c r="AY2952" s="77"/>
      <c r="AZ2952" s="82" t="s">
        <v>17385</v>
      </c>
      <c r="BA2952" s="82" t="s">
        <v>17385</v>
      </c>
      <c r="BB2952" s="82" t="s">
        <v>17385</v>
      </c>
      <c r="BC2952" s="82" t="s">
        <v>16036</v>
      </c>
      <c r="BD2952" s="82" t="s">
        <v>17667</v>
      </c>
      <c r="BE2952" s="77"/>
      <c r="BF2952" s="77"/>
      <c r="BG2952" s="77"/>
      <c r="BH2952" s="77"/>
      <c r="BI2952" s="77"/>
    </row>
    <row r="2953" spans="1:61" x14ac:dyDescent="0.25">
      <c r="A2953" s="62" t="s">
        <v>646</v>
      </c>
      <c r="B2953" s="62" t="s">
        <v>646</v>
      </c>
      <c r="C2953" s="63"/>
      <c r="D2953" s="64"/>
      <c r="E2953" s="65"/>
      <c r="F2953" s="66"/>
      <c r="G2953" s="63"/>
      <c r="H2953" s="67"/>
      <c r="I2953" s="68"/>
      <c r="J2953" s="68"/>
      <c r="K2953" s="32"/>
      <c r="L2953" s="75">
        <v>2953</v>
      </c>
      <c r="M2953" s="75"/>
      <c r="N2953" s="70"/>
      <c r="O2953" s="77" t="s">
        <v>179</v>
      </c>
      <c r="P2953" s="79">
        <v>45049.979143518518</v>
      </c>
      <c r="Q2953" s="77" t="s">
        <v>3730</v>
      </c>
      <c r="R2953" s="77">
        <v>0</v>
      </c>
      <c r="S2953" s="77">
        <v>1</v>
      </c>
      <c r="T2953" s="77">
        <v>0</v>
      </c>
      <c r="U2953" s="77">
        <v>0</v>
      </c>
      <c r="V2953" s="77">
        <v>31</v>
      </c>
      <c r="W2953" s="82" t="s">
        <v>6382</v>
      </c>
      <c r="X2953" s="80" t="str">
        <f>HYPERLINK("https://tinyurl.com/2esjzrkk")</f>
        <v>https://tinyurl.com/2esjzrkk</v>
      </c>
      <c r="Y2953" s="77" t="s">
        <v>7068</v>
      </c>
      <c r="Z2953" s="77"/>
      <c r="AA2953" s="77"/>
      <c r="AB2953" s="77"/>
      <c r="AC2953" s="82" t="s">
        <v>8275</v>
      </c>
      <c r="AD2953" s="77" t="s">
        <v>8278</v>
      </c>
      <c r="AE2953" s="80" t="str">
        <f>HYPERLINK("https://twitter.com/pauta_economica/status/1653904765007405058")</f>
        <v>https://twitter.com/pauta_economica/status/1653904765007405058</v>
      </c>
      <c r="AF2953" s="79">
        <v>45049.979143518518</v>
      </c>
      <c r="AG2953" s="85">
        <v>45049</v>
      </c>
      <c r="AH2953" s="82" t="s">
        <v>10986</v>
      </c>
      <c r="AI2953" s="77" t="b">
        <v>0</v>
      </c>
      <c r="AJ2953" s="77"/>
      <c r="AK2953" s="77"/>
      <c r="AL2953" s="77"/>
      <c r="AM2953" s="77"/>
      <c r="AN2953" s="77"/>
      <c r="AO2953" s="77"/>
      <c r="AP2953" s="77"/>
      <c r="AQ2953" s="77"/>
      <c r="AR2953" s="77"/>
      <c r="AS2953" s="77"/>
      <c r="AT2953" s="77"/>
      <c r="AU2953" s="77"/>
      <c r="AV2953" s="80" t="str">
        <f>HYPERLINK("https://pbs.twimg.com/profile_images/1588668531910082561/XEi-lXiu_normal.jpg")</f>
        <v>https://pbs.twimg.com/profile_images/1588668531910082561/XEi-lXiu_normal.jpg</v>
      </c>
      <c r="AW2953" s="82" t="s">
        <v>16037</v>
      </c>
      <c r="AX2953" s="82" t="s">
        <v>16037</v>
      </c>
      <c r="AY2953" s="77"/>
      <c r="AZ2953" s="82" t="s">
        <v>17385</v>
      </c>
      <c r="BA2953" s="82" t="s">
        <v>17385</v>
      </c>
      <c r="BB2953" s="82" t="s">
        <v>17385</v>
      </c>
      <c r="BC2953" s="82" t="s">
        <v>16037</v>
      </c>
      <c r="BD2953" s="82" t="s">
        <v>17667</v>
      </c>
      <c r="BE2953" s="77"/>
      <c r="BF2953" s="77"/>
      <c r="BG2953" s="77"/>
      <c r="BH2953" s="77"/>
      <c r="BI2953" s="77"/>
    </row>
    <row r="2954" spans="1:61" x14ac:dyDescent="0.25">
      <c r="A2954" s="62" t="s">
        <v>646</v>
      </c>
      <c r="B2954" s="62" t="s">
        <v>646</v>
      </c>
      <c r="C2954" s="63"/>
      <c r="D2954" s="64"/>
      <c r="E2954" s="65"/>
      <c r="F2954" s="66"/>
      <c r="G2954" s="63"/>
      <c r="H2954" s="67"/>
      <c r="I2954" s="68"/>
      <c r="J2954" s="68"/>
      <c r="K2954" s="32"/>
      <c r="L2954" s="75">
        <v>2954</v>
      </c>
      <c r="M2954" s="75"/>
      <c r="N2954" s="70"/>
      <c r="O2954" s="77" t="s">
        <v>179</v>
      </c>
      <c r="P2954" s="79">
        <v>45049.951377314814</v>
      </c>
      <c r="Q2954" s="77" t="s">
        <v>3731</v>
      </c>
      <c r="R2954" s="77">
        <v>0</v>
      </c>
      <c r="S2954" s="77">
        <v>0</v>
      </c>
      <c r="T2954" s="77">
        <v>0</v>
      </c>
      <c r="U2954" s="77">
        <v>0</v>
      </c>
      <c r="V2954" s="77">
        <v>81</v>
      </c>
      <c r="W2954" s="82" t="s">
        <v>6382</v>
      </c>
      <c r="X2954" s="80" t="str">
        <f>HYPERLINK("https://tinyurl.com/2oyfjcbw")</f>
        <v>https://tinyurl.com/2oyfjcbw</v>
      </c>
      <c r="Y2954" s="77" t="s">
        <v>7068</v>
      </c>
      <c r="Z2954" s="77"/>
      <c r="AA2954" s="77"/>
      <c r="AB2954" s="77"/>
      <c r="AC2954" s="82" t="s">
        <v>8275</v>
      </c>
      <c r="AD2954" s="77" t="s">
        <v>8278</v>
      </c>
      <c r="AE2954" s="80" t="str">
        <f>HYPERLINK("https://twitter.com/pauta_economica/status/1653894700535885825")</f>
        <v>https://twitter.com/pauta_economica/status/1653894700535885825</v>
      </c>
      <c r="AF2954" s="79">
        <v>45049.951377314814</v>
      </c>
      <c r="AG2954" s="85">
        <v>45049</v>
      </c>
      <c r="AH2954" s="82" t="s">
        <v>10987</v>
      </c>
      <c r="AI2954" s="77" t="b">
        <v>0</v>
      </c>
      <c r="AJ2954" s="77"/>
      <c r="AK2954" s="77"/>
      <c r="AL2954" s="77"/>
      <c r="AM2954" s="77"/>
      <c r="AN2954" s="77"/>
      <c r="AO2954" s="77"/>
      <c r="AP2954" s="77"/>
      <c r="AQ2954" s="77"/>
      <c r="AR2954" s="77"/>
      <c r="AS2954" s="77"/>
      <c r="AT2954" s="77"/>
      <c r="AU2954" s="77"/>
      <c r="AV2954" s="80" t="str">
        <f>HYPERLINK("https://pbs.twimg.com/profile_images/1588668531910082561/XEi-lXiu_normal.jpg")</f>
        <v>https://pbs.twimg.com/profile_images/1588668531910082561/XEi-lXiu_normal.jpg</v>
      </c>
      <c r="AW2954" s="82" t="s">
        <v>16038</v>
      </c>
      <c r="AX2954" s="82" t="s">
        <v>16038</v>
      </c>
      <c r="AY2954" s="77"/>
      <c r="AZ2954" s="82" t="s">
        <v>17385</v>
      </c>
      <c r="BA2954" s="82" t="s">
        <v>17385</v>
      </c>
      <c r="BB2954" s="82" t="s">
        <v>17385</v>
      </c>
      <c r="BC2954" s="82" t="s">
        <v>16038</v>
      </c>
      <c r="BD2954" s="82" t="s">
        <v>17667</v>
      </c>
      <c r="BE2954" s="77"/>
      <c r="BF2954" s="77"/>
      <c r="BG2954" s="77"/>
      <c r="BH2954" s="77"/>
      <c r="BI2954" s="77"/>
    </row>
    <row r="2955" spans="1:61" x14ac:dyDescent="0.25">
      <c r="A2955" s="62" t="s">
        <v>646</v>
      </c>
      <c r="B2955" s="62" t="s">
        <v>646</v>
      </c>
      <c r="C2955" s="63"/>
      <c r="D2955" s="64"/>
      <c r="E2955" s="65"/>
      <c r="F2955" s="66"/>
      <c r="G2955" s="63"/>
      <c r="H2955" s="67"/>
      <c r="I2955" s="68"/>
      <c r="J2955" s="68"/>
      <c r="K2955" s="32"/>
      <c r="L2955" s="75">
        <v>2955</v>
      </c>
      <c r="M2955" s="75"/>
      <c r="N2955" s="70"/>
      <c r="O2955" s="77" t="s">
        <v>179</v>
      </c>
      <c r="P2955" s="79">
        <v>45049.784363425926</v>
      </c>
      <c r="Q2955" s="77" t="s">
        <v>3732</v>
      </c>
      <c r="R2955" s="77">
        <v>0</v>
      </c>
      <c r="S2955" s="77">
        <v>0</v>
      </c>
      <c r="T2955" s="77">
        <v>0</v>
      </c>
      <c r="U2955" s="77">
        <v>0</v>
      </c>
      <c r="V2955" s="77">
        <v>50</v>
      </c>
      <c r="W2955" s="82" t="s">
        <v>6382</v>
      </c>
      <c r="X2955" s="80" t="str">
        <f>HYPERLINK("https://tinyurl.com/2kgm3qgb")</f>
        <v>https://tinyurl.com/2kgm3qgb</v>
      </c>
      <c r="Y2955" s="77" t="s">
        <v>7068</v>
      </c>
      <c r="Z2955" s="77"/>
      <c r="AA2955" s="77"/>
      <c r="AB2955" s="77"/>
      <c r="AC2955" s="82" t="s">
        <v>8275</v>
      </c>
      <c r="AD2955" s="77" t="s">
        <v>8278</v>
      </c>
      <c r="AE2955" s="80" t="str">
        <f>HYPERLINK("https://twitter.com/pauta_economica/status/1653834177937022977")</f>
        <v>https://twitter.com/pauta_economica/status/1653834177937022977</v>
      </c>
      <c r="AF2955" s="79">
        <v>45049.784363425926</v>
      </c>
      <c r="AG2955" s="85">
        <v>45049</v>
      </c>
      <c r="AH2955" s="82" t="s">
        <v>10988</v>
      </c>
      <c r="AI2955" s="77" t="b">
        <v>0</v>
      </c>
      <c r="AJ2955" s="77"/>
      <c r="AK2955" s="77"/>
      <c r="AL2955" s="77"/>
      <c r="AM2955" s="77"/>
      <c r="AN2955" s="77"/>
      <c r="AO2955" s="77"/>
      <c r="AP2955" s="77"/>
      <c r="AQ2955" s="77"/>
      <c r="AR2955" s="77"/>
      <c r="AS2955" s="77"/>
      <c r="AT2955" s="77"/>
      <c r="AU2955" s="77"/>
      <c r="AV2955" s="80" t="str">
        <f>HYPERLINK("https://pbs.twimg.com/profile_images/1588668531910082561/XEi-lXiu_normal.jpg")</f>
        <v>https://pbs.twimg.com/profile_images/1588668531910082561/XEi-lXiu_normal.jpg</v>
      </c>
      <c r="AW2955" s="82" t="s">
        <v>16039</v>
      </c>
      <c r="AX2955" s="82" t="s">
        <v>16039</v>
      </c>
      <c r="AY2955" s="77"/>
      <c r="AZ2955" s="82" t="s">
        <v>17385</v>
      </c>
      <c r="BA2955" s="82" t="s">
        <v>17385</v>
      </c>
      <c r="BB2955" s="82" t="s">
        <v>17385</v>
      </c>
      <c r="BC2955" s="82" t="s">
        <v>16039</v>
      </c>
      <c r="BD2955" s="82" t="s">
        <v>17667</v>
      </c>
      <c r="BE2955" s="77"/>
      <c r="BF2955" s="77"/>
      <c r="BG2955" s="77"/>
      <c r="BH2955" s="77"/>
      <c r="BI2955" s="77"/>
    </row>
    <row r="2956" spans="1:61" x14ac:dyDescent="0.25">
      <c r="A2956" s="62" t="s">
        <v>646</v>
      </c>
      <c r="B2956" s="62" t="s">
        <v>646</v>
      </c>
      <c r="C2956" s="63"/>
      <c r="D2956" s="64"/>
      <c r="E2956" s="65"/>
      <c r="F2956" s="66"/>
      <c r="G2956" s="63"/>
      <c r="H2956" s="67"/>
      <c r="I2956" s="68"/>
      <c r="J2956" s="68"/>
      <c r="K2956" s="32"/>
      <c r="L2956" s="75">
        <v>2956</v>
      </c>
      <c r="M2956" s="75"/>
      <c r="N2956" s="70"/>
      <c r="O2956" s="77" t="s">
        <v>179</v>
      </c>
      <c r="P2956" s="79">
        <v>45049.672974537039</v>
      </c>
      <c r="Q2956" s="77" t="s">
        <v>3733</v>
      </c>
      <c r="R2956" s="77">
        <v>1</v>
      </c>
      <c r="S2956" s="77">
        <v>1</v>
      </c>
      <c r="T2956" s="77">
        <v>0</v>
      </c>
      <c r="U2956" s="77">
        <v>0</v>
      </c>
      <c r="V2956" s="77">
        <v>28</v>
      </c>
      <c r="W2956" s="82" t="s">
        <v>6382</v>
      </c>
      <c r="X2956" s="80" t="str">
        <f>HYPERLINK("https://tinyurl.com/2zx2f9rb")</f>
        <v>https://tinyurl.com/2zx2f9rb</v>
      </c>
      <c r="Y2956" s="77" t="s">
        <v>7068</v>
      </c>
      <c r="Z2956" s="77"/>
      <c r="AA2956" s="77"/>
      <c r="AB2956" s="77"/>
      <c r="AC2956" s="82" t="s">
        <v>8275</v>
      </c>
      <c r="AD2956" s="77" t="s">
        <v>8278</v>
      </c>
      <c r="AE2956" s="80" t="str">
        <f>HYPERLINK("https://twitter.com/pauta_economica/status/1653793812206977027")</f>
        <v>https://twitter.com/pauta_economica/status/1653793812206977027</v>
      </c>
      <c r="AF2956" s="79">
        <v>45049.672974537039</v>
      </c>
      <c r="AG2956" s="85">
        <v>45049</v>
      </c>
      <c r="AH2956" s="82" t="s">
        <v>10989</v>
      </c>
      <c r="AI2956" s="77" t="b">
        <v>0</v>
      </c>
      <c r="AJ2956" s="77"/>
      <c r="AK2956" s="77"/>
      <c r="AL2956" s="77"/>
      <c r="AM2956" s="77"/>
      <c r="AN2956" s="77"/>
      <c r="AO2956" s="77"/>
      <c r="AP2956" s="77"/>
      <c r="AQ2956" s="77"/>
      <c r="AR2956" s="77"/>
      <c r="AS2956" s="77"/>
      <c r="AT2956" s="77"/>
      <c r="AU2956" s="77"/>
      <c r="AV2956" s="80" t="str">
        <f>HYPERLINK("https://pbs.twimg.com/profile_images/1588668531910082561/XEi-lXiu_normal.jpg")</f>
        <v>https://pbs.twimg.com/profile_images/1588668531910082561/XEi-lXiu_normal.jpg</v>
      </c>
      <c r="AW2956" s="82" t="s">
        <v>16040</v>
      </c>
      <c r="AX2956" s="82" t="s">
        <v>16040</v>
      </c>
      <c r="AY2956" s="77"/>
      <c r="AZ2956" s="82" t="s">
        <v>17385</v>
      </c>
      <c r="BA2956" s="82" t="s">
        <v>17385</v>
      </c>
      <c r="BB2956" s="82" t="s">
        <v>17385</v>
      </c>
      <c r="BC2956" s="82" t="s">
        <v>16040</v>
      </c>
      <c r="BD2956" s="82" t="s">
        <v>17667</v>
      </c>
      <c r="BE2956" s="77"/>
      <c r="BF2956" s="77"/>
      <c r="BG2956" s="77"/>
      <c r="BH2956" s="77"/>
      <c r="BI2956" s="77"/>
    </row>
    <row r="2957" spans="1:61" x14ac:dyDescent="0.25">
      <c r="A2957" s="62" t="s">
        <v>646</v>
      </c>
      <c r="B2957" s="62" t="s">
        <v>646</v>
      </c>
      <c r="C2957" s="63"/>
      <c r="D2957" s="64"/>
      <c r="E2957" s="65"/>
      <c r="F2957" s="66"/>
      <c r="G2957" s="63"/>
      <c r="H2957" s="67"/>
      <c r="I2957" s="68"/>
      <c r="J2957" s="68"/>
      <c r="K2957" s="32"/>
      <c r="L2957" s="75">
        <v>2957</v>
      </c>
      <c r="M2957" s="75"/>
      <c r="N2957" s="70"/>
      <c r="O2957" s="77" t="s">
        <v>179</v>
      </c>
      <c r="P2957" s="79">
        <v>45049.645173611112</v>
      </c>
      <c r="Q2957" s="77" t="s">
        <v>3734</v>
      </c>
      <c r="R2957" s="77">
        <v>0</v>
      </c>
      <c r="S2957" s="77">
        <v>0</v>
      </c>
      <c r="T2957" s="77">
        <v>0</v>
      </c>
      <c r="U2957" s="77">
        <v>0</v>
      </c>
      <c r="V2957" s="77">
        <v>54</v>
      </c>
      <c r="W2957" s="82" t="s">
        <v>6382</v>
      </c>
      <c r="X2957" s="80" t="str">
        <f>HYPERLINK("https://tinyurl.com/2fxvp5zk")</f>
        <v>https://tinyurl.com/2fxvp5zk</v>
      </c>
      <c r="Y2957" s="77" t="s">
        <v>7068</v>
      </c>
      <c r="Z2957" s="77"/>
      <c r="AA2957" s="77"/>
      <c r="AB2957" s="77"/>
      <c r="AC2957" s="82" t="s">
        <v>8275</v>
      </c>
      <c r="AD2957" s="77" t="s">
        <v>8278</v>
      </c>
      <c r="AE2957" s="80" t="str">
        <f>HYPERLINK("https://twitter.com/pauta_economica/status/1653783737207775235")</f>
        <v>https://twitter.com/pauta_economica/status/1653783737207775235</v>
      </c>
      <c r="AF2957" s="79">
        <v>45049.645173611112</v>
      </c>
      <c r="AG2957" s="85">
        <v>45049</v>
      </c>
      <c r="AH2957" s="82" t="s">
        <v>10990</v>
      </c>
      <c r="AI2957" s="77" t="b">
        <v>0</v>
      </c>
      <c r="AJ2957" s="77"/>
      <c r="AK2957" s="77"/>
      <c r="AL2957" s="77"/>
      <c r="AM2957" s="77"/>
      <c r="AN2957" s="77"/>
      <c r="AO2957" s="77"/>
      <c r="AP2957" s="77"/>
      <c r="AQ2957" s="77"/>
      <c r="AR2957" s="77"/>
      <c r="AS2957" s="77"/>
      <c r="AT2957" s="77"/>
      <c r="AU2957" s="77"/>
      <c r="AV2957" s="80" t="str">
        <f>HYPERLINK("https://pbs.twimg.com/profile_images/1588668531910082561/XEi-lXiu_normal.jpg")</f>
        <v>https://pbs.twimg.com/profile_images/1588668531910082561/XEi-lXiu_normal.jpg</v>
      </c>
      <c r="AW2957" s="82" t="s">
        <v>16041</v>
      </c>
      <c r="AX2957" s="82" t="s">
        <v>16041</v>
      </c>
      <c r="AY2957" s="77"/>
      <c r="AZ2957" s="82" t="s">
        <v>17385</v>
      </c>
      <c r="BA2957" s="82" t="s">
        <v>17385</v>
      </c>
      <c r="BB2957" s="82" t="s">
        <v>17385</v>
      </c>
      <c r="BC2957" s="82" t="s">
        <v>16041</v>
      </c>
      <c r="BD2957" s="82" t="s">
        <v>17667</v>
      </c>
      <c r="BE2957" s="77"/>
      <c r="BF2957" s="77"/>
      <c r="BG2957" s="77"/>
      <c r="BH2957" s="77"/>
      <c r="BI2957" s="77"/>
    </row>
    <row r="2958" spans="1:61" x14ac:dyDescent="0.25">
      <c r="A2958" s="62" t="s">
        <v>646</v>
      </c>
      <c r="B2958" s="62" t="s">
        <v>646</v>
      </c>
      <c r="C2958" s="63"/>
      <c r="D2958" s="64"/>
      <c r="E2958" s="65"/>
      <c r="F2958" s="66"/>
      <c r="G2958" s="63"/>
      <c r="H2958" s="67"/>
      <c r="I2958" s="68"/>
      <c r="J2958" s="68"/>
      <c r="K2958" s="32"/>
      <c r="L2958" s="75">
        <v>2958</v>
      </c>
      <c r="M2958" s="75"/>
      <c r="N2958" s="70"/>
      <c r="O2958" s="77" t="s">
        <v>179</v>
      </c>
      <c r="P2958" s="79">
        <v>45049.617349537039</v>
      </c>
      <c r="Q2958" s="77" t="s">
        <v>3735</v>
      </c>
      <c r="R2958" s="77">
        <v>0</v>
      </c>
      <c r="S2958" s="77">
        <v>0</v>
      </c>
      <c r="T2958" s="77">
        <v>0</v>
      </c>
      <c r="U2958" s="77">
        <v>0</v>
      </c>
      <c r="V2958" s="77">
        <v>49</v>
      </c>
      <c r="W2958" s="82" t="s">
        <v>6382</v>
      </c>
      <c r="X2958" s="80" t="str">
        <f>HYPERLINK("https://tinyurl.com/2eezoo3h")</f>
        <v>https://tinyurl.com/2eezoo3h</v>
      </c>
      <c r="Y2958" s="77" t="s">
        <v>7068</v>
      </c>
      <c r="Z2958" s="77"/>
      <c r="AA2958" s="77"/>
      <c r="AB2958" s="77"/>
      <c r="AC2958" s="82" t="s">
        <v>8275</v>
      </c>
      <c r="AD2958" s="77" t="s">
        <v>8278</v>
      </c>
      <c r="AE2958" s="80" t="str">
        <f>HYPERLINK("https://twitter.com/pauta_economica/status/1653773655321595907")</f>
        <v>https://twitter.com/pauta_economica/status/1653773655321595907</v>
      </c>
      <c r="AF2958" s="79">
        <v>45049.617349537039</v>
      </c>
      <c r="AG2958" s="85">
        <v>45049</v>
      </c>
      <c r="AH2958" s="82" t="s">
        <v>10991</v>
      </c>
      <c r="AI2958" s="77" t="b">
        <v>0</v>
      </c>
      <c r="AJ2958" s="77"/>
      <c r="AK2958" s="77"/>
      <c r="AL2958" s="77"/>
      <c r="AM2958" s="77"/>
      <c r="AN2958" s="77"/>
      <c r="AO2958" s="77"/>
      <c r="AP2958" s="77"/>
      <c r="AQ2958" s="77"/>
      <c r="AR2958" s="77"/>
      <c r="AS2958" s="77"/>
      <c r="AT2958" s="77"/>
      <c r="AU2958" s="77"/>
      <c r="AV2958" s="80" t="str">
        <f>HYPERLINK("https://pbs.twimg.com/profile_images/1588668531910082561/XEi-lXiu_normal.jpg")</f>
        <v>https://pbs.twimg.com/profile_images/1588668531910082561/XEi-lXiu_normal.jpg</v>
      </c>
      <c r="AW2958" s="82" t="s">
        <v>16042</v>
      </c>
      <c r="AX2958" s="82" t="s">
        <v>16042</v>
      </c>
      <c r="AY2958" s="77"/>
      <c r="AZ2958" s="82" t="s">
        <v>17385</v>
      </c>
      <c r="BA2958" s="82" t="s">
        <v>17385</v>
      </c>
      <c r="BB2958" s="82" t="s">
        <v>17385</v>
      </c>
      <c r="BC2958" s="82" t="s">
        <v>16042</v>
      </c>
      <c r="BD2958" s="82" t="s">
        <v>17667</v>
      </c>
      <c r="BE2958" s="77"/>
      <c r="BF2958" s="77"/>
      <c r="BG2958" s="77"/>
      <c r="BH2958" s="77"/>
      <c r="BI2958" s="77"/>
    </row>
    <row r="2959" spans="1:61" x14ac:dyDescent="0.25">
      <c r="A2959" s="62" t="s">
        <v>646</v>
      </c>
      <c r="B2959" s="62" t="s">
        <v>646</v>
      </c>
      <c r="C2959" s="63"/>
      <c r="D2959" s="64"/>
      <c r="E2959" s="65"/>
      <c r="F2959" s="66"/>
      <c r="G2959" s="63"/>
      <c r="H2959" s="67"/>
      <c r="I2959" s="68"/>
      <c r="J2959" s="68"/>
      <c r="K2959" s="32"/>
      <c r="L2959" s="75">
        <v>2959</v>
      </c>
      <c r="M2959" s="75"/>
      <c r="N2959" s="70"/>
      <c r="O2959" s="77" t="s">
        <v>179</v>
      </c>
      <c r="P2959" s="79">
        <v>45049.589699074073</v>
      </c>
      <c r="Q2959" s="77" t="s">
        <v>3736</v>
      </c>
      <c r="R2959" s="77">
        <v>0</v>
      </c>
      <c r="S2959" s="77">
        <v>0</v>
      </c>
      <c r="T2959" s="77">
        <v>0</v>
      </c>
      <c r="U2959" s="77">
        <v>0</v>
      </c>
      <c r="V2959" s="77">
        <v>24</v>
      </c>
      <c r="W2959" s="82" t="s">
        <v>6382</v>
      </c>
      <c r="X2959" s="80" t="str">
        <f>HYPERLINK("https://tinyurl.com/2qqfvksw")</f>
        <v>https://tinyurl.com/2qqfvksw</v>
      </c>
      <c r="Y2959" s="77" t="s">
        <v>7068</v>
      </c>
      <c r="Z2959" s="77"/>
      <c r="AA2959" s="77"/>
      <c r="AB2959" s="77"/>
      <c r="AC2959" s="82" t="s">
        <v>8275</v>
      </c>
      <c r="AD2959" s="77" t="s">
        <v>8278</v>
      </c>
      <c r="AE2959" s="80" t="str">
        <f>HYPERLINK("https://twitter.com/pauta_economica/status/1653763632952492034")</f>
        <v>https://twitter.com/pauta_economica/status/1653763632952492034</v>
      </c>
      <c r="AF2959" s="79">
        <v>45049.589699074073</v>
      </c>
      <c r="AG2959" s="85">
        <v>45049</v>
      </c>
      <c r="AH2959" s="82" t="s">
        <v>10992</v>
      </c>
      <c r="AI2959" s="77" t="b">
        <v>0</v>
      </c>
      <c r="AJ2959" s="77"/>
      <c r="AK2959" s="77"/>
      <c r="AL2959" s="77"/>
      <c r="AM2959" s="77"/>
      <c r="AN2959" s="77"/>
      <c r="AO2959" s="77"/>
      <c r="AP2959" s="77"/>
      <c r="AQ2959" s="77"/>
      <c r="AR2959" s="77"/>
      <c r="AS2959" s="77"/>
      <c r="AT2959" s="77"/>
      <c r="AU2959" s="77"/>
      <c r="AV2959" s="80" t="str">
        <f>HYPERLINK("https://pbs.twimg.com/profile_images/1588668531910082561/XEi-lXiu_normal.jpg")</f>
        <v>https://pbs.twimg.com/profile_images/1588668531910082561/XEi-lXiu_normal.jpg</v>
      </c>
      <c r="AW2959" s="82" t="s">
        <v>16043</v>
      </c>
      <c r="AX2959" s="82" t="s">
        <v>16043</v>
      </c>
      <c r="AY2959" s="77"/>
      <c r="AZ2959" s="82" t="s">
        <v>17385</v>
      </c>
      <c r="BA2959" s="82" t="s">
        <v>17385</v>
      </c>
      <c r="BB2959" s="82" t="s">
        <v>17385</v>
      </c>
      <c r="BC2959" s="82" t="s">
        <v>16043</v>
      </c>
      <c r="BD2959" s="82" t="s">
        <v>17667</v>
      </c>
      <c r="BE2959" s="77"/>
      <c r="BF2959" s="77"/>
      <c r="BG2959" s="77"/>
      <c r="BH2959" s="77"/>
      <c r="BI2959" s="77"/>
    </row>
    <row r="2960" spans="1:61" x14ac:dyDescent="0.25">
      <c r="A2960" s="62" t="s">
        <v>646</v>
      </c>
      <c r="B2960" s="62" t="s">
        <v>646</v>
      </c>
      <c r="C2960" s="63"/>
      <c r="D2960" s="64"/>
      <c r="E2960" s="65"/>
      <c r="F2960" s="66"/>
      <c r="G2960" s="63"/>
      <c r="H2960" s="67"/>
      <c r="I2960" s="68"/>
      <c r="J2960" s="68"/>
      <c r="K2960" s="32"/>
      <c r="L2960" s="75">
        <v>2960</v>
      </c>
      <c r="M2960" s="75"/>
      <c r="N2960" s="70"/>
      <c r="O2960" s="77" t="s">
        <v>179</v>
      </c>
      <c r="P2960" s="79">
        <v>45049.561747685184</v>
      </c>
      <c r="Q2960" s="77" t="s">
        <v>3737</v>
      </c>
      <c r="R2960" s="77">
        <v>0</v>
      </c>
      <c r="S2960" s="77">
        <v>0</v>
      </c>
      <c r="T2960" s="77">
        <v>0</v>
      </c>
      <c r="U2960" s="77">
        <v>0</v>
      </c>
      <c r="V2960" s="77">
        <v>30</v>
      </c>
      <c r="W2960" s="82" t="s">
        <v>6382</v>
      </c>
      <c r="X2960" s="80" t="str">
        <f>HYPERLINK("https://tinyurl.com/2ffo63yz")</f>
        <v>https://tinyurl.com/2ffo63yz</v>
      </c>
      <c r="Y2960" s="77" t="s">
        <v>7068</v>
      </c>
      <c r="Z2960" s="77"/>
      <c r="AA2960" s="77"/>
      <c r="AB2960" s="77"/>
      <c r="AC2960" s="82" t="s">
        <v>8275</v>
      </c>
      <c r="AD2960" s="77" t="s">
        <v>8278</v>
      </c>
      <c r="AE2960" s="80" t="str">
        <f>HYPERLINK("https://twitter.com/pauta_economica/status/1653753506036166663")</f>
        <v>https://twitter.com/pauta_economica/status/1653753506036166663</v>
      </c>
      <c r="AF2960" s="79">
        <v>45049.561747685184</v>
      </c>
      <c r="AG2960" s="85">
        <v>45049</v>
      </c>
      <c r="AH2960" s="82" t="s">
        <v>10993</v>
      </c>
      <c r="AI2960" s="77" t="b">
        <v>0</v>
      </c>
      <c r="AJ2960" s="77"/>
      <c r="AK2960" s="77"/>
      <c r="AL2960" s="77"/>
      <c r="AM2960" s="77"/>
      <c r="AN2960" s="77"/>
      <c r="AO2960" s="77"/>
      <c r="AP2960" s="77"/>
      <c r="AQ2960" s="77"/>
      <c r="AR2960" s="77"/>
      <c r="AS2960" s="77"/>
      <c r="AT2960" s="77"/>
      <c r="AU2960" s="77"/>
      <c r="AV2960" s="80" t="str">
        <f>HYPERLINK("https://pbs.twimg.com/profile_images/1588668531910082561/XEi-lXiu_normal.jpg")</f>
        <v>https://pbs.twimg.com/profile_images/1588668531910082561/XEi-lXiu_normal.jpg</v>
      </c>
      <c r="AW2960" s="82" t="s">
        <v>16044</v>
      </c>
      <c r="AX2960" s="82" t="s">
        <v>16044</v>
      </c>
      <c r="AY2960" s="77"/>
      <c r="AZ2960" s="82" t="s">
        <v>17385</v>
      </c>
      <c r="BA2960" s="82" t="s">
        <v>17385</v>
      </c>
      <c r="BB2960" s="82" t="s">
        <v>17385</v>
      </c>
      <c r="BC2960" s="82" t="s">
        <v>16044</v>
      </c>
      <c r="BD2960" s="82" t="s">
        <v>17667</v>
      </c>
      <c r="BE2960" s="77"/>
      <c r="BF2960" s="77"/>
      <c r="BG2960" s="77"/>
      <c r="BH2960" s="77"/>
      <c r="BI2960" s="77"/>
    </row>
    <row r="2961" spans="1:61" x14ac:dyDescent="0.25">
      <c r="A2961" s="62" t="s">
        <v>646</v>
      </c>
      <c r="B2961" s="62" t="s">
        <v>646</v>
      </c>
      <c r="C2961" s="63"/>
      <c r="D2961" s="64"/>
      <c r="E2961" s="65"/>
      <c r="F2961" s="66"/>
      <c r="G2961" s="63"/>
      <c r="H2961" s="67"/>
      <c r="I2961" s="68"/>
      <c r="J2961" s="68"/>
      <c r="K2961" s="32"/>
      <c r="L2961" s="75">
        <v>2961</v>
      </c>
      <c r="M2961" s="75"/>
      <c r="N2961" s="70"/>
      <c r="O2961" s="77" t="s">
        <v>179</v>
      </c>
      <c r="P2961" s="79">
        <v>45049.555972222224</v>
      </c>
      <c r="Q2961" s="77" t="s">
        <v>3738</v>
      </c>
      <c r="R2961" s="77">
        <v>0</v>
      </c>
      <c r="S2961" s="77">
        <v>0</v>
      </c>
      <c r="T2961" s="77">
        <v>0</v>
      </c>
      <c r="U2961" s="77">
        <v>0</v>
      </c>
      <c r="V2961" s="77">
        <v>72</v>
      </c>
      <c r="W2961" s="82" t="s">
        <v>6382</v>
      </c>
      <c r="X2961" s="80" t="str">
        <f>HYPERLINK("https://tinyurl.com/2n6bqtyz")</f>
        <v>https://tinyurl.com/2n6bqtyz</v>
      </c>
      <c r="Y2961" s="77" t="s">
        <v>7068</v>
      </c>
      <c r="Z2961" s="77"/>
      <c r="AA2961" s="77"/>
      <c r="AB2961" s="77"/>
      <c r="AC2961" s="82" t="s">
        <v>8275</v>
      </c>
      <c r="AD2961" s="77" t="s">
        <v>8278</v>
      </c>
      <c r="AE2961" s="80" t="str">
        <f>HYPERLINK("https://twitter.com/pauta_economica/status/1653751413975990277")</f>
        <v>https://twitter.com/pauta_economica/status/1653751413975990277</v>
      </c>
      <c r="AF2961" s="79">
        <v>45049.555972222224</v>
      </c>
      <c r="AG2961" s="85">
        <v>45049</v>
      </c>
      <c r="AH2961" s="82" t="s">
        <v>10994</v>
      </c>
      <c r="AI2961" s="77" t="b">
        <v>0</v>
      </c>
      <c r="AJ2961" s="77"/>
      <c r="AK2961" s="77"/>
      <c r="AL2961" s="77"/>
      <c r="AM2961" s="77"/>
      <c r="AN2961" s="77"/>
      <c r="AO2961" s="77"/>
      <c r="AP2961" s="77"/>
      <c r="AQ2961" s="77"/>
      <c r="AR2961" s="77"/>
      <c r="AS2961" s="77"/>
      <c r="AT2961" s="77"/>
      <c r="AU2961" s="77"/>
      <c r="AV2961" s="80" t="str">
        <f>HYPERLINK("https://pbs.twimg.com/profile_images/1588668531910082561/XEi-lXiu_normal.jpg")</f>
        <v>https://pbs.twimg.com/profile_images/1588668531910082561/XEi-lXiu_normal.jpg</v>
      </c>
      <c r="AW2961" s="82" t="s">
        <v>16045</v>
      </c>
      <c r="AX2961" s="82" t="s">
        <v>16045</v>
      </c>
      <c r="AY2961" s="77"/>
      <c r="AZ2961" s="82" t="s">
        <v>17385</v>
      </c>
      <c r="BA2961" s="82" t="s">
        <v>17385</v>
      </c>
      <c r="BB2961" s="82" t="s">
        <v>17385</v>
      </c>
      <c r="BC2961" s="82" t="s">
        <v>16045</v>
      </c>
      <c r="BD2961" s="82" t="s">
        <v>17667</v>
      </c>
      <c r="BE2961" s="77"/>
      <c r="BF2961" s="77"/>
      <c r="BG2961" s="77"/>
      <c r="BH2961" s="77"/>
      <c r="BI2961" s="77"/>
    </row>
    <row r="2962" spans="1:61" x14ac:dyDescent="0.25">
      <c r="A2962" s="62" t="s">
        <v>646</v>
      </c>
      <c r="B2962" s="62" t="s">
        <v>646</v>
      </c>
      <c r="C2962" s="63"/>
      <c r="D2962" s="64"/>
      <c r="E2962" s="65"/>
      <c r="F2962" s="66"/>
      <c r="G2962" s="63"/>
      <c r="H2962" s="67"/>
      <c r="I2962" s="68"/>
      <c r="J2962" s="68"/>
      <c r="K2962" s="32"/>
      <c r="L2962" s="75">
        <v>2962</v>
      </c>
      <c r="M2962" s="75"/>
      <c r="N2962" s="70"/>
      <c r="O2962" s="77" t="s">
        <v>179</v>
      </c>
      <c r="P2962" s="79">
        <v>45049.541504629633</v>
      </c>
      <c r="Q2962" s="77" t="s">
        <v>3739</v>
      </c>
      <c r="R2962" s="77">
        <v>0</v>
      </c>
      <c r="S2962" s="77">
        <v>0</v>
      </c>
      <c r="T2962" s="77">
        <v>0</v>
      </c>
      <c r="U2962" s="77">
        <v>0</v>
      </c>
      <c r="V2962" s="77">
        <v>21</v>
      </c>
      <c r="W2962" s="82" t="s">
        <v>6382</v>
      </c>
      <c r="X2962" s="80" t="str">
        <f>HYPERLINK("https://tinyurl.com/2qoxkffe")</f>
        <v>https://tinyurl.com/2qoxkffe</v>
      </c>
      <c r="Y2962" s="77" t="s">
        <v>7068</v>
      </c>
      <c r="Z2962" s="77"/>
      <c r="AA2962" s="77"/>
      <c r="AB2962" s="77"/>
      <c r="AC2962" s="82" t="s">
        <v>8275</v>
      </c>
      <c r="AD2962" s="77" t="s">
        <v>8278</v>
      </c>
      <c r="AE2962" s="80" t="str">
        <f>HYPERLINK("https://twitter.com/pauta_economica/status/1653746170114584578")</f>
        <v>https://twitter.com/pauta_economica/status/1653746170114584578</v>
      </c>
      <c r="AF2962" s="79">
        <v>45049.541504629633</v>
      </c>
      <c r="AG2962" s="85">
        <v>45049</v>
      </c>
      <c r="AH2962" s="82" t="s">
        <v>10995</v>
      </c>
      <c r="AI2962" s="77" t="b">
        <v>0</v>
      </c>
      <c r="AJ2962" s="77"/>
      <c r="AK2962" s="77"/>
      <c r="AL2962" s="77"/>
      <c r="AM2962" s="77"/>
      <c r="AN2962" s="77"/>
      <c r="AO2962" s="77"/>
      <c r="AP2962" s="77"/>
      <c r="AQ2962" s="77"/>
      <c r="AR2962" s="77"/>
      <c r="AS2962" s="77"/>
      <c r="AT2962" s="77"/>
      <c r="AU2962" s="77"/>
      <c r="AV2962" s="80" t="str">
        <f>HYPERLINK("https://pbs.twimg.com/profile_images/1588668531910082561/XEi-lXiu_normal.jpg")</f>
        <v>https://pbs.twimg.com/profile_images/1588668531910082561/XEi-lXiu_normal.jpg</v>
      </c>
      <c r="AW2962" s="82" t="s">
        <v>16046</v>
      </c>
      <c r="AX2962" s="82" t="s">
        <v>16046</v>
      </c>
      <c r="AY2962" s="77"/>
      <c r="AZ2962" s="82" t="s">
        <v>17385</v>
      </c>
      <c r="BA2962" s="82" t="s">
        <v>17385</v>
      </c>
      <c r="BB2962" s="82" t="s">
        <v>17385</v>
      </c>
      <c r="BC2962" s="82" t="s">
        <v>16046</v>
      </c>
      <c r="BD2962" s="82" t="s">
        <v>17667</v>
      </c>
      <c r="BE2962" s="77"/>
      <c r="BF2962" s="77"/>
      <c r="BG2962" s="77"/>
      <c r="BH2962" s="77"/>
      <c r="BI2962" s="77"/>
    </row>
    <row r="2963" spans="1:61" x14ac:dyDescent="0.25">
      <c r="A2963" s="62" t="s">
        <v>646</v>
      </c>
      <c r="B2963" s="62" t="s">
        <v>646</v>
      </c>
      <c r="C2963" s="63"/>
      <c r="D2963" s="64"/>
      <c r="E2963" s="65"/>
      <c r="F2963" s="66"/>
      <c r="G2963" s="63"/>
      <c r="H2963" s="67"/>
      <c r="I2963" s="68"/>
      <c r="J2963" s="68"/>
      <c r="K2963" s="32"/>
      <c r="L2963" s="75">
        <v>2963</v>
      </c>
      <c r="M2963" s="75"/>
      <c r="N2963" s="70"/>
      <c r="O2963" s="77" t="s">
        <v>179</v>
      </c>
      <c r="P2963" s="79">
        <v>45049.513645833336</v>
      </c>
      <c r="Q2963" s="77" t="s">
        <v>3740</v>
      </c>
      <c r="R2963" s="77">
        <v>0</v>
      </c>
      <c r="S2963" s="77">
        <v>0</v>
      </c>
      <c r="T2963" s="77">
        <v>0</v>
      </c>
      <c r="U2963" s="77">
        <v>0</v>
      </c>
      <c r="V2963" s="77">
        <v>48</v>
      </c>
      <c r="W2963" s="82" t="s">
        <v>6382</v>
      </c>
      <c r="X2963" s="80" t="str">
        <f>HYPERLINK("https://tinyurl.com/2dr32bwq")</f>
        <v>https://tinyurl.com/2dr32bwq</v>
      </c>
      <c r="Y2963" s="77" t="s">
        <v>7068</v>
      </c>
      <c r="Z2963" s="77"/>
      <c r="AA2963" s="77"/>
      <c r="AB2963" s="77"/>
      <c r="AC2963" s="82" t="s">
        <v>8275</v>
      </c>
      <c r="AD2963" s="77" t="s">
        <v>8278</v>
      </c>
      <c r="AE2963" s="80" t="str">
        <f>HYPERLINK("https://twitter.com/pauta_economica/status/1653736074810650626")</f>
        <v>https://twitter.com/pauta_economica/status/1653736074810650626</v>
      </c>
      <c r="AF2963" s="79">
        <v>45049.513645833336</v>
      </c>
      <c r="AG2963" s="85">
        <v>45049</v>
      </c>
      <c r="AH2963" s="82" t="s">
        <v>10514</v>
      </c>
      <c r="AI2963" s="77" t="b">
        <v>0</v>
      </c>
      <c r="AJ2963" s="77"/>
      <c r="AK2963" s="77"/>
      <c r="AL2963" s="77"/>
      <c r="AM2963" s="77"/>
      <c r="AN2963" s="77"/>
      <c r="AO2963" s="77"/>
      <c r="AP2963" s="77"/>
      <c r="AQ2963" s="77"/>
      <c r="AR2963" s="77"/>
      <c r="AS2963" s="77"/>
      <c r="AT2963" s="77"/>
      <c r="AU2963" s="77"/>
      <c r="AV2963" s="80" t="str">
        <f>HYPERLINK("https://pbs.twimg.com/profile_images/1588668531910082561/XEi-lXiu_normal.jpg")</f>
        <v>https://pbs.twimg.com/profile_images/1588668531910082561/XEi-lXiu_normal.jpg</v>
      </c>
      <c r="AW2963" s="82" t="s">
        <v>16047</v>
      </c>
      <c r="AX2963" s="82" t="s">
        <v>16047</v>
      </c>
      <c r="AY2963" s="77"/>
      <c r="AZ2963" s="82" t="s">
        <v>17385</v>
      </c>
      <c r="BA2963" s="82" t="s">
        <v>17385</v>
      </c>
      <c r="BB2963" s="82" t="s">
        <v>17385</v>
      </c>
      <c r="BC2963" s="82" t="s">
        <v>16047</v>
      </c>
      <c r="BD2963" s="82" t="s">
        <v>17667</v>
      </c>
      <c r="BE2963" s="77"/>
      <c r="BF2963" s="77"/>
      <c r="BG2963" s="77"/>
      <c r="BH2963" s="77"/>
      <c r="BI2963" s="77"/>
    </row>
    <row r="2964" spans="1:61" x14ac:dyDescent="0.25">
      <c r="A2964" s="62" t="s">
        <v>646</v>
      </c>
      <c r="B2964" s="62" t="s">
        <v>646</v>
      </c>
      <c r="C2964" s="63"/>
      <c r="D2964" s="64"/>
      <c r="E2964" s="65"/>
      <c r="F2964" s="66"/>
      <c r="G2964" s="63"/>
      <c r="H2964" s="67"/>
      <c r="I2964" s="68"/>
      <c r="J2964" s="68"/>
      <c r="K2964" s="32"/>
      <c r="L2964" s="75">
        <v>2964</v>
      </c>
      <c r="M2964" s="75"/>
      <c r="N2964" s="70"/>
      <c r="O2964" s="77" t="s">
        <v>179</v>
      </c>
      <c r="P2964" s="79">
        <v>45049.499745370369</v>
      </c>
      <c r="Q2964" s="77" t="s">
        <v>3741</v>
      </c>
      <c r="R2964" s="77">
        <v>0</v>
      </c>
      <c r="S2964" s="77">
        <v>0</v>
      </c>
      <c r="T2964" s="77">
        <v>0</v>
      </c>
      <c r="U2964" s="77">
        <v>0</v>
      </c>
      <c r="V2964" s="77">
        <v>25</v>
      </c>
      <c r="W2964" s="82" t="s">
        <v>6382</v>
      </c>
      <c r="X2964" s="80" t="str">
        <f>HYPERLINK("https://tinyurl.com/2hte789u")</f>
        <v>https://tinyurl.com/2hte789u</v>
      </c>
      <c r="Y2964" s="77" t="s">
        <v>7068</v>
      </c>
      <c r="Z2964" s="77"/>
      <c r="AA2964" s="77"/>
      <c r="AB2964" s="77"/>
      <c r="AC2964" s="82" t="s">
        <v>8275</v>
      </c>
      <c r="AD2964" s="77" t="s">
        <v>8278</v>
      </c>
      <c r="AE2964" s="80" t="str">
        <f>HYPERLINK("https://twitter.com/pauta_economica/status/1653731037887995910")</f>
        <v>https://twitter.com/pauta_economica/status/1653731037887995910</v>
      </c>
      <c r="AF2964" s="79">
        <v>45049.499745370369</v>
      </c>
      <c r="AG2964" s="85">
        <v>45049</v>
      </c>
      <c r="AH2964" s="82" t="s">
        <v>10996</v>
      </c>
      <c r="AI2964" s="77" t="b">
        <v>0</v>
      </c>
      <c r="AJ2964" s="77"/>
      <c r="AK2964" s="77"/>
      <c r="AL2964" s="77"/>
      <c r="AM2964" s="77"/>
      <c r="AN2964" s="77"/>
      <c r="AO2964" s="77"/>
      <c r="AP2964" s="77"/>
      <c r="AQ2964" s="77"/>
      <c r="AR2964" s="77"/>
      <c r="AS2964" s="77"/>
      <c r="AT2964" s="77"/>
      <c r="AU2964" s="77"/>
      <c r="AV2964" s="80" t="str">
        <f>HYPERLINK("https://pbs.twimg.com/profile_images/1588668531910082561/XEi-lXiu_normal.jpg")</f>
        <v>https://pbs.twimg.com/profile_images/1588668531910082561/XEi-lXiu_normal.jpg</v>
      </c>
      <c r="AW2964" s="82" t="s">
        <v>16048</v>
      </c>
      <c r="AX2964" s="82" t="s">
        <v>16048</v>
      </c>
      <c r="AY2964" s="77"/>
      <c r="AZ2964" s="82" t="s">
        <v>17385</v>
      </c>
      <c r="BA2964" s="82" t="s">
        <v>17385</v>
      </c>
      <c r="BB2964" s="82" t="s">
        <v>17385</v>
      </c>
      <c r="BC2964" s="82" t="s">
        <v>16048</v>
      </c>
      <c r="BD2964" s="82" t="s">
        <v>17667</v>
      </c>
      <c r="BE2964" s="77"/>
      <c r="BF2964" s="77"/>
      <c r="BG2964" s="77"/>
      <c r="BH2964" s="77"/>
      <c r="BI2964" s="77"/>
    </row>
    <row r="2965" spans="1:61" x14ac:dyDescent="0.25">
      <c r="A2965" s="62" t="s">
        <v>646</v>
      </c>
      <c r="B2965" s="62" t="s">
        <v>646</v>
      </c>
      <c r="C2965" s="63"/>
      <c r="D2965" s="64"/>
      <c r="E2965" s="65"/>
      <c r="F2965" s="66"/>
      <c r="G2965" s="63"/>
      <c r="H2965" s="67"/>
      <c r="I2965" s="68"/>
      <c r="J2965" s="68"/>
      <c r="K2965" s="32"/>
      <c r="L2965" s="75">
        <v>2965</v>
      </c>
      <c r="M2965" s="75"/>
      <c r="N2965" s="70"/>
      <c r="O2965" s="77" t="s">
        <v>179</v>
      </c>
      <c r="P2965" s="79">
        <v>45049.478333333333</v>
      </c>
      <c r="Q2965" s="77" t="s">
        <v>3742</v>
      </c>
      <c r="R2965" s="77">
        <v>0</v>
      </c>
      <c r="S2965" s="77">
        <v>0</v>
      </c>
      <c r="T2965" s="77">
        <v>0</v>
      </c>
      <c r="U2965" s="77">
        <v>0</v>
      </c>
      <c r="V2965" s="77">
        <v>30</v>
      </c>
      <c r="W2965" s="82" t="s">
        <v>6382</v>
      </c>
      <c r="X2965" s="80" t="str">
        <f>HYPERLINK("https://tinyurl.com/2htc6mo4")</f>
        <v>https://tinyurl.com/2htc6mo4</v>
      </c>
      <c r="Y2965" s="77" t="s">
        <v>7068</v>
      </c>
      <c r="Z2965" s="77"/>
      <c r="AA2965" s="77"/>
      <c r="AB2965" s="77"/>
      <c r="AC2965" s="82" t="s">
        <v>8275</v>
      </c>
      <c r="AD2965" s="77" t="s">
        <v>8278</v>
      </c>
      <c r="AE2965" s="80" t="str">
        <f>HYPERLINK("https://twitter.com/pauta_economica/status/1653723278081400835")</f>
        <v>https://twitter.com/pauta_economica/status/1653723278081400835</v>
      </c>
      <c r="AF2965" s="79">
        <v>45049.478333333333</v>
      </c>
      <c r="AG2965" s="85">
        <v>45049</v>
      </c>
      <c r="AH2965" s="82" t="s">
        <v>10997</v>
      </c>
      <c r="AI2965" s="77" t="b">
        <v>0</v>
      </c>
      <c r="AJ2965" s="77"/>
      <c r="AK2965" s="77"/>
      <c r="AL2965" s="77"/>
      <c r="AM2965" s="77"/>
      <c r="AN2965" s="77"/>
      <c r="AO2965" s="77"/>
      <c r="AP2965" s="77"/>
      <c r="AQ2965" s="77"/>
      <c r="AR2965" s="77"/>
      <c r="AS2965" s="77"/>
      <c r="AT2965" s="77"/>
      <c r="AU2965" s="77"/>
      <c r="AV2965" s="80" t="str">
        <f>HYPERLINK("https://pbs.twimg.com/profile_images/1588668531910082561/XEi-lXiu_normal.jpg")</f>
        <v>https://pbs.twimg.com/profile_images/1588668531910082561/XEi-lXiu_normal.jpg</v>
      </c>
      <c r="AW2965" s="82" t="s">
        <v>16049</v>
      </c>
      <c r="AX2965" s="82" t="s">
        <v>16049</v>
      </c>
      <c r="AY2965" s="77"/>
      <c r="AZ2965" s="82" t="s">
        <v>17385</v>
      </c>
      <c r="BA2965" s="82" t="s">
        <v>17385</v>
      </c>
      <c r="BB2965" s="82" t="s">
        <v>17385</v>
      </c>
      <c r="BC2965" s="82" t="s">
        <v>16049</v>
      </c>
      <c r="BD2965" s="82" t="s">
        <v>17667</v>
      </c>
      <c r="BE2965" s="77"/>
      <c r="BF2965" s="77"/>
      <c r="BG2965" s="77"/>
      <c r="BH2965" s="77"/>
      <c r="BI2965" s="77"/>
    </row>
    <row r="2966" spans="1:61" x14ac:dyDescent="0.25">
      <c r="A2966" s="62" t="s">
        <v>646</v>
      </c>
      <c r="B2966" s="62" t="s">
        <v>646</v>
      </c>
      <c r="C2966" s="63"/>
      <c r="D2966" s="64"/>
      <c r="E2966" s="65"/>
      <c r="F2966" s="66"/>
      <c r="G2966" s="63"/>
      <c r="H2966" s="67"/>
      <c r="I2966" s="68"/>
      <c r="J2966" s="68"/>
      <c r="K2966" s="32"/>
      <c r="L2966" s="75">
        <v>2966</v>
      </c>
      <c r="M2966" s="75"/>
      <c r="N2966" s="70"/>
      <c r="O2966" s="77" t="s">
        <v>179</v>
      </c>
      <c r="P2966" s="79">
        <v>45049.450474537036</v>
      </c>
      <c r="Q2966" s="77" t="s">
        <v>3743</v>
      </c>
      <c r="R2966" s="77">
        <v>0</v>
      </c>
      <c r="S2966" s="77">
        <v>0</v>
      </c>
      <c r="T2966" s="77">
        <v>0</v>
      </c>
      <c r="U2966" s="77">
        <v>0</v>
      </c>
      <c r="V2966" s="77">
        <v>38</v>
      </c>
      <c r="W2966" s="82" t="s">
        <v>6382</v>
      </c>
      <c r="X2966" s="80" t="str">
        <f>HYPERLINK("https://tinyurl.com/2extszst")</f>
        <v>https://tinyurl.com/2extszst</v>
      </c>
      <c r="Y2966" s="77" t="s">
        <v>7068</v>
      </c>
      <c r="Z2966" s="77"/>
      <c r="AA2966" s="77"/>
      <c r="AB2966" s="77"/>
      <c r="AC2966" s="82" t="s">
        <v>8275</v>
      </c>
      <c r="AD2966" s="77" t="s">
        <v>8278</v>
      </c>
      <c r="AE2966" s="80" t="str">
        <f>HYPERLINK("https://twitter.com/pauta_economica/status/1653713181221462018")</f>
        <v>https://twitter.com/pauta_economica/status/1653713181221462018</v>
      </c>
      <c r="AF2966" s="79">
        <v>45049.450474537036</v>
      </c>
      <c r="AG2966" s="85">
        <v>45049</v>
      </c>
      <c r="AH2966" s="82" t="s">
        <v>10998</v>
      </c>
      <c r="AI2966" s="77" t="b">
        <v>0</v>
      </c>
      <c r="AJ2966" s="77"/>
      <c r="AK2966" s="77"/>
      <c r="AL2966" s="77"/>
      <c r="AM2966" s="77"/>
      <c r="AN2966" s="77"/>
      <c r="AO2966" s="77"/>
      <c r="AP2966" s="77"/>
      <c r="AQ2966" s="77"/>
      <c r="AR2966" s="77"/>
      <c r="AS2966" s="77"/>
      <c r="AT2966" s="77"/>
      <c r="AU2966" s="77"/>
      <c r="AV2966" s="80" t="str">
        <f>HYPERLINK("https://pbs.twimg.com/profile_images/1588668531910082561/XEi-lXiu_normal.jpg")</f>
        <v>https://pbs.twimg.com/profile_images/1588668531910082561/XEi-lXiu_normal.jpg</v>
      </c>
      <c r="AW2966" s="82" t="s">
        <v>16050</v>
      </c>
      <c r="AX2966" s="82" t="s">
        <v>16050</v>
      </c>
      <c r="AY2966" s="77"/>
      <c r="AZ2966" s="82" t="s">
        <v>17385</v>
      </c>
      <c r="BA2966" s="82" t="s">
        <v>17385</v>
      </c>
      <c r="BB2966" s="82" t="s">
        <v>17385</v>
      </c>
      <c r="BC2966" s="82" t="s">
        <v>16050</v>
      </c>
      <c r="BD2966" s="82" t="s">
        <v>17667</v>
      </c>
      <c r="BE2966" s="77"/>
      <c r="BF2966" s="77"/>
      <c r="BG2966" s="77"/>
      <c r="BH2966" s="77"/>
      <c r="BI2966" s="77"/>
    </row>
    <row r="2967" spans="1:61" x14ac:dyDescent="0.25">
      <c r="A2967" s="62" t="s">
        <v>646</v>
      </c>
      <c r="B2967" s="62" t="s">
        <v>646</v>
      </c>
      <c r="C2967" s="63"/>
      <c r="D2967" s="64"/>
      <c r="E2967" s="65"/>
      <c r="F2967" s="66"/>
      <c r="G2967" s="63"/>
      <c r="H2967" s="67"/>
      <c r="I2967" s="68"/>
      <c r="J2967" s="68"/>
      <c r="K2967" s="32"/>
      <c r="L2967" s="75">
        <v>2967</v>
      </c>
      <c r="M2967" s="75"/>
      <c r="N2967" s="70"/>
      <c r="O2967" s="77" t="s">
        <v>179</v>
      </c>
      <c r="P2967" s="79">
        <v>45197.564259259256</v>
      </c>
      <c r="Q2967" s="77" t="s">
        <v>3744</v>
      </c>
      <c r="R2967" s="77">
        <v>0</v>
      </c>
      <c r="S2967" s="77">
        <v>0</v>
      </c>
      <c r="T2967" s="77">
        <v>0</v>
      </c>
      <c r="U2967" s="77">
        <v>0</v>
      </c>
      <c r="V2967" s="77">
        <v>17</v>
      </c>
      <c r="W2967" s="82" t="s">
        <v>6382</v>
      </c>
      <c r="X2967" s="80" t="str">
        <f>HYPERLINK("https://tinyurl.com/239l97pg")</f>
        <v>https://tinyurl.com/239l97pg</v>
      </c>
      <c r="Y2967" s="77" t="s">
        <v>7068</v>
      </c>
      <c r="Z2967" s="77"/>
      <c r="AA2967" s="77"/>
      <c r="AB2967" s="77"/>
      <c r="AC2967" s="82" t="s">
        <v>8276</v>
      </c>
      <c r="AD2967" s="77" t="s">
        <v>8278</v>
      </c>
      <c r="AE2967" s="80" t="str">
        <f>HYPERLINK("https://twitter.com/pauta_economica/status/1707387819432227150")</f>
        <v>https://twitter.com/pauta_economica/status/1707387819432227150</v>
      </c>
      <c r="AF2967" s="79">
        <v>45197.564259259256</v>
      </c>
      <c r="AG2967" s="85">
        <v>45197</v>
      </c>
      <c r="AH2967" s="82" t="s">
        <v>10999</v>
      </c>
      <c r="AI2967" s="77" t="b">
        <v>0</v>
      </c>
      <c r="AJ2967" s="77"/>
      <c r="AK2967" s="77"/>
      <c r="AL2967" s="77"/>
      <c r="AM2967" s="77"/>
      <c r="AN2967" s="77"/>
      <c r="AO2967" s="77"/>
      <c r="AP2967" s="77"/>
      <c r="AQ2967" s="77"/>
      <c r="AR2967" s="77"/>
      <c r="AS2967" s="77"/>
      <c r="AT2967" s="77"/>
      <c r="AU2967" s="77"/>
      <c r="AV2967" s="80" t="str">
        <f>HYPERLINK("https://pbs.twimg.com/profile_images/1588668531910082561/XEi-lXiu_normal.jpg")</f>
        <v>https://pbs.twimg.com/profile_images/1588668531910082561/XEi-lXiu_normal.jpg</v>
      </c>
      <c r="AW2967" s="82" t="s">
        <v>16051</v>
      </c>
      <c r="AX2967" s="82" t="s">
        <v>16051</v>
      </c>
      <c r="AY2967" s="77"/>
      <c r="AZ2967" s="82" t="s">
        <v>17385</v>
      </c>
      <c r="BA2967" s="82" t="s">
        <v>17385</v>
      </c>
      <c r="BB2967" s="82" t="s">
        <v>17385</v>
      </c>
      <c r="BC2967" s="82" t="s">
        <v>16051</v>
      </c>
      <c r="BD2967" s="82" t="s">
        <v>17667</v>
      </c>
      <c r="BE2967" s="77"/>
      <c r="BF2967" s="77"/>
      <c r="BG2967" s="77"/>
      <c r="BH2967" s="77"/>
      <c r="BI2967" s="77"/>
    </row>
    <row r="2968" spans="1:61" x14ac:dyDescent="0.25">
      <c r="A2968" s="62" t="s">
        <v>646</v>
      </c>
      <c r="B2968" s="62" t="s">
        <v>646</v>
      </c>
      <c r="C2968" s="63"/>
      <c r="D2968" s="64"/>
      <c r="E2968" s="65"/>
      <c r="F2968" s="66"/>
      <c r="G2968" s="63"/>
      <c r="H2968" s="67"/>
      <c r="I2968" s="68"/>
      <c r="J2968" s="68"/>
      <c r="K2968" s="32"/>
      <c r="L2968" s="75">
        <v>2968</v>
      </c>
      <c r="M2968" s="75"/>
      <c r="N2968" s="70"/>
      <c r="O2968" s="77" t="s">
        <v>179</v>
      </c>
      <c r="P2968" s="79">
        <v>45194.557164351849</v>
      </c>
      <c r="Q2968" s="77" t="s">
        <v>3745</v>
      </c>
      <c r="R2968" s="77">
        <v>0</v>
      </c>
      <c r="S2968" s="77">
        <v>0</v>
      </c>
      <c r="T2968" s="77">
        <v>0</v>
      </c>
      <c r="U2968" s="77">
        <v>0</v>
      </c>
      <c r="V2968" s="77">
        <v>23</v>
      </c>
      <c r="W2968" s="82" t="s">
        <v>6382</v>
      </c>
      <c r="X2968" s="80" t="str">
        <f>HYPERLINK("https://tinyurl.com/29c2ogn4")</f>
        <v>https://tinyurl.com/29c2ogn4</v>
      </c>
      <c r="Y2968" s="77" t="s">
        <v>7068</v>
      </c>
      <c r="Z2968" s="77"/>
      <c r="AA2968" s="77"/>
      <c r="AB2968" s="77"/>
      <c r="AC2968" s="82" t="s">
        <v>8276</v>
      </c>
      <c r="AD2968" s="77" t="s">
        <v>8278</v>
      </c>
      <c r="AE2968" s="80" t="str">
        <f>HYPERLINK("https://twitter.com/pauta_economica/status/1706298086534898049")</f>
        <v>https://twitter.com/pauta_economica/status/1706298086534898049</v>
      </c>
      <c r="AF2968" s="79">
        <v>45194.557164351849</v>
      </c>
      <c r="AG2968" s="85">
        <v>45194</v>
      </c>
      <c r="AH2968" s="82" t="s">
        <v>11000</v>
      </c>
      <c r="AI2968" s="77" t="b">
        <v>0</v>
      </c>
      <c r="AJ2968" s="77"/>
      <c r="AK2968" s="77"/>
      <c r="AL2968" s="77"/>
      <c r="AM2968" s="77"/>
      <c r="AN2968" s="77"/>
      <c r="AO2968" s="77"/>
      <c r="AP2968" s="77"/>
      <c r="AQ2968" s="77"/>
      <c r="AR2968" s="77"/>
      <c r="AS2968" s="77"/>
      <c r="AT2968" s="77"/>
      <c r="AU2968" s="77"/>
      <c r="AV2968" s="80" t="str">
        <f>HYPERLINK("https://pbs.twimg.com/profile_images/1588668531910082561/XEi-lXiu_normal.jpg")</f>
        <v>https://pbs.twimg.com/profile_images/1588668531910082561/XEi-lXiu_normal.jpg</v>
      </c>
      <c r="AW2968" s="82" t="s">
        <v>16052</v>
      </c>
      <c r="AX2968" s="82" t="s">
        <v>16052</v>
      </c>
      <c r="AY2968" s="77"/>
      <c r="AZ2968" s="82" t="s">
        <v>17385</v>
      </c>
      <c r="BA2968" s="82" t="s">
        <v>17385</v>
      </c>
      <c r="BB2968" s="82" t="s">
        <v>17385</v>
      </c>
      <c r="BC2968" s="82" t="s">
        <v>16052</v>
      </c>
      <c r="BD2968" s="82" t="s">
        <v>17667</v>
      </c>
      <c r="BE2968" s="77"/>
      <c r="BF2968" s="77"/>
      <c r="BG2968" s="77"/>
      <c r="BH2968" s="77"/>
      <c r="BI2968" s="77"/>
    </row>
    <row r="2969" spans="1:61" x14ac:dyDescent="0.25">
      <c r="A2969" s="62" t="s">
        <v>646</v>
      </c>
      <c r="B2969" s="62" t="s">
        <v>646</v>
      </c>
      <c r="C2969" s="63"/>
      <c r="D2969" s="64"/>
      <c r="E2969" s="65"/>
      <c r="F2969" s="66"/>
      <c r="G2969" s="63"/>
      <c r="H2969" s="67"/>
      <c r="I2969" s="68"/>
      <c r="J2969" s="68"/>
      <c r="K2969" s="32"/>
      <c r="L2969" s="75">
        <v>2969</v>
      </c>
      <c r="M2969" s="75"/>
      <c r="N2969" s="70"/>
      <c r="O2969" s="77" t="s">
        <v>179</v>
      </c>
      <c r="P2969" s="79">
        <v>45140.134965277779</v>
      </c>
      <c r="Q2969" s="77" t="s">
        <v>3746</v>
      </c>
      <c r="R2969" s="77">
        <v>0</v>
      </c>
      <c r="S2969" s="77">
        <v>0</v>
      </c>
      <c r="T2969" s="77">
        <v>0</v>
      </c>
      <c r="U2969" s="77">
        <v>0</v>
      </c>
      <c r="V2969" s="77">
        <v>67</v>
      </c>
      <c r="W2969" s="82" t="s">
        <v>6382</v>
      </c>
      <c r="X2969" s="80" t="str">
        <f>HYPERLINK("https://tinyurl.com/25hk2jrg")</f>
        <v>https://tinyurl.com/25hk2jrg</v>
      </c>
      <c r="Y2969" s="77" t="s">
        <v>7068</v>
      </c>
      <c r="Z2969" s="77"/>
      <c r="AA2969" s="77"/>
      <c r="AB2969" s="77"/>
      <c r="AC2969" s="82" t="s">
        <v>8276</v>
      </c>
      <c r="AD2969" s="77" t="s">
        <v>8278</v>
      </c>
      <c r="AE2969" s="80" t="str">
        <f>HYPERLINK("https://twitter.com/pauta_economica/status/1686576140968722432")</f>
        <v>https://twitter.com/pauta_economica/status/1686576140968722432</v>
      </c>
      <c r="AF2969" s="79">
        <v>45140.134965277779</v>
      </c>
      <c r="AG2969" s="85">
        <v>45140</v>
      </c>
      <c r="AH2969" s="82" t="s">
        <v>11001</v>
      </c>
      <c r="AI2969" s="77" t="b">
        <v>0</v>
      </c>
      <c r="AJ2969" s="77"/>
      <c r="AK2969" s="77"/>
      <c r="AL2969" s="77"/>
      <c r="AM2969" s="77"/>
      <c r="AN2969" s="77"/>
      <c r="AO2969" s="77"/>
      <c r="AP2969" s="77"/>
      <c r="AQ2969" s="77"/>
      <c r="AR2969" s="77"/>
      <c r="AS2969" s="77"/>
      <c r="AT2969" s="77"/>
      <c r="AU2969" s="77"/>
      <c r="AV2969" s="80" t="str">
        <f>HYPERLINK("https://pbs.twimg.com/profile_images/1588668531910082561/XEi-lXiu_normal.jpg")</f>
        <v>https://pbs.twimg.com/profile_images/1588668531910082561/XEi-lXiu_normal.jpg</v>
      </c>
      <c r="AW2969" s="82" t="s">
        <v>16053</v>
      </c>
      <c r="AX2969" s="82" t="s">
        <v>16053</v>
      </c>
      <c r="AY2969" s="77"/>
      <c r="AZ2969" s="82" t="s">
        <v>17385</v>
      </c>
      <c r="BA2969" s="82" t="s">
        <v>17385</v>
      </c>
      <c r="BB2969" s="82" t="s">
        <v>17385</v>
      </c>
      <c r="BC2969" s="82" t="s">
        <v>16053</v>
      </c>
      <c r="BD2969" s="82" t="s">
        <v>17667</v>
      </c>
      <c r="BE2969" s="77"/>
      <c r="BF2969" s="77"/>
      <c r="BG2969" s="77"/>
      <c r="BH2969" s="77"/>
      <c r="BI2969" s="77"/>
    </row>
    <row r="2970" spans="1:61" x14ac:dyDescent="0.25">
      <c r="A2970" s="62" t="s">
        <v>646</v>
      </c>
      <c r="B2970" s="62" t="s">
        <v>646</v>
      </c>
      <c r="C2970" s="63"/>
      <c r="D2970" s="64"/>
      <c r="E2970" s="65"/>
      <c r="F2970" s="66"/>
      <c r="G2970" s="63"/>
      <c r="H2970" s="67"/>
      <c r="I2970" s="68"/>
      <c r="J2970" s="68"/>
      <c r="K2970" s="32"/>
      <c r="L2970" s="75">
        <v>2970</v>
      </c>
      <c r="M2970" s="75"/>
      <c r="N2970" s="70"/>
      <c r="O2970" s="77" t="s">
        <v>179</v>
      </c>
      <c r="P2970" s="79">
        <v>45079.862210648149</v>
      </c>
      <c r="Q2970" s="77" t="s">
        <v>3747</v>
      </c>
      <c r="R2970" s="77">
        <v>0</v>
      </c>
      <c r="S2970" s="77">
        <v>0</v>
      </c>
      <c r="T2970" s="77">
        <v>0</v>
      </c>
      <c r="U2970" s="77">
        <v>0</v>
      </c>
      <c r="V2970" s="77">
        <v>34</v>
      </c>
      <c r="W2970" s="82" t="s">
        <v>6382</v>
      </c>
      <c r="X2970" s="80" t="str">
        <f>HYPERLINK("https://tinyurl.com/2zbsgkqr")</f>
        <v>https://tinyurl.com/2zbsgkqr</v>
      </c>
      <c r="Y2970" s="77" t="s">
        <v>7068</v>
      </c>
      <c r="Z2970" s="77"/>
      <c r="AA2970" s="77"/>
      <c r="AB2970" s="77"/>
      <c r="AC2970" s="82" t="s">
        <v>8274</v>
      </c>
      <c r="AD2970" s="77" t="s">
        <v>8278</v>
      </c>
      <c r="AE2970" s="80" t="str">
        <f>HYPERLINK("https://twitter.com/pauta_economica/status/1664734025355874305")</f>
        <v>https://twitter.com/pauta_economica/status/1664734025355874305</v>
      </c>
      <c r="AF2970" s="79">
        <v>45079.862210648149</v>
      </c>
      <c r="AG2970" s="85">
        <v>45079</v>
      </c>
      <c r="AH2970" s="82" t="s">
        <v>11002</v>
      </c>
      <c r="AI2970" s="77" t="b">
        <v>0</v>
      </c>
      <c r="AJ2970" s="77"/>
      <c r="AK2970" s="77"/>
      <c r="AL2970" s="77"/>
      <c r="AM2970" s="77"/>
      <c r="AN2970" s="77"/>
      <c r="AO2970" s="77"/>
      <c r="AP2970" s="77"/>
      <c r="AQ2970" s="77"/>
      <c r="AR2970" s="77"/>
      <c r="AS2970" s="77"/>
      <c r="AT2970" s="77"/>
      <c r="AU2970" s="77"/>
      <c r="AV2970" s="80" t="str">
        <f>HYPERLINK("https://pbs.twimg.com/profile_images/1588668531910082561/XEi-lXiu_normal.jpg")</f>
        <v>https://pbs.twimg.com/profile_images/1588668531910082561/XEi-lXiu_normal.jpg</v>
      </c>
      <c r="AW2970" s="82" t="s">
        <v>16054</v>
      </c>
      <c r="AX2970" s="82" t="s">
        <v>16054</v>
      </c>
      <c r="AY2970" s="77"/>
      <c r="AZ2970" s="82" t="s">
        <v>17385</v>
      </c>
      <c r="BA2970" s="82" t="s">
        <v>17385</v>
      </c>
      <c r="BB2970" s="82" t="s">
        <v>17385</v>
      </c>
      <c r="BC2970" s="82" t="s">
        <v>16054</v>
      </c>
      <c r="BD2970" s="82" t="s">
        <v>17667</v>
      </c>
      <c r="BE2970" s="77"/>
      <c r="BF2970" s="77"/>
      <c r="BG2970" s="77"/>
      <c r="BH2970" s="77"/>
      <c r="BI2970" s="77"/>
    </row>
    <row r="2971" spans="1:61" x14ac:dyDescent="0.25">
      <c r="A2971" s="62" t="s">
        <v>646</v>
      </c>
      <c r="B2971" s="62" t="s">
        <v>646</v>
      </c>
      <c r="C2971" s="63"/>
      <c r="D2971" s="64"/>
      <c r="E2971" s="65"/>
      <c r="F2971" s="66"/>
      <c r="G2971" s="63"/>
      <c r="H2971" s="67"/>
      <c r="I2971" s="68"/>
      <c r="J2971" s="68"/>
      <c r="K2971" s="32"/>
      <c r="L2971" s="75">
        <v>2971</v>
      </c>
      <c r="M2971" s="75"/>
      <c r="N2971" s="70"/>
      <c r="O2971" s="77" t="s">
        <v>179</v>
      </c>
      <c r="P2971" s="79">
        <v>45079.834189814814</v>
      </c>
      <c r="Q2971" s="77" t="s">
        <v>3748</v>
      </c>
      <c r="R2971" s="77">
        <v>0</v>
      </c>
      <c r="S2971" s="77">
        <v>0</v>
      </c>
      <c r="T2971" s="77">
        <v>0</v>
      </c>
      <c r="U2971" s="77">
        <v>0</v>
      </c>
      <c r="V2971" s="77">
        <v>85</v>
      </c>
      <c r="W2971" s="82" t="s">
        <v>6382</v>
      </c>
      <c r="X2971" s="80" t="str">
        <f>HYPERLINK("https://tinyurl.com/2gjp5773")</f>
        <v>https://tinyurl.com/2gjp5773</v>
      </c>
      <c r="Y2971" s="77" t="s">
        <v>7068</v>
      </c>
      <c r="Z2971" s="77"/>
      <c r="AA2971" s="77"/>
      <c r="AB2971" s="77"/>
      <c r="AC2971" s="82" t="s">
        <v>8274</v>
      </c>
      <c r="AD2971" s="77" t="s">
        <v>8278</v>
      </c>
      <c r="AE2971" s="80" t="str">
        <f>HYPERLINK("https://twitter.com/pauta_economica/status/1664723871784640514")</f>
        <v>https://twitter.com/pauta_economica/status/1664723871784640514</v>
      </c>
      <c r="AF2971" s="79">
        <v>45079.834189814814</v>
      </c>
      <c r="AG2971" s="85">
        <v>45079</v>
      </c>
      <c r="AH2971" s="82" t="s">
        <v>11003</v>
      </c>
      <c r="AI2971" s="77" t="b">
        <v>0</v>
      </c>
      <c r="AJ2971" s="77"/>
      <c r="AK2971" s="77"/>
      <c r="AL2971" s="77"/>
      <c r="AM2971" s="77"/>
      <c r="AN2971" s="77"/>
      <c r="AO2971" s="77"/>
      <c r="AP2971" s="77"/>
      <c r="AQ2971" s="77"/>
      <c r="AR2971" s="77"/>
      <c r="AS2971" s="77"/>
      <c r="AT2971" s="77"/>
      <c r="AU2971" s="77"/>
      <c r="AV2971" s="80" t="str">
        <f>HYPERLINK("https://pbs.twimg.com/profile_images/1588668531910082561/XEi-lXiu_normal.jpg")</f>
        <v>https://pbs.twimg.com/profile_images/1588668531910082561/XEi-lXiu_normal.jpg</v>
      </c>
      <c r="AW2971" s="82" t="s">
        <v>16055</v>
      </c>
      <c r="AX2971" s="82" t="s">
        <v>16055</v>
      </c>
      <c r="AY2971" s="77"/>
      <c r="AZ2971" s="82" t="s">
        <v>17385</v>
      </c>
      <c r="BA2971" s="82" t="s">
        <v>17385</v>
      </c>
      <c r="BB2971" s="82" t="s">
        <v>17385</v>
      </c>
      <c r="BC2971" s="82" t="s">
        <v>16055</v>
      </c>
      <c r="BD2971" s="82" t="s">
        <v>17667</v>
      </c>
      <c r="BE2971" s="77"/>
      <c r="BF2971" s="77"/>
      <c r="BG2971" s="77"/>
      <c r="BH2971" s="77"/>
      <c r="BI2971" s="77"/>
    </row>
    <row r="2972" spans="1:61" x14ac:dyDescent="0.25">
      <c r="A2972" s="62" t="s">
        <v>646</v>
      </c>
      <c r="B2972" s="62" t="s">
        <v>646</v>
      </c>
      <c r="C2972" s="63"/>
      <c r="D2972" s="64"/>
      <c r="E2972" s="65"/>
      <c r="F2972" s="66"/>
      <c r="G2972" s="63"/>
      <c r="H2972" s="67"/>
      <c r="I2972" s="68"/>
      <c r="J2972" s="68"/>
      <c r="K2972" s="32"/>
      <c r="L2972" s="75">
        <v>2972</v>
      </c>
      <c r="M2972" s="75"/>
      <c r="N2972" s="70"/>
      <c r="O2972" s="77" t="s">
        <v>179</v>
      </c>
      <c r="P2972" s="79">
        <v>45079.778055555558</v>
      </c>
      <c r="Q2972" s="77" t="s">
        <v>3749</v>
      </c>
      <c r="R2972" s="77">
        <v>0</v>
      </c>
      <c r="S2972" s="77">
        <v>0</v>
      </c>
      <c r="T2972" s="77">
        <v>0</v>
      </c>
      <c r="U2972" s="77">
        <v>0</v>
      </c>
      <c r="V2972" s="77">
        <v>48</v>
      </c>
      <c r="W2972" s="82" t="s">
        <v>6382</v>
      </c>
      <c r="X2972" s="80" t="str">
        <f>HYPERLINK("https://tinyurl.com/2pvrtl76")</f>
        <v>https://tinyurl.com/2pvrtl76</v>
      </c>
      <c r="Y2972" s="77" t="s">
        <v>7068</v>
      </c>
      <c r="Z2972" s="77"/>
      <c r="AA2972" s="77"/>
      <c r="AB2972" s="77"/>
      <c r="AC2972" s="82" t="s">
        <v>8274</v>
      </c>
      <c r="AD2972" s="77" t="s">
        <v>8278</v>
      </c>
      <c r="AE2972" s="80" t="str">
        <f>HYPERLINK("https://twitter.com/pauta_economica/status/1664703528361955328")</f>
        <v>https://twitter.com/pauta_economica/status/1664703528361955328</v>
      </c>
      <c r="AF2972" s="79">
        <v>45079.778055555558</v>
      </c>
      <c r="AG2972" s="85">
        <v>45079</v>
      </c>
      <c r="AH2972" s="82" t="s">
        <v>11004</v>
      </c>
      <c r="AI2972" s="77" t="b">
        <v>0</v>
      </c>
      <c r="AJ2972" s="77"/>
      <c r="AK2972" s="77"/>
      <c r="AL2972" s="77"/>
      <c r="AM2972" s="77"/>
      <c r="AN2972" s="77"/>
      <c r="AO2972" s="77"/>
      <c r="AP2972" s="77"/>
      <c r="AQ2972" s="77"/>
      <c r="AR2972" s="77"/>
      <c r="AS2972" s="77"/>
      <c r="AT2972" s="77"/>
      <c r="AU2972" s="77"/>
      <c r="AV2972" s="80" t="str">
        <f>HYPERLINK("https://pbs.twimg.com/profile_images/1588668531910082561/XEi-lXiu_normal.jpg")</f>
        <v>https://pbs.twimg.com/profile_images/1588668531910082561/XEi-lXiu_normal.jpg</v>
      </c>
      <c r="AW2972" s="82" t="s">
        <v>16056</v>
      </c>
      <c r="AX2972" s="82" t="s">
        <v>16056</v>
      </c>
      <c r="AY2972" s="77"/>
      <c r="AZ2972" s="82" t="s">
        <v>17385</v>
      </c>
      <c r="BA2972" s="82" t="s">
        <v>17385</v>
      </c>
      <c r="BB2972" s="82" t="s">
        <v>17385</v>
      </c>
      <c r="BC2972" s="82" t="s">
        <v>16056</v>
      </c>
      <c r="BD2972" s="82" t="s">
        <v>17667</v>
      </c>
      <c r="BE2972" s="77"/>
      <c r="BF2972" s="77"/>
      <c r="BG2972" s="77"/>
      <c r="BH2972" s="77"/>
      <c r="BI2972" s="77"/>
    </row>
    <row r="2973" spans="1:61" x14ac:dyDescent="0.25">
      <c r="A2973" s="62" t="s">
        <v>646</v>
      </c>
      <c r="B2973" s="62" t="s">
        <v>646</v>
      </c>
      <c r="C2973" s="63"/>
      <c r="D2973" s="64"/>
      <c r="E2973" s="65"/>
      <c r="F2973" s="66"/>
      <c r="G2973" s="63"/>
      <c r="H2973" s="67"/>
      <c r="I2973" s="68"/>
      <c r="J2973" s="68"/>
      <c r="K2973" s="32"/>
      <c r="L2973" s="75">
        <v>2973</v>
      </c>
      <c r="M2973" s="75"/>
      <c r="N2973" s="70"/>
      <c r="O2973" s="77" t="s">
        <v>179</v>
      </c>
      <c r="P2973" s="79">
        <v>45079.750243055554</v>
      </c>
      <c r="Q2973" s="77" t="s">
        <v>3750</v>
      </c>
      <c r="R2973" s="77">
        <v>0</v>
      </c>
      <c r="S2973" s="77">
        <v>0</v>
      </c>
      <c r="T2973" s="77">
        <v>0</v>
      </c>
      <c r="U2973" s="77">
        <v>0</v>
      </c>
      <c r="V2973" s="77">
        <v>34</v>
      </c>
      <c r="W2973" s="82" t="s">
        <v>6382</v>
      </c>
      <c r="X2973" s="80" t="str">
        <f>HYPERLINK("https://tinyurl.com/2e94toek")</f>
        <v>https://tinyurl.com/2e94toek</v>
      </c>
      <c r="Y2973" s="77" t="s">
        <v>7068</v>
      </c>
      <c r="Z2973" s="77"/>
      <c r="AA2973" s="77"/>
      <c r="AB2973" s="77"/>
      <c r="AC2973" s="82" t="s">
        <v>8274</v>
      </c>
      <c r="AD2973" s="77" t="s">
        <v>8278</v>
      </c>
      <c r="AE2973" s="80" t="str">
        <f>HYPERLINK("https://twitter.com/pauta_economica/status/1664693447947702288")</f>
        <v>https://twitter.com/pauta_economica/status/1664693447947702288</v>
      </c>
      <c r="AF2973" s="79">
        <v>45079.750243055554</v>
      </c>
      <c r="AG2973" s="85">
        <v>45079</v>
      </c>
      <c r="AH2973" s="82" t="s">
        <v>11005</v>
      </c>
      <c r="AI2973" s="77" t="b">
        <v>0</v>
      </c>
      <c r="AJ2973" s="77"/>
      <c r="AK2973" s="77"/>
      <c r="AL2973" s="77"/>
      <c r="AM2973" s="77"/>
      <c r="AN2973" s="77"/>
      <c r="AO2973" s="77"/>
      <c r="AP2973" s="77"/>
      <c r="AQ2973" s="77"/>
      <c r="AR2973" s="77"/>
      <c r="AS2973" s="77"/>
      <c r="AT2973" s="77"/>
      <c r="AU2973" s="77"/>
      <c r="AV2973" s="80" t="str">
        <f>HYPERLINK("https://pbs.twimg.com/profile_images/1588668531910082561/XEi-lXiu_normal.jpg")</f>
        <v>https://pbs.twimg.com/profile_images/1588668531910082561/XEi-lXiu_normal.jpg</v>
      </c>
      <c r="AW2973" s="82" t="s">
        <v>16057</v>
      </c>
      <c r="AX2973" s="82" t="s">
        <v>16057</v>
      </c>
      <c r="AY2973" s="77"/>
      <c r="AZ2973" s="82" t="s">
        <v>17385</v>
      </c>
      <c r="BA2973" s="82" t="s">
        <v>17385</v>
      </c>
      <c r="BB2973" s="82" t="s">
        <v>17385</v>
      </c>
      <c r="BC2973" s="82" t="s">
        <v>16057</v>
      </c>
      <c r="BD2973" s="82" t="s">
        <v>17667</v>
      </c>
      <c r="BE2973" s="77"/>
      <c r="BF2973" s="77"/>
      <c r="BG2973" s="77"/>
      <c r="BH2973" s="77"/>
      <c r="BI2973" s="77"/>
    </row>
    <row r="2974" spans="1:61" x14ac:dyDescent="0.25">
      <c r="A2974" s="62" t="s">
        <v>646</v>
      </c>
      <c r="B2974" s="62" t="s">
        <v>646</v>
      </c>
      <c r="C2974" s="63"/>
      <c r="D2974" s="64"/>
      <c r="E2974" s="65"/>
      <c r="F2974" s="66"/>
      <c r="G2974" s="63"/>
      <c r="H2974" s="67"/>
      <c r="I2974" s="68"/>
      <c r="J2974" s="68"/>
      <c r="K2974" s="32"/>
      <c r="L2974" s="75">
        <v>2974</v>
      </c>
      <c r="M2974" s="75"/>
      <c r="N2974" s="70"/>
      <c r="O2974" s="77" t="s">
        <v>179</v>
      </c>
      <c r="P2974" s="79">
        <v>45079.722291666665</v>
      </c>
      <c r="Q2974" s="77" t="s">
        <v>3751</v>
      </c>
      <c r="R2974" s="77">
        <v>0</v>
      </c>
      <c r="S2974" s="77">
        <v>0</v>
      </c>
      <c r="T2974" s="77">
        <v>1</v>
      </c>
      <c r="U2974" s="77">
        <v>0</v>
      </c>
      <c r="V2974" s="77">
        <v>39</v>
      </c>
      <c r="W2974" s="82" t="s">
        <v>6382</v>
      </c>
      <c r="X2974" s="80" t="str">
        <f>HYPERLINK("https://tinyurl.com/2mgbefu6")</f>
        <v>https://tinyurl.com/2mgbefu6</v>
      </c>
      <c r="Y2974" s="77" t="s">
        <v>7068</v>
      </c>
      <c r="Z2974" s="77"/>
      <c r="AA2974" s="77"/>
      <c r="AB2974" s="77"/>
      <c r="AC2974" s="82" t="s">
        <v>8274</v>
      </c>
      <c r="AD2974" s="77" t="s">
        <v>8278</v>
      </c>
      <c r="AE2974" s="80" t="str">
        <f>HYPERLINK("https://twitter.com/pauta_economica/status/1664683318355296258")</f>
        <v>https://twitter.com/pauta_economica/status/1664683318355296258</v>
      </c>
      <c r="AF2974" s="79">
        <v>45079.722291666665</v>
      </c>
      <c r="AG2974" s="85">
        <v>45079</v>
      </c>
      <c r="AH2974" s="82" t="s">
        <v>11006</v>
      </c>
      <c r="AI2974" s="77" t="b">
        <v>0</v>
      </c>
      <c r="AJ2974" s="77"/>
      <c r="AK2974" s="77"/>
      <c r="AL2974" s="77"/>
      <c r="AM2974" s="77"/>
      <c r="AN2974" s="77"/>
      <c r="AO2974" s="77"/>
      <c r="AP2974" s="77"/>
      <c r="AQ2974" s="77"/>
      <c r="AR2974" s="77"/>
      <c r="AS2974" s="77"/>
      <c r="AT2974" s="77"/>
      <c r="AU2974" s="77"/>
      <c r="AV2974" s="80" t="str">
        <f>HYPERLINK("https://pbs.twimg.com/profile_images/1588668531910082561/XEi-lXiu_normal.jpg")</f>
        <v>https://pbs.twimg.com/profile_images/1588668531910082561/XEi-lXiu_normal.jpg</v>
      </c>
      <c r="AW2974" s="82" t="s">
        <v>16058</v>
      </c>
      <c r="AX2974" s="82" t="s">
        <v>16058</v>
      </c>
      <c r="AY2974" s="77"/>
      <c r="AZ2974" s="82" t="s">
        <v>17385</v>
      </c>
      <c r="BA2974" s="82" t="s">
        <v>17385</v>
      </c>
      <c r="BB2974" s="82" t="s">
        <v>17385</v>
      </c>
      <c r="BC2974" s="82" t="s">
        <v>16058</v>
      </c>
      <c r="BD2974" s="82" t="s">
        <v>17667</v>
      </c>
      <c r="BE2974" s="77"/>
      <c r="BF2974" s="77"/>
      <c r="BG2974" s="77"/>
      <c r="BH2974" s="77"/>
      <c r="BI2974" s="77"/>
    </row>
    <row r="2975" spans="1:61" x14ac:dyDescent="0.25">
      <c r="A2975" s="62" t="s">
        <v>646</v>
      </c>
      <c r="B2975" s="62" t="s">
        <v>646</v>
      </c>
      <c r="C2975" s="63"/>
      <c r="D2975" s="64"/>
      <c r="E2975" s="65"/>
      <c r="F2975" s="66"/>
      <c r="G2975" s="63"/>
      <c r="H2975" s="67"/>
      <c r="I2975" s="68"/>
      <c r="J2975" s="68"/>
      <c r="K2975" s="32"/>
      <c r="L2975" s="75">
        <v>2975</v>
      </c>
      <c r="M2975" s="75"/>
      <c r="N2975" s="70"/>
      <c r="O2975" s="77" t="s">
        <v>179</v>
      </c>
      <c r="P2975" s="79">
        <v>45079.694421296299</v>
      </c>
      <c r="Q2975" s="77" t="s">
        <v>3752</v>
      </c>
      <c r="R2975" s="77">
        <v>0</v>
      </c>
      <c r="S2975" s="77">
        <v>0</v>
      </c>
      <c r="T2975" s="77">
        <v>0</v>
      </c>
      <c r="U2975" s="77">
        <v>0</v>
      </c>
      <c r="V2975" s="77">
        <v>69</v>
      </c>
      <c r="W2975" s="82" t="s">
        <v>6382</v>
      </c>
      <c r="X2975" s="80" t="str">
        <f>HYPERLINK("https://tinyurl.com/2mkmqerf")</f>
        <v>https://tinyurl.com/2mkmqerf</v>
      </c>
      <c r="Y2975" s="77" t="s">
        <v>7068</v>
      </c>
      <c r="Z2975" s="77"/>
      <c r="AA2975" s="77"/>
      <c r="AB2975" s="77"/>
      <c r="AC2975" s="82" t="s">
        <v>8274</v>
      </c>
      <c r="AD2975" s="77" t="s">
        <v>8278</v>
      </c>
      <c r="AE2975" s="80" t="str">
        <f>HYPERLINK("https://twitter.com/pauta_economica/status/1664673220652302336")</f>
        <v>https://twitter.com/pauta_economica/status/1664673220652302336</v>
      </c>
      <c r="AF2975" s="79">
        <v>45079.694421296299</v>
      </c>
      <c r="AG2975" s="85">
        <v>45079</v>
      </c>
      <c r="AH2975" s="82" t="s">
        <v>11007</v>
      </c>
      <c r="AI2975" s="77" t="b">
        <v>0</v>
      </c>
      <c r="AJ2975" s="77"/>
      <c r="AK2975" s="77"/>
      <c r="AL2975" s="77"/>
      <c r="AM2975" s="77"/>
      <c r="AN2975" s="77"/>
      <c r="AO2975" s="77"/>
      <c r="AP2975" s="77"/>
      <c r="AQ2975" s="77"/>
      <c r="AR2975" s="77"/>
      <c r="AS2975" s="77"/>
      <c r="AT2975" s="77"/>
      <c r="AU2975" s="77"/>
      <c r="AV2975" s="80" t="str">
        <f>HYPERLINK("https://pbs.twimg.com/profile_images/1588668531910082561/XEi-lXiu_normal.jpg")</f>
        <v>https://pbs.twimg.com/profile_images/1588668531910082561/XEi-lXiu_normal.jpg</v>
      </c>
      <c r="AW2975" s="82" t="s">
        <v>16059</v>
      </c>
      <c r="AX2975" s="82" t="s">
        <v>16059</v>
      </c>
      <c r="AY2975" s="77"/>
      <c r="AZ2975" s="82" t="s">
        <v>17385</v>
      </c>
      <c r="BA2975" s="82" t="s">
        <v>17385</v>
      </c>
      <c r="BB2975" s="82" t="s">
        <v>17385</v>
      </c>
      <c r="BC2975" s="82" t="s">
        <v>16059</v>
      </c>
      <c r="BD2975" s="82" t="s">
        <v>17667</v>
      </c>
      <c r="BE2975" s="77"/>
      <c r="BF2975" s="77"/>
      <c r="BG2975" s="77"/>
      <c r="BH2975" s="77"/>
      <c r="BI2975" s="77"/>
    </row>
    <row r="2976" spans="1:61" x14ac:dyDescent="0.25">
      <c r="A2976" s="62" t="s">
        <v>646</v>
      </c>
      <c r="B2976" s="62" t="s">
        <v>646</v>
      </c>
      <c r="C2976" s="63"/>
      <c r="D2976" s="64"/>
      <c r="E2976" s="65"/>
      <c r="F2976" s="66"/>
      <c r="G2976" s="63"/>
      <c r="H2976" s="67"/>
      <c r="I2976" s="68"/>
      <c r="J2976" s="68"/>
      <c r="K2976" s="32"/>
      <c r="L2976" s="75">
        <v>2976</v>
      </c>
      <c r="M2976" s="75"/>
      <c r="N2976" s="70"/>
      <c r="O2976" s="77" t="s">
        <v>179</v>
      </c>
      <c r="P2976" s="79">
        <v>45079.582766203705</v>
      </c>
      <c r="Q2976" s="77" t="s">
        <v>3753</v>
      </c>
      <c r="R2976" s="77">
        <v>0</v>
      </c>
      <c r="S2976" s="77">
        <v>0</v>
      </c>
      <c r="T2976" s="77">
        <v>0</v>
      </c>
      <c r="U2976" s="77">
        <v>0</v>
      </c>
      <c r="V2976" s="77">
        <v>93</v>
      </c>
      <c r="W2976" s="82" t="s">
        <v>6382</v>
      </c>
      <c r="X2976" s="80" t="str">
        <f>HYPERLINK("https://tinyurl.com/2ps39b7v")</f>
        <v>https://tinyurl.com/2ps39b7v</v>
      </c>
      <c r="Y2976" s="77" t="s">
        <v>7068</v>
      </c>
      <c r="Z2976" s="77"/>
      <c r="AA2976" s="77"/>
      <c r="AB2976" s="77"/>
      <c r="AC2976" s="82" t="s">
        <v>8274</v>
      </c>
      <c r="AD2976" s="77" t="s">
        <v>8278</v>
      </c>
      <c r="AE2976" s="80" t="str">
        <f>HYPERLINK("https://twitter.com/pauta_economica/status/1664632759636176902")</f>
        <v>https://twitter.com/pauta_economica/status/1664632759636176902</v>
      </c>
      <c r="AF2976" s="79">
        <v>45079.582766203705</v>
      </c>
      <c r="AG2976" s="85">
        <v>45079</v>
      </c>
      <c r="AH2976" s="82" t="s">
        <v>11008</v>
      </c>
      <c r="AI2976" s="77" t="b">
        <v>0</v>
      </c>
      <c r="AJ2976" s="77"/>
      <c r="AK2976" s="77"/>
      <c r="AL2976" s="77"/>
      <c r="AM2976" s="77"/>
      <c r="AN2976" s="77"/>
      <c r="AO2976" s="77"/>
      <c r="AP2976" s="77"/>
      <c r="AQ2976" s="77"/>
      <c r="AR2976" s="77"/>
      <c r="AS2976" s="77"/>
      <c r="AT2976" s="77"/>
      <c r="AU2976" s="77"/>
      <c r="AV2976" s="80" t="str">
        <f>HYPERLINK("https://pbs.twimg.com/profile_images/1588668531910082561/XEi-lXiu_normal.jpg")</f>
        <v>https://pbs.twimg.com/profile_images/1588668531910082561/XEi-lXiu_normal.jpg</v>
      </c>
      <c r="AW2976" s="82" t="s">
        <v>16060</v>
      </c>
      <c r="AX2976" s="82" t="s">
        <v>16060</v>
      </c>
      <c r="AY2976" s="77"/>
      <c r="AZ2976" s="82" t="s">
        <v>17385</v>
      </c>
      <c r="BA2976" s="82" t="s">
        <v>17385</v>
      </c>
      <c r="BB2976" s="82" t="s">
        <v>17385</v>
      </c>
      <c r="BC2976" s="82" t="s">
        <v>16060</v>
      </c>
      <c r="BD2976" s="82" t="s">
        <v>17667</v>
      </c>
      <c r="BE2976" s="77"/>
      <c r="BF2976" s="77"/>
      <c r="BG2976" s="77"/>
      <c r="BH2976" s="77"/>
      <c r="BI2976" s="77"/>
    </row>
    <row r="2977" spans="1:61" x14ac:dyDescent="0.25">
      <c r="A2977" s="62" t="s">
        <v>646</v>
      </c>
      <c r="B2977" s="62" t="s">
        <v>646</v>
      </c>
      <c r="C2977" s="63"/>
      <c r="D2977" s="64"/>
      <c r="E2977" s="65"/>
      <c r="F2977" s="66"/>
      <c r="G2977" s="63"/>
      <c r="H2977" s="67"/>
      <c r="I2977" s="68"/>
      <c r="J2977" s="68"/>
      <c r="K2977" s="32"/>
      <c r="L2977" s="75">
        <v>2977</v>
      </c>
      <c r="M2977" s="75"/>
      <c r="N2977" s="70"/>
      <c r="O2977" s="77" t="s">
        <v>179</v>
      </c>
      <c r="P2977" s="79">
        <v>45079.530682870369</v>
      </c>
      <c r="Q2977" s="77" t="s">
        <v>3754</v>
      </c>
      <c r="R2977" s="77">
        <v>0</v>
      </c>
      <c r="S2977" s="77">
        <v>0</v>
      </c>
      <c r="T2977" s="77">
        <v>0</v>
      </c>
      <c r="U2977" s="77">
        <v>0</v>
      </c>
      <c r="V2977" s="77">
        <v>47</v>
      </c>
      <c r="W2977" s="82" t="s">
        <v>6382</v>
      </c>
      <c r="X2977" s="80" t="str">
        <f>HYPERLINK("https://tinyurl.com/2htbalqw")</f>
        <v>https://tinyurl.com/2htbalqw</v>
      </c>
      <c r="Y2977" s="77" t="s">
        <v>7068</v>
      </c>
      <c r="Z2977" s="77"/>
      <c r="AA2977" s="77"/>
      <c r="AB2977" s="77"/>
      <c r="AC2977" s="82" t="s">
        <v>8274</v>
      </c>
      <c r="AD2977" s="77" t="s">
        <v>8278</v>
      </c>
      <c r="AE2977" s="80" t="str">
        <f>HYPERLINK("https://twitter.com/pauta_economica/status/1664613882277797888")</f>
        <v>https://twitter.com/pauta_economica/status/1664613882277797888</v>
      </c>
      <c r="AF2977" s="79">
        <v>45079.530682870369</v>
      </c>
      <c r="AG2977" s="85">
        <v>45079</v>
      </c>
      <c r="AH2977" s="82" t="s">
        <v>11009</v>
      </c>
      <c r="AI2977" s="77" t="b">
        <v>0</v>
      </c>
      <c r="AJ2977" s="77"/>
      <c r="AK2977" s="77"/>
      <c r="AL2977" s="77"/>
      <c r="AM2977" s="77"/>
      <c r="AN2977" s="77"/>
      <c r="AO2977" s="77"/>
      <c r="AP2977" s="77"/>
      <c r="AQ2977" s="77"/>
      <c r="AR2977" s="77"/>
      <c r="AS2977" s="77"/>
      <c r="AT2977" s="77"/>
      <c r="AU2977" s="77"/>
      <c r="AV2977" s="80" t="str">
        <f>HYPERLINK("https://pbs.twimg.com/profile_images/1588668531910082561/XEi-lXiu_normal.jpg")</f>
        <v>https://pbs.twimg.com/profile_images/1588668531910082561/XEi-lXiu_normal.jpg</v>
      </c>
      <c r="AW2977" s="82" t="s">
        <v>16061</v>
      </c>
      <c r="AX2977" s="82" t="s">
        <v>16061</v>
      </c>
      <c r="AY2977" s="77"/>
      <c r="AZ2977" s="82" t="s">
        <v>17385</v>
      </c>
      <c r="BA2977" s="82" t="s">
        <v>17385</v>
      </c>
      <c r="BB2977" s="82" t="s">
        <v>17385</v>
      </c>
      <c r="BC2977" s="82" t="s">
        <v>16061</v>
      </c>
      <c r="BD2977" s="82" t="s">
        <v>17667</v>
      </c>
      <c r="BE2977" s="77"/>
      <c r="BF2977" s="77"/>
      <c r="BG2977" s="77"/>
      <c r="BH2977" s="77"/>
      <c r="BI2977" s="77"/>
    </row>
    <row r="2978" spans="1:61" x14ac:dyDescent="0.25">
      <c r="A2978" s="62" t="s">
        <v>646</v>
      </c>
      <c r="B2978" s="62" t="s">
        <v>646</v>
      </c>
      <c r="C2978" s="63"/>
      <c r="D2978" s="64"/>
      <c r="E2978" s="65"/>
      <c r="F2978" s="66"/>
      <c r="G2978" s="63"/>
      <c r="H2978" s="67"/>
      <c r="I2978" s="68"/>
      <c r="J2978" s="68"/>
      <c r="K2978" s="32"/>
      <c r="L2978" s="75">
        <v>2978</v>
      </c>
      <c r="M2978" s="75"/>
      <c r="N2978" s="70"/>
      <c r="O2978" s="77" t="s">
        <v>179</v>
      </c>
      <c r="P2978" s="79">
        <v>45079.499398148146</v>
      </c>
      <c r="Q2978" s="77" t="s">
        <v>3755</v>
      </c>
      <c r="R2978" s="77">
        <v>0</v>
      </c>
      <c r="S2978" s="77">
        <v>0</v>
      </c>
      <c r="T2978" s="77">
        <v>0</v>
      </c>
      <c r="U2978" s="77">
        <v>0</v>
      </c>
      <c r="V2978" s="77">
        <v>29</v>
      </c>
      <c r="W2978" s="82" t="s">
        <v>6382</v>
      </c>
      <c r="X2978" s="80" t="str">
        <f>HYPERLINK("https://tinyurl.com/2odnlb4z")</f>
        <v>https://tinyurl.com/2odnlb4z</v>
      </c>
      <c r="Y2978" s="77" t="s">
        <v>7068</v>
      </c>
      <c r="Z2978" s="77"/>
      <c r="AA2978" s="77"/>
      <c r="AB2978" s="77"/>
      <c r="AC2978" s="82" t="s">
        <v>8274</v>
      </c>
      <c r="AD2978" s="77" t="s">
        <v>8278</v>
      </c>
      <c r="AE2978" s="80" t="str">
        <f>HYPERLINK("https://twitter.com/pauta_economica/status/1664602545589825537")</f>
        <v>https://twitter.com/pauta_economica/status/1664602545589825537</v>
      </c>
      <c r="AF2978" s="79">
        <v>45079.499398148146</v>
      </c>
      <c r="AG2978" s="85">
        <v>45079</v>
      </c>
      <c r="AH2978" s="82" t="s">
        <v>11010</v>
      </c>
      <c r="AI2978" s="77" t="b">
        <v>0</v>
      </c>
      <c r="AJ2978" s="77"/>
      <c r="AK2978" s="77"/>
      <c r="AL2978" s="77"/>
      <c r="AM2978" s="77"/>
      <c r="AN2978" s="77"/>
      <c r="AO2978" s="77"/>
      <c r="AP2978" s="77"/>
      <c r="AQ2978" s="77"/>
      <c r="AR2978" s="77"/>
      <c r="AS2978" s="77"/>
      <c r="AT2978" s="77"/>
      <c r="AU2978" s="77"/>
      <c r="AV2978" s="80" t="str">
        <f>HYPERLINK("https://pbs.twimg.com/profile_images/1588668531910082561/XEi-lXiu_normal.jpg")</f>
        <v>https://pbs.twimg.com/profile_images/1588668531910082561/XEi-lXiu_normal.jpg</v>
      </c>
      <c r="AW2978" s="82" t="s">
        <v>16062</v>
      </c>
      <c r="AX2978" s="82" t="s">
        <v>16062</v>
      </c>
      <c r="AY2978" s="77"/>
      <c r="AZ2978" s="82" t="s">
        <v>17385</v>
      </c>
      <c r="BA2978" s="82" t="s">
        <v>17385</v>
      </c>
      <c r="BB2978" s="82" t="s">
        <v>17385</v>
      </c>
      <c r="BC2978" s="82" t="s">
        <v>16062</v>
      </c>
      <c r="BD2978" s="82" t="s">
        <v>17667</v>
      </c>
      <c r="BE2978" s="77"/>
      <c r="BF2978" s="77"/>
      <c r="BG2978" s="77"/>
      <c r="BH2978" s="77"/>
      <c r="BI2978" s="77"/>
    </row>
    <row r="2979" spans="1:61" x14ac:dyDescent="0.25">
      <c r="A2979" s="62" t="s">
        <v>646</v>
      </c>
      <c r="B2979" s="62" t="s">
        <v>646</v>
      </c>
      <c r="C2979" s="63"/>
      <c r="D2979" s="64"/>
      <c r="E2979" s="65"/>
      <c r="F2979" s="66"/>
      <c r="G2979" s="63"/>
      <c r="H2979" s="67"/>
      <c r="I2979" s="68"/>
      <c r="J2979" s="68"/>
      <c r="K2979" s="32"/>
      <c r="L2979" s="75">
        <v>2979</v>
      </c>
      <c r="M2979" s="75"/>
      <c r="N2979" s="70"/>
      <c r="O2979" s="77" t="s">
        <v>179</v>
      </c>
      <c r="P2979" s="79">
        <v>45079.495879629627</v>
      </c>
      <c r="Q2979" s="77" t="s">
        <v>3756</v>
      </c>
      <c r="R2979" s="77">
        <v>0</v>
      </c>
      <c r="S2979" s="77">
        <v>0</v>
      </c>
      <c r="T2979" s="77">
        <v>0</v>
      </c>
      <c r="U2979" s="77">
        <v>0</v>
      </c>
      <c r="V2979" s="77">
        <v>30</v>
      </c>
      <c r="W2979" s="82" t="s">
        <v>6382</v>
      </c>
      <c r="X2979" s="80" t="str">
        <f>HYPERLINK("https://tinyurl.com/2gpuxgha")</f>
        <v>https://tinyurl.com/2gpuxgha</v>
      </c>
      <c r="Y2979" s="77" t="s">
        <v>7068</v>
      </c>
      <c r="Z2979" s="77"/>
      <c r="AA2979" s="77"/>
      <c r="AB2979" s="77"/>
      <c r="AC2979" s="82" t="s">
        <v>8274</v>
      </c>
      <c r="AD2979" s="77" t="s">
        <v>8278</v>
      </c>
      <c r="AE2979" s="80" t="str">
        <f>HYPERLINK("https://twitter.com/pauta_economica/status/1664601269892161536")</f>
        <v>https://twitter.com/pauta_economica/status/1664601269892161536</v>
      </c>
      <c r="AF2979" s="79">
        <v>45079.495879629627</v>
      </c>
      <c r="AG2979" s="85">
        <v>45079</v>
      </c>
      <c r="AH2979" s="82" t="s">
        <v>11011</v>
      </c>
      <c r="AI2979" s="77" t="b">
        <v>0</v>
      </c>
      <c r="AJ2979" s="77"/>
      <c r="AK2979" s="77"/>
      <c r="AL2979" s="77"/>
      <c r="AM2979" s="77"/>
      <c r="AN2979" s="77"/>
      <c r="AO2979" s="77"/>
      <c r="AP2979" s="77"/>
      <c r="AQ2979" s="77"/>
      <c r="AR2979" s="77"/>
      <c r="AS2979" s="77"/>
      <c r="AT2979" s="77"/>
      <c r="AU2979" s="77"/>
      <c r="AV2979" s="80" t="str">
        <f>HYPERLINK("https://pbs.twimg.com/profile_images/1588668531910082561/XEi-lXiu_normal.jpg")</f>
        <v>https://pbs.twimg.com/profile_images/1588668531910082561/XEi-lXiu_normal.jpg</v>
      </c>
      <c r="AW2979" s="82" t="s">
        <v>16063</v>
      </c>
      <c r="AX2979" s="82" t="s">
        <v>16063</v>
      </c>
      <c r="AY2979" s="77"/>
      <c r="AZ2979" s="82" t="s">
        <v>17385</v>
      </c>
      <c r="BA2979" s="82" t="s">
        <v>17385</v>
      </c>
      <c r="BB2979" s="82" t="s">
        <v>17385</v>
      </c>
      <c r="BC2979" s="82" t="s">
        <v>16063</v>
      </c>
      <c r="BD2979" s="82" t="s">
        <v>17667</v>
      </c>
      <c r="BE2979" s="77"/>
      <c r="BF2979" s="77"/>
      <c r="BG2979" s="77"/>
      <c r="BH2979" s="77"/>
      <c r="BI2979" s="77"/>
    </row>
    <row r="2980" spans="1:61" x14ac:dyDescent="0.25">
      <c r="A2980" s="62" t="s">
        <v>646</v>
      </c>
      <c r="B2980" s="62" t="s">
        <v>646</v>
      </c>
      <c r="C2980" s="63"/>
      <c r="D2980" s="64"/>
      <c r="E2980" s="65"/>
      <c r="F2980" s="66"/>
      <c r="G2980" s="63"/>
      <c r="H2980" s="67"/>
      <c r="I2980" s="68"/>
      <c r="J2980" s="68"/>
      <c r="K2980" s="32"/>
      <c r="L2980" s="75">
        <v>2980</v>
      </c>
      <c r="M2980" s="75"/>
      <c r="N2980" s="70"/>
      <c r="O2980" s="77" t="s">
        <v>179</v>
      </c>
      <c r="P2980" s="79">
        <v>45079.488877314812</v>
      </c>
      <c r="Q2980" s="77" t="s">
        <v>3757</v>
      </c>
      <c r="R2980" s="77">
        <v>0</v>
      </c>
      <c r="S2980" s="77">
        <v>0</v>
      </c>
      <c r="T2980" s="77">
        <v>1</v>
      </c>
      <c r="U2980" s="77">
        <v>0</v>
      </c>
      <c r="V2980" s="77">
        <v>55</v>
      </c>
      <c r="W2980" s="82" t="s">
        <v>6382</v>
      </c>
      <c r="X2980" s="80" t="str">
        <f>HYPERLINK("https://tinyurl.com/2k4hap6w")</f>
        <v>https://tinyurl.com/2k4hap6w</v>
      </c>
      <c r="Y2980" s="77" t="s">
        <v>7068</v>
      </c>
      <c r="Z2980" s="77"/>
      <c r="AA2980" s="77"/>
      <c r="AB2980" s="77"/>
      <c r="AC2980" s="82" t="s">
        <v>8274</v>
      </c>
      <c r="AD2980" s="77" t="s">
        <v>8278</v>
      </c>
      <c r="AE2980" s="80" t="str">
        <f>HYPERLINK("https://twitter.com/pauta_economica/status/1664598734116626432")</f>
        <v>https://twitter.com/pauta_economica/status/1664598734116626432</v>
      </c>
      <c r="AF2980" s="79">
        <v>45079.488877314812</v>
      </c>
      <c r="AG2980" s="85">
        <v>45079</v>
      </c>
      <c r="AH2980" s="82" t="s">
        <v>11012</v>
      </c>
      <c r="AI2980" s="77" t="b">
        <v>0</v>
      </c>
      <c r="AJ2980" s="77"/>
      <c r="AK2980" s="77"/>
      <c r="AL2980" s="77"/>
      <c r="AM2980" s="77"/>
      <c r="AN2980" s="77"/>
      <c r="AO2980" s="77"/>
      <c r="AP2980" s="77"/>
      <c r="AQ2980" s="77"/>
      <c r="AR2980" s="77"/>
      <c r="AS2980" s="77"/>
      <c r="AT2980" s="77"/>
      <c r="AU2980" s="77"/>
      <c r="AV2980" s="80" t="str">
        <f>HYPERLINK("https://pbs.twimg.com/profile_images/1588668531910082561/XEi-lXiu_normal.jpg")</f>
        <v>https://pbs.twimg.com/profile_images/1588668531910082561/XEi-lXiu_normal.jpg</v>
      </c>
      <c r="AW2980" s="82" t="s">
        <v>16064</v>
      </c>
      <c r="AX2980" s="82" t="s">
        <v>16064</v>
      </c>
      <c r="AY2980" s="77"/>
      <c r="AZ2980" s="82" t="s">
        <v>17385</v>
      </c>
      <c r="BA2980" s="82" t="s">
        <v>17385</v>
      </c>
      <c r="BB2980" s="82" t="s">
        <v>17385</v>
      </c>
      <c r="BC2980" s="82" t="s">
        <v>16064</v>
      </c>
      <c r="BD2980" s="82" t="s">
        <v>17667</v>
      </c>
      <c r="BE2980" s="77"/>
      <c r="BF2980" s="77"/>
      <c r="BG2980" s="77"/>
      <c r="BH2980" s="77"/>
      <c r="BI2980" s="77"/>
    </row>
    <row r="2981" spans="1:61" x14ac:dyDescent="0.25">
      <c r="A2981" s="62" t="s">
        <v>646</v>
      </c>
      <c r="B2981" s="62" t="s">
        <v>646</v>
      </c>
      <c r="C2981" s="63"/>
      <c r="D2981" s="64"/>
      <c r="E2981" s="65"/>
      <c r="F2981" s="66"/>
      <c r="G2981" s="63"/>
      <c r="H2981" s="67"/>
      <c r="I2981" s="68"/>
      <c r="J2981" s="68"/>
      <c r="K2981" s="32"/>
      <c r="L2981" s="75">
        <v>2981</v>
      </c>
      <c r="M2981" s="75"/>
      <c r="N2981" s="70"/>
      <c r="O2981" s="77" t="s">
        <v>179</v>
      </c>
      <c r="P2981" s="79">
        <v>45079.247303240743</v>
      </c>
      <c r="Q2981" s="77" t="s">
        <v>3758</v>
      </c>
      <c r="R2981" s="77">
        <v>0</v>
      </c>
      <c r="S2981" s="77">
        <v>0</v>
      </c>
      <c r="T2981" s="77">
        <v>0</v>
      </c>
      <c r="U2981" s="77">
        <v>0</v>
      </c>
      <c r="V2981" s="77">
        <v>107</v>
      </c>
      <c r="W2981" s="82" t="s">
        <v>6382</v>
      </c>
      <c r="X2981" s="80" t="str">
        <f>HYPERLINK("https://tinyurl.com/2h55bt96")</f>
        <v>https://tinyurl.com/2h55bt96</v>
      </c>
      <c r="Y2981" s="77" t="s">
        <v>7068</v>
      </c>
      <c r="Z2981" s="77"/>
      <c r="AA2981" s="77"/>
      <c r="AB2981" s="77"/>
      <c r="AC2981" s="82" t="s">
        <v>8274</v>
      </c>
      <c r="AD2981" s="77" t="s">
        <v>8278</v>
      </c>
      <c r="AE2981" s="80" t="str">
        <f>HYPERLINK("https://twitter.com/pauta_economica/status/1664511191769554947")</f>
        <v>https://twitter.com/pauta_economica/status/1664511191769554947</v>
      </c>
      <c r="AF2981" s="79">
        <v>45079.247303240743</v>
      </c>
      <c r="AG2981" s="85">
        <v>45079</v>
      </c>
      <c r="AH2981" s="82" t="s">
        <v>11013</v>
      </c>
      <c r="AI2981" s="77" t="b">
        <v>0</v>
      </c>
      <c r="AJ2981" s="77"/>
      <c r="AK2981" s="77"/>
      <c r="AL2981" s="77"/>
      <c r="AM2981" s="77"/>
      <c r="AN2981" s="77"/>
      <c r="AO2981" s="77"/>
      <c r="AP2981" s="77"/>
      <c r="AQ2981" s="77"/>
      <c r="AR2981" s="77"/>
      <c r="AS2981" s="77"/>
      <c r="AT2981" s="77"/>
      <c r="AU2981" s="77"/>
      <c r="AV2981" s="80" t="str">
        <f>HYPERLINK("https://pbs.twimg.com/profile_images/1588668531910082561/XEi-lXiu_normal.jpg")</f>
        <v>https://pbs.twimg.com/profile_images/1588668531910082561/XEi-lXiu_normal.jpg</v>
      </c>
      <c r="AW2981" s="82" t="s">
        <v>16065</v>
      </c>
      <c r="AX2981" s="82" t="s">
        <v>16065</v>
      </c>
      <c r="AY2981" s="77"/>
      <c r="AZ2981" s="82" t="s">
        <v>17385</v>
      </c>
      <c r="BA2981" s="82" t="s">
        <v>17385</v>
      </c>
      <c r="BB2981" s="82" t="s">
        <v>17385</v>
      </c>
      <c r="BC2981" s="82" t="s">
        <v>16065</v>
      </c>
      <c r="BD2981" s="82" t="s">
        <v>17667</v>
      </c>
      <c r="BE2981" s="77"/>
      <c r="BF2981" s="77"/>
      <c r="BG2981" s="77"/>
      <c r="BH2981" s="77"/>
      <c r="BI2981" s="77"/>
    </row>
    <row r="2982" spans="1:61" x14ac:dyDescent="0.25">
      <c r="A2982" s="62" t="s">
        <v>646</v>
      </c>
      <c r="B2982" s="62" t="s">
        <v>646</v>
      </c>
      <c r="C2982" s="63"/>
      <c r="D2982" s="64"/>
      <c r="E2982" s="65"/>
      <c r="F2982" s="66"/>
      <c r="G2982" s="63"/>
      <c r="H2982" s="67"/>
      <c r="I2982" s="68"/>
      <c r="J2982" s="68"/>
      <c r="K2982" s="32"/>
      <c r="L2982" s="75">
        <v>2982</v>
      </c>
      <c r="M2982" s="75"/>
      <c r="N2982" s="70"/>
      <c r="O2982" s="77" t="s">
        <v>179</v>
      </c>
      <c r="P2982" s="79">
        <v>45079.219189814816</v>
      </c>
      <c r="Q2982" s="77" t="s">
        <v>3759</v>
      </c>
      <c r="R2982" s="77">
        <v>0</v>
      </c>
      <c r="S2982" s="77">
        <v>0</v>
      </c>
      <c r="T2982" s="77">
        <v>0</v>
      </c>
      <c r="U2982" s="77">
        <v>0</v>
      </c>
      <c r="V2982" s="77">
        <v>62</v>
      </c>
      <c r="W2982" s="82" t="s">
        <v>6382</v>
      </c>
      <c r="X2982" s="80" t="str">
        <f>HYPERLINK("https://tinyurl.com/2hpvcvka")</f>
        <v>https://tinyurl.com/2hpvcvka</v>
      </c>
      <c r="Y2982" s="77" t="s">
        <v>7068</v>
      </c>
      <c r="Z2982" s="77"/>
      <c r="AA2982" s="77"/>
      <c r="AB2982" s="77"/>
      <c r="AC2982" s="82" t="s">
        <v>8274</v>
      </c>
      <c r="AD2982" s="77" t="s">
        <v>8278</v>
      </c>
      <c r="AE2982" s="80" t="str">
        <f>HYPERLINK("https://twitter.com/pauta_economica/status/1664501001355767809")</f>
        <v>https://twitter.com/pauta_economica/status/1664501001355767809</v>
      </c>
      <c r="AF2982" s="79">
        <v>45079.219189814816</v>
      </c>
      <c r="AG2982" s="85">
        <v>45079</v>
      </c>
      <c r="AH2982" s="82" t="s">
        <v>11014</v>
      </c>
      <c r="AI2982" s="77" t="b">
        <v>0</v>
      </c>
      <c r="AJ2982" s="77"/>
      <c r="AK2982" s="77"/>
      <c r="AL2982" s="77"/>
      <c r="AM2982" s="77"/>
      <c r="AN2982" s="77"/>
      <c r="AO2982" s="77"/>
      <c r="AP2982" s="77"/>
      <c r="AQ2982" s="77"/>
      <c r="AR2982" s="77"/>
      <c r="AS2982" s="77"/>
      <c r="AT2982" s="77"/>
      <c r="AU2982" s="77"/>
      <c r="AV2982" s="80" t="str">
        <f>HYPERLINK("https://pbs.twimg.com/profile_images/1588668531910082561/XEi-lXiu_normal.jpg")</f>
        <v>https://pbs.twimg.com/profile_images/1588668531910082561/XEi-lXiu_normal.jpg</v>
      </c>
      <c r="AW2982" s="82" t="s">
        <v>16066</v>
      </c>
      <c r="AX2982" s="82" t="s">
        <v>16066</v>
      </c>
      <c r="AY2982" s="77"/>
      <c r="AZ2982" s="82" t="s">
        <v>17385</v>
      </c>
      <c r="BA2982" s="82" t="s">
        <v>17385</v>
      </c>
      <c r="BB2982" s="82" t="s">
        <v>17385</v>
      </c>
      <c r="BC2982" s="82" t="s">
        <v>16066</v>
      </c>
      <c r="BD2982" s="82" t="s">
        <v>17667</v>
      </c>
      <c r="BE2982" s="77"/>
      <c r="BF2982" s="77"/>
      <c r="BG2982" s="77"/>
      <c r="BH2982" s="77"/>
      <c r="BI2982" s="77"/>
    </row>
    <row r="2983" spans="1:61" x14ac:dyDescent="0.25">
      <c r="A2983" s="62" t="s">
        <v>646</v>
      </c>
      <c r="B2983" s="62" t="s">
        <v>646</v>
      </c>
      <c r="C2983" s="63"/>
      <c r="D2983" s="64"/>
      <c r="E2983" s="65"/>
      <c r="F2983" s="66"/>
      <c r="G2983" s="63"/>
      <c r="H2983" s="67"/>
      <c r="I2983" s="68"/>
      <c r="J2983" s="68"/>
      <c r="K2983" s="32"/>
      <c r="L2983" s="75">
        <v>2983</v>
      </c>
      <c r="M2983" s="75"/>
      <c r="N2983" s="70"/>
      <c r="O2983" s="77" t="s">
        <v>179</v>
      </c>
      <c r="P2983" s="79">
        <v>45079.163101851853</v>
      </c>
      <c r="Q2983" s="77" t="s">
        <v>3760</v>
      </c>
      <c r="R2983" s="77">
        <v>0</v>
      </c>
      <c r="S2983" s="77">
        <v>0</v>
      </c>
      <c r="T2983" s="77">
        <v>0</v>
      </c>
      <c r="U2983" s="77">
        <v>0</v>
      </c>
      <c r="V2983" s="77">
        <v>78</v>
      </c>
      <c r="W2983" s="82" t="s">
        <v>6382</v>
      </c>
      <c r="X2983" s="80" t="str">
        <f>HYPERLINK("https://tinyurl.com/2gahvbdg")</f>
        <v>https://tinyurl.com/2gahvbdg</v>
      </c>
      <c r="Y2983" s="77" t="s">
        <v>7068</v>
      </c>
      <c r="Z2983" s="77"/>
      <c r="AA2983" s="77"/>
      <c r="AB2983" s="77"/>
      <c r="AC2983" s="82" t="s">
        <v>8274</v>
      </c>
      <c r="AD2983" s="77" t="s">
        <v>8278</v>
      </c>
      <c r="AE2983" s="80" t="str">
        <f>HYPERLINK("https://twitter.com/pauta_economica/status/1664480676886851588")</f>
        <v>https://twitter.com/pauta_economica/status/1664480676886851588</v>
      </c>
      <c r="AF2983" s="79">
        <v>45079.163101851853</v>
      </c>
      <c r="AG2983" s="85">
        <v>45079</v>
      </c>
      <c r="AH2983" s="82" t="s">
        <v>11015</v>
      </c>
      <c r="AI2983" s="77" t="b">
        <v>0</v>
      </c>
      <c r="AJ2983" s="77"/>
      <c r="AK2983" s="77"/>
      <c r="AL2983" s="77"/>
      <c r="AM2983" s="77"/>
      <c r="AN2983" s="77"/>
      <c r="AO2983" s="77"/>
      <c r="AP2983" s="77"/>
      <c r="AQ2983" s="77"/>
      <c r="AR2983" s="77"/>
      <c r="AS2983" s="77"/>
      <c r="AT2983" s="77"/>
      <c r="AU2983" s="77"/>
      <c r="AV2983" s="80" t="str">
        <f>HYPERLINK("https://pbs.twimg.com/profile_images/1588668531910082561/XEi-lXiu_normal.jpg")</f>
        <v>https://pbs.twimg.com/profile_images/1588668531910082561/XEi-lXiu_normal.jpg</v>
      </c>
      <c r="AW2983" s="82" t="s">
        <v>16067</v>
      </c>
      <c r="AX2983" s="82" t="s">
        <v>16067</v>
      </c>
      <c r="AY2983" s="77"/>
      <c r="AZ2983" s="82" t="s">
        <v>17385</v>
      </c>
      <c r="BA2983" s="82" t="s">
        <v>17385</v>
      </c>
      <c r="BB2983" s="82" t="s">
        <v>17385</v>
      </c>
      <c r="BC2983" s="82" t="s">
        <v>16067</v>
      </c>
      <c r="BD2983" s="82" t="s">
        <v>17667</v>
      </c>
      <c r="BE2983" s="77"/>
      <c r="BF2983" s="77"/>
      <c r="BG2983" s="77"/>
      <c r="BH2983" s="77"/>
      <c r="BI2983" s="77"/>
    </row>
    <row r="2984" spans="1:61" x14ac:dyDescent="0.25">
      <c r="A2984" s="62" t="s">
        <v>646</v>
      </c>
      <c r="B2984" s="62" t="s">
        <v>646</v>
      </c>
      <c r="C2984" s="63"/>
      <c r="D2984" s="64"/>
      <c r="E2984" s="65"/>
      <c r="F2984" s="66"/>
      <c r="G2984" s="63"/>
      <c r="H2984" s="67"/>
      <c r="I2984" s="68"/>
      <c r="J2984" s="68"/>
      <c r="K2984" s="32"/>
      <c r="L2984" s="75">
        <v>2984</v>
      </c>
      <c r="M2984" s="75"/>
      <c r="N2984" s="70"/>
      <c r="O2984" s="77" t="s">
        <v>179</v>
      </c>
      <c r="P2984" s="79">
        <v>45079.107187499998</v>
      </c>
      <c r="Q2984" s="77" t="s">
        <v>3761</v>
      </c>
      <c r="R2984" s="77">
        <v>0</v>
      </c>
      <c r="S2984" s="77">
        <v>0</v>
      </c>
      <c r="T2984" s="77">
        <v>0</v>
      </c>
      <c r="U2984" s="77">
        <v>0</v>
      </c>
      <c r="V2984" s="77">
        <v>35</v>
      </c>
      <c r="W2984" s="82" t="s">
        <v>6382</v>
      </c>
      <c r="X2984" s="80" t="str">
        <f>HYPERLINK("https://tinyurl.com/2p4mvyla")</f>
        <v>https://tinyurl.com/2p4mvyla</v>
      </c>
      <c r="Y2984" s="77" t="s">
        <v>7068</v>
      </c>
      <c r="Z2984" s="77"/>
      <c r="AA2984" s="77"/>
      <c r="AB2984" s="77"/>
      <c r="AC2984" s="82" t="s">
        <v>8274</v>
      </c>
      <c r="AD2984" s="77" t="s">
        <v>8278</v>
      </c>
      <c r="AE2984" s="80" t="str">
        <f>HYPERLINK("https://twitter.com/pauta_economica/status/1664460415563177984")</f>
        <v>https://twitter.com/pauta_economica/status/1664460415563177984</v>
      </c>
      <c r="AF2984" s="79">
        <v>45079.107187499998</v>
      </c>
      <c r="AG2984" s="85">
        <v>45079</v>
      </c>
      <c r="AH2984" s="82" t="s">
        <v>11016</v>
      </c>
      <c r="AI2984" s="77" t="b">
        <v>0</v>
      </c>
      <c r="AJ2984" s="77"/>
      <c r="AK2984" s="77"/>
      <c r="AL2984" s="77"/>
      <c r="AM2984" s="77"/>
      <c r="AN2984" s="77"/>
      <c r="AO2984" s="77"/>
      <c r="AP2984" s="77"/>
      <c r="AQ2984" s="77"/>
      <c r="AR2984" s="77"/>
      <c r="AS2984" s="77"/>
      <c r="AT2984" s="77"/>
      <c r="AU2984" s="77"/>
      <c r="AV2984" s="80" t="str">
        <f>HYPERLINK("https://pbs.twimg.com/profile_images/1588668531910082561/XEi-lXiu_normal.jpg")</f>
        <v>https://pbs.twimg.com/profile_images/1588668531910082561/XEi-lXiu_normal.jpg</v>
      </c>
      <c r="AW2984" s="82" t="s">
        <v>16068</v>
      </c>
      <c r="AX2984" s="82" t="s">
        <v>16068</v>
      </c>
      <c r="AY2984" s="77"/>
      <c r="AZ2984" s="82" t="s">
        <v>17385</v>
      </c>
      <c r="BA2984" s="82" t="s">
        <v>17385</v>
      </c>
      <c r="BB2984" s="82" t="s">
        <v>17385</v>
      </c>
      <c r="BC2984" s="82" t="s">
        <v>16068</v>
      </c>
      <c r="BD2984" s="82" t="s">
        <v>17667</v>
      </c>
      <c r="BE2984" s="77"/>
      <c r="BF2984" s="77"/>
      <c r="BG2984" s="77"/>
      <c r="BH2984" s="77"/>
      <c r="BI2984" s="77"/>
    </row>
    <row r="2985" spans="1:61" x14ac:dyDescent="0.25">
      <c r="A2985" s="62" t="s">
        <v>646</v>
      </c>
      <c r="B2985" s="62" t="s">
        <v>646</v>
      </c>
      <c r="C2985" s="63"/>
      <c r="D2985" s="64"/>
      <c r="E2985" s="65"/>
      <c r="F2985" s="66"/>
      <c r="G2985" s="63"/>
      <c r="H2985" s="67"/>
      <c r="I2985" s="68"/>
      <c r="J2985" s="68"/>
      <c r="K2985" s="32"/>
      <c r="L2985" s="75">
        <v>2985</v>
      </c>
      <c r="M2985" s="75"/>
      <c r="N2985" s="70"/>
      <c r="O2985" s="77" t="s">
        <v>179</v>
      </c>
      <c r="P2985" s="79">
        <v>45079.07917824074</v>
      </c>
      <c r="Q2985" s="77" t="s">
        <v>3762</v>
      </c>
      <c r="R2985" s="77">
        <v>0</v>
      </c>
      <c r="S2985" s="77">
        <v>0</v>
      </c>
      <c r="T2985" s="77">
        <v>0</v>
      </c>
      <c r="U2985" s="77">
        <v>0</v>
      </c>
      <c r="V2985" s="77">
        <v>62</v>
      </c>
      <c r="W2985" s="82" t="s">
        <v>6382</v>
      </c>
      <c r="X2985" s="80" t="str">
        <f>HYPERLINK("https://tinyurl.com/2ehoodbb")</f>
        <v>https://tinyurl.com/2ehoodbb</v>
      </c>
      <c r="Y2985" s="77" t="s">
        <v>7068</v>
      </c>
      <c r="Z2985" s="77"/>
      <c r="AA2985" s="77"/>
      <c r="AB2985" s="77"/>
      <c r="AC2985" s="82" t="s">
        <v>8274</v>
      </c>
      <c r="AD2985" s="77" t="s">
        <v>8278</v>
      </c>
      <c r="AE2985" s="80" t="str">
        <f>HYPERLINK("https://twitter.com/pauta_economica/status/1664450265402036227")</f>
        <v>https://twitter.com/pauta_economica/status/1664450265402036227</v>
      </c>
      <c r="AF2985" s="79">
        <v>45079.07917824074</v>
      </c>
      <c r="AG2985" s="85">
        <v>45079</v>
      </c>
      <c r="AH2985" s="82" t="s">
        <v>11017</v>
      </c>
      <c r="AI2985" s="77" t="b">
        <v>0</v>
      </c>
      <c r="AJ2985" s="77"/>
      <c r="AK2985" s="77"/>
      <c r="AL2985" s="77"/>
      <c r="AM2985" s="77"/>
      <c r="AN2985" s="77"/>
      <c r="AO2985" s="77"/>
      <c r="AP2985" s="77"/>
      <c r="AQ2985" s="77"/>
      <c r="AR2985" s="77"/>
      <c r="AS2985" s="77"/>
      <c r="AT2985" s="77"/>
      <c r="AU2985" s="77"/>
      <c r="AV2985" s="80" t="str">
        <f>HYPERLINK("https://pbs.twimg.com/profile_images/1588668531910082561/XEi-lXiu_normal.jpg")</f>
        <v>https://pbs.twimg.com/profile_images/1588668531910082561/XEi-lXiu_normal.jpg</v>
      </c>
      <c r="AW2985" s="82" t="s">
        <v>16069</v>
      </c>
      <c r="AX2985" s="82" t="s">
        <v>16069</v>
      </c>
      <c r="AY2985" s="77"/>
      <c r="AZ2985" s="82" t="s">
        <v>17385</v>
      </c>
      <c r="BA2985" s="82" t="s">
        <v>17385</v>
      </c>
      <c r="BB2985" s="82" t="s">
        <v>17385</v>
      </c>
      <c r="BC2985" s="82" t="s">
        <v>16069</v>
      </c>
      <c r="BD2985" s="82" t="s">
        <v>17667</v>
      </c>
      <c r="BE2985" s="77"/>
      <c r="BF2985" s="77"/>
      <c r="BG2985" s="77"/>
      <c r="BH2985" s="77"/>
      <c r="BI2985" s="77"/>
    </row>
    <row r="2986" spans="1:61" x14ac:dyDescent="0.25">
      <c r="A2986" s="62" t="s">
        <v>646</v>
      </c>
      <c r="B2986" s="62" t="s">
        <v>646</v>
      </c>
      <c r="C2986" s="63"/>
      <c r="D2986" s="64"/>
      <c r="E2986" s="65"/>
      <c r="F2986" s="66"/>
      <c r="G2986" s="63"/>
      <c r="H2986" s="67"/>
      <c r="I2986" s="68"/>
      <c r="J2986" s="68"/>
      <c r="K2986" s="32"/>
      <c r="L2986" s="75">
        <v>2986</v>
      </c>
      <c r="M2986" s="75"/>
      <c r="N2986" s="70"/>
      <c r="O2986" s="77" t="s">
        <v>179</v>
      </c>
      <c r="P2986" s="79">
        <v>45079.023125</v>
      </c>
      <c r="Q2986" s="77" t="s">
        <v>3763</v>
      </c>
      <c r="R2986" s="77">
        <v>0</v>
      </c>
      <c r="S2986" s="77">
        <v>0</v>
      </c>
      <c r="T2986" s="77">
        <v>0</v>
      </c>
      <c r="U2986" s="77">
        <v>0</v>
      </c>
      <c r="V2986" s="77">
        <v>46</v>
      </c>
      <c r="W2986" s="82" t="s">
        <v>6382</v>
      </c>
      <c r="X2986" s="80" t="str">
        <f>HYPERLINK("https://tinyurl.com/2pm7cgze")</f>
        <v>https://tinyurl.com/2pm7cgze</v>
      </c>
      <c r="Y2986" s="77" t="s">
        <v>7068</v>
      </c>
      <c r="Z2986" s="77"/>
      <c r="AA2986" s="77"/>
      <c r="AB2986" s="77"/>
      <c r="AC2986" s="82" t="s">
        <v>8274</v>
      </c>
      <c r="AD2986" s="77" t="s">
        <v>8278</v>
      </c>
      <c r="AE2986" s="80" t="str">
        <f>HYPERLINK("https://twitter.com/pauta_economica/status/1664429952018657281")</f>
        <v>https://twitter.com/pauta_economica/status/1664429952018657281</v>
      </c>
      <c r="AF2986" s="79">
        <v>45079.023125</v>
      </c>
      <c r="AG2986" s="85">
        <v>45079</v>
      </c>
      <c r="AH2986" s="82" t="s">
        <v>11018</v>
      </c>
      <c r="AI2986" s="77" t="b">
        <v>0</v>
      </c>
      <c r="AJ2986" s="77"/>
      <c r="AK2986" s="77"/>
      <c r="AL2986" s="77"/>
      <c r="AM2986" s="77"/>
      <c r="AN2986" s="77"/>
      <c r="AO2986" s="77"/>
      <c r="AP2986" s="77"/>
      <c r="AQ2986" s="77"/>
      <c r="AR2986" s="77"/>
      <c r="AS2986" s="77"/>
      <c r="AT2986" s="77"/>
      <c r="AU2986" s="77"/>
      <c r="AV2986" s="80" t="str">
        <f>HYPERLINK("https://pbs.twimg.com/profile_images/1588668531910082561/XEi-lXiu_normal.jpg")</f>
        <v>https://pbs.twimg.com/profile_images/1588668531910082561/XEi-lXiu_normal.jpg</v>
      </c>
      <c r="AW2986" s="82" t="s">
        <v>16070</v>
      </c>
      <c r="AX2986" s="82" t="s">
        <v>16070</v>
      </c>
      <c r="AY2986" s="77"/>
      <c r="AZ2986" s="82" t="s">
        <v>17385</v>
      </c>
      <c r="BA2986" s="82" t="s">
        <v>17385</v>
      </c>
      <c r="BB2986" s="82" t="s">
        <v>17385</v>
      </c>
      <c r="BC2986" s="82" t="s">
        <v>16070</v>
      </c>
      <c r="BD2986" s="82" t="s">
        <v>17667</v>
      </c>
      <c r="BE2986" s="77"/>
      <c r="BF2986" s="77"/>
      <c r="BG2986" s="77"/>
      <c r="BH2986" s="77"/>
      <c r="BI2986" s="77"/>
    </row>
    <row r="2987" spans="1:61" x14ac:dyDescent="0.25">
      <c r="A2987" s="62" t="s">
        <v>646</v>
      </c>
      <c r="B2987" s="62" t="s">
        <v>646</v>
      </c>
      <c r="C2987" s="63"/>
      <c r="D2987" s="64"/>
      <c r="E2987" s="65"/>
      <c r="F2987" s="66"/>
      <c r="G2987" s="63"/>
      <c r="H2987" s="67"/>
      <c r="I2987" s="68"/>
      <c r="J2987" s="68"/>
      <c r="K2987" s="32"/>
      <c r="L2987" s="75">
        <v>2987</v>
      </c>
      <c r="M2987" s="75"/>
      <c r="N2987" s="70"/>
      <c r="O2987" s="77" t="s">
        <v>179</v>
      </c>
      <c r="P2987" s="79">
        <v>45078.967106481483</v>
      </c>
      <c r="Q2987" s="77" t="s">
        <v>3764</v>
      </c>
      <c r="R2987" s="77">
        <v>0</v>
      </c>
      <c r="S2987" s="77">
        <v>0</v>
      </c>
      <c r="T2987" s="77">
        <v>0</v>
      </c>
      <c r="U2987" s="77">
        <v>0</v>
      </c>
      <c r="V2987" s="77">
        <v>31</v>
      </c>
      <c r="W2987" s="82" t="s">
        <v>6382</v>
      </c>
      <c r="X2987" s="80" t="str">
        <f>HYPERLINK("https://tinyurl.com/2pypr9k7")</f>
        <v>https://tinyurl.com/2pypr9k7</v>
      </c>
      <c r="Y2987" s="77" t="s">
        <v>7068</v>
      </c>
      <c r="Z2987" s="77"/>
      <c r="AA2987" s="77"/>
      <c r="AB2987" s="77"/>
      <c r="AC2987" s="82" t="s">
        <v>8274</v>
      </c>
      <c r="AD2987" s="77" t="s">
        <v>8278</v>
      </c>
      <c r="AE2987" s="80" t="str">
        <f>HYPERLINK("https://twitter.com/pauta_economica/status/1664409650626805761")</f>
        <v>https://twitter.com/pauta_economica/status/1664409650626805761</v>
      </c>
      <c r="AF2987" s="79">
        <v>45078.967106481483</v>
      </c>
      <c r="AG2987" s="85">
        <v>45078</v>
      </c>
      <c r="AH2987" s="82" t="s">
        <v>11019</v>
      </c>
      <c r="AI2987" s="77" t="b">
        <v>0</v>
      </c>
      <c r="AJ2987" s="77"/>
      <c r="AK2987" s="77"/>
      <c r="AL2987" s="77"/>
      <c r="AM2987" s="77"/>
      <c r="AN2987" s="77"/>
      <c r="AO2987" s="77"/>
      <c r="AP2987" s="77"/>
      <c r="AQ2987" s="77"/>
      <c r="AR2987" s="77"/>
      <c r="AS2987" s="77"/>
      <c r="AT2987" s="77"/>
      <c r="AU2987" s="77"/>
      <c r="AV2987" s="80" t="str">
        <f>HYPERLINK("https://pbs.twimg.com/profile_images/1588668531910082561/XEi-lXiu_normal.jpg")</f>
        <v>https://pbs.twimg.com/profile_images/1588668531910082561/XEi-lXiu_normal.jpg</v>
      </c>
      <c r="AW2987" s="82" t="s">
        <v>16071</v>
      </c>
      <c r="AX2987" s="82" t="s">
        <v>16071</v>
      </c>
      <c r="AY2987" s="77"/>
      <c r="AZ2987" s="82" t="s">
        <v>17385</v>
      </c>
      <c r="BA2987" s="82" t="s">
        <v>17385</v>
      </c>
      <c r="BB2987" s="82" t="s">
        <v>17385</v>
      </c>
      <c r="BC2987" s="82" t="s">
        <v>16071</v>
      </c>
      <c r="BD2987" s="82" t="s">
        <v>17667</v>
      </c>
      <c r="BE2987" s="77"/>
      <c r="BF2987" s="77"/>
      <c r="BG2987" s="77"/>
      <c r="BH2987" s="77"/>
      <c r="BI2987" s="77"/>
    </row>
    <row r="2988" spans="1:61" x14ac:dyDescent="0.25">
      <c r="A2988" s="62" t="s">
        <v>646</v>
      </c>
      <c r="B2988" s="62" t="s">
        <v>646</v>
      </c>
      <c r="C2988" s="63"/>
      <c r="D2988" s="64"/>
      <c r="E2988" s="65"/>
      <c r="F2988" s="66"/>
      <c r="G2988" s="63"/>
      <c r="H2988" s="67"/>
      <c r="I2988" s="68"/>
      <c r="J2988" s="68"/>
      <c r="K2988" s="32"/>
      <c r="L2988" s="75">
        <v>2988</v>
      </c>
      <c r="M2988" s="75"/>
      <c r="N2988" s="70"/>
      <c r="O2988" s="77" t="s">
        <v>179</v>
      </c>
      <c r="P2988" s="79">
        <v>45078.883344907408</v>
      </c>
      <c r="Q2988" s="77" t="s">
        <v>3765</v>
      </c>
      <c r="R2988" s="77">
        <v>0</v>
      </c>
      <c r="S2988" s="77">
        <v>0</v>
      </c>
      <c r="T2988" s="77">
        <v>0</v>
      </c>
      <c r="U2988" s="77">
        <v>0</v>
      </c>
      <c r="V2988" s="77">
        <v>30</v>
      </c>
      <c r="W2988" s="82" t="s">
        <v>6382</v>
      </c>
      <c r="X2988" s="80" t="str">
        <f>HYPERLINK("https://tinyurl.com/2gysf93a")</f>
        <v>https://tinyurl.com/2gysf93a</v>
      </c>
      <c r="Y2988" s="77" t="s">
        <v>7068</v>
      </c>
      <c r="Z2988" s="77"/>
      <c r="AA2988" s="77"/>
      <c r="AB2988" s="77"/>
      <c r="AC2988" s="82" t="s">
        <v>8274</v>
      </c>
      <c r="AD2988" s="77" t="s">
        <v>8278</v>
      </c>
      <c r="AE2988" s="80" t="str">
        <f>HYPERLINK("https://twitter.com/pauta_economica/status/1664379295039406083")</f>
        <v>https://twitter.com/pauta_economica/status/1664379295039406083</v>
      </c>
      <c r="AF2988" s="79">
        <v>45078.883344907408</v>
      </c>
      <c r="AG2988" s="85">
        <v>45078</v>
      </c>
      <c r="AH2988" s="82" t="s">
        <v>11020</v>
      </c>
      <c r="AI2988" s="77" t="b">
        <v>0</v>
      </c>
      <c r="AJ2988" s="77"/>
      <c r="AK2988" s="77"/>
      <c r="AL2988" s="77"/>
      <c r="AM2988" s="77"/>
      <c r="AN2988" s="77"/>
      <c r="AO2988" s="77"/>
      <c r="AP2988" s="77"/>
      <c r="AQ2988" s="77"/>
      <c r="AR2988" s="77"/>
      <c r="AS2988" s="77"/>
      <c r="AT2988" s="77"/>
      <c r="AU2988" s="77"/>
      <c r="AV2988" s="80" t="str">
        <f>HYPERLINK("https://pbs.twimg.com/profile_images/1588668531910082561/XEi-lXiu_normal.jpg")</f>
        <v>https://pbs.twimg.com/profile_images/1588668531910082561/XEi-lXiu_normal.jpg</v>
      </c>
      <c r="AW2988" s="82" t="s">
        <v>16072</v>
      </c>
      <c r="AX2988" s="82" t="s">
        <v>16072</v>
      </c>
      <c r="AY2988" s="77"/>
      <c r="AZ2988" s="82" t="s">
        <v>17385</v>
      </c>
      <c r="BA2988" s="82" t="s">
        <v>17385</v>
      </c>
      <c r="BB2988" s="82" t="s">
        <v>17385</v>
      </c>
      <c r="BC2988" s="82" t="s">
        <v>16072</v>
      </c>
      <c r="BD2988" s="82" t="s">
        <v>17667</v>
      </c>
      <c r="BE2988" s="77"/>
      <c r="BF2988" s="77"/>
      <c r="BG2988" s="77"/>
      <c r="BH2988" s="77"/>
      <c r="BI2988" s="77"/>
    </row>
    <row r="2989" spans="1:61" x14ac:dyDescent="0.25">
      <c r="A2989" s="62" t="s">
        <v>646</v>
      </c>
      <c r="B2989" s="62" t="s">
        <v>646</v>
      </c>
      <c r="C2989" s="63"/>
      <c r="D2989" s="64"/>
      <c r="E2989" s="65"/>
      <c r="F2989" s="66"/>
      <c r="G2989" s="63"/>
      <c r="H2989" s="67"/>
      <c r="I2989" s="68"/>
      <c r="J2989" s="68"/>
      <c r="K2989" s="32"/>
      <c r="L2989" s="75">
        <v>2989</v>
      </c>
      <c r="M2989" s="75"/>
      <c r="N2989" s="70"/>
      <c r="O2989" s="77" t="s">
        <v>179</v>
      </c>
      <c r="P2989" s="79">
        <v>45078.855358796296</v>
      </c>
      <c r="Q2989" s="77" t="s">
        <v>3766</v>
      </c>
      <c r="R2989" s="77">
        <v>0</v>
      </c>
      <c r="S2989" s="77">
        <v>0</v>
      </c>
      <c r="T2989" s="77">
        <v>0</v>
      </c>
      <c r="U2989" s="77">
        <v>0</v>
      </c>
      <c r="V2989" s="77">
        <v>62</v>
      </c>
      <c r="W2989" s="82" t="s">
        <v>6382</v>
      </c>
      <c r="X2989" s="80" t="str">
        <f>HYPERLINK("https://tinyurl.com/2mweebps")</f>
        <v>https://tinyurl.com/2mweebps</v>
      </c>
      <c r="Y2989" s="77" t="s">
        <v>7068</v>
      </c>
      <c r="Z2989" s="77"/>
      <c r="AA2989" s="77"/>
      <c r="AB2989" s="77"/>
      <c r="AC2989" s="82" t="s">
        <v>8274</v>
      </c>
      <c r="AD2989" s="77" t="s">
        <v>8278</v>
      </c>
      <c r="AE2989" s="80" t="str">
        <f>HYPERLINK("https://twitter.com/pauta_economica/status/1664369154034393089")</f>
        <v>https://twitter.com/pauta_economica/status/1664369154034393089</v>
      </c>
      <c r="AF2989" s="79">
        <v>45078.855358796296</v>
      </c>
      <c r="AG2989" s="85">
        <v>45078</v>
      </c>
      <c r="AH2989" s="82" t="s">
        <v>11021</v>
      </c>
      <c r="AI2989" s="77" t="b">
        <v>0</v>
      </c>
      <c r="AJ2989" s="77"/>
      <c r="AK2989" s="77"/>
      <c r="AL2989" s="77"/>
      <c r="AM2989" s="77"/>
      <c r="AN2989" s="77"/>
      <c r="AO2989" s="77"/>
      <c r="AP2989" s="77"/>
      <c r="AQ2989" s="77"/>
      <c r="AR2989" s="77"/>
      <c r="AS2989" s="77"/>
      <c r="AT2989" s="77"/>
      <c r="AU2989" s="77"/>
      <c r="AV2989" s="80" t="str">
        <f>HYPERLINK("https://pbs.twimg.com/profile_images/1588668531910082561/XEi-lXiu_normal.jpg")</f>
        <v>https://pbs.twimg.com/profile_images/1588668531910082561/XEi-lXiu_normal.jpg</v>
      </c>
      <c r="AW2989" s="82" t="s">
        <v>16073</v>
      </c>
      <c r="AX2989" s="82" t="s">
        <v>16073</v>
      </c>
      <c r="AY2989" s="77"/>
      <c r="AZ2989" s="82" t="s">
        <v>17385</v>
      </c>
      <c r="BA2989" s="82" t="s">
        <v>17385</v>
      </c>
      <c r="BB2989" s="82" t="s">
        <v>17385</v>
      </c>
      <c r="BC2989" s="82" t="s">
        <v>16073</v>
      </c>
      <c r="BD2989" s="82" t="s">
        <v>17667</v>
      </c>
      <c r="BE2989" s="77"/>
      <c r="BF2989" s="77"/>
      <c r="BG2989" s="77"/>
      <c r="BH2989" s="77"/>
      <c r="BI2989" s="77"/>
    </row>
    <row r="2990" spans="1:61" x14ac:dyDescent="0.25">
      <c r="A2990" s="62" t="s">
        <v>646</v>
      </c>
      <c r="B2990" s="62" t="s">
        <v>646</v>
      </c>
      <c r="C2990" s="63"/>
      <c r="D2990" s="64"/>
      <c r="E2990" s="65"/>
      <c r="F2990" s="66"/>
      <c r="G2990" s="63"/>
      <c r="H2990" s="67"/>
      <c r="I2990" s="68"/>
      <c r="J2990" s="68"/>
      <c r="K2990" s="32"/>
      <c r="L2990" s="75">
        <v>2990</v>
      </c>
      <c r="M2990" s="75"/>
      <c r="N2990" s="70"/>
      <c r="O2990" s="77" t="s">
        <v>179</v>
      </c>
      <c r="P2990" s="79">
        <v>45078.771423611113</v>
      </c>
      <c r="Q2990" s="77" t="s">
        <v>3767</v>
      </c>
      <c r="R2990" s="77">
        <v>0</v>
      </c>
      <c r="S2990" s="77">
        <v>0</v>
      </c>
      <c r="T2990" s="77">
        <v>0</v>
      </c>
      <c r="U2990" s="77">
        <v>0</v>
      </c>
      <c r="V2990" s="77">
        <v>26</v>
      </c>
      <c r="W2990" s="82" t="s">
        <v>6382</v>
      </c>
      <c r="X2990" s="80" t="str">
        <f>HYPERLINK("https://tinyurl.com/2n2ly36q")</f>
        <v>https://tinyurl.com/2n2ly36q</v>
      </c>
      <c r="Y2990" s="77" t="s">
        <v>7068</v>
      </c>
      <c r="Z2990" s="77"/>
      <c r="AA2990" s="77"/>
      <c r="AB2990" s="77"/>
      <c r="AC2990" s="82" t="s">
        <v>8274</v>
      </c>
      <c r="AD2990" s="77" t="s">
        <v>8278</v>
      </c>
      <c r="AE2990" s="80" t="str">
        <f>HYPERLINK("https://twitter.com/pauta_economica/status/1664338738879528960")</f>
        <v>https://twitter.com/pauta_economica/status/1664338738879528960</v>
      </c>
      <c r="AF2990" s="79">
        <v>45078.771423611113</v>
      </c>
      <c r="AG2990" s="85">
        <v>45078</v>
      </c>
      <c r="AH2990" s="82" t="s">
        <v>11022</v>
      </c>
      <c r="AI2990" s="77" t="b">
        <v>0</v>
      </c>
      <c r="AJ2990" s="77"/>
      <c r="AK2990" s="77"/>
      <c r="AL2990" s="77"/>
      <c r="AM2990" s="77"/>
      <c r="AN2990" s="77"/>
      <c r="AO2990" s="77"/>
      <c r="AP2990" s="77"/>
      <c r="AQ2990" s="77"/>
      <c r="AR2990" s="77"/>
      <c r="AS2990" s="77"/>
      <c r="AT2990" s="77"/>
      <c r="AU2990" s="77"/>
      <c r="AV2990" s="80" t="str">
        <f>HYPERLINK("https://pbs.twimg.com/profile_images/1588668531910082561/XEi-lXiu_normal.jpg")</f>
        <v>https://pbs.twimg.com/profile_images/1588668531910082561/XEi-lXiu_normal.jpg</v>
      </c>
      <c r="AW2990" s="82" t="s">
        <v>16074</v>
      </c>
      <c r="AX2990" s="82" t="s">
        <v>16074</v>
      </c>
      <c r="AY2990" s="77"/>
      <c r="AZ2990" s="82" t="s">
        <v>17385</v>
      </c>
      <c r="BA2990" s="82" t="s">
        <v>17385</v>
      </c>
      <c r="BB2990" s="82" t="s">
        <v>17385</v>
      </c>
      <c r="BC2990" s="82" t="s">
        <v>16074</v>
      </c>
      <c r="BD2990" s="82" t="s">
        <v>17667</v>
      </c>
      <c r="BE2990" s="77"/>
      <c r="BF2990" s="77"/>
      <c r="BG2990" s="77"/>
      <c r="BH2990" s="77"/>
      <c r="BI2990" s="77"/>
    </row>
    <row r="2991" spans="1:61" x14ac:dyDescent="0.25">
      <c r="A2991" s="62" t="s">
        <v>646</v>
      </c>
      <c r="B2991" s="62" t="s">
        <v>646</v>
      </c>
      <c r="C2991" s="63"/>
      <c r="D2991" s="64"/>
      <c r="E2991" s="65"/>
      <c r="F2991" s="66"/>
      <c r="G2991" s="63"/>
      <c r="H2991" s="67"/>
      <c r="I2991" s="68"/>
      <c r="J2991" s="68"/>
      <c r="K2991" s="32"/>
      <c r="L2991" s="75">
        <v>2991</v>
      </c>
      <c r="M2991" s="75"/>
      <c r="N2991" s="70"/>
      <c r="O2991" s="77" t="s">
        <v>179</v>
      </c>
      <c r="P2991" s="79">
        <v>45061.644768518519</v>
      </c>
      <c r="Q2991" s="77" t="s">
        <v>3768</v>
      </c>
      <c r="R2991" s="77">
        <v>0</v>
      </c>
      <c r="S2991" s="77">
        <v>0</v>
      </c>
      <c r="T2991" s="77">
        <v>0</v>
      </c>
      <c r="U2991" s="77">
        <v>0</v>
      </c>
      <c r="V2991" s="77">
        <v>25</v>
      </c>
      <c r="W2991" s="82" t="s">
        <v>6382</v>
      </c>
      <c r="X2991" s="80" t="str">
        <f>HYPERLINK("https://tinyurl.com/2juwjm6z")</f>
        <v>https://tinyurl.com/2juwjm6z</v>
      </c>
      <c r="Y2991" s="77" t="s">
        <v>7068</v>
      </c>
      <c r="Z2991" s="77"/>
      <c r="AA2991" s="77"/>
      <c r="AB2991" s="77"/>
      <c r="AC2991" s="82" t="s">
        <v>8275</v>
      </c>
      <c r="AD2991" s="77" t="s">
        <v>8278</v>
      </c>
      <c r="AE2991" s="80" t="str">
        <f>HYPERLINK("https://twitter.com/pauta_economica/status/1658132244333051905")</f>
        <v>https://twitter.com/pauta_economica/status/1658132244333051905</v>
      </c>
      <c r="AF2991" s="79">
        <v>45061.644768518519</v>
      </c>
      <c r="AG2991" s="85">
        <v>45061</v>
      </c>
      <c r="AH2991" s="82" t="s">
        <v>11023</v>
      </c>
      <c r="AI2991" s="77" t="b">
        <v>0</v>
      </c>
      <c r="AJ2991" s="77"/>
      <c r="AK2991" s="77"/>
      <c r="AL2991" s="77"/>
      <c r="AM2991" s="77"/>
      <c r="AN2991" s="77"/>
      <c r="AO2991" s="77"/>
      <c r="AP2991" s="77"/>
      <c r="AQ2991" s="77"/>
      <c r="AR2991" s="77"/>
      <c r="AS2991" s="77"/>
      <c r="AT2991" s="77"/>
      <c r="AU2991" s="77"/>
      <c r="AV2991" s="80" t="str">
        <f>HYPERLINK("https://pbs.twimg.com/profile_images/1588668531910082561/XEi-lXiu_normal.jpg")</f>
        <v>https://pbs.twimg.com/profile_images/1588668531910082561/XEi-lXiu_normal.jpg</v>
      </c>
      <c r="AW2991" s="82" t="s">
        <v>16075</v>
      </c>
      <c r="AX2991" s="82" t="s">
        <v>16075</v>
      </c>
      <c r="AY2991" s="77"/>
      <c r="AZ2991" s="82" t="s">
        <v>17385</v>
      </c>
      <c r="BA2991" s="82" t="s">
        <v>17385</v>
      </c>
      <c r="BB2991" s="82" t="s">
        <v>17385</v>
      </c>
      <c r="BC2991" s="82" t="s">
        <v>16075</v>
      </c>
      <c r="BD2991" s="82" t="s">
        <v>17667</v>
      </c>
      <c r="BE2991" s="77"/>
      <c r="BF2991" s="77"/>
      <c r="BG2991" s="77"/>
      <c r="BH2991" s="77"/>
      <c r="BI2991" s="77"/>
    </row>
    <row r="2992" spans="1:61" x14ac:dyDescent="0.25">
      <c r="A2992" s="62" t="s">
        <v>646</v>
      </c>
      <c r="B2992" s="62" t="s">
        <v>646</v>
      </c>
      <c r="C2992" s="63"/>
      <c r="D2992" s="64"/>
      <c r="E2992" s="65"/>
      <c r="F2992" s="66"/>
      <c r="G2992" s="63"/>
      <c r="H2992" s="67"/>
      <c r="I2992" s="68"/>
      <c r="J2992" s="68"/>
      <c r="K2992" s="32"/>
      <c r="L2992" s="75">
        <v>2992</v>
      </c>
      <c r="M2992" s="75"/>
      <c r="N2992" s="70"/>
      <c r="O2992" s="77" t="s">
        <v>179</v>
      </c>
      <c r="P2992" s="79">
        <v>45061.602465277778</v>
      </c>
      <c r="Q2992" s="77" t="s">
        <v>3769</v>
      </c>
      <c r="R2992" s="77">
        <v>0</v>
      </c>
      <c r="S2992" s="77">
        <v>0</v>
      </c>
      <c r="T2992" s="77">
        <v>0</v>
      </c>
      <c r="U2992" s="77">
        <v>0</v>
      </c>
      <c r="V2992" s="77">
        <v>23</v>
      </c>
      <c r="W2992" s="82" t="s">
        <v>6382</v>
      </c>
      <c r="X2992" s="80" t="str">
        <f>HYPERLINK("https://tinyurl.com/2elwkb5b")</f>
        <v>https://tinyurl.com/2elwkb5b</v>
      </c>
      <c r="Y2992" s="77" t="s">
        <v>7068</v>
      </c>
      <c r="Z2992" s="77"/>
      <c r="AA2992" s="77"/>
      <c r="AB2992" s="77"/>
      <c r="AC2992" s="82" t="s">
        <v>8275</v>
      </c>
      <c r="AD2992" s="77" t="s">
        <v>8278</v>
      </c>
      <c r="AE2992" s="80" t="str">
        <f>HYPERLINK("https://twitter.com/pauta_economica/status/1658116913615060993")</f>
        <v>https://twitter.com/pauta_economica/status/1658116913615060993</v>
      </c>
      <c r="AF2992" s="79">
        <v>45061.602465277778</v>
      </c>
      <c r="AG2992" s="85">
        <v>45061</v>
      </c>
      <c r="AH2992" s="82" t="s">
        <v>11024</v>
      </c>
      <c r="AI2992" s="77" t="b">
        <v>0</v>
      </c>
      <c r="AJ2992" s="77"/>
      <c r="AK2992" s="77"/>
      <c r="AL2992" s="77"/>
      <c r="AM2992" s="77"/>
      <c r="AN2992" s="77"/>
      <c r="AO2992" s="77"/>
      <c r="AP2992" s="77"/>
      <c r="AQ2992" s="77"/>
      <c r="AR2992" s="77"/>
      <c r="AS2992" s="77"/>
      <c r="AT2992" s="77"/>
      <c r="AU2992" s="77"/>
      <c r="AV2992" s="80" t="str">
        <f>HYPERLINK("https://pbs.twimg.com/profile_images/1588668531910082561/XEi-lXiu_normal.jpg")</f>
        <v>https://pbs.twimg.com/profile_images/1588668531910082561/XEi-lXiu_normal.jpg</v>
      </c>
      <c r="AW2992" s="82" t="s">
        <v>16076</v>
      </c>
      <c r="AX2992" s="82" t="s">
        <v>16076</v>
      </c>
      <c r="AY2992" s="77"/>
      <c r="AZ2992" s="82" t="s">
        <v>17385</v>
      </c>
      <c r="BA2992" s="82" t="s">
        <v>17385</v>
      </c>
      <c r="BB2992" s="82" t="s">
        <v>17385</v>
      </c>
      <c r="BC2992" s="82" t="s">
        <v>16076</v>
      </c>
      <c r="BD2992" s="82" t="s">
        <v>17667</v>
      </c>
      <c r="BE2992" s="77"/>
      <c r="BF2992" s="77"/>
      <c r="BG2992" s="77"/>
      <c r="BH2992" s="77"/>
      <c r="BI2992" s="77"/>
    </row>
    <row r="2993" spans="1:61" x14ac:dyDescent="0.25">
      <c r="A2993" s="62" t="s">
        <v>646</v>
      </c>
      <c r="B2993" s="62" t="s">
        <v>646</v>
      </c>
      <c r="C2993" s="63"/>
      <c r="D2993" s="64"/>
      <c r="E2993" s="65"/>
      <c r="F2993" s="66"/>
      <c r="G2993" s="63"/>
      <c r="H2993" s="67"/>
      <c r="I2993" s="68"/>
      <c r="J2993" s="68"/>
      <c r="K2993" s="32"/>
      <c r="L2993" s="75">
        <v>2993</v>
      </c>
      <c r="M2993" s="75"/>
      <c r="N2993" s="70"/>
      <c r="O2993" s="77" t="s">
        <v>179</v>
      </c>
      <c r="P2993" s="79">
        <v>45061.589143518519</v>
      </c>
      <c r="Q2993" s="77" t="s">
        <v>3770</v>
      </c>
      <c r="R2993" s="77">
        <v>0</v>
      </c>
      <c r="S2993" s="77">
        <v>0</v>
      </c>
      <c r="T2993" s="77">
        <v>0</v>
      </c>
      <c r="U2993" s="77">
        <v>0</v>
      </c>
      <c r="V2993" s="77">
        <v>32</v>
      </c>
      <c r="W2993" s="82" t="s">
        <v>6382</v>
      </c>
      <c r="X2993" s="80" t="str">
        <f>HYPERLINK("https://tinyurl.com/2l6x5bkj")</f>
        <v>https://tinyurl.com/2l6x5bkj</v>
      </c>
      <c r="Y2993" s="77" t="s">
        <v>7068</v>
      </c>
      <c r="Z2993" s="77"/>
      <c r="AA2993" s="77"/>
      <c r="AB2993" s="77"/>
      <c r="AC2993" s="82" t="s">
        <v>8275</v>
      </c>
      <c r="AD2993" s="77" t="s">
        <v>8278</v>
      </c>
      <c r="AE2993" s="80" t="str">
        <f>HYPERLINK("https://twitter.com/pauta_economica/status/1658112089326592000")</f>
        <v>https://twitter.com/pauta_economica/status/1658112089326592000</v>
      </c>
      <c r="AF2993" s="79">
        <v>45061.589143518519</v>
      </c>
      <c r="AG2993" s="85">
        <v>45061</v>
      </c>
      <c r="AH2993" s="82" t="s">
        <v>11025</v>
      </c>
      <c r="AI2993" s="77" t="b">
        <v>0</v>
      </c>
      <c r="AJ2993" s="77"/>
      <c r="AK2993" s="77"/>
      <c r="AL2993" s="77"/>
      <c r="AM2993" s="77"/>
      <c r="AN2993" s="77"/>
      <c r="AO2993" s="77"/>
      <c r="AP2993" s="77"/>
      <c r="AQ2993" s="77"/>
      <c r="AR2993" s="77"/>
      <c r="AS2993" s="77"/>
      <c r="AT2993" s="77"/>
      <c r="AU2993" s="77"/>
      <c r="AV2993" s="80" t="str">
        <f>HYPERLINK("https://pbs.twimg.com/profile_images/1588668531910082561/XEi-lXiu_normal.jpg")</f>
        <v>https://pbs.twimg.com/profile_images/1588668531910082561/XEi-lXiu_normal.jpg</v>
      </c>
      <c r="AW2993" s="82" t="s">
        <v>16077</v>
      </c>
      <c r="AX2993" s="82" t="s">
        <v>16077</v>
      </c>
      <c r="AY2993" s="77"/>
      <c r="AZ2993" s="82" t="s">
        <v>17385</v>
      </c>
      <c r="BA2993" s="82" t="s">
        <v>17385</v>
      </c>
      <c r="BB2993" s="82" t="s">
        <v>17385</v>
      </c>
      <c r="BC2993" s="82" t="s">
        <v>16077</v>
      </c>
      <c r="BD2993" s="82" t="s">
        <v>17667</v>
      </c>
      <c r="BE2993" s="77"/>
      <c r="BF2993" s="77"/>
      <c r="BG2993" s="77"/>
      <c r="BH2993" s="77"/>
      <c r="BI2993" s="77"/>
    </row>
    <row r="2994" spans="1:61" x14ac:dyDescent="0.25">
      <c r="A2994" s="62" t="s">
        <v>646</v>
      </c>
      <c r="B2994" s="62" t="s">
        <v>646</v>
      </c>
      <c r="C2994" s="63"/>
      <c r="D2994" s="64"/>
      <c r="E2994" s="65"/>
      <c r="F2994" s="66"/>
      <c r="G2994" s="63"/>
      <c r="H2994" s="67"/>
      <c r="I2994" s="68"/>
      <c r="J2994" s="68"/>
      <c r="K2994" s="32"/>
      <c r="L2994" s="75">
        <v>2994</v>
      </c>
      <c r="M2994" s="75"/>
      <c r="N2994" s="70"/>
      <c r="O2994" s="77" t="s">
        <v>179</v>
      </c>
      <c r="P2994" s="79">
        <v>45061.581053240741</v>
      </c>
      <c r="Q2994" s="77" t="s">
        <v>3771</v>
      </c>
      <c r="R2994" s="77">
        <v>0</v>
      </c>
      <c r="S2994" s="77">
        <v>0</v>
      </c>
      <c r="T2994" s="77">
        <v>0</v>
      </c>
      <c r="U2994" s="77">
        <v>0</v>
      </c>
      <c r="V2994" s="77">
        <v>18</v>
      </c>
      <c r="W2994" s="82" t="s">
        <v>6382</v>
      </c>
      <c r="X2994" s="80" t="str">
        <f>HYPERLINK("https://tinyurl.com/2oo4oje5")</f>
        <v>https://tinyurl.com/2oo4oje5</v>
      </c>
      <c r="Y2994" s="77" t="s">
        <v>7068</v>
      </c>
      <c r="Z2994" s="77"/>
      <c r="AA2994" s="77"/>
      <c r="AB2994" s="77"/>
      <c r="AC2994" s="82" t="s">
        <v>8275</v>
      </c>
      <c r="AD2994" s="77" t="s">
        <v>8278</v>
      </c>
      <c r="AE2994" s="80" t="str">
        <f>HYPERLINK("https://twitter.com/pauta_economica/status/1658109153745797123")</f>
        <v>https://twitter.com/pauta_economica/status/1658109153745797123</v>
      </c>
      <c r="AF2994" s="79">
        <v>45061.581053240741</v>
      </c>
      <c r="AG2994" s="85">
        <v>45061</v>
      </c>
      <c r="AH2994" s="82" t="s">
        <v>11026</v>
      </c>
      <c r="AI2994" s="77" t="b">
        <v>0</v>
      </c>
      <c r="AJ2994" s="77"/>
      <c r="AK2994" s="77"/>
      <c r="AL2994" s="77"/>
      <c r="AM2994" s="77"/>
      <c r="AN2994" s="77"/>
      <c r="AO2994" s="77"/>
      <c r="AP2994" s="77"/>
      <c r="AQ2994" s="77"/>
      <c r="AR2994" s="77"/>
      <c r="AS2994" s="77"/>
      <c r="AT2994" s="77"/>
      <c r="AU2994" s="77"/>
      <c r="AV2994" s="80" t="str">
        <f>HYPERLINK("https://pbs.twimg.com/profile_images/1588668531910082561/XEi-lXiu_normal.jpg")</f>
        <v>https://pbs.twimg.com/profile_images/1588668531910082561/XEi-lXiu_normal.jpg</v>
      </c>
      <c r="AW2994" s="82" t="s">
        <v>16078</v>
      </c>
      <c r="AX2994" s="82" t="s">
        <v>16078</v>
      </c>
      <c r="AY2994" s="77"/>
      <c r="AZ2994" s="82" t="s">
        <v>17385</v>
      </c>
      <c r="BA2994" s="82" t="s">
        <v>17385</v>
      </c>
      <c r="BB2994" s="82" t="s">
        <v>17385</v>
      </c>
      <c r="BC2994" s="82" t="s">
        <v>16078</v>
      </c>
      <c r="BD2994" s="82" t="s">
        <v>17667</v>
      </c>
      <c r="BE2994" s="77"/>
      <c r="BF2994" s="77"/>
      <c r="BG2994" s="77"/>
      <c r="BH2994" s="77"/>
      <c r="BI2994" s="77"/>
    </row>
    <row r="2995" spans="1:61" x14ac:dyDescent="0.25">
      <c r="A2995" s="62" t="s">
        <v>646</v>
      </c>
      <c r="B2995" s="62" t="s">
        <v>646</v>
      </c>
      <c r="C2995" s="63"/>
      <c r="D2995" s="64"/>
      <c r="E2995" s="65"/>
      <c r="F2995" s="66"/>
      <c r="G2995" s="63"/>
      <c r="H2995" s="67"/>
      <c r="I2995" s="68"/>
      <c r="J2995" s="68"/>
      <c r="K2995" s="32"/>
      <c r="L2995" s="75">
        <v>2995</v>
      </c>
      <c r="M2995" s="75"/>
      <c r="N2995" s="70"/>
      <c r="O2995" s="77" t="s">
        <v>179</v>
      </c>
      <c r="P2995" s="79">
        <v>45061.574074074073</v>
      </c>
      <c r="Q2995" s="77" t="s">
        <v>3772</v>
      </c>
      <c r="R2995" s="77">
        <v>0</v>
      </c>
      <c r="S2995" s="77">
        <v>0</v>
      </c>
      <c r="T2995" s="77">
        <v>0</v>
      </c>
      <c r="U2995" s="77">
        <v>0</v>
      </c>
      <c r="V2995" s="77">
        <v>18</v>
      </c>
      <c r="W2995" s="82" t="s">
        <v>6382</v>
      </c>
      <c r="X2995" s="80" t="str">
        <f>HYPERLINK("https://tinyurl.com/2qtbbuta")</f>
        <v>https://tinyurl.com/2qtbbuta</v>
      </c>
      <c r="Y2995" s="77" t="s">
        <v>7068</v>
      </c>
      <c r="Z2995" s="77"/>
      <c r="AA2995" s="77"/>
      <c r="AB2995" s="77"/>
      <c r="AC2995" s="82" t="s">
        <v>8275</v>
      </c>
      <c r="AD2995" s="77" t="s">
        <v>8278</v>
      </c>
      <c r="AE2995" s="80" t="str">
        <f>HYPERLINK("https://twitter.com/pauta_economica/status/1658106627432611842")</f>
        <v>https://twitter.com/pauta_economica/status/1658106627432611842</v>
      </c>
      <c r="AF2995" s="79">
        <v>45061.574074074073</v>
      </c>
      <c r="AG2995" s="85">
        <v>45061</v>
      </c>
      <c r="AH2995" s="82" t="s">
        <v>11027</v>
      </c>
      <c r="AI2995" s="77" t="b">
        <v>0</v>
      </c>
      <c r="AJ2995" s="77"/>
      <c r="AK2995" s="77"/>
      <c r="AL2995" s="77"/>
      <c r="AM2995" s="77"/>
      <c r="AN2995" s="77"/>
      <c r="AO2995" s="77"/>
      <c r="AP2995" s="77"/>
      <c r="AQ2995" s="77"/>
      <c r="AR2995" s="77"/>
      <c r="AS2995" s="77"/>
      <c r="AT2995" s="77"/>
      <c r="AU2995" s="77"/>
      <c r="AV2995" s="80" t="str">
        <f>HYPERLINK("https://pbs.twimg.com/profile_images/1588668531910082561/XEi-lXiu_normal.jpg")</f>
        <v>https://pbs.twimg.com/profile_images/1588668531910082561/XEi-lXiu_normal.jpg</v>
      </c>
      <c r="AW2995" s="82" t="s">
        <v>16079</v>
      </c>
      <c r="AX2995" s="82" t="s">
        <v>16079</v>
      </c>
      <c r="AY2995" s="77"/>
      <c r="AZ2995" s="82" t="s">
        <v>17385</v>
      </c>
      <c r="BA2995" s="82" t="s">
        <v>17385</v>
      </c>
      <c r="BB2995" s="82" t="s">
        <v>17385</v>
      </c>
      <c r="BC2995" s="82" t="s">
        <v>16079</v>
      </c>
      <c r="BD2995" s="82" t="s">
        <v>17667</v>
      </c>
      <c r="BE2995" s="77"/>
      <c r="BF2995" s="77"/>
      <c r="BG2995" s="77"/>
      <c r="BH2995" s="77"/>
      <c r="BI2995" s="77"/>
    </row>
    <row r="2996" spans="1:61" x14ac:dyDescent="0.25">
      <c r="A2996" s="62" t="s">
        <v>646</v>
      </c>
      <c r="B2996" s="62" t="s">
        <v>646</v>
      </c>
      <c r="C2996" s="63"/>
      <c r="D2996" s="64"/>
      <c r="E2996" s="65"/>
      <c r="F2996" s="66"/>
      <c r="G2996" s="63"/>
      <c r="H2996" s="67"/>
      <c r="I2996" s="68"/>
      <c r="J2996" s="68"/>
      <c r="K2996" s="32"/>
      <c r="L2996" s="75">
        <v>2996</v>
      </c>
      <c r="M2996" s="75"/>
      <c r="N2996" s="70"/>
      <c r="O2996" s="77" t="s">
        <v>179</v>
      </c>
      <c r="P2996" s="79">
        <v>45061.533518518518</v>
      </c>
      <c r="Q2996" s="77" t="s">
        <v>3773</v>
      </c>
      <c r="R2996" s="77">
        <v>0</v>
      </c>
      <c r="S2996" s="77">
        <v>0</v>
      </c>
      <c r="T2996" s="77">
        <v>0</v>
      </c>
      <c r="U2996" s="77">
        <v>0</v>
      </c>
      <c r="V2996" s="77">
        <v>34</v>
      </c>
      <c r="W2996" s="82" t="s">
        <v>6382</v>
      </c>
      <c r="X2996" s="80" t="str">
        <f>HYPERLINK("https://tinyurl.com/2nk2r8t5")</f>
        <v>https://tinyurl.com/2nk2r8t5</v>
      </c>
      <c r="Y2996" s="77" t="s">
        <v>7068</v>
      </c>
      <c r="Z2996" s="77"/>
      <c r="AA2996" s="77"/>
      <c r="AB2996" s="77"/>
      <c r="AC2996" s="82" t="s">
        <v>8275</v>
      </c>
      <c r="AD2996" s="77" t="s">
        <v>8278</v>
      </c>
      <c r="AE2996" s="80" t="str">
        <f>HYPERLINK("https://twitter.com/pauta_economica/status/1658091928318083073")</f>
        <v>https://twitter.com/pauta_economica/status/1658091928318083073</v>
      </c>
      <c r="AF2996" s="79">
        <v>45061.533518518518</v>
      </c>
      <c r="AG2996" s="85">
        <v>45061</v>
      </c>
      <c r="AH2996" s="82" t="s">
        <v>11028</v>
      </c>
      <c r="AI2996" s="77" t="b">
        <v>0</v>
      </c>
      <c r="AJ2996" s="77"/>
      <c r="AK2996" s="77"/>
      <c r="AL2996" s="77"/>
      <c r="AM2996" s="77"/>
      <c r="AN2996" s="77"/>
      <c r="AO2996" s="77"/>
      <c r="AP2996" s="77"/>
      <c r="AQ2996" s="77"/>
      <c r="AR2996" s="77"/>
      <c r="AS2996" s="77"/>
      <c r="AT2996" s="77"/>
      <c r="AU2996" s="77"/>
      <c r="AV2996" s="80" t="str">
        <f>HYPERLINK("https://pbs.twimg.com/profile_images/1588668531910082561/XEi-lXiu_normal.jpg")</f>
        <v>https://pbs.twimg.com/profile_images/1588668531910082561/XEi-lXiu_normal.jpg</v>
      </c>
      <c r="AW2996" s="82" t="s">
        <v>16080</v>
      </c>
      <c r="AX2996" s="82" t="s">
        <v>16080</v>
      </c>
      <c r="AY2996" s="77"/>
      <c r="AZ2996" s="82" t="s">
        <v>17385</v>
      </c>
      <c r="BA2996" s="82" t="s">
        <v>17385</v>
      </c>
      <c r="BB2996" s="82" t="s">
        <v>17385</v>
      </c>
      <c r="BC2996" s="82" t="s">
        <v>16080</v>
      </c>
      <c r="BD2996" s="82" t="s">
        <v>17667</v>
      </c>
      <c r="BE2996" s="77"/>
      <c r="BF2996" s="77"/>
      <c r="BG2996" s="77"/>
      <c r="BH2996" s="77"/>
      <c r="BI2996" s="77"/>
    </row>
    <row r="2997" spans="1:61" x14ac:dyDescent="0.25">
      <c r="A2997" s="62" t="s">
        <v>646</v>
      </c>
      <c r="B2997" s="62" t="s">
        <v>646</v>
      </c>
      <c r="C2997" s="63"/>
      <c r="D2997" s="64"/>
      <c r="E2997" s="65"/>
      <c r="F2997" s="66"/>
      <c r="G2997" s="63"/>
      <c r="H2997" s="67"/>
      <c r="I2997" s="68"/>
      <c r="J2997" s="68"/>
      <c r="K2997" s="32"/>
      <c r="L2997" s="75">
        <v>2997</v>
      </c>
      <c r="M2997" s="75"/>
      <c r="N2997" s="70"/>
      <c r="O2997" s="77" t="s">
        <v>179</v>
      </c>
      <c r="P2997" s="79">
        <v>45061.517280092594</v>
      </c>
      <c r="Q2997" s="77" t="s">
        <v>3774</v>
      </c>
      <c r="R2997" s="77">
        <v>0</v>
      </c>
      <c r="S2997" s="77">
        <v>0</v>
      </c>
      <c r="T2997" s="77">
        <v>0</v>
      </c>
      <c r="U2997" s="77">
        <v>0</v>
      </c>
      <c r="V2997" s="77">
        <v>29</v>
      </c>
      <c r="W2997" s="82" t="s">
        <v>6382</v>
      </c>
      <c r="X2997" s="80" t="str">
        <f>HYPERLINK("https://tinyurl.com/2mgs2tgy")</f>
        <v>https://tinyurl.com/2mgs2tgy</v>
      </c>
      <c r="Y2997" s="77" t="s">
        <v>7068</v>
      </c>
      <c r="Z2997" s="77"/>
      <c r="AA2997" s="77"/>
      <c r="AB2997" s="77"/>
      <c r="AC2997" s="82" t="s">
        <v>8275</v>
      </c>
      <c r="AD2997" s="77" t="s">
        <v>8278</v>
      </c>
      <c r="AE2997" s="80" t="str">
        <f>HYPERLINK("https://twitter.com/pauta_economica/status/1658086046725226499")</f>
        <v>https://twitter.com/pauta_economica/status/1658086046725226499</v>
      </c>
      <c r="AF2997" s="79">
        <v>45061.517280092594</v>
      </c>
      <c r="AG2997" s="85">
        <v>45061</v>
      </c>
      <c r="AH2997" s="82" t="s">
        <v>11029</v>
      </c>
      <c r="AI2997" s="77" t="b">
        <v>0</v>
      </c>
      <c r="AJ2997" s="77"/>
      <c r="AK2997" s="77"/>
      <c r="AL2997" s="77"/>
      <c r="AM2997" s="77"/>
      <c r="AN2997" s="77"/>
      <c r="AO2997" s="77"/>
      <c r="AP2997" s="77"/>
      <c r="AQ2997" s="77"/>
      <c r="AR2997" s="77"/>
      <c r="AS2997" s="77"/>
      <c r="AT2997" s="77"/>
      <c r="AU2997" s="77"/>
      <c r="AV2997" s="80" t="str">
        <f>HYPERLINK("https://pbs.twimg.com/profile_images/1588668531910082561/XEi-lXiu_normal.jpg")</f>
        <v>https://pbs.twimg.com/profile_images/1588668531910082561/XEi-lXiu_normal.jpg</v>
      </c>
      <c r="AW2997" s="82" t="s">
        <v>16081</v>
      </c>
      <c r="AX2997" s="82" t="s">
        <v>16081</v>
      </c>
      <c r="AY2997" s="77"/>
      <c r="AZ2997" s="82" t="s">
        <v>17385</v>
      </c>
      <c r="BA2997" s="82" t="s">
        <v>17385</v>
      </c>
      <c r="BB2997" s="82" t="s">
        <v>17385</v>
      </c>
      <c r="BC2997" s="82" t="s">
        <v>16081</v>
      </c>
      <c r="BD2997" s="82" t="s">
        <v>17667</v>
      </c>
      <c r="BE2997" s="77"/>
      <c r="BF2997" s="77"/>
      <c r="BG2997" s="77"/>
      <c r="BH2997" s="77"/>
      <c r="BI2997" s="77"/>
    </row>
    <row r="2998" spans="1:61" x14ac:dyDescent="0.25">
      <c r="A2998" s="62" t="s">
        <v>646</v>
      </c>
      <c r="B2998" s="62" t="s">
        <v>646</v>
      </c>
      <c r="C2998" s="63"/>
      <c r="D2998" s="64"/>
      <c r="E2998" s="65"/>
      <c r="F2998" s="66"/>
      <c r="G2998" s="63"/>
      <c r="H2998" s="67"/>
      <c r="I2998" s="68"/>
      <c r="J2998" s="68"/>
      <c r="K2998" s="32"/>
      <c r="L2998" s="75">
        <v>2998</v>
      </c>
      <c r="M2998" s="75"/>
      <c r="N2998" s="70"/>
      <c r="O2998" s="77" t="s">
        <v>179</v>
      </c>
      <c r="P2998" s="79">
        <v>45061.505694444444</v>
      </c>
      <c r="Q2998" s="77" t="s">
        <v>3775</v>
      </c>
      <c r="R2998" s="77">
        <v>0</v>
      </c>
      <c r="S2998" s="77">
        <v>0</v>
      </c>
      <c r="T2998" s="77">
        <v>0</v>
      </c>
      <c r="U2998" s="77">
        <v>0</v>
      </c>
      <c r="V2998" s="77">
        <v>17</v>
      </c>
      <c r="W2998" s="82" t="s">
        <v>6382</v>
      </c>
      <c r="X2998" s="80" t="str">
        <f>HYPERLINK("https://tinyurl.com/2jq66vo2")</f>
        <v>https://tinyurl.com/2jq66vo2</v>
      </c>
      <c r="Y2998" s="77" t="s">
        <v>7068</v>
      </c>
      <c r="Z2998" s="77"/>
      <c r="AA2998" s="77"/>
      <c r="AB2998" s="77"/>
      <c r="AC2998" s="82" t="s">
        <v>8275</v>
      </c>
      <c r="AD2998" s="77" t="s">
        <v>8278</v>
      </c>
      <c r="AE2998" s="80" t="str">
        <f>HYPERLINK("https://twitter.com/pauta_economica/status/1658081846519840768")</f>
        <v>https://twitter.com/pauta_economica/status/1658081846519840768</v>
      </c>
      <c r="AF2998" s="79">
        <v>45061.505694444444</v>
      </c>
      <c r="AG2998" s="85">
        <v>45061</v>
      </c>
      <c r="AH2998" s="82" t="s">
        <v>11030</v>
      </c>
      <c r="AI2998" s="77" t="b">
        <v>0</v>
      </c>
      <c r="AJ2998" s="77"/>
      <c r="AK2998" s="77"/>
      <c r="AL2998" s="77"/>
      <c r="AM2998" s="77"/>
      <c r="AN2998" s="77"/>
      <c r="AO2998" s="77"/>
      <c r="AP2998" s="77"/>
      <c r="AQ2998" s="77"/>
      <c r="AR2998" s="77"/>
      <c r="AS2998" s="77"/>
      <c r="AT2998" s="77"/>
      <c r="AU2998" s="77"/>
      <c r="AV2998" s="80" t="str">
        <f>HYPERLINK("https://pbs.twimg.com/profile_images/1588668531910082561/XEi-lXiu_normal.jpg")</f>
        <v>https://pbs.twimg.com/profile_images/1588668531910082561/XEi-lXiu_normal.jpg</v>
      </c>
      <c r="AW2998" s="82" t="s">
        <v>16082</v>
      </c>
      <c r="AX2998" s="82" t="s">
        <v>16082</v>
      </c>
      <c r="AY2998" s="77"/>
      <c r="AZ2998" s="82" t="s">
        <v>17385</v>
      </c>
      <c r="BA2998" s="82" t="s">
        <v>17385</v>
      </c>
      <c r="BB2998" s="82" t="s">
        <v>17385</v>
      </c>
      <c r="BC2998" s="82" t="s">
        <v>16082</v>
      </c>
      <c r="BD2998" s="82" t="s">
        <v>17667</v>
      </c>
      <c r="BE2998" s="77"/>
      <c r="BF2998" s="77"/>
      <c r="BG2998" s="77"/>
      <c r="BH2998" s="77"/>
      <c r="BI2998" s="77"/>
    </row>
    <row r="2999" spans="1:61" x14ac:dyDescent="0.25">
      <c r="A2999" s="62" t="s">
        <v>646</v>
      </c>
      <c r="B2999" s="62" t="s">
        <v>646</v>
      </c>
      <c r="C2999" s="63"/>
      <c r="D2999" s="64"/>
      <c r="E2999" s="65"/>
      <c r="F2999" s="66"/>
      <c r="G2999" s="63"/>
      <c r="H2999" s="67"/>
      <c r="I2999" s="68"/>
      <c r="J2999" s="68"/>
      <c r="K2999" s="32"/>
      <c r="L2999" s="75">
        <v>2999</v>
      </c>
      <c r="M2999" s="75"/>
      <c r="N2999" s="70"/>
      <c r="O2999" s="77" t="s">
        <v>179</v>
      </c>
      <c r="P2999" s="79">
        <v>45060.052824074075</v>
      </c>
      <c r="Q2999" s="77" t="s">
        <v>3776</v>
      </c>
      <c r="R2999" s="77">
        <v>0</v>
      </c>
      <c r="S2999" s="77">
        <v>1</v>
      </c>
      <c r="T2999" s="77">
        <v>0</v>
      </c>
      <c r="U2999" s="77">
        <v>0</v>
      </c>
      <c r="V2999" s="77">
        <v>56</v>
      </c>
      <c r="W2999" s="82" t="s">
        <v>6382</v>
      </c>
      <c r="X2999" s="80" t="str">
        <f>HYPERLINK("https://tinyurl.com/2kzgk8am")</f>
        <v>https://tinyurl.com/2kzgk8am</v>
      </c>
      <c r="Y2999" s="77" t="s">
        <v>7068</v>
      </c>
      <c r="Z2999" s="77"/>
      <c r="AA2999" s="77"/>
      <c r="AB2999" s="77"/>
      <c r="AC2999" s="82" t="s">
        <v>8275</v>
      </c>
      <c r="AD2999" s="77" t="s">
        <v>8278</v>
      </c>
      <c r="AE2999" s="80" t="str">
        <f>HYPERLINK("https://twitter.com/pauta_economica/status/1657555343734452225")</f>
        <v>https://twitter.com/pauta_economica/status/1657555343734452225</v>
      </c>
      <c r="AF2999" s="79">
        <v>45060.052824074075</v>
      </c>
      <c r="AG2999" s="85">
        <v>45060</v>
      </c>
      <c r="AH2999" s="82" t="s">
        <v>11031</v>
      </c>
      <c r="AI2999" s="77" t="b">
        <v>0</v>
      </c>
      <c r="AJ2999" s="77"/>
      <c r="AK2999" s="77"/>
      <c r="AL2999" s="77"/>
      <c r="AM2999" s="77"/>
      <c r="AN2999" s="77"/>
      <c r="AO2999" s="77"/>
      <c r="AP2999" s="77"/>
      <c r="AQ2999" s="77"/>
      <c r="AR2999" s="77"/>
      <c r="AS2999" s="77"/>
      <c r="AT2999" s="77"/>
      <c r="AU2999" s="77"/>
      <c r="AV2999" s="80" t="str">
        <f>HYPERLINK("https://pbs.twimg.com/profile_images/1588668531910082561/XEi-lXiu_normal.jpg")</f>
        <v>https://pbs.twimg.com/profile_images/1588668531910082561/XEi-lXiu_normal.jpg</v>
      </c>
      <c r="AW2999" s="82" t="s">
        <v>16083</v>
      </c>
      <c r="AX2999" s="82" t="s">
        <v>16083</v>
      </c>
      <c r="AY2999" s="77"/>
      <c r="AZ2999" s="82" t="s">
        <v>17385</v>
      </c>
      <c r="BA2999" s="82" t="s">
        <v>17385</v>
      </c>
      <c r="BB2999" s="82" t="s">
        <v>17385</v>
      </c>
      <c r="BC2999" s="82" t="s">
        <v>16083</v>
      </c>
      <c r="BD2999" s="82" t="s">
        <v>17667</v>
      </c>
      <c r="BE2999" s="77"/>
      <c r="BF2999" s="77"/>
      <c r="BG2999" s="77"/>
      <c r="BH2999" s="77"/>
      <c r="BI2999" s="77"/>
    </row>
    <row r="3000" spans="1:61" x14ac:dyDescent="0.25">
      <c r="A3000" s="62" t="s">
        <v>646</v>
      </c>
      <c r="B3000" s="62" t="s">
        <v>646</v>
      </c>
      <c r="C3000" s="63"/>
      <c r="D3000" s="64"/>
      <c r="E3000" s="65"/>
      <c r="F3000" s="66"/>
      <c r="G3000" s="63"/>
      <c r="H3000" s="67"/>
      <c r="I3000" s="68"/>
      <c r="J3000" s="68"/>
      <c r="K3000" s="32"/>
      <c r="L3000" s="75">
        <v>3000</v>
      </c>
      <c r="M3000" s="75"/>
      <c r="N3000" s="70"/>
      <c r="O3000" s="77" t="s">
        <v>179</v>
      </c>
      <c r="P3000" s="79">
        <v>45059.941504629627</v>
      </c>
      <c r="Q3000" s="77" t="s">
        <v>3777</v>
      </c>
      <c r="R3000" s="77">
        <v>0</v>
      </c>
      <c r="S3000" s="77">
        <v>0</v>
      </c>
      <c r="T3000" s="77">
        <v>0</v>
      </c>
      <c r="U3000" s="77">
        <v>0</v>
      </c>
      <c r="V3000" s="77">
        <v>91</v>
      </c>
      <c r="W3000" s="82" t="s">
        <v>6382</v>
      </c>
      <c r="X3000" s="80" t="str">
        <f>HYPERLINK("https://tinyurl.com/2gxmg3qv")</f>
        <v>https://tinyurl.com/2gxmg3qv</v>
      </c>
      <c r="Y3000" s="77" t="s">
        <v>7068</v>
      </c>
      <c r="Z3000" s="77"/>
      <c r="AA3000" s="77"/>
      <c r="AB3000" s="77"/>
      <c r="AC3000" s="82" t="s">
        <v>8275</v>
      </c>
      <c r="AD3000" s="77" t="s">
        <v>8278</v>
      </c>
      <c r="AE3000" s="80" t="str">
        <f>HYPERLINK("https://twitter.com/pauta_economica/status/1657515003061194753")</f>
        <v>https://twitter.com/pauta_economica/status/1657515003061194753</v>
      </c>
      <c r="AF3000" s="79">
        <v>45059.941504629627</v>
      </c>
      <c r="AG3000" s="85">
        <v>45059</v>
      </c>
      <c r="AH3000" s="82" t="s">
        <v>11032</v>
      </c>
      <c r="AI3000" s="77" t="b">
        <v>0</v>
      </c>
      <c r="AJ3000" s="77"/>
      <c r="AK3000" s="77"/>
      <c r="AL3000" s="77"/>
      <c r="AM3000" s="77"/>
      <c r="AN3000" s="77"/>
      <c r="AO3000" s="77"/>
      <c r="AP3000" s="77"/>
      <c r="AQ3000" s="77"/>
      <c r="AR3000" s="77"/>
      <c r="AS3000" s="77"/>
      <c r="AT3000" s="77"/>
      <c r="AU3000" s="77"/>
      <c r="AV3000" s="80" t="str">
        <f>HYPERLINK("https://pbs.twimg.com/profile_images/1588668531910082561/XEi-lXiu_normal.jpg")</f>
        <v>https://pbs.twimg.com/profile_images/1588668531910082561/XEi-lXiu_normal.jpg</v>
      </c>
      <c r="AW3000" s="82" t="s">
        <v>16084</v>
      </c>
      <c r="AX3000" s="82" t="s">
        <v>16084</v>
      </c>
      <c r="AY3000" s="77"/>
      <c r="AZ3000" s="82" t="s">
        <v>17385</v>
      </c>
      <c r="BA3000" s="82" t="s">
        <v>17385</v>
      </c>
      <c r="BB3000" s="82" t="s">
        <v>17385</v>
      </c>
      <c r="BC3000" s="82" t="s">
        <v>16084</v>
      </c>
      <c r="BD3000" s="82" t="s">
        <v>17667</v>
      </c>
      <c r="BE3000" s="77"/>
      <c r="BF3000" s="77"/>
      <c r="BG3000" s="77"/>
      <c r="BH3000" s="77"/>
      <c r="BI3000" s="77"/>
    </row>
    <row r="3001" spans="1:61" x14ac:dyDescent="0.25">
      <c r="A3001" s="62" t="s">
        <v>646</v>
      </c>
      <c r="B3001" s="62" t="s">
        <v>646</v>
      </c>
      <c r="C3001" s="63"/>
      <c r="D3001" s="64"/>
      <c r="E3001" s="65"/>
      <c r="F3001" s="66"/>
      <c r="G3001" s="63"/>
      <c r="H3001" s="67"/>
      <c r="I3001" s="68"/>
      <c r="J3001" s="68"/>
      <c r="K3001" s="32"/>
      <c r="L3001" s="75">
        <v>3001</v>
      </c>
      <c r="M3001" s="75"/>
      <c r="N3001" s="70"/>
      <c r="O3001" s="77" t="s">
        <v>179</v>
      </c>
      <c r="P3001" s="79">
        <v>45059.913553240738</v>
      </c>
      <c r="Q3001" s="77" t="s">
        <v>3778</v>
      </c>
      <c r="R3001" s="77">
        <v>0</v>
      </c>
      <c r="S3001" s="77">
        <v>0</v>
      </c>
      <c r="T3001" s="77">
        <v>0</v>
      </c>
      <c r="U3001" s="77">
        <v>0</v>
      </c>
      <c r="V3001" s="77">
        <v>31</v>
      </c>
      <c r="W3001" s="82" t="s">
        <v>6382</v>
      </c>
      <c r="X3001" s="80" t="str">
        <f>HYPERLINK("https://tinyurl.com/2f86hxs8")</f>
        <v>https://tinyurl.com/2f86hxs8</v>
      </c>
      <c r="Y3001" s="77" t="s">
        <v>7068</v>
      </c>
      <c r="Z3001" s="77"/>
      <c r="AA3001" s="77"/>
      <c r="AB3001" s="77"/>
      <c r="AC3001" s="82" t="s">
        <v>8275</v>
      </c>
      <c r="AD3001" s="77" t="s">
        <v>8278</v>
      </c>
      <c r="AE3001" s="80" t="str">
        <f>HYPERLINK("https://twitter.com/pauta_economica/status/1657504875003953152")</f>
        <v>https://twitter.com/pauta_economica/status/1657504875003953152</v>
      </c>
      <c r="AF3001" s="79">
        <v>45059.913553240738</v>
      </c>
      <c r="AG3001" s="85">
        <v>45059</v>
      </c>
      <c r="AH3001" s="82" t="s">
        <v>11033</v>
      </c>
      <c r="AI3001" s="77" t="b">
        <v>0</v>
      </c>
      <c r="AJ3001" s="77"/>
      <c r="AK3001" s="77"/>
      <c r="AL3001" s="77"/>
      <c r="AM3001" s="77"/>
      <c r="AN3001" s="77"/>
      <c r="AO3001" s="77"/>
      <c r="AP3001" s="77"/>
      <c r="AQ3001" s="77"/>
      <c r="AR3001" s="77"/>
      <c r="AS3001" s="77"/>
      <c r="AT3001" s="77"/>
      <c r="AU3001" s="77"/>
      <c r="AV3001" s="80" t="str">
        <f>HYPERLINK("https://pbs.twimg.com/profile_images/1588668531910082561/XEi-lXiu_normal.jpg")</f>
        <v>https://pbs.twimg.com/profile_images/1588668531910082561/XEi-lXiu_normal.jpg</v>
      </c>
      <c r="AW3001" s="82" t="s">
        <v>16085</v>
      </c>
      <c r="AX3001" s="82" t="s">
        <v>16085</v>
      </c>
      <c r="AY3001" s="77"/>
      <c r="AZ3001" s="82" t="s">
        <v>17385</v>
      </c>
      <c r="BA3001" s="82" t="s">
        <v>17385</v>
      </c>
      <c r="BB3001" s="82" t="s">
        <v>17385</v>
      </c>
      <c r="BC3001" s="82" t="s">
        <v>16085</v>
      </c>
      <c r="BD3001" s="82" t="s">
        <v>17667</v>
      </c>
      <c r="BE3001" s="77"/>
      <c r="BF3001" s="77"/>
      <c r="BG3001" s="77"/>
      <c r="BH3001" s="77"/>
      <c r="BI3001" s="77"/>
    </row>
    <row r="3002" spans="1:61" x14ac:dyDescent="0.25">
      <c r="A3002" s="62" t="s">
        <v>646</v>
      </c>
      <c r="B3002" s="62" t="s">
        <v>646</v>
      </c>
      <c r="C3002" s="63"/>
      <c r="D3002" s="64"/>
      <c r="E3002" s="65"/>
      <c r="F3002" s="66"/>
      <c r="G3002" s="63"/>
      <c r="H3002" s="67"/>
      <c r="I3002" s="68"/>
      <c r="J3002" s="68"/>
      <c r="K3002" s="32"/>
      <c r="L3002" s="75">
        <v>3002</v>
      </c>
      <c r="M3002" s="75"/>
      <c r="N3002" s="70"/>
      <c r="O3002" s="77" t="s">
        <v>179</v>
      </c>
      <c r="P3002" s="79">
        <v>45059.885763888888</v>
      </c>
      <c r="Q3002" s="77" t="s">
        <v>3779</v>
      </c>
      <c r="R3002" s="77">
        <v>0</v>
      </c>
      <c r="S3002" s="77">
        <v>0</v>
      </c>
      <c r="T3002" s="77">
        <v>0</v>
      </c>
      <c r="U3002" s="77">
        <v>0</v>
      </c>
      <c r="V3002" s="77">
        <v>28</v>
      </c>
      <c r="W3002" s="82" t="s">
        <v>6382</v>
      </c>
      <c r="X3002" s="80" t="str">
        <f>HYPERLINK("https://tinyurl.com/2mguvlk6")</f>
        <v>https://tinyurl.com/2mguvlk6</v>
      </c>
      <c r="Y3002" s="77" t="s">
        <v>7068</v>
      </c>
      <c r="Z3002" s="77"/>
      <c r="AA3002" s="77"/>
      <c r="AB3002" s="77"/>
      <c r="AC3002" s="82" t="s">
        <v>8275</v>
      </c>
      <c r="AD3002" s="77" t="s">
        <v>8278</v>
      </c>
      <c r="AE3002" s="80" t="str">
        <f>HYPERLINK("https://twitter.com/pauta_economica/status/1657494803876069377")</f>
        <v>https://twitter.com/pauta_economica/status/1657494803876069377</v>
      </c>
      <c r="AF3002" s="79">
        <v>45059.885763888888</v>
      </c>
      <c r="AG3002" s="85">
        <v>45059</v>
      </c>
      <c r="AH3002" s="82" t="s">
        <v>11034</v>
      </c>
      <c r="AI3002" s="77" t="b">
        <v>0</v>
      </c>
      <c r="AJ3002" s="77"/>
      <c r="AK3002" s="77"/>
      <c r="AL3002" s="77"/>
      <c r="AM3002" s="77"/>
      <c r="AN3002" s="77"/>
      <c r="AO3002" s="77"/>
      <c r="AP3002" s="77"/>
      <c r="AQ3002" s="77"/>
      <c r="AR3002" s="77"/>
      <c r="AS3002" s="77"/>
      <c r="AT3002" s="77"/>
      <c r="AU3002" s="77"/>
      <c r="AV3002" s="80" t="str">
        <f>HYPERLINK("https://pbs.twimg.com/profile_images/1588668531910082561/XEi-lXiu_normal.jpg")</f>
        <v>https://pbs.twimg.com/profile_images/1588668531910082561/XEi-lXiu_normal.jpg</v>
      </c>
      <c r="AW3002" s="82" t="s">
        <v>16086</v>
      </c>
      <c r="AX3002" s="82" t="s">
        <v>16086</v>
      </c>
      <c r="AY3002" s="77"/>
      <c r="AZ3002" s="82" t="s">
        <v>17385</v>
      </c>
      <c r="BA3002" s="82" t="s">
        <v>17385</v>
      </c>
      <c r="BB3002" s="82" t="s">
        <v>17385</v>
      </c>
      <c r="BC3002" s="82" t="s">
        <v>16086</v>
      </c>
      <c r="BD3002" s="82" t="s">
        <v>17667</v>
      </c>
      <c r="BE3002" s="77"/>
      <c r="BF3002" s="77"/>
      <c r="BG3002" s="77"/>
      <c r="BH3002" s="77"/>
      <c r="BI3002" s="77"/>
    </row>
    <row r="3003" spans="1:61" x14ac:dyDescent="0.25">
      <c r="A3003" s="62" t="s">
        <v>646</v>
      </c>
      <c r="B3003" s="62" t="s">
        <v>646</v>
      </c>
      <c r="C3003" s="63"/>
      <c r="D3003" s="64"/>
      <c r="E3003" s="65"/>
      <c r="F3003" s="66"/>
      <c r="G3003" s="63"/>
      <c r="H3003" s="67"/>
      <c r="I3003" s="68"/>
      <c r="J3003" s="68"/>
      <c r="K3003" s="32"/>
      <c r="L3003" s="75">
        <v>3003</v>
      </c>
      <c r="M3003" s="75"/>
      <c r="N3003" s="70"/>
      <c r="O3003" s="77" t="s">
        <v>179</v>
      </c>
      <c r="P3003" s="79">
        <v>45059.857951388891</v>
      </c>
      <c r="Q3003" s="77" t="s">
        <v>3780</v>
      </c>
      <c r="R3003" s="77">
        <v>0</v>
      </c>
      <c r="S3003" s="77">
        <v>0</v>
      </c>
      <c r="T3003" s="77">
        <v>0</v>
      </c>
      <c r="U3003" s="77">
        <v>0</v>
      </c>
      <c r="V3003" s="77">
        <v>27</v>
      </c>
      <c r="W3003" s="82" t="s">
        <v>6382</v>
      </c>
      <c r="X3003" s="80" t="str">
        <f>HYPERLINK("https://tinyurl.com/2kcuh8p2")</f>
        <v>https://tinyurl.com/2kcuh8p2</v>
      </c>
      <c r="Y3003" s="77" t="s">
        <v>7068</v>
      </c>
      <c r="Z3003" s="77"/>
      <c r="AA3003" s="77"/>
      <c r="AB3003" s="77"/>
      <c r="AC3003" s="82" t="s">
        <v>8275</v>
      </c>
      <c r="AD3003" s="77" t="s">
        <v>8278</v>
      </c>
      <c r="AE3003" s="80" t="str">
        <f>HYPERLINK("https://twitter.com/pauta_economica/status/1657484725026422784")</f>
        <v>https://twitter.com/pauta_economica/status/1657484725026422784</v>
      </c>
      <c r="AF3003" s="79">
        <v>45059.857951388891</v>
      </c>
      <c r="AG3003" s="85">
        <v>45059</v>
      </c>
      <c r="AH3003" s="82" t="s">
        <v>11035</v>
      </c>
      <c r="AI3003" s="77" t="b">
        <v>0</v>
      </c>
      <c r="AJ3003" s="77"/>
      <c r="AK3003" s="77"/>
      <c r="AL3003" s="77"/>
      <c r="AM3003" s="77"/>
      <c r="AN3003" s="77"/>
      <c r="AO3003" s="77"/>
      <c r="AP3003" s="77"/>
      <c r="AQ3003" s="77"/>
      <c r="AR3003" s="77"/>
      <c r="AS3003" s="77"/>
      <c r="AT3003" s="77"/>
      <c r="AU3003" s="77"/>
      <c r="AV3003" s="80" t="str">
        <f>HYPERLINK("https://pbs.twimg.com/profile_images/1588668531910082561/XEi-lXiu_normal.jpg")</f>
        <v>https://pbs.twimg.com/profile_images/1588668531910082561/XEi-lXiu_normal.jpg</v>
      </c>
      <c r="AW3003" s="82" t="s">
        <v>16087</v>
      </c>
      <c r="AX3003" s="82" t="s">
        <v>16087</v>
      </c>
      <c r="AY3003" s="77"/>
      <c r="AZ3003" s="82" t="s">
        <v>17385</v>
      </c>
      <c r="BA3003" s="82" t="s">
        <v>17385</v>
      </c>
      <c r="BB3003" s="82" t="s">
        <v>17385</v>
      </c>
      <c r="BC3003" s="82" t="s">
        <v>16087</v>
      </c>
      <c r="BD3003" s="82" t="s">
        <v>17667</v>
      </c>
      <c r="BE3003" s="77"/>
      <c r="BF3003" s="77"/>
      <c r="BG3003" s="77"/>
      <c r="BH3003" s="77"/>
      <c r="BI3003" s="77"/>
    </row>
    <row r="3004" spans="1:61" x14ac:dyDescent="0.25">
      <c r="A3004" s="62" t="s">
        <v>646</v>
      </c>
      <c r="B3004" s="62" t="s">
        <v>646</v>
      </c>
      <c r="C3004" s="63"/>
      <c r="D3004" s="64"/>
      <c r="E3004" s="65"/>
      <c r="F3004" s="66"/>
      <c r="G3004" s="63"/>
      <c r="H3004" s="67"/>
      <c r="I3004" s="68"/>
      <c r="J3004" s="68"/>
      <c r="K3004" s="32"/>
      <c r="L3004" s="75">
        <v>3004</v>
      </c>
      <c r="M3004" s="75"/>
      <c r="N3004" s="70"/>
      <c r="O3004" s="77" t="s">
        <v>179</v>
      </c>
      <c r="P3004" s="79">
        <v>45059.66300925926</v>
      </c>
      <c r="Q3004" s="77" t="s">
        <v>3781</v>
      </c>
      <c r="R3004" s="77">
        <v>0</v>
      </c>
      <c r="S3004" s="77">
        <v>0</v>
      </c>
      <c r="T3004" s="77">
        <v>0</v>
      </c>
      <c r="U3004" s="77">
        <v>0</v>
      </c>
      <c r="V3004" s="77">
        <v>69</v>
      </c>
      <c r="W3004" s="82" t="s">
        <v>6382</v>
      </c>
      <c r="X3004" s="80" t="str">
        <f>HYPERLINK("https://tinyurl.com/2lffmx27")</f>
        <v>https://tinyurl.com/2lffmx27</v>
      </c>
      <c r="Y3004" s="77" t="s">
        <v>7068</v>
      </c>
      <c r="Z3004" s="77"/>
      <c r="AA3004" s="77"/>
      <c r="AB3004" s="77"/>
      <c r="AC3004" s="82" t="s">
        <v>8275</v>
      </c>
      <c r="AD3004" s="77" t="s">
        <v>8278</v>
      </c>
      <c r="AE3004" s="80" t="str">
        <f>HYPERLINK("https://twitter.com/pauta_economica/status/1657414081500815362")</f>
        <v>https://twitter.com/pauta_economica/status/1657414081500815362</v>
      </c>
      <c r="AF3004" s="79">
        <v>45059.66300925926</v>
      </c>
      <c r="AG3004" s="85">
        <v>45059</v>
      </c>
      <c r="AH3004" s="82" t="s">
        <v>11036</v>
      </c>
      <c r="AI3004" s="77" t="b">
        <v>0</v>
      </c>
      <c r="AJ3004" s="77"/>
      <c r="AK3004" s="77"/>
      <c r="AL3004" s="77"/>
      <c r="AM3004" s="77"/>
      <c r="AN3004" s="77"/>
      <c r="AO3004" s="77"/>
      <c r="AP3004" s="77"/>
      <c r="AQ3004" s="77"/>
      <c r="AR3004" s="77"/>
      <c r="AS3004" s="77"/>
      <c r="AT3004" s="77"/>
      <c r="AU3004" s="77"/>
      <c r="AV3004" s="80" t="str">
        <f>HYPERLINK("https://pbs.twimg.com/profile_images/1588668531910082561/XEi-lXiu_normal.jpg")</f>
        <v>https://pbs.twimg.com/profile_images/1588668531910082561/XEi-lXiu_normal.jpg</v>
      </c>
      <c r="AW3004" s="82" t="s">
        <v>16088</v>
      </c>
      <c r="AX3004" s="82" t="s">
        <v>16088</v>
      </c>
      <c r="AY3004" s="77"/>
      <c r="AZ3004" s="82" t="s">
        <v>17385</v>
      </c>
      <c r="BA3004" s="82" t="s">
        <v>17385</v>
      </c>
      <c r="BB3004" s="82" t="s">
        <v>17385</v>
      </c>
      <c r="BC3004" s="82" t="s">
        <v>16088</v>
      </c>
      <c r="BD3004" s="82" t="s">
        <v>17667</v>
      </c>
      <c r="BE3004" s="77"/>
      <c r="BF3004" s="77"/>
      <c r="BG3004" s="77"/>
      <c r="BH3004" s="77"/>
      <c r="BI3004" s="77"/>
    </row>
    <row r="3005" spans="1:61" x14ac:dyDescent="0.25">
      <c r="A3005" s="62" t="s">
        <v>646</v>
      </c>
      <c r="B3005" s="62" t="s">
        <v>646</v>
      </c>
      <c r="C3005" s="63"/>
      <c r="D3005" s="64"/>
      <c r="E3005" s="65"/>
      <c r="F3005" s="66"/>
      <c r="G3005" s="63"/>
      <c r="H3005" s="67"/>
      <c r="I3005" s="68"/>
      <c r="J3005" s="68"/>
      <c r="K3005" s="32"/>
      <c r="L3005" s="75">
        <v>3005</v>
      </c>
      <c r="M3005" s="75"/>
      <c r="N3005" s="70"/>
      <c r="O3005" s="77" t="s">
        <v>179</v>
      </c>
      <c r="P3005" s="79">
        <v>45059.579340277778</v>
      </c>
      <c r="Q3005" s="77" t="s">
        <v>3782</v>
      </c>
      <c r="R3005" s="77">
        <v>0</v>
      </c>
      <c r="S3005" s="77">
        <v>0</v>
      </c>
      <c r="T3005" s="77">
        <v>0</v>
      </c>
      <c r="U3005" s="77">
        <v>0</v>
      </c>
      <c r="V3005" s="77">
        <v>25</v>
      </c>
      <c r="W3005" s="82" t="s">
        <v>6382</v>
      </c>
      <c r="X3005" s="80" t="str">
        <f>HYPERLINK("https://tinyurl.com/2fo43pbw")</f>
        <v>https://tinyurl.com/2fo43pbw</v>
      </c>
      <c r="Y3005" s="77" t="s">
        <v>7068</v>
      </c>
      <c r="Z3005" s="77"/>
      <c r="AA3005" s="77"/>
      <c r="AB3005" s="77"/>
      <c r="AC3005" s="82" t="s">
        <v>8275</v>
      </c>
      <c r="AD3005" s="77" t="s">
        <v>8281</v>
      </c>
      <c r="AE3005" s="80" t="str">
        <f>HYPERLINK("https://twitter.com/pauta_economica/status/1657383757576302593")</f>
        <v>https://twitter.com/pauta_economica/status/1657383757576302593</v>
      </c>
      <c r="AF3005" s="79">
        <v>45059.579340277778</v>
      </c>
      <c r="AG3005" s="85">
        <v>45059</v>
      </c>
      <c r="AH3005" s="82" t="s">
        <v>10269</v>
      </c>
      <c r="AI3005" s="77" t="b">
        <v>0</v>
      </c>
      <c r="AJ3005" s="77"/>
      <c r="AK3005" s="77"/>
      <c r="AL3005" s="77"/>
      <c r="AM3005" s="77"/>
      <c r="AN3005" s="77"/>
      <c r="AO3005" s="77"/>
      <c r="AP3005" s="77"/>
      <c r="AQ3005" s="77"/>
      <c r="AR3005" s="77"/>
      <c r="AS3005" s="77"/>
      <c r="AT3005" s="77"/>
      <c r="AU3005" s="77"/>
      <c r="AV3005" s="80" t="str">
        <f>HYPERLINK("https://pbs.twimg.com/profile_images/1588668531910082561/XEi-lXiu_normal.jpg")</f>
        <v>https://pbs.twimg.com/profile_images/1588668531910082561/XEi-lXiu_normal.jpg</v>
      </c>
      <c r="AW3005" s="82" t="s">
        <v>16089</v>
      </c>
      <c r="AX3005" s="82" t="s">
        <v>16089</v>
      </c>
      <c r="AY3005" s="77"/>
      <c r="AZ3005" s="82" t="s">
        <v>17385</v>
      </c>
      <c r="BA3005" s="82" t="s">
        <v>17385</v>
      </c>
      <c r="BB3005" s="82" t="s">
        <v>17385</v>
      </c>
      <c r="BC3005" s="82" t="s">
        <v>16089</v>
      </c>
      <c r="BD3005" s="82" t="s">
        <v>17667</v>
      </c>
      <c r="BE3005" s="77"/>
      <c r="BF3005" s="77"/>
      <c r="BG3005" s="77"/>
      <c r="BH3005" s="77"/>
      <c r="BI3005" s="77"/>
    </row>
    <row r="3006" spans="1:61" x14ac:dyDescent="0.25">
      <c r="A3006" s="62" t="s">
        <v>646</v>
      </c>
      <c r="B3006" s="62" t="s">
        <v>646</v>
      </c>
      <c r="C3006" s="63"/>
      <c r="D3006" s="64"/>
      <c r="E3006" s="65"/>
      <c r="F3006" s="66"/>
      <c r="G3006" s="63"/>
      <c r="H3006" s="67"/>
      <c r="I3006" s="68"/>
      <c r="J3006" s="68"/>
      <c r="K3006" s="32"/>
      <c r="L3006" s="75">
        <v>3006</v>
      </c>
      <c r="M3006" s="75"/>
      <c r="N3006" s="70"/>
      <c r="O3006" s="77" t="s">
        <v>179</v>
      </c>
      <c r="P3006" s="79">
        <v>45059.551412037035</v>
      </c>
      <c r="Q3006" s="77" t="s">
        <v>3783</v>
      </c>
      <c r="R3006" s="77">
        <v>0</v>
      </c>
      <c r="S3006" s="77">
        <v>0</v>
      </c>
      <c r="T3006" s="77">
        <v>0</v>
      </c>
      <c r="U3006" s="77">
        <v>0</v>
      </c>
      <c r="V3006" s="77">
        <v>73</v>
      </c>
      <c r="W3006" s="82" t="s">
        <v>6382</v>
      </c>
      <c r="X3006" s="80" t="str">
        <f>HYPERLINK("https://tinyurl.com/2oajcn8z")</f>
        <v>https://tinyurl.com/2oajcn8z</v>
      </c>
      <c r="Y3006" s="77" t="s">
        <v>7068</v>
      </c>
      <c r="Z3006" s="77"/>
      <c r="AA3006" s="77"/>
      <c r="AB3006" s="77"/>
      <c r="AC3006" s="82" t="s">
        <v>8275</v>
      </c>
      <c r="AD3006" s="77" t="s">
        <v>8278</v>
      </c>
      <c r="AE3006" s="80" t="str">
        <f>HYPERLINK("https://twitter.com/pauta_economica/status/1657373636502716416")</f>
        <v>https://twitter.com/pauta_economica/status/1657373636502716416</v>
      </c>
      <c r="AF3006" s="79">
        <v>45059.551412037035</v>
      </c>
      <c r="AG3006" s="85">
        <v>45059</v>
      </c>
      <c r="AH3006" s="82" t="s">
        <v>11037</v>
      </c>
      <c r="AI3006" s="77" t="b">
        <v>0</v>
      </c>
      <c r="AJ3006" s="77"/>
      <c r="AK3006" s="77"/>
      <c r="AL3006" s="77"/>
      <c r="AM3006" s="77"/>
      <c r="AN3006" s="77"/>
      <c r="AO3006" s="77"/>
      <c r="AP3006" s="77"/>
      <c r="AQ3006" s="77"/>
      <c r="AR3006" s="77"/>
      <c r="AS3006" s="77"/>
      <c r="AT3006" s="77"/>
      <c r="AU3006" s="77"/>
      <c r="AV3006" s="80" t="str">
        <f>HYPERLINK("https://pbs.twimg.com/profile_images/1588668531910082561/XEi-lXiu_normal.jpg")</f>
        <v>https://pbs.twimg.com/profile_images/1588668531910082561/XEi-lXiu_normal.jpg</v>
      </c>
      <c r="AW3006" s="82" t="s">
        <v>16090</v>
      </c>
      <c r="AX3006" s="82" t="s">
        <v>16090</v>
      </c>
      <c r="AY3006" s="77"/>
      <c r="AZ3006" s="82" t="s">
        <v>17385</v>
      </c>
      <c r="BA3006" s="82" t="s">
        <v>17385</v>
      </c>
      <c r="BB3006" s="82" t="s">
        <v>17385</v>
      </c>
      <c r="BC3006" s="82" t="s">
        <v>16090</v>
      </c>
      <c r="BD3006" s="82" t="s">
        <v>17667</v>
      </c>
      <c r="BE3006" s="77"/>
      <c r="BF3006" s="77"/>
      <c r="BG3006" s="77"/>
      <c r="BH3006" s="77"/>
      <c r="BI3006" s="77"/>
    </row>
    <row r="3007" spans="1:61" x14ac:dyDescent="0.25">
      <c r="A3007" s="62" t="s">
        <v>646</v>
      </c>
      <c r="B3007" s="62" t="s">
        <v>646</v>
      </c>
      <c r="C3007" s="63"/>
      <c r="D3007" s="64"/>
      <c r="E3007" s="65"/>
      <c r="F3007" s="66"/>
      <c r="G3007" s="63"/>
      <c r="H3007" s="67"/>
      <c r="I3007" s="68"/>
      <c r="J3007" s="68"/>
      <c r="K3007" s="32"/>
      <c r="L3007" s="75">
        <v>3007</v>
      </c>
      <c r="M3007" s="75"/>
      <c r="N3007" s="70"/>
      <c r="O3007" s="77" t="s">
        <v>179</v>
      </c>
      <c r="P3007" s="79">
        <v>45059.467881944445</v>
      </c>
      <c r="Q3007" s="77" t="s">
        <v>3784</v>
      </c>
      <c r="R3007" s="77">
        <v>0</v>
      </c>
      <c r="S3007" s="77">
        <v>0</v>
      </c>
      <c r="T3007" s="77">
        <v>0</v>
      </c>
      <c r="U3007" s="77">
        <v>0</v>
      </c>
      <c r="V3007" s="77">
        <v>107</v>
      </c>
      <c r="W3007" s="82" t="s">
        <v>6382</v>
      </c>
      <c r="X3007" s="80" t="str">
        <f>HYPERLINK("https://tinyurl.com/2p7lnvng")</f>
        <v>https://tinyurl.com/2p7lnvng</v>
      </c>
      <c r="Y3007" s="77" t="s">
        <v>7068</v>
      </c>
      <c r="Z3007" s="77"/>
      <c r="AA3007" s="77"/>
      <c r="AB3007" s="77"/>
      <c r="AC3007" s="82" t="s">
        <v>8275</v>
      </c>
      <c r="AD3007" s="77" t="s">
        <v>8278</v>
      </c>
      <c r="AE3007" s="80" t="str">
        <f>HYPERLINK("https://twitter.com/pauta_economica/status/1657343368182022146")</f>
        <v>https://twitter.com/pauta_economica/status/1657343368182022146</v>
      </c>
      <c r="AF3007" s="79">
        <v>45059.467881944445</v>
      </c>
      <c r="AG3007" s="85">
        <v>45059</v>
      </c>
      <c r="AH3007" s="82" t="s">
        <v>9199</v>
      </c>
      <c r="AI3007" s="77" t="b">
        <v>0</v>
      </c>
      <c r="AJ3007" s="77"/>
      <c r="AK3007" s="77"/>
      <c r="AL3007" s="77"/>
      <c r="AM3007" s="77"/>
      <c r="AN3007" s="77"/>
      <c r="AO3007" s="77"/>
      <c r="AP3007" s="77"/>
      <c r="AQ3007" s="77"/>
      <c r="AR3007" s="77"/>
      <c r="AS3007" s="77"/>
      <c r="AT3007" s="77"/>
      <c r="AU3007" s="77"/>
      <c r="AV3007" s="80" t="str">
        <f>HYPERLINK("https://pbs.twimg.com/profile_images/1588668531910082561/XEi-lXiu_normal.jpg")</f>
        <v>https://pbs.twimg.com/profile_images/1588668531910082561/XEi-lXiu_normal.jpg</v>
      </c>
      <c r="AW3007" s="82" t="s">
        <v>16091</v>
      </c>
      <c r="AX3007" s="82" t="s">
        <v>16091</v>
      </c>
      <c r="AY3007" s="77"/>
      <c r="AZ3007" s="82" t="s">
        <v>17385</v>
      </c>
      <c r="BA3007" s="82" t="s">
        <v>17385</v>
      </c>
      <c r="BB3007" s="82" t="s">
        <v>17385</v>
      </c>
      <c r="BC3007" s="82" t="s">
        <v>16091</v>
      </c>
      <c r="BD3007" s="82" t="s">
        <v>17667</v>
      </c>
      <c r="BE3007" s="77"/>
      <c r="BF3007" s="77"/>
      <c r="BG3007" s="77"/>
      <c r="BH3007" s="77"/>
      <c r="BI3007" s="77"/>
    </row>
    <row r="3008" spans="1:61" x14ac:dyDescent="0.25">
      <c r="A3008" s="62" t="s">
        <v>646</v>
      </c>
      <c r="B3008" s="62" t="s">
        <v>646</v>
      </c>
      <c r="C3008" s="63"/>
      <c r="D3008" s="64"/>
      <c r="E3008" s="65"/>
      <c r="F3008" s="66"/>
      <c r="G3008" s="63"/>
      <c r="H3008" s="67"/>
      <c r="I3008" s="68"/>
      <c r="J3008" s="68"/>
      <c r="K3008" s="32"/>
      <c r="L3008" s="75">
        <v>3008</v>
      </c>
      <c r="M3008" s="75"/>
      <c r="N3008" s="70"/>
      <c r="O3008" s="77" t="s">
        <v>179</v>
      </c>
      <c r="P3008" s="79">
        <v>45059.440115740741</v>
      </c>
      <c r="Q3008" s="77" t="s">
        <v>3785</v>
      </c>
      <c r="R3008" s="77">
        <v>0</v>
      </c>
      <c r="S3008" s="77">
        <v>0</v>
      </c>
      <c r="T3008" s="77">
        <v>0</v>
      </c>
      <c r="U3008" s="77">
        <v>0</v>
      </c>
      <c r="V3008" s="77">
        <v>39</v>
      </c>
      <c r="W3008" s="82" t="s">
        <v>6382</v>
      </c>
      <c r="X3008" s="80" t="str">
        <f>HYPERLINK("https://tinyurl.com/2o7hgt7e")</f>
        <v>https://tinyurl.com/2o7hgt7e</v>
      </c>
      <c r="Y3008" s="77" t="s">
        <v>7068</v>
      </c>
      <c r="Z3008" s="77"/>
      <c r="AA3008" s="77"/>
      <c r="AB3008" s="77"/>
      <c r="AC3008" s="82" t="s">
        <v>8275</v>
      </c>
      <c r="AD3008" s="77" t="s">
        <v>8278</v>
      </c>
      <c r="AE3008" s="80" t="str">
        <f>HYPERLINK("https://twitter.com/pauta_economica/status/1657333306843619330")</f>
        <v>https://twitter.com/pauta_economica/status/1657333306843619330</v>
      </c>
      <c r="AF3008" s="79">
        <v>45059.440115740741</v>
      </c>
      <c r="AG3008" s="85">
        <v>45059</v>
      </c>
      <c r="AH3008" s="82" t="s">
        <v>11038</v>
      </c>
      <c r="AI3008" s="77" t="b">
        <v>0</v>
      </c>
      <c r="AJ3008" s="77"/>
      <c r="AK3008" s="77"/>
      <c r="AL3008" s="77"/>
      <c r="AM3008" s="77"/>
      <c r="AN3008" s="77"/>
      <c r="AO3008" s="77"/>
      <c r="AP3008" s="77"/>
      <c r="AQ3008" s="77"/>
      <c r="AR3008" s="77"/>
      <c r="AS3008" s="77"/>
      <c r="AT3008" s="77"/>
      <c r="AU3008" s="77"/>
      <c r="AV3008" s="80" t="str">
        <f>HYPERLINK("https://pbs.twimg.com/profile_images/1588668531910082561/XEi-lXiu_normal.jpg")</f>
        <v>https://pbs.twimg.com/profile_images/1588668531910082561/XEi-lXiu_normal.jpg</v>
      </c>
      <c r="AW3008" s="82" t="s">
        <v>16092</v>
      </c>
      <c r="AX3008" s="82" t="s">
        <v>16092</v>
      </c>
      <c r="AY3008" s="77"/>
      <c r="AZ3008" s="82" t="s">
        <v>17385</v>
      </c>
      <c r="BA3008" s="82" t="s">
        <v>17385</v>
      </c>
      <c r="BB3008" s="82" t="s">
        <v>17385</v>
      </c>
      <c r="BC3008" s="82" t="s">
        <v>16092</v>
      </c>
      <c r="BD3008" s="82" t="s">
        <v>17667</v>
      </c>
      <c r="BE3008" s="77"/>
      <c r="BF3008" s="77"/>
      <c r="BG3008" s="77"/>
      <c r="BH3008" s="77"/>
      <c r="BI3008" s="77"/>
    </row>
    <row r="3009" spans="1:61" x14ac:dyDescent="0.25">
      <c r="A3009" s="62" t="s">
        <v>646</v>
      </c>
      <c r="B3009" s="62" t="s">
        <v>646</v>
      </c>
      <c r="C3009" s="63"/>
      <c r="D3009" s="64"/>
      <c r="E3009" s="65"/>
      <c r="F3009" s="66"/>
      <c r="G3009" s="63"/>
      <c r="H3009" s="67"/>
      <c r="I3009" s="68"/>
      <c r="J3009" s="68"/>
      <c r="K3009" s="32"/>
      <c r="L3009" s="75">
        <v>3009</v>
      </c>
      <c r="M3009" s="75"/>
      <c r="N3009" s="70"/>
      <c r="O3009" s="77" t="s">
        <v>179</v>
      </c>
      <c r="P3009" s="79">
        <v>45059.412326388891</v>
      </c>
      <c r="Q3009" s="77" t="s">
        <v>3786</v>
      </c>
      <c r="R3009" s="77">
        <v>0</v>
      </c>
      <c r="S3009" s="77">
        <v>0</v>
      </c>
      <c r="T3009" s="77">
        <v>0</v>
      </c>
      <c r="U3009" s="77">
        <v>0</v>
      </c>
      <c r="V3009" s="77">
        <v>81</v>
      </c>
      <c r="W3009" s="82" t="s">
        <v>6382</v>
      </c>
      <c r="X3009" s="80" t="str">
        <f>HYPERLINK("https://tinyurl.com/2ep49k55")</f>
        <v>https://tinyurl.com/2ep49k55</v>
      </c>
      <c r="Y3009" s="77" t="s">
        <v>7068</v>
      </c>
      <c r="Z3009" s="77"/>
      <c r="AA3009" s="77"/>
      <c r="AB3009" s="77"/>
      <c r="AC3009" s="82" t="s">
        <v>8275</v>
      </c>
      <c r="AD3009" s="77" t="s">
        <v>8278</v>
      </c>
      <c r="AE3009" s="80" t="str">
        <f>HYPERLINK("https://twitter.com/pauta_economica/status/1657323233656307716")</f>
        <v>https://twitter.com/pauta_economica/status/1657323233656307716</v>
      </c>
      <c r="AF3009" s="79">
        <v>45059.412326388891</v>
      </c>
      <c r="AG3009" s="85">
        <v>45059</v>
      </c>
      <c r="AH3009" s="82" t="s">
        <v>11039</v>
      </c>
      <c r="AI3009" s="77" t="b">
        <v>0</v>
      </c>
      <c r="AJ3009" s="77"/>
      <c r="AK3009" s="77"/>
      <c r="AL3009" s="77"/>
      <c r="AM3009" s="77"/>
      <c r="AN3009" s="77"/>
      <c r="AO3009" s="77"/>
      <c r="AP3009" s="77"/>
      <c r="AQ3009" s="77"/>
      <c r="AR3009" s="77"/>
      <c r="AS3009" s="77"/>
      <c r="AT3009" s="77"/>
      <c r="AU3009" s="77"/>
      <c r="AV3009" s="80" t="str">
        <f>HYPERLINK("https://pbs.twimg.com/profile_images/1588668531910082561/XEi-lXiu_normal.jpg")</f>
        <v>https://pbs.twimg.com/profile_images/1588668531910082561/XEi-lXiu_normal.jpg</v>
      </c>
      <c r="AW3009" s="82" t="s">
        <v>16093</v>
      </c>
      <c r="AX3009" s="82" t="s">
        <v>16093</v>
      </c>
      <c r="AY3009" s="77"/>
      <c r="AZ3009" s="82" t="s">
        <v>17385</v>
      </c>
      <c r="BA3009" s="82" t="s">
        <v>17385</v>
      </c>
      <c r="BB3009" s="82" t="s">
        <v>17385</v>
      </c>
      <c r="BC3009" s="82" t="s">
        <v>16093</v>
      </c>
      <c r="BD3009" s="82" t="s">
        <v>17667</v>
      </c>
      <c r="BE3009" s="77"/>
      <c r="BF3009" s="77"/>
      <c r="BG3009" s="77"/>
      <c r="BH3009" s="77"/>
      <c r="BI3009" s="77"/>
    </row>
    <row r="3010" spans="1:61" x14ac:dyDescent="0.25">
      <c r="A3010" s="62" t="s">
        <v>646</v>
      </c>
      <c r="B3010" s="62" t="s">
        <v>646</v>
      </c>
      <c r="C3010" s="63"/>
      <c r="D3010" s="64"/>
      <c r="E3010" s="65"/>
      <c r="F3010" s="66"/>
      <c r="G3010" s="63"/>
      <c r="H3010" s="67"/>
      <c r="I3010" s="68"/>
      <c r="J3010" s="68"/>
      <c r="K3010" s="32"/>
      <c r="L3010" s="75">
        <v>3010</v>
      </c>
      <c r="M3010" s="75"/>
      <c r="N3010" s="70"/>
      <c r="O3010" s="77" t="s">
        <v>179</v>
      </c>
      <c r="P3010" s="79">
        <v>45059.328726851854</v>
      </c>
      <c r="Q3010" s="77" t="s">
        <v>3787</v>
      </c>
      <c r="R3010" s="77">
        <v>1</v>
      </c>
      <c r="S3010" s="77">
        <v>0</v>
      </c>
      <c r="T3010" s="77">
        <v>0</v>
      </c>
      <c r="U3010" s="77">
        <v>0</v>
      </c>
      <c r="V3010" s="77">
        <v>35</v>
      </c>
      <c r="W3010" s="82" t="s">
        <v>6382</v>
      </c>
      <c r="X3010" s="80" t="str">
        <f>HYPERLINK("https://tinyurl.com/2hydum3s")</f>
        <v>https://tinyurl.com/2hydum3s</v>
      </c>
      <c r="Y3010" s="77" t="s">
        <v>7068</v>
      </c>
      <c r="Z3010" s="77"/>
      <c r="AA3010" s="77"/>
      <c r="AB3010" s="77"/>
      <c r="AC3010" s="82" t="s">
        <v>8275</v>
      </c>
      <c r="AD3010" s="77" t="s">
        <v>8278</v>
      </c>
      <c r="AE3010" s="80" t="str">
        <f>HYPERLINK("https://twitter.com/pauta_economica/status/1657292938013990912")</f>
        <v>https://twitter.com/pauta_economica/status/1657292938013990912</v>
      </c>
      <c r="AF3010" s="79">
        <v>45059.328726851854</v>
      </c>
      <c r="AG3010" s="85">
        <v>45059</v>
      </c>
      <c r="AH3010" s="82" t="s">
        <v>11040</v>
      </c>
      <c r="AI3010" s="77" t="b">
        <v>0</v>
      </c>
      <c r="AJ3010" s="77"/>
      <c r="AK3010" s="77"/>
      <c r="AL3010" s="77"/>
      <c r="AM3010" s="77"/>
      <c r="AN3010" s="77"/>
      <c r="AO3010" s="77"/>
      <c r="AP3010" s="77"/>
      <c r="AQ3010" s="77"/>
      <c r="AR3010" s="77"/>
      <c r="AS3010" s="77"/>
      <c r="AT3010" s="77"/>
      <c r="AU3010" s="77"/>
      <c r="AV3010" s="80" t="str">
        <f>HYPERLINK("https://pbs.twimg.com/profile_images/1588668531910082561/XEi-lXiu_normal.jpg")</f>
        <v>https://pbs.twimg.com/profile_images/1588668531910082561/XEi-lXiu_normal.jpg</v>
      </c>
      <c r="AW3010" s="82" t="s">
        <v>16094</v>
      </c>
      <c r="AX3010" s="82" t="s">
        <v>16094</v>
      </c>
      <c r="AY3010" s="77"/>
      <c r="AZ3010" s="82" t="s">
        <v>17385</v>
      </c>
      <c r="BA3010" s="82" t="s">
        <v>17385</v>
      </c>
      <c r="BB3010" s="82" t="s">
        <v>17385</v>
      </c>
      <c r="BC3010" s="82" t="s">
        <v>16094</v>
      </c>
      <c r="BD3010" s="82" t="s">
        <v>17667</v>
      </c>
      <c r="BE3010" s="77"/>
      <c r="BF3010" s="77"/>
      <c r="BG3010" s="77"/>
      <c r="BH3010" s="77"/>
      <c r="BI3010" s="77"/>
    </row>
    <row r="3011" spans="1:61" x14ac:dyDescent="0.25">
      <c r="A3011" s="62" t="s">
        <v>646</v>
      </c>
      <c r="B3011" s="62" t="s">
        <v>646</v>
      </c>
      <c r="C3011" s="63"/>
      <c r="D3011" s="64"/>
      <c r="E3011" s="65"/>
      <c r="F3011" s="66"/>
      <c r="G3011" s="63"/>
      <c r="H3011" s="67"/>
      <c r="I3011" s="68"/>
      <c r="J3011" s="68"/>
      <c r="K3011" s="32"/>
      <c r="L3011" s="75">
        <v>3011</v>
      </c>
      <c r="M3011" s="75"/>
      <c r="N3011" s="70"/>
      <c r="O3011" s="77" t="s">
        <v>179</v>
      </c>
      <c r="P3011" s="79">
        <v>45059.273090277777</v>
      </c>
      <c r="Q3011" s="77" t="s">
        <v>3788</v>
      </c>
      <c r="R3011" s="77">
        <v>0</v>
      </c>
      <c r="S3011" s="77">
        <v>0</v>
      </c>
      <c r="T3011" s="77">
        <v>0</v>
      </c>
      <c r="U3011" s="77">
        <v>0</v>
      </c>
      <c r="V3011" s="77">
        <v>62</v>
      </c>
      <c r="W3011" s="82" t="s">
        <v>6382</v>
      </c>
      <c r="X3011" s="80" t="str">
        <f>HYPERLINK("https://tinyurl.com/2ka9yfqy")</f>
        <v>https://tinyurl.com/2ka9yfqy</v>
      </c>
      <c r="Y3011" s="77" t="s">
        <v>7068</v>
      </c>
      <c r="Z3011" s="77"/>
      <c r="AA3011" s="77"/>
      <c r="AB3011" s="77"/>
      <c r="AC3011" s="82" t="s">
        <v>8275</v>
      </c>
      <c r="AD3011" s="77" t="s">
        <v>8278</v>
      </c>
      <c r="AE3011" s="80" t="str">
        <f>HYPERLINK("https://twitter.com/pauta_economica/status/1657272777810771969")</f>
        <v>https://twitter.com/pauta_economica/status/1657272777810771969</v>
      </c>
      <c r="AF3011" s="79">
        <v>45059.273090277777</v>
      </c>
      <c r="AG3011" s="85">
        <v>45059</v>
      </c>
      <c r="AH3011" s="82" t="s">
        <v>11041</v>
      </c>
      <c r="AI3011" s="77" t="b">
        <v>0</v>
      </c>
      <c r="AJ3011" s="77"/>
      <c r="AK3011" s="77"/>
      <c r="AL3011" s="77"/>
      <c r="AM3011" s="77"/>
      <c r="AN3011" s="77"/>
      <c r="AO3011" s="77"/>
      <c r="AP3011" s="77"/>
      <c r="AQ3011" s="77"/>
      <c r="AR3011" s="77"/>
      <c r="AS3011" s="77"/>
      <c r="AT3011" s="77"/>
      <c r="AU3011" s="77"/>
      <c r="AV3011" s="80" t="str">
        <f>HYPERLINK("https://pbs.twimg.com/profile_images/1588668531910082561/XEi-lXiu_normal.jpg")</f>
        <v>https://pbs.twimg.com/profile_images/1588668531910082561/XEi-lXiu_normal.jpg</v>
      </c>
      <c r="AW3011" s="82" t="s">
        <v>16095</v>
      </c>
      <c r="AX3011" s="82" t="s">
        <v>16095</v>
      </c>
      <c r="AY3011" s="77"/>
      <c r="AZ3011" s="82" t="s">
        <v>17385</v>
      </c>
      <c r="BA3011" s="82" t="s">
        <v>17385</v>
      </c>
      <c r="BB3011" s="82" t="s">
        <v>17385</v>
      </c>
      <c r="BC3011" s="82" t="s">
        <v>16095</v>
      </c>
      <c r="BD3011" s="82" t="s">
        <v>17667</v>
      </c>
      <c r="BE3011" s="77"/>
      <c r="BF3011" s="77"/>
      <c r="BG3011" s="77"/>
      <c r="BH3011" s="77"/>
      <c r="BI3011" s="77"/>
    </row>
    <row r="3012" spans="1:61" x14ac:dyDescent="0.25">
      <c r="A3012" s="62" t="s">
        <v>646</v>
      </c>
      <c r="B3012" s="62" t="s">
        <v>646</v>
      </c>
      <c r="C3012" s="63"/>
      <c r="D3012" s="64"/>
      <c r="E3012" s="65"/>
      <c r="F3012" s="66"/>
      <c r="G3012" s="63"/>
      <c r="H3012" s="67"/>
      <c r="I3012" s="68"/>
      <c r="J3012" s="68"/>
      <c r="K3012" s="32"/>
      <c r="L3012" s="75">
        <v>3012</v>
      </c>
      <c r="M3012" s="75"/>
      <c r="N3012" s="70"/>
      <c r="O3012" s="77" t="s">
        <v>179</v>
      </c>
      <c r="P3012" s="79">
        <v>45059.21733796296</v>
      </c>
      <c r="Q3012" s="77" t="s">
        <v>3789</v>
      </c>
      <c r="R3012" s="77">
        <v>0</v>
      </c>
      <c r="S3012" s="77">
        <v>0</v>
      </c>
      <c r="T3012" s="77">
        <v>0</v>
      </c>
      <c r="U3012" s="77">
        <v>0</v>
      </c>
      <c r="V3012" s="77">
        <v>97</v>
      </c>
      <c r="W3012" s="82" t="s">
        <v>6382</v>
      </c>
      <c r="X3012" s="80" t="str">
        <f>HYPERLINK("https://tinyurl.com/2mkfabgk")</f>
        <v>https://tinyurl.com/2mkfabgk</v>
      </c>
      <c r="Y3012" s="77" t="s">
        <v>7068</v>
      </c>
      <c r="Z3012" s="77"/>
      <c r="AA3012" s="77"/>
      <c r="AB3012" s="77"/>
      <c r="AC3012" s="82" t="s">
        <v>8275</v>
      </c>
      <c r="AD3012" s="77" t="s">
        <v>8278</v>
      </c>
      <c r="AE3012" s="80" t="str">
        <f>HYPERLINK("https://twitter.com/pauta_economica/status/1657252572636278790")</f>
        <v>https://twitter.com/pauta_economica/status/1657252572636278790</v>
      </c>
      <c r="AF3012" s="79">
        <v>45059.21733796296</v>
      </c>
      <c r="AG3012" s="85">
        <v>45059</v>
      </c>
      <c r="AH3012" s="82" t="s">
        <v>11042</v>
      </c>
      <c r="AI3012" s="77" t="b">
        <v>0</v>
      </c>
      <c r="AJ3012" s="77"/>
      <c r="AK3012" s="77"/>
      <c r="AL3012" s="77"/>
      <c r="AM3012" s="77"/>
      <c r="AN3012" s="77"/>
      <c r="AO3012" s="77"/>
      <c r="AP3012" s="77"/>
      <c r="AQ3012" s="77"/>
      <c r="AR3012" s="77"/>
      <c r="AS3012" s="77"/>
      <c r="AT3012" s="77"/>
      <c r="AU3012" s="77"/>
      <c r="AV3012" s="80" t="str">
        <f>HYPERLINK("https://pbs.twimg.com/profile_images/1588668531910082561/XEi-lXiu_normal.jpg")</f>
        <v>https://pbs.twimg.com/profile_images/1588668531910082561/XEi-lXiu_normal.jpg</v>
      </c>
      <c r="AW3012" s="82" t="s">
        <v>16096</v>
      </c>
      <c r="AX3012" s="82" t="s">
        <v>16096</v>
      </c>
      <c r="AY3012" s="77"/>
      <c r="AZ3012" s="82" t="s">
        <v>17385</v>
      </c>
      <c r="BA3012" s="82" t="s">
        <v>17385</v>
      </c>
      <c r="BB3012" s="82" t="s">
        <v>17385</v>
      </c>
      <c r="BC3012" s="82" t="s">
        <v>16096</v>
      </c>
      <c r="BD3012" s="82" t="s">
        <v>17667</v>
      </c>
      <c r="BE3012" s="77"/>
      <c r="BF3012" s="77"/>
      <c r="BG3012" s="77"/>
      <c r="BH3012" s="77"/>
      <c r="BI3012" s="77"/>
    </row>
    <row r="3013" spans="1:61" x14ac:dyDescent="0.25">
      <c r="A3013" s="62" t="s">
        <v>646</v>
      </c>
      <c r="B3013" s="62" t="s">
        <v>646</v>
      </c>
      <c r="C3013" s="63"/>
      <c r="D3013" s="64"/>
      <c r="E3013" s="65"/>
      <c r="F3013" s="66"/>
      <c r="G3013" s="63"/>
      <c r="H3013" s="67"/>
      <c r="I3013" s="68"/>
      <c r="J3013" s="68"/>
      <c r="K3013" s="32"/>
      <c r="L3013" s="75">
        <v>3013</v>
      </c>
      <c r="M3013" s="75"/>
      <c r="N3013" s="70"/>
      <c r="O3013" s="77" t="s">
        <v>179</v>
      </c>
      <c r="P3013" s="79">
        <v>45059.16133101852</v>
      </c>
      <c r="Q3013" s="77" t="s">
        <v>3790</v>
      </c>
      <c r="R3013" s="77">
        <v>0</v>
      </c>
      <c r="S3013" s="77">
        <v>0</v>
      </c>
      <c r="T3013" s="77">
        <v>0</v>
      </c>
      <c r="U3013" s="77">
        <v>0</v>
      </c>
      <c r="V3013" s="77">
        <v>40</v>
      </c>
      <c r="W3013" s="82" t="s">
        <v>6382</v>
      </c>
      <c r="X3013" s="80" t="str">
        <f>HYPERLINK("https://tinyurl.com/2zz56eyk")</f>
        <v>https://tinyurl.com/2zz56eyk</v>
      </c>
      <c r="Y3013" s="77" t="s">
        <v>7068</v>
      </c>
      <c r="Z3013" s="77"/>
      <c r="AA3013" s="77"/>
      <c r="AB3013" s="77"/>
      <c r="AC3013" s="82" t="s">
        <v>8275</v>
      </c>
      <c r="AD3013" s="77" t="s">
        <v>8278</v>
      </c>
      <c r="AE3013" s="80" t="str">
        <f>HYPERLINK("https://twitter.com/pauta_economica/status/1657232275698769921")</f>
        <v>https://twitter.com/pauta_economica/status/1657232275698769921</v>
      </c>
      <c r="AF3013" s="79">
        <v>45059.16133101852</v>
      </c>
      <c r="AG3013" s="85">
        <v>45059</v>
      </c>
      <c r="AH3013" s="82" t="s">
        <v>11043</v>
      </c>
      <c r="AI3013" s="77" t="b">
        <v>0</v>
      </c>
      <c r="AJ3013" s="77"/>
      <c r="AK3013" s="77"/>
      <c r="AL3013" s="77"/>
      <c r="AM3013" s="77"/>
      <c r="AN3013" s="77"/>
      <c r="AO3013" s="77"/>
      <c r="AP3013" s="77"/>
      <c r="AQ3013" s="77"/>
      <c r="AR3013" s="77"/>
      <c r="AS3013" s="77"/>
      <c r="AT3013" s="77"/>
      <c r="AU3013" s="77"/>
      <c r="AV3013" s="80" t="str">
        <f>HYPERLINK("https://pbs.twimg.com/profile_images/1588668531910082561/XEi-lXiu_normal.jpg")</f>
        <v>https://pbs.twimg.com/profile_images/1588668531910082561/XEi-lXiu_normal.jpg</v>
      </c>
      <c r="AW3013" s="82" t="s">
        <v>16097</v>
      </c>
      <c r="AX3013" s="82" t="s">
        <v>16097</v>
      </c>
      <c r="AY3013" s="77"/>
      <c r="AZ3013" s="82" t="s">
        <v>17385</v>
      </c>
      <c r="BA3013" s="82" t="s">
        <v>17385</v>
      </c>
      <c r="BB3013" s="82" t="s">
        <v>17385</v>
      </c>
      <c r="BC3013" s="82" t="s">
        <v>16097</v>
      </c>
      <c r="BD3013" s="82" t="s">
        <v>17667</v>
      </c>
      <c r="BE3013" s="77"/>
      <c r="BF3013" s="77"/>
      <c r="BG3013" s="77"/>
      <c r="BH3013" s="77"/>
      <c r="BI3013" s="77"/>
    </row>
    <row r="3014" spans="1:61" x14ac:dyDescent="0.25">
      <c r="A3014" s="62" t="s">
        <v>646</v>
      </c>
      <c r="B3014" s="62" t="s">
        <v>646</v>
      </c>
      <c r="C3014" s="63"/>
      <c r="D3014" s="64"/>
      <c r="E3014" s="65"/>
      <c r="F3014" s="66"/>
      <c r="G3014" s="63"/>
      <c r="H3014" s="67"/>
      <c r="I3014" s="68"/>
      <c r="J3014" s="68"/>
      <c r="K3014" s="32"/>
      <c r="L3014" s="75">
        <v>3014</v>
      </c>
      <c r="M3014" s="75"/>
      <c r="N3014" s="70"/>
      <c r="O3014" s="77" t="s">
        <v>179</v>
      </c>
      <c r="P3014" s="79">
        <v>45059.133506944447</v>
      </c>
      <c r="Q3014" s="77" t="s">
        <v>3791</v>
      </c>
      <c r="R3014" s="77">
        <v>0</v>
      </c>
      <c r="S3014" s="77">
        <v>0</v>
      </c>
      <c r="T3014" s="77">
        <v>0</v>
      </c>
      <c r="U3014" s="77">
        <v>0</v>
      </c>
      <c r="V3014" s="77">
        <v>91</v>
      </c>
      <c r="W3014" s="82" t="s">
        <v>6382</v>
      </c>
      <c r="X3014" s="80" t="str">
        <f>HYPERLINK("https://tinyurl.com/2jo7qn69")</f>
        <v>https://tinyurl.com/2jo7qn69</v>
      </c>
      <c r="Y3014" s="77" t="s">
        <v>7068</v>
      </c>
      <c r="Z3014" s="77"/>
      <c r="AA3014" s="77"/>
      <c r="AB3014" s="77"/>
      <c r="AC3014" s="82" t="s">
        <v>8275</v>
      </c>
      <c r="AD3014" s="77" t="s">
        <v>8278</v>
      </c>
      <c r="AE3014" s="80" t="str">
        <f>HYPERLINK("https://twitter.com/pauta_economica/status/1657222193556647937")</f>
        <v>https://twitter.com/pauta_economica/status/1657222193556647937</v>
      </c>
      <c r="AF3014" s="79">
        <v>45059.133506944447</v>
      </c>
      <c r="AG3014" s="85">
        <v>45059</v>
      </c>
      <c r="AH3014" s="82" t="s">
        <v>11044</v>
      </c>
      <c r="AI3014" s="77" t="b">
        <v>0</v>
      </c>
      <c r="AJ3014" s="77"/>
      <c r="AK3014" s="77"/>
      <c r="AL3014" s="77"/>
      <c r="AM3014" s="77"/>
      <c r="AN3014" s="77"/>
      <c r="AO3014" s="77"/>
      <c r="AP3014" s="77"/>
      <c r="AQ3014" s="77"/>
      <c r="AR3014" s="77"/>
      <c r="AS3014" s="77"/>
      <c r="AT3014" s="77"/>
      <c r="AU3014" s="77"/>
      <c r="AV3014" s="80" t="str">
        <f>HYPERLINK("https://pbs.twimg.com/profile_images/1588668531910082561/XEi-lXiu_normal.jpg")</f>
        <v>https://pbs.twimg.com/profile_images/1588668531910082561/XEi-lXiu_normal.jpg</v>
      </c>
      <c r="AW3014" s="82" t="s">
        <v>16098</v>
      </c>
      <c r="AX3014" s="82" t="s">
        <v>16098</v>
      </c>
      <c r="AY3014" s="77"/>
      <c r="AZ3014" s="82" t="s">
        <v>17385</v>
      </c>
      <c r="BA3014" s="82" t="s">
        <v>17385</v>
      </c>
      <c r="BB3014" s="82" t="s">
        <v>17385</v>
      </c>
      <c r="BC3014" s="82" t="s">
        <v>16098</v>
      </c>
      <c r="BD3014" s="82" t="s">
        <v>17667</v>
      </c>
      <c r="BE3014" s="77"/>
      <c r="BF3014" s="77"/>
      <c r="BG3014" s="77"/>
      <c r="BH3014" s="77"/>
      <c r="BI3014" s="77"/>
    </row>
    <row r="3015" spans="1:61" x14ac:dyDescent="0.25">
      <c r="A3015" s="62" t="s">
        <v>646</v>
      </c>
      <c r="B3015" s="62" t="s">
        <v>646</v>
      </c>
      <c r="C3015" s="63"/>
      <c r="D3015" s="64"/>
      <c r="E3015" s="65"/>
      <c r="F3015" s="66"/>
      <c r="G3015" s="63"/>
      <c r="H3015" s="67"/>
      <c r="I3015" s="68"/>
      <c r="J3015" s="68"/>
      <c r="K3015" s="32"/>
      <c r="L3015" s="75">
        <v>3015</v>
      </c>
      <c r="M3015" s="75"/>
      <c r="N3015" s="70"/>
      <c r="O3015" s="77" t="s">
        <v>179</v>
      </c>
      <c r="P3015" s="79">
        <v>45059.105636574073</v>
      </c>
      <c r="Q3015" s="77" t="s">
        <v>3792</v>
      </c>
      <c r="R3015" s="77">
        <v>0</v>
      </c>
      <c r="S3015" s="77">
        <v>0</v>
      </c>
      <c r="T3015" s="77">
        <v>0</v>
      </c>
      <c r="U3015" s="77">
        <v>0</v>
      </c>
      <c r="V3015" s="77">
        <v>73</v>
      </c>
      <c r="W3015" s="82" t="s">
        <v>6382</v>
      </c>
      <c r="X3015" s="80" t="str">
        <f>HYPERLINK("https://tinyurl.com/2qxzpynl")</f>
        <v>https://tinyurl.com/2qxzpynl</v>
      </c>
      <c r="Y3015" s="77" t="s">
        <v>7068</v>
      </c>
      <c r="Z3015" s="77"/>
      <c r="AA3015" s="77"/>
      <c r="AB3015" s="77"/>
      <c r="AC3015" s="82" t="s">
        <v>8275</v>
      </c>
      <c r="AD3015" s="77" t="s">
        <v>8278</v>
      </c>
      <c r="AE3015" s="80" t="str">
        <f>HYPERLINK("https://twitter.com/pauta_economica/status/1657212094389911552")</f>
        <v>https://twitter.com/pauta_economica/status/1657212094389911552</v>
      </c>
      <c r="AF3015" s="79">
        <v>45059.105636574073</v>
      </c>
      <c r="AG3015" s="85">
        <v>45059</v>
      </c>
      <c r="AH3015" s="82" t="s">
        <v>11045</v>
      </c>
      <c r="AI3015" s="77" t="b">
        <v>0</v>
      </c>
      <c r="AJ3015" s="77"/>
      <c r="AK3015" s="77"/>
      <c r="AL3015" s="77"/>
      <c r="AM3015" s="77"/>
      <c r="AN3015" s="77"/>
      <c r="AO3015" s="77"/>
      <c r="AP3015" s="77"/>
      <c r="AQ3015" s="77"/>
      <c r="AR3015" s="77"/>
      <c r="AS3015" s="77"/>
      <c r="AT3015" s="77"/>
      <c r="AU3015" s="77"/>
      <c r="AV3015" s="80" t="str">
        <f>HYPERLINK("https://pbs.twimg.com/profile_images/1588668531910082561/XEi-lXiu_normal.jpg")</f>
        <v>https://pbs.twimg.com/profile_images/1588668531910082561/XEi-lXiu_normal.jpg</v>
      </c>
      <c r="AW3015" s="82" t="s">
        <v>16099</v>
      </c>
      <c r="AX3015" s="82" t="s">
        <v>16099</v>
      </c>
      <c r="AY3015" s="77"/>
      <c r="AZ3015" s="82" t="s">
        <v>17385</v>
      </c>
      <c r="BA3015" s="82" t="s">
        <v>17385</v>
      </c>
      <c r="BB3015" s="82" t="s">
        <v>17385</v>
      </c>
      <c r="BC3015" s="82" t="s">
        <v>16099</v>
      </c>
      <c r="BD3015" s="82" t="s">
        <v>17667</v>
      </c>
      <c r="BE3015" s="77"/>
      <c r="BF3015" s="77"/>
      <c r="BG3015" s="77"/>
      <c r="BH3015" s="77"/>
      <c r="BI3015" s="77"/>
    </row>
    <row r="3016" spans="1:61" x14ac:dyDescent="0.25">
      <c r="A3016" s="62" t="s">
        <v>646</v>
      </c>
      <c r="B3016" s="62" t="s">
        <v>646</v>
      </c>
      <c r="C3016" s="63"/>
      <c r="D3016" s="64"/>
      <c r="E3016" s="65"/>
      <c r="F3016" s="66"/>
      <c r="G3016" s="63"/>
      <c r="H3016" s="67"/>
      <c r="I3016" s="68"/>
      <c r="J3016" s="68"/>
      <c r="K3016" s="32"/>
      <c r="L3016" s="75">
        <v>3016</v>
      </c>
      <c r="M3016" s="75"/>
      <c r="N3016" s="70"/>
      <c r="O3016" s="77" t="s">
        <v>179</v>
      </c>
      <c r="P3016" s="79">
        <v>45059.077743055554</v>
      </c>
      <c r="Q3016" s="77" t="s">
        <v>3793</v>
      </c>
      <c r="R3016" s="77">
        <v>0</v>
      </c>
      <c r="S3016" s="77">
        <v>0</v>
      </c>
      <c r="T3016" s="77">
        <v>0</v>
      </c>
      <c r="U3016" s="77">
        <v>0</v>
      </c>
      <c r="V3016" s="77">
        <v>74</v>
      </c>
      <c r="W3016" s="82" t="s">
        <v>6382</v>
      </c>
      <c r="X3016" s="80" t="str">
        <f>HYPERLINK("https://tinyurl.com/2pw5v8gt")</f>
        <v>https://tinyurl.com/2pw5v8gt</v>
      </c>
      <c r="Y3016" s="77" t="s">
        <v>7068</v>
      </c>
      <c r="Z3016" s="77"/>
      <c r="AA3016" s="77"/>
      <c r="AB3016" s="77"/>
      <c r="AC3016" s="82" t="s">
        <v>8275</v>
      </c>
      <c r="AD3016" s="77" t="s">
        <v>8278</v>
      </c>
      <c r="AE3016" s="80" t="str">
        <f>HYPERLINK("https://twitter.com/pauta_economica/status/1657201986083627009")</f>
        <v>https://twitter.com/pauta_economica/status/1657201986083627009</v>
      </c>
      <c r="AF3016" s="79">
        <v>45059.077743055554</v>
      </c>
      <c r="AG3016" s="85">
        <v>45059</v>
      </c>
      <c r="AH3016" s="82" t="s">
        <v>11046</v>
      </c>
      <c r="AI3016" s="77" t="b">
        <v>0</v>
      </c>
      <c r="AJ3016" s="77"/>
      <c r="AK3016" s="77"/>
      <c r="AL3016" s="77"/>
      <c r="AM3016" s="77"/>
      <c r="AN3016" s="77"/>
      <c r="AO3016" s="77"/>
      <c r="AP3016" s="77"/>
      <c r="AQ3016" s="77"/>
      <c r="AR3016" s="77"/>
      <c r="AS3016" s="77"/>
      <c r="AT3016" s="77"/>
      <c r="AU3016" s="77"/>
      <c r="AV3016" s="80" t="str">
        <f>HYPERLINK("https://pbs.twimg.com/profile_images/1588668531910082561/XEi-lXiu_normal.jpg")</f>
        <v>https://pbs.twimg.com/profile_images/1588668531910082561/XEi-lXiu_normal.jpg</v>
      </c>
      <c r="AW3016" s="82" t="s">
        <v>16100</v>
      </c>
      <c r="AX3016" s="82" t="s">
        <v>16100</v>
      </c>
      <c r="AY3016" s="77"/>
      <c r="AZ3016" s="82" t="s">
        <v>17385</v>
      </c>
      <c r="BA3016" s="82" t="s">
        <v>17385</v>
      </c>
      <c r="BB3016" s="82" t="s">
        <v>17385</v>
      </c>
      <c r="BC3016" s="82" t="s">
        <v>16100</v>
      </c>
      <c r="BD3016" s="82" t="s">
        <v>17667</v>
      </c>
      <c r="BE3016" s="77"/>
      <c r="BF3016" s="77"/>
      <c r="BG3016" s="77"/>
      <c r="BH3016" s="77"/>
      <c r="BI3016" s="77"/>
    </row>
    <row r="3017" spans="1:61" x14ac:dyDescent="0.25">
      <c r="A3017" s="62" t="s">
        <v>646</v>
      </c>
      <c r="B3017" s="62" t="s">
        <v>646</v>
      </c>
      <c r="C3017" s="63"/>
      <c r="D3017" s="64"/>
      <c r="E3017" s="65"/>
      <c r="F3017" s="66"/>
      <c r="G3017" s="63"/>
      <c r="H3017" s="67"/>
      <c r="I3017" s="68"/>
      <c r="J3017" s="68"/>
      <c r="K3017" s="32"/>
      <c r="L3017" s="75">
        <v>3017</v>
      </c>
      <c r="M3017" s="75"/>
      <c r="N3017" s="70"/>
      <c r="O3017" s="77" t="s">
        <v>179</v>
      </c>
      <c r="P3017" s="79">
        <v>45058.994062500002</v>
      </c>
      <c r="Q3017" s="77" t="s">
        <v>3794</v>
      </c>
      <c r="R3017" s="77">
        <v>0</v>
      </c>
      <c r="S3017" s="77">
        <v>1</v>
      </c>
      <c r="T3017" s="77">
        <v>0</v>
      </c>
      <c r="U3017" s="77">
        <v>0</v>
      </c>
      <c r="V3017" s="77">
        <v>155</v>
      </c>
      <c r="W3017" s="82" t="s">
        <v>6382</v>
      </c>
      <c r="X3017" s="80" t="str">
        <f>HYPERLINK("https://tinyurl.com/2p25eszm")</f>
        <v>https://tinyurl.com/2p25eszm</v>
      </c>
      <c r="Y3017" s="77" t="s">
        <v>7068</v>
      </c>
      <c r="Z3017" s="77"/>
      <c r="AA3017" s="77"/>
      <c r="AB3017" s="77"/>
      <c r="AC3017" s="82" t="s">
        <v>8275</v>
      </c>
      <c r="AD3017" s="77" t="s">
        <v>8278</v>
      </c>
      <c r="AE3017" s="80" t="str">
        <f>HYPERLINK("https://twitter.com/pauta_economica/status/1657171662180057088")</f>
        <v>https://twitter.com/pauta_economica/status/1657171662180057088</v>
      </c>
      <c r="AF3017" s="79">
        <v>45058.994062500002</v>
      </c>
      <c r="AG3017" s="85">
        <v>45058</v>
      </c>
      <c r="AH3017" s="82" t="s">
        <v>11047</v>
      </c>
      <c r="AI3017" s="77" t="b">
        <v>0</v>
      </c>
      <c r="AJ3017" s="77"/>
      <c r="AK3017" s="77"/>
      <c r="AL3017" s="77"/>
      <c r="AM3017" s="77"/>
      <c r="AN3017" s="77"/>
      <c r="AO3017" s="77"/>
      <c r="AP3017" s="77"/>
      <c r="AQ3017" s="77"/>
      <c r="AR3017" s="77"/>
      <c r="AS3017" s="77"/>
      <c r="AT3017" s="77"/>
      <c r="AU3017" s="77"/>
      <c r="AV3017" s="80" t="str">
        <f>HYPERLINK("https://pbs.twimg.com/profile_images/1588668531910082561/XEi-lXiu_normal.jpg")</f>
        <v>https://pbs.twimg.com/profile_images/1588668531910082561/XEi-lXiu_normal.jpg</v>
      </c>
      <c r="AW3017" s="82" t="s">
        <v>16101</v>
      </c>
      <c r="AX3017" s="82" t="s">
        <v>16101</v>
      </c>
      <c r="AY3017" s="77"/>
      <c r="AZ3017" s="82" t="s">
        <v>17385</v>
      </c>
      <c r="BA3017" s="82" t="s">
        <v>17385</v>
      </c>
      <c r="BB3017" s="82" t="s">
        <v>17385</v>
      </c>
      <c r="BC3017" s="82" t="s">
        <v>16101</v>
      </c>
      <c r="BD3017" s="82" t="s">
        <v>17667</v>
      </c>
      <c r="BE3017" s="77"/>
      <c r="BF3017" s="77"/>
      <c r="BG3017" s="77"/>
      <c r="BH3017" s="77"/>
      <c r="BI3017" s="77"/>
    </row>
    <row r="3018" spans="1:61" x14ac:dyDescent="0.25">
      <c r="A3018" s="62" t="s">
        <v>646</v>
      </c>
      <c r="B3018" s="62" t="s">
        <v>646</v>
      </c>
      <c r="C3018" s="63"/>
      <c r="D3018" s="64"/>
      <c r="E3018" s="65"/>
      <c r="F3018" s="66"/>
      <c r="G3018" s="63"/>
      <c r="H3018" s="67"/>
      <c r="I3018" s="68"/>
      <c r="J3018" s="68"/>
      <c r="K3018" s="32"/>
      <c r="L3018" s="75">
        <v>3018</v>
      </c>
      <c r="M3018" s="75"/>
      <c r="N3018" s="70"/>
      <c r="O3018" s="77" t="s">
        <v>179</v>
      </c>
      <c r="P3018" s="79">
        <v>45058.966261574074</v>
      </c>
      <c r="Q3018" s="77" t="s">
        <v>3795</v>
      </c>
      <c r="R3018" s="77">
        <v>0</v>
      </c>
      <c r="S3018" s="77">
        <v>1</v>
      </c>
      <c r="T3018" s="77">
        <v>0</v>
      </c>
      <c r="U3018" s="77">
        <v>0</v>
      </c>
      <c r="V3018" s="77">
        <v>128</v>
      </c>
      <c r="W3018" s="82" t="s">
        <v>6382</v>
      </c>
      <c r="X3018" s="80" t="str">
        <f>HYPERLINK("https://tinyurl.com/2n6awsxf")</f>
        <v>https://tinyurl.com/2n6awsxf</v>
      </c>
      <c r="Y3018" s="77" t="s">
        <v>7068</v>
      </c>
      <c r="Z3018" s="77"/>
      <c r="AA3018" s="77"/>
      <c r="AB3018" s="77"/>
      <c r="AC3018" s="82" t="s">
        <v>8275</v>
      </c>
      <c r="AD3018" s="77" t="s">
        <v>8278</v>
      </c>
      <c r="AE3018" s="80" t="str">
        <f>HYPERLINK("https://twitter.com/pauta_economica/status/1657161585847070720")</f>
        <v>https://twitter.com/pauta_economica/status/1657161585847070720</v>
      </c>
      <c r="AF3018" s="79">
        <v>45058.966261574074</v>
      </c>
      <c r="AG3018" s="85">
        <v>45058</v>
      </c>
      <c r="AH3018" s="82" t="s">
        <v>11048</v>
      </c>
      <c r="AI3018" s="77" t="b">
        <v>0</v>
      </c>
      <c r="AJ3018" s="77"/>
      <c r="AK3018" s="77"/>
      <c r="AL3018" s="77"/>
      <c r="AM3018" s="77"/>
      <c r="AN3018" s="77"/>
      <c r="AO3018" s="77"/>
      <c r="AP3018" s="77"/>
      <c r="AQ3018" s="77"/>
      <c r="AR3018" s="77"/>
      <c r="AS3018" s="77"/>
      <c r="AT3018" s="77"/>
      <c r="AU3018" s="77"/>
      <c r="AV3018" s="80" t="str">
        <f>HYPERLINK("https://pbs.twimg.com/profile_images/1588668531910082561/XEi-lXiu_normal.jpg")</f>
        <v>https://pbs.twimg.com/profile_images/1588668531910082561/XEi-lXiu_normal.jpg</v>
      </c>
      <c r="AW3018" s="82" t="s">
        <v>16102</v>
      </c>
      <c r="AX3018" s="82" t="s">
        <v>16102</v>
      </c>
      <c r="AY3018" s="77"/>
      <c r="AZ3018" s="82" t="s">
        <v>17385</v>
      </c>
      <c r="BA3018" s="82" t="s">
        <v>17385</v>
      </c>
      <c r="BB3018" s="82" t="s">
        <v>17385</v>
      </c>
      <c r="BC3018" s="82" t="s">
        <v>16102</v>
      </c>
      <c r="BD3018" s="82" t="s">
        <v>17667</v>
      </c>
      <c r="BE3018" s="77"/>
      <c r="BF3018" s="77"/>
      <c r="BG3018" s="77"/>
      <c r="BH3018" s="77"/>
      <c r="BI3018" s="77"/>
    </row>
    <row r="3019" spans="1:61" x14ac:dyDescent="0.25">
      <c r="A3019" s="62" t="s">
        <v>646</v>
      </c>
      <c r="B3019" s="62" t="s">
        <v>646</v>
      </c>
      <c r="C3019" s="63"/>
      <c r="D3019" s="64"/>
      <c r="E3019" s="65"/>
      <c r="F3019" s="66"/>
      <c r="G3019" s="63"/>
      <c r="H3019" s="67"/>
      <c r="I3019" s="68"/>
      <c r="J3019" s="68"/>
      <c r="K3019" s="32"/>
      <c r="L3019" s="75">
        <v>3019</v>
      </c>
      <c r="M3019" s="75"/>
      <c r="N3019" s="70"/>
      <c r="O3019" s="77" t="s">
        <v>179</v>
      </c>
      <c r="P3019" s="79">
        <v>45058.910590277781</v>
      </c>
      <c r="Q3019" s="77" t="s">
        <v>3796</v>
      </c>
      <c r="R3019" s="77">
        <v>0</v>
      </c>
      <c r="S3019" s="77">
        <v>0</v>
      </c>
      <c r="T3019" s="77">
        <v>0</v>
      </c>
      <c r="U3019" s="77">
        <v>0</v>
      </c>
      <c r="V3019" s="77">
        <v>38</v>
      </c>
      <c r="W3019" s="82" t="s">
        <v>6382</v>
      </c>
      <c r="X3019" s="80" t="str">
        <f>HYPERLINK("https://tinyurl.com/2n662cbm")</f>
        <v>https://tinyurl.com/2n662cbm</v>
      </c>
      <c r="Y3019" s="77" t="s">
        <v>7068</v>
      </c>
      <c r="Z3019" s="77"/>
      <c r="AA3019" s="77"/>
      <c r="AB3019" s="77"/>
      <c r="AC3019" s="82" t="s">
        <v>8275</v>
      </c>
      <c r="AD3019" s="77" t="s">
        <v>8278</v>
      </c>
      <c r="AE3019" s="80" t="str">
        <f>HYPERLINK("https://twitter.com/pauta_economica/status/1657141411047780352")</f>
        <v>https://twitter.com/pauta_economica/status/1657141411047780352</v>
      </c>
      <c r="AF3019" s="79">
        <v>45058.910590277781</v>
      </c>
      <c r="AG3019" s="85">
        <v>45058</v>
      </c>
      <c r="AH3019" s="82" t="s">
        <v>11049</v>
      </c>
      <c r="AI3019" s="77" t="b">
        <v>0</v>
      </c>
      <c r="AJ3019" s="77"/>
      <c r="AK3019" s="77"/>
      <c r="AL3019" s="77"/>
      <c r="AM3019" s="77"/>
      <c r="AN3019" s="77"/>
      <c r="AO3019" s="77"/>
      <c r="AP3019" s="77"/>
      <c r="AQ3019" s="77"/>
      <c r="AR3019" s="77"/>
      <c r="AS3019" s="77"/>
      <c r="AT3019" s="77"/>
      <c r="AU3019" s="77"/>
      <c r="AV3019" s="80" t="str">
        <f>HYPERLINK("https://pbs.twimg.com/profile_images/1588668531910082561/XEi-lXiu_normal.jpg")</f>
        <v>https://pbs.twimg.com/profile_images/1588668531910082561/XEi-lXiu_normal.jpg</v>
      </c>
      <c r="AW3019" s="82" t="s">
        <v>16103</v>
      </c>
      <c r="AX3019" s="82" t="s">
        <v>16103</v>
      </c>
      <c r="AY3019" s="77"/>
      <c r="AZ3019" s="82" t="s">
        <v>17385</v>
      </c>
      <c r="BA3019" s="82" t="s">
        <v>17385</v>
      </c>
      <c r="BB3019" s="82" t="s">
        <v>17385</v>
      </c>
      <c r="BC3019" s="82" t="s">
        <v>16103</v>
      </c>
      <c r="BD3019" s="82" t="s">
        <v>17667</v>
      </c>
      <c r="BE3019" s="77"/>
      <c r="BF3019" s="77"/>
      <c r="BG3019" s="77"/>
      <c r="BH3019" s="77"/>
      <c r="BI3019" s="77"/>
    </row>
    <row r="3020" spans="1:61" x14ac:dyDescent="0.25">
      <c r="A3020" s="62" t="s">
        <v>646</v>
      </c>
      <c r="B3020" s="62" t="s">
        <v>646</v>
      </c>
      <c r="C3020" s="63"/>
      <c r="D3020" s="64"/>
      <c r="E3020" s="65"/>
      <c r="F3020" s="66"/>
      <c r="G3020" s="63"/>
      <c r="H3020" s="67"/>
      <c r="I3020" s="68"/>
      <c r="J3020" s="68"/>
      <c r="K3020" s="32"/>
      <c r="L3020" s="75">
        <v>3020</v>
      </c>
      <c r="M3020" s="75"/>
      <c r="N3020" s="70"/>
      <c r="O3020" s="77" t="s">
        <v>179</v>
      </c>
      <c r="P3020" s="79">
        <v>45058.854803240742</v>
      </c>
      <c r="Q3020" s="77" t="s">
        <v>3797</v>
      </c>
      <c r="R3020" s="77">
        <v>0</v>
      </c>
      <c r="S3020" s="77">
        <v>1</v>
      </c>
      <c r="T3020" s="77">
        <v>0</v>
      </c>
      <c r="U3020" s="77">
        <v>0</v>
      </c>
      <c r="V3020" s="77">
        <v>113</v>
      </c>
      <c r="W3020" s="82" t="s">
        <v>6382</v>
      </c>
      <c r="X3020" s="80" t="str">
        <f>HYPERLINK("https://tinyurl.com/2drvtwug")</f>
        <v>https://tinyurl.com/2drvtwug</v>
      </c>
      <c r="Y3020" s="77" t="s">
        <v>7068</v>
      </c>
      <c r="Z3020" s="77"/>
      <c r="AA3020" s="77"/>
      <c r="AB3020" s="77"/>
      <c r="AC3020" s="82" t="s">
        <v>8275</v>
      </c>
      <c r="AD3020" s="77" t="s">
        <v>8278</v>
      </c>
      <c r="AE3020" s="80" t="str">
        <f>HYPERLINK("https://twitter.com/pauta_economica/status/1657121196398333956")</f>
        <v>https://twitter.com/pauta_economica/status/1657121196398333956</v>
      </c>
      <c r="AF3020" s="79">
        <v>45058.854803240742</v>
      </c>
      <c r="AG3020" s="85">
        <v>45058</v>
      </c>
      <c r="AH3020" s="82" t="s">
        <v>11050</v>
      </c>
      <c r="AI3020" s="77" t="b">
        <v>0</v>
      </c>
      <c r="AJ3020" s="77"/>
      <c r="AK3020" s="77"/>
      <c r="AL3020" s="77"/>
      <c r="AM3020" s="77"/>
      <c r="AN3020" s="77"/>
      <c r="AO3020" s="77"/>
      <c r="AP3020" s="77"/>
      <c r="AQ3020" s="77"/>
      <c r="AR3020" s="77"/>
      <c r="AS3020" s="77"/>
      <c r="AT3020" s="77"/>
      <c r="AU3020" s="77"/>
      <c r="AV3020" s="80" t="str">
        <f>HYPERLINK("https://pbs.twimg.com/profile_images/1588668531910082561/XEi-lXiu_normal.jpg")</f>
        <v>https://pbs.twimg.com/profile_images/1588668531910082561/XEi-lXiu_normal.jpg</v>
      </c>
      <c r="AW3020" s="82" t="s">
        <v>16104</v>
      </c>
      <c r="AX3020" s="82" t="s">
        <v>16104</v>
      </c>
      <c r="AY3020" s="77"/>
      <c r="AZ3020" s="82" t="s">
        <v>17385</v>
      </c>
      <c r="BA3020" s="82" t="s">
        <v>17385</v>
      </c>
      <c r="BB3020" s="82" t="s">
        <v>17385</v>
      </c>
      <c r="BC3020" s="82" t="s">
        <v>16104</v>
      </c>
      <c r="BD3020" s="82" t="s">
        <v>17667</v>
      </c>
      <c r="BE3020" s="77"/>
      <c r="BF3020" s="77"/>
      <c r="BG3020" s="77"/>
      <c r="BH3020" s="77"/>
      <c r="BI3020" s="77"/>
    </row>
    <row r="3021" spans="1:61" x14ac:dyDescent="0.25">
      <c r="A3021" s="62" t="s">
        <v>646</v>
      </c>
      <c r="B3021" s="62" t="s">
        <v>646</v>
      </c>
      <c r="C3021" s="63"/>
      <c r="D3021" s="64"/>
      <c r="E3021" s="65"/>
      <c r="F3021" s="66"/>
      <c r="G3021" s="63"/>
      <c r="H3021" s="67"/>
      <c r="I3021" s="68"/>
      <c r="J3021" s="68"/>
      <c r="K3021" s="32"/>
      <c r="L3021" s="75">
        <v>3021</v>
      </c>
      <c r="M3021" s="75"/>
      <c r="N3021" s="70"/>
      <c r="O3021" s="77" t="s">
        <v>179</v>
      </c>
      <c r="P3021" s="79">
        <v>45058.745740740742</v>
      </c>
      <c r="Q3021" s="77" t="s">
        <v>3798</v>
      </c>
      <c r="R3021" s="77">
        <v>0</v>
      </c>
      <c r="S3021" s="77">
        <v>0</v>
      </c>
      <c r="T3021" s="77">
        <v>0</v>
      </c>
      <c r="U3021" s="77">
        <v>0</v>
      </c>
      <c r="V3021" s="77">
        <v>20</v>
      </c>
      <c r="W3021" s="82" t="s">
        <v>6382</v>
      </c>
      <c r="X3021" s="80" t="str">
        <f>HYPERLINK("https://tinyurl.com/2fvz62ll")</f>
        <v>https://tinyurl.com/2fvz62ll</v>
      </c>
      <c r="Y3021" s="77" t="s">
        <v>7068</v>
      </c>
      <c r="Z3021" s="77"/>
      <c r="AA3021" s="77"/>
      <c r="AB3021" s="77"/>
      <c r="AC3021" s="82" t="s">
        <v>8275</v>
      </c>
      <c r="AD3021" s="77" t="s">
        <v>8278</v>
      </c>
      <c r="AE3021" s="80" t="str">
        <f>HYPERLINK("https://twitter.com/pauta_economica/status/1657081671663902720")</f>
        <v>https://twitter.com/pauta_economica/status/1657081671663902720</v>
      </c>
      <c r="AF3021" s="79">
        <v>45058.745740740742</v>
      </c>
      <c r="AG3021" s="85">
        <v>45058</v>
      </c>
      <c r="AH3021" s="82" t="s">
        <v>11051</v>
      </c>
      <c r="AI3021" s="77" t="b">
        <v>0</v>
      </c>
      <c r="AJ3021" s="77"/>
      <c r="AK3021" s="77"/>
      <c r="AL3021" s="77"/>
      <c r="AM3021" s="77"/>
      <c r="AN3021" s="77"/>
      <c r="AO3021" s="77"/>
      <c r="AP3021" s="77"/>
      <c r="AQ3021" s="77"/>
      <c r="AR3021" s="77"/>
      <c r="AS3021" s="77"/>
      <c r="AT3021" s="77"/>
      <c r="AU3021" s="77"/>
      <c r="AV3021" s="80" t="str">
        <f>HYPERLINK("https://pbs.twimg.com/profile_images/1588668531910082561/XEi-lXiu_normal.jpg")</f>
        <v>https://pbs.twimg.com/profile_images/1588668531910082561/XEi-lXiu_normal.jpg</v>
      </c>
      <c r="AW3021" s="82" t="s">
        <v>16105</v>
      </c>
      <c r="AX3021" s="82" t="s">
        <v>16105</v>
      </c>
      <c r="AY3021" s="77"/>
      <c r="AZ3021" s="82" t="s">
        <v>17385</v>
      </c>
      <c r="BA3021" s="82" t="s">
        <v>17385</v>
      </c>
      <c r="BB3021" s="82" t="s">
        <v>17385</v>
      </c>
      <c r="BC3021" s="82" t="s">
        <v>16105</v>
      </c>
      <c r="BD3021" s="82" t="s">
        <v>17667</v>
      </c>
      <c r="BE3021" s="77"/>
      <c r="BF3021" s="77"/>
      <c r="BG3021" s="77"/>
      <c r="BH3021" s="77"/>
      <c r="BI3021" s="77"/>
    </row>
    <row r="3022" spans="1:61" x14ac:dyDescent="0.25">
      <c r="A3022" s="62" t="s">
        <v>646</v>
      </c>
      <c r="B3022" s="62" t="s">
        <v>646</v>
      </c>
      <c r="C3022" s="63"/>
      <c r="D3022" s="64"/>
      <c r="E3022" s="65"/>
      <c r="F3022" s="66"/>
      <c r="G3022" s="63"/>
      <c r="H3022" s="67"/>
      <c r="I3022" s="68"/>
      <c r="J3022" s="68"/>
      <c r="K3022" s="32"/>
      <c r="L3022" s="75">
        <v>3022</v>
      </c>
      <c r="M3022" s="75"/>
      <c r="N3022" s="70"/>
      <c r="O3022" s="77" t="s">
        <v>179</v>
      </c>
      <c r="P3022" s="79">
        <v>45058.577499999999</v>
      </c>
      <c r="Q3022" s="77" t="s">
        <v>3799</v>
      </c>
      <c r="R3022" s="77">
        <v>0</v>
      </c>
      <c r="S3022" s="77">
        <v>0</v>
      </c>
      <c r="T3022" s="77">
        <v>0</v>
      </c>
      <c r="U3022" s="77">
        <v>0</v>
      </c>
      <c r="V3022" s="77">
        <v>20</v>
      </c>
      <c r="W3022" s="82" t="s">
        <v>6382</v>
      </c>
      <c r="X3022" s="80" t="str">
        <f>HYPERLINK("https://tinyurl.com/2lxd4z7j")</f>
        <v>https://tinyurl.com/2lxd4z7j</v>
      </c>
      <c r="Y3022" s="77" t="s">
        <v>7068</v>
      </c>
      <c r="Z3022" s="77"/>
      <c r="AA3022" s="77"/>
      <c r="AB3022" s="77"/>
      <c r="AC3022" s="82" t="s">
        <v>8275</v>
      </c>
      <c r="AD3022" s="77" t="s">
        <v>8278</v>
      </c>
      <c r="AE3022" s="80" t="str">
        <f>HYPERLINK("https://twitter.com/pauta_economica/status/1657020703315488768")</f>
        <v>https://twitter.com/pauta_economica/status/1657020703315488768</v>
      </c>
      <c r="AF3022" s="79">
        <v>45058.577499999999</v>
      </c>
      <c r="AG3022" s="85">
        <v>45058</v>
      </c>
      <c r="AH3022" s="82" t="s">
        <v>11052</v>
      </c>
      <c r="AI3022" s="77" t="b">
        <v>0</v>
      </c>
      <c r="AJ3022" s="77"/>
      <c r="AK3022" s="77"/>
      <c r="AL3022" s="77"/>
      <c r="AM3022" s="77"/>
      <c r="AN3022" s="77"/>
      <c r="AO3022" s="77"/>
      <c r="AP3022" s="77"/>
      <c r="AQ3022" s="77"/>
      <c r="AR3022" s="77"/>
      <c r="AS3022" s="77"/>
      <c r="AT3022" s="77"/>
      <c r="AU3022" s="77"/>
      <c r="AV3022" s="80" t="str">
        <f>HYPERLINK("https://pbs.twimg.com/profile_images/1588668531910082561/XEi-lXiu_normal.jpg")</f>
        <v>https://pbs.twimg.com/profile_images/1588668531910082561/XEi-lXiu_normal.jpg</v>
      </c>
      <c r="AW3022" s="82" t="s">
        <v>16106</v>
      </c>
      <c r="AX3022" s="82" t="s">
        <v>16106</v>
      </c>
      <c r="AY3022" s="77"/>
      <c r="AZ3022" s="82" t="s">
        <v>17385</v>
      </c>
      <c r="BA3022" s="82" t="s">
        <v>17385</v>
      </c>
      <c r="BB3022" s="82" t="s">
        <v>17385</v>
      </c>
      <c r="BC3022" s="82" t="s">
        <v>16106</v>
      </c>
      <c r="BD3022" s="82" t="s">
        <v>17667</v>
      </c>
      <c r="BE3022" s="77"/>
      <c r="BF3022" s="77"/>
      <c r="BG3022" s="77"/>
      <c r="BH3022" s="77"/>
      <c r="BI3022" s="77"/>
    </row>
    <row r="3023" spans="1:61" x14ac:dyDescent="0.25">
      <c r="A3023" s="62" t="s">
        <v>646</v>
      </c>
      <c r="B3023" s="62" t="s">
        <v>646</v>
      </c>
      <c r="C3023" s="63"/>
      <c r="D3023" s="64"/>
      <c r="E3023" s="65"/>
      <c r="F3023" s="66"/>
      <c r="G3023" s="63"/>
      <c r="H3023" s="67"/>
      <c r="I3023" s="68"/>
      <c r="J3023" s="68"/>
      <c r="K3023" s="32"/>
      <c r="L3023" s="75">
        <v>3023</v>
      </c>
      <c r="M3023" s="75"/>
      <c r="N3023" s="70"/>
      <c r="O3023" s="77" t="s">
        <v>179</v>
      </c>
      <c r="P3023" s="79">
        <v>45058.57576388889</v>
      </c>
      <c r="Q3023" s="77" t="s">
        <v>3800</v>
      </c>
      <c r="R3023" s="77">
        <v>0</v>
      </c>
      <c r="S3023" s="77">
        <v>1</v>
      </c>
      <c r="T3023" s="77">
        <v>0</v>
      </c>
      <c r="U3023" s="77">
        <v>0</v>
      </c>
      <c r="V3023" s="77">
        <v>86</v>
      </c>
      <c r="W3023" s="82" t="s">
        <v>6382</v>
      </c>
      <c r="X3023" s="80" t="str">
        <f>HYPERLINK("https://tinyurl.com/2z688kuo")</f>
        <v>https://tinyurl.com/2z688kuo</v>
      </c>
      <c r="Y3023" s="77" t="s">
        <v>7068</v>
      </c>
      <c r="Z3023" s="77"/>
      <c r="AA3023" s="77"/>
      <c r="AB3023" s="77"/>
      <c r="AC3023" s="82" t="s">
        <v>8275</v>
      </c>
      <c r="AD3023" s="77" t="s">
        <v>8278</v>
      </c>
      <c r="AE3023" s="80" t="str">
        <f>HYPERLINK("https://twitter.com/pauta_economica/status/1657020074782334978")</f>
        <v>https://twitter.com/pauta_economica/status/1657020074782334978</v>
      </c>
      <c r="AF3023" s="79">
        <v>45058.57576388889</v>
      </c>
      <c r="AG3023" s="85">
        <v>45058</v>
      </c>
      <c r="AH3023" s="82" t="s">
        <v>11053</v>
      </c>
      <c r="AI3023" s="77" t="b">
        <v>0</v>
      </c>
      <c r="AJ3023" s="77"/>
      <c r="AK3023" s="77"/>
      <c r="AL3023" s="77"/>
      <c r="AM3023" s="77"/>
      <c r="AN3023" s="77"/>
      <c r="AO3023" s="77"/>
      <c r="AP3023" s="77"/>
      <c r="AQ3023" s="77"/>
      <c r="AR3023" s="77"/>
      <c r="AS3023" s="77"/>
      <c r="AT3023" s="77"/>
      <c r="AU3023" s="77"/>
      <c r="AV3023" s="80" t="str">
        <f>HYPERLINK("https://pbs.twimg.com/profile_images/1588668531910082561/XEi-lXiu_normal.jpg")</f>
        <v>https://pbs.twimg.com/profile_images/1588668531910082561/XEi-lXiu_normal.jpg</v>
      </c>
      <c r="AW3023" s="82" t="s">
        <v>16107</v>
      </c>
      <c r="AX3023" s="82" t="s">
        <v>16107</v>
      </c>
      <c r="AY3023" s="77"/>
      <c r="AZ3023" s="82" t="s">
        <v>17385</v>
      </c>
      <c r="BA3023" s="82" t="s">
        <v>17385</v>
      </c>
      <c r="BB3023" s="82" t="s">
        <v>17385</v>
      </c>
      <c r="BC3023" s="82" t="s">
        <v>16107</v>
      </c>
      <c r="BD3023" s="82" t="s">
        <v>17667</v>
      </c>
      <c r="BE3023" s="77"/>
      <c r="BF3023" s="77"/>
      <c r="BG3023" s="77"/>
      <c r="BH3023" s="77"/>
      <c r="BI3023" s="77"/>
    </row>
    <row r="3024" spans="1:61" x14ac:dyDescent="0.25">
      <c r="A3024" s="62" t="s">
        <v>646</v>
      </c>
      <c r="B3024" s="62" t="s">
        <v>646</v>
      </c>
      <c r="C3024" s="63"/>
      <c r="D3024" s="64"/>
      <c r="E3024" s="65"/>
      <c r="F3024" s="66"/>
      <c r="G3024" s="63"/>
      <c r="H3024" s="67"/>
      <c r="I3024" s="68"/>
      <c r="J3024" s="68"/>
      <c r="K3024" s="32"/>
      <c r="L3024" s="75">
        <v>3024</v>
      </c>
      <c r="M3024" s="75"/>
      <c r="N3024" s="70"/>
      <c r="O3024" s="77" t="s">
        <v>179</v>
      </c>
      <c r="P3024" s="79">
        <v>45058.570543981485</v>
      </c>
      <c r="Q3024" s="77" t="s">
        <v>3801</v>
      </c>
      <c r="R3024" s="77">
        <v>0</v>
      </c>
      <c r="S3024" s="77">
        <v>0</v>
      </c>
      <c r="T3024" s="77">
        <v>0</v>
      </c>
      <c r="U3024" s="77">
        <v>0</v>
      </c>
      <c r="V3024" s="77">
        <v>17</v>
      </c>
      <c r="W3024" s="82" t="s">
        <v>6382</v>
      </c>
      <c r="X3024" s="80" t="str">
        <f>HYPERLINK("https://tinyurl.com/2h343q7m")</f>
        <v>https://tinyurl.com/2h343q7m</v>
      </c>
      <c r="Y3024" s="77" t="s">
        <v>7068</v>
      </c>
      <c r="Z3024" s="77"/>
      <c r="AA3024" s="77"/>
      <c r="AB3024" s="77"/>
      <c r="AC3024" s="82" t="s">
        <v>8275</v>
      </c>
      <c r="AD3024" s="77" t="s">
        <v>8278</v>
      </c>
      <c r="AE3024" s="80" t="str">
        <f>HYPERLINK("https://twitter.com/pauta_economica/status/1657018184904462338")</f>
        <v>https://twitter.com/pauta_economica/status/1657018184904462338</v>
      </c>
      <c r="AF3024" s="79">
        <v>45058.570543981485</v>
      </c>
      <c r="AG3024" s="85">
        <v>45058</v>
      </c>
      <c r="AH3024" s="82" t="s">
        <v>11054</v>
      </c>
      <c r="AI3024" s="77" t="b">
        <v>0</v>
      </c>
      <c r="AJ3024" s="77"/>
      <c r="AK3024" s="77"/>
      <c r="AL3024" s="77"/>
      <c r="AM3024" s="77"/>
      <c r="AN3024" s="77"/>
      <c r="AO3024" s="77"/>
      <c r="AP3024" s="77"/>
      <c r="AQ3024" s="77"/>
      <c r="AR3024" s="77"/>
      <c r="AS3024" s="77"/>
      <c r="AT3024" s="77"/>
      <c r="AU3024" s="77"/>
      <c r="AV3024" s="80" t="str">
        <f>HYPERLINK("https://pbs.twimg.com/profile_images/1588668531910082561/XEi-lXiu_normal.jpg")</f>
        <v>https://pbs.twimg.com/profile_images/1588668531910082561/XEi-lXiu_normal.jpg</v>
      </c>
      <c r="AW3024" s="82" t="s">
        <v>16108</v>
      </c>
      <c r="AX3024" s="82" t="s">
        <v>16108</v>
      </c>
      <c r="AY3024" s="77"/>
      <c r="AZ3024" s="82" t="s">
        <v>17385</v>
      </c>
      <c r="BA3024" s="82" t="s">
        <v>17385</v>
      </c>
      <c r="BB3024" s="82" t="s">
        <v>17385</v>
      </c>
      <c r="BC3024" s="82" t="s">
        <v>16108</v>
      </c>
      <c r="BD3024" s="82" t="s">
        <v>17667</v>
      </c>
      <c r="BE3024" s="77"/>
      <c r="BF3024" s="77"/>
      <c r="BG3024" s="77"/>
      <c r="BH3024" s="77"/>
      <c r="BI3024" s="77"/>
    </row>
    <row r="3025" spans="1:61" x14ac:dyDescent="0.25">
      <c r="A3025" s="62" t="s">
        <v>646</v>
      </c>
      <c r="B3025" s="62" t="s">
        <v>646</v>
      </c>
      <c r="C3025" s="63"/>
      <c r="D3025" s="64"/>
      <c r="E3025" s="65"/>
      <c r="F3025" s="66"/>
      <c r="G3025" s="63"/>
      <c r="H3025" s="67"/>
      <c r="I3025" s="68"/>
      <c r="J3025" s="68"/>
      <c r="K3025" s="32"/>
      <c r="L3025" s="75">
        <v>3025</v>
      </c>
      <c r="M3025" s="75"/>
      <c r="N3025" s="70"/>
      <c r="O3025" s="77" t="s">
        <v>179</v>
      </c>
      <c r="P3025" s="79">
        <v>45058.563587962963</v>
      </c>
      <c r="Q3025" s="77" t="s">
        <v>3802</v>
      </c>
      <c r="R3025" s="77">
        <v>0</v>
      </c>
      <c r="S3025" s="77">
        <v>0</v>
      </c>
      <c r="T3025" s="77">
        <v>0</v>
      </c>
      <c r="U3025" s="77">
        <v>0</v>
      </c>
      <c r="V3025" s="77">
        <v>14</v>
      </c>
      <c r="W3025" s="82" t="s">
        <v>6382</v>
      </c>
      <c r="X3025" s="80" t="str">
        <f>HYPERLINK("https://tinyurl.com/2r2mv8ny")</f>
        <v>https://tinyurl.com/2r2mv8ny</v>
      </c>
      <c r="Y3025" s="77" t="s">
        <v>7068</v>
      </c>
      <c r="Z3025" s="77"/>
      <c r="AA3025" s="77"/>
      <c r="AB3025" s="77"/>
      <c r="AC3025" s="82" t="s">
        <v>8275</v>
      </c>
      <c r="AD3025" s="77" t="s">
        <v>8278</v>
      </c>
      <c r="AE3025" s="80" t="str">
        <f>HYPERLINK("https://twitter.com/pauta_economica/status/1657015662550609922")</f>
        <v>https://twitter.com/pauta_economica/status/1657015662550609922</v>
      </c>
      <c r="AF3025" s="79">
        <v>45058.563587962963</v>
      </c>
      <c r="AG3025" s="85">
        <v>45058</v>
      </c>
      <c r="AH3025" s="82" t="s">
        <v>11055</v>
      </c>
      <c r="AI3025" s="77" t="b">
        <v>0</v>
      </c>
      <c r="AJ3025" s="77"/>
      <c r="AK3025" s="77"/>
      <c r="AL3025" s="77"/>
      <c r="AM3025" s="77"/>
      <c r="AN3025" s="77"/>
      <c r="AO3025" s="77"/>
      <c r="AP3025" s="77"/>
      <c r="AQ3025" s="77"/>
      <c r="AR3025" s="77"/>
      <c r="AS3025" s="77"/>
      <c r="AT3025" s="77"/>
      <c r="AU3025" s="77"/>
      <c r="AV3025" s="80" t="str">
        <f>HYPERLINK("https://pbs.twimg.com/profile_images/1588668531910082561/XEi-lXiu_normal.jpg")</f>
        <v>https://pbs.twimg.com/profile_images/1588668531910082561/XEi-lXiu_normal.jpg</v>
      </c>
      <c r="AW3025" s="82" t="s">
        <v>16109</v>
      </c>
      <c r="AX3025" s="82" t="s">
        <v>16109</v>
      </c>
      <c r="AY3025" s="77"/>
      <c r="AZ3025" s="82" t="s">
        <v>17385</v>
      </c>
      <c r="BA3025" s="82" t="s">
        <v>17385</v>
      </c>
      <c r="BB3025" s="82" t="s">
        <v>17385</v>
      </c>
      <c r="BC3025" s="82" t="s">
        <v>16109</v>
      </c>
      <c r="BD3025" s="82" t="s">
        <v>17667</v>
      </c>
      <c r="BE3025" s="77"/>
      <c r="BF3025" s="77"/>
      <c r="BG3025" s="77"/>
      <c r="BH3025" s="77"/>
      <c r="BI3025" s="77"/>
    </row>
    <row r="3026" spans="1:61" x14ac:dyDescent="0.25">
      <c r="A3026" s="62" t="s">
        <v>646</v>
      </c>
      <c r="B3026" s="62" t="s">
        <v>646</v>
      </c>
      <c r="C3026" s="63"/>
      <c r="D3026" s="64"/>
      <c r="E3026" s="65"/>
      <c r="F3026" s="66"/>
      <c r="G3026" s="63"/>
      <c r="H3026" s="67"/>
      <c r="I3026" s="68"/>
      <c r="J3026" s="68"/>
      <c r="K3026" s="32"/>
      <c r="L3026" s="75">
        <v>3026</v>
      </c>
      <c r="M3026" s="75"/>
      <c r="N3026" s="70"/>
      <c r="O3026" s="77" t="s">
        <v>179</v>
      </c>
      <c r="P3026" s="79">
        <v>45058.556655092594</v>
      </c>
      <c r="Q3026" s="77" t="s">
        <v>3803</v>
      </c>
      <c r="R3026" s="77">
        <v>0</v>
      </c>
      <c r="S3026" s="77">
        <v>0</v>
      </c>
      <c r="T3026" s="77">
        <v>0</v>
      </c>
      <c r="U3026" s="77">
        <v>0</v>
      </c>
      <c r="V3026" s="77">
        <v>12</v>
      </c>
      <c r="W3026" s="82" t="s">
        <v>6382</v>
      </c>
      <c r="X3026" s="80" t="str">
        <f>HYPERLINK("https://tinyurl.com/2ppagkku")</f>
        <v>https://tinyurl.com/2ppagkku</v>
      </c>
      <c r="Y3026" s="77" t="s">
        <v>7068</v>
      </c>
      <c r="Z3026" s="77"/>
      <c r="AA3026" s="77"/>
      <c r="AB3026" s="77"/>
      <c r="AC3026" s="82" t="s">
        <v>8275</v>
      </c>
      <c r="AD3026" s="77" t="s">
        <v>8278</v>
      </c>
      <c r="AE3026" s="80" t="str">
        <f>HYPERLINK("https://twitter.com/pauta_economica/status/1657013149369790465")</f>
        <v>https://twitter.com/pauta_economica/status/1657013149369790465</v>
      </c>
      <c r="AF3026" s="79">
        <v>45058.556655092594</v>
      </c>
      <c r="AG3026" s="85">
        <v>45058</v>
      </c>
      <c r="AH3026" s="82" t="s">
        <v>8924</v>
      </c>
      <c r="AI3026" s="77" t="b">
        <v>0</v>
      </c>
      <c r="AJ3026" s="77"/>
      <c r="AK3026" s="77"/>
      <c r="AL3026" s="77"/>
      <c r="AM3026" s="77"/>
      <c r="AN3026" s="77"/>
      <c r="AO3026" s="77"/>
      <c r="AP3026" s="77"/>
      <c r="AQ3026" s="77"/>
      <c r="AR3026" s="77"/>
      <c r="AS3026" s="77"/>
      <c r="AT3026" s="77"/>
      <c r="AU3026" s="77"/>
      <c r="AV3026" s="80" t="str">
        <f>HYPERLINK("https://pbs.twimg.com/profile_images/1588668531910082561/XEi-lXiu_normal.jpg")</f>
        <v>https://pbs.twimg.com/profile_images/1588668531910082561/XEi-lXiu_normal.jpg</v>
      </c>
      <c r="AW3026" s="82" t="s">
        <v>16110</v>
      </c>
      <c r="AX3026" s="82" t="s">
        <v>16110</v>
      </c>
      <c r="AY3026" s="77"/>
      <c r="AZ3026" s="82" t="s">
        <v>17385</v>
      </c>
      <c r="BA3026" s="82" t="s">
        <v>17385</v>
      </c>
      <c r="BB3026" s="82" t="s">
        <v>17385</v>
      </c>
      <c r="BC3026" s="82" t="s">
        <v>16110</v>
      </c>
      <c r="BD3026" s="82" t="s">
        <v>17667</v>
      </c>
      <c r="BE3026" s="77"/>
      <c r="BF3026" s="77"/>
      <c r="BG3026" s="77"/>
      <c r="BH3026" s="77"/>
      <c r="BI3026" s="77"/>
    </row>
    <row r="3027" spans="1:61" x14ac:dyDescent="0.25">
      <c r="A3027" s="62" t="s">
        <v>646</v>
      </c>
      <c r="B3027" s="62" t="s">
        <v>646</v>
      </c>
      <c r="C3027" s="63"/>
      <c r="D3027" s="64"/>
      <c r="E3027" s="65"/>
      <c r="F3027" s="66"/>
      <c r="G3027" s="63"/>
      <c r="H3027" s="67"/>
      <c r="I3027" s="68"/>
      <c r="J3027" s="68"/>
      <c r="K3027" s="32"/>
      <c r="L3027" s="75">
        <v>3027</v>
      </c>
      <c r="M3027" s="75"/>
      <c r="N3027" s="70"/>
      <c r="O3027" s="77" t="s">
        <v>179</v>
      </c>
      <c r="P3027" s="79">
        <v>45058.547939814816</v>
      </c>
      <c r="Q3027" s="77" t="s">
        <v>3804</v>
      </c>
      <c r="R3027" s="77">
        <v>0</v>
      </c>
      <c r="S3027" s="77">
        <v>0</v>
      </c>
      <c r="T3027" s="77">
        <v>0</v>
      </c>
      <c r="U3027" s="77">
        <v>0</v>
      </c>
      <c r="V3027" s="77">
        <v>24</v>
      </c>
      <c r="W3027" s="82" t="s">
        <v>6382</v>
      </c>
      <c r="X3027" s="80" t="str">
        <f>HYPERLINK("https://tinyurl.com/2zv4cj7n")</f>
        <v>https://tinyurl.com/2zv4cj7n</v>
      </c>
      <c r="Y3027" s="77" t="s">
        <v>7068</v>
      </c>
      <c r="Z3027" s="77"/>
      <c r="AA3027" s="77"/>
      <c r="AB3027" s="77"/>
      <c r="AC3027" s="82" t="s">
        <v>8275</v>
      </c>
      <c r="AD3027" s="77" t="s">
        <v>8285</v>
      </c>
      <c r="AE3027" s="80" t="str">
        <f>HYPERLINK("https://twitter.com/pauta_economica/status/1657009990366789634")</f>
        <v>https://twitter.com/pauta_economica/status/1657009990366789634</v>
      </c>
      <c r="AF3027" s="79">
        <v>45058.547939814816</v>
      </c>
      <c r="AG3027" s="85">
        <v>45058</v>
      </c>
      <c r="AH3027" s="82" t="s">
        <v>11056</v>
      </c>
      <c r="AI3027" s="77" t="b">
        <v>0</v>
      </c>
      <c r="AJ3027" s="77"/>
      <c r="AK3027" s="77"/>
      <c r="AL3027" s="77"/>
      <c r="AM3027" s="77"/>
      <c r="AN3027" s="77"/>
      <c r="AO3027" s="77"/>
      <c r="AP3027" s="77"/>
      <c r="AQ3027" s="77"/>
      <c r="AR3027" s="77"/>
      <c r="AS3027" s="77"/>
      <c r="AT3027" s="77"/>
      <c r="AU3027" s="77"/>
      <c r="AV3027" s="80" t="str">
        <f>HYPERLINK("https://pbs.twimg.com/profile_images/1588668531910082561/XEi-lXiu_normal.jpg")</f>
        <v>https://pbs.twimg.com/profile_images/1588668531910082561/XEi-lXiu_normal.jpg</v>
      </c>
      <c r="AW3027" s="82" t="s">
        <v>16111</v>
      </c>
      <c r="AX3027" s="82" t="s">
        <v>16111</v>
      </c>
      <c r="AY3027" s="77"/>
      <c r="AZ3027" s="82" t="s">
        <v>17385</v>
      </c>
      <c r="BA3027" s="82" t="s">
        <v>17385</v>
      </c>
      <c r="BB3027" s="82" t="s">
        <v>17385</v>
      </c>
      <c r="BC3027" s="82" t="s">
        <v>16111</v>
      </c>
      <c r="BD3027" s="82" t="s">
        <v>17667</v>
      </c>
      <c r="BE3027" s="77"/>
      <c r="BF3027" s="77"/>
      <c r="BG3027" s="77"/>
      <c r="BH3027" s="77"/>
      <c r="BI3027" s="77"/>
    </row>
    <row r="3028" spans="1:61" x14ac:dyDescent="0.25">
      <c r="A3028" s="62" t="s">
        <v>646</v>
      </c>
      <c r="B3028" s="62" t="s">
        <v>646</v>
      </c>
      <c r="C3028" s="63"/>
      <c r="D3028" s="64"/>
      <c r="E3028" s="65"/>
      <c r="F3028" s="66"/>
      <c r="G3028" s="63"/>
      <c r="H3028" s="67"/>
      <c r="I3028" s="68"/>
      <c r="J3028" s="68"/>
      <c r="K3028" s="32"/>
      <c r="L3028" s="75">
        <v>3028</v>
      </c>
      <c r="M3028" s="75"/>
      <c r="N3028" s="70"/>
      <c r="O3028" s="77" t="s">
        <v>179</v>
      </c>
      <c r="P3028" s="79">
        <v>45058.528738425928</v>
      </c>
      <c r="Q3028" s="77" t="s">
        <v>3805</v>
      </c>
      <c r="R3028" s="77">
        <v>0</v>
      </c>
      <c r="S3028" s="77">
        <v>1</v>
      </c>
      <c r="T3028" s="77">
        <v>0</v>
      </c>
      <c r="U3028" s="77">
        <v>0</v>
      </c>
      <c r="V3028" s="77">
        <v>70</v>
      </c>
      <c r="W3028" s="82" t="s">
        <v>6382</v>
      </c>
      <c r="X3028" s="80" t="str">
        <f>HYPERLINK("https://tinyurl.com/2q3se5pd")</f>
        <v>https://tinyurl.com/2q3se5pd</v>
      </c>
      <c r="Y3028" s="77" t="s">
        <v>7068</v>
      </c>
      <c r="Z3028" s="77"/>
      <c r="AA3028" s="77"/>
      <c r="AB3028" s="77"/>
      <c r="AC3028" s="82" t="s">
        <v>8275</v>
      </c>
      <c r="AD3028" s="77" t="s">
        <v>8278</v>
      </c>
      <c r="AE3028" s="80" t="str">
        <f>HYPERLINK("https://twitter.com/pauta_economica/status/1657003032125620230")</f>
        <v>https://twitter.com/pauta_economica/status/1657003032125620230</v>
      </c>
      <c r="AF3028" s="79">
        <v>45058.528738425928</v>
      </c>
      <c r="AG3028" s="85">
        <v>45058</v>
      </c>
      <c r="AH3028" s="82" t="s">
        <v>11057</v>
      </c>
      <c r="AI3028" s="77" t="b">
        <v>0</v>
      </c>
      <c r="AJ3028" s="77"/>
      <c r="AK3028" s="77"/>
      <c r="AL3028" s="77"/>
      <c r="AM3028" s="77"/>
      <c r="AN3028" s="77"/>
      <c r="AO3028" s="77"/>
      <c r="AP3028" s="77"/>
      <c r="AQ3028" s="77"/>
      <c r="AR3028" s="77"/>
      <c r="AS3028" s="77"/>
      <c r="AT3028" s="77"/>
      <c r="AU3028" s="77"/>
      <c r="AV3028" s="80" t="str">
        <f>HYPERLINK("https://pbs.twimg.com/profile_images/1588668531910082561/XEi-lXiu_normal.jpg")</f>
        <v>https://pbs.twimg.com/profile_images/1588668531910082561/XEi-lXiu_normal.jpg</v>
      </c>
      <c r="AW3028" s="82" t="s">
        <v>16112</v>
      </c>
      <c r="AX3028" s="82" t="s">
        <v>16112</v>
      </c>
      <c r="AY3028" s="77"/>
      <c r="AZ3028" s="82" t="s">
        <v>17385</v>
      </c>
      <c r="BA3028" s="82" t="s">
        <v>17385</v>
      </c>
      <c r="BB3028" s="82" t="s">
        <v>17385</v>
      </c>
      <c r="BC3028" s="82" t="s">
        <v>16112</v>
      </c>
      <c r="BD3028" s="82" t="s">
        <v>17667</v>
      </c>
      <c r="BE3028" s="77"/>
      <c r="BF3028" s="77"/>
      <c r="BG3028" s="77"/>
      <c r="BH3028" s="77"/>
      <c r="BI3028" s="77"/>
    </row>
    <row r="3029" spans="1:61" x14ac:dyDescent="0.25">
      <c r="A3029" s="62" t="s">
        <v>646</v>
      </c>
      <c r="B3029" s="62" t="s">
        <v>646</v>
      </c>
      <c r="C3029" s="63"/>
      <c r="D3029" s="64"/>
      <c r="E3029" s="65"/>
      <c r="F3029" s="66"/>
      <c r="G3029" s="63"/>
      <c r="H3029" s="67"/>
      <c r="I3029" s="68"/>
      <c r="J3029" s="68"/>
      <c r="K3029" s="32"/>
      <c r="L3029" s="75">
        <v>3029</v>
      </c>
      <c r="M3029" s="75"/>
      <c r="N3029" s="70"/>
      <c r="O3029" s="77" t="s">
        <v>179</v>
      </c>
      <c r="P3029" s="79">
        <v>45058.52</v>
      </c>
      <c r="Q3029" s="77" t="s">
        <v>3806</v>
      </c>
      <c r="R3029" s="77">
        <v>0</v>
      </c>
      <c r="S3029" s="77">
        <v>0</v>
      </c>
      <c r="T3029" s="77">
        <v>0</v>
      </c>
      <c r="U3029" s="77">
        <v>0</v>
      </c>
      <c r="V3029" s="77">
        <v>18</v>
      </c>
      <c r="W3029" s="82" t="s">
        <v>6382</v>
      </c>
      <c r="X3029" s="80" t="str">
        <f>HYPERLINK("https://tinyurl.com/2n5obv6e")</f>
        <v>https://tinyurl.com/2n5obv6e</v>
      </c>
      <c r="Y3029" s="77" t="s">
        <v>7068</v>
      </c>
      <c r="Z3029" s="77"/>
      <c r="AA3029" s="77"/>
      <c r="AB3029" s="77"/>
      <c r="AC3029" s="82" t="s">
        <v>8275</v>
      </c>
      <c r="AD3029" s="77" t="s">
        <v>8278</v>
      </c>
      <c r="AE3029" s="80" t="str">
        <f>HYPERLINK("https://twitter.com/pauta_economica/status/1656999867426697218")</f>
        <v>https://twitter.com/pauta_economica/status/1656999867426697218</v>
      </c>
      <c r="AF3029" s="79">
        <v>45058.52</v>
      </c>
      <c r="AG3029" s="85">
        <v>45058</v>
      </c>
      <c r="AH3029" s="82" t="s">
        <v>11058</v>
      </c>
      <c r="AI3029" s="77" t="b">
        <v>0</v>
      </c>
      <c r="AJ3029" s="77"/>
      <c r="AK3029" s="77"/>
      <c r="AL3029" s="77"/>
      <c r="AM3029" s="77"/>
      <c r="AN3029" s="77"/>
      <c r="AO3029" s="77"/>
      <c r="AP3029" s="77"/>
      <c r="AQ3029" s="77"/>
      <c r="AR3029" s="77"/>
      <c r="AS3029" s="77"/>
      <c r="AT3029" s="77"/>
      <c r="AU3029" s="77"/>
      <c r="AV3029" s="80" t="str">
        <f>HYPERLINK("https://pbs.twimg.com/profile_images/1588668531910082561/XEi-lXiu_normal.jpg")</f>
        <v>https://pbs.twimg.com/profile_images/1588668531910082561/XEi-lXiu_normal.jpg</v>
      </c>
      <c r="AW3029" s="82" t="s">
        <v>16113</v>
      </c>
      <c r="AX3029" s="82" t="s">
        <v>16113</v>
      </c>
      <c r="AY3029" s="77"/>
      <c r="AZ3029" s="82" t="s">
        <v>17385</v>
      </c>
      <c r="BA3029" s="82" t="s">
        <v>17385</v>
      </c>
      <c r="BB3029" s="82" t="s">
        <v>17385</v>
      </c>
      <c r="BC3029" s="82" t="s">
        <v>16113</v>
      </c>
      <c r="BD3029" s="82" t="s">
        <v>17667</v>
      </c>
      <c r="BE3029" s="77"/>
      <c r="BF3029" s="77"/>
      <c r="BG3029" s="77"/>
      <c r="BH3029" s="77"/>
      <c r="BI3029" s="77"/>
    </row>
    <row r="3030" spans="1:61" x14ac:dyDescent="0.25">
      <c r="A3030" s="62" t="s">
        <v>646</v>
      </c>
      <c r="B3030" s="62" t="s">
        <v>646</v>
      </c>
      <c r="C3030" s="63"/>
      <c r="D3030" s="64"/>
      <c r="E3030" s="65"/>
      <c r="F3030" s="66"/>
      <c r="G3030" s="63"/>
      <c r="H3030" s="67"/>
      <c r="I3030" s="68"/>
      <c r="J3030" s="68"/>
      <c r="K3030" s="32"/>
      <c r="L3030" s="75">
        <v>3030</v>
      </c>
      <c r="M3030" s="75"/>
      <c r="N3030" s="70"/>
      <c r="O3030" s="77" t="s">
        <v>179</v>
      </c>
      <c r="P3030" s="79">
        <v>45058.492222222223</v>
      </c>
      <c r="Q3030" s="77" t="s">
        <v>3807</v>
      </c>
      <c r="R3030" s="77">
        <v>0</v>
      </c>
      <c r="S3030" s="77">
        <v>0</v>
      </c>
      <c r="T3030" s="77">
        <v>0</v>
      </c>
      <c r="U3030" s="77">
        <v>0</v>
      </c>
      <c r="V3030" s="77">
        <v>19</v>
      </c>
      <c r="W3030" s="82" t="s">
        <v>6382</v>
      </c>
      <c r="X3030" s="80" t="str">
        <f>HYPERLINK("https://tinyurl.com/2q5qb6ua")</f>
        <v>https://tinyurl.com/2q5qb6ua</v>
      </c>
      <c r="Y3030" s="77" t="s">
        <v>7068</v>
      </c>
      <c r="Z3030" s="77"/>
      <c r="AA3030" s="77"/>
      <c r="AB3030" s="77"/>
      <c r="AC3030" s="82" t="s">
        <v>8275</v>
      </c>
      <c r="AD3030" s="77" t="s">
        <v>8278</v>
      </c>
      <c r="AE3030" s="80" t="str">
        <f>HYPERLINK("https://twitter.com/pauta_economica/status/1656989798710517766")</f>
        <v>https://twitter.com/pauta_economica/status/1656989798710517766</v>
      </c>
      <c r="AF3030" s="79">
        <v>45058.492222222223</v>
      </c>
      <c r="AG3030" s="85">
        <v>45058</v>
      </c>
      <c r="AH3030" s="82" t="s">
        <v>11059</v>
      </c>
      <c r="AI3030" s="77" t="b">
        <v>0</v>
      </c>
      <c r="AJ3030" s="77"/>
      <c r="AK3030" s="77"/>
      <c r="AL3030" s="77"/>
      <c r="AM3030" s="77"/>
      <c r="AN3030" s="77"/>
      <c r="AO3030" s="77"/>
      <c r="AP3030" s="77"/>
      <c r="AQ3030" s="77"/>
      <c r="AR3030" s="77"/>
      <c r="AS3030" s="77"/>
      <c r="AT3030" s="77"/>
      <c r="AU3030" s="77"/>
      <c r="AV3030" s="80" t="str">
        <f>HYPERLINK("https://pbs.twimg.com/profile_images/1588668531910082561/XEi-lXiu_normal.jpg")</f>
        <v>https://pbs.twimg.com/profile_images/1588668531910082561/XEi-lXiu_normal.jpg</v>
      </c>
      <c r="AW3030" s="82" t="s">
        <v>16114</v>
      </c>
      <c r="AX3030" s="82" t="s">
        <v>16114</v>
      </c>
      <c r="AY3030" s="77"/>
      <c r="AZ3030" s="82" t="s">
        <v>17385</v>
      </c>
      <c r="BA3030" s="82" t="s">
        <v>17385</v>
      </c>
      <c r="BB3030" s="82" t="s">
        <v>17385</v>
      </c>
      <c r="BC3030" s="82" t="s">
        <v>16114</v>
      </c>
      <c r="BD3030" s="82" t="s">
        <v>17667</v>
      </c>
      <c r="BE3030" s="77"/>
      <c r="BF3030" s="77"/>
      <c r="BG3030" s="77"/>
      <c r="BH3030" s="77"/>
      <c r="BI3030" s="77"/>
    </row>
    <row r="3031" spans="1:61" x14ac:dyDescent="0.25">
      <c r="A3031" s="62" t="s">
        <v>646</v>
      </c>
      <c r="B3031" s="62" t="s">
        <v>646</v>
      </c>
      <c r="C3031" s="63"/>
      <c r="D3031" s="64"/>
      <c r="E3031" s="65"/>
      <c r="F3031" s="66"/>
      <c r="G3031" s="63"/>
      <c r="H3031" s="67"/>
      <c r="I3031" s="68"/>
      <c r="J3031" s="68"/>
      <c r="K3031" s="32"/>
      <c r="L3031" s="75">
        <v>3031</v>
      </c>
      <c r="M3031" s="75"/>
      <c r="N3031" s="70"/>
      <c r="O3031" s="77" t="s">
        <v>179</v>
      </c>
      <c r="P3031" s="79">
        <v>45058.464409722219</v>
      </c>
      <c r="Q3031" s="77" t="s">
        <v>3808</v>
      </c>
      <c r="R3031" s="77">
        <v>0</v>
      </c>
      <c r="S3031" s="77">
        <v>0</v>
      </c>
      <c r="T3031" s="77">
        <v>0</v>
      </c>
      <c r="U3031" s="77">
        <v>0</v>
      </c>
      <c r="V3031" s="77">
        <v>40</v>
      </c>
      <c r="W3031" s="82" t="s">
        <v>6382</v>
      </c>
      <c r="X3031" s="80" t="str">
        <f>HYPERLINK("https://tinyurl.com/2zkcfypn")</f>
        <v>https://tinyurl.com/2zkcfypn</v>
      </c>
      <c r="Y3031" s="77" t="s">
        <v>7068</v>
      </c>
      <c r="Z3031" s="77"/>
      <c r="AA3031" s="77"/>
      <c r="AB3031" s="77"/>
      <c r="AC3031" s="82" t="s">
        <v>8275</v>
      </c>
      <c r="AD3031" s="77" t="s">
        <v>8278</v>
      </c>
      <c r="AE3031" s="80" t="str">
        <f>HYPERLINK("https://twitter.com/pauta_economica/status/1656979721886789635")</f>
        <v>https://twitter.com/pauta_economica/status/1656979721886789635</v>
      </c>
      <c r="AF3031" s="79">
        <v>45058.464409722219</v>
      </c>
      <c r="AG3031" s="85">
        <v>45058</v>
      </c>
      <c r="AH3031" s="82" t="s">
        <v>11060</v>
      </c>
      <c r="AI3031" s="77" t="b">
        <v>0</v>
      </c>
      <c r="AJ3031" s="77"/>
      <c r="AK3031" s="77"/>
      <c r="AL3031" s="77"/>
      <c r="AM3031" s="77"/>
      <c r="AN3031" s="77"/>
      <c r="AO3031" s="77"/>
      <c r="AP3031" s="77"/>
      <c r="AQ3031" s="77"/>
      <c r="AR3031" s="77"/>
      <c r="AS3031" s="77"/>
      <c r="AT3031" s="77"/>
      <c r="AU3031" s="77"/>
      <c r="AV3031" s="80" t="str">
        <f>HYPERLINK("https://pbs.twimg.com/profile_images/1588668531910082561/XEi-lXiu_normal.jpg")</f>
        <v>https://pbs.twimg.com/profile_images/1588668531910082561/XEi-lXiu_normal.jpg</v>
      </c>
      <c r="AW3031" s="82" t="s">
        <v>16115</v>
      </c>
      <c r="AX3031" s="82" t="s">
        <v>16115</v>
      </c>
      <c r="AY3031" s="77"/>
      <c r="AZ3031" s="82" t="s">
        <v>17385</v>
      </c>
      <c r="BA3031" s="82" t="s">
        <v>17385</v>
      </c>
      <c r="BB3031" s="82" t="s">
        <v>17385</v>
      </c>
      <c r="BC3031" s="82" t="s">
        <v>16115</v>
      </c>
      <c r="BD3031" s="82" t="s">
        <v>17667</v>
      </c>
      <c r="BE3031" s="77"/>
      <c r="BF3031" s="77"/>
      <c r="BG3031" s="77"/>
      <c r="BH3031" s="77"/>
      <c r="BI3031" s="77"/>
    </row>
    <row r="3032" spans="1:61" x14ac:dyDescent="0.25">
      <c r="A3032" s="62" t="s">
        <v>646</v>
      </c>
      <c r="B3032" s="62" t="s">
        <v>646</v>
      </c>
      <c r="C3032" s="63"/>
      <c r="D3032" s="64"/>
      <c r="E3032" s="65"/>
      <c r="F3032" s="66"/>
      <c r="G3032" s="63"/>
      <c r="H3032" s="67"/>
      <c r="I3032" s="68"/>
      <c r="J3032" s="68"/>
      <c r="K3032" s="32"/>
      <c r="L3032" s="75">
        <v>3032</v>
      </c>
      <c r="M3032" s="75"/>
      <c r="N3032" s="70"/>
      <c r="O3032" s="77" t="s">
        <v>179</v>
      </c>
      <c r="P3032" s="79">
        <v>45058.408819444441</v>
      </c>
      <c r="Q3032" s="77" t="s">
        <v>3809</v>
      </c>
      <c r="R3032" s="77">
        <v>0</v>
      </c>
      <c r="S3032" s="77">
        <v>1</v>
      </c>
      <c r="T3032" s="77">
        <v>0</v>
      </c>
      <c r="U3032" s="77">
        <v>0</v>
      </c>
      <c r="V3032" s="77">
        <v>28</v>
      </c>
      <c r="W3032" s="82" t="s">
        <v>6382</v>
      </c>
      <c r="X3032" s="80" t="str">
        <f>HYPERLINK("https://tinyurl.com/2ogjvgeq")</f>
        <v>https://tinyurl.com/2ogjvgeq</v>
      </c>
      <c r="Y3032" s="77" t="s">
        <v>7068</v>
      </c>
      <c r="Z3032" s="77"/>
      <c r="AA3032" s="77"/>
      <c r="AB3032" s="77"/>
      <c r="AC3032" s="82" t="s">
        <v>8275</v>
      </c>
      <c r="AD3032" s="77" t="s">
        <v>8278</v>
      </c>
      <c r="AE3032" s="80" t="str">
        <f>HYPERLINK("https://twitter.com/pauta_economica/status/1656959575101255691")</f>
        <v>https://twitter.com/pauta_economica/status/1656959575101255691</v>
      </c>
      <c r="AF3032" s="79">
        <v>45058.408819444441</v>
      </c>
      <c r="AG3032" s="85">
        <v>45058</v>
      </c>
      <c r="AH3032" s="82" t="s">
        <v>11061</v>
      </c>
      <c r="AI3032" s="77" t="b">
        <v>0</v>
      </c>
      <c r="AJ3032" s="77"/>
      <c r="AK3032" s="77"/>
      <c r="AL3032" s="77"/>
      <c r="AM3032" s="77"/>
      <c r="AN3032" s="77"/>
      <c r="AO3032" s="77"/>
      <c r="AP3032" s="77"/>
      <c r="AQ3032" s="77"/>
      <c r="AR3032" s="77"/>
      <c r="AS3032" s="77"/>
      <c r="AT3032" s="77"/>
      <c r="AU3032" s="77"/>
      <c r="AV3032" s="80" t="str">
        <f>HYPERLINK("https://pbs.twimg.com/profile_images/1588668531910082561/XEi-lXiu_normal.jpg")</f>
        <v>https://pbs.twimg.com/profile_images/1588668531910082561/XEi-lXiu_normal.jpg</v>
      </c>
      <c r="AW3032" s="82" t="s">
        <v>16116</v>
      </c>
      <c r="AX3032" s="82" t="s">
        <v>16116</v>
      </c>
      <c r="AY3032" s="77"/>
      <c r="AZ3032" s="82" t="s">
        <v>17385</v>
      </c>
      <c r="BA3032" s="82" t="s">
        <v>17385</v>
      </c>
      <c r="BB3032" s="82" t="s">
        <v>17385</v>
      </c>
      <c r="BC3032" s="82" t="s">
        <v>16116</v>
      </c>
      <c r="BD3032" s="82" t="s">
        <v>17667</v>
      </c>
      <c r="BE3032" s="77"/>
      <c r="BF3032" s="77"/>
      <c r="BG3032" s="77"/>
      <c r="BH3032" s="77"/>
      <c r="BI3032" s="77"/>
    </row>
    <row r="3033" spans="1:61" x14ac:dyDescent="0.25">
      <c r="A3033" s="62" t="s">
        <v>646</v>
      </c>
      <c r="B3033" s="62" t="s">
        <v>646</v>
      </c>
      <c r="C3033" s="63"/>
      <c r="D3033" s="64"/>
      <c r="E3033" s="65"/>
      <c r="F3033" s="66"/>
      <c r="G3033" s="63"/>
      <c r="H3033" s="67"/>
      <c r="I3033" s="68"/>
      <c r="J3033" s="68"/>
      <c r="K3033" s="32"/>
      <c r="L3033" s="75">
        <v>3033</v>
      </c>
      <c r="M3033" s="75"/>
      <c r="N3033" s="70"/>
      <c r="O3033" s="77" t="s">
        <v>179</v>
      </c>
      <c r="P3033" s="79">
        <v>45058.21298611111</v>
      </c>
      <c r="Q3033" s="77" t="s">
        <v>3810</v>
      </c>
      <c r="R3033" s="77">
        <v>0</v>
      </c>
      <c r="S3033" s="77">
        <v>0</v>
      </c>
      <c r="T3033" s="77">
        <v>0</v>
      </c>
      <c r="U3033" s="77">
        <v>0</v>
      </c>
      <c r="V3033" s="77">
        <v>86</v>
      </c>
      <c r="W3033" s="82" t="s">
        <v>6382</v>
      </c>
      <c r="X3033" s="80" t="str">
        <f>HYPERLINK("https://tinyurl.com/2eekvtmg")</f>
        <v>https://tinyurl.com/2eekvtmg</v>
      </c>
      <c r="Y3033" s="77" t="s">
        <v>7068</v>
      </c>
      <c r="Z3033" s="77"/>
      <c r="AA3033" s="77"/>
      <c r="AB3033" s="77"/>
      <c r="AC3033" s="82" t="s">
        <v>8275</v>
      </c>
      <c r="AD3033" s="77" t="s">
        <v>8278</v>
      </c>
      <c r="AE3033" s="80" t="str">
        <f>HYPERLINK("https://twitter.com/pauta_economica/status/1656888608500899842")</f>
        <v>https://twitter.com/pauta_economica/status/1656888608500899842</v>
      </c>
      <c r="AF3033" s="79">
        <v>45058.21298611111</v>
      </c>
      <c r="AG3033" s="85">
        <v>45058</v>
      </c>
      <c r="AH3033" s="82" t="s">
        <v>11062</v>
      </c>
      <c r="AI3033" s="77" t="b">
        <v>0</v>
      </c>
      <c r="AJ3033" s="77"/>
      <c r="AK3033" s="77"/>
      <c r="AL3033" s="77"/>
      <c r="AM3033" s="77"/>
      <c r="AN3033" s="77"/>
      <c r="AO3033" s="77"/>
      <c r="AP3033" s="77"/>
      <c r="AQ3033" s="77"/>
      <c r="AR3033" s="77"/>
      <c r="AS3033" s="77"/>
      <c r="AT3033" s="77"/>
      <c r="AU3033" s="77"/>
      <c r="AV3033" s="80" t="str">
        <f>HYPERLINK("https://pbs.twimg.com/profile_images/1588668531910082561/XEi-lXiu_normal.jpg")</f>
        <v>https://pbs.twimg.com/profile_images/1588668531910082561/XEi-lXiu_normal.jpg</v>
      </c>
      <c r="AW3033" s="82" t="s">
        <v>16117</v>
      </c>
      <c r="AX3033" s="82" t="s">
        <v>16117</v>
      </c>
      <c r="AY3033" s="77"/>
      <c r="AZ3033" s="82" t="s">
        <v>17385</v>
      </c>
      <c r="BA3033" s="82" t="s">
        <v>17385</v>
      </c>
      <c r="BB3033" s="82" t="s">
        <v>17385</v>
      </c>
      <c r="BC3033" s="82" t="s">
        <v>16117</v>
      </c>
      <c r="BD3033" s="82" t="s">
        <v>17667</v>
      </c>
      <c r="BE3033" s="77"/>
      <c r="BF3033" s="77"/>
      <c r="BG3033" s="77"/>
      <c r="BH3033" s="77"/>
      <c r="BI3033" s="77"/>
    </row>
    <row r="3034" spans="1:61" x14ac:dyDescent="0.25">
      <c r="A3034" s="62" t="s">
        <v>646</v>
      </c>
      <c r="B3034" s="62" t="s">
        <v>646</v>
      </c>
      <c r="C3034" s="63"/>
      <c r="D3034" s="64"/>
      <c r="E3034" s="65"/>
      <c r="F3034" s="66"/>
      <c r="G3034" s="63"/>
      <c r="H3034" s="67"/>
      <c r="I3034" s="68"/>
      <c r="J3034" s="68"/>
      <c r="K3034" s="32"/>
      <c r="L3034" s="75">
        <v>3034</v>
      </c>
      <c r="M3034" s="75"/>
      <c r="N3034" s="70"/>
      <c r="O3034" s="77" t="s">
        <v>179</v>
      </c>
      <c r="P3034" s="79">
        <v>45058.129374999997</v>
      </c>
      <c r="Q3034" s="77" t="s">
        <v>3811</v>
      </c>
      <c r="R3034" s="77">
        <v>0</v>
      </c>
      <c r="S3034" s="77">
        <v>1</v>
      </c>
      <c r="T3034" s="77">
        <v>0</v>
      </c>
      <c r="U3034" s="77">
        <v>0</v>
      </c>
      <c r="V3034" s="77">
        <v>47</v>
      </c>
      <c r="W3034" s="82" t="s">
        <v>6382</v>
      </c>
      <c r="X3034" s="80" t="str">
        <f>HYPERLINK("https://tinyurl.com/2fmq8k8f")</f>
        <v>https://tinyurl.com/2fmq8k8f</v>
      </c>
      <c r="Y3034" s="77" t="s">
        <v>7068</v>
      </c>
      <c r="Z3034" s="77"/>
      <c r="AA3034" s="77"/>
      <c r="AB3034" s="77"/>
      <c r="AC3034" s="82" t="s">
        <v>8275</v>
      </c>
      <c r="AD3034" s="77" t="s">
        <v>8278</v>
      </c>
      <c r="AE3034" s="80" t="str">
        <f>HYPERLINK("https://twitter.com/pauta_economica/status/1656858310266728448")</f>
        <v>https://twitter.com/pauta_economica/status/1656858310266728448</v>
      </c>
      <c r="AF3034" s="79">
        <v>45058.129374999997</v>
      </c>
      <c r="AG3034" s="85">
        <v>45058</v>
      </c>
      <c r="AH3034" s="82" t="s">
        <v>11063</v>
      </c>
      <c r="AI3034" s="77" t="b">
        <v>0</v>
      </c>
      <c r="AJ3034" s="77"/>
      <c r="AK3034" s="77"/>
      <c r="AL3034" s="77"/>
      <c r="AM3034" s="77"/>
      <c r="AN3034" s="77"/>
      <c r="AO3034" s="77"/>
      <c r="AP3034" s="77"/>
      <c r="AQ3034" s="77"/>
      <c r="AR3034" s="77"/>
      <c r="AS3034" s="77"/>
      <c r="AT3034" s="77"/>
      <c r="AU3034" s="77"/>
      <c r="AV3034" s="80" t="str">
        <f>HYPERLINK("https://pbs.twimg.com/profile_images/1588668531910082561/XEi-lXiu_normal.jpg")</f>
        <v>https://pbs.twimg.com/profile_images/1588668531910082561/XEi-lXiu_normal.jpg</v>
      </c>
      <c r="AW3034" s="82" t="s">
        <v>16118</v>
      </c>
      <c r="AX3034" s="82" t="s">
        <v>16118</v>
      </c>
      <c r="AY3034" s="77"/>
      <c r="AZ3034" s="82" t="s">
        <v>17385</v>
      </c>
      <c r="BA3034" s="82" t="s">
        <v>17385</v>
      </c>
      <c r="BB3034" s="82" t="s">
        <v>17385</v>
      </c>
      <c r="BC3034" s="82" t="s">
        <v>16118</v>
      </c>
      <c r="BD3034" s="82" t="s">
        <v>17667</v>
      </c>
      <c r="BE3034" s="77"/>
      <c r="BF3034" s="77"/>
      <c r="BG3034" s="77"/>
      <c r="BH3034" s="77"/>
      <c r="BI3034" s="77"/>
    </row>
    <row r="3035" spans="1:61" x14ac:dyDescent="0.25">
      <c r="A3035" s="62" t="s">
        <v>646</v>
      </c>
      <c r="B3035" s="62" t="s">
        <v>646</v>
      </c>
      <c r="C3035" s="63"/>
      <c r="D3035" s="64"/>
      <c r="E3035" s="65"/>
      <c r="F3035" s="66"/>
      <c r="G3035" s="63"/>
      <c r="H3035" s="67"/>
      <c r="I3035" s="68"/>
      <c r="J3035" s="68"/>
      <c r="K3035" s="32"/>
      <c r="L3035" s="75">
        <v>3035</v>
      </c>
      <c r="M3035" s="75"/>
      <c r="N3035" s="70"/>
      <c r="O3035" s="77" t="s">
        <v>179</v>
      </c>
      <c r="P3035" s="79">
        <v>45058.073425925926</v>
      </c>
      <c r="Q3035" s="77" t="s">
        <v>3812</v>
      </c>
      <c r="R3035" s="77">
        <v>0</v>
      </c>
      <c r="S3035" s="77">
        <v>0</v>
      </c>
      <c r="T3035" s="77">
        <v>0</v>
      </c>
      <c r="U3035" s="77">
        <v>0</v>
      </c>
      <c r="V3035" s="77">
        <v>57</v>
      </c>
      <c r="W3035" s="82" t="s">
        <v>6382</v>
      </c>
      <c r="X3035" s="80" t="str">
        <f>HYPERLINK("https://tinyurl.com/2jya22gw")</f>
        <v>https://tinyurl.com/2jya22gw</v>
      </c>
      <c r="Y3035" s="77" t="s">
        <v>7068</v>
      </c>
      <c r="Z3035" s="77"/>
      <c r="AA3035" s="77"/>
      <c r="AB3035" s="77"/>
      <c r="AC3035" s="82" t="s">
        <v>8275</v>
      </c>
      <c r="AD3035" s="77" t="s">
        <v>8278</v>
      </c>
      <c r="AE3035" s="80" t="str">
        <f>HYPERLINK("https://twitter.com/pauta_economica/status/1656838033763704834")</f>
        <v>https://twitter.com/pauta_economica/status/1656838033763704834</v>
      </c>
      <c r="AF3035" s="79">
        <v>45058.073425925926</v>
      </c>
      <c r="AG3035" s="85">
        <v>45058</v>
      </c>
      <c r="AH3035" s="82" t="s">
        <v>11064</v>
      </c>
      <c r="AI3035" s="77" t="b">
        <v>0</v>
      </c>
      <c r="AJ3035" s="77"/>
      <c r="AK3035" s="77"/>
      <c r="AL3035" s="77"/>
      <c r="AM3035" s="77"/>
      <c r="AN3035" s="77"/>
      <c r="AO3035" s="77"/>
      <c r="AP3035" s="77"/>
      <c r="AQ3035" s="77"/>
      <c r="AR3035" s="77"/>
      <c r="AS3035" s="77"/>
      <c r="AT3035" s="77"/>
      <c r="AU3035" s="77"/>
      <c r="AV3035" s="80" t="str">
        <f>HYPERLINK("https://pbs.twimg.com/profile_images/1588668531910082561/XEi-lXiu_normal.jpg")</f>
        <v>https://pbs.twimg.com/profile_images/1588668531910082561/XEi-lXiu_normal.jpg</v>
      </c>
      <c r="AW3035" s="82" t="s">
        <v>16119</v>
      </c>
      <c r="AX3035" s="82" t="s">
        <v>16119</v>
      </c>
      <c r="AY3035" s="77"/>
      <c r="AZ3035" s="82" t="s">
        <v>17385</v>
      </c>
      <c r="BA3035" s="82" t="s">
        <v>17385</v>
      </c>
      <c r="BB3035" s="82" t="s">
        <v>17385</v>
      </c>
      <c r="BC3035" s="82" t="s">
        <v>16119</v>
      </c>
      <c r="BD3035" s="82" t="s">
        <v>17667</v>
      </c>
      <c r="BE3035" s="77"/>
      <c r="BF3035" s="77"/>
      <c r="BG3035" s="77"/>
      <c r="BH3035" s="77"/>
      <c r="BI3035" s="77"/>
    </row>
    <row r="3036" spans="1:61" x14ac:dyDescent="0.25">
      <c r="A3036" s="62" t="s">
        <v>646</v>
      </c>
      <c r="B3036" s="62" t="s">
        <v>646</v>
      </c>
      <c r="C3036" s="63"/>
      <c r="D3036" s="64"/>
      <c r="E3036" s="65"/>
      <c r="F3036" s="66"/>
      <c r="G3036" s="63"/>
      <c r="H3036" s="67"/>
      <c r="I3036" s="68"/>
      <c r="J3036" s="68"/>
      <c r="K3036" s="32"/>
      <c r="L3036" s="75">
        <v>3036</v>
      </c>
      <c r="M3036" s="75"/>
      <c r="N3036" s="70"/>
      <c r="O3036" s="77" t="s">
        <v>179</v>
      </c>
      <c r="P3036" s="79">
        <v>45058.045590277776</v>
      </c>
      <c r="Q3036" s="77" t="s">
        <v>3813</v>
      </c>
      <c r="R3036" s="77">
        <v>0</v>
      </c>
      <c r="S3036" s="77">
        <v>0</v>
      </c>
      <c r="T3036" s="77">
        <v>1</v>
      </c>
      <c r="U3036" s="77">
        <v>0</v>
      </c>
      <c r="V3036" s="77">
        <v>39</v>
      </c>
      <c r="W3036" s="82" t="s">
        <v>6382</v>
      </c>
      <c r="X3036" s="80" t="str">
        <f>HYPERLINK("https://tinyurl.com/2e8kvuzp")</f>
        <v>https://tinyurl.com/2e8kvuzp</v>
      </c>
      <c r="Y3036" s="77" t="s">
        <v>7068</v>
      </c>
      <c r="Z3036" s="77"/>
      <c r="AA3036" s="77"/>
      <c r="AB3036" s="77"/>
      <c r="AC3036" s="82" t="s">
        <v>8275</v>
      </c>
      <c r="AD3036" s="77" t="s">
        <v>8278</v>
      </c>
      <c r="AE3036" s="80" t="str">
        <f>HYPERLINK("https://twitter.com/pauta_economica/status/1656827947246927877")</f>
        <v>https://twitter.com/pauta_economica/status/1656827947246927877</v>
      </c>
      <c r="AF3036" s="79">
        <v>45058.045590277776</v>
      </c>
      <c r="AG3036" s="85">
        <v>45058</v>
      </c>
      <c r="AH3036" s="82" t="s">
        <v>11065</v>
      </c>
      <c r="AI3036" s="77" t="b">
        <v>0</v>
      </c>
      <c r="AJ3036" s="77"/>
      <c r="AK3036" s="77"/>
      <c r="AL3036" s="77"/>
      <c r="AM3036" s="77"/>
      <c r="AN3036" s="77"/>
      <c r="AO3036" s="77"/>
      <c r="AP3036" s="77"/>
      <c r="AQ3036" s="77"/>
      <c r="AR3036" s="77"/>
      <c r="AS3036" s="77"/>
      <c r="AT3036" s="77"/>
      <c r="AU3036" s="77"/>
      <c r="AV3036" s="80" t="str">
        <f>HYPERLINK("https://pbs.twimg.com/profile_images/1588668531910082561/XEi-lXiu_normal.jpg")</f>
        <v>https://pbs.twimg.com/profile_images/1588668531910082561/XEi-lXiu_normal.jpg</v>
      </c>
      <c r="AW3036" s="82" t="s">
        <v>16120</v>
      </c>
      <c r="AX3036" s="82" t="s">
        <v>16120</v>
      </c>
      <c r="AY3036" s="77"/>
      <c r="AZ3036" s="82" t="s">
        <v>17385</v>
      </c>
      <c r="BA3036" s="82" t="s">
        <v>17385</v>
      </c>
      <c r="BB3036" s="82" t="s">
        <v>17385</v>
      </c>
      <c r="BC3036" s="82" t="s">
        <v>16120</v>
      </c>
      <c r="BD3036" s="82" t="s">
        <v>17667</v>
      </c>
      <c r="BE3036" s="77"/>
      <c r="BF3036" s="77"/>
      <c r="BG3036" s="77"/>
      <c r="BH3036" s="77"/>
      <c r="BI3036" s="77"/>
    </row>
    <row r="3037" spans="1:61" x14ac:dyDescent="0.25">
      <c r="A3037" s="62" t="s">
        <v>647</v>
      </c>
      <c r="B3037" s="62" t="s">
        <v>647</v>
      </c>
      <c r="C3037" s="63"/>
      <c r="D3037" s="64"/>
      <c r="E3037" s="65"/>
      <c r="F3037" s="66"/>
      <c r="G3037" s="63"/>
      <c r="H3037" s="67"/>
      <c r="I3037" s="68"/>
      <c r="J3037" s="68"/>
      <c r="K3037" s="32"/>
      <c r="L3037" s="75">
        <v>3037</v>
      </c>
      <c r="M3037" s="75"/>
      <c r="N3037" s="70"/>
      <c r="O3037" s="77" t="s">
        <v>179</v>
      </c>
      <c r="P3037" s="79">
        <v>45183.983356481483</v>
      </c>
      <c r="Q3037" s="77" t="s">
        <v>3814</v>
      </c>
      <c r="R3037" s="77">
        <v>0</v>
      </c>
      <c r="S3037" s="77">
        <v>0</v>
      </c>
      <c r="T3037" s="77">
        <v>0</v>
      </c>
      <c r="U3037" s="77">
        <v>0</v>
      </c>
      <c r="V3037" s="77">
        <v>1</v>
      </c>
      <c r="W3037" s="82" t="s">
        <v>5819</v>
      </c>
      <c r="X3037" s="77"/>
      <c r="Y3037" s="77"/>
      <c r="Z3037" s="77"/>
      <c r="AA3037" s="77" t="s">
        <v>8087</v>
      </c>
      <c r="AB3037" s="77" t="s">
        <v>8225</v>
      </c>
      <c r="AC3037" s="82" t="s">
        <v>8232</v>
      </c>
      <c r="AD3037" s="77" t="s">
        <v>8278</v>
      </c>
      <c r="AE3037" s="80" t="str">
        <f>HYPERLINK("https://twitter.com/ativosgarantem/status/1702466263681802565")</f>
        <v>https://twitter.com/ativosgarantem/status/1702466263681802565</v>
      </c>
      <c r="AF3037" s="79">
        <v>45183.983356481483</v>
      </c>
      <c r="AG3037" s="85">
        <v>45183</v>
      </c>
      <c r="AH3037" s="82" t="s">
        <v>9000</v>
      </c>
      <c r="AI3037" s="77" t="b">
        <v>0</v>
      </c>
      <c r="AJ3037" s="77"/>
      <c r="AK3037" s="77"/>
      <c r="AL3037" s="77"/>
      <c r="AM3037" s="77"/>
      <c r="AN3037" s="77"/>
      <c r="AO3037" s="77"/>
      <c r="AP3037" s="77"/>
      <c r="AQ3037" s="77" t="s">
        <v>12972</v>
      </c>
      <c r="AR3037" s="77"/>
      <c r="AS3037" s="77"/>
      <c r="AT3037" s="77"/>
      <c r="AU3037" s="77"/>
      <c r="AV3037" s="80" t="str">
        <f>HYPERLINK("https://pbs.twimg.com/media/F6BgBapXYAAMwfh.jpg")</f>
        <v>https://pbs.twimg.com/media/F6BgBapXYAAMwfh.jpg</v>
      </c>
      <c r="AW3037" s="82" t="s">
        <v>16121</v>
      </c>
      <c r="AX3037" s="82" t="s">
        <v>16121</v>
      </c>
      <c r="AY3037" s="77"/>
      <c r="AZ3037" s="82" t="s">
        <v>17385</v>
      </c>
      <c r="BA3037" s="82" t="s">
        <v>17385</v>
      </c>
      <c r="BB3037" s="82" t="s">
        <v>17385</v>
      </c>
      <c r="BC3037" s="82" t="s">
        <v>16121</v>
      </c>
      <c r="BD3037" s="82" t="s">
        <v>17668</v>
      </c>
      <c r="BE3037" s="77"/>
      <c r="BF3037" s="77"/>
      <c r="BG3037" s="77"/>
      <c r="BH3037" s="77"/>
      <c r="BI3037" s="77"/>
    </row>
    <row r="3038" spans="1:61" x14ac:dyDescent="0.25">
      <c r="A3038" s="62" t="s">
        <v>647</v>
      </c>
      <c r="B3038" s="62" t="s">
        <v>647</v>
      </c>
      <c r="C3038" s="63"/>
      <c r="D3038" s="64"/>
      <c r="E3038" s="65"/>
      <c r="F3038" s="66"/>
      <c r="G3038" s="63"/>
      <c r="H3038" s="67"/>
      <c r="I3038" s="68"/>
      <c r="J3038" s="68"/>
      <c r="K3038" s="32"/>
      <c r="L3038" s="75">
        <v>3038</v>
      </c>
      <c r="M3038" s="75"/>
      <c r="N3038" s="70"/>
      <c r="O3038" s="77" t="s">
        <v>179</v>
      </c>
      <c r="P3038" s="79">
        <v>45195.552708333336</v>
      </c>
      <c r="Q3038" s="77" t="s">
        <v>3815</v>
      </c>
      <c r="R3038" s="77">
        <v>0</v>
      </c>
      <c r="S3038" s="77">
        <v>0</v>
      </c>
      <c r="T3038" s="77">
        <v>0</v>
      </c>
      <c r="U3038" s="77">
        <v>0</v>
      </c>
      <c r="V3038" s="77">
        <v>3</v>
      </c>
      <c r="W3038" s="82" t="s">
        <v>6383</v>
      </c>
      <c r="X3038" s="77"/>
      <c r="Y3038" s="77"/>
      <c r="Z3038" s="77"/>
      <c r="AA3038" s="77" t="s">
        <v>8088</v>
      </c>
      <c r="AB3038" s="77" t="s">
        <v>8225</v>
      </c>
      <c r="AC3038" s="82" t="s">
        <v>8232</v>
      </c>
      <c r="AD3038" s="77" t="s">
        <v>8278</v>
      </c>
      <c r="AE3038" s="80" t="str">
        <f>HYPERLINK("https://twitter.com/ativosgarantem/status/1706658858662506736")</f>
        <v>https://twitter.com/ativosgarantem/status/1706658858662506736</v>
      </c>
      <c r="AF3038" s="79">
        <v>45195.552708333336</v>
      </c>
      <c r="AG3038" s="85">
        <v>45195</v>
      </c>
      <c r="AH3038" s="82" t="s">
        <v>11066</v>
      </c>
      <c r="AI3038" s="77" t="b">
        <v>0</v>
      </c>
      <c r="AJ3038" s="77"/>
      <c r="AK3038" s="77"/>
      <c r="AL3038" s="77"/>
      <c r="AM3038" s="77"/>
      <c r="AN3038" s="77"/>
      <c r="AO3038" s="77"/>
      <c r="AP3038" s="77"/>
      <c r="AQ3038" s="77" t="s">
        <v>12973</v>
      </c>
      <c r="AR3038" s="77"/>
      <c r="AS3038" s="77"/>
      <c r="AT3038" s="77"/>
      <c r="AU3038" s="77"/>
      <c r="AV3038" s="80" t="str">
        <f>HYPERLINK("https://pbs.twimg.com/media/F69FHkFWQAAyT-X.png")</f>
        <v>https://pbs.twimg.com/media/F69FHkFWQAAyT-X.png</v>
      </c>
      <c r="AW3038" s="82" t="s">
        <v>16122</v>
      </c>
      <c r="AX3038" s="82" t="s">
        <v>16122</v>
      </c>
      <c r="AY3038" s="77"/>
      <c r="AZ3038" s="82" t="s">
        <v>17385</v>
      </c>
      <c r="BA3038" s="82" t="s">
        <v>17385</v>
      </c>
      <c r="BB3038" s="82" t="s">
        <v>17385</v>
      </c>
      <c r="BC3038" s="82" t="s">
        <v>16122</v>
      </c>
      <c r="BD3038" s="82" t="s">
        <v>17668</v>
      </c>
      <c r="BE3038" s="77"/>
      <c r="BF3038" s="77"/>
      <c r="BG3038" s="77"/>
      <c r="BH3038" s="77"/>
      <c r="BI3038" s="77"/>
    </row>
    <row r="3039" spans="1:61" x14ac:dyDescent="0.25">
      <c r="A3039" s="62" t="s">
        <v>647</v>
      </c>
      <c r="B3039" s="62" t="s">
        <v>647</v>
      </c>
      <c r="C3039" s="63"/>
      <c r="D3039" s="64"/>
      <c r="E3039" s="65"/>
      <c r="F3039" s="66"/>
      <c r="G3039" s="63"/>
      <c r="H3039" s="67"/>
      <c r="I3039" s="68"/>
      <c r="J3039" s="68"/>
      <c r="K3039" s="32"/>
      <c r="L3039" s="75">
        <v>3039</v>
      </c>
      <c r="M3039" s="75"/>
      <c r="N3039" s="70"/>
      <c r="O3039" s="77" t="s">
        <v>179</v>
      </c>
      <c r="P3039" s="79">
        <v>45197.551134259258</v>
      </c>
      <c r="Q3039" s="77" t="s">
        <v>3816</v>
      </c>
      <c r="R3039" s="77">
        <v>0</v>
      </c>
      <c r="S3039" s="77">
        <v>0</v>
      </c>
      <c r="T3039" s="77">
        <v>0</v>
      </c>
      <c r="U3039" s="77">
        <v>0</v>
      </c>
      <c r="V3039" s="77">
        <v>1</v>
      </c>
      <c r="W3039" s="82" t="s">
        <v>6384</v>
      </c>
      <c r="X3039" s="77"/>
      <c r="Y3039" s="77"/>
      <c r="Z3039" s="77"/>
      <c r="AA3039" s="77" t="s">
        <v>8089</v>
      </c>
      <c r="AB3039" s="77" t="s">
        <v>8225</v>
      </c>
      <c r="AC3039" s="82" t="s">
        <v>8232</v>
      </c>
      <c r="AD3039" s="77" t="s">
        <v>8278</v>
      </c>
      <c r="AE3039" s="80" t="str">
        <f>HYPERLINK("https://twitter.com/ativosgarantem/status/1707383062026232268")</f>
        <v>https://twitter.com/ativosgarantem/status/1707383062026232268</v>
      </c>
      <c r="AF3039" s="79">
        <v>45197.551134259258</v>
      </c>
      <c r="AG3039" s="85">
        <v>45197</v>
      </c>
      <c r="AH3039" s="82" t="s">
        <v>11067</v>
      </c>
      <c r="AI3039" s="77" t="b">
        <v>0</v>
      </c>
      <c r="AJ3039" s="77"/>
      <c r="AK3039" s="77"/>
      <c r="AL3039" s="77"/>
      <c r="AM3039" s="77"/>
      <c r="AN3039" s="77"/>
      <c r="AO3039" s="77"/>
      <c r="AP3039" s="77"/>
      <c r="AQ3039" s="77" t="s">
        <v>12974</v>
      </c>
      <c r="AR3039" s="77"/>
      <c r="AS3039" s="77"/>
      <c r="AT3039" s="77"/>
      <c r="AU3039" s="77"/>
      <c r="AV3039" s="80" t="str">
        <f>HYPERLINK("https://pbs.twimg.com/media/F7HXtKzXMAAXSR6.png")</f>
        <v>https://pbs.twimg.com/media/F7HXtKzXMAAXSR6.png</v>
      </c>
      <c r="AW3039" s="82" t="s">
        <v>16123</v>
      </c>
      <c r="AX3039" s="82" t="s">
        <v>16123</v>
      </c>
      <c r="AY3039" s="77"/>
      <c r="AZ3039" s="82" t="s">
        <v>17385</v>
      </c>
      <c r="BA3039" s="82" t="s">
        <v>17385</v>
      </c>
      <c r="BB3039" s="82" t="s">
        <v>17385</v>
      </c>
      <c r="BC3039" s="82" t="s">
        <v>16123</v>
      </c>
      <c r="BD3039" s="82" t="s">
        <v>17668</v>
      </c>
      <c r="BE3039" s="77"/>
      <c r="BF3039" s="77"/>
      <c r="BG3039" s="77"/>
      <c r="BH3039" s="77"/>
      <c r="BI3039" s="77"/>
    </row>
    <row r="3040" spans="1:61" x14ac:dyDescent="0.25">
      <c r="A3040" s="62" t="s">
        <v>647</v>
      </c>
      <c r="B3040" s="62" t="s">
        <v>647</v>
      </c>
      <c r="C3040" s="63"/>
      <c r="D3040" s="64"/>
      <c r="E3040" s="65"/>
      <c r="F3040" s="66"/>
      <c r="G3040" s="63"/>
      <c r="H3040" s="67"/>
      <c r="I3040" s="68"/>
      <c r="J3040" s="68"/>
      <c r="K3040" s="32"/>
      <c r="L3040" s="75">
        <v>3040</v>
      </c>
      <c r="M3040" s="75"/>
      <c r="N3040" s="70"/>
      <c r="O3040" s="77" t="s">
        <v>179</v>
      </c>
      <c r="P3040" s="79">
        <v>45195.453020833331</v>
      </c>
      <c r="Q3040" s="77" t="s">
        <v>3817</v>
      </c>
      <c r="R3040" s="77">
        <v>0</v>
      </c>
      <c r="S3040" s="77">
        <v>0</v>
      </c>
      <c r="T3040" s="77">
        <v>0</v>
      </c>
      <c r="U3040" s="77">
        <v>0</v>
      </c>
      <c r="V3040" s="77">
        <v>27</v>
      </c>
      <c r="W3040" s="82" t="s">
        <v>6385</v>
      </c>
      <c r="X3040" s="77"/>
      <c r="Y3040" s="77"/>
      <c r="Z3040" s="77"/>
      <c r="AA3040" s="77" t="s">
        <v>8090</v>
      </c>
      <c r="AB3040" s="77" t="s">
        <v>8225</v>
      </c>
      <c r="AC3040" s="82" t="s">
        <v>8232</v>
      </c>
      <c r="AD3040" s="77" t="s">
        <v>8278</v>
      </c>
      <c r="AE3040" s="80" t="str">
        <f>HYPERLINK("https://twitter.com/ativosgarantem/status/1706622732723433656")</f>
        <v>https://twitter.com/ativosgarantem/status/1706622732723433656</v>
      </c>
      <c r="AF3040" s="79">
        <v>45195.453020833331</v>
      </c>
      <c r="AG3040" s="85">
        <v>45195</v>
      </c>
      <c r="AH3040" s="82" t="s">
        <v>11068</v>
      </c>
      <c r="AI3040" s="77" t="b">
        <v>0</v>
      </c>
      <c r="AJ3040" s="77"/>
      <c r="AK3040" s="77"/>
      <c r="AL3040" s="77"/>
      <c r="AM3040" s="77"/>
      <c r="AN3040" s="77"/>
      <c r="AO3040" s="77"/>
      <c r="AP3040" s="77"/>
      <c r="AQ3040" s="77" t="s">
        <v>12975</v>
      </c>
      <c r="AR3040" s="77"/>
      <c r="AS3040" s="77"/>
      <c r="AT3040" s="77"/>
      <c r="AU3040" s="77"/>
      <c r="AV3040" s="80" t="str">
        <f>HYPERLINK("https://pbs.twimg.com/media/F68kLe6WgAAgbuw.png")</f>
        <v>https://pbs.twimg.com/media/F68kLe6WgAAgbuw.png</v>
      </c>
      <c r="AW3040" s="82" t="s">
        <v>16124</v>
      </c>
      <c r="AX3040" s="82" t="s">
        <v>16124</v>
      </c>
      <c r="AY3040" s="77"/>
      <c r="AZ3040" s="82" t="s">
        <v>17385</v>
      </c>
      <c r="BA3040" s="82" t="s">
        <v>17385</v>
      </c>
      <c r="BB3040" s="82" t="s">
        <v>17385</v>
      </c>
      <c r="BC3040" s="82" t="s">
        <v>16124</v>
      </c>
      <c r="BD3040" s="82" t="s">
        <v>17668</v>
      </c>
      <c r="BE3040" s="77"/>
      <c r="BF3040" s="77"/>
      <c r="BG3040" s="77"/>
      <c r="BH3040" s="77"/>
      <c r="BI3040" s="77"/>
    </row>
    <row r="3041" spans="1:61" x14ac:dyDescent="0.25">
      <c r="A3041" s="62" t="s">
        <v>648</v>
      </c>
      <c r="B3041" s="62" t="s">
        <v>731</v>
      </c>
      <c r="C3041" s="63"/>
      <c r="D3041" s="64"/>
      <c r="E3041" s="65"/>
      <c r="F3041" s="66"/>
      <c r="G3041" s="63"/>
      <c r="H3041" s="67"/>
      <c r="I3041" s="68"/>
      <c r="J3041" s="68"/>
      <c r="K3041" s="32"/>
      <c r="L3041" s="75">
        <v>3041</v>
      </c>
      <c r="M3041" s="75"/>
      <c r="N3041" s="70"/>
      <c r="O3041" s="77" t="s">
        <v>802</v>
      </c>
      <c r="P3041" s="79">
        <v>45080.877997685187</v>
      </c>
      <c r="Q3041" s="77" t="s">
        <v>3818</v>
      </c>
      <c r="R3041" s="77">
        <v>0</v>
      </c>
      <c r="S3041" s="77">
        <v>0</v>
      </c>
      <c r="T3041" s="77">
        <v>0</v>
      </c>
      <c r="U3041" s="77">
        <v>0</v>
      </c>
      <c r="V3041" s="77">
        <v>22</v>
      </c>
      <c r="W3041" s="82" t="s">
        <v>6386</v>
      </c>
      <c r="X3041" s="80" t="str">
        <f>HYPERLINK("https://youtube.com/shorts/3IRdcf5kwQI?feature=share")</f>
        <v>https://youtube.com/shorts/3IRdcf5kwQI?feature=share</v>
      </c>
      <c r="Y3041" s="77" t="s">
        <v>7065</v>
      </c>
      <c r="Z3041" s="77" t="s">
        <v>731</v>
      </c>
      <c r="AA3041" s="77"/>
      <c r="AB3041" s="77"/>
      <c r="AC3041" s="82" t="s">
        <v>8232</v>
      </c>
      <c r="AD3041" s="77" t="s">
        <v>8278</v>
      </c>
      <c r="AE3041" s="80" t="str">
        <f>HYPERLINK("https://twitter.com/alcyrbeltrame/status/1665102134080151554")</f>
        <v>https://twitter.com/alcyrbeltrame/status/1665102134080151554</v>
      </c>
      <c r="AF3041" s="79">
        <v>45080.877997685187</v>
      </c>
      <c r="AG3041" s="85">
        <v>45080</v>
      </c>
      <c r="AH3041" s="82" t="s">
        <v>11069</v>
      </c>
      <c r="AI3041" s="77" t="b">
        <v>0</v>
      </c>
      <c r="AJ3041" s="77"/>
      <c r="AK3041" s="77"/>
      <c r="AL3041" s="77"/>
      <c r="AM3041" s="77"/>
      <c r="AN3041" s="77"/>
      <c r="AO3041" s="77"/>
      <c r="AP3041" s="77"/>
      <c r="AQ3041" s="77"/>
      <c r="AR3041" s="77"/>
      <c r="AS3041" s="77"/>
      <c r="AT3041" s="77"/>
      <c r="AU3041" s="77"/>
      <c r="AV3041" s="80" t="str">
        <f>HYPERLINK("https://abs.twimg.com/sticky/default_profile_images/default_profile_normal.png")</f>
        <v>https://abs.twimg.com/sticky/default_profile_images/default_profile_normal.png</v>
      </c>
      <c r="AW3041" s="82" t="s">
        <v>16125</v>
      </c>
      <c r="AX3041" s="82" t="s">
        <v>16125</v>
      </c>
      <c r="AY3041" s="77"/>
      <c r="AZ3041" s="82" t="s">
        <v>17385</v>
      </c>
      <c r="BA3041" s="82" t="s">
        <v>17385</v>
      </c>
      <c r="BB3041" s="82" t="s">
        <v>17385</v>
      </c>
      <c r="BC3041" s="82" t="s">
        <v>16125</v>
      </c>
      <c r="BD3041" s="82" t="s">
        <v>17669</v>
      </c>
      <c r="BE3041" s="77"/>
      <c r="BF3041" s="77"/>
      <c r="BG3041" s="77"/>
      <c r="BH3041" s="77"/>
      <c r="BI3041" s="77"/>
    </row>
    <row r="3042" spans="1:61" x14ac:dyDescent="0.25">
      <c r="A3042" s="62" t="s">
        <v>649</v>
      </c>
      <c r="B3042" s="62" t="s">
        <v>794</v>
      </c>
      <c r="C3042" s="63"/>
      <c r="D3042" s="64"/>
      <c r="E3042" s="65"/>
      <c r="F3042" s="66"/>
      <c r="G3042" s="63"/>
      <c r="H3042" s="67"/>
      <c r="I3042" s="68"/>
      <c r="J3042" s="68"/>
      <c r="K3042" s="32"/>
      <c r="L3042" s="75">
        <v>3042</v>
      </c>
      <c r="M3042" s="75"/>
      <c r="N3042" s="70"/>
      <c r="O3042" s="77" t="s">
        <v>802</v>
      </c>
      <c r="P3042" s="79">
        <v>45147.915416666663</v>
      </c>
      <c r="Q3042" s="77" t="s">
        <v>3819</v>
      </c>
      <c r="R3042" s="77">
        <v>0</v>
      </c>
      <c r="S3042" s="77">
        <v>3</v>
      </c>
      <c r="T3042" s="77">
        <v>0</v>
      </c>
      <c r="U3042" s="77">
        <v>0</v>
      </c>
      <c r="V3042" s="77">
        <v>193</v>
      </c>
      <c r="W3042" s="82" t="s">
        <v>6387</v>
      </c>
      <c r="X3042" s="80" t="str">
        <f>HYPERLINK("https://www.youtube.com/watch?v=Y2L1M2MaqA4")</f>
        <v>https://www.youtube.com/watch?v=Y2L1M2MaqA4</v>
      </c>
      <c r="Y3042" s="77" t="s">
        <v>7065</v>
      </c>
      <c r="Z3042" s="77" t="s">
        <v>794</v>
      </c>
      <c r="AA3042" s="77" t="s">
        <v>8091</v>
      </c>
      <c r="AB3042" s="77" t="s">
        <v>8225</v>
      </c>
      <c r="AC3042" s="82" t="s">
        <v>8232</v>
      </c>
      <c r="AD3042" s="77" t="s">
        <v>8278</v>
      </c>
      <c r="AE3042" s="80" t="str">
        <f>HYPERLINK("https://twitter.com/articainvest/status/1689395679532048384")</f>
        <v>https://twitter.com/articainvest/status/1689395679532048384</v>
      </c>
      <c r="AF3042" s="79">
        <v>45147.915416666663</v>
      </c>
      <c r="AG3042" s="85">
        <v>45147</v>
      </c>
      <c r="AH3042" s="82" t="s">
        <v>11070</v>
      </c>
      <c r="AI3042" s="77" t="b">
        <v>0</v>
      </c>
      <c r="AJ3042" s="77"/>
      <c r="AK3042" s="77"/>
      <c r="AL3042" s="77"/>
      <c r="AM3042" s="77"/>
      <c r="AN3042" s="77"/>
      <c r="AO3042" s="77"/>
      <c r="AP3042" s="77"/>
      <c r="AQ3042" s="77" t="s">
        <v>12976</v>
      </c>
      <c r="AR3042" s="77"/>
      <c r="AS3042" s="77"/>
      <c r="AT3042" s="77"/>
      <c r="AU3042" s="77"/>
      <c r="AV3042" s="80" t="str">
        <f>HYPERLINK("https://pbs.twimg.com/media/F3Hvx8VWMAEjF2a.jpg")</f>
        <v>https://pbs.twimg.com/media/F3Hvx8VWMAEjF2a.jpg</v>
      </c>
      <c r="AW3042" s="82" t="s">
        <v>16126</v>
      </c>
      <c r="AX3042" s="82" t="s">
        <v>16126</v>
      </c>
      <c r="AY3042" s="77"/>
      <c r="AZ3042" s="82" t="s">
        <v>17385</v>
      </c>
      <c r="BA3042" s="82" t="s">
        <v>17385</v>
      </c>
      <c r="BB3042" s="82" t="s">
        <v>17385</v>
      </c>
      <c r="BC3042" s="82" t="s">
        <v>16126</v>
      </c>
      <c r="BD3042" s="82" t="s">
        <v>17670</v>
      </c>
      <c r="BE3042" s="77"/>
      <c r="BF3042" s="77"/>
      <c r="BG3042" s="77"/>
      <c r="BH3042" s="77"/>
      <c r="BI3042" s="77"/>
    </row>
    <row r="3043" spans="1:61" x14ac:dyDescent="0.25">
      <c r="A3043" s="62" t="s">
        <v>650</v>
      </c>
      <c r="B3043" s="62" t="s">
        <v>650</v>
      </c>
      <c r="C3043" s="63"/>
      <c r="D3043" s="64"/>
      <c r="E3043" s="65"/>
      <c r="F3043" s="66"/>
      <c r="G3043" s="63"/>
      <c r="H3043" s="67"/>
      <c r="I3043" s="68"/>
      <c r="J3043" s="68"/>
      <c r="K3043" s="32"/>
      <c r="L3043" s="75">
        <v>3043</v>
      </c>
      <c r="M3043" s="75"/>
      <c r="N3043" s="70"/>
      <c r="O3043" s="77" t="s">
        <v>179</v>
      </c>
      <c r="P3043" s="79">
        <v>45180.740914351853</v>
      </c>
      <c r="Q3043" s="77" t="s">
        <v>3820</v>
      </c>
      <c r="R3043" s="77">
        <v>0</v>
      </c>
      <c r="S3043" s="77">
        <v>0</v>
      </c>
      <c r="T3043" s="77">
        <v>0</v>
      </c>
      <c r="U3043" s="77">
        <v>0</v>
      </c>
      <c r="V3043" s="77">
        <v>74</v>
      </c>
      <c r="W3043" s="82" t="s">
        <v>6388</v>
      </c>
      <c r="X3043" s="77"/>
      <c r="Y3043" s="77"/>
      <c r="Z3043" s="77"/>
      <c r="AA3043" s="77"/>
      <c r="AB3043" s="77"/>
      <c r="AC3043" s="82" t="s">
        <v>8232</v>
      </c>
      <c r="AD3043" s="77" t="s">
        <v>8286</v>
      </c>
      <c r="AE3043" s="80" t="str">
        <f>HYPERLINK("https://twitter.com/lucasholandacl/status/1701291244624732199")</f>
        <v>https://twitter.com/lucasholandacl/status/1701291244624732199</v>
      </c>
      <c r="AF3043" s="79">
        <v>45180.740914351853</v>
      </c>
      <c r="AG3043" s="85">
        <v>45180</v>
      </c>
      <c r="AH3043" s="82" t="s">
        <v>11071</v>
      </c>
      <c r="AI3043" s="77"/>
      <c r="AJ3043" s="77"/>
      <c r="AK3043" s="77"/>
      <c r="AL3043" s="77"/>
      <c r="AM3043" s="77"/>
      <c r="AN3043" s="77"/>
      <c r="AO3043" s="77"/>
      <c r="AP3043" s="77"/>
      <c r="AQ3043" s="77"/>
      <c r="AR3043" s="77"/>
      <c r="AS3043" s="77"/>
      <c r="AT3043" s="77"/>
      <c r="AU3043" s="77"/>
      <c r="AV3043" s="80" t="str">
        <f>HYPERLINK("https://pbs.twimg.com/profile_images/1681823229495635969/W-lmItv3_normal.jpg")</f>
        <v>https://pbs.twimg.com/profile_images/1681823229495635969/W-lmItv3_normal.jpg</v>
      </c>
      <c r="AW3043" s="82" t="s">
        <v>16127</v>
      </c>
      <c r="AX3043" s="82" t="s">
        <v>16127</v>
      </c>
      <c r="AY3043" s="77"/>
      <c r="AZ3043" s="82" t="s">
        <v>17385</v>
      </c>
      <c r="BA3043" s="82" t="s">
        <v>17385</v>
      </c>
      <c r="BB3043" s="82" t="s">
        <v>17385</v>
      </c>
      <c r="BC3043" s="82" t="s">
        <v>16127</v>
      </c>
      <c r="BD3043" s="82" t="s">
        <v>17671</v>
      </c>
      <c r="BE3043" s="77"/>
      <c r="BF3043" s="77"/>
      <c r="BG3043" s="77"/>
      <c r="BH3043" s="77"/>
      <c r="BI3043" s="77"/>
    </row>
    <row r="3044" spans="1:61" x14ac:dyDescent="0.25">
      <c r="A3044" s="62" t="s">
        <v>651</v>
      </c>
      <c r="B3044" s="62" t="s">
        <v>651</v>
      </c>
      <c r="C3044" s="63"/>
      <c r="D3044" s="64"/>
      <c r="E3044" s="65"/>
      <c r="F3044" s="66"/>
      <c r="G3044" s="63"/>
      <c r="H3044" s="67"/>
      <c r="I3044" s="68"/>
      <c r="J3044" s="68"/>
      <c r="K3044" s="32"/>
      <c r="L3044" s="75">
        <v>3044</v>
      </c>
      <c r="M3044" s="75"/>
      <c r="N3044" s="70"/>
      <c r="O3044" s="77" t="s">
        <v>179</v>
      </c>
      <c r="P3044" s="79">
        <v>45063.47320601852</v>
      </c>
      <c r="Q3044" s="77" t="s">
        <v>3821</v>
      </c>
      <c r="R3044" s="77">
        <v>0</v>
      </c>
      <c r="S3044" s="77">
        <v>1</v>
      </c>
      <c r="T3044" s="77">
        <v>0</v>
      </c>
      <c r="U3044" s="77">
        <v>0</v>
      </c>
      <c r="V3044" s="77">
        <v>52</v>
      </c>
      <c r="W3044" s="82" t="s">
        <v>6389</v>
      </c>
      <c r="X3044" s="77"/>
      <c r="Y3044" s="77"/>
      <c r="Z3044" s="77"/>
      <c r="AA3044" s="77" t="s">
        <v>8092</v>
      </c>
      <c r="AB3044" s="77" t="s">
        <v>8225</v>
      </c>
      <c r="AC3044" s="82" t="s">
        <v>8234</v>
      </c>
      <c r="AD3044" s="77" t="s">
        <v>8278</v>
      </c>
      <c r="AE3044" s="80" t="str">
        <f>HYPERLINK("https://twitter.com/hojeinvestir/status/1658794850534273026")</f>
        <v>https://twitter.com/hojeinvestir/status/1658794850534273026</v>
      </c>
      <c r="AF3044" s="79">
        <v>45063.47320601852</v>
      </c>
      <c r="AG3044" s="85">
        <v>45063</v>
      </c>
      <c r="AH3044" s="82" t="s">
        <v>11072</v>
      </c>
      <c r="AI3044" s="77" t="b">
        <v>0</v>
      </c>
      <c r="AJ3044" s="77" t="s">
        <v>11998</v>
      </c>
      <c r="AK3044" s="77" t="s">
        <v>12007</v>
      </c>
      <c r="AL3044" s="77" t="s">
        <v>12010</v>
      </c>
      <c r="AM3044" s="77" t="s">
        <v>12007</v>
      </c>
      <c r="AN3044" s="77" t="s">
        <v>12030</v>
      </c>
      <c r="AO3044" s="77" t="s">
        <v>12007</v>
      </c>
      <c r="AP3044" s="77" t="s">
        <v>12052</v>
      </c>
      <c r="AQ3044" s="77" t="s">
        <v>12977</v>
      </c>
      <c r="AR3044" s="77"/>
      <c r="AS3044" s="77"/>
      <c r="AT3044" s="77"/>
      <c r="AU3044" s="77"/>
      <c r="AV3044" s="80" t="str">
        <f>HYPERLINK("https://pbs.twimg.com/media/FwU5Hn9X0AEARmD.jpg")</f>
        <v>https://pbs.twimg.com/media/FwU5Hn9X0AEARmD.jpg</v>
      </c>
      <c r="AW3044" s="82" t="s">
        <v>16128</v>
      </c>
      <c r="AX3044" s="82" t="s">
        <v>16128</v>
      </c>
      <c r="AY3044" s="77"/>
      <c r="AZ3044" s="82" t="s">
        <v>17385</v>
      </c>
      <c r="BA3044" s="82" t="s">
        <v>17385</v>
      </c>
      <c r="BB3044" s="82" t="s">
        <v>17385</v>
      </c>
      <c r="BC3044" s="82" t="s">
        <v>16128</v>
      </c>
      <c r="BD3044" s="82" t="s">
        <v>17672</v>
      </c>
      <c r="BE3044" s="77"/>
      <c r="BF3044" s="77"/>
      <c r="BG3044" s="77"/>
      <c r="BH3044" s="77"/>
      <c r="BI3044" s="77"/>
    </row>
    <row r="3045" spans="1:61" x14ac:dyDescent="0.25">
      <c r="A3045" s="62" t="s">
        <v>651</v>
      </c>
      <c r="B3045" s="62" t="s">
        <v>651</v>
      </c>
      <c r="C3045" s="63"/>
      <c r="D3045" s="64"/>
      <c r="E3045" s="65"/>
      <c r="F3045" s="66"/>
      <c r="G3045" s="63"/>
      <c r="H3045" s="67"/>
      <c r="I3045" s="68"/>
      <c r="J3045" s="68"/>
      <c r="K3045" s="32"/>
      <c r="L3045" s="75">
        <v>3045</v>
      </c>
      <c r="M3045" s="75"/>
      <c r="N3045" s="70"/>
      <c r="O3045" s="77" t="s">
        <v>179</v>
      </c>
      <c r="P3045" s="79">
        <v>45061.714108796295</v>
      </c>
      <c r="Q3045" s="77" t="s">
        <v>3822</v>
      </c>
      <c r="R3045" s="77">
        <v>0</v>
      </c>
      <c r="S3045" s="77">
        <v>1</v>
      </c>
      <c r="T3045" s="77">
        <v>0</v>
      </c>
      <c r="U3045" s="77">
        <v>0</v>
      </c>
      <c r="V3045" s="77">
        <v>44</v>
      </c>
      <c r="W3045" s="82" t="s">
        <v>6390</v>
      </c>
      <c r="X3045" s="77"/>
      <c r="Y3045" s="77"/>
      <c r="Z3045" s="77"/>
      <c r="AA3045" s="77" t="s">
        <v>8093</v>
      </c>
      <c r="AB3045" s="77" t="s">
        <v>8225</v>
      </c>
      <c r="AC3045" s="82" t="s">
        <v>8234</v>
      </c>
      <c r="AD3045" s="77" t="s">
        <v>8278</v>
      </c>
      <c r="AE3045" s="80" t="str">
        <f>HYPERLINK("https://twitter.com/hojeinvestir/status/1658157373242978320")</f>
        <v>https://twitter.com/hojeinvestir/status/1658157373242978320</v>
      </c>
      <c r="AF3045" s="79">
        <v>45061.714108796295</v>
      </c>
      <c r="AG3045" s="85">
        <v>45061</v>
      </c>
      <c r="AH3045" s="82" t="s">
        <v>11073</v>
      </c>
      <c r="AI3045" s="77" t="b">
        <v>0</v>
      </c>
      <c r="AJ3045" s="77" t="s">
        <v>11998</v>
      </c>
      <c r="AK3045" s="77" t="s">
        <v>12007</v>
      </c>
      <c r="AL3045" s="77" t="s">
        <v>12010</v>
      </c>
      <c r="AM3045" s="77" t="s">
        <v>12007</v>
      </c>
      <c r="AN3045" s="77" t="s">
        <v>12030</v>
      </c>
      <c r="AO3045" s="77" t="s">
        <v>12007</v>
      </c>
      <c r="AP3045" s="77" t="s">
        <v>12052</v>
      </c>
      <c r="AQ3045" s="77" t="s">
        <v>12978</v>
      </c>
      <c r="AR3045" s="77"/>
      <c r="AS3045" s="77"/>
      <c r="AT3045" s="77"/>
      <c r="AU3045" s="77"/>
      <c r="AV3045" s="80" t="str">
        <f>HYPERLINK("https://pbs.twimg.com/media/FwL1VpAXsAct6BY.jpg")</f>
        <v>https://pbs.twimg.com/media/FwL1VpAXsAct6BY.jpg</v>
      </c>
      <c r="AW3045" s="82" t="s">
        <v>16129</v>
      </c>
      <c r="AX3045" s="82" t="s">
        <v>16129</v>
      </c>
      <c r="AY3045" s="77"/>
      <c r="AZ3045" s="82" t="s">
        <v>17385</v>
      </c>
      <c r="BA3045" s="82" t="s">
        <v>17385</v>
      </c>
      <c r="BB3045" s="82" t="s">
        <v>17385</v>
      </c>
      <c r="BC3045" s="82" t="s">
        <v>16129</v>
      </c>
      <c r="BD3045" s="82" t="s">
        <v>17672</v>
      </c>
      <c r="BE3045" s="77"/>
      <c r="BF3045" s="77"/>
      <c r="BG3045" s="77"/>
      <c r="BH3045" s="77"/>
      <c r="BI3045" s="77"/>
    </row>
    <row r="3046" spans="1:61" x14ac:dyDescent="0.25">
      <c r="A3046" s="62" t="s">
        <v>651</v>
      </c>
      <c r="B3046" s="62" t="s">
        <v>651</v>
      </c>
      <c r="C3046" s="63"/>
      <c r="D3046" s="64"/>
      <c r="E3046" s="65"/>
      <c r="F3046" s="66"/>
      <c r="G3046" s="63"/>
      <c r="H3046" s="67"/>
      <c r="I3046" s="68"/>
      <c r="J3046" s="68"/>
      <c r="K3046" s="32"/>
      <c r="L3046" s="75">
        <v>3046</v>
      </c>
      <c r="M3046" s="75"/>
      <c r="N3046" s="70"/>
      <c r="O3046" s="77" t="s">
        <v>179</v>
      </c>
      <c r="P3046" s="79">
        <v>45088.532048611109</v>
      </c>
      <c r="Q3046" s="77" t="s">
        <v>3823</v>
      </c>
      <c r="R3046" s="77">
        <v>0</v>
      </c>
      <c r="S3046" s="77">
        <v>2</v>
      </c>
      <c r="T3046" s="77">
        <v>0</v>
      </c>
      <c r="U3046" s="77">
        <v>0</v>
      </c>
      <c r="V3046" s="77">
        <v>243</v>
      </c>
      <c r="W3046" s="82" t="s">
        <v>6391</v>
      </c>
      <c r="X3046" s="77"/>
      <c r="Y3046" s="77"/>
      <c r="Z3046" s="77"/>
      <c r="AA3046" s="77" t="s">
        <v>8094</v>
      </c>
      <c r="AB3046" s="77" t="s">
        <v>8227</v>
      </c>
      <c r="AC3046" s="82" t="s">
        <v>8232</v>
      </c>
      <c r="AD3046" s="77" t="s">
        <v>8278</v>
      </c>
      <c r="AE3046" s="80" t="str">
        <f>HYPERLINK("https://twitter.com/hojeinvestir/status/1667875867681337345")</f>
        <v>https://twitter.com/hojeinvestir/status/1667875867681337345</v>
      </c>
      <c r="AF3046" s="79">
        <v>45088.532048611109</v>
      </c>
      <c r="AG3046" s="85">
        <v>45088</v>
      </c>
      <c r="AH3046" s="82" t="s">
        <v>11074</v>
      </c>
      <c r="AI3046" s="77" t="b">
        <v>0</v>
      </c>
      <c r="AJ3046" s="77"/>
      <c r="AK3046" s="77"/>
      <c r="AL3046" s="77"/>
      <c r="AM3046" s="77"/>
      <c r="AN3046" s="77"/>
      <c r="AO3046" s="77"/>
      <c r="AP3046" s="77"/>
      <c r="AQ3046" s="77" t="s">
        <v>12979</v>
      </c>
      <c r="AR3046" s="77">
        <v>54633</v>
      </c>
      <c r="AS3046" s="77"/>
      <c r="AT3046" s="77"/>
      <c r="AU3046" s="77"/>
      <c r="AV3046" s="80" t="str">
        <f>HYPERLINK("https://pbs.twimg.com/ext_tw_video_thumb/1667874971601760256/pu/img/hfZdTZ5g952ZsgVE.jpg")</f>
        <v>https://pbs.twimg.com/ext_tw_video_thumb/1667874971601760256/pu/img/hfZdTZ5g952ZsgVE.jpg</v>
      </c>
      <c r="AW3046" s="82" t="s">
        <v>16130</v>
      </c>
      <c r="AX3046" s="82" t="s">
        <v>16130</v>
      </c>
      <c r="AY3046" s="77"/>
      <c r="AZ3046" s="82" t="s">
        <v>17385</v>
      </c>
      <c r="BA3046" s="82" t="s">
        <v>17385</v>
      </c>
      <c r="BB3046" s="82" t="s">
        <v>17385</v>
      </c>
      <c r="BC3046" s="82" t="s">
        <v>16130</v>
      </c>
      <c r="BD3046" s="82" t="s">
        <v>17672</v>
      </c>
      <c r="BE3046" s="77"/>
      <c r="BF3046" s="77"/>
      <c r="BG3046" s="77"/>
      <c r="BH3046" s="77"/>
      <c r="BI3046" s="77"/>
    </row>
    <row r="3047" spans="1:61" x14ac:dyDescent="0.25">
      <c r="A3047" s="62" t="s">
        <v>652</v>
      </c>
      <c r="B3047" s="62" t="s">
        <v>652</v>
      </c>
      <c r="C3047" s="63"/>
      <c r="D3047" s="64"/>
      <c r="E3047" s="65"/>
      <c r="F3047" s="66"/>
      <c r="G3047" s="63"/>
      <c r="H3047" s="67"/>
      <c r="I3047" s="68"/>
      <c r="J3047" s="68"/>
      <c r="K3047" s="32"/>
      <c r="L3047" s="75">
        <v>3047</v>
      </c>
      <c r="M3047" s="75"/>
      <c r="N3047" s="70"/>
      <c r="O3047" s="77" t="s">
        <v>802</v>
      </c>
      <c r="P3047" s="79">
        <v>45061.375381944446</v>
      </c>
      <c r="Q3047" s="77" t="s">
        <v>3824</v>
      </c>
      <c r="R3047" s="77">
        <v>0</v>
      </c>
      <c r="S3047" s="77">
        <v>0</v>
      </c>
      <c r="T3047" s="77">
        <v>1</v>
      </c>
      <c r="U3047" s="77">
        <v>0</v>
      </c>
      <c r="V3047" s="77">
        <v>77</v>
      </c>
      <c r="W3047" s="82" t="s">
        <v>6392</v>
      </c>
      <c r="X3047" s="80" t="str">
        <f>HYPERLINK("https://lumlux-art.com/omid-holdings-inc-omid-stock-defies-short-sellers-a-promising-sign-for-investors/")</f>
        <v>https://lumlux-art.com/omid-holdings-inc-omid-stock-defies-short-sellers-a-promising-sign-for-investors/</v>
      </c>
      <c r="Y3047" s="77" t="s">
        <v>7141</v>
      </c>
      <c r="Z3047" s="77" t="s">
        <v>652</v>
      </c>
      <c r="AA3047" s="77"/>
      <c r="AB3047" s="77"/>
      <c r="AC3047" s="82" t="s">
        <v>8232</v>
      </c>
      <c r="AD3047" s="77" t="s">
        <v>8285</v>
      </c>
      <c r="AE3047" s="80" t="str">
        <f>HYPERLINK("https://twitter.com/lumluxart/status/1658034623224377347")</f>
        <v>https://twitter.com/lumluxart/status/1658034623224377347</v>
      </c>
      <c r="AF3047" s="79">
        <v>45061.375381944446</v>
      </c>
      <c r="AG3047" s="85">
        <v>45061</v>
      </c>
      <c r="AH3047" s="82" t="s">
        <v>11075</v>
      </c>
      <c r="AI3047" s="77" t="b">
        <v>0</v>
      </c>
      <c r="AJ3047" s="77"/>
      <c r="AK3047" s="77"/>
      <c r="AL3047" s="77"/>
      <c r="AM3047" s="77"/>
      <c r="AN3047" s="77"/>
      <c r="AO3047" s="77"/>
      <c r="AP3047" s="77"/>
      <c r="AQ3047" s="77"/>
      <c r="AR3047" s="77"/>
      <c r="AS3047" s="77"/>
      <c r="AT3047" s="77"/>
      <c r="AU3047" s="77"/>
      <c r="AV3047" s="80" t="str">
        <f>HYPERLINK("https://pbs.twimg.com/profile_images/1644014399152087043/1_0dQGl5_normal.jpg")</f>
        <v>https://pbs.twimg.com/profile_images/1644014399152087043/1_0dQGl5_normal.jpg</v>
      </c>
      <c r="AW3047" s="82" t="s">
        <v>16131</v>
      </c>
      <c r="AX3047" s="82" t="s">
        <v>16131</v>
      </c>
      <c r="AY3047" s="77"/>
      <c r="AZ3047" s="82" t="s">
        <v>17385</v>
      </c>
      <c r="BA3047" s="82" t="s">
        <v>17385</v>
      </c>
      <c r="BB3047" s="82" t="s">
        <v>17385</v>
      </c>
      <c r="BC3047" s="82" t="s">
        <v>16131</v>
      </c>
      <c r="BD3047" s="77">
        <v>60028547</v>
      </c>
      <c r="BE3047" s="77"/>
      <c r="BF3047" s="77"/>
      <c r="BG3047" s="77"/>
      <c r="BH3047" s="77"/>
      <c r="BI3047" s="77"/>
    </row>
    <row r="3048" spans="1:61" x14ac:dyDescent="0.25">
      <c r="A3048" s="62" t="s">
        <v>653</v>
      </c>
      <c r="B3048" s="62" t="s">
        <v>653</v>
      </c>
      <c r="C3048" s="63"/>
      <c r="D3048" s="64"/>
      <c r="E3048" s="65"/>
      <c r="F3048" s="66"/>
      <c r="G3048" s="63"/>
      <c r="H3048" s="67"/>
      <c r="I3048" s="68"/>
      <c r="J3048" s="68"/>
      <c r="K3048" s="32"/>
      <c r="L3048" s="75">
        <v>3048</v>
      </c>
      <c r="M3048" s="75"/>
      <c r="N3048" s="70"/>
      <c r="O3048" s="77" t="s">
        <v>179</v>
      </c>
      <c r="P3048" s="79">
        <v>45100.868611111109</v>
      </c>
      <c r="Q3048" s="77" t="s">
        <v>3825</v>
      </c>
      <c r="R3048" s="77">
        <v>0</v>
      </c>
      <c r="S3048" s="77">
        <v>0</v>
      </c>
      <c r="T3048" s="77">
        <v>0</v>
      </c>
      <c r="U3048" s="77">
        <v>0</v>
      </c>
      <c r="V3048" s="77">
        <v>12</v>
      </c>
      <c r="W3048" s="82" t="s">
        <v>6393</v>
      </c>
      <c r="X3048" s="77"/>
      <c r="Y3048" s="77"/>
      <c r="Z3048" s="77"/>
      <c r="AA3048" s="77"/>
      <c r="AB3048" s="77"/>
      <c r="AC3048" s="82" t="s">
        <v>8233</v>
      </c>
      <c r="AD3048" s="77" t="s">
        <v>8278</v>
      </c>
      <c r="AE3048" s="80" t="str">
        <f>HYPERLINK("https://twitter.com/celinhomedeiros/status/1672346488586813441")</f>
        <v>https://twitter.com/celinhomedeiros/status/1672346488586813441</v>
      </c>
      <c r="AF3048" s="79">
        <v>45100.868611111109</v>
      </c>
      <c r="AG3048" s="85">
        <v>45100</v>
      </c>
      <c r="AH3048" s="82" t="s">
        <v>11076</v>
      </c>
      <c r="AI3048" s="77"/>
      <c r="AJ3048" s="77"/>
      <c r="AK3048" s="77"/>
      <c r="AL3048" s="77"/>
      <c r="AM3048" s="77"/>
      <c r="AN3048" s="77"/>
      <c r="AO3048" s="77"/>
      <c r="AP3048" s="77"/>
      <c r="AQ3048" s="77"/>
      <c r="AR3048" s="77"/>
      <c r="AS3048" s="77"/>
      <c r="AT3048" s="77"/>
      <c r="AU3048" s="77"/>
      <c r="AV3048" s="80" t="str">
        <f>HYPERLINK("https://pbs.twimg.com/profile_images/1029553636043616258/0ATH7FqB_normal.jpg")</f>
        <v>https://pbs.twimg.com/profile_images/1029553636043616258/0ATH7FqB_normal.jpg</v>
      </c>
      <c r="AW3048" s="82" t="s">
        <v>16132</v>
      </c>
      <c r="AX3048" s="82" t="s">
        <v>16132</v>
      </c>
      <c r="AY3048" s="77"/>
      <c r="AZ3048" s="82" t="s">
        <v>17385</v>
      </c>
      <c r="BA3048" s="82" t="s">
        <v>17385</v>
      </c>
      <c r="BB3048" s="82" t="s">
        <v>17385</v>
      </c>
      <c r="BC3048" s="82" t="s">
        <v>16132</v>
      </c>
      <c r="BD3048" s="82" t="s">
        <v>17673</v>
      </c>
      <c r="BE3048" s="77"/>
      <c r="BF3048" s="77"/>
      <c r="BG3048" s="77"/>
      <c r="BH3048" s="77"/>
      <c r="BI3048" s="77"/>
    </row>
    <row r="3049" spans="1:61" x14ac:dyDescent="0.25">
      <c r="A3049" s="62" t="s">
        <v>654</v>
      </c>
      <c r="B3049" s="62" t="s">
        <v>654</v>
      </c>
      <c r="C3049" s="63"/>
      <c r="D3049" s="64"/>
      <c r="E3049" s="65"/>
      <c r="F3049" s="66"/>
      <c r="G3049" s="63"/>
      <c r="H3049" s="67"/>
      <c r="I3049" s="68"/>
      <c r="J3049" s="68"/>
      <c r="K3049" s="32"/>
      <c r="L3049" s="75">
        <v>3049</v>
      </c>
      <c r="M3049" s="75"/>
      <c r="N3049" s="70"/>
      <c r="O3049" s="77" t="s">
        <v>179</v>
      </c>
      <c r="P3049" s="79">
        <v>45152.955671296295</v>
      </c>
      <c r="Q3049" s="77" t="s">
        <v>3826</v>
      </c>
      <c r="R3049" s="77">
        <v>0</v>
      </c>
      <c r="S3049" s="77">
        <v>0</v>
      </c>
      <c r="T3049" s="77">
        <v>0</v>
      </c>
      <c r="U3049" s="77">
        <v>0</v>
      </c>
      <c r="V3049" s="77">
        <v>103</v>
      </c>
      <c r="W3049" s="82" t="s">
        <v>6394</v>
      </c>
      <c r="X3049" s="80" t="str">
        <f>HYPERLINK("http://Excel-shopping.com.br")</f>
        <v>http://Excel-shopping.com.br</v>
      </c>
      <c r="Y3049" s="77" t="s">
        <v>7053</v>
      </c>
      <c r="Z3049" s="77"/>
      <c r="AA3049" s="77" t="s">
        <v>8095</v>
      </c>
      <c r="AB3049" s="77" t="s">
        <v>8227</v>
      </c>
      <c r="AC3049" s="82" t="s">
        <v>8234</v>
      </c>
      <c r="AD3049" s="77" t="s">
        <v>8278</v>
      </c>
      <c r="AE3049" s="80" t="str">
        <f>HYPERLINK("https://twitter.com/penseexcel/status/1691222208796884992")</f>
        <v>https://twitter.com/penseexcel/status/1691222208796884992</v>
      </c>
      <c r="AF3049" s="79">
        <v>45152.955671296295</v>
      </c>
      <c r="AG3049" s="85">
        <v>45152</v>
      </c>
      <c r="AH3049" s="82" t="s">
        <v>11077</v>
      </c>
      <c r="AI3049" s="77" t="b">
        <v>0</v>
      </c>
      <c r="AJ3049" s="77"/>
      <c r="AK3049" s="77"/>
      <c r="AL3049" s="77"/>
      <c r="AM3049" s="77"/>
      <c r="AN3049" s="77"/>
      <c r="AO3049" s="77"/>
      <c r="AP3049" s="77"/>
      <c r="AQ3049" s="77" t="s">
        <v>12980</v>
      </c>
      <c r="AR3049" s="77">
        <v>45000</v>
      </c>
      <c r="AS3049" s="77"/>
      <c r="AT3049" s="77"/>
      <c r="AU3049" s="77"/>
      <c r="AV3049" s="80" t="str">
        <f>HYPERLINK("https://pbs.twimg.com/ext_tw_video_thumb/1691222170989436928/pu/img/KYXdkI_gZ7adFOSl.jpg")</f>
        <v>https://pbs.twimg.com/ext_tw_video_thumb/1691222170989436928/pu/img/KYXdkI_gZ7adFOSl.jpg</v>
      </c>
      <c r="AW3049" s="82" t="s">
        <v>16133</v>
      </c>
      <c r="AX3049" s="82" t="s">
        <v>16133</v>
      </c>
      <c r="AY3049" s="77"/>
      <c r="AZ3049" s="82" t="s">
        <v>17385</v>
      </c>
      <c r="BA3049" s="82" t="s">
        <v>17385</v>
      </c>
      <c r="BB3049" s="82" t="s">
        <v>17385</v>
      </c>
      <c r="BC3049" s="82" t="s">
        <v>16133</v>
      </c>
      <c r="BD3049" s="82" t="s">
        <v>17674</v>
      </c>
      <c r="BE3049" s="77"/>
      <c r="BF3049" s="77"/>
      <c r="BG3049" s="77"/>
      <c r="BH3049" s="77"/>
      <c r="BI3049" s="77"/>
    </row>
    <row r="3050" spans="1:61" x14ac:dyDescent="0.25">
      <c r="A3050" s="62" t="s">
        <v>655</v>
      </c>
      <c r="B3050" s="62" t="s">
        <v>655</v>
      </c>
      <c r="C3050" s="63"/>
      <c r="D3050" s="64"/>
      <c r="E3050" s="65"/>
      <c r="F3050" s="66"/>
      <c r="G3050" s="63"/>
      <c r="H3050" s="67"/>
      <c r="I3050" s="68"/>
      <c r="J3050" s="68"/>
      <c r="K3050" s="32"/>
      <c r="L3050" s="75">
        <v>3050</v>
      </c>
      <c r="M3050" s="75"/>
      <c r="N3050" s="70"/>
      <c r="O3050" s="77" t="s">
        <v>800</v>
      </c>
      <c r="P3050" s="79">
        <v>45074.062164351853</v>
      </c>
      <c r="Q3050" s="77" t="s">
        <v>3827</v>
      </c>
      <c r="R3050" s="77">
        <v>0</v>
      </c>
      <c r="S3050" s="77">
        <v>0</v>
      </c>
      <c r="T3050" s="77">
        <v>1</v>
      </c>
      <c r="U3050" s="77">
        <v>0</v>
      </c>
      <c r="V3050" s="77">
        <v>21</v>
      </c>
      <c r="W3050" s="82" t="s">
        <v>6395</v>
      </c>
      <c r="X3050" s="80" t="str">
        <f>HYPERLINK("https://lnkd.in/dR48Tw4C")</f>
        <v>https://lnkd.in/dR48Tw4C</v>
      </c>
      <c r="Y3050" s="77" t="s">
        <v>7066</v>
      </c>
      <c r="Z3050" s="77"/>
      <c r="AA3050" s="77"/>
      <c r="AB3050" s="77"/>
      <c r="AC3050" s="82" t="s">
        <v>8234</v>
      </c>
      <c r="AD3050" s="77" t="s">
        <v>8278</v>
      </c>
      <c r="AE3050" s="80" t="str">
        <f>HYPERLINK("https://twitter.com/ocesarkato/status/1662632159943749632")</f>
        <v>https://twitter.com/ocesarkato/status/1662632159943749632</v>
      </c>
      <c r="AF3050" s="79">
        <v>45074.062164351853</v>
      </c>
      <c r="AG3050" s="85">
        <v>45074</v>
      </c>
      <c r="AH3050" s="82" t="s">
        <v>11078</v>
      </c>
      <c r="AI3050" s="77" t="b">
        <v>0</v>
      </c>
      <c r="AJ3050" s="77"/>
      <c r="AK3050" s="77"/>
      <c r="AL3050" s="77"/>
      <c r="AM3050" s="77"/>
      <c r="AN3050" s="77"/>
      <c r="AO3050" s="77"/>
      <c r="AP3050" s="77"/>
      <c r="AQ3050" s="77"/>
      <c r="AR3050" s="77"/>
      <c r="AS3050" s="77"/>
      <c r="AT3050" s="77"/>
      <c r="AU3050" s="77"/>
      <c r="AV3050" s="80" t="str">
        <f>HYPERLINK("https://pbs.twimg.com/profile_images/1706843210608201728/6b38qu3d_normal.jpg")</f>
        <v>https://pbs.twimg.com/profile_images/1706843210608201728/6b38qu3d_normal.jpg</v>
      </c>
      <c r="AW3050" s="82" t="s">
        <v>16134</v>
      </c>
      <c r="AX3050" s="82" t="s">
        <v>17211</v>
      </c>
      <c r="AY3050" s="82" t="s">
        <v>17375</v>
      </c>
      <c r="AZ3050" s="82" t="s">
        <v>17211</v>
      </c>
      <c r="BA3050" s="82" t="s">
        <v>17385</v>
      </c>
      <c r="BB3050" s="82" t="s">
        <v>17385</v>
      </c>
      <c r="BC3050" s="82" t="s">
        <v>17211</v>
      </c>
      <c r="BD3050" s="82" t="s">
        <v>17375</v>
      </c>
      <c r="BE3050" s="77"/>
      <c r="BF3050" s="77"/>
      <c r="BG3050" s="77"/>
      <c r="BH3050" s="77"/>
      <c r="BI3050" s="77"/>
    </row>
    <row r="3051" spans="1:61" x14ac:dyDescent="0.25">
      <c r="A3051" s="62" t="s">
        <v>656</v>
      </c>
      <c r="B3051" s="62" t="s">
        <v>656</v>
      </c>
      <c r="C3051" s="63"/>
      <c r="D3051" s="64"/>
      <c r="E3051" s="65"/>
      <c r="F3051" s="66"/>
      <c r="G3051" s="63"/>
      <c r="H3051" s="67"/>
      <c r="I3051" s="68"/>
      <c r="J3051" s="68"/>
      <c r="K3051" s="32"/>
      <c r="L3051" s="75">
        <v>3051</v>
      </c>
      <c r="M3051" s="75"/>
      <c r="N3051" s="70"/>
      <c r="O3051" s="77" t="s">
        <v>179</v>
      </c>
      <c r="P3051" s="79">
        <v>45089.853958333333</v>
      </c>
      <c r="Q3051" s="77" t="s">
        <v>3828</v>
      </c>
      <c r="R3051" s="77">
        <v>0</v>
      </c>
      <c r="S3051" s="77">
        <v>0</v>
      </c>
      <c r="T3051" s="77">
        <v>0</v>
      </c>
      <c r="U3051" s="77">
        <v>0</v>
      </c>
      <c r="V3051" s="77">
        <v>20</v>
      </c>
      <c r="W3051" s="82" t="s">
        <v>6396</v>
      </c>
      <c r="X3051" s="77"/>
      <c r="Y3051" s="77"/>
      <c r="Z3051" s="77"/>
      <c r="AA3051" s="77" t="s">
        <v>8096</v>
      </c>
      <c r="AB3051" s="77" t="s">
        <v>8227</v>
      </c>
      <c r="AC3051" s="82" t="s">
        <v>8234</v>
      </c>
      <c r="AD3051" s="77" t="s">
        <v>8278</v>
      </c>
      <c r="AE3051" s="80" t="str">
        <f>HYPERLINK("https://twitter.com/maniam_podcast/status/1668354914852954149")</f>
        <v>https://twitter.com/maniam_podcast/status/1668354914852954149</v>
      </c>
      <c r="AF3051" s="79">
        <v>45089.853958333333</v>
      </c>
      <c r="AG3051" s="85">
        <v>45089</v>
      </c>
      <c r="AH3051" s="82" t="s">
        <v>11079</v>
      </c>
      <c r="AI3051" s="77" t="b">
        <v>0</v>
      </c>
      <c r="AJ3051" s="77"/>
      <c r="AK3051" s="77"/>
      <c r="AL3051" s="77"/>
      <c r="AM3051" s="77"/>
      <c r="AN3051" s="77"/>
      <c r="AO3051" s="77"/>
      <c r="AP3051" s="77"/>
      <c r="AQ3051" s="77" t="s">
        <v>12981</v>
      </c>
      <c r="AR3051" s="77">
        <v>20640</v>
      </c>
      <c r="AS3051" s="77"/>
      <c r="AT3051" s="77"/>
      <c r="AU3051" s="77"/>
      <c r="AV3051" s="80" t="str">
        <f>HYPERLINK("https://pbs.twimg.com/ext_tw_video_thumb/1668354847437905925/pu/img/ywYy2vlcNps19Sg4.jpg")</f>
        <v>https://pbs.twimg.com/ext_tw_video_thumb/1668354847437905925/pu/img/ywYy2vlcNps19Sg4.jpg</v>
      </c>
      <c r="AW3051" s="82" t="s">
        <v>16135</v>
      </c>
      <c r="AX3051" s="82" t="s">
        <v>16135</v>
      </c>
      <c r="AY3051" s="77"/>
      <c r="AZ3051" s="82" t="s">
        <v>17385</v>
      </c>
      <c r="BA3051" s="82" t="s">
        <v>17385</v>
      </c>
      <c r="BB3051" s="82" t="s">
        <v>17385</v>
      </c>
      <c r="BC3051" s="82" t="s">
        <v>16135</v>
      </c>
      <c r="BD3051" s="82" t="s">
        <v>17675</v>
      </c>
      <c r="BE3051" s="77"/>
      <c r="BF3051" s="77"/>
      <c r="BG3051" s="77"/>
      <c r="BH3051" s="77"/>
      <c r="BI3051" s="77"/>
    </row>
    <row r="3052" spans="1:61" x14ac:dyDescent="0.25">
      <c r="A3052" s="62" t="s">
        <v>656</v>
      </c>
      <c r="B3052" s="62" t="s">
        <v>656</v>
      </c>
      <c r="C3052" s="63"/>
      <c r="D3052" s="64"/>
      <c r="E3052" s="65"/>
      <c r="F3052" s="66"/>
      <c r="G3052" s="63"/>
      <c r="H3052" s="67"/>
      <c r="I3052" s="68"/>
      <c r="J3052" s="68"/>
      <c r="K3052" s="32"/>
      <c r="L3052" s="75">
        <v>3052</v>
      </c>
      <c r="M3052" s="75"/>
      <c r="N3052" s="70"/>
      <c r="O3052" s="77" t="s">
        <v>179</v>
      </c>
      <c r="P3052" s="79">
        <v>45102.541747685187</v>
      </c>
      <c r="Q3052" s="77" t="s">
        <v>3829</v>
      </c>
      <c r="R3052" s="77">
        <v>0</v>
      </c>
      <c r="S3052" s="77">
        <v>0</v>
      </c>
      <c r="T3052" s="77">
        <v>0</v>
      </c>
      <c r="U3052" s="77">
        <v>0</v>
      </c>
      <c r="V3052" s="77">
        <v>79</v>
      </c>
      <c r="W3052" s="82" t="s">
        <v>6397</v>
      </c>
      <c r="X3052" s="77"/>
      <c r="Y3052" s="77"/>
      <c r="Z3052" s="77"/>
      <c r="AA3052" s="77" t="s">
        <v>8097</v>
      </c>
      <c r="AB3052" s="77" t="s">
        <v>8227</v>
      </c>
      <c r="AC3052" s="82" t="s">
        <v>8234</v>
      </c>
      <c r="AD3052" s="77" t="s">
        <v>8278</v>
      </c>
      <c r="AE3052" s="80" t="str">
        <f>HYPERLINK("https://twitter.com/maniam_podcast/status/1672952813599571973")</f>
        <v>https://twitter.com/maniam_podcast/status/1672952813599571973</v>
      </c>
      <c r="AF3052" s="79">
        <v>45102.541747685187</v>
      </c>
      <c r="AG3052" s="85">
        <v>45102</v>
      </c>
      <c r="AH3052" s="82" t="s">
        <v>11080</v>
      </c>
      <c r="AI3052" s="77" t="b">
        <v>0</v>
      </c>
      <c r="AJ3052" s="77"/>
      <c r="AK3052" s="77"/>
      <c r="AL3052" s="77"/>
      <c r="AM3052" s="77"/>
      <c r="AN3052" s="77"/>
      <c r="AO3052" s="77"/>
      <c r="AP3052" s="77"/>
      <c r="AQ3052" s="77" t="s">
        <v>12982</v>
      </c>
      <c r="AR3052" s="77">
        <v>32240</v>
      </c>
      <c r="AS3052" s="77"/>
      <c r="AT3052" s="77"/>
      <c r="AU3052" s="77"/>
      <c r="AV3052" s="80" t="str">
        <f>HYPERLINK("https://pbs.twimg.com/ext_tw_video_thumb/1672952736332017666/pu/img/T_-2xvKQYU31Qwea.jpg")</f>
        <v>https://pbs.twimg.com/ext_tw_video_thumb/1672952736332017666/pu/img/T_-2xvKQYU31Qwea.jpg</v>
      </c>
      <c r="AW3052" s="82" t="s">
        <v>16136</v>
      </c>
      <c r="AX3052" s="82" t="s">
        <v>16136</v>
      </c>
      <c r="AY3052" s="77"/>
      <c r="AZ3052" s="82" t="s">
        <v>17385</v>
      </c>
      <c r="BA3052" s="82" t="s">
        <v>17385</v>
      </c>
      <c r="BB3052" s="82" t="s">
        <v>17385</v>
      </c>
      <c r="BC3052" s="82" t="s">
        <v>16136</v>
      </c>
      <c r="BD3052" s="82" t="s">
        <v>17675</v>
      </c>
      <c r="BE3052" s="77"/>
      <c r="BF3052" s="77"/>
      <c r="BG3052" s="77"/>
      <c r="BH3052" s="77"/>
      <c r="BI3052" s="77"/>
    </row>
    <row r="3053" spans="1:61" x14ac:dyDescent="0.25">
      <c r="A3053" s="62" t="s">
        <v>656</v>
      </c>
      <c r="B3053" s="62" t="s">
        <v>656</v>
      </c>
      <c r="C3053" s="63"/>
      <c r="D3053" s="64"/>
      <c r="E3053" s="65"/>
      <c r="F3053" s="66"/>
      <c r="G3053" s="63"/>
      <c r="H3053" s="67"/>
      <c r="I3053" s="68"/>
      <c r="J3053" s="68"/>
      <c r="K3053" s="32"/>
      <c r="L3053" s="75">
        <v>3053</v>
      </c>
      <c r="M3053" s="75"/>
      <c r="N3053" s="70"/>
      <c r="O3053" s="77" t="s">
        <v>179</v>
      </c>
      <c r="P3053" s="79">
        <v>45082.431238425925</v>
      </c>
      <c r="Q3053" s="77" t="s">
        <v>3830</v>
      </c>
      <c r="R3053" s="77">
        <v>0</v>
      </c>
      <c r="S3053" s="77">
        <v>0</v>
      </c>
      <c r="T3053" s="77">
        <v>0</v>
      </c>
      <c r="U3053" s="77">
        <v>0</v>
      </c>
      <c r="V3053" s="77">
        <v>27</v>
      </c>
      <c r="W3053" s="82" t="s">
        <v>6398</v>
      </c>
      <c r="X3053" s="77"/>
      <c r="Y3053" s="77"/>
      <c r="Z3053" s="77"/>
      <c r="AA3053" s="77" t="s">
        <v>8098</v>
      </c>
      <c r="AB3053" s="77" t="s">
        <v>8227</v>
      </c>
      <c r="AC3053" s="82" t="s">
        <v>8234</v>
      </c>
      <c r="AD3053" s="77" t="s">
        <v>8278</v>
      </c>
      <c r="AE3053" s="80" t="str">
        <f>HYPERLINK("https://twitter.com/maniam_podcast/status/1665665009618149377")</f>
        <v>https://twitter.com/maniam_podcast/status/1665665009618149377</v>
      </c>
      <c r="AF3053" s="79">
        <v>45082.431238425925</v>
      </c>
      <c r="AG3053" s="85">
        <v>45082</v>
      </c>
      <c r="AH3053" s="82" t="s">
        <v>11081</v>
      </c>
      <c r="AI3053" s="77" t="b">
        <v>0</v>
      </c>
      <c r="AJ3053" s="77" t="s">
        <v>12005</v>
      </c>
      <c r="AK3053" s="77" t="s">
        <v>12009</v>
      </c>
      <c r="AL3053" s="77" t="s">
        <v>12012</v>
      </c>
      <c r="AM3053" s="77" t="s">
        <v>12009</v>
      </c>
      <c r="AN3053" s="86" t="s">
        <v>12037</v>
      </c>
      <c r="AO3053" s="77" t="s">
        <v>12009</v>
      </c>
      <c r="AP3053" s="77" t="s">
        <v>12052</v>
      </c>
      <c r="AQ3053" s="77" t="s">
        <v>12983</v>
      </c>
      <c r="AR3053" s="77">
        <v>23080</v>
      </c>
      <c r="AS3053" s="77"/>
      <c r="AT3053" s="77"/>
      <c r="AU3053" s="77"/>
      <c r="AV3053" s="80" t="str">
        <f>HYPERLINK("https://pbs.twimg.com/ext_tw_video_thumb/1665664934984679425/pu/img/Tkkn_CkdSFJTser7.jpg")</f>
        <v>https://pbs.twimg.com/ext_tw_video_thumb/1665664934984679425/pu/img/Tkkn_CkdSFJTser7.jpg</v>
      </c>
      <c r="AW3053" s="82" t="s">
        <v>16137</v>
      </c>
      <c r="AX3053" s="82" t="s">
        <v>16137</v>
      </c>
      <c r="AY3053" s="77"/>
      <c r="AZ3053" s="82" t="s">
        <v>17385</v>
      </c>
      <c r="BA3053" s="82" t="s">
        <v>17385</v>
      </c>
      <c r="BB3053" s="82" t="s">
        <v>17385</v>
      </c>
      <c r="BC3053" s="82" t="s">
        <v>16137</v>
      </c>
      <c r="BD3053" s="82" t="s">
        <v>17675</v>
      </c>
      <c r="BE3053" s="77"/>
      <c r="BF3053" s="77"/>
      <c r="BG3053" s="77"/>
      <c r="BH3053" s="77"/>
      <c r="BI3053" s="77"/>
    </row>
    <row r="3054" spans="1:61" x14ac:dyDescent="0.25">
      <c r="A3054" s="62" t="s">
        <v>656</v>
      </c>
      <c r="B3054" s="62" t="s">
        <v>656</v>
      </c>
      <c r="C3054" s="63"/>
      <c r="D3054" s="64"/>
      <c r="E3054" s="65"/>
      <c r="F3054" s="66"/>
      <c r="G3054" s="63"/>
      <c r="H3054" s="67"/>
      <c r="I3054" s="68"/>
      <c r="J3054" s="68"/>
      <c r="K3054" s="32"/>
      <c r="L3054" s="75">
        <v>3054</v>
      </c>
      <c r="M3054" s="75"/>
      <c r="N3054" s="70"/>
      <c r="O3054" s="77" t="s">
        <v>179</v>
      </c>
      <c r="P3054" s="79">
        <v>45079.990671296298</v>
      </c>
      <c r="Q3054" s="77" t="s">
        <v>3831</v>
      </c>
      <c r="R3054" s="77">
        <v>0</v>
      </c>
      <c r="S3054" s="77">
        <v>0</v>
      </c>
      <c r="T3054" s="77">
        <v>0</v>
      </c>
      <c r="U3054" s="77">
        <v>0</v>
      </c>
      <c r="V3054" s="77">
        <v>31</v>
      </c>
      <c r="W3054" s="82" t="s">
        <v>6397</v>
      </c>
      <c r="X3054" s="77"/>
      <c r="Y3054" s="77"/>
      <c r="Z3054" s="77"/>
      <c r="AA3054" s="77" t="s">
        <v>8099</v>
      </c>
      <c r="AB3054" s="77" t="s">
        <v>8227</v>
      </c>
      <c r="AC3054" s="82" t="s">
        <v>8234</v>
      </c>
      <c r="AD3054" s="77" t="s">
        <v>8278</v>
      </c>
      <c r="AE3054" s="80" t="str">
        <f>HYPERLINK("https://twitter.com/maniam_podcast/status/1664780577143234561")</f>
        <v>https://twitter.com/maniam_podcast/status/1664780577143234561</v>
      </c>
      <c r="AF3054" s="79">
        <v>45079.990671296298</v>
      </c>
      <c r="AG3054" s="85">
        <v>45079</v>
      </c>
      <c r="AH3054" s="82" t="s">
        <v>11082</v>
      </c>
      <c r="AI3054" s="77" t="b">
        <v>0</v>
      </c>
      <c r="AJ3054" s="77"/>
      <c r="AK3054" s="77"/>
      <c r="AL3054" s="77"/>
      <c r="AM3054" s="77"/>
      <c r="AN3054" s="77"/>
      <c r="AO3054" s="77"/>
      <c r="AP3054" s="77"/>
      <c r="AQ3054" s="77" t="s">
        <v>12984</v>
      </c>
      <c r="AR3054" s="77">
        <v>19248</v>
      </c>
      <c r="AS3054" s="77"/>
      <c r="AT3054" s="77"/>
      <c r="AU3054" s="77"/>
      <c r="AV3054" s="80" t="str">
        <f>HYPERLINK("https://pbs.twimg.com/ext_tw_video_thumb/1664780509971468289/pu/img/F4HjzTYfynmRXyzs.jpg")</f>
        <v>https://pbs.twimg.com/ext_tw_video_thumb/1664780509971468289/pu/img/F4HjzTYfynmRXyzs.jpg</v>
      </c>
      <c r="AW3054" s="82" t="s">
        <v>16138</v>
      </c>
      <c r="AX3054" s="82" t="s">
        <v>16138</v>
      </c>
      <c r="AY3054" s="77"/>
      <c r="AZ3054" s="82" t="s">
        <v>17385</v>
      </c>
      <c r="BA3054" s="82" t="s">
        <v>17385</v>
      </c>
      <c r="BB3054" s="82" t="s">
        <v>17385</v>
      </c>
      <c r="BC3054" s="82" t="s">
        <v>16138</v>
      </c>
      <c r="BD3054" s="82" t="s">
        <v>17675</v>
      </c>
      <c r="BE3054" s="77"/>
      <c r="BF3054" s="77"/>
      <c r="BG3054" s="77"/>
      <c r="BH3054" s="77"/>
      <c r="BI3054" s="77"/>
    </row>
    <row r="3055" spans="1:61" x14ac:dyDescent="0.25">
      <c r="A3055" s="62" t="s">
        <v>656</v>
      </c>
      <c r="B3055" s="62" t="s">
        <v>656</v>
      </c>
      <c r="C3055" s="63"/>
      <c r="D3055" s="64"/>
      <c r="E3055" s="65"/>
      <c r="F3055" s="66"/>
      <c r="G3055" s="63"/>
      <c r="H3055" s="67"/>
      <c r="I3055" s="68"/>
      <c r="J3055" s="68"/>
      <c r="K3055" s="32"/>
      <c r="L3055" s="75">
        <v>3055</v>
      </c>
      <c r="M3055" s="75"/>
      <c r="N3055" s="70"/>
      <c r="O3055" s="77" t="s">
        <v>179</v>
      </c>
      <c r="P3055" s="79">
        <v>45094.950694444444</v>
      </c>
      <c r="Q3055" s="77" t="s">
        <v>3832</v>
      </c>
      <c r="R3055" s="77">
        <v>0</v>
      </c>
      <c r="S3055" s="77">
        <v>1</v>
      </c>
      <c r="T3055" s="77">
        <v>0</v>
      </c>
      <c r="U3055" s="77">
        <v>0</v>
      </c>
      <c r="V3055" s="77">
        <v>37</v>
      </c>
      <c r="W3055" s="82" t="s">
        <v>6399</v>
      </c>
      <c r="X3055" s="77"/>
      <c r="Y3055" s="77"/>
      <c r="Z3055" s="77"/>
      <c r="AA3055" s="77" t="s">
        <v>8100</v>
      </c>
      <c r="AB3055" s="77" t="s">
        <v>8227</v>
      </c>
      <c r="AC3055" s="82" t="s">
        <v>8234</v>
      </c>
      <c r="AD3055" s="77" t="s">
        <v>8278</v>
      </c>
      <c r="AE3055" s="80" t="str">
        <f>HYPERLINK("https://twitter.com/maniam_podcast/status/1670201908001210369")</f>
        <v>https://twitter.com/maniam_podcast/status/1670201908001210369</v>
      </c>
      <c r="AF3055" s="79">
        <v>45094.950694444444</v>
      </c>
      <c r="AG3055" s="85">
        <v>45094</v>
      </c>
      <c r="AH3055" s="82" t="s">
        <v>11083</v>
      </c>
      <c r="AI3055" s="77" t="b">
        <v>0</v>
      </c>
      <c r="AJ3055" s="77"/>
      <c r="AK3055" s="77"/>
      <c r="AL3055" s="77"/>
      <c r="AM3055" s="77"/>
      <c r="AN3055" s="77"/>
      <c r="AO3055" s="77"/>
      <c r="AP3055" s="77"/>
      <c r="AQ3055" s="77" t="s">
        <v>12985</v>
      </c>
      <c r="AR3055" s="77">
        <v>23280</v>
      </c>
      <c r="AS3055" s="77"/>
      <c r="AT3055" s="77"/>
      <c r="AU3055" s="77"/>
      <c r="AV3055" s="80" t="str">
        <f>HYPERLINK("https://pbs.twimg.com/ext_tw_video_thumb/1670201846256787456/pu/img/G5SOAnOA06CFNxG5.jpg")</f>
        <v>https://pbs.twimg.com/ext_tw_video_thumb/1670201846256787456/pu/img/G5SOAnOA06CFNxG5.jpg</v>
      </c>
      <c r="AW3055" s="82" t="s">
        <v>16139</v>
      </c>
      <c r="AX3055" s="82" t="s">
        <v>16139</v>
      </c>
      <c r="AY3055" s="77"/>
      <c r="AZ3055" s="82" t="s">
        <v>17385</v>
      </c>
      <c r="BA3055" s="82" t="s">
        <v>17385</v>
      </c>
      <c r="BB3055" s="82" t="s">
        <v>17385</v>
      </c>
      <c r="BC3055" s="82" t="s">
        <v>16139</v>
      </c>
      <c r="BD3055" s="82" t="s">
        <v>17675</v>
      </c>
      <c r="BE3055" s="77"/>
      <c r="BF3055" s="77"/>
      <c r="BG3055" s="77"/>
      <c r="BH3055" s="77"/>
      <c r="BI3055" s="77"/>
    </row>
    <row r="3056" spans="1:61" x14ac:dyDescent="0.25">
      <c r="A3056" s="62" t="s">
        <v>656</v>
      </c>
      <c r="B3056" s="62" t="s">
        <v>656</v>
      </c>
      <c r="C3056" s="63"/>
      <c r="D3056" s="64"/>
      <c r="E3056" s="65"/>
      <c r="F3056" s="66"/>
      <c r="G3056" s="63"/>
      <c r="H3056" s="67"/>
      <c r="I3056" s="68"/>
      <c r="J3056" s="68"/>
      <c r="K3056" s="32"/>
      <c r="L3056" s="75">
        <v>3056</v>
      </c>
      <c r="M3056" s="75"/>
      <c r="N3056" s="70"/>
      <c r="O3056" s="77" t="s">
        <v>179</v>
      </c>
      <c r="P3056" s="79">
        <v>45104.958831018521</v>
      </c>
      <c r="Q3056" s="77" t="s">
        <v>3833</v>
      </c>
      <c r="R3056" s="77">
        <v>0</v>
      </c>
      <c r="S3056" s="77">
        <v>0</v>
      </c>
      <c r="T3056" s="77">
        <v>0</v>
      </c>
      <c r="U3056" s="77">
        <v>0</v>
      </c>
      <c r="V3056" s="77">
        <v>20</v>
      </c>
      <c r="W3056" s="82" t="s">
        <v>6400</v>
      </c>
      <c r="X3056" s="77"/>
      <c r="Y3056" s="77"/>
      <c r="Z3056" s="77"/>
      <c r="AA3056" s="77" t="s">
        <v>8101</v>
      </c>
      <c r="AB3056" s="77" t="s">
        <v>8227</v>
      </c>
      <c r="AC3056" s="82" t="s">
        <v>8234</v>
      </c>
      <c r="AD3056" s="77" t="s">
        <v>8278</v>
      </c>
      <c r="AE3056" s="80" t="str">
        <f>HYPERLINK("https://twitter.com/maniam_podcast/status/1673828735118630912")</f>
        <v>https://twitter.com/maniam_podcast/status/1673828735118630912</v>
      </c>
      <c r="AF3056" s="79">
        <v>45104.958831018521</v>
      </c>
      <c r="AG3056" s="85">
        <v>45104</v>
      </c>
      <c r="AH3056" s="82" t="s">
        <v>11084</v>
      </c>
      <c r="AI3056" s="77" t="b">
        <v>0</v>
      </c>
      <c r="AJ3056" s="77"/>
      <c r="AK3056" s="77"/>
      <c r="AL3056" s="77"/>
      <c r="AM3056" s="77"/>
      <c r="AN3056" s="77"/>
      <c r="AO3056" s="77"/>
      <c r="AP3056" s="77"/>
      <c r="AQ3056" s="77" t="s">
        <v>12986</v>
      </c>
      <c r="AR3056" s="77">
        <v>18691</v>
      </c>
      <c r="AS3056" s="77"/>
      <c r="AT3056" s="77"/>
      <c r="AU3056" s="77"/>
      <c r="AV3056" s="80" t="str">
        <f>HYPERLINK("https://pbs.twimg.com/ext_tw_video_thumb/1673828675639209985/pu/img/_m4pIXshhTRn-M6B.jpg")</f>
        <v>https://pbs.twimg.com/ext_tw_video_thumb/1673828675639209985/pu/img/_m4pIXshhTRn-M6B.jpg</v>
      </c>
      <c r="AW3056" s="82" t="s">
        <v>16140</v>
      </c>
      <c r="AX3056" s="82" t="s">
        <v>16140</v>
      </c>
      <c r="AY3056" s="77"/>
      <c r="AZ3056" s="82" t="s">
        <v>17385</v>
      </c>
      <c r="BA3056" s="82" t="s">
        <v>17385</v>
      </c>
      <c r="BB3056" s="82" t="s">
        <v>17385</v>
      </c>
      <c r="BC3056" s="82" t="s">
        <v>16140</v>
      </c>
      <c r="BD3056" s="82" t="s">
        <v>17675</v>
      </c>
      <c r="BE3056" s="77"/>
      <c r="BF3056" s="77"/>
      <c r="BG3056" s="77"/>
      <c r="BH3056" s="77"/>
      <c r="BI3056" s="77"/>
    </row>
    <row r="3057" spans="1:61" x14ac:dyDescent="0.25">
      <c r="A3057" s="62" t="s">
        <v>656</v>
      </c>
      <c r="B3057" s="62" t="s">
        <v>656</v>
      </c>
      <c r="C3057" s="63"/>
      <c r="D3057" s="64"/>
      <c r="E3057" s="65"/>
      <c r="F3057" s="66"/>
      <c r="G3057" s="63"/>
      <c r="H3057" s="67"/>
      <c r="I3057" s="68"/>
      <c r="J3057" s="68"/>
      <c r="K3057" s="32"/>
      <c r="L3057" s="75">
        <v>3057</v>
      </c>
      <c r="M3057" s="75"/>
      <c r="N3057" s="70"/>
      <c r="O3057" s="77" t="s">
        <v>179</v>
      </c>
      <c r="P3057" s="79">
        <v>45104.951782407406</v>
      </c>
      <c r="Q3057" s="77" t="s">
        <v>3834</v>
      </c>
      <c r="R3057" s="77">
        <v>0</v>
      </c>
      <c r="S3057" s="77">
        <v>0</v>
      </c>
      <c r="T3057" s="77">
        <v>0</v>
      </c>
      <c r="U3057" s="77">
        <v>0</v>
      </c>
      <c r="V3057" s="77">
        <v>21</v>
      </c>
      <c r="W3057" s="82" t="s">
        <v>6401</v>
      </c>
      <c r="X3057" s="77"/>
      <c r="Y3057" s="77"/>
      <c r="Z3057" s="77"/>
      <c r="AA3057" s="77" t="s">
        <v>8102</v>
      </c>
      <c r="AB3057" s="77" t="s">
        <v>8227</v>
      </c>
      <c r="AC3057" s="82" t="s">
        <v>8234</v>
      </c>
      <c r="AD3057" s="77" t="s">
        <v>8278</v>
      </c>
      <c r="AE3057" s="80" t="str">
        <f>HYPERLINK("https://twitter.com/maniam_podcast/status/1673826180653371392")</f>
        <v>https://twitter.com/maniam_podcast/status/1673826180653371392</v>
      </c>
      <c r="AF3057" s="79">
        <v>45104.951782407406</v>
      </c>
      <c r="AG3057" s="85">
        <v>45104</v>
      </c>
      <c r="AH3057" s="82" t="s">
        <v>11085</v>
      </c>
      <c r="AI3057" s="77" t="b">
        <v>0</v>
      </c>
      <c r="AJ3057" s="77" t="s">
        <v>12005</v>
      </c>
      <c r="AK3057" s="77" t="s">
        <v>12009</v>
      </c>
      <c r="AL3057" s="77" t="s">
        <v>12012</v>
      </c>
      <c r="AM3057" s="77" t="s">
        <v>12009</v>
      </c>
      <c r="AN3057" s="86" t="s">
        <v>12037</v>
      </c>
      <c r="AO3057" s="77" t="s">
        <v>12009</v>
      </c>
      <c r="AP3057" s="77" t="s">
        <v>12052</v>
      </c>
      <c r="AQ3057" s="77" t="s">
        <v>12987</v>
      </c>
      <c r="AR3057" s="77">
        <v>26098</v>
      </c>
      <c r="AS3057" s="77"/>
      <c r="AT3057" s="77"/>
      <c r="AU3057" s="77"/>
      <c r="AV3057" s="80" t="str">
        <f>HYPERLINK("https://pbs.twimg.com/ext_tw_video_thumb/1673826118305030146/pu/img/lQJbAaWHb2Uhlagm.jpg")</f>
        <v>https://pbs.twimg.com/ext_tw_video_thumb/1673826118305030146/pu/img/lQJbAaWHb2Uhlagm.jpg</v>
      </c>
      <c r="AW3057" s="82" t="s">
        <v>16141</v>
      </c>
      <c r="AX3057" s="82" t="s">
        <v>16141</v>
      </c>
      <c r="AY3057" s="77"/>
      <c r="AZ3057" s="82" t="s">
        <v>17385</v>
      </c>
      <c r="BA3057" s="82" t="s">
        <v>17385</v>
      </c>
      <c r="BB3057" s="82" t="s">
        <v>17385</v>
      </c>
      <c r="BC3057" s="82" t="s">
        <v>16141</v>
      </c>
      <c r="BD3057" s="82" t="s">
        <v>17675</v>
      </c>
      <c r="BE3057" s="77"/>
      <c r="BF3057" s="77"/>
      <c r="BG3057" s="77"/>
      <c r="BH3057" s="77"/>
      <c r="BI3057" s="77"/>
    </row>
    <row r="3058" spans="1:61" x14ac:dyDescent="0.25">
      <c r="A3058" s="62" t="s">
        <v>656</v>
      </c>
      <c r="B3058" s="62" t="s">
        <v>656</v>
      </c>
      <c r="C3058" s="63"/>
      <c r="D3058" s="64"/>
      <c r="E3058" s="65"/>
      <c r="F3058" s="66"/>
      <c r="G3058" s="63"/>
      <c r="H3058" s="67"/>
      <c r="I3058" s="68"/>
      <c r="J3058" s="68"/>
      <c r="K3058" s="32"/>
      <c r="L3058" s="75">
        <v>3058</v>
      </c>
      <c r="M3058" s="75"/>
      <c r="N3058" s="70"/>
      <c r="O3058" s="77" t="s">
        <v>179</v>
      </c>
      <c r="P3058" s="79">
        <v>45100.504004629627</v>
      </c>
      <c r="Q3058" s="77" t="s">
        <v>3835</v>
      </c>
      <c r="R3058" s="77">
        <v>0</v>
      </c>
      <c r="S3058" s="77">
        <v>0</v>
      </c>
      <c r="T3058" s="77">
        <v>0</v>
      </c>
      <c r="U3058" s="77">
        <v>1</v>
      </c>
      <c r="V3058" s="77">
        <v>27</v>
      </c>
      <c r="W3058" s="82" t="s">
        <v>6402</v>
      </c>
      <c r="X3058" s="77"/>
      <c r="Y3058" s="77"/>
      <c r="Z3058" s="77"/>
      <c r="AA3058" s="77" t="s">
        <v>8103</v>
      </c>
      <c r="AB3058" s="77" t="s">
        <v>8227</v>
      </c>
      <c r="AC3058" s="82" t="s">
        <v>8234</v>
      </c>
      <c r="AD3058" s="77" t="s">
        <v>8278</v>
      </c>
      <c r="AE3058" s="80" t="str">
        <f>HYPERLINK("https://twitter.com/maniam_podcast/status/1672214360809259008")</f>
        <v>https://twitter.com/maniam_podcast/status/1672214360809259008</v>
      </c>
      <c r="AF3058" s="79">
        <v>45100.504004629627</v>
      </c>
      <c r="AG3058" s="85">
        <v>45100</v>
      </c>
      <c r="AH3058" s="82" t="s">
        <v>11086</v>
      </c>
      <c r="AI3058" s="77" t="b">
        <v>0</v>
      </c>
      <c r="AJ3058" s="77"/>
      <c r="AK3058" s="77"/>
      <c r="AL3058" s="77"/>
      <c r="AM3058" s="77"/>
      <c r="AN3058" s="77"/>
      <c r="AO3058" s="77"/>
      <c r="AP3058" s="77"/>
      <c r="AQ3058" s="77" t="s">
        <v>12988</v>
      </c>
      <c r="AR3058" s="77">
        <v>17140</v>
      </c>
      <c r="AS3058" s="77"/>
      <c r="AT3058" s="77"/>
      <c r="AU3058" s="77"/>
      <c r="AV3058" s="80" t="str">
        <f>HYPERLINK("https://pbs.twimg.com/ext_tw_video_thumb/1672214298330800128/pu/img/db2lHrLy25PLCUwT.jpg")</f>
        <v>https://pbs.twimg.com/ext_tw_video_thumb/1672214298330800128/pu/img/db2lHrLy25PLCUwT.jpg</v>
      </c>
      <c r="AW3058" s="82" t="s">
        <v>16142</v>
      </c>
      <c r="AX3058" s="82" t="s">
        <v>16142</v>
      </c>
      <c r="AY3058" s="77"/>
      <c r="AZ3058" s="82" t="s">
        <v>17385</v>
      </c>
      <c r="BA3058" s="82" t="s">
        <v>17385</v>
      </c>
      <c r="BB3058" s="82" t="s">
        <v>17385</v>
      </c>
      <c r="BC3058" s="82" t="s">
        <v>16142</v>
      </c>
      <c r="BD3058" s="82" t="s">
        <v>17675</v>
      </c>
      <c r="BE3058" s="77"/>
      <c r="BF3058" s="77"/>
      <c r="BG3058" s="77"/>
      <c r="BH3058" s="77"/>
      <c r="BI3058" s="77"/>
    </row>
    <row r="3059" spans="1:61" x14ac:dyDescent="0.25">
      <c r="A3059" s="62" t="s">
        <v>656</v>
      </c>
      <c r="B3059" s="62" t="s">
        <v>656</v>
      </c>
      <c r="C3059" s="63"/>
      <c r="D3059" s="64"/>
      <c r="E3059" s="65"/>
      <c r="F3059" s="66"/>
      <c r="G3059" s="63"/>
      <c r="H3059" s="67"/>
      <c r="I3059" s="68"/>
      <c r="J3059" s="68"/>
      <c r="K3059" s="32"/>
      <c r="L3059" s="75">
        <v>3059</v>
      </c>
      <c r="M3059" s="75"/>
      <c r="N3059" s="70"/>
      <c r="O3059" s="77" t="s">
        <v>179</v>
      </c>
      <c r="P3059" s="79">
        <v>45079.353784722225</v>
      </c>
      <c r="Q3059" s="77" t="s">
        <v>3836</v>
      </c>
      <c r="R3059" s="77">
        <v>0</v>
      </c>
      <c r="S3059" s="77">
        <v>0</v>
      </c>
      <c r="T3059" s="77">
        <v>0</v>
      </c>
      <c r="U3059" s="77">
        <v>0</v>
      </c>
      <c r="V3059" s="77">
        <v>45</v>
      </c>
      <c r="W3059" s="82" t="s">
        <v>6403</v>
      </c>
      <c r="X3059" s="77"/>
      <c r="Y3059" s="77"/>
      <c r="Z3059" s="77"/>
      <c r="AA3059" s="77" t="s">
        <v>8104</v>
      </c>
      <c r="AB3059" s="77" t="s">
        <v>8227</v>
      </c>
      <c r="AC3059" s="82" t="s">
        <v>8234</v>
      </c>
      <c r="AD3059" s="77" t="s">
        <v>8278</v>
      </c>
      <c r="AE3059" s="80" t="str">
        <f>HYPERLINK("https://twitter.com/maniam_podcast/status/1664549778108055552")</f>
        <v>https://twitter.com/maniam_podcast/status/1664549778108055552</v>
      </c>
      <c r="AF3059" s="79">
        <v>45079.353784722225</v>
      </c>
      <c r="AG3059" s="85">
        <v>45079</v>
      </c>
      <c r="AH3059" s="82" t="s">
        <v>11087</v>
      </c>
      <c r="AI3059" s="77" t="b">
        <v>0</v>
      </c>
      <c r="AJ3059" s="77" t="s">
        <v>12006</v>
      </c>
      <c r="AK3059" s="77" t="s">
        <v>12009</v>
      </c>
      <c r="AL3059" s="77" t="s">
        <v>12012</v>
      </c>
      <c r="AM3059" s="77" t="s">
        <v>12024</v>
      </c>
      <c r="AN3059" s="77" t="s">
        <v>12038</v>
      </c>
      <c r="AO3059" s="77" t="s">
        <v>12050</v>
      </c>
      <c r="AP3059" s="77" t="s">
        <v>12051</v>
      </c>
      <c r="AQ3059" s="77" t="s">
        <v>12989</v>
      </c>
      <c r="AR3059" s="77">
        <v>21849</v>
      </c>
      <c r="AS3059" s="77"/>
      <c r="AT3059" s="77"/>
      <c r="AU3059" s="77"/>
      <c r="AV3059" s="80" t="str">
        <f>HYPERLINK("https://pbs.twimg.com/ext_tw_video_thumb/1664549690669510656/pu/img/88wKrdU1uHOR-7OO.jpg")</f>
        <v>https://pbs.twimg.com/ext_tw_video_thumb/1664549690669510656/pu/img/88wKrdU1uHOR-7OO.jpg</v>
      </c>
      <c r="AW3059" s="82" t="s">
        <v>16143</v>
      </c>
      <c r="AX3059" s="82" t="s">
        <v>16143</v>
      </c>
      <c r="AY3059" s="77"/>
      <c r="AZ3059" s="82" t="s">
        <v>17385</v>
      </c>
      <c r="BA3059" s="82" t="s">
        <v>17385</v>
      </c>
      <c r="BB3059" s="82" t="s">
        <v>17385</v>
      </c>
      <c r="BC3059" s="82" t="s">
        <v>16143</v>
      </c>
      <c r="BD3059" s="82" t="s">
        <v>17675</v>
      </c>
      <c r="BE3059" s="77"/>
      <c r="BF3059" s="77"/>
      <c r="BG3059" s="77"/>
      <c r="BH3059" s="77"/>
      <c r="BI3059" s="77"/>
    </row>
    <row r="3060" spans="1:61" x14ac:dyDescent="0.25">
      <c r="A3060" s="62" t="s">
        <v>656</v>
      </c>
      <c r="B3060" s="62" t="s">
        <v>656</v>
      </c>
      <c r="C3060" s="63"/>
      <c r="D3060" s="64"/>
      <c r="E3060" s="65"/>
      <c r="F3060" s="66"/>
      <c r="G3060" s="63"/>
      <c r="H3060" s="67"/>
      <c r="I3060" s="68"/>
      <c r="J3060" s="68"/>
      <c r="K3060" s="32"/>
      <c r="L3060" s="75">
        <v>3060</v>
      </c>
      <c r="M3060" s="75"/>
      <c r="N3060" s="70"/>
      <c r="O3060" s="77" t="s">
        <v>179</v>
      </c>
      <c r="P3060" s="79">
        <v>45109.496215277781</v>
      </c>
      <c r="Q3060" s="77" t="s">
        <v>3837</v>
      </c>
      <c r="R3060" s="77">
        <v>0</v>
      </c>
      <c r="S3060" s="77">
        <v>2</v>
      </c>
      <c r="T3060" s="77">
        <v>0</v>
      </c>
      <c r="U3060" s="77">
        <v>0</v>
      </c>
      <c r="V3060" s="77">
        <v>58</v>
      </c>
      <c r="W3060" s="82" t="s">
        <v>6404</v>
      </c>
      <c r="X3060" s="77"/>
      <c r="Y3060" s="77"/>
      <c r="Z3060" s="77"/>
      <c r="AA3060" s="77" t="s">
        <v>8105</v>
      </c>
      <c r="AB3060" s="77" t="s">
        <v>8227</v>
      </c>
      <c r="AC3060" s="82" t="s">
        <v>8234</v>
      </c>
      <c r="AD3060" s="77" t="s">
        <v>8278</v>
      </c>
      <c r="AE3060" s="80" t="str">
        <f>HYPERLINK("https://twitter.com/maniam_podcast/status/1675473030519087106")</f>
        <v>https://twitter.com/maniam_podcast/status/1675473030519087106</v>
      </c>
      <c r="AF3060" s="79">
        <v>45109.496215277781</v>
      </c>
      <c r="AG3060" s="85">
        <v>45109</v>
      </c>
      <c r="AH3060" s="82" t="s">
        <v>11088</v>
      </c>
      <c r="AI3060" s="77" t="b">
        <v>0</v>
      </c>
      <c r="AJ3060" s="77"/>
      <c r="AK3060" s="77"/>
      <c r="AL3060" s="77"/>
      <c r="AM3060" s="77"/>
      <c r="AN3060" s="77"/>
      <c r="AO3060" s="77"/>
      <c r="AP3060" s="77"/>
      <c r="AQ3060" s="77" t="s">
        <v>12990</v>
      </c>
      <c r="AR3060" s="77">
        <v>23380</v>
      </c>
      <c r="AS3060" s="77"/>
      <c r="AT3060" s="77"/>
      <c r="AU3060" s="77"/>
      <c r="AV3060" s="80" t="str">
        <f>HYPERLINK("https://pbs.twimg.com/ext_tw_video_thumb/1675472952828088322/pu/img/jSvwEtksYm04GYRl.jpg")</f>
        <v>https://pbs.twimg.com/ext_tw_video_thumb/1675472952828088322/pu/img/jSvwEtksYm04GYRl.jpg</v>
      </c>
      <c r="AW3060" s="82" t="s">
        <v>16144</v>
      </c>
      <c r="AX3060" s="82" t="s">
        <v>16144</v>
      </c>
      <c r="AY3060" s="77"/>
      <c r="AZ3060" s="82" t="s">
        <v>17385</v>
      </c>
      <c r="BA3060" s="82" t="s">
        <v>17385</v>
      </c>
      <c r="BB3060" s="82" t="s">
        <v>17385</v>
      </c>
      <c r="BC3060" s="82" t="s">
        <v>16144</v>
      </c>
      <c r="BD3060" s="82" t="s">
        <v>17675</v>
      </c>
      <c r="BE3060" s="77"/>
      <c r="BF3060" s="77"/>
      <c r="BG3060" s="77"/>
      <c r="BH3060" s="77"/>
      <c r="BI3060" s="77"/>
    </row>
    <row r="3061" spans="1:61" x14ac:dyDescent="0.25">
      <c r="A3061" s="62" t="s">
        <v>656</v>
      </c>
      <c r="B3061" s="62" t="s">
        <v>656</v>
      </c>
      <c r="C3061" s="63"/>
      <c r="D3061" s="64"/>
      <c r="E3061" s="65"/>
      <c r="F3061" s="66"/>
      <c r="G3061" s="63"/>
      <c r="H3061" s="67"/>
      <c r="I3061" s="68"/>
      <c r="J3061" s="68"/>
      <c r="K3061" s="32"/>
      <c r="L3061" s="75">
        <v>3061</v>
      </c>
      <c r="M3061" s="75"/>
      <c r="N3061" s="70"/>
      <c r="O3061" s="77" t="s">
        <v>179</v>
      </c>
      <c r="P3061" s="79">
        <v>45107.959097222221</v>
      </c>
      <c r="Q3061" s="77" t="s">
        <v>3838</v>
      </c>
      <c r="R3061" s="77">
        <v>0</v>
      </c>
      <c r="S3061" s="77">
        <v>0</v>
      </c>
      <c r="T3061" s="77">
        <v>0</v>
      </c>
      <c r="U3061" s="77">
        <v>0</v>
      </c>
      <c r="V3061" s="77">
        <v>35</v>
      </c>
      <c r="W3061" s="82" t="s">
        <v>6405</v>
      </c>
      <c r="X3061" s="77"/>
      <c r="Y3061" s="77"/>
      <c r="Z3061" s="77"/>
      <c r="AA3061" s="77" t="s">
        <v>8106</v>
      </c>
      <c r="AB3061" s="77" t="s">
        <v>8227</v>
      </c>
      <c r="AC3061" s="82" t="s">
        <v>8234</v>
      </c>
      <c r="AD3061" s="77" t="s">
        <v>8278</v>
      </c>
      <c r="AE3061" s="80" t="str">
        <f>HYPERLINK("https://twitter.com/maniam_podcast/status/1674915996971286532")</f>
        <v>https://twitter.com/maniam_podcast/status/1674915996971286532</v>
      </c>
      <c r="AF3061" s="79">
        <v>45107.959097222221</v>
      </c>
      <c r="AG3061" s="85">
        <v>45107</v>
      </c>
      <c r="AH3061" s="82" t="s">
        <v>11089</v>
      </c>
      <c r="AI3061" s="77" t="b">
        <v>0</v>
      </c>
      <c r="AJ3061" s="77"/>
      <c r="AK3061" s="77"/>
      <c r="AL3061" s="77"/>
      <c r="AM3061" s="77"/>
      <c r="AN3061" s="77"/>
      <c r="AO3061" s="77"/>
      <c r="AP3061" s="77"/>
      <c r="AQ3061" s="77" t="s">
        <v>12991</v>
      </c>
      <c r="AR3061" s="77">
        <v>37640</v>
      </c>
      <c r="AS3061" s="77"/>
      <c r="AT3061" s="77"/>
      <c r="AU3061" s="77"/>
      <c r="AV3061" s="80" t="str">
        <f>HYPERLINK("https://pbs.twimg.com/ext_tw_video_thumb/1674915899629772801/pu/img/agR1WrhwjQFrDlhy.jpg")</f>
        <v>https://pbs.twimg.com/ext_tw_video_thumb/1674915899629772801/pu/img/agR1WrhwjQFrDlhy.jpg</v>
      </c>
      <c r="AW3061" s="82" t="s">
        <v>16145</v>
      </c>
      <c r="AX3061" s="82" t="s">
        <v>16145</v>
      </c>
      <c r="AY3061" s="77"/>
      <c r="AZ3061" s="82" t="s">
        <v>17385</v>
      </c>
      <c r="BA3061" s="82" t="s">
        <v>17385</v>
      </c>
      <c r="BB3061" s="82" t="s">
        <v>17385</v>
      </c>
      <c r="BC3061" s="82" t="s">
        <v>16145</v>
      </c>
      <c r="BD3061" s="82" t="s">
        <v>17675</v>
      </c>
      <c r="BE3061" s="77"/>
      <c r="BF3061" s="77"/>
      <c r="BG3061" s="77"/>
      <c r="BH3061" s="77"/>
      <c r="BI3061" s="77"/>
    </row>
    <row r="3062" spans="1:61" x14ac:dyDescent="0.25">
      <c r="A3062" s="62" t="s">
        <v>656</v>
      </c>
      <c r="B3062" s="62" t="s">
        <v>656</v>
      </c>
      <c r="C3062" s="63"/>
      <c r="D3062" s="64"/>
      <c r="E3062" s="65"/>
      <c r="F3062" s="66"/>
      <c r="G3062" s="63"/>
      <c r="H3062" s="67"/>
      <c r="I3062" s="68"/>
      <c r="J3062" s="68"/>
      <c r="K3062" s="32"/>
      <c r="L3062" s="75">
        <v>3062</v>
      </c>
      <c r="M3062" s="75"/>
      <c r="N3062" s="70"/>
      <c r="O3062" s="77" t="s">
        <v>179</v>
      </c>
      <c r="P3062" s="79">
        <v>45084.925844907404</v>
      </c>
      <c r="Q3062" s="77" t="s">
        <v>3839</v>
      </c>
      <c r="R3062" s="77">
        <v>0</v>
      </c>
      <c r="S3062" s="77">
        <v>0</v>
      </c>
      <c r="T3062" s="77">
        <v>0</v>
      </c>
      <c r="U3062" s="77">
        <v>0</v>
      </c>
      <c r="V3062" s="77">
        <v>31</v>
      </c>
      <c r="W3062" s="82" t="s">
        <v>6406</v>
      </c>
      <c r="X3062" s="77"/>
      <c r="Y3062" s="77"/>
      <c r="Z3062" s="77"/>
      <c r="AA3062" s="77" t="s">
        <v>8107</v>
      </c>
      <c r="AB3062" s="77" t="s">
        <v>8227</v>
      </c>
      <c r="AC3062" s="82" t="s">
        <v>8234</v>
      </c>
      <c r="AD3062" s="77" t="s">
        <v>8278</v>
      </c>
      <c r="AE3062" s="80" t="str">
        <f>HYPERLINK("https://twitter.com/maniam_podcast/status/1666569026695249920")</f>
        <v>https://twitter.com/maniam_podcast/status/1666569026695249920</v>
      </c>
      <c r="AF3062" s="79">
        <v>45084.925844907404</v>
      </c>
      <c r="AG3062" s="85">
        <v>45084</v>
      </c>
      <c r="AH3062" s="82" t="s">
        <v>11090</v>
      </c>
      <c r="AI3062" s="77" t="b">
        <v>0</v>
      </c>
      <c r="AJ3062" s="77"/>
      <c r="AK3062" s="77"/>
      <c r="AL3062" s="77"/>
      <c r="AM3062" s="77"/>
      <c r="AN3062" s="77"/>
      <c r="AO3062" s="77"/>
      <c r="AP3062" s="77"/>
      <c r="AQ3062" s="77" t="s">
        <v>12992</v>
      </c>
      <c r="AR3062" s="77">
        <v>18540</v>
      </c>
      <c r="AS3062" s="77"/>
      <c r="AT3062" s="77"/>
      <c r="AU3062" s="77"/>
      <c r="AV3062" s="80" t="str">
        <f>HYPERLINK("https://pbs.twimg.com/ext_tw_video_thumb/1666568960274317312/pu/img/jNBFgigWQO-UASBQ.jpg")</f>
        <v>https://pbs.twimg.com/ext_tw_video_thumb/1666568960274317312/pu/img/jNBFgigWQO-UASBQ.jpg</v>
      </c>
      <c r="AW3062" s="82" t="s">
        <v>16146</v>
      </c>
      <c r="AX3062" s="82" t="s">
        <v>16146</v>
      </c>
      <c r="AY3062" s="77"/>
      <c r="AZ3062" s="82" t="s">
        <v>17385</v>
      </c>
      <c r="BA3062" s="82" t="s">
        <v>17385</v>
      </c>
      <c r="BB3062" s="82" t="s">
        <v>17385</v>
      </c>
      <c r="BC3062" s="82" t="s">
        <v>16146</v>
      </c>
      <c r="BD3062" s="82" t="s">
        <v>17675</v>
      </c>
      <c r="BE3062" s="77"/>
      <c r="BF3062" s="77"/>
      <c r="BG3062" s="77"/>
      <c r="BH3062" s="77"/>
      <c r="BI3062" s="77"/>
    </row>
    <row r="3063" spans="1:61" x14ac:dyDescent="0.25">
      <c r="A3063" s="62" t="s">
        <v>657</v>
      </c>
      <c r="B3063" s="62" t="s">
        <v>657</v>
      </c>
      <c r="C3063" s="63"/>
      <c r="D3063" s="64"/>
      <c r="E3063" s="65"/>
      <c r="F3063" s="66"/>
      <c r="G3063" s="63"/>
      <c r="H3063" s="67"/>
      <c r="I3063" s="68"/>
      <c r="J3063" s="68"/>
      <c r="K3063" s="32"/>
      <c r="L3063" s="75">
        <v>3063</v>
      </c>
      <c r="M3063" s="75"/>
      <c r="N3063" s="70"/>
      <c r="O3063" s="77" t="s">
        <v>179</v>
      </c>
      <c r="P3063" s="79">
        <v>45089.585995370369</v>
      </c>
      <c r="Q3063" s="77" t="s">
        <v>3840</v>
      </c>
      <c r="R3063" s="77">
        <v>0</v>
      </c>
      <c r="S3063" s="77">
        <v>0</v>
      </c>
      <c r="T3063" s="77">
        <v>0</v>
      </c>
      <c r="U3063" s="77">
        <v>0</v>
      </c>
      <c r="V3063" s="77">
        <v>18</v>
      </c>
      <c r="W3063" s="82" t="s">
        <v>6407</v>
      </c>
      <c r="X3063" s="77"/>
      <c r="Y3063" s="77"/>
      <c r="Z3063" s="77"/>
      <c r="AA3063" s="77" t="s">
        <v>8108</v>
      </c>
      <c r="AB3063" s="77" t="s">
        <v>8229</v>
      </c>
      <c r="AC3063" s="82" t="s">
        <v>8233</v>
      </c>
      <c r="AD3063" s="77" t="s">
        <v>8278</v>
      </c>
      <c r="AE3063" s="80" t="str">
        <f>HYPERLINK("https://twitter.com/brunova56701023/status/1668257807597027328")</f>
        <v>https://twitter.com/brunova56701023/status/1668257807597027328</v>
      </c>
      <c r="AF3063" s="79">
        <v>45089.585995370369</v>
      </c>
      <c r="AG3063" s="85">
        <v>45089</v>
      </c>
      <c r="AH3063" s="82" t="s">
        <v>11091</v>
      </c>
      <c r="AI3063" s="77" t="b">
        <v>0</v>
      </c>
      <c r="AJ3063" s="77"/>
      <c r="AK3063" s="77"/>
      <c r="AL3063" s="77"/>
      <c r="AM3063" s="77"/>
      <c r="AN3063" s="77"/>
      <c r="AO3063" s="77"/>
      <c r="AP3063" s="77"/>
      <c r="AQ3063" s="77" t="s">
        <v>12993</v>
      </c>
      <c r="AR3063" s="77"/>
      <c r="AS3063" s="77"/>
      <c r="AT3063" s="77"/>
      <c r="AU3063" s="77"/>
      <c r="AV3063" s="80" t="str">
        <f>HYPERLINK("https://pbs.twimg.com/media/FybXoSyWYAIEeuk.jpg")</f>
        <v>https://pbs.twimg.com/media/FybXoSyWYAIEeuk.jpg</v>
      </c>
      <c r="AW3063" s="82" t="s">
        <v>16147</v>
      </c>
      <c r="AX3063" s="82" t="s">
        <v>16147</v>
      </c>
      <c r="AY3063" s="77"/>
      <c r="AZ3063" s="82" t="s">
        <v>17385</v>
      </c>
      <c r="BA3063" s="82" t="s">
        <v>17385</v>
      </c>
      <c r="BB3063" s="82" t="s">
        <v>17385</v>
      </c>
      <c r="BC3063" s="82" t="s">
        <v>16147</v>
      </c>
      <c r="BD3063" s="82" t="s">
        <v>17676</v>
      </c>
      <c r="BE3063" s="77"/>
      <c r="BF3063" s="77"/>
      <c r="BG3063" s="77"/>
      <c r="BH3063" s="77"/>
      <c r="BI3063" s="77"/>
    </row>
    <row r="3064" spans="1:61" x14ac:dyDescent="0.25">
      <c r="A3064" s="62" t="s">
        <v>658</v>
      </c>
      <c r="B3064" s="62" t="s">
        <v>658</v>
      </c>
      <c r="C3064" s="63"/>
      <c r="D3064" s="64"/>
      <c r="E3064" s="65"/>
      <c r="F3064" s="66"/>
      <c r="G3064" s="63"/>
      <c r="H3064" s="67"/>
      <c r="I3064" s="68"/>
      <c r="J3064" s="68"/>
      <c r="K3064" s="32"/>
      <c r="L3064" s="75">
        <v>3064</v>
      </c>
      <c r="M3064" s="75"/>
      <c r="N3064" s="70"/>
      <c r="O3064" s="77" t="s">
        <v>179</v>
      </c>
      <c r="P3064" s="79">
        <v>45178.045729166668</v>
      </c>
      <c r="Q3064" s="77" t="s">
        <v>3841</v>
      </c>
      <c r="R3064" s="77">
        <v>0</v>
      </c>
      <c r="S3064" s="77">
        <v>0</v>
      </c>
      <c r="T3064" s="77">
        <v>0</v>
      </c>
      <c r="U3064" s="77">
        <v>0</v>
      </c>
      <c r="V3064" s="77">
        <v>16</v>
      </c>
      <c r="W3064" s="82" t="s">
        <v>4835</v>
      </c>
      <c r="X3064" s="80" t="str">
        <f>HYPERLINK("https://moneyinvest.com.br/magazine-luiza-itau-bba-mantem-recomendacao-neutra-mas-reduz-preco-alvo/")</f>
        <v>https://moneyinvest.com.br/magazine-luiza-itau-bba-mantem-recomendacao-neutra-mas-reduz-preco-alvo/</v>
      </c>
      <c r="Y3064" s="77" t="s">
        <v>7053</v>
      </c>
      <c r="Z3064" s="77"/>
      <c r="AA3064" s="77"/>
      <c r="AB3064" s="77"/>
      <c r="AC3064" s="82" t="s">
        <v>8232</v>
      </c>
      <c r="AD3064" s="77" t="s">
        <v>8280</v>
      </c>
      <c r="AE3064" s="80" t="str">
        <f>HYPERLINK("https://twitter.com/moneyiinvest/status/1700314539869212865")</f>
        <v>https://twitter.com/moneyiinvest/status/1700314539869212865</v>
      </c>
      <c r="AF3064" s="79">
        <v>45178.045729166668</v>
      </c>
      <c r="AG3064" s="85">
        <v>45178</v>
      </c>
      <c r="AH3064" s="82" t="s">
        <v>11092</v>
      </c>
      <c r="AI3064" s="77" t="b">
        <v>0</v>
      </c>
      <c r="AJ3064" s="77"/>
      <c r="AK3064" s="77"/>
      <c r="AL3064" s="77"/>
      <c r="AM3064" s="77"/>
      <c r="AN3064" s="77"/>
      <c r="AO3064" s="77"/>
      <c r="AP3064" s="77"/>
      <c r="AQ3064" s="77"/>
      <c r="AR3064" s="77"/>
      <c r="AS3064" s="77"/>
      <c r="AT3064" s="77"/>
      <c r="AU3064" s="77"/>
      <c r="AV3064" s="80" t="str">
        <f>HYPERLINK("https://pbs.twimg.com/profile_images/1534183094667845634/RntiKf63_normal.jpg")</f>
        <v>https://pbs.twimg.com/profile_images/1534183094667845634/RntiKf63_normal.jpg</v>
      </c>
      <c r="AW3064" s="82" t="s">
        <v>16148</v>
      </c>
      <c r="AX3064" s="82" t="s">
        <v>16148</v>
      </c>
      <c r="AY3064" s="77"/>
      <c r="AZ3064" s="82" t="s">
        <v>17385</v>
      </c>
      <c r="BA3064" s="82" t="s">
        <v>17385</v>
      </c>
      <c r="BB3064" s="82" t="s">
        <v>17385</v>
      </c>
      <c r="BC3064" s="82" t="s">
        <v>16148</v>
      </c>
      <c r="BD3064" s="82" t="s">
        <v>17677</v>
      </c>
      <c r="BE3064" s="77"/>
      <c r="BF3064" s="77"/>
      <c r="BG3064" s="77"/>
      <c r="BH3064" s="77"/>
      <c r="BI3064" s="77"/>
    </row>
    <row r="3065" spans="1:61" x14ac:dyDescent="0.25">
      <c r="A3065" s="62" t="s">
        <v>659</v>
      </c>
      <c r="B3065" s="62" t="s">
        <v>659</v>
      </c>
      <c r="C3065" s="63"/>
      <c r="D3065" s="64"/>
      <c r="E3065" s="65"/>
      <c r="F3065" s="66"/>
      <c r="G3065" s="63"/>
      <c r="H3065" s="67"/>
      <c r="I3065" s="68"/>
      <c r="J3065" s="68"/>
      <c r="K3065" s="32"/>
      <c r="L3065" s="75">
        <v>3065</v>
      </c>
      <c r="M3065" s="75"/>
      <c r="N3065" s="70"/>
      <c r="O3065" s="77" t="s">
        <v>179</v>
      </c>
      <c r="P3065" s="79">
        <v>45063.967245370368</v>
      </c>
      <c r="Q3065" s="77" t="s">
        <v>3842</v>
      </c>
      <c r="R3065" s="77">
        <v>0</v>
      </c>
      <c r="S3065" s="77">
        <v>0</v>
      </c>
      <c r="T3065" s="77">
        <v>0</v>
      </c>
      <c r="U3065" s="77">
        <v>0</v>
      </c>
      <c r="V3065" s="77">
        <v>15</v>
      </c>
      <c r="W3065" s="82" t="s">
        <v>6379</v>
      </c>
      <c r="X3065" s="80" t="str">
        <f>HYPERLINK("https://agorapiaui.com.br/economia/valor-da-petrobras-cai-r-848-bilhoes-desde-a-eleicao-de-lula/")</f>
        <v>https://agorapiaui.com.br/economia/valor-da-petrobras-cai-r-848-bilhoes-desde-a-eleicao-de-lula/</v>
      </c>
      <c r="Y3065" s="77" t="s">
        <v>7053</v>
      </c>
      <c r="Z3065" s="77"/>
      <c r="AA3065" s="77" t="s">
        <v>8109</v>
      </c>
      <c r="AB3065" s="77" t="s">
        <v>8225</v>
      </c>
      <c r="AC3065" s="82" t="s">
        <v>8243</v>
      </c>
      <c r="AD3065" s="77" t="s">
        <v>8278</v>
      </c>
      <c r="AE3065" s="80" t="str">
        <f>HYPERLINK("https://twitter.com/agorapiauisite/status/1658973881678405637")</f>
        <v>https://twitter.com/agorapiauisite/status/1658973881678405637</v>
      </c>
      <c r="AF3065" s="79">
        <v>45063.967245370368</v>
      </c>
      <c r="AG3065" s="85">
        <v>45063</v>
      </c>
      <c r="AH3065" s="82" t="s">
        <v>11093</v>
      </c>
      <c r="AI3065" s="77" t="b">
        <v>0</v>
      </c>
      <c r="AJ3065" s="77"/>
      <c r="AK3065" s="77"/>
      <c r="AL3065" s="77"/>
      <c r="AM3065" s="77"/>
      <c r="AN3065" s="77"/>
      <c r="AO3065" s="77"/>
      <c r="AP3065" s="77"/>
      <c r="AQ3065" s="77" t="s">
        <v>12994</v>
      </c>
      <c r="AR3065" s="77"/>
      <c r="AS3065" s="77"/>
      <c r="AT3065" s="77"/>
      <c r="AU3065" s="77"/>
      <c r="AV3065" s="80" t="str">
        <f>HYPERLINK("https://pbs.twimg.com/media/FwXb9A3WwAA_UVW.jpg")</f>
        <v>https://pbs.twimg.com/media/FwXb9A3WwAA_UVW.jpg</v>
      </c>
      <c r="AW3065" s="82" t="s">
        <v>16149</v>
      </c>
      <c r="AX3065" s="82" t="s">
        <v>16149</v>
      </c>
      <c r="AY3065" s="77"/>
      <c r="AZ3065" s="82" t="s">
        <v>17385</v>
      </c>
      <c r="BA3065" s="82" t="s">
        <v>17385</v>
      </c>
      <c r="BB3065" s="82" t="s">
        <v>17385</v>
      </c>
      <c r="BC3065" s="82" t="s">
        <v>16149</v>
      </c>
      <c r="BD3065" s="77">
        <v>3331598860</v>
      </c>
      <c r="BE3065" s="77"/>
      <c r="BF3065" s="77"/>
      <c r="BG3065" s="77"/>
      <c r="BH3065" s="77"/>
      <c r="BI3065" s="77"/>
    </row>
    <row r="3066" spans="1:61" x14ac:dyDescent="0.25">
      <c r="A3066" s="62" t="s">
        <v>660</v>
      </c>
      <c r="B3066" s="62" t="s">
        <v>660</v>
      </c>
      <c r="C3066" s="63"/>
      <c r="D3066" s="64"/>
      <c r="E3066" s="65"/>
      <c r="F3066" s="66"/>
      <c r="G3066" s="63"/>
      <c r="H3066" s="67"/>
      <c r="I3066" s="68"/>
      <c r="J3066" s="68"/>
      <c r="K3066" s="32"/>
      <c r="L3066" s="75">
        <v>3066</v>
      </c>
      <c r="M3066" s="75"/>
      <c r="N3066" s="70"/>
      <c r="O3066" s="77" t="s">
        <v>179</v>
      </c>
      <c r="P3066" s="79">
        <v>45046.774409722224</v>
      </c>
      <c r="Q3066" s="77" t="s">
        <v>3843</v>
      </c>
      <c r="R3066" s="77">
        <v>90</v>
      </c>
      <c r="S3066" s="77">
        <v>487</v>
      </c>
      <c r="T3066" s="77">
        <v>10</v>
      </c>
      <c r="U3066" s="77">
        <v>1</v>
      </c>
      <c r="V3066" s="77">
        <v>37069</v>
      </c>
      <c r="W3066" s="77"/>
      <c r="X3066" s="77"/>
      <c r="Y3066" s="77"/>
      <c r="Z3066" s="77"/>
      <c r="AA3066" s="77" t="s">
        <v>8110</v>
      </c>
      <c r="AB3066" s="77" t="s">
        <v>8225</v>
      </c>
      <c r="AC3066" s="82" t="s">
        <v>8233</v>
      </c>
      <c r="AD3066" s="77" t="s">
        <v>8285</v>
      </c>
      <c r="AE3066" s="80" t="str">
        <f>HYPERLINK("https://twitter.com/tmarketl/status/1652743406701932553")</f>
        <v>https://twitter.com/tmarketl/status/1652743406701932553</v>
      </c>
      <c r="AF3066" s="79">
        <v>45046.774409722224</v>
      </c>
      <c r="AG3066" s="85">
        <v>45046</v>
      </c>
      <c r="AH3066" s="82" t="s">
        <v>11094</v>
      </c>
      <c r="AI3066" s="77" t="b">
        <v>0</v>
      </c>
      <c r="AJ3066" s="77"/>
      <c r="AK3066" s="77"/>
      <c r="AL3066" s="77"/>
      <c r="AM3066" s="77"/>
      <c r="AN3066" s="77"/>
      <c r="AO3066" s="77"/>
      <c r="AP3066" s="77"/>
      <c r="AQ3066" s="77" t="s">
        <v>12995</v>
      </c>
      <c r="AR3066" s="77"/>
      <c r="AS3066" s="77"/>
      <c r="AT3066" s="77"/>
      <c r="AU3066" s="77"/>
      <c r="AV3066" s="80" t="str">
        <f>HYPERLINK("https://pbs.twimg.com/media/Fu-5XWQWAAELVhw.jpg")</f>
        <v>https://pbs.twimg.com/media/Fu-5XWQWAAELVhw.jpg</v>
      </c>
      <c r="AW3066" s="82" t="s">
        <v>16150</v>
      </c>
      <c r="AX3066" s="82" t="s">
        <v>16150</v>
      </c>
      <c r="AY3066" s="77"/>
      <c r="AZ3066" s="82" t="s">
        <v>17385</v>
      </c>
      <c r="BA3066" s="82" t="s">
        <v>17385</v>
      </c>
      <c r="BB3066" s="82" t="s">
        <v>17385</v>
      </c>
      <c r="BC3066" s="82" t="s">
        <v>16150</v>
      </c>
      <c r="BD3066" s="82" t="s">
        <v>17678</v>
      </c>
      <c r="BE3066" s="77"/>
      <c r="BF3066" s="77"/>
      <c r="BG3066" s="77"/>
      <c r="BH3066" s="77"/>
      <c r="BI3066" s="77"/>
    </row>
    <row r="3067" spans="1:61" x14ac:dyDescent="0.25">
      <c r="A3067" s="62" t="s">
        <v>661</v>
      </c>
      <c r="B3067" s="62" t="s">
        <v>661</v>
      </c>
      <c r="C3067" s="63"/>
      <c r="D3067" s="64"/>
      <c r="E3067" s="65"/>
      <c r="F3067" s="66"/>
      <c r="G3067" s="63"/>
      <c r="H3067" s="67"/>
      <c r="I3067" s="68"/>
      <c r="J3067" s="68"/>
      <c r="K3067" s="32"/>
      <c r="L3067" s="75">
        <v>3067</v>
      </c>
      <c r="M3067" s="75"/>
      <c r="N3067" s="70"/>
      <c r="O3067" s="77" t="s">
        <v>179</v>
      </c>
      <c r="P3067" s="79">
        <v>45063.306701388887</v>
      </c>
      <c r="Q3067" s="77" t="s">
        <v>3844</v>
      </c>
      <c r="R3067" s="77">
        <v>0</v>
      </c>
      <c r="S3067" s="77">
        <v>0</v>
      </c>
      <c r="T3067" s="77">
        <v>0</v>
      </c>
      <c r="U3067" s="77">
        <v>0</v>
      </c>
      <c r="V3067" s="77">
        <v>6</v>
      </c>
      <c r="W3067" s="82" t="s">
        <v>6408</v>
      </c>
      <c r="X3067" s="80" t="str">
        <f>HYPERLINK("https://ift.tt/IdYqsu9")</f>
        <v>https://ift.tt/IdYqsu9</v>
      </c>
      <c r="Y3067" s="77" t="s">
        <v>7142</v>
      </c>
      <c r="Z3067" s="77"/>
      <c r="AA3067" s="77"/>
      <c r="AB3067" s="77"/>
      <c r="AC3067" s="82" t="s">
        <v>8248</v>
      </c>
      <c r="AD3067" s="77" t="s">
        <v>8278</v>
      </c>
      <c r="AE3067" s="80" t="str">
        <f>HYPERLINK("https://twitter.com/bytresloucado/status/1658734510765137922")</f>
        <v>https://twitter.com/bytresloucado/status/1658734510765137922</v>
      </c>
      <c r="AF3067" s="79">
        <v>45063.306701388887</v>
      </c>
      <c r="AG3067" s="85">
        <v>45063</v>
      </c>
      <c r="AH3067" s="82" t="s">
        <v>11095</v>
      </c>
      <c r="AI3067" s="77" t="b">
        <v>0</v>
      </c>
      <c r="AJ3067" s="77"/>
      <c r="AK3067" s="77"/>
      <c r="AL3067" s="77"/>
      <c r="AM3067" s="77"/>
      <c r="AN3067" s="77"/>
      <c r="AO3067" s="77"/>
      <c r="AP3067" s="77"/>
      <c r="AQ3067" s="77"/>
      <c r="AR3067" s="77"/>
      <c r="AS3067" s="77"/>
      <c r="AT3067" s="77"/>
      <c r="AU3067" s="77"/>
      <c r="AV3067" s="80" t="str">
        <f>HYPERLINK("https://pbs.twimg.com/profile_images/1479504305015205892/z9LtNU8X_normal.jpg")</f>
        <v>https://pbs.twimg.com/profile_images/1479504305015205892/z9LtNU8X_normal.jpg</v>
      </c>
      <c r="AW3067" s="82" t="s">
        <v>16151</v>
      </c>
      <c r="AX3067" s="82" t="s">
        <v>16151</v>
      </c>
      <c r="AY3067" s="77"/>
      <c r="AZ3067" s="82" t="s">
        <v>17385</v>
      </c>
      <c r="BA3067" s="82" t="s">
        <v>17385</v>
      </c>
      <c r="BB3067" s="82" t="s">
        <v>17385</v>
      </c>
      <c r="BC3067" s="82" t="s">
        <v>16151</v>
      </c>
      <c r="BD3067" s="82" t="s">
        <v>17679</v>
      </c>
      <c r="BE3067" s="77"/>
      <c r="BF3067" s="77"/>
      <c r="BG3067" s="77"/>
      <c r="BH3067" s="77"/>
      <c r="BI3067" s="77"/>
    </row>
    <row r="3068" spans="1:61" x14ac:dyDescent="0.25">
      <c r="A3068" s="62" t="s">
        <v>662</v>
      </c>
      <c r="B3068" s="62" t="s">
        <v>662</v>
      </c>
      <c r="C3068" s="63"/>
      <c r="D3068" s="64"/>
      <c r="E3068" s="65"/>
      <c r="F3068" s="66"/>
      <c r="G3068" s="63"/>
      <c r="H3068" s="67"/>
      <c r="I3068" s="68"/>
      <c r="J3068" s="68"/>
      <c r="K3068" s="32"/>
      <c r="L3068" s="75">
        <v>3068</v>
      </c>
      <c r="M3068" s="75"/>
      <c r="N3068" s="70"/>
      <c r="O3068" s="77" t="s">
        <v>179</v>
      </c>
      <c r="P3068" s="79">
        <v>45102.982453703706</v>
      </c>
      <c r="Q3068" s="77" t="s">
        <v>3845</v>
      </c>
      <c r="R3068" s="77">
        <v>0</v>
      </c>
      <c r="S3068" s="77">
        <v>0</v>
      </c>
      <c r="T3068" s="77">
        <v>0</v>
      </c>
      <c r="U3068" s="77">
        <v>0</v>
      </c>
      <c r="V3068" s="77">
        <v>14</v>
      </c>
      <c r="W3068" s="82" t="s">
        <v>6409</v>
      </c>
      <c r="X3068" s="77"/>
      <c r="Y3068" s="77"/>
      <c r="Z3068" s="77"/>
      <c r="AA3068" s="77" t="s">
        <v>8111</v>
      </c>
      <c r="AB3068" s="77" t="s">
        <v>8225</v>
      </c>
      <c r="AC3068" s="82" t="s">
        <v>8233</v>
      </c>
      <c r="AD3068" s="77" t="s">
        <v>8280</v>
      </c>
      <c r="AE3068" s="80" t="str">
        <f>HYPERLINK("https://twitter.com/ocleydsontrader/status/1673112520872153090")</f>
        <v>https://twitter.com/ocleydsontrader/status/1673112520872153090</v>
      </c>
      <c r="AF3068" s="79">
        <v>45102.982453703706</v>
      </c>
      <c r="AG3068" s="85">
        <v>45102</v>
      </c>
      <c r="AH3068" s="82" t="s">
        <v>11096</v>
      </c>
      <c r="AI3068" s="77" t="b">
        <v>0</v>
      </c>
      <c r="AJ3068" s="77"/>
      <c r="AK3068" s="77"/>
      <c r="AL3068" s="77"/>
      <c r="AM3068" s="77"/>
      <c r="AN3068" s="77"/>
      <c r="AO3068" s="77"/>
      <c r="AP3068" s="77"/>
      <c r="AQ3068" s="77" t="s">
        <v>12996</v>
      </c>
      <c r="AR3068" s="77"/>
      <c r="AS3068" s="77"/>
      <c r="AT3068" s="77"/>
      <c r="AU3068" s="77"/>
      <c r="AV3068" s="80" t="str">
        <f>HYPERLINK("https://pbs.twimg.com/media/FzgW-BZXsAENQS4.jpg")</f>
        <v>https://pbs.twimg.com/media/FzgW-BZXsAENQS4.jpg</v>
      </c>
      <c r="AW3068" s="82" t="s">
        <v>16152</v>
      </c>
      <c r="AX3068" s="82" t="s">
        <v>16152</v>
      </c>
      <c r="AY3068" s="77"/>
      <c r="AZ3068" s="82" t="s">
        <v>17385</v>
      </c>
      <c r="BA3068" s="82" t="s">
        <v>17385</v>
      </c>
      <c r="BB3068" s="82" t="s">
        <v>17385</v>
      </c>
      <c r="BC3068" s="82" t="s">
        <v>16152</v>
      </c>
      <c r="BD3068" s="82" t="s">
        <v>17680</v>
      </c>
      <c r="BE3068" s="77"/>
      <c r="BF3068" s="77"/>
      <c r="BG3068" s="77"/>
      <c r="BH3068" s="77"/>
      <c r="BI3068" s="77"/>
    </row>
    <row r="3069" spans="1:61" x14ac:dyDescent="0.25">
      <c r="A3069" s="62" t="s">
        <v>662</v>
      </c>
      <c r="B3069" s="62" t="s">
        <v>662</v>
      </c>
      <c r="C3069" s="63"/>
      <c r="D3069" s="64"/>
      <c r="E3069" s="65"/>
      <c r="F3069" s="66"/>
      <c r="G3069" s="63"/>
      <c r="H3069" s="67"/>
      <c r="I3069" s="68"/>
      <c r="J3069" s="68"/>
      <c r="K3069" s="32"/>
      <c r="L3069" s="75">
        <v>3069</v>
      </c>
      <c r="M3069" s="75"/>
      <c r="N3069" s="70"/>
      <c r="O3069" s="77" t="s">
        <v>179</v>
      </c>
      <c r="P3069" s="79">
        <v>45126.937418981484</v>
      </c>
      <c r="Q3069" s="77" t="s">
        <v>3846</v>
      </c>
      <c r="R3069" s="77">
        <v>1</v>
      </c>
      <c r="S3069" s="77">
        <v>0</v>
      </c>
      <c r="T3069" s="77">
        <v>0</v>
      </c>
      <c r="U3069" s="77">
        <v>0</v>
      </c>
      <c r="V3069" s="77">
        <v>36</v>
      </c>
      <c r="W3069" s="82" t="s">
        <v>6083</v>
      </c>
      <c r="X3069" s="77"/>
      <c r="Y3069" s="77"/>
      <c r="Z3069" s="77"/>
      <c r="AA3069" s="77" t="s">
        <v>8112</v>
      </c>
      <c r="AB3069" s="77" t="s">
        <v>8225</v>
      </c>
      <c r="AC3069" s="82" t="s">
        <v>8233</v>
      </c>
      <c r="AD3069" s="77" t="s">
        <v>8278</v>
      </c>
      <c r="AE3069" s="80" t="str">
        <f>HYPERLINK("https://twitter.com/ocleydsontrader/status/1681793508196118528")</f>
        <v>https://twitter.com/ocleydsontrader/status/1681793508196118528</v>
      </c>
      <c r="AF3069" s="79">
        <v>45126.937418981484</v>
      </c>
      <c r="AG3069" s="85">
        <v>45126</v>
      </c>
      <c r="AH3069" s="82" t="s">
        <v>11097</v>
      </c>
      <c r="AI3069" s="77" t="b">
        <v>0</v>
      </c>
      <c r="AJ3069" s="77"/>
      <c r="AK3069" s="77"/>
      <c r="AL3069" s="77"/>
      <c r="AM3069" s="77"/>
      <c r="AN3069" s="77"/>
      <c r="AO3069" s="77"/>
      <c r="AP3069" s="77"/>
      <c r="AQ3069" s="77" t="s">
        <v>12997</v>
      </c>
      <c r="AR3069" s="77"/>
      <c r="AS3069" s="77"/>
      <c r="AT3069" s="77"/>
      <c r="AU3069" s="77"/>
      <c r="AV3069" s="80" t="str">
        <f>HYPERLINK("https://pbs.twimg.com/media/F1buR4pWAAISdkk.jpg")</f>
        <v>https://pbs.twimg.com/media/F1buR4pWAAISdkk.jpg</v>
      </c>
      <c r="AW3069" s="82" t="s">
        <v>16153</v>
      </c>
      <c r="AX3069" s="82" t="s">
        <v>16153</v>
      </c>
      <c r="AY3069" s="77"/>
      <c r="AZ3069" s="82" t="s">
        <v>17385</v>
      </c>
      <c r="BA3069" s="82" t="s">
        <v>17385</v>
      </c>
      <c r="BB3069" s="82" t="s">
        <v>17385</v>
      </c>
      <c r="BC3069" s="82" t="s">
        <v>16153</v>
      </c>
      <c r="BD3069" s="82" t="s">
        <v>17680</v>
      </c>
      <c r="BE3069" s="77"/>
      <c r="BF3069" s="77"/>
      <c r="BG3069" s="77"/>
      <c r="BH3069" s="77"/>
      <c r="BI3069" s="77"/>
    </row>
    <row r="3070" spans="1:61" x14ac:dyDescent="0.25">
      <c r="A3070" s="62" t="s">
        <v>662</v>
      </c>
      <c r="B3070" s="62" t="s">
        <v>662</v>
      </c>
      <c r="C3070" s="63"/>
      <c r="D3070" s="64"/>
      <c r="E3070" s="65"/>
      <c r="F3070" s="66"/>
      <c r="G3070" s="63"/>
      <c r="H3070" s="67"/>
      <c r="I3070" s="68"/>
      <c r="J3070" s="68"/>
      <c r="K3070" s="32"/>
      <c r="L3070" s="75">
        <v>3070</v>
      </c>
      <c r="M3070" s="75"/>
      <c r="N3070" s="70"/>
      <c r="O3070" s="77" t="s">
        <v>179</v>
      </c>
      <c r="P3070" s="79">
        <v>45167.968692129631</v>
      </c>
      <c r="Q3070" s="77" t="s">
        <v>3847</v>
      </c>
      <c r="R3070" s="77">
        <v>0</v>
      </c>
      <c r="S3070" s="77">
        <v>0</v>
      </c>
      <c r="T3070" s="77">
        <v>0</v>
      </c>
      <c r="U3070" s="77">
        <v>0</v>
      </c>
      <c r="V3070" s="77">
        <v>21</v>
      </c>
      <c r="W3070" s="82" t="s">
        <v>4855</v>
      </c>
      <c r="X3070" s="77"/>
      <c r="Y3070" s="77"/>
      <c r="Z3070" s="77"/>
      <c r="AA3070" s="77" t="s">
        <v>8113</v>
      </c>
      <c r="AB3070" s="77" t="s">
        <v>8225</v>
      </c>
      <c r="AC3070" s="82" t="s">
        <v>8233</v>
      </c>
      <c r="AD3070" s="77" t="s">
        <v>8280</v>
      </c>
      <c r="AE3070" s="80" t="str">
        <f>HYPERLINK("https://twitter.com/ocleydsontrader/status/1696662746668974102")</f>
        <v>https://twitter.com/ocleydsontrader/status/1696662746668974102</v>
      </c>
      <c r="AF3070" s="79">
        <v>45167.968692129631</v>
      </c>
      <c r="AG3070" s="85">
        <v>45167</v>
      </c>
      <c r="AH3070" s="82" t="s">
        <v>11098</v>
      </c>
      <c r="AI3070" s="77" t="b">
        <v>0</v>
      </c>
      <c r="AJ3070" s="77"/>
      <c r="AK3070" s="77"/>
      <c r="AL3070" s="77"/>
      <c r="AM3070" s="77"/>
      <c r="AN3070" s="77"/>
      <c r="AO3070" s="77"/>
      <c r="AP3070" s="77"/>
      <c r="AQ3070" s="77" t="s">
        <v>12998</v>
      </c>
      <c r="AR3070" s="77"/>
      <c r="AS3070" s="77"/>
      <c r="AT3070" s="77"/>
      <c r="AU3070" s="77"/>
      <c r="AV3070" s="80" t="str">
        <f>HYPERLINK("https://pbs.twimg.com/media/F4vBxnyXQAAzfwT.jpg")</f>
        <v>https://pbs.twimg.com/media/F4vBxnyXQAAzfwT.jpg</v>
      </c>
      <c r="AW3070" s="82" t="s">
        <v>16154</v>
      </c>
      <c r="AX3070" s="82" t="s">
        <v>16154</v>
      </c>
      <c r="AY3070" s="77"/>
      <c r="AZ3070" s="82" t="s">
        <v>17385</v>
      </c>
      <c r="BA3070" s="82" t="s">
        <v>17385</v>
      </c>
      <c r="BB3070" s="82" t="s">
        <v>17385</v>
      </c>
      <c r="BC3070" s="82" t="s">
        <v>16154</v>
      </c>
      <c r="BD3070" s="82" t="s">
        <v>17680</v>
      </c>
      <c r="BE3070" s="77"/>
      <c r="BF3070" s="77"/>
      <c r="BG3070" s="77"/>
      <c r="BH3070" s="77"/>
      <c r="BI3070" s="77"/>
    </row>
    <row r="3071" spans="1:61" x14ac:dyDescent="0.25">
      <c r="A3071" s="62" t="s">
        <v>662</v>
      </c>
      <c r="B3071" s="62" t="s">
        <v>662</v>
      </c>
      <c r="C3071" s="63"/>
      <c r="D3071" s="64"/>
      <c r="E3071" s="65"/>
      <c r="F3071" s="66"/>
      <c r="G3071" s="63"/>
      <c r="H3071" s="67"/>
      <c r="I3071" s="68"/>
      <c r="J3071" s="68"/>
      <c r="K3071" s="32"/>
      <c r="L3071" s="75">
        <v>3071</v>
      </c>
      <c r="M3071" s="75"/>
      <c r="N3071" s="70"/>
      <c r="O3071" s="77" t="s">
        <v>179</v>
      </c>
      <c r="P3071" s="79">
        <v>45091.159456018519</v>
      </c>
      <c r="Q3071" s="77" t="s">
        <v>3848</v>
      </c>
      <c r="R3071" s="77">
        <v>0</v>
      </c>
      <c r="S3071" s="77">
        <v>0</v>
      </c>
      <c r="T3071" s="77">
        <v>0</v>
      </c>
      <c r="U3071" s="77">
        <v>0</v>
      </c>
      <c r="V3071" s="77">
        <v>19</v>
      </c>
      <c r="W3071" s="82" t="s">
        <v>6410</v>
      </c>
      <c r="X3071" s="77"/>
      <c r="Y3071" s="77"/>
      <c r="Z3071" s="77"/>
      <c r="AA3071" s="77" t="s">
        <v>8114</v>
      </c>
      <c r="AB3071" s="77" t="s">
        <v>8225</v>
      </c>
      <c r="AC3071" s="82" t="s">
        <v>8233</v>
      </c>
      <c r="AD3071" s="77" t="s">
        <v>8280</v>
      </c>
      <c r="AE3071" s="80" t="str">
        <f>HYPERLINK("https://twitter.com/ocleydsontrader/status/1668828008461811712")</f>
        <v>https://twitter.com/ocleydsontrader/status/1668828008461811712</v>
      </c>
      <c r="AF3071" s="79">
        <v>45091.159456018519</v>
      </c>
      <c r="AG3071" s="85">
        <v>45091</v>
      </c>
      <c r="AH3071" s="82" t="s">
        <v>11099</v>
      </c>
      <c r="AI3071" s="77" t="b">
        <v>0</v>
      </c>
      <c r="AJ3071" s="77"/>
      <c r="AK3071" s="77"/>
      <c r="AL3071" s="77"/>
      <c r="AM3071" s="77"/>
      <c r="AN3071" s="77"/>
      <c r="AO3071" s="77"/>
      <c r="AP3071" s="77"/>
      <c r="AQ3071" s="77" t="s">
        <v>12999</v>
      </c>
      <c r="AR3071" s="77"/>
      <c r="AS3071" s="77"/>
      <c r="AT3071" s="77"/>
      <c r="AU3071" s="77"/>
      <c r="AV3071" s="80" t="str">
        <f>HYPERLINK("https://pbs.twimg.com/media/FyjeOkeWwAIXz4i.jpg")</f>
        <v>https://pbs.twimg.com/media/FyjeOkeWwAIXz4i.jpg</v>
      </c>
      <c r="AW3071" s="82" t="s">
        <v>16155</v>
      </c>
      <c r="AX3071" s="82" t="s">
        <v>16155</v>
      </c>
      <c r="AY3071" s="77"/>
      <c r="AZ3071" s="82" t="s">
        <v>17385</v>
      </c>
      <c r="BA3071" s="82" t="s">
        <v>17385</v>
      </c>
      <c r="BB3071" s="82" t="s">
        <v>17385</v>
      </c>
      <c r="BC3071" s="82" t="s">
        <v>16155</v>
      </c>
      <c r="BD3071" s="82" t="s">
        <v>17680</v>
      </c>
      <c r="BE3071" s="77"/>
      <c r="BF3071" s="77"/>
      <c r="BG3071" s="77"/>
      <c r="BH3071" s="77"/>
      <c r="BI3071" s="77"/>
    </row>
    <row r="3072" spans="1:61" x14ac:dyDescent="0.25">
      <c r="A3072" s="62" t="s">
        <v>662</v>
      </c>
      <c r="B3072" s="62" t="s">
        <v>662</v>
      </c>
      <c r="C3072" s="63"/>
      <c r="D3072" s="64"/>
      <c r="E3072" s="65"/>
      <c r="F3072" s="66"/>
      <c r="G3072" s="63"/>
      <c r="H3072" s="67"/>
      <c r="I3072" s="68"/>
      <c r="J3072" s="68"/>
      <c r="K3072" s="32"/>
      <c r="L3072" s="75">
        <v>3072</v>
      </c>
      <c r="M3072" s="75"/>
      <c r="N3072" s="70"/>
      <c r="O3072" s="77" t="s">
        <v>179</v>
      </c>
      <c r="P3072" s="79">
        <v>45187.070601851854</v>
      </c>
      <c r="Q3072" s="77" t="s">
        <v>3849</v>
      </c>
      <c r="R3072" s="77">
        <v>0</v>
      </c>
      <c r="S3072" s="77">
        <v>0</v>
      </c>
      <c r="T3072" s="77">
        <v>0</v>
      </c>
      <c r="U3072" s="77">
        <v>0</v>
      </c>
      <c r="V3072" s="77">
        <v>16</v>
      </c>
      <c r="W3072" s="82" t="s">
        <v>6083</v>
      </c>
      <c r="X3072" s="77"/>
      <c r="Y3072" s="77"/>
      <c r="Z3072" s="77"/>
      <c r="AA3072" s="77" t="s">
        <v>8115</v>
      </c>
      <c r="AB3072" s="77" t="s">
        <v>8225</v>
      </c>
      <c r="AC3072" s="82" t="s">
        <v>8233</v>
      </c>
      <c r="AD3072" s="77" t="s">
        <v>8280</v>
      </c>
      <c r="AE3072" s="80" t="str">
        <f>HYPERLINK("https://twitter.com/ocleydsontrader/status/1703585045976322305")</f>
        <v>https://twitter.com/ocleydsontrader/status/1703585045976322305</v>
      </c>
      <c r="AF3072" s="79">
        <v>45187.070601851854</v>
      </c>
      <c r="AG3072" s="85">
        <v>45187</v>
      </c>
      <c r="AH3072" s="82" t="s">
        <v>11100</v>
      </c>
      <c r="AI3072" s="77" t="b">
        <v>0</v>
      </c>
      <c r="AJ3072" s="77"/>
      <c r="AK3072" s="77"/>
      <c r="AL3072" s="77"/>
      <c r="AM3072" s="77"/>
      <c r="AN3072" s="77"/>
      <c r="AO3072" s="77"/>
      <c r="AP3072" s="77"/>
      <c r="AQ3072" s="77" t="s">
        <v>13000</v>
      </c>
      <c r="AR3072" s="77"/>
      <c r="AS3072" s="77"/>
      <c r="AT3072" s="77"/>
      <c r="AU3072" s="77"/>
      <c r="AV3072" s="80" t="str">
        <f>HYPERLINK("https://pbs.twimg.com/media/F6RZkbMXsAAHWEw.jpg")</f>
        <v>https://pbs.twimg.com/media/F6RZkbMXsAAHWEw.jpg</v>
      </c>
      <c r="AW3072" s="82" t="s">
        <v>16156</v>
      </c>
      <c r="AX3072" s="82" t="s">
        <v>16156</v>
      </c>
      <c r="AY3072" s="77"/>
      <c r="AZ3072" s="82" t="s">
        <v>17385</v>
      </c>
      <c r="BA3072" s="82" t="s">
        <v>17385</v>
      </c>
      <c r="BB3072" s="82" t="s">
        <v>17385</v>
      </c>
      <c r="BC3072" s="82" t="s">
        <v>16156</v>
      </c>
      <c r="BD3072" s="82" t="s">
        <v>17680</v>
      </c>
      <c r="BE3072" s="77"/>
      <c r="BF3072" s="77"/>
      <c r="BG3072" s="77"/>
      <c r="BH3072" s="77"/>
      <c r="BI3072" s="77"/>
    </row>
    <row r="3073" spans="1:61" x14ac:dyDescent="0.25">
      <c r="A3073" s="62" t="s">
        <v>662</v>
      </c>
      <c r="B3073" s="62" t="s">
        <v>662</v>
      </c>
      <c r="C3073" s="63"/>
      <c r="D3073" s="64"/>
      <c r="E3073" s="65"/>
      <c r="F3073" s="66"/>
      <c r="G3073" s="63"/>
      <c r="H3073" s="67"/>
      <c r="I3073" s="68"/>
      <c r="J3073" s="68"/>
      <c r="K3073" s="32"/>
      <c r="L3073" s="75">
        <v>3073</v>
      </c>
      <c r="M3073" s="75"/>
      <c r="N3073" s="70"/>
      <c r="O3073" s="77" t="s">
        <v>179</v>
      </c>
      <c r="P3073" s="79">
        <v>45145.094548611109</v>
      </c>
      <c r="Q3073" s="77" t="s">
        <v>3850</v>
      </c>
      <c r="R3073" s="77">
        <v>0</v>
      </c>
      <c r="S3073" s="77">
        <v>0</v>
      </c>
      <c r="T3073" s="77">
        <v>0</v>
      </c>
      <c r="U3073" s="77">
        <v>0</v>
      </c>
      <c r="V3073" s="77">
        <v>16</v>
      </c>
      <c r="W3073" s="82" t="s">
        <v>4855</v>
      </c>
      <c r="X3073" s="77"/>
      <c r="Y3073" s="77"/>
      <c r="Z3073" s="77"/>
      <c r="AA3073" s="77" t="s">
        <v>8116</v>
      </c>
      <c r="AB3073" s="77" t="s">
        <v>8225</v>
      </c>
      <c r="AC3073" s="82" t="s">
        <v>8233</v>
      </c>
      <c r="AD3073" s="77" t="s">
        <v>8280</v>
      </c>
      <c r="AE3073" s="80" t="str">
        <f>HYPERLINK("https://twitter.com/ocleydsontrader/status/1688373433707466752")</f>
        <v>https://twitter.com/ocleydsontrader/status/1688373433707466752</v>
      </c>
      <c r="AF3073" s="79">
        <v>45145.094548611109</v>
      </c>
      <c r="AG3073" s="85">
        <v>45145</v>
      </c>
      <c r="AH3073" s="82" t="s">
        <v>10759</v>
      </c>
      <c r="AI3073" s="77" t="b">
        <v>0</v>
      </c>
      <c r="AJ3073" s="77"/>
      <c r="AK3073" s="77"/>
      <c r="AL3073" s="77"/>
      <c r="AM3073" s="77"/>
      <c r="AN3073" s="77"/>
      <c r="AO3073" s="77"/>
      <c r="AP3073" s="77"/>
      <c r="AQ3073" s="77" t="s">
        <v>13001</v>
      </c>
      <c r="AR3073" s="77"/>
      <c r="AS3073" s="77"/>
      <c r="AT3073" s="77"/>
      <c r="AU3073" s="77"/>
      <c r="AV3073" s="80" t="str">
        <f>HYPERLINK("https://pbs.twimg.com/media/F25OsGRWIAAGXe5.jpg")</f>
        <v>https://pbs.twimg.com/media/F25OsGRWIAAGXe5.jpg</v>
      </c>
      <c r="AW3073" s="82" t="s">
        <v>16157</v>
      </c>
      <c r="AX3073" s="82" t="s">
        <v>16157</v>
      </c>
      <c r="AY3073" s="77"/>
      <c r="AZ3073" s="82" t="s">
        <v>17385</v>
      </c>
      <c r="BA3073" s="82" t="s">
        <v>17385</v>
      </c>
      <c r="BB3073" s="82" t="s">
        <v>17385</v>
      </c>
      <c r="BC3073" s="82" t="s">
        <v>16157</v>
      </c>
      <c r="BD3073" s="82" t="s">
        <v>17680</v>
      </c>
      <c r="BE3073" s="77"/>
      <c r="BF3073" s="77"/>
      <c r="BG3073" s="77"/>
      <c r="BH3073" s="77"/>
      <c r="BI3073" s="77"/>
    </row>
    <row r="3074" spans="1:61" x14ac:dyDescent="0.25">
      <c r="A3074" s="62" t="s">
        <v>663</v>
      </c>
      <c r="B3074" s="62" t="s">
        <v>663</v>
      </c>
      <c r="C3074" s="63"/>
      <c r="D3074" s="64"/>
      <c r="E3074" s="65"/>
      <c r="F3074" s="66"/>
      <c r="G3074" s="63"/>
      <c r="H3074" s="67"/>
      <c r="I3074" s="68"/>
      <c r="J3074" s="68"/>
      <c r="K3074" s="32"/>
      <c r="L3074" s="75">
        <v>3074</v>
      </c>
      <c r="M3074" s="75"/>
      <c r="N3074" s="70"/>
      <c r="O3074" s="77" t="s">
        <v>179</v>
      </c>
      <c r="P3074" s="79">
        <v>45156.745671296296</v>
      </c>
      <c r="Q3074" s="77" t="s">
        <v>3851</v>
      </c>
      <c r="R3074" s="77">
        <v>0</v>
      </c>
      <c r="S3074" s="77">
        <v>0</v>
      </c>
      <c r="T3074" s="77">
        <v>0</v>
      </c>
      <c r="U3074" s="77">
        <v>0</v>
      </c>
      <c r="V3074" s="77">
        <v>9</v>
      </c>
      <c r="W3074" s="82" t="s">
        <v>6411</v>
      </c>
      <c r="X3074" s="80" t="str">
        <f>HYPERLINK("http://wix.to/2QGk6nt")</f>
        <v>http://wix.to/2QGk6nt</v>
      </c>
      <c r="Y3074" s="77" t="s">
        <v>7080</v>
      </c>
      <c r="Z3074" s="77"/>
      <c r="AA3074" s="77"/>
      <c r="AB3074" s="77"/>
      <c r="AC3074" s="82" t="s">
        <v>8251</v>
      </c>
      <c r="AD3074" s="77" t="s">
        <v>8278</v>
      </c>
      <c r="AE3074" s="80" t="str">
        <f>HYPERLINK("https://twitter.com/ocanaldalili/status/1692595656660238610")</f>
        <v>https://twitter.com/ocanaldalili/status/1692595656660238610</v>
      </c>
      <c r="AF3074" s="79">
        <v>45156.745671296296</v>
      </c>
      <c r="AG3074" s="85">
        <v>45156</v>
      </c>
      <c r="AH3074" s="82" t="s">
        <v>10387</v>
      </c>
      <c r="AI3074" s="77" t="b">
        <v>0</v>
      </c>
      <c r="AJ3074" s="77"/>
      <c r="AK3074" s="77"/>
      <c r="AL3074" s="77"/>
      <c r="AM3074" s="77"/>
      <c r="AN3074" s="77"/>
      <c r="AO3074" s="77"/>
      <c r="AP3074" s="77"/>
      <c r="AQ3074" s="77"/>
      <c r="AR3074" s="77"/>
      <c r="AS3074" s="77"/>
      <c r="AT3074" s="77"/>
      <c r="AU3074" s="77"/>
      <c r="AV3074" s="80" t="str">
        <f>HYPERLINK("https://pbs.twimg.com/profile_images/1523091300194689026/OZOZPgby_normal.jpg")</f>
        <v>https://pbs.twimg.com/profile_images/1523091300194689026/OZOZPgby_normal.jpg</v>
      </c>
      <c r="AW3074" s="82" t="s">
        <v>16158</v>
      </c>
      <c r="AX3074" s="82" t="s">
        <v>16158</v>
      </c>
      <c r="AY3074" s="77"/>
      <c r="AZ3074" s="82" t="s">
        <v>17385</v>
      </c>
      <c r="BA3074" s="82" t="s">
        <v>17385</v>
      </c>
      <c r="BB3074" s="82" t="s">
        <v>17385</v>
      </c>
      <c r="BC3074" s="82" t="s">
        <v>16158</v>
      </c>
      <c r="BD3074" s="82" t="s">
        <v>17681</v>
      </c>
      <c r="BE3074" s="77"/>
      <c r="BF3074" s="77"/>
      <c r="BG3074" s="77"/>
      <c r="BH3074" s="77"/>
      <c r="BI3074" s="77"/>
    </row>
    <row r="3075" spans="1:61" x14ac:dyDescent="0.25">
      <c r="A3075" s="62" t="s">
        <v>664</v>
      </c>
      <c r="B3075" s="62" t="s">
        <v>664</v>
      </c>
      <c r="C3075" s="63"/>
      <c r="D3075" s="64"/>
      <c r="E3075" s="65"/>
      <c r="F3075" s="66"/>
      <c r="G3075" s="63"/>
      <c r="H3075" s="67"/>
      <c r="I3075" s="68"/>
      <c r="J3075" s="68"/>
      <c r="K3075" s="32"/>
      <c r="L3075" s="75">
        <v>3075</v>
      </c>
      <c r="M3075" s="75"/>
      <c r="N3075" s="70"/>
      <c r="O3075" s="77" t="s">
        <v>179</v>
      </c>
      <c r="P3075" s="79">
        <v>45191.985011574077</v>
      </c>
      <c r="Q3075" s="77" t="s">
        <v>3852</v>
      </c>
      <c r="R3075" s="77">
        <v>0</v>
      </c>
      <c r="S3075" s="77">
        <v>1</v>
      </c>
      <c r="T3075" s="77">
        <v>1</v>
      </c>
      <c r="U3075" s="77">
        <v>0</v>
      </c>
      <c r="V3075" s="77">
        <v>30</v>
      </c>
      <c r="W3075" s="82" t="s">
        <v>6412</v>
      </c>
      <c r="X3075" s="80" t="str">
        <f>HYPERLINK("https://www.youtube.com/watch?v=lFRAGtaqNNk&amp;feature=youtu.be")</f>
        <v>https://www.youtube.com/watch?v=lFRAGtaqNNk&amp;feature=youtu.be</v>
      </c>
      <c r="Y3075" s="77" t="s">
        <v>7065</v>
      </c>
      <c r="Z3075" s="77"/>
      <c r="AA3075" s="77"/>
      <c r="AB3075" s="77"/>
      <c r="AC3075" s="82" t="s">
        <v>8232</v>
      </c>
      <c r="AD3075" s="77" t="s">
        <v>8278</v>
      </c>
      <c r="AE3075" s="80" t="str">
        <f>HYPERLINK("https://twitter.com/noticias_b3/status/1705365966157398507")</f>
        <v>https://twitter.com/noticias_b3/status/1705365966157398507</v>
      </c>
      <c r="AF3075" s="79">
        <v>45191.985011574077</v>
      </c>
      <c r="AG3075" s="85">
        <v>45191</v>
      </c>
      <c r="AH3075" s="82" t="s">
        <v>11101</v>
      </c>
      <c r="AI3075" s="77" t="b">
        <v>0</v>
      </c>
      <c r="AJ3075" s="77"/>
      <c r="AK3075" s="77"/>
      <c r="AL3075" s="77"/>
      <c r="AM3075" s="77"/>
      <c r="AN3075" s="77"/>
      <c r="AO3075" s="77"/>
      <c r="AP3075" s="77"/>
      <c r="AQ3075" s="77"/>
      <c r="AR3075" s="77"/>
      <c r="AS3075" s="77"/>
      <c r="AT3075" s="77"/>
      <c r="AU3075" s="77"/>
      <c r="AV3075" s="80" t="str">
        <f>HYPERLINK("https://pbs.twimg.com/profile_images/1705371007043665920/WVCn94nK_normal.jpg")</f>
        <v>https://pbs.twimg.com/profile_images/1705371007043665920/WVCn94nK_normal.jpg</v>
      </c>
      <c r="AW3075" s="82" t="s">
        <v>16159</v>
      </c>
      <c r="AX3075" s="82" t="s">
        <v>16159</v>
      </c>
      <c r="AY3075" s="77"/>
      <c r="AZ3075" s="82" t="s">
        <v>17385</v>
      </c>
      <c r="BA3075" s="82" t="s">
        <v>17385</v>
      </c>
      <c r="BB3075" s="82" t="s">
        <v>17385</v>
      </c>
      <c r="BC3075" s="82" t="s">
        <v>16159</v>
      </c>
      <c r="BD3075" s="82" t="s">
        <v>17682</v>
      </c>
      <c r="BE3075" s="77"/>
      <c r="BF3075" s="77"/>
      <c r="BG3075" s="77"/>
      <c r="BH3075" s="77"/>
      <c r="BI3075" s="77"/>
    </row>
    <row r="3076" spans="1:61" x14ac:dyDescent="0.25">
      <c r="A3076" s="62" t="s">
        <v>665</v>
      </c>
      <c r="B3076" s="62" t="s">
        <v>665</v>
      </c>
      <c r="C3076" s="63"/>
      <c r="D3076" s="64"/>
      <c r="E3076" s="65"/>
      <c r="F3076" s="66"/>
      <c r="G3076" s="63"/>
      <c r="H3076" s="67"/>
      <c r="I3076" s="68"/>
      <c r="J3076" s="68"/>
      <c r="K3076" s="32"/>
      <c r="L3076" s="75">
        <v>3076</v>
      </c>
      <c r="M3076" s="75"/>
      <c r="N3076" s="70"/>
      <c r="O3076" s="77" t="s">
        <v>179</v>
      </c>
      <c r="P3076" s="79">
        <v>45194.913680555554</v>
      </c>
      <c r="Q3076" s="77" t="s">
        <v>3853</v>
      </c>
      <c r="R3076" s="77">
        <v>1</v>
      </c>
      <c r="S3076" s="77">
        <v>1</v>
      </c>
      <c r="T3076" s="77">
        <v>0</v>
      </c>
      <c r="U3076" s="77">
        <v>0</v>
      </c>
      <c r="V3076" s="77">
        <v>19</v>
      </c>
      <c r="W3076" s="82" t="s">
        <v>6413</v>
      </c>
      <c r="X3076" s="77"/>
      <c r="Y3076" s="77"/>
      <c r="Z3076" s="77"/>
      <c r="AA3076" s="77" t="s">
        <v>8117</v>
      </c>
      <c r="AB3076" s="77" t="s">
        <v>8225</v>
      </c>
      <c r="AC3076" s="82" t="s">
        <v>8233</v>
      </c>
      <c r="AD3076" s="77" t="s">
        <v>8278</v>
      </c>
      <c r="AE3076" s="80" t="str">
        <f>HYPERLINK("https://twitter.com/seguroambiental/status/1706427280275185782")</f>
        <v>https://twitter.com/seguroambiental/status/1706427280275185782</v>
      </c>
      <c r="AF3076" s="79">
        <v>45194.913680555554</v>
      </c>
      <c r="AG3076" s="85">
        <v>45194</v>
      </c>
      <c r="AH3076" s="82" t="s">
        <v>11102</v>
      </c>
      <c r="AI3076" s="77" t="b">
        <v>0</v>
      </c>
      <c r="AJ3076" s="77"/>
      <c r="AK3076" s="77"/>
      <c r="AL3076" s="77"/>
      <c r="AM3076" s="77"/>
      <c r="AN3076" s="77"/>
      <c r="AO3076" s="77"/>
      <c r="AP3076" s="77"/>
      <c r="AQ3076" s="77" t="s">
        <v>13002</v>
      </c>
      <c r="AR3076" s="77"/>
      <c r="AS3076" s="77"/>
      <c r="AT3076" s="77"/>
      <c r="AU3076" s="77"/>
      <c r="AV3076" s="80" t="str">
        <f>HYPERLINK("https://pbs.twimg.com/media/F65yj6AWoAAzo9w.jpg")</f>
        <v>https://pbs.twimg.com/media/F65yj6AWoAAzo9w.jpg</v>
      </c>
      <c r="AW3076" s="82" t="s">
        <v>16160</v>
      </c>
      <c r="AX3076" s="82" t="s">
        <v>16160</v>
      </c>
      <c r="AY3076" s="77"/>
      <c r="AZ3076" s="82" t="s">
        <v>17385</v>
      </c>
      <c r="BA3076" s="82" t="s">
        <v>17385</v>
      </c>
      <c r="BB3076" s="82" t="s">
        <v>17385</v>
      </c>
      <c r="BC3076" s="82" t="s">
        <v>16160</v>
      </c>
      <c r="BD3076" s="82" t="s">
        <v>17683</v>
      </c>
      <c r="BE3076" s="77"/>
      <c r="BF3076" s="77"/>
      <c r="BG3076" s="77"/>
      <c r="BH3076" s="77"/>
      <c r="BI3076" s="77"/>
    </row>
    <row r="3077" spans="1:61" x14ac:dyDescent="0.25">
      <c r="A3077" s="62" t="s">
        <v>665</v>
      </c>
      <c r="B3077" s="62" t="s">
        <v>665</v>
      </c>
      <c r="C3077" s="63"/>
      <c r="D3077" s="64"/>
      <c r="E3077" s="65"/>
      <c r="F3077" s="66"/>
      <c r="G3077" s="63"/>
      <c r="H3077" s="67"/>
      <c r="I3077" s="68"/>
      <c r="J3077" s="68"/>
      <c r="K3077" s="32"/>
      <c r="L3077" s="75">
        <v>3077</v>
      </c>
      <c r="M3077" s="75"/>
      <c r="N3077" s="70"/>
      <c r="O3077" s="77" t="s">
        <v>803</v>
      </c>
      <c r="P3077" s="79">
        <v>45194.9137962963</v>
      </c>
      <c r="Q3077" s="77" t="s">
        <v>3854</v>
      </c>
      <c r="R3077" s="77">
        <v>1</v>
      </c>
      <c r="S3077" s="77">
        <v>0</v>
      </c>
      <c r="T3077" s="77">
        <v>0</v>
      </c>
      <c r="U3077" s="77">
        <v>0</v>
      </c>
      <c r="V3077" s="77"/>
      <c r="W3077" s="82" t="s">
        <v>665</v>
      </c>
      <c r="X3077" s="77"/>
      <c r="Y3077" s="77"/>
      <c r="Z3077" s="77" t="s">
        <v>665</v>
      </c>
      <c r="AA3077" s="77"/>
      <c r="AB3077" s="77"/>
      <c r="AC3077" s="82" t="s">
        <v>8233</v>
      </c>
      <c r="AD3077" s="77" t="s">
        <v>8278</v>
      </c>
      <c r="AE3077" s="80" t="str">
        <f>HYPERLINK("https://twitter.com/seguroambiental/status/1706427325368185053")</f>
        <v>https://twitter.com/seguroambiental/status/1706427325368185053</v>
      </c>
      <c r="AF3077" s="79">
        <v>45194.9137962963</v>
      </c>
      <c r="AG3077" s="85">
        <v>45194</v>
      </c>
      <c r="AH3077" s="82" t="s">
        <v>11103</v>
      </c>
      <c r="AI3077" s="77"/>
      <c r="AJ3077" s="77"/>
      <c r="AK3077" s="77"/>
      <c r="AL3077" s="77"/>
      <c r="AM3077" s="77"/>
      <c r="AN3077" s="77"/>
      <c r="AO3077" s="77"/>
      <c r="AP3077" s="77"/>
      <c r="AQ3077" s="77"/>
      <c r="AR3077" s="77"/>
      <c r="AS3077" s="77"/>
      <c r="AT3077" s="77"/>
      <c r="AU3077" s="77"/>
      <c r="AV3077" s="80" t="str">
        <f>HYPERLINK("https://pbs.twimg.com/profile_images/1697757641617838080/KsrC7AP1_normal.jpg")</f>
        <v>https://pbs.twimg.com/profile_images/1697757641617838080/KsrC7AP1_normal.jpg</v>
      </c>
      <c r="AW3077" s="82" t="s">
        <v>16161</v>
      </c>
      <c r="AX3077" s="82" t="s">
        <v>16161</v>
      </c>
      <c r="AY3077" s="77"/>
      <c r="AZ3077" s="82" t="s">
        <v>17385</v>
      </c>
      <c r="BA3077" s="82" t="s">
        <v>17385</v>
      </c>
      <c r="BB3077" s="82" t="s">
        <v>16160</v>
      </c>
      <c r="BC3077" s="82" t="s">
        <v>16160</v>
      </c>
      <c r="BD3077" s="82" t="s">
        <v>17683</v>
      </c>
      <c r="BE3077" s="77"/>
      <c r="BF3077" s="77"/>
      <c r="BG3077" s="77"/>
      <c r="BH3077" s="77"/>
      <c r="BI3077" s="77"/>
    </row>
    <row r="3078" spans="1:61" x14ac:dyDescent="0.25">
      <c r="A3078" s="62" t="s">
        <v>666</v>
      </c>
      <c r="B3078" s="62" t="s">
        <v>731</v>
      </c>
      <c r="C3078" s="63"/>
      <c r="D3078" s="64"/>
      <c r="E3078" s="65"/>
      <c r="F3078" s="66"/>
      <c r="G3078" s="63"/>
      <c r="H3078" s="67"/>
      <c r="I3078" s="68"/>
      <c r="J3078" s="68"/>
      <c r="K3078" s="32"/>
      <c r="L3078" s="75">
        <v>3078</v>
      </c>
      <c r="M3078" s="75"/>
      <c r="N3078" s="70"/>
      <c r="O3078" s="77" t="s">
        <v>802</v>
      </c>
      <c r="P3078" s="79">
        <v>45055.961469907408</v>
      </c>
      <c r="Q3078" s="77" t="s">
        <v>3855</v>
      </c>
      <c r="R3078" s="77">
        <v>0</v>
      </c>
      <c r="S3078" s="77">
        <v>0</v>
      </c>
      <c r="T3078" s="77">
        <v>0</v>
      </c>
      <c r="U3078" s="77">
        <v>0</v>
      </c>
      <c r="V3078" s="77">
        <v>59</v>
      </c>
      <c r="W3078" s="82" t="s">
        <v>6414</v>
      </c>
      <c r="X3078" s="80" t="str">
        <f>HYPERLINK("https://www.youtube.com/live/19kd69omNak?feature=share")</f>
        <v>https://www.youtube.com/live/19kd69omNak?feature=share</v>
      </c>
      <c r="Y3078" s="77" t="s">
        <v>7065</v>
      </c>
      <c r="Z3078" s="77" t="s">
        <v>731</v>
      </c>
      <c r="AA3078" s="77"/>
      <c r="AB3078" s="77"/>
      <c r="AC3078" s="82" t="s">
        <v>8232</v>
      </c>
      <c r="AD3078" s="77" t="s">
        <v>8278</v>
      </c>
      <c r="AE3078" s="80" t="str">
        <f>HYPERLINK("https://twitter.com/eduardonishio/status/1656072685942722561")</f>
        <v>https://twitter.com/eduardonishio/status/1656072685942722561</v>
      </c>
      <c r="AF3078" s="79">
        <v>45055.961469907408</v>
      </c>
      <c r="AG3078" s="85">
        <v>45055</v>
      </c>
      <c r="AH3078" s="82" t="s">
        <v>11104</v>
      </c>
      <c r="AI3078" s="77" t="b">
        <v>0</v>
      </c>
      <c r="AJ3078" s="77"/>
      <c r="AK3078" s="77"/>
      <c r="AL3078" s="77"/>
      <c r="AM3078" s="77"/>
      <c r="AN3078" s="77"/>
      <c r="AO3078" s="77"/>
      <c r="AP3078" s="77"/>
      <c r="AQ3078" s="77"/>
      <c r="AR3078" s="77"/>
      <c r="AS3078" s="77"/>
      <c r="AT3078" s="77"/>
      <c r="AU3078" s="77"/>
      <c r="AV3078" s="80" t="str">
        <f>HYPERLINK("https://pbs.twimg.com/profile_images/1324534879913234433/lqQpayNj_normal.jpg")</f>
        <v>https://pbs.twimg.com/profile_images/1324534879913234433/lqQpayNj_normal.jpg</v>
      </c>
      <c r="AW3078" s="82" t="s">
        <v>16162</v>
      </c>
      <c r="AX3078" s="82" t="s">
        <v>16162</v>
      </c>
      <c r="AY3078" s="77"/>
      <c r="AZ3078" s="82" t="s">
        <v>17385</v>
      </c>
      <c r="BA3078" s="82" t="s">
        <v>17385</v>
      </c>
      <c r="BB3078" s="82" t="s">
        <v>17385</v>
      </c>
      <c r="BC3078" s="82" t="s">
        <v>16162</v>
      </c>
      <c r="BD3078" s="77">
        <v>336690703</v>
      </c>
      <c r="BE3078" s="77"/>
      <c r="BF3078" s="77"/>
      <c r="BG3078" s="77"/>
      <c r="BH3078" s="77"/>
      <c r="BI3078" s="77"/>
    </row>
    <row r="3079" spans="1:61" x14ac:dyDescent="0.25">
      <c r="A3079" s="62" t="s">
        <v>667</v>
      </c>
      <c r="B3079" s="62" t="s">
        <v>667</v>
      </c>
      <c r="C3079" s="63"/>
      <c r="D3079" s="64"/>
      <c r="E3079" s="65"/>
      <c r="F3079" s="66"/>
      <c r="G3079" s="63"/>
      <c r="H3079" s="67"/>
      <c r="I3079" s="68"/>
      <c r="J3079" s="68"/>
      <c r="K3079" s="32"/>
      <c r="L3079" s="75">
        <v>3079</v>
      </c>
      <c r="M3079" s="75"/>
      <c r="N3079" s="70"/>
      <c r="O3079" s="77" t="s">
        <v>179</v>
      </c>
      <c r="P3079" s="79">
        <v>45056.489895833336</v>
      </c>
      <c r="Q3079" s="77" t="s">
        <v>3856</v>
      </c>
      <c r="R3079" s="77">
        <v>0</v>
      </c>
      <c r="S3079" s="77">
        <v>0</v>
      </c>
      <c r="T3079" s="77">
        <v>0</v>
      </c>
      <c r="U3079" s="77">
        <v>0</v>
      </c>
      <c r="V3079" s="77">
        <v>57</v>
      </c>
      <c r="W3079" s="82" t="s">
        <v>6415</v>
      </c>
      <c r="X3079" s="77"/>
      <c r="Y3079" s="77"/>
      <c r="Z3079" s="77"/>
      <c r="AA3079" s="77" t="s">
        <v>8118</v>
      </c>
      <c r="AB3079" s="77" t="s">
        <v>8227</v>
      </c>
      <c r="AC3079" s="82" t="s">
        <v>8234</v>
      </c>
      <c r="AD3079" s="77" t="s">
        <v>8278</v>
      </c>
      <c r="AE3079" s="80" t="str">
        <f>HYPERLINK("https://twitter.com/2tmobinvesting/status/1656264182084390913")</f>
        <v>https://twitter.com/2tmobinvesting/status/1656264182084390913</v>
      </c>
      <c r="AF3079" s="79">
        <v>45056.489895833336</v>
      </c>
      <c r="AG3079" s="85">
        <v>45056</v>
      </c>
      <c r="AH3079" s="82" t="s">
        <v>11105</v>
      </c>
      <c r="AI3079" s="77" t="b">
        <v>0</v>
      </c>
      <c r="AJ3079" s="77"/>
      <c r="AK3079" s="77"/>
      <c r="AL3079" s="77"/>
      <c r="AM3079" s="77"/>
      <c r="AN3079" s="77"/>
      <c r="AO3079" s="77"/>
      <c r="AP3079" s="77"/>
      <c r="AQ3079" s="77" t="s">
        <v>13003</v>
      </c>
      <c r="AR3079" s="77">
        <v>44995</v>
      </c>
      <c r="AS3079" s="77"/>
      <c r="AT3079" s="77"/>
      <c r="AU3079" s="77"/>
      <c r="AV3079" s="80" t="str">
        <f>HYPERLINK("https://pbs.twimg.com/ext_tw_video_thumb/1656264099989188609/pu/img/ljubUAfvNRdme4ew.jpg")</f>
        <v>https://pbs.twimg.com/ext_tw_video_thumb/1656264099989188609/pu/img/ljubUAfvNRdme4ew.jpg</v>
      </c>
      <c r="AW3079" s="82" t="s">
        <v>16163</v>
      </c>
      <c r="AX3079" s="82" t="s">
        <v>16163</v>
      </c>
      <c r="AY3079" s="77"/>
      <c r="AZ3079" s="82" t="s">
        <v>17385</v>
      </c>
      <c r="BA3079" s="82" t="s">
        <v>17385</v>
      </c>
      <c r="BB3079" s="82" t="s">
        <v>17385</v>
      </c>
      <c r="BC3079" s="82" t="s">
        <v>16163</v>
      </c>
      <c r="BD3079" s="82" t="s">
        <v>17684</v>
      </c>
      <c r="BE3079" s="77"/>
      <c r="BF3079" s="77"/>
      <c r="BG3079" s="77"/>
      <c r="BH3079" s="77"/>
      <c r="BI3079" s="77"/>
    </row>
    <row r="3080" spans="1:61" x14ac:dyDescent="0.25">
      <c r="A3080" s="62" t="s">
        <v>667</v>
      </c>
      <c r="B3080" s="62" t="s">
        <v>667</v>
      </c>
      <c r="C3080" s="63"/>
      <c r="D3080" s="64"/>
      <c r="E3080" s="65"/>
      <c r="F3080" s="66"/>
      <c r="G3080" s="63"/>
      <c r="H3080" s="67"/>
      <c r="I3080" s="68"/>
      <c r="J3080" s="68"/>
      <c r="K3080" s="32"/>
      <c r="L3080" s="75">
        <v>3080</v>
      </c>
      <c r="M3080" s="75"/>
      <c r="N3080" s="70"/>
      <c r="O3080" s="77" t="s">
        <v>179</v>
      </c>
      <c r="P3080" s="79">
        <v>45061.481631944444</v>
      </c>
      <c r="Q3080" s="77" t="s">
        <v>3857</v>
      </c>
      <c r="R3080" s="77">
        <v>0</v>
      </c>
      <c r="S3080" s="77">
        <v>0</v>
      </c>
      <c r="T3080" s="77">
        <v>0</v>
      </c>
      <c r="U3080" s="77">
        <v>0</v>
      </c>
      <c r="V3080" s="77">
        <v>49</v>
      </c>
      <c r="W3080" s="82" t="s">
        <v>6415</v>
      </c>
      <c r="X3080" s="77"/>
      <c r="Y3080" s="77"/>
      <c r="Z3080" s="77"/>
      <c r="AA3080" s="77" t="s">
        <v>8119</v>
      </c>
      <c r="AB3080" s="77" t="s">
        <v>8227</v>
      </c>
      <c r="AC3080" s="82" t="s">
        <v>8234</v>
      </c>
      <c r="AD3080" s="77" t="s">
        <v>8278</v>
      </c>
      <c r="AE3080" s="80" t="str">
        <f>HYPERLINK("https://twitter.com/2tmobinvesting/status/1658073126054371329")</f>
        <v>https://twitter.com/2tmobinvesting/status/1658073126054371329</v>
      </c>
      <c r="AF3080" s="79">
        <v>45061.481631944444</v>
      </c>
      <c r="AG3080" s="85">
        <v>45061</v>
      </c>
      <c r="AH3080" s="82" t="s">
        <v>11106</v>
      </c>
      <c r="AI3080" s="77" t="b">
        <v>0</v>
      </c>
      <c r="AJ3080" s="77"/>
      <c r="AK3080" s="77"/>
      <c r="AL3080" s="77"/>
      <c r="AM3080" s="77"/>
      <c r="AN3080" s="77"/>
      <c r="AO3080" s="77"/>
      <c r="AP3080" s="77"/>
      <c r="AQ3080" s="77" t="s">
        <v>13004</v>
      </c>
      <c r="AR3080" s="77">
        <v>44994</v>
      </c>
      <c r="AS3080" s="77"/>
      <c r="AT3080" s="77"/>
      <c r="AU3080" s="77"/>
      <c r="AV3080" s="80" t="str">
        <f>HYPERLINK("https://pbs.twimg.com/ext_tw_video_thumb/1658072980298125312/pu/img/T55XGm1g3h1BU5dg.jpg")</f>
        <v>https://pbs.twimg.com/ext_tw_video_thumb/1658072980298125312/pu/img/T55XGm1g3h1BU5dg.jpg</v>
      </c>
      <c r="AW3080" s="82" t="s">
        <v>16164</v>
      </c>
      <c r="AX3080" s="82" t="s">
        <v>16164</v>
      </c>
      <c r="AY3080" s="77"/>
      <c r="AZ3080" s="82" t="s">
        <v>17385</v>
      </c>
      <c r="BA3080" s="82" t="s">
        <v>17385</v>
      </c>
      <c r="BB3080" s="82" t="s">
        <v>17385</v>
      </c>
      <c r="BC3080" s="82" t="s">
        <v>16164</v>
      </c>
      <c r="BD3080" s="82" t="s">
        <v>17684</v>
      </c>
      <c r="BE3080" s="77"/>
      <c r="BF3080" s="77"/>
      <c r="BG3080" s="77"/>
      <c r="BH3080" s="77"/>
      <c r="BI3080" s="77"/>
    </row>
    <row r="3081" spans="1:61" x14ac:dyDescent="0.25">
      <c r="A3081" s="62" t="s">
        <v>668</v>
      </c>
      <c r="B3081" s="62" t="s">
        <v>668</v>
      </c>
      <c r="C3081" s="63"/>
      <c r="D3081" s="64"/>
      <c r="E3081" s="65"/>
      <c r="F3081" s="66"/>
      <c r="G3081" s="63"/>
      <c r="H3081" s="67"/>
      <c r="I3081" s="68"/>
      <c r="J3081" s="68"/>
      <c r="K3081" s="32"/>
      <c r="L3081" s="75">
        <v>3081</v>
      </c>
      <c r="M3081" s="75"/>
      <c r="N3081" s="70"/>
      <c r="O3081" s="77" t="s">
        <v>179</v>
      </c>
      <c r="P3081" s="79">
        <v>45117.6875</v>
      </c>
      <c r="Q3081" s="77" t="s">
        <v>3858</v>
      </c>
      <c r="R3081" s="77">
        <v>0</v>
      </c>
      <c r="S3081" s="77">
        <v>1</v>
      </c>
      <c r="T3081" s="77">
        <v>0</v>
      </c>
      <c r="U3081" s="77">
        <v>0</v>
      </c>
      <c r="V3081" s="77">
        <v>108</v>
      </c>
      <c r="W3081" s="82" t="s">
        <v>6416</v>
      </c>
      <c r="X3081" s="80" t="str">
        <f>HYPERLINK("https://bit.ly/44B9whF")</f>
        <v>https://bit.ly/44B9whF</v>
      </c>
      <c r="Y3081" s="77" t="s">
        <v>7063</v>
      </c>
      <c r="Z3081" s="77"/>
      <c r="AA3081" s="77"/>
      <c r="AB3081" s="77"/>
      <c r="AC3081" s="82" t="s">
        <v>8239</v>
      </c>
      <c r="AD3081" s="77" t="s">
        <v>8278</v>
      </c>
      <c r="AE3081" s="80" t="str">
        <f>HYPERLINK("https://twitter.com/sigaif/status/1678441451540340736")</f>
        <v>https://twitter.com/sigaif/status/1678441451540340736</v>
      </c>
      <c r="AF3081" s="79">
        <v>45117.6875</v>
      </c>
      <c r="AG3081" s="85">
        <v>45117</v>
      </c>
      <c r="AH3081" s="82" t="s">
        <v>11107</v>
      </c>
      <c r="AI3081" s="77" t="b">
        <v>0</v>
      </c>
      <c r="AJ3081" s="77"/>
      <c r="AK3081" s="77"/>
      <c r="AL3081" s="77"/>
      <c r="AM3081" s="77"/>
      <c r="AN3081" s="77"/>
      <c r="AO3081" s="77"/>
      <c r="AP3081" s="77"/>
      <c r="AQ3081" s="77"/>
      <c r="AR3081" s="77"/>
      <c r="AS3081" s="77"/>
      <c r="AT3081" s="77"/>
      <c r="AU3081" s="77"/>
      <c r="AV3081" s="80" t="str">
        <f>HYPERLINK("https://pbs.twimg.com/profile_images/1694699476663914496/pAhGWDTb_normal.jpg")</f>
        <v>https://pbs.twimg.com/profile_images/1694699476663914496/pAhGWDTb_normal.jpg</v>
      </c>
      <c r="AW3081" s="82" t="s">
        <v>16165</v>
      </c>
      <c r="AX3081" s="82" t="s">
        <v>16165</v>
      </c>
      <c r="AY3081" s="77"/>
      <c r="AZ3081" s="82" t="s">
        <v>17385</v>
      </c>
      <c r="BA3081" s="82" t="s">
        <v>17385</v>
      </c>
      <c r="BB3081" s="82" t="s">
        <v>17385</v>
      </c>
      <c r="BC3081" s="82" t="s">
        <v>16165</v>
      </c>
      <c r="BD3081" s="82" t="s">
        <v>17337</v>
      </c>
      <c r="BE3081" s="77"/>
      <c r="BF3081" s="77"/>
      <c r="BG3081" s="77"/>
      <c r="BH3081" s="77"/>
      <c r="BI3081" s="77"/>
    </row>
    <row r="3082" spans="1:61" x14ac:dyDescent="0.25">
      <c r="A3082" s="62" t="s">
        <v>668</v>
      </c>
      <c r="B3082" s="62" t="s">
        <v>668</v>
      </c>
      <c r="C3082" s="63"/>
      <c r="D3082" s="64"/>
      <c r="E3082" s="65"/>
      <c r="F3082" s="66"/>
      <c r="G3082" s="63"/>
      <c r="H3082" s="67"/>
      <c r="I3082" s="68"/>
      <c r="J3082" s="68"/>
      <c r="K3082" s="32"/>
      <c r="L3082" s="75">
        <v>3082</v>
      </c>
      <c r="M3082" s="75"/>
      <c r="N3082" s="70"/>
      <c r="O3082" s="77" t="s">
        <v>179</v>
      </c>
      <c r="P3082" s="79">
        <v>45114.645833333336</v>
      </c>
      <c r="Q3082" s="77" t="s">
        <v>3859</v>
      </c>
      <c r="R3082" s="77">
        <v>0</v>
      </c>
      <c r="S3082" s="77">
        <v>0</v>
      </c>
      <c r="T3082" s="77">
        <v>0</v>
      </c>
      <c r="U3082" s="77">
        <v>0</v>
      </c>
      <c r="V3082" s="77">
        <v>98</v>
      </c>
      <c r="W3082" s="82" t="s">
        <v>5381</v>
      </c>
      <c r="X3082" s="80" t="str">
        <f>HYPERLINK("https://bit.ly/3D2IPqt")</f>
        <v>https://bit.ly/3D2IPqt</v>
      </c>
      <c r="Y3082" s="77" t="s">
        <v>7063</v>
      </c>
      <c r="Z3082" s="77"/>
      <c r="AA3082" s="77"/>
      <c r="AB3082" s="77"/>
      <c r="AC3082" s="82" t="s">
        <v>8239</v>
      </c>
      <c r="AD3082" s="77" t="s">
        <v>8278</v>
      </c>
      <c r="AE3082" s="80" t="str">
        <f>HYPERLINK("https://twitter.com/sigaif/status/1677339186620403713")</f>
        <v>https://twitter.com/sigaif/status/1677339186620403713</v>
      </c>
      <c r="AF3082" s="79">
        <v>45114.645833333336</v>
      </c>
      <c r="AG3082" s="85">
        <v>45114</v>
      </c>
      <c r="AH3082" s="82" t="s">
        <v>8690</v>
      </c>
      <c r="AI3082" s="77" t="b">
        <v>0</v>
      </c>
      <c r="AJ3082" s="77"/>
      <c r="AK3082" s="77"/>
      <c r="AL3082" s="77"/>
      <c r="AM3082" s="77"/>
      <c r="AN3082" s="77"/>
      <c r="AO3082" s="77"/>
      <c r="AP3082" s="77"/>
      <c r="AQ3082" s="77"/>
      <c r="AR3082" s="77"/>
      <c r="AS3082" s="77"/>
      <c r="AT3082" s="77"/>
      <c r="AU3082" s="77"/>
      <c r="AV3082" s="80" t="str">
        <f>HYPERLINK("https://pbs.twimg.com/profile_images/1694699476663914496/pAhGWDTb_normal.jpg")</f>
        <v>https://pbs.twimg.com/profile_images/1694699476663914496/pAhGWDTb_normal.jpg</v>
      </c>
      <c r="AW3082" s="82" t="s">
        <v>16166</v>
      </c>
      <c r="AX3082" s="82" t="s">
        <v>16166</v>
      </c>
      <c r="AY3082" s="77"/>
      <c r="AZ3082" s="82" t="s">
        <v>17385</v>
      </c>
      <c r="BA3082" s="82" t="s">
        <v>17385</v>
      </c>
      <c r="BB3082" s="82" t="s">
        <v>17385</v>
      </c>
      <c r="BC3082" s="82" t="s">
        <v>16166</v>
      </c>
      <c r="BD3082" s="82" t="s">
        <v>17337</v>
      </c>
      <c r="BE3082" s="77"/>
      <c r="BF3082" s="77"/>
      <c r="BG3082" s="77"/>
      <c r="BH3082" s="77"/>
      <c r="BI3082" s="77"/>
    </row>
    <row r="3083" spans="1:61" x14ac:dyDescent="0.25">
      <c r="A3083" s="62" t="s">
        <v>668</v>
      </c>
      <c r="B3083" s="62" t="s">
        <v>668</v>
      </c>
      <c r="C3083" s="63"/>
      <c r="D3083" s="64"/>
      <c r="E3083" s="65"/>
      <c r="F3083" s="66"/>
      <c r="G3083" s="63"/>
      <c r="H3083" s="67"/>
      <c r="I3083" s="68"/>
      <c r="J3083" s="68"/>
      <c r="K3083" s="32"/>
      <c r="L3083" s="75">
        <v>3083</v>
      </c>
      <c r="M3083" s="75"/>
      <c r="N3083" s="70"/>
      <c r="O3083" s="77" t="s">
        <v>179</v>
      </c>
      <c r="P3083" s="79">
        <v>45146.729166666664</v>
      </c>
      <c r="Q3083" s="77" t="s">
        <v>3860</v>
      </c>
      <c r="R3083" s="77">
        <v>0</v>
      </c>
      <c r="S3083" s="77">
        <v>0</v>
      </c>
      <c r="T3083" s="77">
        <v>0</v>
      </c>
      <c r="U3083" s="77">
        <v>0</v>
      </c>
      <c r="V3083" s="77">
        <v>150</v>
      </c>
      <c r="W3083" s="82" t="s">
        <v>6417</v>
      </c>
      <c r="X3083" s="80" t="str">
        <f>HYPERLINK("https://bit.ly/3YsuTzX")</f>
        <v>https://bit.ly/3YsuTzX</v>
      </c>
      <c r="Y3083" s="77" t="s">
        <v>7063</v>
      </c>
      <c r="Z3083" s="77"/>
      <c r="AA3083" s="77"/>
      <c r="AB3083" s="77"/>
      <c r="AC3083" s="82" t="s">
        <v>8239</v>
      </c>
      <c r="AD3083" s="77" t="s">
        <v>8278</v>
      </c>
      <c r="AE3083" s="80" t="str">
        <f>HYPERLINK("https://twitter.com/sigaif/status/1688965800194121729")</f>
        <v>https://twitter.com/sigaif/status/1688965800194121729</v>
      </c>
      <c r="AF3083" s="79">
        <v>45146.729166666664</v>
      </c>
      <c r="AG3083" s="85">
        <v>45146</v>
      </c>
      <c r="AH3083" s="82" t="s">
        <v>11108</v>
      </c>
      <c r="AI3083" s="77" t="b">
        <v>0</v>
      </c>
      <c r="AJ3083" s="77"/>
      <c r="AK3083" s="77"/>
      <c r="AL3083" s="77"/>
      <c r="AM3083" s="77"/>
      <c r="AN3083" s="77"/>
      <c r="AO3083" s="77"/>
      <c r="AP3083" s="77"/>
      <c r="AQ3083" s="77"/>
      <c r="AR3083" s="77"/>
      <c r="AS3083" s="77"/>
      <c r="AT3083" s="77"/>
      <c r="AU3083" s="77"/>
      <c r="AV3083" s="80" t="str">
        <f>HYPERLINK("https://pbs.twimg.com/profile_images/1694699476663914496/pAhGWDTb_normal.jpg")</f>
        <v>https://pbs.twimg.com/profile_images/1694699476663914496/pAhGWDTb_normal.jpg</v>
      </c>
      <c r="AW3083" s="82" t="s">
        <v>16167</v>
      </c>
      <c r="AX3083" s="82" t="s">
        <v>16167</v>
      </c>
      <c r="AY3083" s="77"/>
      <c r="AZ3083" s="82" t="s">
        <v>17385</v>
      </c>
      <c r="BA3083" s="82" t="s">
        <v>17385</v>
      </c>
      <c r="BB3083" s="82" t="s">
        <v>17385</v>
      </c>
      <c r="BC3083" s="82" t="s">
        <v>16167</v>
      </c>
      <c r="BD3083" s="82" t="s">
        <v>17337</v>
      </c>
      <c r="BE3083" s="77"/>
      <c r="BF3083" s="77"/>
      <c r="BG3083" s="77"/>
      <c r="BH3083" s="77"/>
      <c r="BI3083" s="77"/>
    </row>
    <row r="3084" spans="1:61" x14ac:dyDescent="0.25">
      <c r="A3084" s="62" t="s">
        <v>668</v>
      </c>
      <c r="B3084" s="62" t="s">
        <v>668</v>
      </c>
      <c r="C3084" s="63"/>
      <c r="D3084" s="64"/>
      <c r="E3084" s="65"/>
      <c r="F3084" s="66"/>
      <c r="G3084" s="63"/>
      <c r="H3084" s="67"/>
      <c r="I3084" s="68"/>
      <c r="J3084" s="68"/>
      <c r="K3084" s="32"/>
      <c r="L3084" s="75">
        <v>3084</v>
      </c>
      <c r="M3084" s="75"/>
      <c r="N3084" s="70"/>
      <c r="O3084" s="77" t="s">
        <v>179</v>
      </c>
      <c r="P3084" s="79">
        <v>45113.9375</v>
      </c>
      <c r="Q3084" s="77" t="s">
        <v>3861</v>
      </c>
      <c r="R3084" s="77">
        <v>0</v>
      </c>
      <c r="S3084" s="77">
        <v>2</v>
      </c>
      <c r="T3084" s="77">
        <v>0</v>
      </c>
      <c r="U3084" s="77">
        <v>0</v>
      </c>
      <c r="V3084" s="77">
        <v>149</v>
      </c>
      <c r="W3084" s="82" t="s">
        <v>6418</v>
      </c>
      <c r="X3084" s="80" t="str">
        <f>HYPERLINK("https://bit.ly/3riYUWB")</f>
        <v>https://bit.ly/3riYUWB</v>
      </c>
      <c r="Y3084" s="77" t="s">
        <v>7063</v>
      </c>
      <c r="Z3084" s="77"/>
      <c r="AA3084" s="77"/>
      <c r="AB3084" s="77"/>
      <c r="AC3084" s="82" t="s">
        <v>8239</v>
      </c>
      <c r="AD3084" s="77" t="s">
        <v>8278</v>
      </c>
      <c r="AE3084" s="80" t="str">
        <f>HYPERLINK("https://twitter.com/sigaif/status/1677082498147434496")</f>
        <v>https://twitter.com/sigaif/status/1677082498147434496</v>
      </c>
      <c r="AF3084" s="79">
        <v>45113.9375</v>
      </c>
      <c r="AG3084" s="85">
        <v>45113</v>
      </c>
      <c r="AH3084" s="82" t="s">
        <v>11109</v>
      </c>
      <c r="AI3084" s="77" t="b">
        <v>0</v>
      </c>
      <c r="AJ3084" s="77"/>
      <c r="AK3084" s="77"/>
      <c r="AL3084" s="77"/>
      <c r="AM3084" s="77"/>
      <c r="AN3084" s="77"/>
      <c r="AO3084" s="77"/>
      <c r="AP3084" s="77"/>
      <c r="AQ3084" s="77"/>
      <c r="AR3084" s="77"/>
      <c r="AS3084" s="77"/>
      <c r="AT3084" s="77"/>
      <c r="AU3084" s="77"/>
      <c r="AV3084" s="80" t="str">
        <f>HYPERLINK("https://pbs.twimg.com/profile_images/1694699476663914496/pAhGWDTb_normal.jpg")</f>
        <v>https://pbs.twimg.com/profile_images/1694699476663914496/pAhGWDTb_normal.jpg</v>
      </c>
      <c r="AW3084" s="82" t="s">
        <v>16168</v>
      </c>
      <c r="AX3084" s="82" t="s">
        <v>16168</v>
      </c>
      <c r="AY3084" s="77"/>
      <c r="AZ3084" s="82" t="s">
        <v>17385</v>
      </c>
      <c r="BA3084" s="82" t="s">
        <v>17385</v>
      </c>
      <c r="BB3084" s="82" t="s">
        <v>17385</v>
      </c>
      <c r="BC3084" s="82" t="s">
        <v>16168</v>
      </c>
      <c r="BD3084" s="82" t="s">
        <v>17337</v>
      </c>
      <c r="BE3084" s="77"/>
      <c r="BF3084" s="77"/>
      <c r="BG3084" s="77"/>
      <c r="BH3084" s="77"/>
      <c r="BI3084" s="77"/>
    </row>
    <row r="3085" spans="1:61" x14ac:dyDescent="0.25">
      <c r="A3085" s="62" t="s">
        <v>668</v>
      </c>
      <c r="B3085" s="62" t="s">
        <v>668</v>
      </c>
      <c r="C3085" s="63"/>
      <c r="D3085" s="64"/>
      <c r="E3085" s="65"/>
      <c r="F3085" s="66"/>
      <c r="G3085" s="63"/>
      <c r="H3085" s="67"/>
      <c r="I3085" s="68"/>
      <c r="J3085" s="68"/>
      <c r="K3085" s="32"/>
      <c r="L3085" s="75">
        <v>3085</v>
      </c>
      <c r="M3085" s="75"/>
      <c r="N3085" s="70"/>
      <c r="O3085" s="77" t="s">
        <v>179</v>
      </c>
      <c r="P3085" s="79">
        <v>45113.895833333336</v>
      </c>
      <c r="Q3085" s="77" t="s">
        <v>3862</v>
      </c>
      <c r="R3085" s="77">
        <v>0</v>
      </c>
      <c r="S3085" s="77">
        <v>0</v>
      </c>
      <c r="T3085" s="77">
        <v>0</v>
      </c>
      <c r="U3085" s="77">
        <v>0</v>
      </c>
      <c r="V3085" s="77">
        <v>114</v>
      </c>
      <c r="W3085" s="82" t="s">
        <v>6419</v>
      </c>
      <c r="X3085" s="80" t="str">
        <f>HYPERLINK("https://bit.ly/3D0xl6L")</f>
        <v>https://bit.ly/3D0xl6L</v>
      </c>
      <c r="Y3085" s="77" t="s">
        <v>7063</v>
      </c>
      <c r="Z3085" s="77"/>
      <c r="AA3085" s="77"/>
      <c r="AB3085" s="77"/>
      <c r="AC3085" s="82" t="s">
        <v>8239</v>
      </c>
      <c r="AD3085" s="77" t="s">
        <v>8278</v>
      </c>
      <c r="AE3085" s="80" t="str">
        <f>HYPERLINK("https://twitter.com/sigaif/status/1677067398200037376")</f>
        <v>https://twitter.com/sigaif/status/1677067398200037376</v>
      </c>
      <c r="AF3085" s="79">
        <v>45113.895833333336</v>
      </c>
      <c r="AG3085" s="85">
        <v>45113</v>
      </c>
      <c r="AH3085" s="82" t="s">
        <v>8626</v>
      </c>
      <c r="AI3085" s="77" t="b">
        <v>0</v>
      </c>
      <c r="AJ3085" s="77"/>
      <c r="AK3085" s="77"/>
      <c r="AL3085" s="77"/>
      <c r="AM3085" s="77"/>
      <c r="AN3085" s="77"/>
      <c r="AO3085" s="77"/>
      <c r="AP3085" s="77"/>
      <c r="AQ3085" s="77"/>
      <c r="AR3085" s="77"/>
      <c r="AS3085" s="77"/>
      <c r="AT3085" s="77"/>
      <c r="AU3085" s="77"/>
      <c r="AV3085" s="80" t="str">
        <f>HYPERLINK("https://pbs.twimg.com/profile_images/1694699476663914496/pAhGWDTb_normal.jpg")</f>
        <v>https://pbs.twimg.com/profile_images/1694699476663914496/pAhGWDTb_normal.jpg</v>
      </c>
      <c r="AW3085" s="82" t="s">
        <v>16169</v>
      </c>
      <c r="AX3085" s="82" t="s">
        <v>16169</v>
      </c>
      <c r="AY3085" s="77"/>
      <c r="AZ3085" s="82" t="s">
        <v>17385</v>
      </c>
      <c r="BA3085" s="82" t="s">
        <v>17385</v>
      </c>
      <c r="BB3085" s="82" t="s">
        <v>17385</v>
      </c>
      <c r="BC3085" s="82" t="s">
        <v>16169</v>
      </c>
      <c r="BD3085" s="82" t="s">
        <v>17337</v>
      </c>
      <c r="BE3085" s="77"/>
      <c r="BF3085" s="77"/>
      <c r="BG3085" s="77"/>
      <c r="BH3085" s="77"/>
      <c r="BI3085" s="77"/>
    </row>
    <row r="3086" spans="1:61" x14ac:dyDescent="0.25">
      <c r="A3086" s="62" t="s">
        <v>668</v>
      </c>
      <c r="B3086" s="62" t="s">
        <v>668</v>
      </c>
      <c r="C3086" s="63"/>
      <c r="D3086" s="64"/>
      <c r="E3086" s="65"/>
      <c r="F3086" s="66"/>
      <c r="G3086" s="63"/>
      <c r="H3086" s="67"/>
      <c r="I3086" s="68"/>
      <c r="J3086" s="68"/>
      <c r="K3086" s="32"/>
      <c r="L3086" s="75">
        <v>3086</v>
      </c>
      <c r="M3086" s="75"/>
      <c r="N3086" s="70"/>
      <c r="O3086" s="77" t="s">
        <v>179</v>
      </c>
      <c r="P3086" s="79">
        <v>45090.791666666664</v>
      </c>
      <c r="Q3086" s="77" t="s">
        <v>3863</v>
      </c>
      <c r="R3086" s="77">
        <v>0</v>
      </c>
      <c r="S3086" s="77">
        <v>0</v>
      </c>
      <c r="T3086" s="77">
        <v>0</v>
      </c>
      <c r="U3086" s="77">
        <v>0</v>
      </c>
      <c r="V3086" s="77">
        <v>148</v>
      </c>
      <c r="W3086" s="82" t="s">
        <v>6420</v>
      </c>
      <c r="X3086" s="80" t="str">
        <f>HYPERLINK("https://bit.ly/3JcHJMt")</f>
        <v>https://bit.ly/3JcHJMt</v>
      </c>
      <c r="Y3086" s="77" t="s">
        <v>7063</v>
      </c>
      <c r="Z3086" s="77"/>
      <c r="AA3086" s="77"/>
      <c r="AB3086" s="77"/>
      <c r="AC3086" s="82" t="s">
        <v>8239</v>
      </c>
      <c r="AD3086" s="77" t="s">
        <v>8278</v>
      </c>
      <c r="AE3086" s="80" t="str">
        <f>HYPERLINK("https://twitter.com/sigaif/status/1668694728324395008")</f>
        <v>https://twitter.com/sigaif/status/1668694728324395008</v>
      </c>
      <c r="AF3086" s="79">
        <v>45090.791666666664</v>
      </c>
      <c r="AG3086" s="85">
        <v>45090</v>
      </c>
      <c r="AH3086" s="82" t="s">
        <v>11110</v>
      </c>
      <c r="AI3086" s="77" t="b">
        <v>0</v>
      </c>
      <c r="AJ3086" s="77"/>
      <c r="AK3086" s="77"/>
      <c r="AL3086" s="77"/>
      <c r="AM3086" s="77"/>
      <c r="AN3086" s="77"/>
      <c r="AO3086" s="77"/>
      <c r="AP3086" s="77"/>
      <c r="AQ3086" s="77"/>
      <c r="AR3086" s="77"/>
      <c r="AS3086" s="77"/>
      <c r="AT3086" s="77"/>
      <c r="AU3086" s="77"/>
      <c r="AV3086" s="80" t="str">
        <f>HYPERLINK("https://pbs.twimg.com/profile_images/1694699476663914496/pAhGWDTb_normal.jpg")</f>
        <v>https://pbs.twimg.com/profile_images/1694699476663914496/pAhGWDTb_normal.jpg</v>
      </c>
      <c r="AW3086" s="82" t="s">
        <v>16170</v>
      </c>
      <c r="AX3086" s="82" t="s">
        <v>16170</v>
      </c>
      <c r="AY3086" s="77"/>
      <c r="AZ3086" s="82" t="s">
        <v>17385</v>
      </c>
      <c r="BA3086" s="82" t="s">
        <v>17385</v>
      </c>
      <c r="BB3086" s="82" t="s">
        <v>17385</v>
      </c>
      <c r="BC3086" s="82" t="s">
        <v>16170</v>
      </c>
      <c r="BD3086" s="82" t="s">
        <v>17337</v>
      </c>
      <c r="BE3086" s="77"/>
      <c r="BF3086" s="77"/>
      <c r="BG3086" s="77"/>
      <c r="BH3086" s="77"/>
      <c r="BI3086" s="77"/>
    </row>
    <row r="3087" spans="1:61" x14ac:dyDescent="0.25">
      <c r="A3087" s="62" t="s">
        <v>668</v>
      </c>
      <c r="B3087" s="62" t="s">
        <v>668</v>
      </c>
      <c r="C3087" s="63"/>
      <c r="D3087" s="64"/>
      <c r="E3087" s="65"/>
      <c r="F3087" s="66"/>
      <c r="G3087" s="63"/>
      <c r="H3087" s="67"/>
      <c r="I3087" s="68"/>
      <c r="J3087" s="68"/>
      <c r="K3087" s="32"/>
      <c r="L3087" s="75">
        <v>3087</v>
      </c>
      <c r="M3087" s="75"/>
      <c r="N3087" s="70"/>
      <c r="O3087" s="77" t="s">
        <v>179</v>
      </c>
      <c r="P3087" s="79">
        <v>45145.5625</v>
      </c>
      <c r="Q3087" s="77" t="s">
        <v>3864</v>
      </c>
      <c r="R3087" s="77">
        <v>0</v>
      </c>
      <c r="S3087" s="77">
        <v>1</v>
      </c>
      <c r="T3087" s="77">
        <v>0</v>
      </c>
      <c r="U3087" s="77">
        <v>0</v>
      </c>
      <c r="V3087" s="77">
        <v>147</v>
      </c>
      <c r="W3087" s="82" t="s">
        <v>6421</v>
      </c>
      <c r="X3087" s="80" t="str">
        <f>HYPERLINK("https://bit.ly/446MS0g")</f>
        <v>https://bit.ly/446MS0g</v>
      </c>
      <c r="Y3087" s="77" t="s">
        <v>7063</v>
      </c>
      <c r="Z3087" s="77"/>
      <c r="AA3087" s="77"/>
      <c r="AB3087" s="77"/>
      <c r="AC3087" s="82" t="s">
        <v>8239</v>
      </c>
      <c r="AD3087" s="77" t="s">
        <v>8278</v>
      </c>
      <c r="AE3087" s="80" t="str">
        <f>HYPERLINK("https://twitter.com/sigaif/status/1688543013465907200")</f>
        <v>https://twitter.com/sigaif/status/1688543013465907200</v>
      </c>
      <c r="AF3087" s="79">
        <v>45145.5625</v>
      </c>
      <c r="AG3087" s="85">
        <v>45145</v>
      </c>
      <c r="AH3087" s="82" t="s">
        <v>8627</v>
      </c>
      <c r="AI3087" s="77" t="b">
        <v>0</v>
      </c>
      <c r="AJ3087" s="77"/>
      <c r="AK3087" s="77"/>
      <c r="AL3087" s="77"/>
      <c r="AM3087" s="77"/>
      <c r="AN3087" s="77"/>
      <c r="AO3087" s="77"/>
      <c r="AP3087" s="77"/>
      <c r="AQ3087" s="77"/>
      <c r="AR3087" s="77"/>
      <c r="AS3087" s="77"/>
      <c r="AT3087" s="77"/>
      <c r="AU3087" s="77"/>
      <c r="AV3087" s="80" t="str">
        <f>HYPERLINK("https://pbs.twimg.com/profile_images/1694699476663914496/pAhGWDTb_normal.jpg")</f>
        <v>https://pbs.twimg.com/profile_images/1694699476663914496/pAhGWDTb_normal.jpg</v>
      </c>
      <c r="AW3087" s="82" t="s">
        <v>16171</v>
      </c>
      <c r="AX3087" s="82" t="s">
        <v>16171</v>
      </c>
      <c r="AY3087" s="77"/>
      <c r="AZ3087" s="82" t="s">
        <v>17385</v>
      </c>
      <c r="BA3087" s="82" t="s">
        <v>17385</v>
      </c>
      <c r="BB3087" s="82" t="s">
        <v>17385</v>
      </c>
      <c r="BC3087" s="82" t="s">
        <v>16171</v>
      </c>
      <c r="BD3087" s="82" t="s">
        <v>17337</v>
      </c>
      <c r="BE3087" s="77"/>
      <c r="BF3087" s="77"/>
      <c r="BG3087" s="77"/>
      <c r="BH3087" s="77"/>
      <c r="BI3087" s="77"/>
    </row>
    <row r="3088" spans="1:61" x14ac:dyDescent="0.25">
      <c r="A3088" s="62" t="s">
        <v>669</v>
      </c>
      <c r="B3088" s="62" t="s">
        <v>668</v>
      </c>
      <c r="C3088" s="63"/>
      <c r="D3088" s="64"/>
      <c r="E3088" s="65"/>
      <c r="F3088" s="66"/>
      <c r="G3088" s="63"/>
      <c r="H3088" s="67"/>
      <c r="I3088" s="68"/>
      <c r="J3088" s="68"/>
      <c r="K3088" s="32"/>
      <c r="L3088" s="75">
        <v>3088</v>
      </c>
      <c r="M3088" s="75"/>
      <c r="N3088" s="70"/>
      <c r="O3088" s="77" t="s">
        <v>802</v>
      </c>
      <c r="P3088" s="79">
        <v>45187.627071759256</v>
      </c>
      <c r="Q3088" s="77" t="s">
        <v>3865</v>
      </c>
      <c r="R3088" s="77">
        <v>0</v>
      </c>
      <c r="S3088" s="77">
        <v>0</v>
      </c>
      <c r="T3088" s="77">
        <v>0</v>
      </c>
      <c r="U3088" s="77">
        <v>0</v>
      </c>
      <c r="V3088" s="77">
        <v>9</v>
      </c>
      <c r="W3088" s="82" t="s">
        <v>6422</v>
      </c>
      <c r="X3088" s="80" t="str">
        <f>HYPERLINK("https://inteligenciafinanceira.com.br/investir-no-exterior/greve-montadoras-eua-acoes-no-exterior-18-09-2023/?&amp;utm_source=twitter&amp;utm_medium=social-media&amp;utm_campaign=addtoany")</f>
        <v>https://inteligenciafinanceira.com.br/investir-no-exterior/greve-montadoras-eua-acoes-no-exterior-18-09-2023/?&amp;utm_source=twitter&amp;utm_medium=social-media&amp;utm_campaign=addtoany</v>
      </c>
      <c r="Y3088" s="77" t="s">
        <v>7053</v>
      </c>
      <c r="Z3088" s="77" t="s">
        <v>668</v>
      </c>
      <c r="AA3088" s="77"/>
      <c r="AB3088" s="77"/>
      <c r="AC3088" s="82" t="s">
        <v>8234</v>
      </c>
      <c r="AD3088" s="77" t="s">
        <v>8278</v>
      </c>
      <c r="AE3088" s="80" t="str">
        <f>HYPERLINK("https://twitter.com/regbit1/status/1703786702299377896")</f>
        <v>https://twitter.com/regbit1/status/1703786702299377896</v>
      </c>
      <c r="AF3088" s="79">
        <v>45187.627071759256</v>
      </c>
      <c r="AG3088" s="85">
        <v>45187</v>
      </c>
      <c r="AH3088" s="82" t="s">
        <v>11111</v>
      </c>
      <c r="AI3088" s="77" t="b">
        <v>0</v>
      </c>
      <c r="AJ3088" s="77"/>
      <c r="AK3088" s="77"/>
      <c r="AL3088" s="77"/>
      <c r="AM3088" s="77"/>
      <c r="AN3088" s="77"/>
      <c r="AO3088" s="77"/>
      <c r="AP3088" s="77"/>
      <c r="AQ3088" s="77"/>
      <c r="AR3088" s="77"/>
      <c r="AS3088" s="77"/>
      <c r="AT3088" s="77"/>
      <c r="AU3088" s="77"/>
      <c r="AV3088" s="80" t="str">
        <f>HYPERLINK("https://pbs.twimg.com/profile_images/1594740041443643395/PkOZQC43_normal.jpg")</f>
        <v>https://pbs.twimg.com/profile_images/1594740041443643395/PkOZQC43_normal.jpg</v>
      </c>
      <c r="AW3088" s="82" t="s">
        <v>16172</v>
      </c>
      <c r="AX3088" s="82" t="s">
        <v>16172</v>
      </c>
      <c r="AY3088" s="77"/>
      <c r="AZ3088" s="82" t="s">
        <v>17385</v>
      </c>
      <c r="BA3088" s="82" t="s">
        <v>17385</v>
      </c>
      <c r="BB3088" s="82" t="s">
        <v>17385</v>
      </c>
      <c r="BC3088" s="82" t="s">
        <v>16172</v>
      </c>
      <c r="BD3088" s="77">
        <v>3798705617</v>
      </c>
      <c r="BE3088" s="77"/>
      <c r="BF3088" s="77"/>
      <c r="BG3088" s="77"/>
      <c r="BH3088" s="77"/>
      <c r="BI3088" s="77"/>
    </row>
    <row r="3089" spans="1:61" x14ac:dyDescent="0.25">
      <c r="A3089" s="62" t="s">
        <v>670</v>
      </c>
      <c r="B3089" s="62" t="s">
        <v>670</v>
      </c>
      <c r="C3089" s="63"/>
      <c r="D3089" s="64"/>
      <c r="E3089" s="65"/>
      <c r="F3089" s="66"/>
      <c r="G3089" s="63"/>
      <c r="H3089" s="67"/>
      <c r="I3089" s="68"/>
      <c r="J3089" s="68"/>
      <c r="K3089" s="32"/>
      <c r="L3089" s="75">
        <v>3089</v>
      </c>
      <c r="M3089" s="75"/>
      <c r="N3089" s="70"/>
      <c r="O3089" s="77" t="s">
        <v>800</v>
      </c>
      <c r="P3089" s="79">
        <v>45121.820925925924</v>
      </c>
      <c r="Q3089" s="77" t="s">
        <v>3866</v>
      </c>
      <c r="R3089" s="77">
        <v>0</v>
      </c>
      <c r="S3089" s="77">
        <v>0</v>
      </c>
      <c r="T3089" s="77">
        <v>1</v>
      </c>
      <c r="U3089" s="77">
        <v>0</v>
      </c>
      <c r="V3089" s="77">
        <v>3</v>
      </c>
      <c r="W3089" s="82" t="s">
        <v>4835</v>
      </c>
      <c r="X3089" s="77"/>
      <c r="Y3089" s="77"/>
      <c r="Z3089" s="77"/>
      <c r="AA3089" s="77"/>
      <c r="AB3089" s="77"/>
      <c r="AC3089" s="82" t="s">
        <v>8232</v>
      </c>
      <c r="AD3089" s="77" t="s">
        <v>8278</v>
      </c>
      <c r="AE3089" s="80" t="str">
        <f>HYPERLINK("https://twitter.com/blockbr_/status/1679939352342720512")</f>
        <v>https://twitter.com/blockbr_/status/1679939352342720512</v>
      </c>
      <c r="AF3089" s="79">
        <v>45121.820925925924</v>
      </c>
      <c r="AG3089" s="85">
        <v>45121</v>
      </c>
      <c r="AH3089" s="82" t="s">
        <v>11112</v>
      </c>
      <c r="AI3089" s="77"/>
      <c r="AJ3089" s="77"/>
      <c r="AK3089" s="77"/>
      <c r="AL3089" s="77"/>
      <c r="AM3089" s="77"/>
      <c r="AN3089" s="77"/>
      <c r="AO3089" s="77"/>
      <c r="AP3089" s="77"/>
      <c r="AQ3089" s="77"/>
      <c r="AR3089" s="77"/>
      <c r="AS3089" s="77"/>
      <c r="AT3089" s="77"/>
      <c r="AU3089" s="77"/>
      <c r="AV3089" s="80" t="str">
        <f>HYPERLINK("https://pbs.twimg.com/profile_images/1682018590713851906/yH_kvRW9_normal.jpg")</f>
        <v>https://pbs.twimg.com/profile_images/1682018590713851906/yH_kvRW9_normal.jpg</v>
      </c>
      <c r="AW3089" s="82" t="s">
        <v>16173</v>
      </c>
      <c r="AX3089" s="82" t="s">
        <v>17212</v>
      </c>
      <c r="AY3089" s="82" t="s">
        <v>17376</v>
      </c>
      <c r="AZ3089" s="82" t="s">
        <v>17212</v>
      </c>
      <c r="BA3089" s="82" t="s">
        <v>17385</v>
      </c>
      <c r="BB3089" s="82" t="s">
        <v>17385</v>
      </c>
      <c r="BC3089" s="82" t="s">
        <v>17212</v>
      </c>
      <c r="BD3089" s="82" t="s">
        <v>17376</v>
      </c>
      <c r="BE3089" s="77"/>
      <c r="BF3089" s="77"/>
      <c r="BG3089" s="77"/>
      <c r="BH3089" s="77"/>
      <c r="BI3089" s="77"/>
    </row>
    <row r="3090" spans="1:61" x14ac:dyDescent="0.25">
      <c r="A3090" s="62" t="s">
        <v>670</v>
      </c>
      <c r="B3090" s="62" t="s">
        <v>670</v>
      </c>
      <c r="C3090" s="63"/>
      <c r="D3090" s="64"/>
      <c r="E3090" s="65"/>
      <c r="F3090" s="66"/>
      <c r="G3090" s="63"/>
      <c r="H3090" s="67"/>
      <c r="I3090" s="68"/>
      <c r="J3090" s="68"/>
      <c r="K3090" s="32"/>
      <c r="L3090" s="75">
        <v>3090</v>
      </c>
      <c r="M3090" s="75"/>
      <c r="N3090" s="70"/>
      <c r="O3090" s="77" t="s">
        <v>800</v>
      </c>
      <c r="P3090" s="79">
        <v>45127.894907407404</v>
      </c>
      <c r="Q3090" s="77" t="s">
        <v>3867</v>
      </c>
      <c r="R3090" s="77">
        <v>0</v>
      </c>
      <c r="S3090" s="77">
        <v>0</v>
      </c>
      <c r="T3090" s="77">
        <v>1</v>
      </c>
      <c r="U3090" s="77">
        <v>0</v>
      </c>
      <c r="V3090" s="77">
        <v>7</v>
      </c>
      <c r="W3090" s="82" t="s">
        <v>4835</v>
      </c>
      <c r="X3090" s="77"/>
      <c r="Y3090" s="77"/>
      <c r="Z3090" s="77"/>
      <c r="AA3090" s="77"/>
      <c r="AB3090" s="77"/>
      <c r="AC3090" s="82" t="s">
        <v>8232</v>
      </c>
      <c r="AD3090" s="77" t="s">
        <v>8278</v>
      </c>
      <c r="AE3090" s="80" t="str">
        <f>HYPERLINK("https://twitter.com/blockbr_/status/1682140491326926853")</f>
        <v>https://twitter.com/blockbr_/status/1682140491326926853</v>
      </c>
      <c r="AF3090" s="79">
        <v>45127.894907407404</v>
      </c>
      <c r="AG3090" s="85">
        <v>45127</v>
      </c>
      <c r="AH3090" s="82" t="s">
        <v>11113</v>
      </c>
      <c r="AI3090" s="77"/>
      <c r="AJ3090" s="77"/>
      <c r="AK3090" s="77"/>
      <c r="AL3090" s="77"/>
      <c r="AM3090" s="77"/>
      <c r="AN3090" s="77"/>
      <c r="AO3090" s="77"/>
      <c r="AP3090" s="77"/>
      <c r="AQ3090" s="77"/>
      <c r="AR3090" s="77"/>
      <c r="AS3090" s="77"/>
      <c r="AT3090" s="77"/>
      <c r="AU3090" s="77"/>
      <c r="AV3090" s="80" t="str">
        <f>HYPERLINK("https://pbs.twimg.com/profile_images/1682018590713851906/yH_kvRW9_normal.jpg")</f>
        <v>https://pbs.twimg.com/profile_images/1682018590713851906/yH_kvRW9_normal.jpg</v>
      </c>
      <c r="AW3090" s="82" t="s">
        <v>16174</v>
      </c>
      <c r="AX3090" s="82" t="s">
        <v>17213</v>
      </c>
      <c r="AY3090" s="82" t="s">
        <v>17376</v>
      </c>
      <c r="AZ3090" s="82" t="s">
        <v>17424</v>
      </c>
      <c r="BA3090" s="82" t="s">
        <v>17385</v>
      </c>
      <c r="BB3090" s="82" t="s">
        <v>17385</v>
      </c>
      <c r="BC3090" s="82" t="s">
        <v>17424</v>
      </c>
      <c r="BD3090" s="82" t="s">
        <v>17376</v>
      </c>
      <c r="BE3090" s="77"/>
      <c r="BF3090" s="77"/>
      <c r="BG3090" s="77"/>
      <c r="BH3090" s="77"/>
      <c r="BI3090" s="77"/>
    </row>
    <row r="3091" spans="1:61" x14ac:dyDescent="0.25">
      <c r="A3091" s="62" t="s">
        <v>671</v>
      </c>
      <c r="B3091" s="62" t="s">
        <v>671</v>
      </c>
      <c r="C3091" s="63"/>
      <c r="D3091" s="64"/>
      <c r="E3091" s="65"/>
      <c r="F3091" s="66"/>
      <c r="G3091" s="63"/>
      <c r="H3091" s="67"/>
      <c r="I3091" s="68"/>
      <c r="J3091" s="68"/>
      <c r="K3091" s="32"/>
      <c r="L3091" s="75">
        <v>3091</v>
      </c>
      <c r="M3091" s="75"/>
      <c r="N3091" s="70"/>
      <c r="O3091" s="77" t="s">
        <v>179</v>
      </c>
      <c r="P3091" s="79">
        <v>45160.484583333331</v>
      </c>
      <c r="Q3091" s="77" t="s">
        <v>3868</v>
      </c>
      <c r="R3091" s="77">
        <v>0</v>
      </c>
      <c r="S3091" s="77">
        <v>1</v>
      </c>
      <c r="T3091" s="77">
        <v>1</v>
      </c>
      <c r="U3091" s="77">
        <v>0</v>
      </c>
      <c r="V3091" s="77">
        <v>241</v>
      </c>
      <c r="W3091" s="82" t="s">
        <v>6423</v>
      </c>
      <c r="X3091" s="77"/>
      <c r="Y3091" s="77"/>
      <c r="Z3091" s="77"/>
      <c r="AA3091" s="77"/>
      <c r="AB3091" s="77"/>
      <c r="AC3091" s="82" t="s">
        <v>8232</v>
      </c>
      <c r="AD3091" s="77" t="s">
        <v>8278</v>
      </c>
      <c r="AE3091" s="80" t="str">
        <f>HYPERLINK("https://twitter.com/peupimenta/status/1693950595458011225")</f>
        <v>https://twitter.com/peupimenta/status/1693950595458011225</v>
      </c>
      <c r="AF3091" s="79">
        <v>45160.484583333331</v>
      </c>
      <c r="AG3091" s="85">
        <v>45160</v>
      </c>
      <c r="AH3091" s="82" t="s">
        <v>11114</v>
      </c>
      <c r="AI3091" s="77"/>
      <c r="AJ3091" s="77"/>
      <c r="AK3091" s="77"/>
      <c r="AL3091" s="77"/>
      <c r="AM3091" s="77"/>
      <c r="AN3091" s="77"/>
      <c r="AO3091" s="77"/>
      <c r="AP3091" s="77"/>
      <c r="AQ3091" s="77"/>
      <c r="AR3091" s="77"/>
      <c r="AS3091" s="77"/>
      <c r="AT3091" s="77"/>
      <c r="AU3091" s="77"/>
      <c r="AV3091" s="80" t="str">
        <f>HYPERLINK("https://pbs.twimg.com/profile_images/1618061311652384772/yc4oImxK_normal.jpg")</f>
        <v>https://pbs.twimg.com/profile_images/1618061311652384772/yc4oImxK_normal.jpg</v>
      </c>
      <c r="AW3091" s="82" t="s">
        <v>16175</v>
      </c>
      <c r="AX3091" s="82" t="s">
        <v>16175</v>
      </c>
      <c r="AY3091" s="77"/>
      <c r="AZ3091" s="82" t="s">
        <v>17385</v>
      </c>
      <c r="BA3091" s="82" t="s">
        <v>17385</v>
      </c>
      <c r="BB3091" s="82" t="s">
        <v>17385</v>
      </c>
      <c r="BC3091" s="82" t="s">
        <v>16175</v>
      </c>
      <c r="BD3091" s="82" t="s">
        <v>17685</v>
      </c>
      <c r="BE3091" s="77"/>
      <c r="BF3091" s="77"/>
      <c r="BG3091" s="77"/>
      <c r="BH3091" s="77"/>
      <c r="BI3091" s="77"/>
    </row>
    <row r="3092" spans="1:61" x14ac:dyDescent="0.25">
      <c r="A3092" s="62" t="s">
        <v>672</v>
      </c>
      <c r="B3092" s="62" t="s">
        <v>254</v>
      </c>
      <c r="C3092" s="63"/>
      <c r="D3092" s="64"/>
      <c r="E3092" s="65"/>
      <c r="F3092" s="66"/>
      <c r="G3092" s="63"/>
      <c r="H3092" s="67"/>
      <c r="I3092" s="68"/>
      <c r="J3092" s="68"/>
      <c r="K3092" s="32"/>
      <c r="L3092" s="75">
        <v>3092</v>
      </c>
      <c r="M3092" s="75"/>
      <c r="N3092" s="70"/>
      <c r="O3092" s="77" t="s">
        <v>802</v>
      </c>
      <c r="P3092" s="79">
        <v>45096.855312500003</v>
      </c>
      <c r="Q3092" s="77" t="s">
        <v>3869</v>
      </c>
      <c r="R3092" s="77">
        <v>0</v>
      </c>
      <c r="S3092" s="77">
        <v>0</v>
      </c>
      <c r="T3092" s="77">
        <v>0</v>
      </c>
      <c r="U3092" s="77">
        <v>0</v>
      </c>
      <c r="V3092" s="77">
        <v>26</v>
      </c>
      <c r="W3092" s="82" t="s">
        <v>6424</v>
      </c>
      <c r="X3092" s="77"/>
      <c r="Y3092" s="77"/>
      <c r="Z3092" s="77" t="s">
        <v>254</v>
      </c>
      <c r="AA3092" s="77" t="s">
        <v>8120</v>
      </c>
      <c r="AB3092" s="77" t="s">
        <v>8225</v>
      </c>
      <c r="AC3092" s="82" t="s">
        <v>8232</v>
      </c>
      <c r="AD3092" s="77" t="s">
        <v>8278</v>
      </c>
      <c r="AE3092" s="80" t="str">
        <f>HYPERLINK("https://twitter.com/rodrigo__correa/status/1670892120146690051")</f>
        <v>https://twitter.com/rodrigo__correa/status/1670892120146690051</v>
      </c>
      <c r="AF3092" s="79">
        <v>45096.855312500003</v>
      </c>
      <c r="AG3092" s="85">
        <v>45096</v>
      </c>
      <c r="AH3092" s="82" t="s">
        <v>11115</v>
      </c>
      <c r="AI3092" s="77" t="b">
        <v>0</v>
      </c>
      <c r="AJ3092" s="77"/>
      <c r="AK3092" s="77"/>
      <c r="AL3092" s="77"/>
      <c r="AM3092" s="77"/>
      <c r="AN3092" s="77"/>
      <c r="AO3092" s="77"/>
      <c r="AP3092" s="77"/>
      <c r="AQ3092" s="77" t="s">
        <v>13005</v>
      </c>
      <c r="AR3092" s="77"/>
      <c r="AS3092" s="77"/>
      <c r="AT3092" s="77"/>
      <c r="AU3092" s="77"/>
      <c r="AV3092" s="80" t="str">
        <f>HYPERLINK("https://pbs.twimg.com/media/FzAzUDdWwAAAfBD.png")</f>
        <v>https://pbs.twimg.com/media/FzAzUDdWwAAAfBD.png</v>
      </c>
      <c r="AW3092" s="82" t="s">
        <v>16176</v>
      </c>
      <c r="AX3092" s="82" t="s">
        <v>16176</v>
      </c>
      <c r="AY3092" s="77"/>
      <c r="AZ3092" s="82" t="s">
        <v>17385</v>
      </c>
      <c r="BA3092" s="82" t="s">
        <v>17385</v>
      </c>
      <c r="BB3092" s="82" t="s">
        <v>17385</v>
      </c>
      <c r="BC3092" s="82" t="s">
        <v>16176</v>
      </c>
      <c r="BD3092" s="77">
        <v>90010417</v>
      </c>
      <c r="BE3092" s="77"/>
      <c r="BF3092" s="77"/>
      <c r="BG3092" s="77"/>
      <c r="BH3092" s="77"/>
      <c r="BI3092" s="77"/>
    </row>
    <row r="3093" spans="1:61" x14ac:dyDescent="0.25">
      <c r="A3093" s="62" t="s">
        <v>673</v>
      </c>
      <c r="B3093" s="62" t="s">
        <v>673</v>
      </c>
      <c r="C3093" s="63"/>
      <c r="D3093" s="64"/>
      <c r="E3093" s="65"/>
      <c r="F3093" s="66"/>
      <c r="G3093" s="63"/>
      <c r="H3093" s="67"/>
      <c r="I3093" s="68"/>
      <c r="J3093" s="68"/>
      <c r="K3093" s="32"/>
      <c r="L3093" s="75">
        <v>3093</v>
      </c>
      <c r="M3093" s="75"/>
      <c r="N3093" s="70"/>
      <c r="O3093" s="77" t="s">
        <v>179</v>
      </c>
      <c r="P3093" s="79">
        <v>45056.333333333336</v>
      </c>
      <c r="Q3093" s="77" t="s">
        <v>3870</v>
      </c>
      <c r="R3093" s="77">
        <v>1</v>
      </c>
      <c r="S3093" s="77">
        <v>5</v>
      </c>
      <c r="T3093" s="77">
        <v>1</v>
      </c>
      <c r="U3093" s="77">
        <v>0</v>
      </c>
      <c r="V3093" s="77">
        <v>163</v>
      </c>
      <c r="W3093" s="82" t="s">
        <v>6425</v>
      </c>
      <c r="X3093" s="80" t="str">
        <f>HYPERLINK("https://buff.ly/2Cxt52J")</f>
        <v>https://buff.ly/2Cxt52J</v>
      </c>
      <c r="Y3093" s="77" t="s">
        <v>7082</v>
      </c>
      <c r="Z3093" s="77"/>
      <c r="AA3093" s="77" t="s">
        <v>8121</v>
      </c>
      <c r="AB3093" s="77" t="s">
        <v>8227</v>
      </c>
      <c r="AC3093" s="82" t="s">
        <v>8238</v>
      </c>
      <c r="AD3093" s="77" t="s">
        <v>8278</v>
      </c>
      <c r="AE3093" s="80" t="str">
        <f>HYPERLINK("https://twitter.com/panflixoficial/status/1656207444865843201")</f>
        <v>https://twitter.com/panflixoficial/status/1656207444865843201</v>
      </c>
      <c r="AF3093" s="79">
        <v>45056.333333333336</v>
      </c>
      <c r="AG3093" s="85">
        <v>45056</v>
      </c>
      <c r="AH3093" s="82" t="s">
        <v>11116</v>
      </c>
      <c r="AI3093" s="77" t="b">
        <v>0</v>
      </c>
      <c r="AJ3093" s="77"/>
      <c r="AK3093" s="77"/>
      <c r="AL3093" s="77"/>
      <c r="AM3093" s="77"/>
      <c r="AN3093" s="77"/>
      <c r="AO3093" s="77"/>
      <c r="AP3093" s="77"/>
      <c r="AQ3093" s="77" t="s">
        <v>13006</v>
      </c>
      <c r="AR3093" s="77">
        <v>75371</v>
      </c>
      <c r="AS3093" s="77"/>
      <c r="AT3093" s="77"/>
      <c r="AU3093" s="77"/>
      <c r="AV3093" s="80" t="str">
        <f>HYPERLINK("https://pbs.twimg.com/amplify_video_thumb/1656072444589879296/img/3ahxsI4HS5brfkgB.jpg")</f>
        <v>https://pbs.twimg.com/amplify_video_thumb/1656072444589879296/img/3ahxsI4HS5brfkgB.jpg</v>
      </c>
      <c r="AW3093" s="82" t="s">
        <v>16177</v>
      </c>
      <c r="AX3093" s="82" t="s">
        <v>16177</v>
      </c>
      <c r="AY3093" s="77"/>
      <c r="AZ3093" s="82" t="s">
        <v>17385</v>
      </c>
      <c r="BA3093" s="82" t="s">
        <v>17385</v>
      </c>
      <c r="BB3093" s="82" t="s">
        <v>17385</v>
      </c>
      <c r="BC3093" s="82" t="s">
        <v>16177</v>
      </c>
      <c r="BD3093" s="82" t="s">
        <v>17686</v>
      </c>
      <c r="BE3093" s="77"/>
      <c r="BF3093" s="77"/>
      <c r="BG3093" s="77"/>
      <c r="BH3093" s="77"/>
      <c r="BI3093" s="77"/>
    </row>
    <row r="3094" spans="1:61" x14ac:dyDescent="0.25">
      <c r="A3094" s="62" t="s">
        <v>674</v>
      </c>
      <c r="B3094" s="62" t="s">
        <v>674</v>
      </c>
      <c r="C3094" s="63"/>
      <c r="D3094" s="64"/>
      <c r="E3094" s="65"/>
      <c r="F3094" s="66"/>
      <c r="G3094" s="63"/>
      <c r="H3094" s="67"/>
      <c r="I3094" s="68"/>
      <c r="J3094" s="68"/>
      <c r="K3094" s="32"/>
      <c r="L3094" s="75">
        <v>3094</v>
      </c>
      <c r="M3094" s="75"/>
      <c r="N3094" s="70"/>
      <c r="O3094" s="77" t="s">
        <v>179</v>
      </c>
      <c r="P3094" s="79">
        <v>45076.040543981479</v>
      </c>
      <c r="Q3094" s="77" t="s">
        <v>3871</v>
      </c>
      <c r="R3094" s="77">
        <v>1</v>
      </c>
      <c r="S3094" s="77">
        <v>6</v>
      </c>
      <c r="T3094" s="77">
        <v>1</v>
      </c>
      <c r="U3094" s="77">
        <v>2</v>
      </c>
      <c r="V3094" s="77">
        <v>1813</v>
      </c>
      <c r="W3094" s="82" t="s">
        <v>6426</v>
      </c>
      <c r="X3094" s="80" t="str">
        <f>HYPERLINK("https://podcasters.spotify.com/pod/show/pod-call/episodes/Os-5-Grandes-erros-do-Trade-e24skc1")</f>
        <v>https://podcasters.spotify.com/pod/show/pod-call/episodes/Os-5-Grandes-erros-do-Trade-e24skc1</v>
      </c>
      <c r="Y3094" s="77" t="s">
        <v>7077</v>
      </c>
      <c r="Z3094" s="77"/>
      <c r="AA3094" s="77" t="s">
        <v>8122</v>
      </c>
      <c r="AB3094" s="77" t="s">
        <v>8225</v>
      </c>
      <c r="AC3094" s="82" t="s">
        <v>8232</v>
      </c>
      <c r="AD3094" s="77" t="s">
        <v>8278</v>
      </c>
      <c r="AE3094" s="80" t="str">
        <f>HYPERLINK("https://twitter.com/podcall2023/status/1663349101512073217")</f>
        <v>https://twitter.com/podcall2023/status/1663349101512073217</v>
      </c>
      <c r="AF3094" s="79">
        <v>45076.040543981479</v>
      </c>
      <c r="AG3094" s="85">
        <v>45076</v>
      </c>
      <c r="AH3094" s="82" t="s">
        <v>11117</v>
      </c>
      <c r="AI3094" s="77" t="b">
        <v>0</v>
      </c>
      <c r="AJ3094" s="77"/>
      <c r="AK3094" s="77"/>
      <c r="AL3094" s="77"/>
      <c r="AM3094" s="77"/>
      <c r="AN3094" s="77"/>
      <c r="AO3094" s="77"/>
      <c r="AP3094" s="77"/>
      <c r="AQ3094" s="77" t="s">
        <v>13007</v>
      </c>
      <c r="AR3094" s="77"/>
      <c r="AS3094" s="77"/>
      <c r="AT3094" s="77"/>
      <c r="AU3094" s="77"/>
      <c r="AV3094" s="80" t="str">
        <f>HYPERLINK("https://pbs.twimg.com/media/FxVm_h3X0AY9gVy.png")</f>
        <v>https://pbs.twimg.com/media/FxVm_h3X0AY9gVy.png</v>
      </c>
      <c r="AW3094" s="82" t="s">
        <v>16178</v>
      </c>
      <c r="AX3094" s="82" t="s">
        <v>16178</v>
      </c>
      <c r="AY3094" s="77"/>
      <c r="AZ3094" s="82" t="s">
        <v>17385</v>
      </c>
      <c r="BA3094" s="82" t="s">
        <v>17385</v>
      </c>
      <c r="BB3094" s="82" t="s">
        <v>17385</v>
      </c>
      <c r="BC3094" s="82" t="s">
        <v>16178</v>
      </c>
      <c r="BD3094" s="82" t="s">
        <v>17687</v>
      </c>
      <c r="BE3094" s="77"/>
      <c r="BF3094" s="77"/>
      <c r="BG3094" s="77"/>
      <c r="BH3094" s="77"/>
      <c r="BI3094" s="77"/>
    </row>
    <row r="3095" spans="1:61" x14ac:dyDescent="0.25">
      <c r="A3095" s="62" t="s">
        <v>675</v>
      </c>
      <c r="B3095" s="62" t="s">
        <v>675</v>
      </c>
      <c r="C3095" s="63"/>
      <c r="D3095" s="64"/>
      <c r="E3095" s="65"/>
      <c r="F3095" s="66"/>
      <c r="G3095" s="63"/>
      <c r="H3095" s="67"/>
      <c r="I3095" s="68"/>
      <c r="J3095" s="68"/>
      <c r="K3095" s="32"/>
      <c r="L3095" s="75">
        <v>3095</v>
      </c>
      <c r="M3095" s="75"/>
      <c r="N3095" s="70"/>
      <c r="O3095" s="77" t="s">
        <v>800</v>
      </c>
      <c r="P3095" s="79">
        <v>45156.964699074073</v>
      </c>
      <c r="Q3095" s="77" t="s">
        <v>3872</v>
      </c>
      <c r="R3095" s="77">
        <v>0</v>
      </c>
      <c r="S3095" s="77">
        <v>0</v>
      </c>
      <c r="T3095" s="77">
        <v>0</v>
      </c>
      <c r="U3095" s="77">
        <v>0</v>
      </c>
      <c r="V3095" s="77">
        <v>6</v>
      </c>
      <c r="W3095" s="82" t="s">
        <v>6427</v>
      </c>
      <c r="X3095" s="77"/>
      <c r="Y3095" s="77"/>
      <c r="Z3095" s="77"/>
      <c r="AA3095" s="77"/>
      <c r="AB3095" s="77"/>
      <c r="AC3095" s="82" t="s">
        <v>8232</v>
      </c>
      <c r="AD3095" s="77" t="s">
        <v>8282</v>
      </c>
      <c r="AE3095" s="80" t="str">
        <f>HYPERLINK("https://twitter.com/pabloricksom/status/1692675033259209020")</f>
        <v>https://twitter.com/pabloricksom/status/1692675033259209020</v>
      </c>
      <c r="AF3095" s="79">
        <v>45156.964699074073</v>
      </c>
      <c r="AG3095" s="85">
        <v>45156</v>
      </c>
      <c r="AH3095" s="82" t="s">
        <v>8487</v>
      </c>
      <c r="AI3095" s="77"/>
      <c r="AJ3095" s="77"/>
      <c r="AK3095" s="77"/>
      <c r="AL3095" s="77"/>
      <c r="AM3095" s="77"/>
      <c r="AN3095" s="77"/>
      <c r="AO3095" s="77"/>
      <c r="AP3095" s="77"/>
      <c r="AQ3095" s="77"/>
      <c r="AR3095" s="77"/>
      <c r="AS3095" s="77"/>
      <c r="AT3095" s="77"/>
      <c r="AU3095" s="77"/>
      <c r="AV3095" s="80" t="str">
        <f>HYPERLINK("https://pbs.twimg.com/profile_images/1388535615050895360/wIg7KWay_normal.jpg")</f>
        <v>https://pbs.twimg.com/profile_images/1388535615050895360/wIg7KWay_normal.jpg</v>
      </c>
      <c r="AW3095" s="82" t="s">
        <v>16179</v>
      </c>
      <c r="AX3095" s="82" t="s">
        <v>17214</v>
      </c>
      <c r="AY3095" s="82" t="s">
        <v>17377</v>
      </c>
      <c r="AZ3095" s="82" t="s">
        <v>17214</v>
      </c>
      <c r="BA3095" s="82" t="s">
        <v>17385</v>
      </c>
      <c r="BB3095" s="82" t="s">
        <v>17385</v>
      </c>
      <c r="BC3095" s="82" t="s">
        <v>17214</v>
      </c>
      <c r="BD3095" s="77">
        <v>2467096693</v>
      </c>
      <c r="BE3095" s="77"/>
      <c r="BF3095" s="77"/>
      <c r="BG3095" s="77"/>
      <c r="BH3095" s="77"/>
      <c r="BI3095" s="77"/>
    </row>
    <row r="3096" spans="1:61" x14ac:dyDescent="0.25">
      <c r="A3096" s="62" t="s">
        <v>676</v>
      </c>
      <c r="B3096" s="62" t="s">
        <v>795</v>
      </c>
      <c r="C3096" s="63"/>
      <c r="D3096" s="64"/>
      <c r="E3096" s="65"/>
      <c r="F3096" s="66"/>
      <c r="G3096" s="63"/>
      <c r="H3096" s="67"/>
      <c r="I3096" s="68"/>
      <c r="J3096" s="68"/>
      <c r="K3096" s="32"/>
      <c r="L3096" s="75">
        <v>3096</v>
      </c>
      <c r="M3096" s="75"/>
      <c r="N3096" s="70"/>
      <c r="O3096" s="77" t="s">
        <v>802</v>
      </c>
      <c r="P3096" s="79">
        <v>45120.541666666664</v>
      </c>
      <c r="Q3096" s="77" t="s">
        <v>3873</v>
      </c>
      <c r="R3096" s="77">
        <v>0</v>
      </c>
      <c r="S3096" s="77">
        <v>4</v>
      </c>
      <c r="T3096" s="77">
        <v>0</v>
      </c>
      <c r="U3096" s="77">
        <v>0</v>
      </c>
      <c r="V3096" s="77">
        <v>207</v>
      </c>
      <c r="W3096" s="82" t="s">
        <v>6428</v>
      </c>
      <c r="X3096" s="80" t="str">
        <f>HYPERLINK("https://www.gov.br/mdr/pt-br/noticias/waldez-goes-articula-acoes-com-municipios-do-rio-grande-do-sul-que-sofrem-com-desastres")</f>
        <v>https://www.gov.br/mdr/pt-br/noticias/waldez-goes-articula-acoes-com-municipios-do-rio-grande-do-sul-que-sofrem-com-desastres</v>
      </c>
      <c r="Y3096" s="77" t="s">
        <v>7104</v>
      </c>
      <c r="Z3096" s="77" t="s">
        <v>795</v>
      </c>
      <c r="AA3096" s="77"/>
      <c r="AB3096" s="77"/>
      <c r="AC3096" s="82" t="s">
        <v>8232</v>
      </c>
      <c r="AD3096" s="77" t="s">
        <v>8278</v>
      </c>
      <c r="AE3096" s="80" t="str">
        <f>HYPERLINK("https://twitter.com/midregional/status/1679475765153234944")</f>
        <v>https://twitter.com/midregional/status/1679475765153234944</v>
      </c>
      <c r="AF3096" s="79">
        <v>45120.541666666664</v>
      </c>
      <c r="AG3096" s="85">
        <v>45120</v>
      </c>
      <c r="AH3096" s="82" t="s">
        <v>11118</v>
      </c>
      <c r="AI3096" s="77" t="b">
        <v>0</v>
      </c>
      <c r="AJ3096" s="77"/>
      <c r="AK3096" s="77"/>
      <c r="AL3096" s="77"/>
      <c r="AM3096" s="77"/>
      <c r="AN3096" s="77"/>
      <c r="AO3096" s="77"/>
      <c r="AP3096" s="77"/>
      <c r="AQ3096" s="77"/>
      <c r="AR3096" s="77"/>
      <c r="AS3096" s="77"/>
      <c r="AT3096" s="77"/>
      <c r="AU3096" s="77"/>
      <c r="AV3096" s="80" t="str">
        <f>HYPERLINK("https://pbs.twimg.com/profile_images/1690896179851137024/MMj6EjEy_normal.jpg")</f>
        <v>https://pbs.twimg.com/profile_images/1690896179851137024/MMj6EjEy_normal.jpg</v>
      </c>
      <c r="AW3096" s="82" t="s">
        <v>16180</v>
      </c>
      <c r="AX3096" s="82" t="s">
        <v>16180</v>
      </c>
      <c r="AY3096" s="77"/>
      <c r="AZ3096" s="82" t="s">
        <v>17385</v>
      </c>
      <c r="BA3096" s="82" t="s">
        <v>17385</v>
      </c>
      <c r="BB3096" s="82" t="s">
        <v>17385</v>
      </c>
      <c r="BC3096" s="82" t="s">
        <v>16180</v>
      </c>
      <c r="BD3096" s="77">
        <v>281544249</v>
      </c>
      <c r="BE3096" s="77"/>
      <c r="BF3096" s="77"/>
      <c r="BG3096" s="77"/>
      <c r="BH3096" s="77"/>
      <c r="BI3096" s="77"/>
    </row>
    <row r="3097" spans="1:61" x14ac:dyDescent="0.25">
      <c r="A3097" s="62" t="s">
        <v>676</v>
      </c>
      <c r="B3097" s="62" t="s">
        <v>676</v>
      </c>
      <c r="C3097" s="63"/>
      <c r="D3097" s="64"/>
      <c r="E3097" s="65"/>
      <c r="F3097" s="66"/>
      <c r="G3097" s="63"/>
      <c r="H3097" s="67"/>
      <c r="I3097" s="68"/>
      <c r="J3097" s="68"/>
      <c r="K3097" s="32"/>
      <c r="L3097" s="75">
        <v>3097</v>
      </c>
      <c r="M3097" s="75"/>
      <c r="N3097" s="70"/>
      <c r="O3097" s="77" t="s">
        <v>179</v>
      </c>
      <c r="P3097" s="79">
        <v>45080.625</v>
      </c>
      <c r="Q3097" s="77" t="s">
        <v>3874</v>
      </c>
      <c r="R3097" s="77">
        <v>3</v>
      </c>
      <c r="S3097" s="77">
        <v>6</v>
      </c>
      <c r="T3097" s="77">
        <v>0</v>
      </c>
      <c r="U3097" s="77">
        <v>0</v>
      </c>
      <c r="V3097" s="77">
        <v>271</v>
      </c>
      <c r="W3097" s="82" t="s">
        <v>6429</v>
      </c>
      <c r="X3097" s="77"/>
      <c r="Y3097" s="77"/>
      <c r="Z3097" s="77"/>
      <c r="AA3097" s="77" t="s">
        <v>8123</v>
      </c>
      <c r="AB3097" s="77" t="s">
        <v>8227</v>
      </c>
      <c r="AC3097" s="82" t="s">
        <v>8232</v>
      </c>
      <c r="AD3097" s="77" t="s">
        <v>8278</v>
      </c>
      <c r="AE3097" s="80" t="str">
        <f>HYPERLINK("https://twitter.com/midregional/status/1665010452148162560")</f>
        <v>https://twitter.com/midregional/status/1665010452148162560</v>
      </c>
      <c r="AF3097" s="79">
        <v>45080.625</v>
      </c>
      <c r="AG3097" s="85">
        <v>45080</v>
      </c>
      <c r="AH3097" s="82" t="s">
        <v>8369</v>
      </c>
      <c r="AI3097" s="77" t="b">
        <v>0</v>
      </c>
      <c r="AJ3097" s="77"/>
      <c r="AK3097" s="77"/>
      <c r="AL3097" s="77"/>
      <c r="AM3097" s="77"/>
      <c r="AN3097" s="77"/>
      <c r="AO3097" s="77"/>
      <c r="AP3097" s="77"/>
      <c r="AQ3097" s="77" t="s">
        <v>13008</v>
      </c>
      <c r="AR3097" s="77">
        <v>102769</v>
      </c>
      <c r="AS3097" s="77"/>
      <c r="AT3097" s="77"/>
      <c r="AU3097" s="77"/>
      <c r="AV3097" s="80" t="str">
        <f>HYPERLINK("https://pbs.twimg.com/ext_tw_video_thumb/1665000883636039682/pu/img/LwPzs23qjg6TAT5S.jpg")</f>
        <v>https://pbs.twimg.com/ext_tw_video_thumb/1665000883636039682/pu/img/LwPzs23qjg6TAT5S.jpg</v>
      </c>
      <c r="AW3097" s="82" t="s">
        <v>16181</v>
      </c>
      <c r="AX3097" s="82" t="s">
        <v>16181</v>
      </c>
      <c r="AY3097" s="77"/>
      <c r="AZ3097" s="82" t="s">
        <v>17385</v>
      </c>
      <c r="BA3097" s="82" t="s">
        <v>17385</v>
      </c>
      <c r="BB3097" s="82" t="s">
        <v>17385</v>
      </c>
      <c r="BC3097" s="82" t="s">
        <v>16181</v>
      </c>
      <c r="BD3097" s="77">
        <v>281544249</v>
      </c>
      <c r="BE3097" s="77"/>
      <c r="BF3097" s="77"/>
      <c r="BG3097" s="77"/>
      <c r="BH3097" s="77"/>
      <c r="BI3097" s="77"/>
    </row>
    <row r="3098" spans="1:61" x14ac:dyDescent="0.25">
      <c r="A3098" s="62" t="s">
        <v>676</v>
      </c>
      <c r="B3098" s="62" t="s">
        <v>676</v>
      </c>
      <c r="C3098" s="63"/>
      <c r="D3098" s="64"/>
      <c r="E3098" s="65"/>
      <c r="F3098" s="66"/>
      <c r="G3098" s="63"/>
      <c r="H3098" s="67"/>
      <c r="I3098" s="68"/>
      <c r="J3098" s="68"/>
      <c r="K3098" s="32"/>
      <c r="L3098" s="75">
        <v>3098</v>
      </c>
      <c r="M3098" s="75"/>
      <c r="N3098" s="70"/>
      <c r="O3098" s="77" t="s">
        <v>179</v>
      </c>
      <c r="P3098" s="79">
        <v>45094.556909722225</v>
      </c>
      <c r="Q3098" s="77" t="s">
        <v>3875</v>
      </c>
      <c r="R3098" s="77">
        <v>4</v>
      </c>
      <c r="S3098" s="77">
        <v>6</v>
      </c>
      <c r="T3098" s="77">
        <v>0</v>
      </c>
      <c r="U3098" s="77">
        <v>0</v>
      </c>
      <c r="V3098" s="77">
        <v>447</v>
      </c>
      <c r="W3098" s="82" t="s">
        <v>6430</v>
      </c>
      <c r="X3098" s="80" t="str">
        <f>HYPERLINK("https://bit.ly/42JugTm")</f>
        <v>https://bit.ly/42JugTm</v>
      </c>
      <c r="Y3098" s="77" t="s">
        <v>7063</v>
      </c>
      <c r="Z3098" s="77"/>
      <c r="AA3098" s="77"/>
      <c r="AB3098" s="77"/>
      <c r="AC3098" s="82" t="s">
        <v>8232</v>
      </c>
      <c r="AD3098" s="77" t="s">
        <v>8278</v>
      </c>
      <c r="AE3098" s="80" t="str">
        <f>HYPERLINK("https://twitter.com/midregional/status/1670059204143374340")</f>
        <v>https://twitter.com/midregional/status/1670059204143374340</v>
      </c>
      <c r="AF3098" s="79">
        <v>45094.556909722225</v>
      </c>
      <c r="AG3098" s="85">
        <v>45094</v>
      </c>
      <c r="AH3098" s="82" t="s">
        <v>11119</v>
      </c>
      <c r="AI3098" s="77" t="b">
        <v>0</v>
      </c>
      <c r="AJ3098" s="77"/>
      <c r="AK3098" s="77"/>
      <c r="AL3098" s="77"/>
      <c r="AM3098" s="77"/>
      <c r="AN3098" s="77"/>
      <c r="AO3098" s="77"/>
      <c r="AP3098" s="77"/>
      <c r="AQ3098" s="77"/>
      <c r="AR3098" s="77"/>
      <c r="AS3098" s="77"/>
      <c r="AT3098" s="77"/>
      <c r="AU3098" s="77"/>
      <c r="AV3098" s="80" t="str">
        <f>HYPERLINK("https://pbs.twimg.com/profile_images/1690896179851137024/MMj6EjEy_normal.jpg")</f>
        <v>https://pbs.twimg.com/profile_images/1690896179851137024/MMj6EjEy_normal.jpg</v>
      </c>
      <c r="AW3098" s="82" t="s">
        <v>16182</v>
      </c>
      <c r="AX3098" s="82" t="s">
        <v>16182</v>
      </c>
      <c r="AY3098" s="77"/>
      <c r="AZ3098" s="82" t="s">
        <v>17385</v>
      </c>
      <c r="BA3098" s="82" t="s">
        <v>17385</v>
      </c>
      <c r="BB3098" s="82" t="s">
        <v>17385</v>
      </c>
      <c r="BC3098" s="82" t="s">
        <v>16182</v>
      </c>
      <c r="BD3098" s="77">
        <v>281544249</v>
      </c>
      <c r="BE3098" s="77"/>
      <c r="BF3098" s="77"/>
      <c r="BG3098" s="77"/>
      <c r="BH3098" s="77"/>
      <c r="BI3098" s="77"/>
    </row>
    <row r="3099" spans="1:61" x14ac:dyDescent="0.25">
      <c r="A3099" s="62" t="s">
        <v>676</v>
      </c>
      <c r="B3099" s="62" t="s">
        <v>676</v>
      </c>
      <c r="C3099" s="63"/>
      <c r="D3099" s="64"/>
      <c r="E3099" s="65"/>
      <c r="F3099" s="66"/>
      <c r="G3099" s="63"/>
      <c r="H3099" s="67"/>
      <c r="I3099" s="68"/>
      <c r="J3099" s="68"/>
      <c r="K3099" s="32"/>
      <c r="L3099" s="75">
        <v>3099</v>
      </c>
      <c r="M3099" s="75"/>
      <c r="N3099" s="70"/>
      <c r="O3099" s="77" t="s">
        <v>179</v>
      </c>
      <c r="P3099" s="79">
        <v>45092.566770833335</v>
      </c>
      <c r="Q3099" s="77" t="s">
        <v>3876</v>
      </c>
      <c r="R3099" s="77">
        <v>1</v>
      </c>
      <c r="S3099" s="77">
        <v>7</v>
      </c>
      <c r="T3099" s="77">
        <v>1</v>
      </c>
      <c r="U3099" s="77">
        <v>0</v>
      </c>
      <c r="V3099" s="77">
        <v>315</v>
      </c>
      <c r="W3099" s="82" t="s">
        <v>6431</v>
      </c>
      <c r="X3099" s="77"/>
      <c r="Y3099" s="77"/>
      <c r="Z3099" s="77"/>
      <c r="AA3099" s="77"/>
      <c r="AB3099" s="77"/>
      <c r="AC3099" s="82" t="s">
        <v>8232</v>
      </c>
      <c r="AD3099" s="77" t="s">
        <v>8278</v>
      </c>
      <c r="AE3099" s="80" t="str">
        <f>HYPERLINK("https://twitter.com/midregional/status/1669338003880423430")</f>
        <v>https://twitter.com/midregional/status/1669338003880423430</v>
      </c>
      <c r="AF3099" s="79">
        <v>45092.566770833335</v>
      </c>
      <c r="AG3099" s="85">
        <v>45092</v>
      </c>
      <c r="AH3099" s="82" t="s">
        <v>11120</v>
      </c>
      <c r="AI3099" s="77"/>
      <c r="AJ3099" s="77"/>
      <c r="AK3099" s="77"/>
      <c r="AL3099" s="77"/>
      <c r="AM3099" s="77"/>
      <c r="AN3099" s="77"/>
      <c r="AO3099" s="77"/>
      <c r="AP3099" s="77"/>
      <c r="AQ3099" s="77"/>
      <c r="AR3099" s="77"/>
      <c r="AS3099" s="77"/>
      <c r="AT3099" s="77"/>
      <c r="AU3099" s="77"/>
      <c r="AV3099" s="80" t="str">
        <f>HYPERLINK("https://pbs.twimg.com/profile_images/1690896179851137024/MMj6EjEy_normal.jpg")</f>
        <v>https://pbs.twimg.com/profile_images/1690896179851137024/MMj6EjEy_normal.jpg</v>
      </c>
      <c r="AW3099" s="82" t="s">
        <v>16183</v>
      </c>
      <c r="AX3099" s="82" t="s">
        <v>16183</v>
      </c>
      <c r="AY3099" s="77"/>
      <c r="AZ3099" s="82" t="s">
        <v>17385</v>
      </c>
      <c r="BA3099" s="82" t="s">
        <v>17385</v>
      </c>
      <c r="BB3099" s="82" t="s">
        <v>17385</v>
      </c>
      <c r="BC3099" s="82" t="s">
        <v>16183</v>
      </c>
      <c r="BD3099" s="77">
        <v>281544249</v>
      </c>
      <c r="BE3099" s="77"/>
      <c r="BF3099" s="77"/>
      <c r="BG3099" s="77"/>
      <c r="BH3099" s="77"/>
      <c r="BI3099" s="77"/>
    </row>
    <row r="3100" spans="1:61" x14ac:dyDescent="0.25">
      <c r="A3100" s="62" t="s">
        <v>677</v>
      </c>
      <c r="B3100" s="62" t="s">
        <v>677</v>
      </c>
      <c r="C3100" s="63"/>
      <c r="D3100" s="64"/>
      <c r="E3100" s="65"/>
      <c r="F3100" s="66"/>
      <c r="G3100" s="63"/>
      <c r="H3100" s="67"/>
      <c r="I3100" s="68"/>
      <c r="J3100" s="68"/>
      <c r="K3100" s="32"/>
      <c r="L3100" s="75">
        <v>3100</v>
      </c>
      <c r="M3100" s="75"/>
      <c r="N3100" s="70"/>
      <c r="O3100" s="77" t="s">
        <v>179</v>
      </c>
      <c r="P3100" s="79">
        <v>45064.791678240741</v>
      </c>
      <c r="Q3100" s="77" t="s">
        <v>3877</v>
      </c>
      <c r="R3100" s="77">
        <v>0</v>
      </c>
      <c r="S3100" s="77">
        <v>0</v>
      </c>
      <c r="T3100" s="77">
        <v>1</v>
      </c>
      <c r="U3100" s="77">
        <v>0</v>
      </c>
      <c r="V3100" s="77">
        <v>25</v>
      </c>
      <c r="W3100" s="82" t="s">
        <v>6432</v>
      </c>
      <c r="X3100" s="80" t="str">
        <f>HYPERLINK("https://youtu.be/Q-n2YMsdVWE")</f>
        <v>https://youtu.be/Q-n2YMsdVWE</v>
      </c>
      <c r="Y3100" s="77" t="s">
        <v>7064</v>
      </c>
      <c r="Z3100" s="77"/>
      <c r="AA3100" s="77" t="s">
        <v>8124</v>
      </c>
      <c r="AB3100" s="77" t="s">
        <v>8225</v>
      </c>
      <c r="AC3100" s="82" t="s">
        <v>8232</v>
      </c>
      <c r="AD3100" s="77" t="s">
        <v>8278</v>
      </c>
      <c r="AE3100" s="80" t="str">
        <f>HYPERLINK("https://twitter.com/descomplicaft/status/1659272647493181440")</f>
        <v>https://twitter.com/descomplicaft/status/1659272647493181440</v>
      </c>
      <c r="AF3100" s="79">
        <v>45064.791678240741</v>
      </c>
      <c r="AG3100" s="85">
        <v>45064</v>
      </c>
      <c r="AH3100" s="82" t="s">
        <v>11121</v>
      </c>
      <c r="AI3100" s="77" t="b">
        <v>0</v>
      </c>
      <c r="AJ3100" s="77"/>
      <c r="AK3100" s="77"/>
      <c r="AL3100" s="77"/>
      <c r="AM3100" s="77"/>
      <c r="AN3100" s="77"/>
      <c r="AO3100" s="77"/>
      <c r="AP3100" s="77"/>
      <c r="AQ3100" s="77" t="s">
        <v>13009</v>
      </c>
      <c r="AR3100" s="77"/>
      <c r="AS3100" s="77"/>
      <c r="AT3100" s="77"/>
      <c r="AU3100" s="77"/>
      <c r="AV3100" s="80" t="str">
        <f>HYPERLINK("https://pbs.twimg.com/media/FwMrKB8WICI1_tR.jpg")</f>
        <v>https://pbs.twimg.com/media/FwMrKB8WICI1_tR.jpg</v>
      </c>
      <c r="AW3100" s="82" t="s">
        <v>16184</v>
      </c>
      <c r="AX3100" s="82" t="s">
        <v>16184</v>
      </c>
      <c r="AY3100" s="77"/>
      <c r="AZ3100" s="82" t="s">
        <v>17385</v>
      </c>
      <c r="BA3100" s="82" t="s">
        <v>17385</v>
      </c>
      <c r="BB3100" s="82" t="s">
        <v>17385</v>
      </c>
      <c r="BC3100" s="82" t="s">
        <v>16184</v>
      </c>
      <c r="BD3100" s="82" t="s">
        <v>17688</v>
      </c>
      <c r="BE3100" s="77"/>
      <c r="BF3100" s="77"/>
      <c r="BG3100" s="77"/>
      <c r="BH3100" s="77"/>
      <c r="BI3100" s="77"/>
    </row>
    <row r="3101" spans="1:61" x14ac:dyDescent="0.25">
      <c r="A3101" s="62" t="s">
        <v>678</v>
      </c>
      <c r="B3101" s="62" t="s">
        <v>678</v>
      </c>
      <c r="C3101" s="63"/>
      <c r="D3101" s="64"/>
      <c r="E3101" s="65"/>
      <c r="F3101" s="66"/>
      <c r="G3101" s="63"/>
      <c r="H3101" s="67"/>
      <c r="I3101" s="68"/>
      <c r="J3101" s="68"/>
      <c r="K3101" s="32"/>
      <c r="L3101" s="75">
        <v>3101</v>
      </c>
      <c r="M3101" s="75"/>
      <c r="N3101" s="70"/>
      <c r="O3101" s="77" t="s">
        <v>179</v>
      </c>
      <c r="P3101" s="79">
        <v>45075.593217592592</v>
      </c>
      <c r="Q3101" s="77" t="s">
        <v>3878</v>
      </c>
      <c r="R3101" s="77">
        <v>1</v>
      </c>
      <c r="S3101" s="77">
        <v>2</v>
      </c>
      <c r="T3101" s="77">
        <v>0</v>
      </c>
      <c r="U3101" s="77">
        <v>0</v>
      </c>
      <c r="V3101" s="77">
        <v>108</v>
      </c>
      <c r="W3101" s="82" t="s">
        <v>6433</v>
      </c>
      <c r="X3101" s="77"/>
      <c r="Y3101" s="77"/>
      <c r="Z3101" s="77"/>
      <c r="AA3101" s="77" t="s">
        <v>8125</v>
      </c>
      <c r="AB3101" s="77" t="s">
        <v>8225</v>
      </c>
      <c r="AC3101" s="82" t="s">
        <v>8232</v>
      </c>
      <c r="AD3101" s="77" t="s">
        <v>8278</v>
      </c>
      <c r="AE3101" s="80" t="str">
        <f>HYPERLINK("https://twitter.com/vasconcellos984/status/1663186993822441476")</f>
        <v>https://twitter.com/vasconcellos984/status/1663186993822441476</v>
      </c>
      <c r="AF3101" s="79">
        <v>45075.593217592592</v>
      </c>
      <c r="AG3101" s="85">
        <v>45075</v>
      </c>
      <c r="AH3101" s="82" t="s">
        <v>11122</v>
      </c>
      <c r="AI3101" s="77" t="b">
        <v>0</v>
      </c>
      <c r="AJ3101" s="77"/>
      <c r="AK3101" s="77"/>
      <c r="AL3101" s="77"/>
      <c r="AM3101" s="77"/>
      <c r="AN3101" s="77"/>
      <c r="AO3101" s="77"/>
      <c r="AP3101" s="77"/>
      <c r="AQ3101" s="77" t="s">
        <v>13010</v>
      </c>
      <c r="AR3101" s="77"/>
      <c r="AS3101" s="77"/>
      <c r="AT3101" s="77"/>
      <c r="AU3101" s="77"/>
      <c r="AV3101" s="80" t="str">
        <f>HYPERLINK("https://pbs.twimg.com/media/FxTS5WvWAAE-_uu.png")</f>
        <v>https://pbs.twimg.com/media/FxTS5WvWAAE-_uu.png</v>
      </c>
      <c r="AW3101" s="82" t="s">
        <v>16185</v>
      </c>
      <c r="AX3101" s="82" t="s">
        <v>16185</v>
      </c>
      <c r="AY3101" s="77"/>
      <c r="AZ3101" s="82" t="s">
        <v>17385</v>
      </c>
      <c r="BA3101" s="82" t="s">
        <v>17385</v>
      </c>
      <c r="BB3101" s="82" t="s">
        <v>17385</v>
      </c>
      <c r="BC3101" s="82" t="s">
        <v>16185</v>
      </c>
      <c r="BD3101" s="82" t="s">
        <v>17689</v>
      </c>
      <c r="BE3101" s="77"/>
      <c r="BF3101" s="77"/>
      <c r="BG3101" s="77"/>
      <c r="BH3101" s="77"/>
      <c r="BI3101" s="77"/>
    </row>
    <row r="3102" spans="1:61" x14ac:dyDescent="0.25">
      <c r="A3102" s="62" t="s">
        <v>679</v>
      </c>
      <c r="B3102" s="62" t="s">
        <v>679</v>
      </c>
      <c r="C3102" s="63"/>
      <c r="D3102" s="64"/>
      <c r="E3102" s="65"/>
      <c r="F3102" s="66"/>
      <c r="G3102" s="63"/>
      <c r="H3102" s="67"/>
      <c r="I3102" s="68"/>
      <c r="J3102" s="68"/>
      <c r="K3102" s="32"/>
      <c r="L3102" s="75">
        <v>3102</v>
      </c>
      <c r="M3102" s="75"/>
      <c r="N3102" s="70"/>
      <c r="O3102" s="77" t="s">
        <v>179</v>
      </c>
      <c r="P3102" s="79">
        <v>45189.096041666664</v>
      </c>
      <c r="Q3102" s="77" t="s">
        <v>3879</v>
      </c>
      <c r="R3102" s="77">
        <v>0</v>
      </c>
      <c r="S3102" s="77">
        <v>2</v>
      </c>
      <c r="T3102" s="77">
        <v>1</v>
      </c>
      <c r="U3102" s="77">
        <v>0</v>
      </c>
      <c r="V3102" s="77">
        <v>1520</v>
      </c>
      <c r="W3102" s="82" t="s">
        <v>6416</v>
      </c>
      <c r="X3102" s="77"/>
      <c r="Y3102" s="77"/>
      <c r="Z3102" s="77"/>
      <c r="AA3102" s="77" t="s">
        <v>8126</v>
      </c>
      <c r="AB3102" s="77" t="s">
        <v>8225</v>
      </c>
      <c r="AC3102" s="82" t="s">
        <v>8233</v>
      </c>
      <c r="AD3102" s="77" t="s">
        <v>8278</v>
      </c>
      <c r="AE3102" s="80" t="str">
        <f>HYPERLINK("https://twitter.com/otimistaoficial/status/1704319039365947461")</f>
        <v>https://twitter.com/otimistaoficial/status/1704319039365947461</v>
      </c>
      <c r="AF3102" s="79">
        <v>45189.096041666664</v>
      </c>
      <c r="AG3102" s="85">
        <v>45189</v>
      </c>
      <c r="AH3102" s="82" t="s">
        <v>11123</v>
      </c>
      <c r="AI3102" s="77" t="b">
        <v>0</v>
      </c>
      <c r="AJ3102" s="77"/>
      <c r="AK3102" s="77"/>
      <c r="AL3102" s="77"/>
      <c r="AM3102" s="77"/>
      <c r="AN3102" s="77"/>
      <c r="AO3102" s="77"/>
      <c r="AP3102" s="77"/>
      <c r="AQ3102" s="77" t="s">
        <v>13011</v>
      </c>
      <c r="AR3102" s="77"/>
      <c r="AS3102" s="77"/>
      <c r="AT3102" s="77"/>
      <c r="AU3102" s="77"/>
      <c r="AV3102" s="80" t="str">
        <f>HYPERLINK("https://pbs.twimg.com/media/F6b1IY8X0AAAS6m.jpg")</f>
        <v>https://pbs.twimg.com/media/F6b1IY8X0AAAS6m.jpg</v>
      </c>
      <c r="AW3102" s="82" t="s">
        <v>16186</v>
      </c>
      <c r="AX3102" s="82" t="s">
        <v>16186</v>
      </c>
      <c r="AY3102" s="77"/>
      <c r="AZ3102" s="82" t="s">
        <v>17385</v>
      </c>
      <c r="BA3102" s="82" t="s">
        <v>17385</v>
      </c>
      <c r="BB3102" s="82" t="s">
        <v>17385</v>
      </c>
      <c r="BC3102" s="82" t="s">
        <v>16186</v>
      </c>
      <c r="BD3102" s="82" t="s">
        <v>17690</v>
      </c>
      <c r="BE3102" s="77"/>
      <c r="BF3102" s="77"/>
      <c r="BG3102" s="77"/>
      <c r="BH3102" s="77"/>
      <c r="BI3102" s="77"/>
    </row>
    <row r="3103" spans="1:61" x14ac:dyDescent="0.25">
      <c r="A3103" s="62" t="s">
        <v>680</v>
      </c>
      <c r="B3103" s="62" t="s">
        <v>680</v>
      </c>
      <c r="C3103" s="63"/>
      <c r="D3103" s="64"/>
      <c r="E3103" s="65"/>
      <c r="F3103" s="66"/>
      <c r="G3103" s="63"/>
      <c r="H3103" s="67"/>
      <c r="I3103" s="68"/>
      <c r="J3103" s="68"/>
      <c r="K3103" s="32"/>
      <c r="L3103" s="75">
        <v>3103</v>
      </c>
      <c r="M3103" s="75"/>
      <c r="N3103" s="70"/>
      <c r="O3103" s="77" t="s">
        <v>800</v>
      </c>
      <c r="P3103" s="79">
        <v>45196.951458333337</v>
      </c>
      <c r="Q3103" s="77" t="s">
        <v>3880</v>
      </c>
      <c r="R3103" s="77">
        <v>0</v>
      </c>
      <c r="S3103" s="77">
        <v>0</v>
      </c>
      <c r="T3103" s="77">
        <v>1</v>
      </c>
      <c r="U3103" s="77">
        <v>0</v>
      </c>
      <c r="V3103" s="77">
        <v>7</v>
      </c>
      <c r="W3103" s="82" t="s">
        <v>6434</v>
      </c>
      <c r="X3103" s="77"/>
      <c r="Y3103" s="77"/>
      <c r="Z3103" s="77"/>
      <c r="AA3103" s="77"/>
      <c r="AB3103" s="77"/>
      <c r="AC3103" s="82" t="s">
        <v>8232</v>
      </c>
      <c r="AD3103" s="77" t="s">
        <v>8278</v>
      </c>
      <c r="AE3103" s="80" t="str">
        <f>HYPERLINK("https://twitter.com/thomasppessoaa/status/1707165747019997274")</f>
        <v>https://twitter.com/thomasppessoaa/status/1707165747019997274</v>
      </c>
      <c r="AF3103" s="79">
        <v>45196.951458333337</v>
      </c>
      <c r="AG3103" s="85">
        <v>45196</v>
      </c>
      <c r="AH3103" s="82" t="s">
        <v>11124</v>
      </c>
      <c r="AI3103" s="77"/>
      <c r="AJ3103" s="77"/>
      <c r="AK3103" s="77"/>
      <c r="AL3103" s="77"/>
      <c r="AM3103" s="77"/>
      <c r="AN3103" s="77"/>
      <c r="AO3103" s="77"/>
      <c r="AP3103" s="77"/>
      <c r="AQ3103" s="77"/>
      <c r="AR3103" s="77"/>
      <c r="AS3103" s="77"/>
      <c r="AT3103" s="77"/>
      <c r="AU3103" s="77"/>
      <c r="AV3103" s="80" t="str">
        <f>HYPERLINK("https://pbs.twimg.com/profile_images/1705019584594481152/XQIxGwgm_normal.jpg")</f>
        <v>https://pbs.twimg.com/profile_images/1705019584594481152/XQIxGwgm_normal.jpg</v>
      </c>
      <c r="AW3103" s="82" t="s">
        <v>16187</v>
      </c>
      <c r="AX3103" s="82" t="s">
        <v>17215</v>
      </c>
      <c r="AY3103" s="82" t="s">
        <v>17378</v>
      </c>
      <c r="AZ3103" s="82" t="s">
        <v>17215</v>
      </c>
      <c r="BA3103" s="82" t="s">
        <v>17385</v>
      </c>
      <c r="BB3103" s="82" t="s">
        <v>17385</v>
      </c>
      <c r="BC3103" s="82" t="s">
        <v>17215</v>
      </c>
      <c r="BD3103" s="82" t="s">
        <v>17378</v>
      </c>
      <c r="BE3103" s="77"/>
      <c r="BF3103" s="77"/>
      <c r="BG3103" s="77"/>
      <c r="BH3103" s="77"/>
      <c r="BI3103" s="77"/>
    </row>
    <row r="3104" spans="1:61" x14ac:dyDescent="0.25">
      <c r="A3104" s="62" t="s">
        <v>681</v>
      </c>
      <c r="B3104" s="62" t="s">
        <v>681</v>
      </c>
      <c r="C3104" s="63"/>
      <c r="D3104" s="64"/>
      <c r="E3104" s="65"/>
      <c r="F3104" s="66"/>
      <c r="G3104" s="63"/>
      <c r="H3104" s="67"/>
      <c r="I3104" s="68"/>
      <c r="J3104" s="68"/>
      <c r="K3104" s="32"/>
      <c r="L3104" s="75">
        <v>3104</v>
      </c>
      <c r="M3104" s="75"/>
      <c r="N3104" s="70"/>
      <c r="O3104" s="77" t="s">
        <v>179</v>
      </c>
      <c r="P3104" s="79">
        <v>45120.541828703703</v>
      </c>
      <c r="Q3104" s="77" t="s">
        <v>3881</v>
      </c>
      <c r="R3104" s="77">
        <v>0</v>
      </c>
      <c r="S3104" s="77">
        <v>0</v>
      </c>
      <c r="T3104" s="77">
        <v>1</v>
      </c>
      <c r="U3104" s="77">
        <v>0</v>
      </c>
      <c r="V3104" s="77">
        <v>95</v>
      </c>
      <c r="W3104" s="82" t="s">
        <v>6435</v>
      </c>
      <c r="X3104" s="77"/>
      <c r="Y3104" s="77"/>
      <c r="Z3104" s="77"/>
      <c r="AA3104" s="77"/>
      <c r="AB3104" s="77"/>
      <c r="AC3104" s="82" t="s">
        <v>8234</v>
      </c>
      <c r="AD3104" s="77" t="s">
        <v>8278</v>
      </c>
      <c r="AE3104" s="80" t="str">
        <f>HYPERLINK("https://twitter.com/_primebrokers/status/1679475825291194371")</f>
        <v>https://twitter.com/_primebrokers/status/1679475825291194371</v>
      </c>
      <c r="AF3104" s="79">
        <v>45120.541828703703</v>
      </c>
      <c r="AG3104" s="85">
        <v>45120</v>
      </c>
      <c r="AH3104" s="82" t="s">
        <v>11125</v>
      </c>
      <c r="AI3104" s="77"/>
      <c r="AJ3104" s="77"/>
      <c r="AK3104" s="77"/>
      <c r="AL3104" s="77"/>
      <c r="AM3104" s="77"/>
      <c r="AN3104" s="77"/>
      <c r="AO3104" s="77"/>
      <c r="AP3104" s="77"/>
      <c r="AQ3104" s="77"/>
      <c r="AR3104" s="77"/>
      <c r="AS3104" s="77"/>
      <c r="AT3104" s="77"/>
      <c r="AU3104" s="77"/>
      <c r="AV3104" s="80" t="str">
        <f>HYPERLINK("https://pbs.twimg.com/profile_images/1696347662851727361/Z11IXiDW_normal.jpg")</f>
        <v>https://pbs.twimg.com/profile_images/1696347662851727361/Z11IXiDW_normal.jpg</v>
      </c>
      <c r="AW3104" s="82" t="s">
        <v>16188</v>
      </c>
      <c r="AX3104" s="82" t="s">
        <v>16188</v>
      </c>
      <c r="AY3104" s="77"/>
      <c r="AZ3104" s="82" t="s">
        <v>17385</v>
      </c>
      <c r="BA3104" s="82" t="s">
        <v>17385</v>
      </c>
      <c r="BB3104" s="82" t="s">
        <v>17385</v>
      </c>
      <c r="BC3104" s="82" t="s">
        <v>16188</v>
      </c>
      <c r="BD3104" s="82" t="s">
        <v>17691</v>
      </c>
      <c r="BE3104" s="77"/>
      <c r="BF3104" s="77"/>
      <c r="BG3104" s="77"/>
      <c r="BH3104" s="77"/>
      <c r="BI3104" s="77"/>
    </row>
    <row r="3105" spans="1:61" x14ac:dyDescent="0.25">
      <c r="A3105" s="62" t="s">
        <v>682</v>
      </c>
      <c r="B3105" s="62" t="s">
        <v>682</v>
      </c>
      <c r="C3105" s="63"/>
      <c r="D3105" s="64"/>
      <c r="E3105" s="65"/>
      <c r="F3105" s="66"/>
      <c r="G3105" s="63"/>
      <c r="H3105" s="67"/>
      <c r="I3105" s="68"/>
      <c r="J3105" s="68"/>
      <c r="K3105" s="32"/>
      <c r="L3105" s="75">
        <v>3105</v>
      </c>
      <c r="M3105" s="75"/>
      <c r="N3105" s="70"/>
      <c r="O3105" s="77" t="s">
        <v>179</v>
      </c>
      <c r="P3105" s="79">
        <v>45068.831157407411</v>
      </c>
      <c r="Q3105" s="77" t="s">
        <v>3882</v>
      </c>
      <c r="R3105" s="77">
        <v>0</v>
      </c>
      <c r="S3105" s="77">
        <v>3</v>
      </c>
      <c r="T3105" s="77">
        <v>0</v>
      </c>
      <c r="U3105" s="77">
        <v>0</v>
      </c>
      <c r="V3105" s="77">
        <v>897</v>
      </c>
      <c r="W3105" s="82" t="s">
        <v>6436</v>
      </c>
      <c r="X3105" s="80" t="str">
        <f>HYPERLINK("http://wix.to/f48y8SE")</f>
        <v>http://wix.to/f48y8SE</v>
      </c>
      <c r="Y3105" s="77" t="s">
        <v>7080</v>
      </c>
      <c r="Z3105" s="77"/>
      <c r="AA3105" s="77"/>
      <c r="AB3105" s="77"/>
      <c r="AC3105" s="82" t="s">
        <v>8251</v>
      </c>
      <c r="AD3105" s="77" t="s">
        <v>8278</v>
      </c>
      <c r="AE3105" s="80" t="str">
        <f>HYPERLINK("https://twitter.com/crisinveste/status/1660736506812678144")</f>
        <v>https://twitter.com/crisinveste/status/1660736506812678144</v>
      </c>
      <c r="AF3105" s="79">
        <v>45068.831157407411</v>
      </c>
      <c r="AG3105" s="85">
        <v>45068</v>
      </c>
      <c r="AH3105" s="82" t="s">
        <v>11126</v>
      </c>
      <c r="AI3105" s="77" t="b">
        <v>0</v>
      </c>
      <c r="AJ3105" s="77"/>
      <c r="AK3105" s="77"/>
      <c r="AL3105" s="77"/>
      <c r="AM3105" s="77"/>
      <c r="AN3105" s="77"/>
      <c r="AO3105" s="77"/>
      <c r="AP3105" s="77"/>
      <c r="AQ3105" s="77"/>
      <c r="AR3105" s="77"/>
      <c r="AS3105" s="77"/>
      <c r="AT3105" s="77"/>
      <c r="AU3105" s="77"/>
      <c r="AV3105" s="80" t="str">
        <f>HYPERLINK("https://pbs.twimg.com/profile_images/1649087655424958467/Kj-OEYcB_normal.jpg")</f>
        <v>https://pbs.twimg.com/profile_images/1649087655424958467/Kj-OEYcB_normal.jpg</v>
      </c>
      <c r="AW3105" s="82" t="s">
        <v>16189</v>
      </c>
      <c r="AX3105" s="82" t="s">
        <v>16189</v>
      </c>
      <c r="AY3105" s="77"/>
      <c r="AZ3105" s="82" t="s">
        <v>17385</v>
      </c>
      <c r="BA3105" s="82" t="s">
        <v>17385</v>
      </c>
      <c r="BB3105" s="82" t="s">
        <v>17385</v>
      </c>
      <c r="BC3105" s="82" t="s">
        <v>16189</v>
      </c>
      <c r="BD3105" s="82" t="s">
        <v>17692</v>
      </c>
      <c r="BE3105" s="77"/>
      <c r="BF3105" s="77"/>
      <c r="BG3105" s="77"/>
      <c r="BH3105" s="77"/>
      <c r="BI3105" s="77"/>
    </row>
    <row r="3106" spans="1:61" x14ac:dyDescent="0.25">
      <c r="A3106" s="62" t="s">
        <v>682</v>
      </c>
      <c r="B3106" s="62" t="s">
        <v>682</v>
      </c>
      <c r="C3106" s="63"/>
      <c r="D3106" s="64"/>
      <c r="E3106" s="65"/>
      <c r="F3106" s="66"/>
      <c r="G3106" s="63"/>
      <c r="H3106" s="67"/>
      <c r="I3106" s="68"/>
      <c r="J3106" s="68"/>
      <c r="K3106" s="32"/>
      <c r="L3106" s="75">
        <v>3106</v>
      </c>
      <c r="M3106" s="75"/>
      <c r="N3106" s="70"/>
      <c r="O3106" s="77" t="s">
        <v>179</v>
      </c>
      <c r="P3106" s="79">
        <v>45090.853634259256</v>
      </c>
      <c r="Q3106" s="77" t="s">
        <v>3883</v>
      </c>
      <c r="R3106" s="77">
        <v>0</v>
      </c>
      <c r="S3106" s="77">
        <v>14</v>
      </c>
      <c r="T3106" s="77">
        <v>1</v>
      </c>
      <c r="U3106" s="77">
        <v>0</v>
      </c>
      <c r="V3106" s="77">
        <v>1924</v>
      </c>
      <c r="W3106" s="82" t="s">
        <v>6437</v>
      </c>
      <c r="X3106" s="80" t="str">
        <f>HYPERLINK("http://wix.to/nB1jpBY")</f>
        <v>http://wix.to/nB1jpBY</v>
      </c>
      <c r="Y3106" s="77" t="s">
        <v>7080</v>
      </c>
      <c r="Z3106" s="77"/>
      <c r="AA3106" s="77"/>
      <c r="AB3106" s="77"/>
      <c r="AC3106" s="82" t="s">
        <v>8251</v>
      </c>
      <c r="AD3106" s="77" t="s">
        <v>8278</v>
      </c>
      <c r="AE3106" s="80" t="str">
        <f>HYPERLINK("https://twitter.com/crisinveste/status/1668717181717344256")</f>
        <v>https://twitter.com/crisinveste/status/1668717181717344256</v>
      </c>
      <c r="AF3106" s="79">
        <v>45090.853634259256</v>
      </c>
      <c r="AG3106" s="85">
        <v>45090</v>
      </c>
      <c r="AH3106" s="82" t="s">
        <v>11127</v>
      </c>
      <c r="AI3106" s="77" t="b">
        <v>0</v>
      </c>
      <c r="AJ3106" s="77"/>
      <c r="AK3106" s="77"/>
      <c r="AL3106" s="77"/>
      <c r="AM3106" s="77"/>
      <c r="AN3106" s="77"/>
      <c r="AO3106" s="77"/>
      <c r="AP3106" s="77"/>
      <c r="AQ3106" s="77"/>
      <c r="AR3106" s="77"/>
      <c r="AS3106" s="77"/>
      <c r="AT3106" s="77"/>
      <c r="AU3106" s="77"/>
      <c r="AV3106" s="80" t="str">
        <f>HYPERLINK("https://pbs.twimg.com/profile_images/1649087655424958467/Kj-OEYcB_normal.jpg")</f>
        <v>https://pbs.twimg.com/profile_images/1649087655424958467/Kj-OEYcB_normal.jpg</v>
      </c>
      <c r="AW3106" s="82" t="s">
        <v>16190</v>
      </c>
      <c r="AX3106" s="82" t="s">
        <v>16190</v>
      </c>
      <c r="AY3106" s="77"/>
      <c r="AZ3106" s="82" t="s">
        <v>17385</v>
      </c>
      <c r="BA3106" s="82" t="s">
        <v>17385</v>
      </c>
      <c r="BB3106" s="82" t="s">
        <v>17385</v>
      </c>
      <c r="BC3106" s="82" t="s">
        <v>16190</v>
      </c>
      <c r="BD3106" s="82" t="s">
        <v>17692</v>
      </c>
      <c r="BE3106" s="77"/>
      <c r="BF3106" s="77"/>
      <c r="BG3106" s="77"/>
      <c r="BH3106" s="77"/>
      <c r="BI3106" s="77"/>
    </row>
    <row r="3107" spans="1:61" x14ac:dyDescent="0.25">
      <c r="A3107" s="62" t="s">
        <v>682</v>
      </c>
      <c r="B3107" s="62" t="s">
        <v>682</v>
      </c>
      <c r="C3107" s="63"/>
      <c r="D3107" s="64"/>
      <c r="E3107" s="65"/>
      <c r="F3107" s="66"/>
      <c r="G3107" s="63"/>
      <c r="H3107" s="67"/>
      <c r="I3107" s="68"/>
      <c r="J3107" s="68"/>
      <c r="K3107" s="32"/>
      <c r="L3107" s="75">
        <v>3107</v>
      </c>
      <c r="M3107" s="75"/>
      <c r="N3107" s="70"/>
      <c r="O3107" s="77" t="s">
        <v>179</v>
      </c>
      <c r="P3107" s="79">
        <v>45105.782858796294</v>
      </c>
      <c r="Q3107" s="77" t="s">
        <v>3884</v>
      </c>
      <c r="R3107" s="77">
        <v>0</v>
      </c>
      <c r="S3107" s="77">
        <v>1</v>
      </c>
      <c r="T3107" s="77">
        <v>0</v>
      </c>
      <c r="U3107" s="77">
        <v>0</v>
      </c>
      <c r="V3107" s="77">
        <v>403</v>
      </c>
      <c r="W3107" s="82" t="s">
        <v>6438</v>
      </c>
      <c r="X3107" s="80" t="str">
        <f>HYPERLINK("http://wix.to/6ADXYu8")</f>
        <v>http://wix.to/6ADXYu8</v>
      </c>
      <c r="Y3107" s="77" t="s">
        <v>7080</v>
      </c>
      <c r="Z3107" s="77"/>
      <c r="AA3107" s="77"/>
      <c r="AB3107" s="77"/>
      <c r="AC3107" s="82" t="s">
        <v>8251</v>
      </c>
      <c r="AD3107" s="77" t="s">
        <v>8278</v>
      </c>
      <c r="AE3107" s="80" t="str">
        <f>HYPERLINK("https://twitter.com/crisinveste/status/1674127353113608192")</f>
        <v>https://twitter.com/crisinveste/status/1674127353113608192</v>
      </c>
      <c r="AF3107" s="79">
        <v>45105.782858796294</v>
      </c>
      <c r="AG3107" s="85">
        <v>45105</v>
      </c>
      <c r="AH3107" s="82" t="s">
        <v>11128</v>
      </c>
      <c r="AI3107" s="77" t="b">
        <v>0</v>
      </c>
      <c r="AJ3107" s="77"/>
      <c r="AK3107" s="77"/>
      <c r="AL3107" s="77"/>
      <c r="AM3107" s="77"/>
      <c r="AN3107" s="77"/>
      <c r="AO3107" s="77"/>
      <c r="AP3107" s="77"/>
      <c r="AQ3107" s="77"/>
      <c r="AR3107" s="77"/>
      <c r="AS3107" s="77"/>
      <c r="AT3107" s="77"/>
      <c r="AU3107" s="77"/>
      <c r="AV3107" s="80" t="str">
        <f>HYPERLINK("https://pbs.twimg.com/profile_images/1649087655424958467/Kj-OEYcB_normal.jpg")</f>
        <v>https://pbs.twimg.com/profile_images/1649087655424958467/Kj-OEYcB_normal.jpg</v>
      </c>
      <c r="AW3107" s="82" t="s">
        <v>16191</v>
      </c>
      <c r="AX3107" s="82" t="s">
        <v>16191</v>
      </c>
      <c r="AY3107" s="77"/>
      <c r="AZ3107" s="82" t="s">
        <v>17385</v>
      </c>
      <c r="BA3107" s="82" t="s">
        <v>17385</v>
      </c>
      <c r="BB3107" s="82" t="s">
        <v>17385</v>
      </c>
      <c r="BC3107" s="82" t="s">
        <v>16191</v>
      </c>
      <c r="BD3107" s="82" t="s">
        <v>17692</v>
      </c>
      <c r="BE3107" s="77"/>
      <c r="BF3107" s="77"/>
      <c r="BG3107" s="77"/>
      <c r="BH3107" s="77"/>
      <c r="BI3107" s="77"/>
    </row>
    <row r="3108" spans="1:61" x14ac:dyDescent="0.25">
      <c r="A3108" s="62" t="s">
        <v>682</v>
      </c>
      <c r="B3108" s="62" t="s">
        <v>682</v>
      </c>
      <c r="C3108" s="63"/>
      <c r="D3108" s="64"/>
      <c r="E3108" s="65"/>
      <c r="F3108" s="66"/>
      <c r="G3108" s="63"/>
      <c r="H3108" s="67"/>
      <c r="I3108" s="68"/>
      <c r="J3108" s="68"/>
      <c r="K3108" s="32"/>
      <c r="L3108" s="75">
        <v>3108</v>
      </c>
      <c r="M3108" s="75"/>
      <c r="N3108" s="70"/>
      <c r="O3108" s="77" t="s">
        <v>179</v>
      </c>
      <c r="P3108" s="79">
        <v>45171.719074074077</v>
      </c>
      <c r="Q3108" s="77" t="s">
        <v>3885</v>
      </c>
      <c r="R3108" s="77">
        <v>0</v>
      </c>
      <c r="S3108" s="77">
        <v>1</v>
      </c>
      <c r="T3108" s="77">
        <v>0</v>
      </c>
      <c r="U3108" s="77">
        <v>0</v>
      </c>
      <c r="V3108" s="77">
        <v>282</v>
      </c>
      <c r="W3108" s="82" t="s">
        <v>6439</v>
      </c>
      <c r="X3108" s="80" t="str">
        <f>HYPERLINK("https://www.instagram.com/reel/Cwr_IVaOWOT/?igshid=MTc4MmM1YmI2Ng==")</f>
        <v>https://www.instagram.com/reel/Cwr_IVaOWOT/?igshid=MTc4MmM1YmI2Ng==</v>
      </c>
      <c r="Y3108" s="77" t="s">
        <v>7055</v>
      </c>
      <c r="Z3108" s="77"/>
      <c r="AA3108" s="77"/>
      <c r="AB3108" s="77"/>
      <c r="AC3108" s="82" t="s">
        <v>8234</v>
      </c>
      <c r="AD3108" s="77" t="s">
        <v>8278</v>
      </c>
      <c r="AE3108" s="80" t="str">
        <f>HYPERLINK("https://twitter.com/crisinveste/status/1698021839673430426")</f>
        <v>https://twitter.com/crisinveste/status/1698021839673430426</v>
      </c>
      <c r="AF3108" s="79">
        <v>45171.719074074077</v>
      </c>
      <c r="AG3108" s="85">
        <v>45171</v>
      </c>
      <c r="AH3108" s="82" t="s">
        <v>11129</v>
      </c>
      <c r="AI3108" s="77" t="b">
        <v>0</v>
      </c>
      <c r="AJ3108" s="77"/>
      <c r="AK3108" s="77"/>
      <c r="AL3108" s="77"/>
      <c r="AM3108" s="77"/>
      <c r="AN3108" s="77"/>
      <c r="AO3108" s="77"/>
      <c r="AP3108" s="77"/>
      <c r="AQ3108" s="77"/>
      <c r="AR3108" s="77"/>
      <c r="AS3108" s="77"/>
      <c r="AT3108" s="77"/>
      <c r="AU3108" s="77"/>
      <c r="AV3108" s="80" t="str">
        <f>HYPERLINK("https://pbs.twimg.com/profile_images/1649087655424958467/Kj-OEYcB_normal.jpg")</f>
        <v>https://pbs.twimg.com/profile_images/1649087655424958467/Kj-OEYcB_normal.jpg</v>
      </c>
      <c r="AW3108" s="82" t="s">
        <v>16192</v>
      </c>
      <c r="AX3108" s="82" t="s">
        <v>16192</v>
      </c>
      <c r="AY3108" s="77"/>
      <c r="AZ3108" s="82" t="s">
        <v>17385</v>
      </c>
      <c r="BA3108" s="82" t="s">
        <v>17385</v>
      </c>
      <c r="BB3108" s="82" t="s">
        <v>17385</v>
      </c>
      <c r="BC3108" s="82" t="s">
        <v>16192</v>
      </c>
      <c r="BD3108" s="82" t="s">
        <v>17692</v>
      </c>
      <c r="BE3108" s="77"/>
      <c r="BF3108" s="77"/>
      <c r="BG3108" s="77"/>
      <c r="BH3108" s="77"/>
      <c r="BI3108" s="77"/>
    </row>
    <row r="3109" spans="1:61" x14ac:dyDescent="0.25">
      <c r="A3109" s="62" t="s">
        <v>682</v>
      </c>
      <c r="B3109" s="62" t="s">
        <v>682</v>
      </c>
      <c r="C3109" s="63"/>
      <c r="D3109" s="64"/>
      <c r="E3109" s="65"/>
      <c r="F3109" s="66"/>
      <c r="G3109" s="63"/>
      <c r="H3109" s="67"/>
      <c r="I3109" s="68"/>
      <c r="J3109" s="68"/>
      <c r="K3109" s="32"/>
      <c r="L3109" s="75">
        <v>3109</v>
      </c>
      <c r="M3109" s="75"/>
      <c r="N3109" s="70"/>
      <c r="O3109" s="77" t="s">
        <v>179</v>
      </c>
      <c r="P3109" s="79">
        <v>45078.938136574077</v>
      </c>
      <c r="Q3109" s="77" t="s">
        <v>3886</v>
      </c>
      <c r="R3109" s="77">
        <v>0</v>
      </c>
      <c r="S3109" s="77">
        <v>4</v>
      </c>
      <c r="T3109" s="77">
        <v>0</v>
      </c>
      <c r="U3109" s="77">
        <v>0</v>
      </c>
      <c r="V3109" s="77">
        <v>907</v>
      </c>
      <c r="W3109" s="82" t="s">
        <v>6440</v>
      </c>
      <c r="X3109" s="80" t="str">
        <f>HYPERLINK("https://www.investe10.com.br/post/vai-ter-new-fies-compre-esta-educacional-nova-small-cap-recomendada-com-de-100-de-potencial")</f>
        <v>https://www.investe10.com.br/post/vai-ter-new-fies-compre-esta-educacional-nova-small-cap-recomendada-com-de-100-de-potencial</v>
      </c>
      <c r="Y3109" s="77" t="s">
        <v>7053</v>
      </c>
      <c r="Z3109" s="77"/>
      <c r="AA3109" s="77"/>
      <c r="AB3109" s="77"/>
      <c r="AC3109" s="82" t="s">
        <v>8251</v>
      </c>
      <c r="AD3109" s="77" t="s">
        <v>8284</v>
      </c>
      <c r="AE3109" s="80" t="str">
        <f>HYPERLINK("https://twitter.com/crisinveste/status/1664399151478751232")</f>
        <v>https://twitter.com/crisinveste/status/1664399151478751232</v>
      </c>
      <c r="AF3109" s="79">
        <v>45078.938136574077</v>
      </c>
      <c r="AG3109" s="85">
        <v>45078</v>
      </c>
      <c r="AH3109" s="82" t="s">
        <v>11130</v>
      </c>
      <c r="AI3109" s="77" t="b">
        <v>0</v>
      </c>
      <c r="AJ3109" s="77"/>
      <c r="AK3109" s="77"/>
      <c r="AL3109" s="77"/>
      <c r="AM3109" s="77"/>
      <c r="AN3109" s="77"/>
      <c r="AO3109" s="77"/>
      <c r="AP3109" s="77"/>
      <c r="AQ3109" s="77"/>
      <c r="AR3109" s="77"/>
      <c r="AS3109" s="77"/>
      <c r="AT3109" s="77"/>
      <c r="AU3109" s="77"/>
      <c r="AV3109" s="80" t="str">
        <f>HYPERLINK("https://pbs.twimg.com/profile_images/1649087655424958467/Kj-OEYcB_normal.jpg")</f>
        <v>https://pbs.twimg.com/profile_images/1649087655424958467/Kj-OEYcB_normal.jpg</v>
      </c>
      <c r="AW3109" s="82" t="s">
        <v>16193</v>
      </c>
      <c r="AX3109" s="82" t="s">
        <v>16193</v>
      </c>
      <c r="AY3109" s="77"/>
      <c r="AZ3109" s="82" t="s">
        <v>17385</v>
      </c>
      <c r="BA3109" s="82" t="s">
        <v>17385</v>
      </c>
      <c r="BB3109" s="82" t="s">
        <v>17385</v>
      </c>
      <c r="BC3109" s="82" t="s">
        <v>16193</v>
      </c>
      <c r="BD3109" s="82" t="s">
        <v>17692</v>
      </c>
      <c r="BE3109" s="77"/>
      <c r="BF3109" s="77"/>
      <c r="BG3109" s="77"/>
      <c r="BH3109" s="77"/>
      <c r="BI3109" s="77"/>
    </row>
    <row r="3110" spans="1:61" x14ac:dyDescent="0.25">
      <c r="A3110" s="62" t="s">
        <v>683</v>
      </c>
      <c r="B3110" s="62" t="s">
        <v>683</v>
      </c>
      <c r="C3110" s="63"/>
      <c r="D3110" s="64"/>
      <c r="E3110" s="65"/>
      <c r="F3110" s="66"/>
      <c r="G3110" s="63"/>
      <c r="H3110" s="67"/>
      <c r="I3110" s="68"/>
      <c r="J3110" s="68"/>
      <c r="K3110" s="32"/>
      <c r="L3110" s="75">
        <v>3110</v>
      </c>
      <c r="M3110" s="75"/>
      <c r="N3110" s="70"/>
      <c r="O3110" s="77" t="s">
        <v>179</v>
      </c>
      <c r="P3110" s="79">
        <v>45064.594155092593</v>
      </c>
      <c r="Q3110" s="77" t="s">
        <v>3887</v>
      </c>
      <c r="R3110" s="77">
        <v>0</v>
      </c>
      <c r="S3110" s="77">
        <v>0</v>
      </c>
      <c r="T3110" s="77">
        <v>1</v>
      </c>
      <c r="U3110" s="77">
        <v>1</v>
      </c>
      <c r="V3110" s="77">
        <v>171</v>
      </c>
      <c r="W3110" s="82" t="s">
        <v>6441</v>
      </c>
      <c r="X3110" s="77"/>
      <c r="Y3110" s="77"/>
      <c r="Z3110" s="77"/>
      <c r="AA3110" s="77" t="s">
        <v>8127</v>
      </c>
      <c r="AB3110" s="77" t="s">
        <v>8225</v>
      </c>
      <c r="AC3110" s="82" t="s">
        <v>8232</v>
      </c>
      <c r="AD3110" s="77" t="s">
        <v>8278</v>
      </c>
      <c r="AE3110" s="80" t="str">
        <f>HYPERLINK("https://twitter.com/erkcvl/status/1659201065668202498")</f>
        <v>https://twitter.com/erkcvl/status/1659201065668202498</v>
      </c>
      <c r="AF3110" s="79">
        <v>45064.594155092593</v>
      </c>
      <c r="AG3110" s="85">
        <v>45064</v>
      </c>
      <c r="AH3110" s="82" t="s">
        <v>11131</v>
      </c>
      <c r="AI3110" s="77" t="b">
        <v>0</v>
      </c>
      <c r="AJ3110" s="77"/>
      <c r="AK3110" s="77"/>
      <c r="AL3110" s="77"/>
      <c r="AM3110" s="77"/>
      <c r="AN3110" s="77"/>
      <c r="AO3110" s="77"/>
      <c r="AP3110" s="77"/>
      <c r="AQ3110" s="77" t="s">
        <v>13012</v>
      </c>
      <c r="AR3110" s="77"/>
      <c r="AS3110" s="77"/>
      <c r="AT3110" s="77"/>
      <c r="AU3110" s="77"/>
      <c r="AV3110" s="80" t="str">
        <f>HYPERLINK("https://pbs.twimg.com/media/FwaqE3-agAQodTb.png")</f>
        <v>https://pbs.twimg.com/media/FwaqE3-agAQodTb.png</v>
      </c>
      <c r="AW3110" s="82" t="s">
        <v>16194</v>
      </c>
      <c r="AX3110" s="82" t="s">
        <v>16194</v>
      </c>
      <c r="AY3110" s="77"/>
      <c r="AZ3110" s="82" t="s">
        <v>17385</v>
      </c>
      <c r="BA3110" s="82" t="s">
        <v>17385</v>
      </c>
      <c r="BB3110" s="82" t="s">
        <v>17385</v>
      </c>
      <c r="BC3110" s="82" t="s">
        <v>16194</v>
      </c>
      <c r="BD3110" s="82" t="s">
        <v>17693</v>
      </c>
      <c r="BE3110" s="77"/>
      <c r="BF3110" s="77"/>
      <c r="BG3110" s="77"/>
      <c r="BH3110" s="77"/>
      <c r="BI3110" s="77"/>
    </row>
    <row r="3111" spans="1:61" x14ac:dyDescent="0.25">
      <c r="A3111" s="62" t="s">
        <v>684</v>
      </c>
      <c r="B3111" s="62" t="s">
        <v>684</v>
      </c>
      <c r="C3111" s="63"/>
      <c r="D3111" s="64"/>
      <c r="E3111" s="65"/>
      <c r="F3111" s="66"/>
      <c r="G3111" s="63"/>
      <c r="H3111" s="67"/>
      <c r="I3111" s="68"/>
      <c r="J3111" s="68"/>
      <c r="K3111" s="32"/>
      <c r="L3111" s="75">
        <v>3111</v>
      </c>
      <c r="M3111" s="75"/>
      <c r="N3111" s="70"/>
      <c r="O3111" s="77" t="s">
        <v>179</v>
      </c>
      <c r="P3111" s="79">
        <v>45188.011307870373</v>
      </c>
      <c r="Q3111" s="77" t="s">
        <v>3888</v>
      </c>
      <c r="R3111" s="77">
        <v>0</v>
      </c>
      <c r="S3111" s="77">
        <v>0</v>
      </c>
      <c r="T3111" s="77">
        <v>0</v>
      </c>
      <c r="U3111" s="77">
        <v>0</v>
      </c>
      <c r="V3111" s="77">
        <v>61</v>
      </c>
      <c r="W3111" s="82" t="s">
        <v>6442</v>
      </c>
      <c r="X3111" s="77"/>
      <c r="Y3111" s="77"/>
      <c r="Z3111" s="77"/>
      <c r="AA3111" s="77"/>
      <c r="AB3111" s="77"/>
      <c r="AC3111" s="82" t="s">
        <v>8234</v>
      </c>
      <c r="AD3111" s="77" t="s">
        <v>8278</v>
      </c>
      <c r="AE3111" s="80" t="str">
        <f>HYPERLINK("https://twitter.com/lenoar75/status/1703925945168458214")</f>
        <v>https://twitter.com/lenoar75/status/1703925945168458214</v>
      </c>
      <c r="AF3111" s="79">
        <v>45188.011307870373</v>
      </c>
      <c r="AG3111" s="85">
        <v>45188</v>
      </c>
      <c r="AH3111" s="82" t="s">
        <v>11132</v>
      </c>
      <c r="AI3111" s="77"/>
      <c r="AJ3111" s="77"/>
      <c r="AK3111" s="77"/>
      <c r="AL3111" s="77"/>
      <c r="AM3111" s="77"/>
      <c r="AN3111" s="77"/>
      <c r="AO3111" s="77"/>
      <c r="AP3111" s="77"/>
      <c r="AQ3111" s="77"/>
      <c r="AR3111" s="77"/>
      <c r="AS3111" s="77"/>
      <c r="AT3111" s="77"/>
      <c r="AU3111" s="77"/>
      <c r="AV3111" s="80" t="str">
        <f>HYPERLINK("https://pbs.twimg.com/profile_images/1703909143411560449/_JzuZhLB_normal.jpg")</f>
        <v>https://pbs.twimg.com/profile_images/1703909143411560449/_JzuZhLB_normal.jpg</v>
      </c>
      <c r="AW3111" s="82" t="s">
        <v>16195</v>
      </c>
      <c r="AX3111" s="82" t="s">
        <v>16195</v>
      </c>
      <c r="AY3111" s="77"/>
      <c r="AZ3111" s="82" t="s">
        <v>17385</v>
      </c>
      <c r="BA3111" s="82" t="s">
        <v>17385</v>
      </c>
      <c r="BB3111" s="82" t="s">
        <v>17385</v>
      </c>
      <c r="BC3111" s="82" t="s">
        <v>16195</v>
      </c>
      <c r="BD3111" s="77">
        <v>261934851</v>
      </c>
      <c r="BE3111" s="77"/>
      <c r="BF3111" s="77"/>
      <c r="BG3111" s="77"/>
      <c r="BH3111" s="77"/>
      <c r="BI3111" s="77"/>
    </row>
    <row r="3112" spans="1:61" x14ac:dyDescent="0.25">
      <c r="A3112" s="62" t="s">
        <v>685</v>
      </c>
      <c r="B3112" s="62" t="s">
        <v>685</v>
      </c>
      <c r="C3112" s="63"/>
      <c r="D3112" s="64"/>
      <c r="E3112" s="65"/>
      <c r="F3112" s="66"/>
      <c r="G3112" s="63"/>
      <c r="H3112" s="67"/>
      <c r="I3112" s="68"/>
      <c r="J3112" s="68"/>
      <c r="K3112" s="32"/>
      <c r="L3112" s="75">
        <v>3112</v>
      </c>
      <c r="M3112" s="75"/>
      <c r="N3112" s="70"/>
      <c r="O3112" s="77" t="s">
        <v>179</v>
      </c>
      <c r="P3112" s="79">
        <v>45060.187083333331</v>
      </c>
      <c r="Q3112" s="77" t="s">
        <v>3889</v>
      </c>
      <c r="R3112" s="77">
        <v>0</v>
      </c>
      <c r="S3112" s="77">
        <v>0</v>
      </c>
      <c r="T3112" s="77">
        <v>0</v>
      </c>
      <c r="U3112" s="77">
        <v>0</v>
      </c>
      <c r="V3112" s="77">
        <v>46</v>
      </c>
      <c r="W3112" s="82" t="s">
        <v>6443</v>
      </c>
      <c r="X3112" s="80" t="str">
        <f>HYPERLINK("https://oaltoacre.com/prefeitura-avanca-nas-acoes-de-combate-ao-mosquito-aedes-aegypti-na-capital/")</f>
        <v>https://oaltoacre.com/prefeitura-avanca-nas-acoes-de-combate-ao-mosquito-aedes-aegypti-na-capital/</v>
      </c>
      <c r="Y3112" s="77" t="s">
        <v>7143</v>
      </c>
      <c r="Z3112" s="77"/>
      <c r="AA3112" s="77"/>
      <c r="AB3112" s="77"/>
      <c r="AC3112" s="82" t="s">
        <v>8261</v>
      </c>
      <c r="AD3112" s="77" t="s">
        <v>8278</v>
      </c>
      <c r="AE3112" s="80" t="str">
        <f>HYPERLINK("https://twitter.com/oaltoacre/status/1657603998088560640")</f>
        <v>https://twitter.com/oaltoacre/status/1657603998088560640</v>
      </c>
      <c r="AF3112" s="79">
        <v>45060.187083333331</v>
      </c>
      <c r="AG3112" s="85">
        <v>45060</v>
      </c>
      <c r="AH3112" s="82" t="s">
        <v>8888</v>
      </c>
      <c r="AI3112" s="77" t="b">
        <v>0</v>
      </c>
      <c r="AJ3112" s="77"/>
      <c r="AK3112" s="77"/>
      <c r="AL3112" s="77"/>
      <c r="AM3112" s="77"/>
      <c r="AN3112" s="77"/>
      <c r="AO3112" s="77"/>
      <c r="AP3112" s="77"/>
      <c r="AQ3112" s="77"/>
      <c r="AR3112" s="77"/>
      <c r="AS3112" s="77"/>
      <c r="AT3112" s="77"/>
      <c r="AU3112" s="77"/>
      <c r="AV3112" s="80" t="str">
        <f>HYPERLINK("https://pbs.twimg.com/profile_images/1593020028517072896/VntwlBy4_normal.jpg")</f>
        <v>https://pbs.twimg.com/profile_images/1593020028517072896/VntwlBy4_normal.jpg</v>
      </c>
      <c r="AW3112" s="82" t="s">
        <v>16196</v>
      </c>
      <c r="AX3112" s="82" t="s">
        <v>16196</v>
      </c>
      <c r="AY3112" s="77"/>
      <c r="AZ3112" s="82" t="s">
        <v>17385</v>
      </c>
      <c r="BA3112" s="82" t="s">
        <v>17385</v>
      </c>
      <c r="BB3112" s="82" t="s">
        <v>17385</v>
      </c>
      <c r="BC3112" s="82" t="s">
        <v>16196</v>
      </c>
      <c r="BD3112" s="77">
        <v>78807310</v>
      </c>
      <c r="BE3112" s="77"/>
      <c r="BF3112" s="77"/>
      <c r="BG3112" s="77"/>
      <c r="BH3112" s="77"/>
      <c r="BI3112" s="77"/>
    </row>
    <row r="3113" spans="1:61" x14ac:dyDescent="0.25">
      <c r="A3113" s="62" t="s">
        <v>685</v>
      </c>
      <c r="B3113" s="62" t="s">
        <v>685</v>
      </c>
      <c r="C3113" s="63"/>
      <c r="D3113" s="64"/>
      <c r="E3113" s="65"/>
      <c r="F3113" s="66"/>
      <c r="G3113" s="63"/>
      <c r="H3113" s="67"/>
      <c r="I3113" s="68"/>
      <c r="J3113" s="68"/>
      <c r="K3113" s="32"/>
      <c r="L3113" s="75">
        <v>3113</v>
      </c>
      <c r="M3113" s="75"/>
      <c r="N3113" s="70"/>
      <c r="O3113" s="77" t="s">
        <v>179</v>
      </c>
      <c r="P3113" s="79">
        <v>45058.907557870371</v>
      </c>
      <c r="Q3113" s="77" t="s">
        <v>3890</v>
      </c>
      <c r="R3113" s="77">
        <v>0</v>
      </c>
      <c r="S3113" s="77">
        <v>0</v>
      </c>
      <c r="T3113" s="77">
        <v>0</v>
      </c>
      <c r="U3113" s="77">
        <v>0</v>
      </c>
      <c r="V3113" s="77">
        <v>20</v>
      </c>
      <c r="W3113" s="82" t="s">
        <v>6444</v>
      </c>
      <c r="X3113" s="80" t="str">
        <f>HYPERLINK("https://oaltoacre.com/trf1-acolhe-recurso-do-mpf-e-ordena-acoes-para-melhoria-de-trechos-da-br-317-no-acre/")</f>
        <v>https://oaltoacre.com/trf1-acolhe-recurso-do-mpf-e-ordena-acoes-para-melhoria-de-trechos-da-br-317-no-acre/</v>
      </c>
      <c r="Y3113" s="77" t="s">
        <v>7143</v>
      </c>
      <c r="Z3113" s="77"/>
      <c r="AA3113" s="77"/>
      <c r="AB3113" s="77"/>
      <c r="AC3113" s="82" t="s">
        <v>8261</v>
      </c>
      <c r="AD3113" s="77" t="s">
        <v>8278</v>
      </c>
      <c r="AE3113" s="80" t="str">
        <f>HYPERLINK("https://twitter.com/oaltoacre/status/1657140315151581186")</f>
        <v>https://twitter.com/oaltoacre/status/1657140315151581186</v>
      </c>
      <c r="AF3113" s="79">
        <v>45058.907557870371</v>
      </c>
      <c r="AG3113" s="85">
        <v>45058</v>
      </c>
      <c r="AH3113" s="82" t="s">
        <v>10474</v>
      </c>
      <c r="AI3113" s="77" t="b">
        <v>0</v>
      </c>
      <c r="AJ3113" s="77"/>
      <c r="AK3113" s="77"/>
      <c r="AL3113" s="77"/>
      <c r="AM3113" s="77"/>
      <c r="AN3113" s="77"/>
      <c r="AO3113" s="77"/>
      <c r="AP3113" s="77"/>
      <c r="AQ3113" s="77"/>
      <c r="AR3113" s="77"/>
      <c r="AS3113" s="77"/>
      <c r="AT3113" s="77"/>
      <c r="AU3113" s="77"/>
      <c r="AV3113" s="80" t="str">
        <f>HYPERLINK("https://pbs.twimg.com/profile_images/1593020028517072896/VntwlBy4_normal.jpg")</f>
        <v>https://pbs.twimg.com/profile_images/1593020028517072896/VntwlBy4_normal.jpg</v>
      </c>
      <c r="AW3113" s="82" t="s">
        <v>16197</v>
      </c>
      <c r="AX3113" s="82" t="s">
        <v>16197</v>
      </c>
      <c r="AY3113" s="77"/>
      <c r="AZ3113" s="82" t="s">
        <v>17385</v>
      </c>
      <c r="BA3113" s="82" t="s">
        <v>17385</v>
      </c>
      <c r="BB3113" s="82" t="s">
        <v>17385</v>
      </c>
      <c r="BC3113" s="82" t="s">
        <v>16197</v>
      </c>
      <c r="BD3113" s="77">
        <v>78807310</v>
      </c>
      <c r="BE3113" s="77"/>
      <c r="BF3113" s="77"/>
      <c r="BG3113" s="77"/>
      <c r="BH3113" s="77"/>
      <c r="BI3113" s="77"/>
    </row>
    <row r="3114" spans="1:61" x14ac:dyDescent="0.25">
      <c r="A3114" s="62" t="s">
        <v>686</v>
      </c>
      <c r="B3114" s="62" t="s">
        <v>686</v>
      </c>
      <c r="C3114" s="63"/>
      <c r="D3114" s="64"/>
      <c r="E3114" s="65"/>
      <c r="F3114" s="66"/>
      <c r="G3114" s="63"/>
      <c r="H3114" s="67"/>
      <c r="I3114" s="68"/>
      <c r="J3114" s="68"/>
      <c r="K3114" s="32"/>
      <c r="L3114" s="75">
        <v>3114</v>
      </c>
      <c r="M3114" s="75"/>
      <c r="N3114" s="70"/>
      <c r="O3114" s="77" t="s">
        <v>802</v>
      </c>
      <c r="P3114" s="79">
        <v>45188.760127314818</v>
      </c>
      <c r="Q3114" s="77" t="s">
        <v>3891</v>
      </c>
      <c r="R3114" s="77">
        <v>0</v>
      </c>
      <c r="S3114" s="77">
        <v>0</v>
      </c>
      <c r="T3114" s="77">
        <v>0</v>
      </c>
      <c r="U3114" s="77">
        <v>0</v>
      </c>
      <c r="V3114" s="77">
        <v>57</v>
      </c>
      <c r="W3114" s="82" t="s">
        <v>6445</v>
      </c>
      <c r="X3114" s="80" t="str">
        <f>HYPERLINK("https://diariodegoias.com.br/operacao-sspgo-realiza-combate-a-violencia-contra-a-mulher/359265/")</f>
        <v>https://diariodegoias.com.br/operacao-sspgo-realiza-combate-a-violencia-contra-a-mulher/359265/</v>
      </c>
      <c r="Y3114" s="77" t="s">
        <v>7053</v>
      </c>
      <c r="Z3114" s="77" t="s">
        <v>686</v>
      </c>
      <c r="AA3114" s="77"/>
      <c r="AB3114" s="77"/>
      <c r="AC3114" s="82" t="s">
        <v>8232</v>
      </c>
      <c r="AD3114" s="77" t="s">
        <v>8278</v>
      </c>
      <c r="AE3114" s="80" t="str">
        <f>HYPERLINK("https://twitter.com/diariodegoias/status/1704197308756222193")</f>
        <v>https://twitter.com/diariodegoias/status/1704197308756222193</v>
      </c>
      <c r="AF3114" s="79">
        <v>45188.760127314818</v>
      </c>
      <c r="AG3114" s="85">
        <v>45188</v>
      </c>
      <c r="AH3114" s="82" t="s">
        <v>11133</v>
      </c>
      <c r="AI3114" s="77" t="b">
        <v>0</v>
      </c>
      <c r="AJ3114" s="77"/>
      <c r="AK3114" s="77"/>
      <c r="AL3114" s="77"/>
      <c r="AM3114" s="77"/>
      <c r="AN3114" s="77"/>
      <c r="AO3114" s="77"/>
      <c r="AP3114" s="77"/>
      <c r="AQ3114" s="77"/>
      <c r="AR3114" s="77"/>
      <c r="AS3114" s="77"/>
      <c r="AT3114" s="77"/>
      <c r="AU3114" s="77"/>
      <c r="AV3114" s="80" t="str">
        <f>HYPERLINK("https://pbs.twimg.com/profile_images/1396982798989381640/IRSUTOjF_normal.jpg")</f>
        <v>https://pbs.twimg.com/profile_images/1396982798989381640/IRSUTOjF_normal.jpg</v>
      </c>
      <c r="AW3114" s="82" t="s">
        <v>16198</v>
      </c>
      <c r="AX3114" s="82" t="s">
        <v>16198</v>
      </c>
      <c r="AY3114" s="77"/>
      <c r="AZ3114" s="82" t="s">
        <v>17385</v>
      </c>
      <c r="BA3114" s="82" t="s">
        <v>17385</v>
      </c>
      <c r="BB3114" s="82" t="s">
        <v>17385</v>
      </c>
      <c r="BC3114" s="82" t="s">
        <v>16198</v>
      </c>
      <c r="BD3114" s="77">
        <v>161793323</v>
      </c>
      <c r="BE3114" s="77"/>
      <c r="BF3114" s="77"/>
      <c r="BG3114" s="77"/>
      <c r="BH3114" s="77"/>
      <c r="BI3114" s="77"/>
    </row>
    <row r="3115" spans="1:61" x14ac:dyDescent="0.25">
      <c r="A3115" s="62" t="s">
        <v>686</v>
      </c>
      <c r="B3115" s="62" t="s">
        <v>686</v>
      </c>
      <c r="C3115" s="63"/>
      <c r="D3115" s="64"/>
      <c r="E3115" s="65"/>
      <c r="F3115" s="66"/>
      <c r="G3115" s="63"/>
      <c r="H3115" s="67"/>
      <c r="I3115" s="68"/>
      <c r="J3115" s="68"/>
      <c r="K3115" s="32"/>
      <c r="L3115" s="75">
        <v>3115</v>
      </c>
      <c r="M3115" s="75"/>
      <c r="N3115" s="70"/>
      <c r="O3115" s="77" t="s">
        <v>802</v>
      </c>
      <c r="P3115" s="79">
        <v>45195.839386574073</v>
      </c>
      <c r="Q3115" s="77" t="s">
        <v>3892</v>
      </c>
      <c r="R3115" s="77">
        <v>0</v>
      </c>
      <c r="S3115" s="77">
        <v>1</v>
      </c>
      <c r="T3115" s="77">
        <v>0</v>
      </c>
      <c r="U3115" s="77">
        <v>0</v>
      </c>
      <c r="V3115" s="77">
        <v>45</v>
      </c>
      <c r="W3115" s="82" t="s">
        <v>6446</v>
      </c>
      <c r="X3115" s="80" t="str">
        <f>HYPERLINK("https://diariodegoias.com.br/saude-de-goias-realiza-eventos-para-incentivar-a-vacinacao-no-estado/362397/")</f>
        <v>https://diariodegoias.com.br/saude-de-goias-realiza-eventos-para-incentivar-a-vacinacao-no-estado/362397/</v>
      </c>
      <c r="Y3115" s="77" t="s">
        <v>7053</v>
      </c>
      <c r="Z3115" s="77" t="s">
        <v>686</v>
      </c>
      <c r="AA3115" s="77"/>
      <c r="AB3115" s="77"/>
      <c r="AC3115" s="82" t="s">
        <v>8232</v>
      </c>
      <c r="AD3115" s="77" t="s">
        <v>8278</v>
      </c>
      <c r="AE3115" s="80" t="str">
        <f>HYPERLINK("https://twitter.com/diariodegoias/status/1706762746958848510")</f>
        <v>https://twitter.com/diariodegoias/status/1706762746958848510</v>
      </c>
      <c r="AF3115" s="79">
        <v>45195.839386574073</v>
      </c>
      <c r="AG3115" s="85">
        <v>45195</v>
      </c>
      <c r="AH3115" s="82" t="s">
        <v>11134</v>
      </c>
      <c r="AI3115" s="77" t="b">
        <v>0</v>
      </c>
      <c r="AJ3115" s="77"/>
      <c r="AK3115" s="77"/>
      <c r="AL3115" s="77"/>
      <c r="AM3115" s="77"/>
      <c r="AN3115" s="77"/>
      <c r="AO3115" s="77"/>
      <c r="AP3115" s="77"/>
      <c r="AQ3115" s="77"/>
      <c r="AR3115" s="77"/>
      <c r="AS3115" s="77"/>
      <c r="AT3115" s="77"/>
      <c r="AU3115" s="77"/>
      <c r="AV3115" s="80" t="str">
        <f>HYPERLINK("https://pbs.twimg.com/profile_images/1396982798989381640/IRSUTOjF_normal.jpg")</f>
        <v>https://pbs.twimg.com/profile_images/1396982798989381640/IRSUTOjF_normal.jpg</v>
      </c>
      <c r="AW3115" s="82" t="s">
        <v>16199</v>
      </c>
      <c r="AX3115" s="82" t="s">
        <v>16199</v>
      </c>
      <c r="AY3115" s="77"/>
      <c r="AZ3115" s="82" t="s">
        <v>17385</v>
      </c>
      <c r="BA3115" s="82" t="s">
        <v>17385</v>
      </c>
      <c r="BB3115" s="82" t="s">
        <v>17385</v>
      </c>
      <c r="BC3115" s="82" t="s">
        <v>16199</v>
      </c>
      <c r="BD3115" s="77">
        <v>161793323</v>
      </c>
      <c r="BE3115" s="77"/>
      <c r="BF3115" s="77"/>
      <c r="BG3115" s="77"/>
      <c r="BH3115" s="77"/>
      <c r="BI3115" s="77"/>
    </row>
    <row r="3116" spans="1:61" x14ac:dyDescent="0.25">
      <c r="A3116" s="62" t="s">
        <v>687</v>
      </c>
      <c r="B3116" s="62" t="s">
        <v>687</v>
      </c>
      <c r="C3116" s="63"/>
      <c r="D3116" s="64"/>
      <c r="E3116" s="65"/>
      <c r="F3116" s="66"/>
      <c r="G3116" s="63"/>
      <c r="H3116" s="67"/>
      <c r="I3116" s="68"/>
      <c r="J3116" s="68"/>
      <c r="K3116" s="32"/>
      <c r="L3116" s="75">
        <v>3116</v>
      </c>
      <c r="M3116" s="75"/>
      <c r="N3116" s="70"/>
      <c r="O3116" s="77" t="s">
        <v>179</v>
      </c>
      <c r="P3116" s="79">
        <v>45096.585300925923</v>
      </c>
      <c r="Q3116" s="77" t="s">
        <v>3893</v>
      </c>
      <c r="R3116" s="77">
        <v>0</v>
      </c>
      <c r="S3116" s="77">
        <v>0</v>
      </c>
      <c r="T3116" s="77">
        <v>0</v>
      </c>
      <c r="U3116" s="77">
        <v>0</v>
      </c>
      <c r="V3116" s="77">
        <v>18</v>
      </c>
      <c r="W3116" s="82" t="s">
        <v>6447</v>
      </c>
      <c r="X3116" s="77"/>
      <c r="Y3116" s="77"/>
      <c r="Z3116" s="77"/>
      <c r="AA3116" s="77" t="s">
        <v>8128</v>
      </c>
      <c r="AB3116" s="77" t="s">
        <v>8225</v>
      </c>
      <c r="AC3116" s="82" t="s">
        <v>8232</v>
      </c>
      <c r="AD3116" s="77" t="s">
        <v>8278</v>
      </c>
      <c r="AE3116" s="80" t="str">
        <f>HYPERLINK("https://twitter.com/keepgrowing_/status/1670794270352060421")</f>
        <v>https://twitter.com/keepgrowing_/status/1670794270352060421</v>
      </c>
      <c r="AF3116" s="79">
        <v>45096.585300925923</v>
      </c>
      <c r="AG3116" s="85">
        <v>45096</v>
      </c>
      <c r="AH3116" s="82" t="s">
        <v>11135</v>
      </c>
      <c r="AI3116" s="77" t="b">
        <v>0</v>
      </c>
      <c r="AJ3116" s="77"/>
      <c r="AK3116" s="77"/>
      <c r="AL3116" s="77"/>
      <c r="AM3116" s="77"/>
      <c r="AN3116" s="77"/>
      <c r="AO3116" s="77"/>
      <c r="AP3116" s="77"/>
      <c r="AQ3116" s="77" t="s">
        <v>13013</v>
      </c>
      <c r="AR3116" s="77"/>
      <c r="AS3116" s="77"/>
      <c r="AT3116" s="77"/>
      <c r="AU3116" s="77"/>
      <c r="AV3116" s="80" t="str">
        <f>HYPERLINK("https://pbs.twimg.com/media/Fy_aeslWcAcH3Zy.jpg")</f>
        <v>https://pbs.twimg.com/media/Fy_aeslWcAcH3Zy.jpg</v>
      </c>
      <c r="AW3116" s="82" t="s">
        <v>16200</v>
      </c>
      <c r="AX3116" s="82" t="s">
        <v>16200</v>
      </c>
      <c r="AY3116" s="77"/>
      <c r="AZ3116" s="82" t="s">
        <v>17385</v>
      </c>
      <c r="BA3116" s="82" t="s">
        <v>17385</v>
      </c>
      <c r="BB3116" s="82" t="s">
        <v>17385</v>
      </c>
      <c r="BC3116" s="82" t="s">
        <v>16200</v>
      </c>
      <c r="BD3116" s="82" t="s">
        <v>17379</v>
      </c>
      <c r="BE3116" s="77"/>
      <c r="BF3116" s="77"/>
      <c r="BG3116" s="77"/>
      <c r="BH3116" s="77"/>
      <c r="BI3116" s="77"/>
    </row>
    <row r="3117" spans="1:61" x14ac:dyDescent="0.25">
      <c r="A3117" s="62" t="s">
        <v>687</v>
      </c>
      <c r="B3117" s="62" t="s">
        <v>687</v>
      </c>
      <c r="C3117" s="63"/>
      <c r="D3117" s="64"/>
      <c r="E3117" s="65"/>
      <c r="F3117" s="66"/>
      <c r="G3117" s="63"/>
      <c r="H3117" s="67"/>
      <c r="I3117" s="68"/>
      <c r="J3117" s="68"/>
      <c r="K3117" s="32"/>
      <c r="L3117" s="75">
        <v>3117</v>
      </c>
      <c r="M3117" s="75"/>
      <c r="N3117" s="70"/>
      <c r="O3117" s="77" t="s">
        <v>800</v>
      </c>
      <c r="P3117" s="79">
        <v>45112.832002314812</v>
      </c>
      <c r="Q3117" s="77" t="s">
        <v>3894</v>
      </c>
      <c r="R3117" s="77">
        <v>0</v>
      </c>
      <c r="S3117" s="77">
        <v>0</v>
      </c>
      <c r="T3117" s="77">
        <v>0</v>
      </c>
      <c r="U3117" s="77">
        <v>0</v>
      </c>
      <c r="V3117" s="77">
        <v>15</v>
      </c>
      <c r="W3117" s="82" t="s">
        <v>6448</v>
      </c>
      <c r="X3117" s="77"/>
      <c r="Y3117" s="77"/>
      <c r="Z3117" s="77"/>
      <c r="AA3117" s="77"/>
      <c r="AB3117" s="77"/>
      <c r="AC3117" s="82" t="s">
        <v>8232</v>
      </c>
      <c r="AD3117" s="77" t="s">
        <v>8278</v>
      </c>
      <c r="AE3117" s="80" t="str">
        <f>HYPERLINK("https://twitter.com/keepgrowing_/status/1676681877720055813")</f>
        <v>https://twitter.com/keepgrowing_/status/1676681877720055813</v>
      </c>
      <c r="AF3117" s="79">
        <v>45112.832002314812</v>
      </c>
      <c r="AG3117" s="85">
        <v>45112</v>
      </c>
      <c r="AH3117" s="82" t="s">
        <v>11136</v>
      </c>
      <c r="AI3117" s="77"/>
      <c r="AJ3117" s="77"/>
      <c r="AK3117" s="77"/>
      <c r="AL3117" s="77"/>
      <c r="AM3117" s="77"/>
      <c r="AN3117" s="77"/>
      <c r="AO3117" s="77"/>
      <c r="AP3117" s="77"/>
      <c r="AQ3117" s="77"/>
      <c r="AR3117" s="77"/>
      <c r="AS3117" s="77"/>
      <c r="AT3117" s="77"/>
      <c r="AU3117" s="77"/>
      <c r="AV3117" s="80" t="str">
        <f>HYPERLINK("https://pbs.twimg.com/profile_images/1645508547994681345/Cu2nWYBA_normal.jpg")</f>
        <v>https://pbs.twimg.com/profile_images/1645508547994681345/Cu2nWYBA_normal.jpg</v>
      </c>
      <c r="AW3117" s="82" t="s">
        <v>16201</v>
      </c>
      <c r="AX3117" s="82" t="s">
        <v>17216</v>
      </c>
      <c r="AY3117" s="82" t="s">
        <v>17379</v>
      </c>
      <c r="AZ3117" s="82" t="s">
        <v>17425</v>
      </c>
      <c r="BA3117" s="82" t="s">
        <v>17385</v>
      </c>
      <c r="BB3117" s="82" t="s">
        <v>17385</v>
      </c>
      <c r="BC3117" s="82" t="s">
        <v>17425</v>
      </c>
      <c r="BD3117" s="82" t="s">
        <v>17379</v>
      </c>
      <c r="BE3117" s="77"/>
      <c r="BF3117" s="77"/>
      <c r="BG3117" s="77"/>
      <c r="BH3117" s="77"/>
      <c r="BI3117" s="77"/>
    </row>
    <row r="3118" spans="1:61" x14ac:dyDescent="0.25">
      <c r="A3118" s="62" t="s">
        <v>687</v>
      </c>
      <c r="B3118" s="62" t="s">
        <v>687</v>
      </c>
      <c r="C3118" s="63"/>
      <c r="D3118" s="64"/>
      <c r="E3118" s="65"/>
      <c r="F3118" s="66"/>
      <c r="G3118" s="63"/>
      <c r="H3118" s="67"/>
      <c r="I3118" s="68"/>
      <c r="J3118" s="68"/>
      <c r="K3118" s="32"/>
      <c r="L3118" s="75">
        <v>3118</v>
      </c>
      <c r="M3118" s="75"/>
      <c r="N3118" s="70"/>
      <c r="O3118" s="77" t="s">
        <v>179</v>
      </c>
      <c r="P3118" s="79">
        <v>45168.601956018516</v>
      </c>
      <c r="Q3118" s="77" t="s">
        <v>3895</v>
      </c>
      <c r="R3118" s="77">
        <v>0</v>
      </c>
      <c r="S3118" s="77">
        <v>0</v>
      </c>
      <c r="T3118" s="77">
        <v>0</v>
      </c>
      <c r="U3118" s="77">
        <v>0</v>
      </c>
      <c r="V3118" s="77">
        <v>15</v>
      </c>
      <c r="W3118" s="82" t="s">
        <v>6449</v>
      </c>
      <c r="X3118" s="77"/>
      <c r="Y3118" s="77"/>
      <c r="Z3118" s="77"/>
      <c r="AA3118" s="77" t="s">
        <v>8129</v>
      </c>
      <c r="AB3118" s="77" t="s">
        <v>8225</v>
      </c>
      <c r="AC3118" s="82" t="s">
        <v>8232</v>
      </c>
      <c r="AD3118" s="77" t="s">
        <v>8278</v>
      </c>
      <c r="AE3118" s="80" t="str">
        <f>HYPERLINK("https://twitter.com/keepgrowing_/status/1696892232463257727")</f>
        <v>https://twitter.com/keepgrowing_/status/1696892232463257727</v>
      </c>
      <c r="AF3118" s="79">
        <v>45168.601956018516</v>
      </c>
      <c r="AG3118" s="85">
        <v>45168</v>
      </c>
      <c r="AH3118" s="82" t="s">
        <v>11137</v>
      </c>
      <c r="AI3118" s="77" t="b">
        <v>0</v>
      </c>
      <c r="AJ3118" s="77"/>
      <c r="AK3118" s="77"/>
      <c r="AL3118" s="77"/>
      <c r="AM3118" s="77"/>
      <c r="AN3118" s="77"/>
      <c r="AO3118" s="77"/>
      <c r="AP3118" s="77"/>
      <c r="AQ3118" s="77" t="s">
        <v>13014</v>
      </c>
      <c r="AR3118" s="77"/>
      <c r="AS3118" s="77"/>
      <c r="AT3118" s="77"/>
      <c r="AU3118" s="77"/>
      <c r="AV3118" s="80" t="str">
        <f>HYPERLINK("https://pbs.twimg.com/media/F4ySfR4W4AE-bKf.jpg")</f>
        <v>https://pbs.twimg.com/media/F4ySfR4W4AE-bKf.jpg</v>
      </c>
      <c r="AW3118" s="82" t="s">
        <v>16202</v>
      </c>
      <c r="AX3118" s="82" t="s">
        <v>16202</v>
      </c>
      <c r="AY3118" s="77"/>
      <c r="AZ3118" s="82" t="s">
        <v>17385</v>
      </c>
      <c r="BA3118" s="82" t="s">
        <v>17385</v>
      </c>
      <c r="BB3118" s="82" t="s">
        <v>17385</v>
      </c>
      <c r="BC3118" s="82" t="s">
        <v>16202</v>
      </c>
      <c r="BD3118" s="82" t="s">
        <v>17379</v>
      </c>
      <c r="BE3118" s="77"/>
      <c r="BF3118" s="77"/>
      <c r="BG3118" s="77"/>
      <c r="BH3118" s="77"/>
      <c r="BI3118" s="77"/>
    </row>
    <row r="3119" spans="1:61" x14ac:dyDescent="0.25">
      <c r="A3119" s="62" t="s">
        <v>688</v>
      </c>
      <c r="B3119" s="62" t="s">
        <v>688</v>
      </c>
      <c r="C3119" s="63"/>
      <c r="D3119" s="64"/>
      <c r="E3119" s="65"/>
      <c r="F3119" s="66"/>
      <c r="G3119" s="63"/>
      <c r="H3119" s="67"/>
      <c r="I3119" s="68"/>
      <c r="J3119" s="68"/>
      <c r="K3119" s="32"/>
      <c r="L3119" s="75">
        <v>3119</v>
      </c>
      <c r="M3119" s="75"/>
      <c r="N3119" s="70"/>
      <c r="O3119" s="77" t="s">
        <v>179</v>
      </c>
      <c r="P3119" s="79">
        <v>45054.547627314816</v>
      </c>
      <c r="Q3119" s="77" t="s">
        <v>3896</v>
      </c>
      <c r="R3119" s="77">
        <v>0</v>
      </c>
      <c r="S3119" s="77">
        <v>3</v>
      </c>
      <c r="T3119" s="77">
        <v>0</v>
      </c>
      <c r="U3119" s="77">
        <v>0</v>
      </c>
      <c r="V3119" s="77">
        <v>310</v>
      </c>
      <c r="W3119" s="82" t="s">
        <v>6450</v>
      </c>
      <c r="X3119" s="77"/>
      <c r="Y3119" s="77"/>
      <c r="Z3119" s="77"/>
      <c r="AA3119" s="77"/>
      <c r="AB3119" s="77"/>
      <c r="AC3119" s="82" t="s">
        <v>8234</v>
      </c>
      <c r="AD3119" s="77" t="s">
        <v>8278</v>
      </c>
      <c r="AE3119" s="80" t="str">
        <f>HYPERLINK("https://twitter.com/cssfinance/status/1655560325477937154")</f>
        <v>https://twitter.com/cssfinance/status/1655560325477937154</v>
      </c>
      <c r="AF3119" s="79">
        <v>45054.547627314816</v>
      </c>
      <c r="AG3119" s="85">
        <v>45054</v>
      </c>
      <c r="AH3119" s="82" t="s">
        <v>11138</v>
      </c>
      <c r="AI3119" s="77"/>
      <c r="AJ3119" s="77"/>
      <c r="AK3119" s="77"/>
      <c r="AL3119" s="77"/>
      <c r="AM3119" s="77"/>
      <c r="AN3119" s="77"/>
      <c r="AO3119" s="77"/>
      <c r="AP3119" s="77"/>
      <c r="AQ3119" s="77"/>
      <c r="AR3119" s="77"/>
      <c r="AS3119" s="77"/>
      <c r="AT3119" s="77"/>
      <c r="AU3119" s="77"/>
      <c r="AV3119" s="80" t="str">
        <f>HYPERLINK("https://pbs.twimg.com/profile_images/1528518079306661894/sm7Wt4_2_normal.jpg")</f>
        <v>https://pbs.twimg.com/profile_images/1528518079306661894/sm7Wt4_2_normal.jpg</v>
      </c>
      <c r="AW3119" s="82" t="s">
        <v>16203</v>
      </c>
      <c r="AX3119" s="82" t="s">
        <v>16203</v>
      </c>
      <c r="AY3119" s="77"/>
      <c r="AZ3119" s="82" t="s">
        <v>17385</v>
      </c>
      <c r="BA3119" s="82" t="s">
        <v>17385</v>
      </c>
      <c r="BB3119" s="82" t="s">
        <v>17385</v>
      </c>
      <c r="BC3119" s="82" t="s">
        <v>16203</v>
      </c>
      <c r="BD3119" s="82" t="s">
        <v>17694</v>
      </c>
      <c r="BE3119" s="77"/>
      <c r="BF3119" s="77"/>
      <c r="BG3119" s="77"/>
      <c r="BH3119" s="77"/>
      <c r="BI3119" s="77"/>
    </row>
    <row r="3120" spans="1:61" x14ac:dyDescent="0.25">
      <c r="A3120" s="62" t="s">
        <v>689</v>
      </c>
      <c r="B3120" s="62" t="s">
        <v>689</v>
      </c>
      <c r="C3120" s="63"/>
      <c r="D3120" s="64"/>
      <c r="E3120" s="65"/>
      <c r="F3120" s="66"/>
      <c r="G3120" s="63"/>
      <c r="H3120" s="67"/>
      <c r="I3120" s="68"/>
      <c r="J3120" s="68"/>
      <c r="K3120" s="32"/>
      <c r="L3120" s="75">
        <v>3120</v>
      </c>
      <c r="M3120" s="75"/>
      <c r="N3120" s="70"/>
      <c r="O3120" s="77" t="s">
        <v>179</v>
      </c>
      <c r="P3120" s="79">
        <v>45174.679560185185</v>
      </c>
      <c r="Q3120" s="77" t="s">
        <v>3897</v>
      </c>
      <c r="R3120" s="77">
        <v>0</v>
      </c>
      <c r="S3120" s="77">
        <v>0</v>
      </c>
      <c r="T3120" s="77">
        <v>0</v>
      </c>
      <c r="U3120" s="77">
        <v>0</v>
      </c>
      <c r="V3120" s="77">
        <v>32</v>
      </c>
      <c r="W3120" s="82" t="s">
        <v>6419</v>
      </c>
      <c r="X3120" s="80" t="str">
        <f>HYPERLINK("http://dlvr.it/Svg5F2")</f>
        <v>http://dlvr.it/Svg5F2</v>
      </c>
      <c r="Y3120" s="77" t="s">
        <v>7094</v>
      </c>
      <c r="Z3120" s="77"/>
      <c r="AA3120" s="77" t="s">
        <v>8130</v>
      </c>
      <c r="AB3120" s="77" t="s">
        <v>8225</v>
      </c>
      <c r="AC3120" s="82" t="s">
        <v>7094</v>
      </c>
      <c r="AD3120" s="77" t="s">
        <v>8278</v>
      </c>
      <c r="AE3120" s="80" t="str">
        <f>HYPERLINK("https://twitter.com/financas/status/1699094683883127088")</f>
        <v>https://twitter.com/financas/status/1699094683883127088</v>
      </c>
      <c r="AF3120" s="79">
        <v>45174.679560185185</v>
      </c>
      <c r="AG3120" s="85">
        <v>45174</v>
      </c>
      <c r="AH3120" s="82" t="s">
        <v>11139</v>
      </c>
      <c r="AI3120" s="77" t="b">
        <v>0</v>
      </c>
      <c r="AJ3120" s="77"/>
      <c r="AK3120" s="77"/>
      <c r="AL3120" s="77"/>
      <c r="AM3120" s="77"/>
      <c r="AN3120" s="77"/>
      <c r="AO3120" s="77"/>
      <c r="AP3120" s="77"/>
      <c r="AQ3120" s="77" t="s">
        <v>13015</v>
      </c>
      <c r="AR3120" s="77"/>
      <c r="AS3120" s="77"/>
      <c r="AT3120" s="77"/>
      <c r="AU3120" s="77"/>
      <c r="AV3120" s="80" t="str">
        <f>HYPERLINK("https://pbs.twimg.com/media/F5RlnH-aQAAAafQ.jpg")</f>
        <v>https://pbs.twimg.com/media/F5RlnH-aQAAAafQ.jpg</v>
      </c>
      <c r="AW3120" s="82" t="s">
        <v>16204</v>
      </c>
      <c r="AX3120" s="82" t="s">
        <v>16204</v>
      </c>
      <c r="AY3120" s="77"/>
      <c r="AZ3120" s="82" t="s">
        <v>17385</v>
      </c>
      <c r="BA3120" s="82" t="s">
        <v>17385</v>
      </c>
      <c r="BB3120" s="82" t="s">
        <v>17385</v>
      </c>
      <c r="BC3120" s="82" t="s">
        <v>16204</v>
      </c>
      <c r="BD3120" s="77">
        <v>25371172</v>
      </c>
      <c r="BE3120" s="77"/>
      <c r="BF3120" s="77"/>
      <c r="BG3120" s="77"/>
      <c r="BH3120" s="77"/>
      <c r="BI3120" s="77"/>
    </row>
    <row r="3121" spans="1:61" x14ac:dyDescent="0.25">
      <c r="A3121" s="62" t="s">
        <v>689</v>
      </c>
      <c r="B3121" s="62" t="s">
        <v>689</v>
      </c>
      <c r="C3121" s="63"/>
      <c r="D3121" s="64"/>
      <c r="E3121" s="65"/>
      <c r="F3121" s="66"/>
      <c r="G3121" s="63"/>
      <c r="H3121" s="67"/>
      <c r="I3121" s="68"/>
      <c r="J3121" s="68"/>
      <c r="K3121" s="32"/>
      <c r="L3121" s="75">
        <v>3121</v>
      </c>
      <c r="M3121" s="75"/>
      <c r="N3121" s="70"/>
      <c r="O3121" s="77" t="s">
        <v>179</v>
      </c>
      <c r="P3121" s="79">
        <v>45195.733402777776</v>
      </c>
      <c r="Q3121" s="77" t="s">
        <v>3898</v>
      </c>
      <c r="R3121" s="77">
        <v>0</v>
      </c>
      <c r="S3121" s="77">
        <v>0</v>
      </c>
      <c r="T3121" s="77">
        <v>0</v>
      </c>
      <c r="U3121" s="77">
        <v>0</v>
      </c>
      <c r="V3121" s="77">
        <v>22</v>
      </c>
      <c r="W3121" s="82" t="s">
        <v>6451</v>
      </c>
      <c r="X3121" s="80" t="str">
        <f>HYPERLINK("http://dlvr.it/SwdWG3")</f>
        <v>http://dlvr.it/SwdWG3</v>
      </c>
      <c r="Y3121" s="77" t="s">
        <v>7094</v>
      </c>
      <c r="Z3121" s="77"/>
      <c r="AA3121" s="77" t="s">
        <v>8131</v>
      </c>
      <c r="AB3121" s="77" t="s">
        <v>8225</v>
      </c>
      <c r="AC3121" s="82" t="s">
        <v>7094</v>
      </c>
      <c r="AD3121" s="77" t="s">
        <v>8278</v>
      </c>
      <c r="AE3121" s="80" t="str">
        <f>HYPERLINK("https://twitter.com/financas/status/1706724340245708968")</f>
        <v>https://twitter.com/financas/status/1706724340245708968</v>
      </c>
      <c r="AF3121" s="79">
        <v>45195.733402777776</v>
      </c>
      <c r="AG3121" s="85">
        <v>45195</v>
      </c>
      <c r="AH3121" s="82" t="s">
        <v>11140</v>
      </c>
      <c r="AI3121" s="77" t="b">
        <v>0</v>
      </c>
      <c r="AJ3121" s="77"/>
      <c r="AK3121" s="77"/>
      <c r="AL3121" s="77"/>
      <c r="AM3121" s="77"/>
      <c r="AN3121" s="77"/>
      <c r="AO3121" s="77"/>
      <c r="AP3121" s="77"/>
      <c r="AQ3121" s="77" t="s">
        <v>13016</v>
      </c>
      <c r="AR3121" s="77"/>
      <c r="AS3121" s="77"/>
      <c r="AT3121" s="77"/>
      <c r="AU3121" s="77"/>
      <c r="AV3121" s="80" t="str">
        <f>HYPERLINK("https://pbs.twimg.com/media/F6-Avi_aUAAX8NT.jpg")</f>
        <v>https://pbs.twimg.com/media/F6-Avi_aUAAX8NT.jpg</v>
      </c>
      <c r="AW3121" s="82" t="s">
        <v>16205</v>
      </c>
      <c r="AX3121" s="82" t="s">
        <v>16205</v>
      </c>
      <c r="AY3121" s="77"/>
      <c r="AZ3121" s="82" t="s">
        <v>17385</v>
      </c>
      <c r="BA3121" s="82" t="s">
        <v>17385</v>
      </c>
      <c r="BB3121" s="82" t="s">
        <v>17385</v>
      </c>
      <c r="BC3121" s="82" t="s">
        <v>16205</v>
      </c>
      <c r="BD3121" s="77">
        <v>25371172</v>
      </c>
      <c r="BE3121" s="77"/>
      <c r="BF3121" s="77"/>
      <c r="BG3121" s="77"/>
      <c r="BH3121" s="77"/>
      <c r="BI3121" s="77"/>
    </row>
    <row r="3122" spans="1:61" x14ac:dyDescent="0.25">
      <c r="A3122" s="62" t="s">
        <v>690</v>
      </c>
      <c r="B3122" s="62" t="s">
        <v>690</v>
      </c>
      <c r="C3122" s="63"/>
      <c r="D3122" s="64"/>
      <c r="E3122" s="65"/>
      <c r="F3122" s="66"/>
      <c r="G3122" s="63"/>
      <c r="H3122" s="67"/>
      <c r="I3122" s="68"/>
      <c r="J3122" s="68"/>
      <c r="K3122" s="32"/>
      <c r="L3122" s="75">
        <v>3122</v>
      </c>
      <c r="M3122" s="75"/>
      <c r="N3122" s="70"/>
      <c r="O3122" s="77" t="s">
        <v>179</v>
      </c>
      <c r="P3122" s="79">
        <v>45062.458356481482</v>
      </c>
      <c r="Q3122" s="77" t="s">
        <v>3899</v>
      </c>
      <c r="R3122" s="77">
        <v>1</v>
      </c>
      <c r="S3122" s="77">
        <v>6</v>
      </c>
      <c r="T3122" s="77">
        <v>0</v>
      </c>
      <c r="U3122" s="77">
        <v>0</v>
      </c>
      <c r="V3122" s="77">
        <v>1144</v>
      </c>
      <c r="W3122" s="82" t="s">
        <v>6452</v>
      </c>
      <c r="X3122" s="77"/>
      <c r="Y3122" s="77"/>
      <c r="Z3122" s="77"/>
      <c r="AA3122" s="77" t="s">
        <v>8132</v>
      </c>
      <c r="AB3122" s="77" t="s">
        <v>8229</v>
      </c>
      <c r="AC3122" s="82" t="s">
        <v>8232</v>
      </c>
      <c r="AD3122" s="77" t="s">
        <v>8278</v>
      </c>
      <c r="AE3122" s="80" t="str">
        <f>HYPERLINK("https://twitter.com/movo_trade/status/1658427081389121539")</f>
        <v>https://twitter.com/movo_trade/status/1658427081389121539</v>
      </c>
      <c r="AF3122" s="79">
        <v>45062.458356481482</v>
      </c>
      <c r="AG3122" s="85">
        <v>45062</v>
      </c>
      <c r="AH3122" s="82" t="s">
        <v>11141</v>
      </c>
      <c r="AI3122" s="77" t="b">
        <v>0</v>
      </c>
      <c r="AJ3122" s="77"/>
      <c r="AK3122" s="77"/>
      <c r="AL3122" s="77"/>
      <c r="AM3122" s="77"/>
      <c r="AN3122" s="77"/>
      <c r="AO3122" s="77"/>
      <c r="AP3122" s="77"/>
      <c r="AQ3122" s="77" t="s">
        <v>13017</v>
      </c>
      <c r="AR3122" s="77"/>
      <c r="AS3122" s="77"/>
      <c r="AT3122" s="77"/>
      <c r="AU3122" s="77"/>
      <c r="AV3122" s="80" t="str">
        <f>HYPERLINK("https://pbs.twimg.com/media/FwPhhBcWYAM6hxI.jpg")</f>
        <v>https://pbs.twimg.com/media/FwPhhBcWYAM6hxI.jpg</v>
      </c>
      <c r="AW3122" s="82" t="s">
        <v>16206</v>
      </c>
      <c r="AX3122" s="82" t="s">
        <v>16206</v>
      </c>
      <c r="AY3122" s="77"/>
      <c r="AZ3122" s="82" t="s">
        <v>17385</v>
      </c>
      <c r="BA3122" s="82" t="s">
        <v>17385</v>
      </c>
      <c r="BB3122" s="82" t="s">
        <v>17385</v>
      </c>
      <c r="BC3122" s="82" t="s">
        <v>16206</v>
      </c>
      <c r="BD3122" s="82" t="s">
        <v>17695</v>
      </c>
      <c r="BE3122" s="77"/>
      <c r="BF3122" s="77"/>
      <c r="BG3122" s="77"/>
      <c r="BH3122" s="77"/>
      <c r="BI3122" s="77"/>
    </row>
    <row r="3123" spans="1:61" x14ac:dyDescent="0.25">
      <c r="A3123" s="62" t="s">
        <v>690</v>
      </c>
      <c r="B3123" s="62" t="s">
        <v>690</v>
      </c>
      <c r="C3123" s="63"/>
      <c r="D3123" s="64"/>
      <c r="E3123" s="65"/>
      <c r="F3123" s="66"/>
      <c r="G3123" s="63"/>
      <c r="H3123" s="67"/>
      <c r="I3123" s="68"/>
      <c r="J3123" s="68"/>
      <c r="K3123" s="32"/>
      <c r="L3123" s="75">
        <v>3123</v>
      </c>
      <c r="M3123" s="75"/>
      <c r="N3123" s="70"/>
      <c r="O3123" s="77" t="s">
        <v>179</v>
      </c>
      <c r="P3123" s="79">
        <v>45048.580497685187</v>
      </c>
      <c r="Q3123" s="77" t="s">
        <v>3900</v>
      </c>
      <c r="R3123" s="77">
        <v>1</v>
      </c>
      <c r="S3123" s="77">
        <v>12</v>
      </c>
      <c r="T3123" s="77">
        <v>2</v>
      </c>
      <c r="U3123" s="77">
        <v>0</v>
      </c>
      <c r="V3123" s="77">
        <v>1633</v>
      </c>
      <c r="W3123" s="82" t="s">
        <v>6453</v>
      </c>
      <c r="X3123" s="80" t="str">
        <f>HYPERLINK("https://movo.trade/pt/")</f>
        <v>https://movo.trade/pt/</v>
      </c>
      <c r="Y3123" s="77" t="s">
        <v>7144</v>
      </c>
      <c r="Z3123" s="77"/>
      <c r="AA3123" s="77" t="s">
        <v>8133</v>
      </c>
      <c r="AB3123" s="77" t="s">
        <v>8229</v>
      </c>
      <c r="AC3123" s="82" t="s">
        <v>8232</v>
      </c>
      <c r="AD3123" s="77" t="s">
        <v>8278</v>
      </c>
      <c r="AE3123" s="80" t="str">
        <f>HYPERLINK("https://twitter.com/movo_trade/status/1653397913572081673")</f>
        <v>https://twitter.com/movo_trade/status/1653397913572081673</v>
      </c>
      <c r="AF3123" s="79">
        <v>45048.580497685187</v>
      </c>
      <c r="AG3123" s="85">
        <v>45048</v>
      </c>
      <c r="AH3123" s="82" t="s">
        <v>10206</v>
      </c>
      <c r="AI3123" s="77" t="b">
        <v>0</v>
      </c>
      <c r="AJ3123" s="77"/>
      <c r="AK3123" s="77"/>
      <c r="AL3123" s="77"/>
      <c r="AM3123" s="77"/>
      <c r="AN3123" s="77"/>
      <c r="AO3123" s="77"/>
      <c r="AP3123" s="77"/>
      <c r="AQ3123" s="77" t="s">
        <v>13018</v>
      </c>
      <c r="AR3123" s="77"/>
      <c r="AS3123" s="77"/>
      <c r="AT3123" s="77"/>
      <c r="AU3123" s="77"/>
      <c r="AV3123" s="80" t="str">
        <f>HYPERLINK("https://pbs.twimg.com/media/FvIMeMEWwAM30Ov.jpg")</f>
        <v>https://pbs.twimg.com/media/FvIMeMEWwAM30Ov.jpg</v>
      </c>
      <c r="AW3123" s="82" t="s">
        <v>16207</v>
      </c>
      <c r="AX3123" s="82" t="s">
        <v>16207</v>
      </c>
      <c r="AY3123" s="77"/>
      <c r="AZ3123" s="82" t="s">
        <v>17385</v>
      </c>
      <c r="BA3123" s="82" t="s">
        <v>17385</v>
      </c>
      <c r="BB3123" s="82" t="s">
        <v>17385</v>
      </c>
      <c r="BC3123" s="82" t="s">
        <v>16207</v>
      </c>
      <c r="BD3123" s="82" t="s">
        <v>17695</v>
      </c>
      <c r="BE3123" s="77"/>
      <c r="BF3123" s="77"/>
      <c r="BG3123" s="77"/>
      <c r="BH3123" s="77"/>
      <c r="BI3123" s="77"/>
    </row>
    <row r="3124" spans="1:61" x14ac:dyDescent="0.25">
      <c r="A3124" s="62" t="s">
        <v>690</v>
      </c>
      <c r="B3124" s="62" t="s">
        <v>690</v>
      </c>
      <c r="C3124" s="63"/>
      <c r="D3124" s="64"/>
      <c r="E3124" s="65"/>
      <c r="F3124" s="66"/>
      <c r="G3124" s="63"/>
      <c r="H3124" s="67"/>
      <c r="I3124" s="68"/>
      <c r="J3124" s="68"/>
      <c r="K3124" s="32"/>
      <c r="L3124" s="75">
        <v>3124</v>
      </c>
      <c r="M3124" s="75"/>
      <c r="N3124" s="70"/>
      <c r="O3124" s="77" t="s">
        <v>179</v>
      </c>
      <c r="P3124" s="79">
        <v>45113.492662037039</v>
      </c>
      <c r="Q3124" s="77" t="s">
        <v>3901</v>
      </c>
      <c r="R3124" s="77">
        <v>0</v>
      </c>
      <c r="S3124" s="77">
        <v>3</v>
      </c>
      <c r="T3124" s="77">
        <v>13</v>
      </c>
      <c r="U3124" s="77">
        <v>0</v>
      </c>
      <c r="V3124" s="77">
        <v>46</v>
      </c>
      <c r="W3124" s="82" t="s">
        <v>6454</v>
      </c>
      <c r="X3124" s="80" t="str">
        <f>HYPERLINK("https://blog.movo.trade/pt/analytics/the-difference-between-cfds-on-stocks-and-stocks/")</f>
        <v>https://blog.movo.trade/pt/analytics/the-difference-between-cfds-on-stocks-and-stocks/</v>
      </c>
      <c r="Y3124" s="77" t="s">
        <v>7144</v>
      </c>
      <c r="Z3124" s="77"/>
      <c r="AA3124" s="77" t="s">
        <v>8134</v>
      </c>
      <c r="AB3124" s="77" t="s">
        <v>8229</v>
      </c>
      <c r="AC3124" s="82" t="s">
        <v>8232</v>
      </c>
      <c r="AD3124" s="77" t="s">
        <v>8278</v>
      </c>
      <c r="AE3124" s="80" t="str">
        <f>HYPERLINK("https://twitter.com/movo_trade/status/1676921291461255168")</f>
        <v>https://twitter.com/movo_trade/status/1676921291461255168</v>
      </c>
      <c r="AF3124" s="79">
        <v>45113.492662037039</v>
      </c>
      <c r="AG3124" s="85">
        <v>45113</v>
      </c>
      <c r="AH3124" s="82" t="s">
        <v>11142</v>
      </c>
      <c r="AI3124" s="77" t="b">
        <v>0</v>
      </c>
      <c r="AJ3124" s="77"/>
      <c r="AK3124" s="77"/>
      <c r="AL3124" s="77"/>
      <c r="AM3124" s="77"/>
      <c r="AN3124" s="77"/>
      <c r="AO3124" s="77"/>
      <c r="AP3124" s="77"/>
      <c r="AQ3124" s="77" t="s">
        <v>13019</v>
      </c>
      <c r="AR3124" s="77"/>
      <c r="AS3124" s="77"/>
      <c r="AT3124" s="77"/>
      <c r="AU3124" s="77"/>
      <c r="AV3124" s="80" t="str">
        <f>HYPERLINK("https://pbs.twimg.com/media/F0WewC7XgAE74om.png")</f>
        <v>https://pbs.twimg.com/media/F0WewC7XgAE74om.png</v>
      </c>
      <c r="AW3124" s="82" t="s">
        <v>16208</v>
      </c>
      <c r="AX3124" s="82" t="s">
        <v>16208</v>
      </c>
      <c r="AY3124" s="77"/>
      <c r="AZ3124" s="82" t="s">
        <v>17385</v>
      </c>
      <c r="BA3124" s="82" t="s">
        <v>17385</v>
      </c>
      <c r="BB3124" s="82" t="s">
        <v>17385</v>
      </c>
      <c r="BC3124" s="82" t="s">
        <v>16208</v>
      </c>
      <c r="BD3124" s="82" t="s">
        <v>17695</v>
      </c>
      <c r="BE3124" s="77"/>
      <c r="BF3124" s="77"/>
      <c r="BG3124" s="77"/>
      <c r="BH3124" s="77"/>
      <c r="BI3124" s="77"/>
    </row>
    <row r="3125" spans="1:61" x14ac:dyDescent="0.25">
      <c r="A3125" s="62" t="s">
        <v>690</v>
      </c>
      <c r="B3125" s="62" t="s">
        <v>690</v>
      </c>
      <c r="C3125" s="63"/>
      <c r="D3125" s="64"/>
      <c r="E3125" s="65"/>
      <c r="F3125" s="66"/>
      <c r="G3125" s="63"/>
      <c r="H3125" s="67"/>
      <c r="I3125" s="68"/>
      <c r="J3125" s="68"/>
      <c r="K3125" s="32"/>
      <c r="L3125" s="75">
        <v>3125</v>
      </c>
      <c r="M3125" s="75"/>
      <c r="N3125" s="70"/>
      <c r="O3125" s="77" t="s">
        <v>179</v>
      </c>
      <c r="P3125" s="79">
        <v>45152.584004629629</v>
      </c>
      <c r="Q3125" s="77" t="s">
        <v>3902</v>
      </c>
      <c r="R3125" s="77">
        <v>0</v>
      </c>
      <c r="S3125" s="77">
        <v>0</v>
      </c>
      <c r="T3125" s="77">
        <v>0</v>
      </c>
      <c r="U3125" s="77">
        <v>0</v>
      </c>
      <c r="V3125" s="77">
        <v>57</v>
      </c>
      <c r="W3125" s="82" t="s">
        <v>6455</v>
      </c>
      <c r="X3125" s="77"/>
      <c r="Y3125" s="77"/>
      <c r="Z3125" s="77"/>
      <c r="AA3125" s="77"/>
      <c r="AB3125" s="77"/>
      <c r="AC3125" s="82" t="s">
        <v>8232</v>
      </c>
      <c r="AD3125" s="77" t="s">
        <v>8278</v>
      </c>
      <c r="AE3125" s="80" t="str">
        <f>HYPERLINK("https://twitter.com/movo_trade/status/1691087520459530242")</f>
        <v>https://twitter.com/movo_trade/status/1691087520459530242</v>
      </c>
      <c r="AF3125" s="79">
        <v>45152.584004629629</v>
      </c>
      <c r="AG3125" s="85">
        <v>45152</v>
      </c>
      <c r="AH3125" s="82" t="s">
        <v>11143</v>
      </c>
      <c r="AI3125" s="77"/>
      <c r="AJ3125" s="77"/>
      <c r="AK3125" s="77"/>
      <c r="AL3125" s="77"/>
      <c r="AM3125" s="77"/>
      <c r="AN3125" s="77"/>
      <c r="AO3125" s="77"/>
      <c r="AP3125" s="77"/>
      <c r="AQ3125" s="77"/>
      <c r="AR3125" s="77"/>
      <c r="AS3125" s="77"/>
      <c r="AT3125" s="77"/>
      <c r="AU3125" s="77"/>
      <c r="AV3125" s="80" t="str">
        <f>HYPERLINK("https://pbs.twimg.com/profile_images/1623704048682541056/03Q_riNX_normal.jpg")</f>
        <v>https://pbs.twimg.com/profile_images/1623704048682541056/03Q_riNX_normal.jpg</v>
      </c>
      <c r="AW3125" s="82" t="s">
        <v>16209</v>
      </c>
      <c r="AX3125" s="82" t="s">
        <v>16209</v>
      </c>
      <c r="AY3125" s="77"/>
      <c r="AZ3125" s="82" t="s">
        <v>17385</v>
      </c>
      <c r="BA3125" s="82" t="s">
        <v>17385</v>
      </c>
      <c r="BB3125" s="82" t="s">
        <v>17385</v>
      </c>
      <c r="BC3125" s="82" t="s">
        <v>16209</v>
      </c>
      <c r="BD3125" s="82" t="s">
        <v>17695</v>
      </c>
      <c r="BE3125" s="77"/>
      <c r="BF3125" s="77"/>
      <c r="BG3125" s="77"/>
      <c r="BH3125" s="77"/>
      <c r="BI3125" s="77"/>
    </row>
    <row r="3126" spans="1:61" x14ac:dyDescent="0.25">
      <c r="A3126" s="62" t="s">
        <v>690</v>
      </c>
      <c r="B3126" s="62" t="s">
        <v>690</v>
      </c>
      <c r="C3126" s="63"/>
      <c r="D3126" s="64"/>
      <c r="E3126" s="65"/>
      <c r="F3126" s="66"/>
      <c r="G3126" s="63"/>
      <c r="H3126" s="67"/>
      <c r="I3126" s="68"/>
      <c r="J3126" s="68"/>
      <c r="K3126" s="32"/>
      <c r="L3126" s="75">
        <v>3126</v>
      </c>
      <c r="M3126" s="75"/>
      <c r="N3126" s="70"/>
      <c r="O3126" s="77" t="s">
        <v>179</v>
      </c>
      <c r="P3126" s="79">
        <v>45169.526828703703</v>
      </c>
      <c r="Q3126" s="77" t="s">
        <v>3903</v>
      </c>
      <c r="R3126" s="77">
        <v>1</v>
      </c>
      <c r="S3126" s="77">
        <v>5</v>
      </c>
      <c r="T3126" s="77">
        <v>0</v>
      </c>
      <c r="U3126" s="77">
        <v>0</v>
      </c>
      <c r="V3126" s="77">
        <v>85</v>
      </c>
      <c r="W3126" s="82" t="s">
        <v>6456</v>
      </c>
      <c r="X3126" s="77"/>
      <c r="Y3126" s="77"/>
      <c r="Z3126" s="77"/>
      <c r="AA3126" s="77" t="s">
        <v>8135</v>
      </c>
      <c r="AB3126" s="77" t="s">
        <v>8229</v>
      </c>
      <c r="AC3126" s="82" t="s">
        <v>8232</v>
      </c>
      <c r="AD3126" s="77" t="s">
        <v>8278</v>
      </c>
      <c r="AE3126" s="80" t="str">
        <f>HYPERLINK("https://twitter.com/movo_trade/status/1697227394522796489")</f>
        <v>https://twitter.com/movo_trade/status/1697227394522796489</v>
      </c>
      <c r="AF3126" s="79">
        <v>45169.526828703703</v>
      </c>
      <c r="AG3126" s="85">
        <v>45169</v>
      </c>
      <c r="AH3126" s="82" t="s">
        <v>11144</v>
      </c>
      <c r="AI3126" s="77" t="b">
        <v>0</v>
      </c>
      <c r="AJ3126" s="77"/>
      <c r="AK3126" s="77"/>
      <c r="AL3126" s="77"/>
      <c r="AM3126" s="77"/>
      <c r="AN3126" s="77"/>
      <c r="AO3126" s="77"/>
      <c r="AP3126" s="77"/>
      <c r="AQ3126" s="77" t="s">
        <v>13020</v>
      </c>
      <c r="AR3126" s="77"/>
      <c r="AS3126" s="77"/>
      <c r="AT3126" s="77"/>
      <c r="AU3126" s="77"/>
      <c r="AV3126" s="80" t="str">
        <f>HYPERLINK("https://pbs.twimg.com/media/F43DEM4WEAAW8Tf.jpg")</f>
        <v>https://pbs.twimg.com/media/F43DEM4WEAAW8Tf.jpg</v>
      </c>
      <c r="AW3126" s="82" t="s">
        <v>16210</v>
      </c>
      <c r="AX3126" s="82" t="s">
        <v>16210</v>
      </c>
      <c r="AY3126" s="77"/>
      <c r="AZ3126" s="82" t="s">
        <v>17385</v>
      </c>
      <c r="BA3126" s="82" t="s">
        <v>17385</v>
      </c>
      <c r="BB3126" s="82" t="s">
        <v>17385</v>
      </c>
      <c r="BC3126" s="82" t="s">
        <v>16210</v>
      </c>
      <c r="BD3126" s="82" t="s">
        <v>17695</v>
      </c>
      <c r="BE3126" s="77"/>
      <c r="BF3126" s="77"/>
      <c r="BG3126" s="77"/>
      <c r="BH3126" s="77"/>
      <c r="BI3126" s="77"/>
    </row>
    <row r="3127" spans="1:61" x14ac:dyDescent="0.25">
      <c r="A3127" s="62" t="s">
        <v>690</v>
      </c>
      <c r="B3127" s="62" t="s">
        <v>690</v>
      </c>
      <c r="C3127" s="63"/>
      <c r="D3127" s="64"/>
      <c r="E3127" s="65"/>
      <c r="F3127" s="66"/>
      <c r="G3127" s="63"/>
      <c r="H3127" s="67"/>
      <c r="I3127" s="68"/>
      <c r="J3127" s="68"/>
      <c r="K3127" s="32"/>
      <c r="L3127" s="75">
        <v>3127</v>
      </c>
      <c r="M3127" s="75"/>
      <c r="N3127" s="70"/>
      <c r="O3127" s="77" t="s">
        <v>179</v>
      </c>
      <c r="P3127" s="79">
        <v>45058.790162037039</v>
      </c>
      <c r="Q3127" s="77" t="s">
        <v>3904</v>
      </c>
      <c r="R3127" s="77">
        <v>0</v>
      </c>
      <c r="S3127" s="77">
        <v>2</v>
      </c>
      <c r="T3127" s="77">
        <v>1</v>
      </c>
      <c r="U3127" s="77">
        <v>0</v>
      </c>
      <c r="V3127" s="77">
        <v>59</v>
      </c>
      <c r="W3127" s="82" t="s">
        <v>6457</v>
      </c>
      <c r="X3127" s="77"/>
      <c r="Y3127" s="77"/>
      <c r="Z3127" s="77"/>
      <c r="AA3127" s="77" t="s">
        <v>8136</v>
      </c>
      <c r="AB3127" s="77" t="s">
        <v>8229</v>
      </c>
      <c r="AC3127" s="82" t="s">
        <v>8232</v>
      </c>
      <c r="AD3127" s="77" t="s">
        <v>8278</v>
      </c>
      <c r="AE3127" s="80" t="str">
        <f>HYPERLINK("https://twitter.com/movo_trade/status/1657097770342178818")</f>
        <v>https://twitter.com/movo_trade/status/1657097770342178818</v>
      </c>
      <c r="AF3127" s="79">
        <v>45058.790162037039</v>
      </c>
      <c r="AG3127" s="85">
        <v>45058</v>
      </c>
      <c r="AH3127" s="82" t="s">
        <v>11145</v>
      </c>
      <c r="AI3127" s="77" t="b">
        <v>0</v>
      </c>
      <c r="AJ3127" s="77"/>
      <c r="AK3127" s="77"/>
      <c r="AL3127" s="77"/>
      <c r="AM3127" s="77"/>
      <c r="AN3127" s="77"/>
      <c r="AO3127" s="77"/>
      <c r="AP3127" s="77"/>
      <c r="AQ3127" s="77" t="s">
        <v>13021</v>
      </c>
      <c r="AR3127" s="77"/>
      <c r="AS3127" s="77"/>
      <c r="AT3127" s="77"/>
      <c r="AU3127" s="77"/>
      <c r="AV3127" s="80" t="str">
        <f>HYPERLINK("https://pbs.twimg.com/media/Fv8xF-HWYAk6D-1.png")</f>
        <v>https://pbs.twimg.com/media/Fv8xF-HWYAk6D-1.png</v>
      </c>
      <c r="AW3127" s="82" t="s">
        <v>16211</v>
      </c>
      <c r="AX3127" s="82" t="s">
        <v>16211</v>
      </c>
      <c r="AY3127" s="77"/>
      <c r="AZ3127" s="82" t="s">
        <v>17385</v>
      </c>
      <c r="BA3127" s="82" t="s">
        <v>17385</v>
      </c>
      <c r="BB3127" s="82" t="s">
        <v>17385</v>
      </c>
      <c r="BC3127" s="82" t="s">
        <v>16211</v>
      </c>
      <c r="BD3127" s="82" t="s">
        <v>17695</v>
      </c>
      <c r="BE3127" s="77"/>
      <c r="BF3127" s="77"/>
      <c r="BG3127" s="77"/>
      <c r="BH3127" s="77"/>
      <c r="BI3127" s="77"/>
    </row>
    <row r="3128" spans="1:61" x14ac:dyDescent="0.25">
      <c r="A3128" s="62" t="s">
        <v>690</v>
      </c>
      <c r="B3128" s="62" t="s">
        <v>690</v>
      </c>
      <c r="C3128" s="63"/>
      <c r="D3128" s="64"/>
      <c r="E3128" s="65"/>
      <c r="F3128" s="66"/>
      <c r="G3128" s="63"/>
      <c r="H3128" s="67"/>
      <c r="I3128" s="68"/>
      <c r="J3128" s="68"/>
      <c r="K3128" s="32"/>
      <c r="L3128" s="75">
        <v>3128</v>
      </c>
      <c r="M3128" s="75"/>
      <c r="N3128" s="70"/>
      <c r="O3128" s="77" t="s">
        <v>179</v>
      </c>
      <c r="P3128" s="79">
        <v>45170.547129629631</v>
      </c>
      <c r="Q3128" s="77" t="s">
        <v>3905</v>
      </c>
      <c r="R3128" s="77">
        <v>0</v>
      </c>
      <c r="S3128" s="77">
        <v>2</v>
      </c>
      <c r="T3128" s="77">
        <v>0</v>
      </c>
      <c r="U3128" s="77">
        <v>0</v>
      </c>
      <c r="V3128" s="77">
        <v>58</v>
      </c>
      <c r="W3128" s="82" t="s">
        <v>6458</v>
      </c>
      <c r="X3128" s="77"/>
      <c r="Y3128" s="77"/>
      <c r="Z3128" s="77"/>
      <c r="AA3128" s="77" t="s">
        <v>8137</v>
      </c>
      <c r="AB3128" s="77" t="s">
        <v>8225</v>
      </c>
      <c r="AC3128" s="82" t="s">
        <v>8232</v>
      </c>
      <c r="AD3128" s="77" t="s">
        <v>8278</v>
      </c>
      <c r="AE3128" s="80" t="str">
        <f>HYPERLINK("https://twitter.com/movo_trade/status/1697597139625324981")</f>
        <v>https://twitter.com/movo_trade/status/1697597139625324981</v>
      </c>
      <c r="AF3128" s="79">
        <v>45170.547129629631</v>
      </c>
      <c r="AG3128" s="85">
        <v>45170</v>
      </c>
      <c r="AH3128" s="82" t="s">
        <v>11146</v>
      </c>
      <c r="AI3128" s="77" t="b">
        <v>0</v>
      </c>
      <c r="AJ3128" s="77"/>
      <c r="AK3128" s="77"/>
      <c r="AL3128" s="77"/>
      <c r="AM3128" s="77"/>
      <c r="AN3128" s="77"/>
      <c r="AO3128" s="77"/>
      <c r="AP3128" s="77"/>
      <c r="AQ3128" s="77" t="s">
        <v>13022</v>
      </c>
      <c r="AR3128" s="77"/>
      <c r="AS3128" s="77"/>
      <c r="AT3128" s="77"/>
      <c r="AU3128" s="77"/>
      <c r="AV3128" s="80" t="str">
        <f>HYPERLINK("https://pbs.twimg.com/media/F48TmNvXAAAfqPo.jpg")</f>
        <v>https://pbs.twimg.com/media/F48TmNvXAAAfqPo.jpg</v>
      </c>
      <c r="AW3128" s="82" t="s">
        <v>16212</v>
      </c>
      <c r="AX3128" s="82" t="s">
        <v>16212</v>
      </c>
      <c r="AY3128" s="77"/>
      <c r="AZ3128" s="82" t="s">
        <v>17385</v>
      </c>
      <c r="BA3128" s="82" t="s">
        <v>17385</v>
      </c>
      <c r="BB3128" s="82" t="s">
        <v>17385</v>
      </c>
      <c r="BC3128" s="82" t="s">
        <v>16212</v>
      </c>
      <c r="BD3128" s="82" t="s">
        <v>17695</v>
      </c>
      <c r="BE3128" s="77"/>
      <c r="BF3128" s="77"/>
      <c r="BG3128" s="77"/>
      <c r="BH3128" s="77"/>
      <c r="BI3128" s="77"/>
    </row>
    <row r="3129" spans="1:61" x14ac:dyDescent="0.25">
      <c r="A3129" s="62" t="s">
        <v>690</v>
      </c>
      <c r="B3129" s="62" t="s">
        <v>690</v>
      </c>
      <c r="C3129" s="63"/>
      <c r="D3129" s="64"/>
      <c r="E3129" s="65"/>
      <c r="F3129" s="66"/>
      <c r="G3129" s="63"/>
      <c r="H3129" s="67"/>
      <c r="I3129" s="68"/>
      <c r="J3129" s="68"/>
      <c r="K3129" s="32"/>
      <c r="L3129" s="75">
        <v>3129</v>
      </c>
      <c r="M3129" s="75"/>
      <c r="N3129" s="70"/>
      <c r="O3129" s="77" t="s">
        <v>179</v>
      </c>
      <c r="P3129" s="79">
        <v>45184.537858796299</v>
      </c>
      <c r="Q3129" s="77" t="s">
        <v>3906</v>
      </c>
      <c r="R3129" s="77">
        <v>0</v>
      </c>
      <c r="S3129" s="77">
        <v>0</v>
      </c>
      <c r="T3129" s="77">
        <v>0</v>
      </c>
      <c r="U3129" s="77">
        <v>0</v>
      </c>
      <c r="V3129" s="77">
        <v>59</v>
      </c>
      <c r="W3129" s="82" t="s">
        <v>6459</v>
      </c>
      <c r="X3129" s="77"/>
      <c r="Y3129" s="77"/>
      <c r="Z3129" s="77"/>
      <c r="AA3129" s="77" t="s">
        <v>8138</v>
      </c>
      <c r="AB3129" s="77" t="s">
        <v>8225</v>
      </c>
      <c r="AC3129" s="82" t="s">
        <v>8232</v>
      </c>
      <c r="AD3129" s="77" t="s">
        <v>8278</v>
      </c>
      <c r="AE3129" s="80" t="str">
        <f>HYPERLINK("https://twitter.com/movo_trade/status/1702667209191858207")</f>
        <v>https://twitter.com/movo_trade/status/1702667209191858207</v>
      </c>
      <c r="AF3129" s="79">
        <v>45184.537858796299</v>
      </c>
      <c r="AG3129" s="85">
        <v>45184</v>
      </c>
      <c r="AH3129" s="82" t="s">
        <v>11147</v>
      </c>
      <c r="AI3129" s="77" t="b">
        <v>0</v>
      </c>
      <c r="AJ3129" s="77"/>
      <c r="AK3129" s="77"/>
      <c r="AL3129" s="77"/>
      <c r="AM3129" s="77"/>
      <c r="AN3129" s="77"/>
      <c r="AO3129" s="77"/>
      <c r="AP3129" s="77"/>
      <c r="AQ3129" s="77" t="s">
        <v>13023</v>
      </c>
      <c r="AR3129" s="77"/>
      <c r="AS3129" s="77"/>
      <c r="AT3129" s="77"/>
      <c r="AU3129" s="77"/>
      <c r="AV3129" s="80" t="str">
        <f>HYPERLINK("https://pbs.twimg.com/media/F6EVtuYXsAAXEWG.png")</f>
        <v>https://pbs.twimg.com/media/F6EVtuYXsAAXEWG.png</v>
      </c>
      <c r="AW3129" s="82" t="s">
        <v>16213</v>
      </c>
      <c r="AX3129" s="82" t="s">
        <v>16213</v>
      </c>
      <c r="AY3129" s="77"/>
      <c r="AZ3129" s="82" t="s">
        <v>17385</v>
      </c>
      <c r="BA3129" s="82" t="s">
        <v>17385</v>
      </c>
      <c r="BB3129" s="82" t="s">
        <v>17385</v>
      </c>
      <c r="BC3129" s="82" t="s">
        <v>16213</v>
      </c>
      <c r="BD3129" s="82" t="s">
        <v>17695</v>
      </c>
      <c r="BE3129" s="77"/>
      <c r="BF3129" s="77"/>
      <c r="BG3129" s="77"/>
      <c r="BH3129" s="77"/>
      <c r="BI3129" s="77"/>
    </row>
    <row r="3130" spans="1:61" x14ac:dyDescent="0.25">
      <c r="A3130" s="62" t="s">
        <v>690</v>
      </c>
      <c r="B3130" s="62" t="s">
        <v>690</v>
      </c>
      <c r="C3130" s="63"/>
      <c r="D3130" s="64"/>
      <c r="E3130" s="65"/>
      <c r="F3130" s="66"/>
      <c r="G3130" s="63"/>
      <c r="H3130" s="67"/>
      <c r="I3130" s="68"/>
      <c r="J3130" s="68"/>
      <c r="K3130" s="32"/>
      <c r="L3130" s="75">
        <v>3130</v>
      </c>
      <c r="M3130" s="75"/>
      <c r="N3130" s="70"/>
      <c r="O3130" s="77" t="s">
        <v>179</v>
      </c>
      <c r="P3130" s="79">
        <v>45167.548310185186</v>
      </c>
      <c r="Q3130" s="77" t="s">
        <v>3907</v>
      </c>
      <c r="R3130" s="77">
        <v>0</v>
      </c>
      <c r="S3130" s="77">
        <v>1</v>
      </c>
      <c r="T3130" s="77">
        <v>0</v>
      </c>
      <c r="U3130" s="77">
        <v>0</v>
      </c>
      <c r="V3130" s="77">
        <v>71</v>
      </c>
      <c r="W3130" s="82" t="s">
        <v>6460</v>
      </c>
      <c r="X3130" s="77"/>
      <c r="Y3130" s="77"/>
      <c r="Z3130" s="77"/>
      <c r="AA3130" s="77" t="s">
        <v>8139</v>
      </c>
      <c r="AB3130" s="77" t="s">
        <v>8225</v>
      </c>
      <c r="AC3130" s="82" t="s">
        <v>8232</v>
      </c>
      <c r="AD3130" s="77" t="s">
        <v>8278</v>
      </c>
      <c r="AE3130" s="80" t="str">
        <f>HYPERLINK("https://twitter.com/movo_trade/status/1696510402849386976")</f>
        <v>https://twitter.com/movo_trade/status/1696510402849386976</v>
      </c>
      <c r="AF3130" s="79">
        <v>45167.548310185186</v>
      </c>
      <c r="AG3130" s="85">
        <v>45167</v>
      </c>
      <c r="AH3130" s="82" t="s">
        <v>11148</v>
      </c>
      <c r="AI3130" s="77" t="b">
        <v>0</v>
      </c>
      <c r="AJ3130" s="77"/>
      <c r="AK3130" s="77"/>
      <c r="AL3130" s="77"/>
      <c r="AM3130" s="77"/>
      <c r="AN3130" s="77"/>
      <c r="AO3130" s="77"/>
      <c r="AP3130" s="77"/>
      <c r="AQ3130" s="77" t="s">
        <v>13024</v>
      </c>
      <c r="AR3130" s="77"/>
      <c r="AS3130" s="77"/>
      <c r="AT3130" s="77"/>
      <c r="AU3130" s="77"/>
      <c r="AV3130" s="80" t="str">
        <f>HYPERLINK("https://pbs.twimg.com/media/F4s2_pOXYAApmbV.jpg")</f>
        <v>https://pbs.twimg.com/media/F4s2_pOXYAApmbV.jpg</v>
      </c>
      <c r="AW3130" s="82" t="s">
        <v>16214</v>
      </c>
      <c r="AX3130" s="82" t="s">
        <v>16214</v>
      </c>
      <c r="AY3130" s="77"/>
      <c r="AZ3130" s="82" t="s">
        <v>17385</v>
      </c>
      <c r="BA3130" s="82" t="s">
        <v>17385</v>
      </c>
      <c r="BB3130" s="82" t="s">
        <v>17385</v>
      </c>
      <c r="BC3130" s="82" t="s">
        <v>16214</v>
      </c>
      <c r="BD3130" s="82" t="s">
        <v>17695</v>
      </c>
      <c r="BE3130" s="77"/>
      <c r="BF3130" s="77"/>
      <c r="BG3130" s="77"/>
      <c r="BH3130" s="77"/>
      <c r="BI3130" s="77"/>
    </row>
    <row r="3131" spans="1:61" x14ac:dyDescent="0.25">
      <c r="A3131" s="62" t="s">
        <v>690</v>
      </c>
      <c r="B3131" s="62" t="s">
        <v>690</v>
      </c>
      <c r="C3131" s="63"/>
      <c r="D3131" s="64"/>
      <c r="E3131" s="65"/>
      <c r="F3131" s="66"/>
      <c r="G3131" s="63"/>
      <c r="H3131" s="67"/>
      <c r="I3131" s="68"/>
      <c r="J3131" s="68"/>
      <c r="K3131" s="32"/>
      <c r="L3131" s="75">
        <v>3131</v>
      </c>
      <c r="M3131" s="75"/>
      <c r="N3131" s="70"/>
      <c r="O3131" s="77" t="s">
        <v>179</v>
      </c>
      <c r="P3131" s="79">
        <v>45195.426215277781</v>
      </c>
      <c r="Q3131" s="77" t="s">
        <v>3908</v>
      </c>
      <c r="R3131" s="77">
        <v>0</v>
      </c>
      <c r="S3131" s="77">
        <v>2</v>
      </c>
      <c r="T3131" s="77">
        <v>0</v>
      </c>
      <c r="U3131" s="77">
        <v>0</v>
      </c>
      <c r="V3131" s="77">
        <v>27</v>
      </c>
      <c r="W3131" s="82" t="s">
        <v>6461</v>
      </c>
      <c r="X3131" s="80" t="str">
        <f>HYPERLINK("http://movo.trade/pt")</f>
        <v>http://movo.trade/pt</v>
      </c>
      <c r="Y3131" s="77" t="s">
        <v>7144</v>
      </c>
      <c r="Z3131" s="77"/>
      <c r="AA3131" s="77" t="s">
        <v>8140</v>
      </c>
      <c r="AB3131" s="77" t="s">
        <v>8227</v>
      </c>
      <c r="AC3131" s="82" t="s">
        <v>8232</v>
      </c>
      <c r="AD3131" s="77" t="s">
        <v>8278</v>
      </c>
      <c r="AE3131" s="80" t="str">
        <f>HYPERLINK("https://twitter.com/movo_trade/status/1706613016823841270")</f>
        <v>https://twitter.com/movo_trade/status/1706613016823841270</v>
      </c>
      <c r="AF3131" s="79">
        <v>45195.426215277781</v>
      </c>
      <c r="AG3131" s="85">
        <v>45195</v>
      </c>
      <c r="AH3131" s="82" t="s">
        <v>11149</v>
      </c>
      <c r="AI3131" s="77" t="b">
        <v>0</v>
      </c>
      <c r="AJ3131" s="77"/>
      <c r="AK3131" s="77"/>
      <c r="AL3131" s="77"/>
      <c r="AM3131" s="77"/>
      <c r="AN3131" s="77"/>
      <c r="AO3131" s="77"/>
      <c r="AP3131" s="77"/>
      <c r="AQ3131" s="77" t="s">
        <v>13025</v>
      </c>
      <c r="AR3131" s="77">
        <v>21077</v>
      </c>
      <c r="AS3131" s="77"/>
      <c r="AT3131" s="77"/>
      <c r="AU3131" s="77"/>
      <c r="AV3131" s="80" t="str">
        <f>HYPERLINK("https://pbs.twimg.com/ext_tw_video_thumb/1706612307000803328/pu/img/LknSvnoseqZMY17J.jpg")</f>
        <v>https://pbs.twimg.com/ext_tw_video_thumb/1706612307000803328/pu/img/LknSvnoseqZMY17J.jpg</v>
      </c>
      <c r="AW3131" s="82" t="s">
        <v>16215</v>
      </c>
      <c r="AX3131" s="82" t="s">
        <v>16215</v>
      </c>
      <c r="AY3131" s="77"/>
      <c r="AZ3131" s="82" t="s">
        <v>17385</v>
      </c>
      <c r="BA3131" s="82" t="s">
        <v>17385</v>
      </c>
      <c r="BB3131" s="82" t="s">
        <v>17385</v>
      </c>
      <c r="BC3131" s="82" t="s">
        <v>16215</v>
      </c>
      <c r="BD3131" s="82" t="s">
        <v>17695</v>
      </c>
      <c r="BE3131" s="77"/>
      <c r="BF3131" s="77"/>
      <c r="BG3131" s="77"/>
      <c r="BH3131" s="77"/>
      <c r="BI3131" s="77"/>
    </row>
    <row r="3132" spans="1:61" x14ac:dyDescent="0.25">
      <c r="A3132" s="62" t="s">
        <v>690</v>
      </c>
      <c r="B3132" s="62" t="s">
        <v>690</v>
      </c>
      <c r="C3132" s="63"/>
      <c r="D3132" s="64"/>
      <c r="E3132" s="65"/>
      <c r="F3132" s="66"/>
      <c r="G3132" s="63"/>
      <c r="H3132" s="67"/>
      <c r="I3132" s="68"/>
      <c r="J3132" s="68"/>
      <c r="K3132" s="32"/>
      <c r="L3132" s="75">
        <v>3132</v>
      </c>
      <c r="M3132" s="75"/>
      <c r="N3132" s="70"/>
      <c r="O3132" s="77" t="s">
        <v>179</v>
      </c>
      <c r="P3132" s="79">
        <v>45161.573796296296</v>
      </c>
      <c r="Q3132" s="77" t="s">
        <v>3909</v>
      </c>
      <c r="R3132" s="77">
        <v>0</v>
      </c>
      <c r="S3132" s="77">
        <v>1</v>
      </c>
      <c r="T3132" s="77">
        <v>0</v>
      </c>
      <c r="U3132" s="77">
        <v>0</v>
      </c>
      <c r="V3132" s="77">
        <v>42</v>
      </c>
      <c r="W3132" s="82" t="s">
        <v>6462</v>
      </c>
      <c r="X3132" s="80" t="str">
        <f>HYPERLINK("https://blog.movo.trade/pt/education-2/seasonality-in-the-stock-market/")</f>
        <v>https://blog.movo.trade/pt/education-2/seasonality-in-the-stock-market/</v>
      </c>
      <c r="Y3132" s="77" t="s">
        <v>7144</v>
      </c>
      <c r="Z3132" s="77"/>
      <c r="AA3132" s="77" t="s">
        <v>8141</v>
      </c>
      <c r="AB3132" s="77" t="s">
        <v>8226</v>
      </c>
      <c r="AC3132" s="82" t="s">
        <v>8232</v>
      </c>
      <c r="AD3132" s="77" t="s">
        <v>8278</v>
      </c>
      <c r="AE3132" s="80" t="str">
        <f>HYPERLINK("https://twitter.com/movo_trade/status/1694345310762369509")</f>
        <v>https://twitter.com/movo_trade/status/1694345310762369509</v>
      </c>
      <c r="AF3132" s="79">
        <v>45161.573796296296</v>
      </c>
      <c r="AG3132" s="85">
        <v>45161</v>
      </c>
      <c r="AH3132" s="82" t="s">
        <v>11150</v>
      </c>
      <c r="AI3132" s="77" t="b">
        <v>0</v>
      </c>
      <c r="AJ3132" s="77"/>
      <c r="AK3132" s="77"/>
      <c r="AL3132" s="77"/>
      <c r="AM3132" s="77"/>
      <c r="AN3132" s="77"/>
      <c r="AO3132" s="77"/>
      <c r="AP3132" s="77"/>
      <c r="AQ3132" s="77" t="s">
        <v>13026</v>
      </c>
      <c r="AR3132" s="77"/>
      <c r="AS3132" s="77"/>
      <c r="AT3132" s="77"/>
      <c r="AU3132" s="77"/>
      <c r="AV3132" s="80" t="str">
        <f>HYPERLINK("https://pbs.twimg.com/media/F4OF2q9XMAE6Fht.jpg")</f>
        <v>https://pbs.twimg.com/media/F4OF2q9XMAE6Fht.jpg</v>
      </c>
      <c r="AW3132" s="82" t="s">
        <v>16216</v>
      </c>
      <c r="AX3132" s="82" t="s">
        <v>16216</v>
      </c>
      <c r="AY3132" s="77"/>
      <c r="AZ3132" s="82" t="s">
        <v>17385</v>
      </c>
      <c r="BA3132" s="82" t="s">
        <v>17385</v>
      </c>
      <c r="BB3132" s="82" t="s">
        <v>17385</v>
      </c>
      <c r="BC3132" s="82" t="s">
        <v>16216</v>
      </c>
      <c r="BD3132" s="82" t="s">
        <v>17695</v>
      </c>
      <c r="BE3132" s="77"/>
      <c r="BF3132" s="77"/>
      <c r="BG3132" s="77"/>
      <c r="BH3132" s="77"/>
      <c r="BI3132" s="77"/>
    </row>
    <row r="3133" spans="1:61" x14ac:dyDescent="0.25">
      <c r="A3133" s="62" t="s">
        <v>691</v>
      </c>
      <c r="B3133" s="62" t="s">
        <v>691</v>
      </c>
      <c r="C3133" s="63"/>
      <c r="D3133" s="64"/>
      <c r="E3133" s="65"/>
      <c r="F3133" s="66"/>
      <c r="G3133" s="63"/>
      <c r="H3133" s="67"/>
      <c r="I3133" s="68"/>
      <c r="J3133" s="68"/>
      <c r="K3133" s="32"/>
      <c r="L3133" s="75">
        <v>3133</v>
      </c>
      <c r="M3133" s="75"/>
      <c r="N3133" s="70"/>
      <c r="O3133" s="77" t="s">
        <v>800</v>
      </c>
      <c r="P3133" s="79">
        <v>45126.898796296293</v>
      </c>
      <c r="Q3133" s="77" t="s">
        <v>3910</v>
      </c>
      <c r="R3133" s="77">
        <v>0</v>
      </c>
      <c r="S3133" s="77">
        <v>0</v>
      </c>
      <c r="T3133" s="77">
        <v>0</v>
      </c>
      <c r="U3133" s="77">
        <v>0</v>
      </c>
      <c r="V3133" s="77">
        <v>7</v>
      </c>
      <c r="W3133" s="82" t="s">
        <v>6463</v>
      </c>
      <c r="X3133" s="77"/>
      <c r="Y3133" s="77"/>
      <c r="Z3133" s="77"/>
      <c r="AA3133" s="77"/>
      <c r="AB3133" s="77"/>
      <c r="AC3133" s="82" t="s">
        <v>8232</v>
      </c>
      <c r="AD3133" s="77" t="s">
        <v>8278</v>
      </c>
      <c r="AE3133" s="80" t="str">
        <f>HYPERLINK("https://twitter.com/cbcardoso01/status/1681779514735509506")</f>
        <v>https://twitter.com/cbcardoso01/status/1681779514735509506</v>
      </c>
      <c r="AF3133" s="79">
        <v>45126.898796296293</v>
      </c>
      <c r="AG3133" s="85">
        <v>45126</v>
      </c>
      <c r="AH3133" s="82" t="s">
        <v>11151</v>
      </c>
      <c r="AI3133" s="77"/>
      <c r="AJ3133" s="77"/>
      <c r="AK3133" s="77"/>
      <c r="AL3133" s="77"/>
      <c r="AM3133" s="77"/>
      <c r="AN3133" s="77"/>
      <c r="AO3133" s="77"/>
      <c r="AP3133" s="77"/>
      <c r="AQ3133" s="77"/>
      <c r="AR3133" s="77"/>
      <c r="AS3133" s="77"/>
      <c r="AT3133" s="77"/>
      <c r="AU3133" s="77"/>
      <c r="AV3133" s="80" t="str">
        <f>HYPERLINK("https://pbs.twimg.com/profile_images/1676545355905740800/CWmYR7PR_normal.jpg")</f>
        <v>https://pbs.twimg.com/profile_images/1676545355905740800/CWmYR7PR_normal.jpg</v>
      </c>
      <c r="AW3133" s="82" t="s">
        <v>16217</v>
      </c>
      <c r="AX3133" s="82" t="s">
        <v>17217</v>
      </c>
      <c r="AY3133" s="82" t="s">
        <v>17380</v>
      </c>
      <c r="AZ3133" s="82" t="s">
        <v>17426</v>
      </c>
      <c r="BA3133" s="82" t="s">
        <v>17385</v>
      </c>
      <c r="BB3133" s="82" t="s">
        <v>17385</v>
      </c>
      <c r="BC3133" s="82" t="s">
        <v>17426</v>
      </c>
      <c r="BD3133" s="82" t="s">
        <v>17380</v>
      </c>
      <c r="BE3133" s="77"/>
      <c r="BF3133" s="77"/>
      <c r="BG3133" s="77"/>
      <c r="BH3133" s="77"/>
      <c r="BI3133" s="77"/>
    </row>
    <row r="3134" spans="1:61" x14ac:dyDescent="0.25">
      <c r="A3134" s="62" t="s">
        <v>692</v>
      </c>
      <c r="B3134" s="62" t="s">
        <v>692</v>
      </c>
      <c r="C3134" s="63"/>
      <c r="D3134" s="64"/>
      <c r="E3134" s="65"/>
      <c r="F3134" s="66"/>
      <c r="G3134" s="63"/>
      <c r="H3134" s="67"/>
      <c r="I3134" s="68"/>
      <c r="J3134" s="68"/>
      <c r="K3134" s="32"/>
      <c r="L3134" s="75">
        <v>3134</v>
      </c>
      <c r="M3134" s="75"/>
      <c r="N3134" s="70"/>
      <c r="O3134" s="77" t="s">
        <v>800</v>
      </c>
      <c r="P3134" s="79">
        <v>45133.581238425926</v>
      </c>
      <c r="Q3134" s="77" t="s">
        <v>3911</v>
      </c>
      <c r="R3134" s="77">
        <v>0</v>
      </c>
      <c r="S3134" s="77">
        <v>0</v>
      </c>
      <c r="T3134" s="77">
        <v>0</v>
      </c>
      <c r="U3134" s="77">
        <v>0</v>
      </c>
      <c r="V3134" s="77">
        <v>111</v>
      </c>
      <c r="W3134" s="82" t="s">
        <v>6464</v>
      </c>
      <c r="X3134" s="77"/>
      <c r="Y3134" s="77"/>
      <c r="Z3134" s="77"/>
      <c r="AA3134" s="77"/>
      <c r="AB3134" s="77"/>
      <c r="AC3134" s="82" t="s">
        <v>8232</v>
      </c>
      <c r="AD3134" s="77" t="s">
        <v>8282</v>
      </c>
      <c r="AE3134" s="80" t="str">
        <f>HYPERLINK("https://twitter.com/bpmoney_/status/1684201148318613507")</f>
        <v>https://twitter.com/bpmoney_/status/1684201148318613507</v>
      </c>
      <c r="AF3134" s="79">
        <v>45133.581238425926</v>
      </c>
      <c r="AG3134" s="85">
        <v>45133</v>
      </c>
      <c r="AH3134" s="82" t="s">
        <v>11152</v>
      </c>
      <c r="AI3134" s="77"/>
      <c r="AJ3134" s="77"/>
      <c r="AK3134" s="77"/>
      <c r="AL3134" s="77"/>
      <c r="AM3134" s="77"/>
      <c r="AN3134" s="77"/>
      <c r="AO3134" s="77"/>
      <c r="AP3134" s="77"/>
      <c r="AQ3134" s="77"/>
      <c r="AR3134" s="77"/>
      <c r="AS3134" s="77"/>
      <c r="AT3134" s="77"/>
      <c r="AU3134" s="77"/>
      <c r="AV3134" s="80" t="str">
        <f>HYPERLINK("https://pbs.twimg.com/profile_images/1518936529674117121/MCMYTicP_normal.jpg")</f>
        <v>https://pbs.twimg.com/profile_images/1518936529674117121/MCMYTicP_normal.jpg</v>
      </c>
      <c r="AW3134" s="82" t="s">
        <v>16218</v>
      </c>
      <c r="AX3134" s="82" t="s">
        <v>17218</v>
      </c>
      <c r="AY3134" s="82" t="s">
        <v>17381</v>
      </c>
      <c r="AZ3134" s="82" t="s">
        <v>17218</v>
      </c>
      <c r="BA3134" s="82" t="s">
        <v>17385</v>
      </c>
      <c r="BB3134" s="82" t="s">
        <v>17385</v>
      </c>
      <c r="BC3134" s="82" t="s">
        <v>17218</v>
      </c>
      <c r="BD3134" s="82" t="s">
        <v>17381</v>
      </c>
      <c r="BE3134" s="77"/>
      <c r="BF3134" s="77"/>
      <c r="BG3134" s="77"/>
      <c r="BH3134" s="77"/>
      <c r="BI3134" s="77"/>
    </row>
    <row r="3135" spans="1:61" x14ac:dyDescent="0.25">
      <c r="A3135" s="62" t="s">
        <v>692</v>
      </c>
      <c r="B3135" s="62" t="s">
        <v>692</v>
      </c>
      <c r="C3135" s="63"/>
      <c r="D3135" s="64"/>
      <c r="E3135" s="65"/>
      <c r="F3135" s="66"/>
      <c r="G3135" s="63"/>
      <c r="H3135" s="67"/>
      <c r="I3135" s="68"/>
      <c r="J3135" s="68"/>
      <c r="K3135" s="32"/>
      <c r="L3135" s="75">
        <v>3135</v>
      </c>
      <c r="M3135" s="75"/>
      <c r="N3135" s="70"/>
      <c r="O3135" s="77" t="s">
        <v>800</v>
      </c>
      <c r="P3135" s="79">
        <v>45133.579907407409</v>
      </c>
      <c r="Q3135" s="77" t="s">
        <v>3912</v>
      </c>
      <c r="R3135" s="77">
        <v>0</v>
      </c>
      <c r="S3135" s="77">
        <v>0</v>
      </c>
      <c r="T3135" s="77">
        <v>0</v>
      </c>
      <c r="U3135" s="77">
        <v>0</v>
      </c>
      <c r="V3135" s="77">
        <v>84</v>
      </c>
      <c r="W3135" s="82" t="s">
        <v>6465</v>
      </c>
      <c r="X3135" s="77"/>
      <c r="Y3135" s="77"/>
      <c r="Z3135" s="77"/>
      <c r="AA3135" s="77"/>
      <c r="AB3135" s="77"/>
      <c r="AC3135" s="82" t="s">
        <v>8232</v>
      </c>
      <c r="AD3135" s="77" t="s">
        <v>8282</v>
      </c>
      <c r="AE3135" s="80" t="str">
        <f>HYPERLINK("https://twitter.com/bpmoney_/status/1684200667836035073")</f>
        <v>https://twitter.com/bpmoney_/status/1684200667836035073</v>
      </c>
      <c r="AF3135" s="79">
        <v>45133.579907407409</v>
      </c>
      <c r="AG3135" s="85">
        <v>45133</v>
      </c>
      <c r="AH3135" s="82" t="s">
        <v>11153</v>
      </c>
      <c r="AI3135" s="77"/>
      <c r="AJ3135" s="77"/>
      <c r="AK3135" s="77"/>
      <c r="AL3135" s="77"/>
      <c r="AM3135" s="77"/>
      <c r="AN3135" s="77"/>
      <c r="AO3135" s="77"/>
      <c r="AP3135" s="77"/>
      <c r="AQ3135" s="77"/>
      <c r="AR3135" s="77"/>
      <c r="AS3135" s="77"/>
      <c r="AT3135" s="77"/>
      <c r="AU3135" s="77"/>
      <c r="AV3135" s="80" t="str">
        <f>HYPERLINK("https://pbs.twimg.com/profile_images/1518936529674117121/MCMYTicP_normal.jpg")</f>
        <v>https://pbs.twimg.com/profile_images/1518936529674117121/MCMYTicP_normal.jpg</v>
      </c>
      <c r="AW3135" s="82" t="s">
        <v>16219</v>
      </c>
      <c r="AX3135" s="82" t="s">
        <v>17219</v>
      </c>
      <c r="AY3135" s="82" t="s">
        <v>17381</v>
      </c>
      <c r="AZ3135" s="82" t="s">
        <v>17219</v>
      </c>
      <c r="BA3135" s="82" t="s">
        <v>17385</v>
      </c>
      <c r="BB3135" s="82" t="s">
        <v>17385</v>
      </c>
      <c r="BC3135" s="82" t="s">
        <v>17219</v>
      </c>
      <c r="BD3135" s="82" t="s">
        <v>17381</v>
      </c>
      <c r="BE3135" s="77"/>
      <c r="BF3135" s="77"/>
      <c r="BG3135" s="77"/>
      <c r="BH3135" s="77"/>
      <c r="BI3135" s="77"/>
    </row>
    <row r="3136" spans="1:61" x14ac:dyDescent="0.25">
      <c r="A3136" s="62" t="s">
        <v>692</v>
      </c>
      <c r="B3136" s="62" t="s">
        <v>692</v>
      </c>
      <c r="C3136" s="63"/>
      <c r="D3136" s="64"/>
      <c r="E3136" s="65"/>
      <c r="F3136" s="66"/>
      <c r="G3136" s="63"/>
      <c r="H3136" s="67"/>
      <c r="I3136" s="68"/>
      <c r="J3136" s="68"/>
      <c r="K3136" s="32"/>
      <c r="L3136" s="75">
        <v>3136</v>
      </c>
      <c r="M3136" s="75"/>
      <c r="N3136" s="70"/>
      <c r="O3136" s="77" t="s">
        <v>800</v>
      </c>
      <c r="P3136" s="79">
        <v>45106.548125000001</v>
      </c>
      <c r="Q3136" s="77" t="s">
        <v>3913</v>
      </c>
      <c r="R3136" s="77">
        <v>0</v>
      </c>
      <c r="S3136" s="77">
        <v>0</v>
      </c>
      <c r="T3136" s="77">
        <v>0</v>
      </c>
      <c r="U3136" s="77">
        <v>0</v>
      </c>
      <c r="V3136" s="77">
        <v>192</v>
      </c>
      <c r="W3136" s="82" t="s">
        <v>6466</v>
      </c>
      <c r="X3136" s="77"/>
      <c r="Y3136" s="77"/>
      <c r="Z3136" s="77"/>
      <c r="AA3136" s="77"/>
      <c r="AB3136" s="77"/>
      <c r="AC3136" s="82" t="s">
        <v>8232</v>
      </c>
      <c r="AD3136" s="77" t="s">
        <v>8282</v>
      </c>
      <c r="AE3136" s="80" t="str">
        <f>HYPERLINK("https://twitter.com/bpmoney_/status/1674404675209027586")</f>
        <v>https://twitter.com/bpmoney_/status/1674404675209027586</v>
      </c>
      <c r="AF3136" s="79">
        <v>45106.548125000001</v>
      </c>
      <c r="AG3136" s="85">
        <v>45106</v>
      </c>
      <c r="AH3136" s="82" t="s">
        <v>11154</v>
      </c>
      <c r="AI3136" s="77"/>
      <c r="AJ3136" s="77"/>
      <c r="AK3136" s="77"/>
      <c r="AL3136" s="77"/>
      <c r="AM3136" s="77"/>
      <c r="AN3136" s="77"/>
      <c r="AO3136" s="77"/>
      <c r="AP3136" s="77"/>
      <c r="AQ3136" s="77"/>
      <c r="AR3136" s="77"/>
      <c r="AS3136" s="77"/>
      <c r="AT3136" s="77"/>
      <c r="AU3136" s="77"/>
      <c r="AV3136" s="80" t="str">
        <f>HYPERLINK("https://pbs.twimg.com/profile_images/1518936529674117121/MCMYTicP_normal.jpg")</f>
        <v>https://pbs.twimg.com/profile_images/1518936529674117121/MCMYTicP_normal.jpg</v>
      </c>
      <c r="AW3136" s="82" t="s">
        <v>16220</v>
      </c>
      <c r="AX3136" s="82" t="s">
        <v>17220</v>
      </c>
      <c r="AY3136" s="82" t="s">
        <v>17381</v>
      </c>
      <c r="AZ3136" s="82" t="s">
        <v>17220</v>
      </c>
      <c r="BA3136" s="82" t="s">
        <v>17385</v>
      </c>
      <c r="BB3136" s="82" t="s">
        <v>17385</v>
      </c>
      <c r="BC3136" s="82" t="s">
        <v>17220</v>
      </c>
      <c r="BD3136" s="82" t="s">
        <v>17381</v>
      </c>
      <c r="BE3136" s="77"/>
      <c r="BF3136" s="77"/>
      <c r="BG3136" s="77"/>
      <c r="BH3136" s="77"/>
      <c r="BI3136" s="77"/>
    </row>
    <row r="3137" spans="1:61" x14ac:dyDescent="0.25">
      <c r="A3137" s="62" t="s">
        <v>692</v>
      </c>
      <c r="B3137" s="62" t="s">
        <v>692</v>
      </c>
      <c r="C3137" s="63"/>
      <c r="D3137" s="64"/>
      <c r="E3137" s="65"/>
      <c r="F3137" s="66"/>
      <c r="G3137" s="63"/>
      <c r="H3137" s="67"/>
      <c r="I3137" s="68"/>
      <c r="J3137" s="68"/>
      <c r="K3137" s="32"/>
      <c r="L3137" s="75">
        <v>3137</v>
      </c>
      <c r="M3137" s="75"/>
      <c r="N3137" s="70"/>
      <c r="O3137" s="77" t="s">
        <v>800</v>
      </c>
      <c r="P3137" s="79">
        <v>45105.780381944445</v>
      </c>
      <c r="Q3137" s="77" t="s">
        <v>3914</v>
      </c>
      <c r="R3137" s="77">
        <v>0</v>
      </c>
      <c r="S3137" s="77">
        <v>0</v>
      </c>
      <c r="T3137" s="77">
        <v>0</v>
      </c>
      <c r="U3137" s="77">
        <v>0</v>
      </c>
      <c r="V3137" s="77">
        <v>112</v>
      </c>
      <c r="W3137" s="82" t="s">
        <v>6467</v>
      </c>
      <c r="X3137" s="77"/>
      <c r="Y3137" s="77"/>
      <c r="Z3137" s="77"/>
      <c r="AA3137" s="77"/>
      <c r="AB3137" s="77"/>
      <c r="AC3137" s="82" t="s">
        <v>8232</v>
      </c>
      <c r="AD3137" s="77" t="s">
        <v>8282</v>
      </c>
      <c r="AE3137" s="80" t="str">
        <f>HYPERLINK("https://twitter.com/bpmoney_/status/1674126455129755658")</f>
        <v>https://twitter.com/bpmoney_/status/1674126455129755658</v>
      </c>
      <c r="AF3137" s="79">
        <v>45105.780381944445</v>
      </c>
      <c r="AG3137" s="85">
        <v>45105</v>
      </c>
      <c r="AH3137" s="82" t="s">
        <v>11155</v>
      </c>
      <c r="AI3137" s="77"/>
      <c r="AJ3137" s="77"/>
      <c r="AK3137" s="77"/>
      <c r="AL3137" s="77"/>
      <c r="AM3137" s="77"/>
      <c r="AN3137" s="77"/>
      <c r="AO3137" s="77"/>
      <c r="AP3137" s="77"/>
      <c r="AQ3137" s="77"/>
      <c r="AR3137" s="77"/>
      <c r="AS3137" s="77"/>
      <c r="AT3137" s="77"/>
      <c r="AU3137" s="77"/>
      <c r="AV3137" s="80" t="str">
        <f>HYPERLINK("https://pbs.twimg.com/profile_images/1518936529674117121/MCMYTicP_normal.jpg")</f>
        <v>https://pbs.twimg.com/profile_images/1518936529674117121/MCMYTicP_normal.jpg</v>
      </c>
      <c r="AW3137" s="82" t="s">
        <v>16221</v>
      </c>
      <c r="AX3137" s="82" t="s">
        <v>17221</v>
      </c>
      <c r="AY3137" s="82" t="s">
        <v>17381</v>
      </c>
      <c r="AZ3137" s="82" t="s">
        <v>17221</v>
      </c>
      <c r="BA3137" s="82" t="s">
        <v>17385</v>
      </c>
      <c r="BB3137" s="82" t="s">
        <v>17385</v>
      </c>
      <c r="BC3137" s="82" t="s">
        <v>17221</v>
      </c>
      <c r="BD3137" s="82" t="s">
        <v>17381</v>
      </c>
      <c r="BE3137" s="77"/>
      <c r="BF3137" s="77"/>
      <c r="BG3137" s="77"/>
      <c r="BH3137" s="77"/>
      <c r="BI3137" s="77"/>
    </row>
    <row r="3138" spans="1:61" x14ac:dyDescent="0.25">
      <c r="A3138" s="62" t="s">
        <v>692</v>
      </c>
      <c r="B3138" s="62" t="s">
        <v>692</v>
      </c>
      <c r="C3138" s="63"/>
      <c r="D3138" s="64"/>
      <c r="E3138" s="65"/>
      <c r="F3138" s="66"/>
      <c r="G3138" s="63"/>
      <c r="H3138" s="67"/>
      <c r="I3138" s="68"/>
      <c r="J3138" s="68"/>
      <c r="K3138" s="32"/>
      <c r="L3138" s="75">
        <v>3138</v>
      </c>
      <c r="M3138" s="75"/>
      <c r="N3138" s="70"/>
      <c r="O3138" s="77" t="s">
        <v>800</v>
      </c>
      <c r="P3138" s="79">
        <v>45104.759398148148</v>
      </c>
      <c r="Q3138" s="77" t="s">
        <v>3915</v>
      </c>
      <c r="R3138" s="77">
        <v>0</v>
      </c>
      <c r="S3138" s="77">
        <v>0</v>
      </c>
      <c r="T3138" s="77">
        <v>0</v>
      </c>
      <c r="U3138" s="77">
        <v>0</v>
      </c>
      <c r="V3138" s="77">
        <v>89</v>
      </c>
      <c r="W3138" s="82" t="s">
        <v>6468</v>
      </c>
      <c r="X3138" s="77"/>
      <c r="Y3138" s="77"/>
      <c r="Z3138" s="77"/>
      <c r="AA3138" s="77"/>
      <c r="AB3138" s="77"/>
      <c r="AC3138" s="82" t="s">
        <v>8232</v>
      </c>
      <c r="AD3138" s="77" t="s">
        <v>8282</v>
      </c>
      <c r="AE3138" s="80" t="str">
        <f>HYPERLINK("https://twitter.com/bpmoney_/status/1673756463217377280")</f>
        <v>https://twitter.com/bpmoney_/status/1673756463217377280</v>
      </c>
      <c r="AF3138" s="79">
        <v>45104.759398148148</v>
      </c>
      <c r="AG3138" s="85">
        <v>45104</v>
      </c>
      <c r="AH3138" s="82" t="s">
        <v>11156</v>
      </c>
      <c r="AI3138" s="77"/>
      <c r="AJ3138" s="77"/>
      <c r="AK3138" s="77"/>
      <c r="AL3138" s="77"/>
      <c r="AM3138" s="77"/>
      <c r="AN3138" s="77"/>
      <c r="AO3138" s="77"/>
      <c r="AP3138" s="77"/>
      <c r="AQ3138" s="77"/>
      <c r="AR3138" s="77"/>
      <c r="AS3138" s="77"/>
      <c r="AT3138" s="77"/>
      <c r="AU3138" s="77"/>
      <c r="AV3138" s="80" t="str">
        <f>HYPERLINK("https://pbs.twimg.com/profile_images/1518936529674117121/MCMYTicP_normal.jpg")</f>
        <v>https://pbs.twimg.com/profile_images/1518936529674117121/MCMYTicP_normal.jpg</v>
      </c>
      <c r="AW3138" s="82" t="s">
        <v>16222</v>
      </c>
      <c r="AX3138" s="82" t="s">
        <v>17222</v>
      </c>
      <c r="AY3138" s="82" t="s">
        <v>17381</v>
      </c>
      <c r="AZ3138" s="82" t="s">
        <v>17222</v>
      </c>
      <c r="BA3138" s="82" t="s">
        <v>17385</v>
      </c>
      <c r="BB3138" s="82" t="s">
        <v>17385</v>
      </c>
      <c r="BC3138" s="82" t="s">
        <v>17222</v>
      </c>
      <c r="BD3138" s="82" t="s">
        <v>17381</v>
      </c>
      <c r="BE3138" s="77"/>
      <c r="BF3138" s="77"/>
      <c r="BG3138" s="77"/>
      <c r="BH3138" s="77"/>
      <c r="BI3138" s="77"/>
    </row>
    <row r="3139" spans="1:61" x14ac:dyDescent="0.25">
      <c r="A3139" s="62" t="s">
        <v>692</v>
      </c>
      <c r="B3139" s="62" t="s">
        <v>692</v>
      </c>
      <c r="C3139" s="63"/>
      <c r="D3139" s="64"/>
      <c r="E3139" s="65"/>
      <c r="F3139" s="66"/>
      <c r="G3139" s="63"/>
      <c r="H3139" s="67"/>
      <c r="I3139" s="68"/>
      <c r="J3139" s="68"/>
      <c r="K3139" s="32"/>
      <c r="L3139" s="75">
        <v>3139</v>
      </c>
      <c r="M3139" s="75"/>
      <c r="N3139" s="70"/>
      <c r="O3139" s="77" t="s">
        <v>800</v>
      </c>
      <c r="P3139" s="79">
        <v>45104.72861111111</v>
      </c>
      <c r="Q3139" s="77" t="s">
        <v>3916</v>
      </c>
      <c r="R3139" s="77">
        <v>0</v>
      </c>
      <c r="S3139" s="77">
        <v>0</v>
      </c>
      <c r="T3139" s="77">
        <v>0</v>
      </c>
      <c r="U3139" s="77">
        <v>0</v>
      </c>
      <c r="V3139" s="77">
        <v>152</v>
      </c>
      <c r="W3139" s="82" t="s">
        <v>6469</v>
      </c>
      <c r="X3139" s="77"/>
      <c r="Y3139" s="77"/>
      <c r="Z3139" s="77"/>
      <c r="AA3139" s="77"/>
      <c r="AB3139" s="77"/>
      <c r="AC3139" s="82" t="s">
        <v>8232</v>
      </c>
      <c r="AD3139" s="77" t="s">
        <v>8282</v>
      </c>
      <c r="AE3139" s="80" t="str">
        <f>HYPERLINK("https://twitter.com/bpmoney_/status/1673745308755410956")</f>
        <v>https://twitter.com/bpmoney_/status/1673745308755410956</v>
      </c>
      <c r="AF3139" s="79">
        <v>45104.72861111111</v>
      </c>
      <c r="AG3139" s="85">
        <v>45104</v>
      </c>
      <c r="AH3139" s="82" t="s">
        <v>11157</v>
      </c>
      <c r="AI3139" s="77"/>
      <c r="AJ3139" s="77"/>
      <c r="AK3139" s="77"/>
      <c r="AL3139" s="77"/>
      <c r="AM3139" s="77"/>
      <c r="AN3139" s="77"/>
      <c r="AO3139" s="77"/>
      <c r="AP3139" s="77"/>
      <c r="AQ3139" s="77"/>
      <c r="AR3139" s="77"/>
      <c r="AS3139" s="77"/>
      <c r="AT3139" s="77"/>
      <c r="AU3139" s="77"/>
      <c r="AV3139" s="80" t="str">
        <f>HYPERLINK("https://pbs.twimg.com/profile_images/1518936529674117121/MCMYTicP_normal.jpg")</f>
        <v>https://pbs.twimg.com/profile_images/1518936529674117121/MCMYTicP_normal.jpg</v>
      </c>
      <c r="AW3139" s="82" t="s">
        <v>16223</v>
      </c>
      <c r="AX3139" s="82" t="s">
        <v>17223</v>
      </c>
      <c r="AY3139" s="82" t="s">
        <v>17381</v>
      </c>
      <c r="AZ3139" s="82" t="s">
        <v>17223</v>
      </c>
      <c r="BA3139" s="82" t="s">
        <v>17385</v>
      </c>
      <c r="BB3139" s="82" t="s">
        <v>17385</v>
      </c>
      <c r="BC3139" s="82" t="s">
        <v>17223</v>
      </c>
      <c r="BD3139" s="82" t="s">
        <v>17381</v>
      </c>
      <c r="BE3139" s="77"/>
      <c r="BF3139" s="77"/>
      <c r="BG3139" s="77"/>
      <c r="BH3139" s="77"/>
      <c r="BI3139" s="77"/>
    </row>
    <row r="3140" spans="1:61" x14ac:dyDescent="0.25">
      <c r="A3140" s="62" t="s">
        <v>692</v>
      </c>
      <c r="B3140" s="62" t="s">
        <v>692</v>
      </c>
      <c r="C3140" s="63"/>
      <c r="D3140" s="64"/>
      <c r="E3140" s="65"/>
      <c r="F3140" s="66"/>
      <c r="G3140" s="63"/>
      <c r="H3140" s="67"/>
      <c r="I3140" s="68"/>
      <c r="J3140" s="68"/>
      <c r="K3140" s="32"/>
      <c r="L3140" s="75">
        <v>3140</v>
      </c>
      <c r="M3140" s="75"/>
      <c r="N3140" s="70"/>
      <c r="O3140" s="77" t="s">
        <v>800</v>
      </c>
      <c r="P3140" s="79">
        <v>45083.661689814813</v>
      </c>
      <c r="Q3140" s="77" t="s">
        <v>3917</v>
      </c>
      <c r="R3140" s="77">
        <v>0</v>
      </c>
      <c r="S3140" s="77">
        <v>0</v>
      </c>
      <c r="T3140" s="77">
        <v>0</v>
      </c>
      <c r="U3140" s="77">
        <v>0</v>
      </c>
      <c r="V3140" s="77">
        <v>138</v>
      </c>
      <c r="W3140" s="82" t="s">
        <v>6470</v>
      </c>
      <c r="X3140" s="77"/>
      <c r="Y3140" s="77"/>
      <c r="Z3140" s="77"/>
      <c r="AA3140" s="77"/>
      <c r="AB3140" s="77"/>
      <c r="AC3140" s="82" t="s">
        <v>8232</v>
      </c>
      <c r="AD3140" s="77" t="s">
        <v>8282</v>
      </c>
      <c r="AE3140" s="80" t="str">
        <f>HYPERLINK("https://twitter.com/bpmoney_/status/1666110911940050947")</f>
        <v>https://twitter.com/bpmoney_/status/1666110911940050947</v>
      </c>
      <c r="AF3140" s="79">
        <v>45083.661689814813</v>
      </c>
      <c r="AG3140" s="85">
        <v>45083</v>
      </c>
      <c r="AH3140" s="82" t="s">
        <v>11158</v>
      </c>
      <c r="AI3140" s="77"/>
      <c r="AJ3140" s="77"/>
      <c r="AK3140" s="77"/>
      <c r="AL3140" s="77"/>
      <c r="AM3140" s="77"/>
      <c r="AN3140" s="77"/>
      <c r="AO3140" s="77"/>
      <c r="AP3140" s="77"/>
      <c r="AQ3140" s="77"/>
      <c r="AR3140" s="77"/>
      <c r="AS3140" s="77"/>
      <c r="AT3140" s="77"/>
      <c r="AU3140" s="77"/>
      <c r="AV3140" s="80" t="str">
        <f>HYPERLINK("https://pbs.twimg.com/profile_images/1518936529674117121/MCMYTicP_normal.jpg")</f>
        <v>https://pbs.twimg.com/profile_images/1518936529674117121/MCMYTicP_normal.jpg</v>
      </c>
      <c r="AW3140" s="82" t="s">
        <v>16224</v>
      </c>
      <c r="AX3140" s="82" t="s">
        <v>17224</v>
      </c>
      <c r="AY3140" s="82" t="s">
        <v>17381</v>
      </c>
      <c r="AZ3140" s="82" t="s">
        <v>17224</v>
      </c>
      <c r="BA3140" s="82" t="s">
        <v>17385</v>
      </c>
      <c r="BB3140" s="82" t="s">
        <v>17385</v>
      </c>
      <c r="BC3140" s="82" t="s">
        <v>17224</v>
      </c>
      <c r="BD3140" s="82" t="s">
        <v>17381</v>
      </c>
      <c r="BE3140" s="77"/>
      <c r="BF3140" s="77"/>
      <c r="BG3140" s="77"/>
      <c r="BH3140" s="77"/>
      <c r="BI3140" s="77"/>
    </row>
    <row r="3141" spans="1:61" x14ac:dyDescent="0.25">
      <c r="A3141" s="62" t="s">
        <v>692</v>
      </c>
      <c r="B3141" s="62" t="s">
        <v>692</v>
      </c>
      <c r="C3141" s="63"/>
      <c r="D3141" s="64"/>
      <c r="E3141" s="65"/>
      <c r="F3141" s="66"/>
      <c r="G3141" s="63"/>
      <c r="H3141" s="67"/>
      <c r="I3141" s="68"/>
      <c r="J3141" s="68"/>
      <c r="K3141" s="32"/>
      <c r="L3141" s="75">
        <v>3141</v>
      </c>
      <c r="M3141" s="75"/>
      <c r="N3141" s="70"/>
      <c r="O3141" s="77" t="s">
        <v>800</v>
      </c>
      <c r="P3141" s="79">
        <v>45083.593958333331</v>
      </c>
      <c r="Q3141" s="77" t="s">
        <v>3918</v>
      </c>
      <c r="R3141" s="77">
        <v>0</v>
      </c>
      <c r="S3141" s="77">
        <v>0</v>
      </c>
      <c r="T3141" s="77">
        <v>0</v>
      </c>
      <c r="U3141" s="77">
        <v>0</v>
      </c>
      <c r="V3141" s="77">
        <v>103</v>
      </c>
      <c r="W3141" s="82" t="s">
        <v>6471</v>
      </c>
      <c r="X3141" s="77"/>
      <c r="Y3141" s="77"/>
      <c r="Z3141" s="77"/>
      <c r="AA3141" s="77"/>
      <c r="AB3141" s="77"/>
      <c r="AC3141" s="82" t="s">
        <v>8232</v>
      </c>
      <c r="AD3141" s="77" t="s">
        <v>8282</v>
      </c>
      <c r="AE3141" s="80" t="str">
        <f>HYPERLINK("https://twitter.com/bpmoney_/status/1666086364792905729")</f>
        <v>https://twitter.com/bpmoney_/status/1666086364792905729</v>
      </c>
      <c r="AF3141" s="79">
        <v>45083.593958333331</v>
      </c>
      <c r="AG3141" s="85">
        <v>45083</v>
      </c>
      <c r="AH3141" s="82" t="s">
        <v>11159</v>
      </c>
      <c r="AI3141" s="77"/>
      <c r="AJ3141" s="77"/>
      <c r="AK3141" s="77"/>
      <c r="AL3141" s="77"/>
      <c r="AM3141" s="77"/>
      <c r="AN3141" s="77"/>
      <c r="AO3141" s="77"/>
      <c r="AP3141" s="77"/>
      <c r="AQ3141" s="77"/>
      <c r="AR3141" s="77"/>
      <c r="AS3141" s="77"/>
      <c r="AT3141" s="77"/>
      <c r="AU3141" s="77"/>
      <c r="AV3141" s="80" t="str">
        <f>HYPERLINK("https://pbs.twimg.com/profile_images/1518936529674117121/MCMYTicP_normal.jpg")</f>
        <v>https://pbs.twimg.com/profile_images/1518936529674117121/MCMYTicP_normal.jpg</v>
      </c>
      <c r="AW3141" s="82" t="s">
        <v>16225</v>
      </c>
      <c r="AX3141" s="82" t="s">
        <v>17225</v>
      </c>
      <c r="AY3141" s="82" t="s">
        <v>17381</v>
      </c>
      <c r="AZ3141" s="82" t="s">
        <v>17225</v>
      </c>
      <c r="BA3141" s="82" t="s">
        <v>17385</v>
      </c>
      <c r="BB3141" s="82" t="s">
        <v>17385</v>
      </c>
      <c r="BC3141" s="82" t="s">
        <v>17225</v>
      </c>
      <c r="BD3141" s="82" t="s">
        <v>17381</v>
      </c>
      <c r="BE3141" s="77"/>
      <c r="BF3141" s="77"/>
      <c r="BG3141" s="77"/>
      <c r="BH3141" s="77"/>
      <c r="BI3141" s="77"/>
    </row>
    <row r="3142" spans="1:61" x14ac:dyDescent="0.25">
      <c r="A3142" s="62" t="s">
        <v>692</v>
      </c>
      <c r="B3142" s="62" t="s">
        <v>692</v>
      </c>
      <c r="C3142" s="63"/>
      <c r="D3142" s="64"/>
      <c r="E3142" s="65"/>
      <c r="F3142" s="66"/>
      <c r="G3142" s="63"/>
      <c r="H3142" s="67"/>
      <c r="I3142" s="68"/>
      <c r="J3142" s="68"/>
      <c r="K3142" s="32"/>
      <c r="L3142" s="75">
        <v>3142</v>
      </c>
      <c r="M3142" s="75"/>
      <c r="N3142" s="70"/>
      <c r="O3142" s="77" t="s">
        <v>800</v>
      </c>
      <c r="P3142" s="79">
        <v>45082.899571759262</v>
      </c>
      <c r="Q3142" s="77" t="s">
        <v>3919</v>
      </c>
      <c r="R3142" s="77">
        <v>0</v>
      </c>
      <c r="S3142" s="77">
        <v>0</v>
      </c>
      <c r="T3142" s="77">
        <v>0</v>
      </c>
      <c r="U3142" s="77">
        <v>0</v>
      </c>
      <c r="V3142" s="77">
        <v>109</v>
      </c>
      <c r="W3142" s="82" t="s">
        <v>6472</v>
      </c>
      <c r="X3142" s="77"/>
      <c r="Y3142" s="77"/>
      <c r="Z3142" s="77"/>
      <c r="AA3142" s="77"/>
      <c r="AB3142" s="77"/>
      <c r="AC3142" s="82" t="s">
        <v>8232</v>
      </c>
      <c r="AD3142" s="77" t="s">
        <v>8282</v>
      </c>
      <c r="AE3142" s="80" t="str">
        <f>HYPERLINK("https://twitter.com/bpmoney_/status/1665834729340301315")</f>
        <v>https://twitter.com/bpmoney_/status/1665834729340301315</v>
      </c>
      <c r="AF3142" s="79">
        <v>45082.899571759262</v>
      </c>
      <c r="AG3142" s="85">
        <v>45082</v>
      </c>
      <c r="AH3142" s="82" t="s">
        <v>11160</v>
      </c>
      <c r="AI3142" s="77"/>
      <c r="AJ3142" s="77"/>
      <c r="AK3142" s="77"/>
      <c r="AL3142" s="77"/>
      <c r="AM3142" s="77"/>
      <c r="AN3142" s="77"/>
      <c r="AO3142" s="77"/>
      <c r="AP3142" s="77"/>
      <c r="AQ3142" s="77"/>
      <c r="AR3142" s="77"/>
      <c r="AS3142" s="77"/>
      <c r="AT3142" s="77"/>
      <c r="AU3142" s="77"/>
      <c r="AV3142" s="80" t="str">
        <f>HYPERLINK("https://pbs.twimg.com/profile_images/1518936529674117121/MCMYTicP_normal.jpg")</f>
        <v>https://pbs.twimg.com/profile_images/1518936529674117121/MCMYTicP_normal.jpg</v>
      </c>
      <c r="AW3142" s="82" t="s">
        <v>16226</v>
      </c>
      <c r="AX3142" s="82" t="s">
        <v>17226</v>
      </c>
      <c r="AY3142" s="82" t="s">
        <v>17381</v>
      </c>
      <c r="AZ3142" s="82" t="s">
        <v>17226</v>
      </c>
      <c r="BA3142" s="82" t="s">
        <v>17385</v>
      </c>
      <c r="BB3142" s="82" t="s">
        <v>17385</v>
      </c>
      <c r="BC3142" s="82" t="s">
        <v>17226</v>
      </c>
      <c r="BD3142" s="82" t="s">
        <v>17381</v>
      </c>
      <c r="BE3142" s="77"/>
      <c r="BF3142" s="77"/>
      <c r="BG3142" s="77"/>
      <c r="BH3142" s="77"/>
      <c r="BI3142" s="77"/>
    </row>
    <row r="3143" spans="1:61" x14ac:dyDescent="0.25">
      <c r="A3143" s="62" t="s">
        <v>692</v>
      </c>
      <c r="B3143" s="62" t="s">
        <v>692</v>
      </c>
      <c r="C3143" s="63"/>
      <c r="D3143" s="64"/>
      <c r="E3143" s="65"/>
      <c r="F3143" s="66"/>
      <c r="G3143" s="63"/>
      <c r="H3143" s="67"/>
      <c r="I3143" s="68"/>
      <c r="J3143" s="68"/>
      <c r="K3143" s="32"/>
      <c r="L3143" s="75">
        <v>3143</v>
      </c>
      <c r="M3143" s="75"/>
      <c r="N3143" s="70"/>
      <c r="O3143" s="77" t="s">
        <v>800</v>
      </c>
      <c r="P3143" s="79">
        <v>45082.62835648148</v>
      </c>
      <c r="Q3143" s="77" t="s">
        <v>3920</v>
      </c>
      <c r="R3143" s="77">
        <v>0</v>
      </c>
      <c r="S3143" s="77">
        <v>0</v>
      </c>
      <c r="T3143" s="77">
        <v>0</v>
      </c>
      <c r="U3143" s="77">
        <v>0</v>
      </c>
      <c r="V3143" s="77">
        <v>312</v>
      </c>
      <c r="W3143" s="82" t="s">
        <v>6473</v>
      </c>
      <c r="X3143" s="77"/>
      <c r="Y3143" s="77"/>
      <c r="Z3143" s="77"/>
      <c r="AA3143" s="77"/>
      <c r="AB3143" s="77"/>
      <c r="AC3143" s="82" t="s">
        <v>8232</v>
      </c>
      <c r="AD3143" s="77" t="s">
        <v>8282</v>
      </c>
      <c r="AE3143" s="80" t="str">
        <f>HYPERLINK("https://twitter.com/bpmoney_/status/1665736443564621825")</f>
        <v>https://twitter.com/bpmoney_/status/1665736443564621825</v>
      </c>
      <c r="AF3143" s="79">
        <v>45082.62835648148</v>
      </c>
      <c r="AG3143" s="85">
        <v>45082</v>
      </c>
      <c r="AH3143" s="82" t="s">
        <v>11161</v>
      </c>
      <c r="AI3143" s="77"/>
      <c r="AJ3143" s="77"/>
      <c r="AK3143" s="77"/>
      <c r="AL3143" s="77"/>
      <c r="AM3143" s="77"/>
      <c r="AN3143" s="77"/>
      <c r="AO3143" s="77"/>
      <c r="AP3143" s="77"/>
      <c r="AQ3143" s="77"/>
      <c r="AR3143" s="77"/>
      <c r="AS3143" s="77"/>
      <c r="AT3143" s="77"/>
      <c r="AU3143" s="77"/>
      <c r="AV3143" s="80" t="str">
        <f>HYPERLINK("https://pbs.twimg.com/profile_images/1518936529674117121/MCMYTicP_normal.jpg")</f>
        <v>https://pbs.twimg.com/profile_images/1518936529674117121/MCMYTicP_normal.jpg</v>
      </c>
      <c r="AW3143" s="82" t="s">
        <v>16227</v>
      </c>
      <c r="AX3143" s="82" t="s">
        <v>17227</v>
      </c>
      <c r="AY3143" s="82" t="s">
        <v>17381</v>
      </c>
      <c r="AZ3143" s="82" t="s">
        <v>17227</v>
      </c>
      <c r="BA3143" s="82" t="s">
        <v>17385</v>
      </c>
      <c r="BB3143" s="82" t="s">
        <v>17385</v>
      </c>
      <c r="BC3143" s="82" t="s">
        <v>17227</v>
      </c>
      <c r="BD3143" s="82" t="s">
        <v>17381</v>
      </c>
      <c r="BE3143" s="77"/>
      <c r="BF3143" s="77"/>
      <c r="BG3143" s="77"/>
      <c r="BH3143" s="77"/>
      <c r="BI3143" s="77"/>
    </row>
    <row r="3144" spans="1:61" x14ac:dyDescent="0.25">
      <c r="A3144" s="62" t="s">
        <v>692</v>
      </c>
      <c r="B3144" s="62" t="s">
        <v>692</v>
      </c>
      <c r="C3144" s="63"/>
      <c r="D3144" s="64"/>
      <c r="E3144" s="65"/>
      <c r="F3144" s="66"/>
      <c r="G3144" s="63"/>
      <c r="H3144" s="67"/>
      <c r="I3144" s="68"/>
      <c r="J3144" s="68"/>
      <c r="K3144" s="32"/>
      <c r="L3144" s="75">
        <v>3144</v>
      </c>
      <c r="M3144" s="75"/>
      <c r="N3144" s="70"/>
      <c r="O3144" s="77" t="s">
        <v>800</v>
      </c>
      <c r="P3144" s="79">
        <v>45068.796423611115</v>
      </c>
      <c r="Q3144" s="77" t="s">
        <v>3921</v>
      </c>
      <c r="R3144" s="77">
        <v>0</v>
      </c>
      <c r="S3144" s="77">
        <v>1</v>
      </c>
      <c r="T3144" s="77">
        <v>0</v>
      </c>
      <c r="U3144" s="77">
        <v>0</v>
      </c>
      <c r="V3144" s="77">
        <v>166</v>
      </c>
      <c r="W3144" s="82" t="s">
        <v>6474</v>
      </c>
      <c r="X3144" s="77"/>
      <c r="Y3144" s="77"/>
      <c r="Z3144" s="77"/>
      <c r="AA3144" s="77"/>
      <c r="AB3144" s="77"/>
      <c r="AC3144" s="82" t="s">
        <v>8232</v>
      </c>
      <c r="AD3144" s="77" t="s">
        <v>8282</v>
      </c>
      <c r="AE3144" s="80" t="str">
        <f>HYPERLINK("https://twitter.com/bpmoney_/status/1660723917965631498")</f>
        <v>https://twitter.com/bpmoney_/status/1660723917965631498</v>
      </c>
      <c r="AF3144" s="79">
        <v>45068.796423611115</v>
      </c>
      <c r="AG3144" s="85">
        <v>45068</v>
      </c>
      <c r="AH3144" s="82" t="s">
        <v>11162</v>
      </c>
      <c r="AI3144" s="77"/>
      <c r="AJ3144" s="77"/>
      <c r="AK3144" s="77"/>
      <c r="AL3144" s="77"/>
      <c r="AM3144" s="77"/>
      <c r="AN3144" s="77"/>
      <c r="AO3144" s="77"/>
      <c r="AP3144" s="77"/>
      <c r="AQ3144" s="77"/>
      <c r="AR3144" s="77"/>
      <c r="AS3144" s="77"/>
      <c r="AT3144" s="77"/>
      <c r="AU3144" s="77"/>
      <c r="AV3144" s="80" t="str">
        <f>HYPERLINK("https://pbs.twimg.com/profile_images/1518936529674117121/MCMYTicP_normal.jpg")</f>
        <v>https://pbs.twimg.com/profile_images/1518936529674117121/MCMYTicP_normal.jpg</v>
      </c>
      <c r="AW3144" s="82" t="s">
        <v>16228</v>
      </c>
      <c r="AX3144" s="82" t="s">
        <v>17228</v>
      </c>
      <c r="AY3144" s="82" t="s">
        <v>17381</v>
      </c>
      <c r="AZ3144" s="82" t="s">
        <v>17228</v>
      </c>
      <c r="BA3144" s="82" t="s">
        <v>17385</v>
      </c>
      <c r="BB3144" s="82" t="s">
        <v>17385</v>
      </c>
      <c r="BC3144" s="82" t="s">
        <v>17228</v>
      </c>
      <c r="BD3144" s="82" t="s">
        <v>17381</v>
      </c>
      <c r="BE3144" s="77"/>
      <c r="BF3144" s="77"/>
      <c r="BG3144" s="77"/>
      <c r="BH3144" s="77"/>
      <c r="BI3144" s="77"/>
    </row>
    <row r="3145" spans="1:61" x14ac:dyDescent="0.25">
      <c r="A3145" s="62" t="s">
        <v>692</v>
      </c>
      <c r="B3145" s="62" t="s">
        <v>692</v>
      </c>
      <c r="C3145" s="63"/>
      <c r="D3145" s="64"/>
      <c r="E3145" s="65"/>
      <c r="F3145" s="66"/>
      <c r="G3145" s="63"/>
      <c r="H3145" s="67"/>
      <c r="I3145" s="68"/>
      <c r="J3145" s="68"/>
      <c r="K3145" s="32"/>
      <c r="L3145" s="75">
        <v>3145</v>
      </c>
      <c r="M3145" s="75"/>
      <c r="N3145" s="70"/>
      <c r="O3145" s="77" t="s">
        <v>800</v>
      </c>
      <c r="P3145" s="79">
        <v>45068.649918981479</v>
      </c>
      <c r="Q3145" s="77" t="s">
        <v>3922</v>
      </c>
      <c r="R3145" s="77">
        <v>0</v>
      </c>
      <c r="S3145" s="77">
        <v>0</v>
      </c>
      <c r="T3145" s="77">
        <v>0</v>
      </c>
      <c r="U3145" s="77">
        <v>0</v>
      </c>
      <c r="V3145" s="77">
        <v>121</v>
      </c>
      <c r="W3145" s="82" t="s">
        <v>6475</v>
      </c>
      <c r="X3145" s="77"/>
      <c r="Y3145" s="77"/>
      <c r="Z3145" s="77"/>
      <c r="AA3145" s="77"/>
      <c r="AB3145" s="77"/>
      <c r="AC3145" s="82" t="s">
        <v>8232</v>
      </c>
      <c r="AD3145" s="77" t="s">
        <v>8282</v>
      </c>
      <c r="AE3145" s="80" t="str">
        <f>HYPERLINK("https://twitter.com/bpmoney_/status/1660670827124211712")</f>
        <v>https://twitter.com/bpmoney_/status/1660670827124211712</v>
      </c>
      <c r="AF3145" s="79">
        <v>45068.649918981479</v>
      </c>
      <c r="AG3145" s="85">
        <v>45068</v>
      </c>
      <c r="AH3145" s="82" t="s">
        <v>11163</v>
      </c>
      <c r="AI3145" s="77"/>
      <c r="AJ3145" s="77"/>
      <c r="AK3145" s="77"/>
      <c r="AL3145" s="77"/>
      <c r="AM3145" s="77"/>
      <c r="AN3145" s="77"/>
      <c r="AO3145" s="77"/>
      <c r="AP3145" s="77"/>
      <c r="AQ3145" s="77"/>
      <c r="AR3145" s="77"/>
      <c r="AS3145" s="77"/>
      <c r="AT3145" s="77"/>
      <c r="AU3145" s="77"/>
      <c r="AV3145" s="80" t="str">
        <f>HYPERLINK("https://pbs.twimg.com/profile_images/1518936529674117121/MCMYTicP_normal.jpg")</f>
        <v>https://pbs.twimg.com/profile_images/1518936529674117121/MCMYTicP_normal.jpg</v>
      </c>
      <c r="AW3145" s="82" t="s">
        <v>16229</v>
      </c>
      <c r="AX3145" s="82" t="s">
        <v>17229</v>
      </c>
      <c r="AY3145" s="82" t="s">
        <v>17381</v>
      </c>
      <c r="AZ3145" s="82" t="s">
        <v>17229</v>
      </c>
      <c r="BA3145" s="82" t="s">
        <v>17385</v>
      </c>
      <c r="BB3145" s="82" t="s">
        <v>17385</v>
      </c>
      <c r="BC3145" s="82" t="s">
        <v>17229</v>
      </c>
      <c r="BD3145" s="82" t="s">
        <v>17381</v>
      </c>
      <c r="BE3145" s="77"/>
      <c r="BF3145" s="77"/>
      <c r="BG3145" s="77"/>
      <c r="BH3145" s="77"/>
      <c r="BI3145" s="77"/>
    </row>
    <row r="3146" spans="1:61" x14ac:dyDescent="0.25">
      <c r="A3146" s="62" t="s">
        <v>692</v>
      </c>
      <c r="B3146" s="62" t="s">
        <v>692</v>
      </c>
      <c r="C3146" s="63"/>
      <c r="D3146" s="64"/>
      <c r="E3146" s="65"/>
      <c r="F3146" s="66"/>
      <c r="G3146" s="63"/>
      <c r="H3146" s="67"/>
      <c r="I3146" s="68"/>
      <c r="J3146" s="68"/>
      <c r="K3146" s="32"/>
      <c r="L3146" s="75">
        <v>3146</v>
      </c>
      <c r="M3146" s="75"/>
      <c r="N3146" s="70"/>
      <c r="O3146" s="77" t="s">
        <v>800</v>
      </c>
      <c r="P3146" s="79">
        <v>45068.531435185185</v>
      </c>
      <c r="Q3146" s="77" t="s">
        <v>3923</v>
      </c>
      <c r="R3146" s="77">
        <v>0</v>
      </c>
      <c r="S3146" s="77">
        <v>0</v>
      </c>
      <c r="T3146" s="77">
        <v>0</v>
      </c>
      <c r="U3146" s="77">
        <v>0</v>
      </c>
      <c r="V3146" s="77">
        <v>91</v>
      </c>
      <c r="W3146" s="82" t="s">
        <v>6476</v>
      </c>
      <c r="X3146" s="77"/>
      <c r="Y3146" s="77"/>
      <c r="Z3146" s="77"/>
      <c r="AA3146" s="77"/>
      <c r="AB3146" s="77"/>
      <c r="AC3146" s="82" t="s">
        <v>8232</v>
      </c>
      <c r="AD3146" s="77" t="s">
        <v>8282</v>
      </c>
      <c r="AE3146" s="80" t="str">
        <f>HYPERLINK("https://twitter.com/bpmoney_/status/1660627888557703168")</f>
        <v>https://twitter.com/bpmoney_/status/1660627888557703168</v>
      </c>
      <c r="AF3146" s="79">
        <v>45068.531435185185</v>
      </c>
      <c r="AG3146" s="85">
        <v>45068</v>
      </c>
      <c r="AH3146" s="82" t="s">
        <v>11164</v>
      </c>
      <c r="AI3146" s="77"/>
      <c r="AJ3146" s="77"/>
      <c r="AK3146" s="77"/>
      <c r="AL3146" s="77"/>
      <c r="AM3146" s="77"/>
      <c r="AN3146" s="77"/>
      <c r="AO3146" s="77"/>
      <c r="AP3146" s="77"/>
      <c r="AQ3146" s="77"/>
      <c r="AR3146" s="77"/>
      <c r="AS3146" s="77"/>
      <c r="AT3146" s="77"/>
      <c r="AU3146" s="77"/>
      <c r="AV3146" s="80" t="str">
        <f>HYPERLINK("https://pbs.twimg.com/profile_images/1518936529674117121/MCMYTicP_normal.jpg")</f>
        <v>https://pbs.twimg.com/profile_images/1518936529674117121/MCMYTicP_normal.jpg</v>
      </c>
      <c r="AW3146" s="82" t="s">
        <v>16230</v>
      </c>
      <c r="AX3146" s="82" t="s">
        <v>17230</v>
      </c>
      <c r="AY3146" s="82" t="s">
        <v>17381</v>
      </c>
      <c r="AZ3146" s="82" t="s">
        <v>17230</v>
      </c>
      <c r="BA3146" s="82" t="s">
        <v>17385</v>
      </c>
      <c r="BB3146" s="82" t="s">
        <v>17385</v>
      </c>
      <c r="BC3146" s="82" t="s">
        <v>17230</v>
      </c>
      <c r="BD3146" s="82" t="s">
        <v>17381</v>
      </c>
      <c r="BE3146" s="77"/>
      <c r="BF3146" s="77"/>
      <c r="BG3146" s="77"/>
      <c r="BH3146" s="77"/>
      <c r="BI3146" s="77"/>
    </row>
    <row r="3147" spans="1:61" x14ac:dyDescent="0.25">
      <c r="A3147" s="62" t="s">
        <v>692</v>
      </c>
      <c r="B3147" s="62" t="s">
        <v>692</v>
      </c>
      <c r="C3147" s="63"/>
      <c r="D3147" s="64"/>
      <c r="E3147" s="65"/>
      <c r="F3147" s="66"/>
      <c r="G3147" s="63"/>
      <c r="H3147" s="67"/>
      <c r="I3147" s="68"/>
      <c r="J3147" s="68"/>
      <c r="K3147" s="32"/>
      <c r="L3147" s="75">
        <v>3147</v>
      </c>
      <c r="M3147" s="75"/>
      <c r="N3147" s="70"/>
      <c r="O3147" s="77" t="s">
        <v>800</v>
      </c>
      <c r="P3147" s="79">
        <v>45119.548518518517</v>
      </c>
      <c r="Q3147" s="77" t="s">
        <v>3924</v>
      </c>
      <c r="R3147" s="77">
        <v>0</v>
      </c>
      <c r="S3147" s="77">
        <v>0</v>
      </c>
      <c r="T3147" s="77">
        <v>0</v>
      </c>
      <c r="U3147" s="77">
        <v>0</v>
      </c>
      <c r="V3147" s="77">
        <v>68</v>
      </c>
      <c r="W3147" s="82" t="s">
        <v>6477</v>
      </c>
      <c r="X3147" s="77"/>
      <c r="Y3147" s="77"/>
      <c r="Z3147" s="77"/>
      <c r="AA3147" s="77"/>
      <c r="AB3147" s="77"/>
      <c r="AC3147" s="82" t="s">
        <v>8232</v>
      </c>
      <c r="AD3147" s="77" t="s">
        <v>8282</v>
      </c>
      <c r="AE3147" s="80" t="str">
        <f>HYPERLINK("https://twitter.com/bpmoney_/status/1679115860718354434")</f>
        <v>https://twitter.com/bpmoney_/status/1679115860718354434</v>
      </c>
      <c r="AF3147" s="79">
        <v>45119.548518518517</v>
      </c>
      <c r="AG3147" s="85">
        <v>45119</v>
      </c>
      <c r="AH3147" s="82" t="s">
        <v>11165</v>
      </c>
      <c r="AI3147" s="77"/>
      <c r="AJ3147" s="77"/>
      <c r="AK3147" s="77"/>
      <c r="AL3147" s="77"/>
      <c r="AM3147" s="77"/>
      <c r="AN3147" s="77"/>
      <c r="AO3147" s="77"/>
      <c r="AP3147" s="77"/>
      <c r="AQ3147" s="77"/>
      <c r="AR3147" s="77"/>
      <c r="AS3147" s="77"/>
      <c r="AT3147" s="77"/>
      <c r="AU3147" s="77"/>
      <c r="AV3147" s="80" t="str">
        <f>HYPERLINK("https://pbs.twimg.com/profile_images/1518936529674117121/MCMYTicP_normal.jpg")</f>
        <v>https://pbs.twimg.com/profile_images/1518936529674117121/MCMYTicP_normal.jpg</v>
      </c>
      <c r="AW3147" s="82" t="s">
        <v>16231</v>
      </c>
      <c r="AX3147" s="82" t="s">
        <v>17231</v>
      </c>
      <c r="AY3147" s="82" t="s">
        <v>17381</v>
      </c>
      <c r="AZ3147" s="82" t="s">
        <v>17231</v>
      </c>
      <c r="BA3147" s="82" t="s">
        <v>17385</v>
      </c>
      <c r="BB3147" s="82" t="s">
        <v>17385</v>
      </c>
      <c r="BC3147" s="82" t="s">
        <v>17231</v>
      </c>
      <c r="BD3147" s="82" t="s">
        <v>17381</v>
      </c>
      <c r="BE3147" s="77"/>
      <c r="BF3147" s="77"/>
      <c r="BG3147" s="77"/>
      <c r="BH3147" s="77"/>
      <c r="BI3147" s="77"/>
    </row>
    <row r="3148" spans="1:61" x14ac:dyDescent="0.25">
      <c r="A3148" s="62" t="s">
        <v>692</v>
      </c>
      <c r="B3148" s="62" t="s">
        <v>692</v>
      </c>
      <c r="C3148" s="63"/>
      <c r="D3148" s="64"/>
      <c r="E3148" s="65"/>
      <c r="F3148" s="66"/>
      <c r="G3148" s="63"/>
      <c r="H3148" s="67"/>
      <c r="I3148" s="68"/>
      <c r="J3148" s="68"/>
      <c r="K3148" s="32"/>
      <c r="L3148" s="75">
        <v>3148</v>
      </c>
      <c r="M3148" s="75"/>
      <c r="N3148" s="70"/>
      <c r="O3148" s="77" t="s">
        <v>800</v>
      </c>
      <c r="P3148" s="79">
        <v>45110.719467592593</v>
      </c>
      <c r="Q3148" s="77" t="s">
        <v>3925</v>
      </c>
      <c r="R3148" s="77">
        <v>0</v>
      </c>
      <c r="S3148" s="77">
        <v>1</v>
      </c>
      <c r="T3148" s="77">
        <v>0</v>
      </c>
      <c r="U3148" s="77">
        <v>0</v>
      </c>
      <c r="V3148" s="77">
        <v>90</v>
      </c>
      <c r="W3148" s="82" t="s">
        <v>6478</v>
      </c>
      <c r="X3148" s="77"/>
      <c r="Y3148" s="77"/>
      <c r="Z3148" s="77"/>
      <c r="AA3148" s="77"/>
      <c r="AB3148" s="77"/>
      <c r="AC3148" s="82" t="s">
        <v>8232</v>
      </c>
      <c r="AD3148" s="77" t="s">
        <v>8282</v>
      </c>
      <c r="AE3148" s="80" t="str">
        <f>HYPERLINK("https://twitter.com/bpmoney_/status/1675916318569115652")</f>
        <v>https://twitter.com/bpmoney_/status/1675916318569115652</v>
      </c>
      <c r="AF3148" s="79">
        <v>45110.719467592593</v>
      </c>
      <c r="AG3148" s="85">
        <v>45110</v>
      </c>
      <c r="AH3148" s="82" t="s">
        <v>11166</v>
      </c>
      <c r="AI3148" s="77"/>
      <c r="AJ3148" s="77"/>
      <c r="AK3148" s="77"/>
      <c r="AL3148" s="77"/>
      <c r="AM3148" s="77"/>
      <c r="AN3148" s="77"/>
      <c r="AO3148" s="77"/>
      <c r="AP3148" s="77"/>
      <c r="AQ3148" s="77"/>
      <c r="AR3148" s="77"/>
      <c r="AS3148" s="77"/>
      <c r="AT3148" s="77"/>
      <c r="AU3148" s="77"/>
      <c r="AV3148" s="80" t="str">
        <f>HYPERLINK("https://pbs.twimg.com/profile_images/1518936529674117121/MCMYTicP_normal.jpg")</f>
        <v>https://pbs.twimg.com/profile_images/1518936529674117121/MCMYTicP_normal.jpg</v>
      </c>
      <c r="AW3148" s="82" t="s">
        <v>16232</v>
      </c>
      <c r="AX3148" s="82" t="s">
        <v>17232</v>
      </c>
      <c r="AY3148" s="82" t="s">
        <v>17381</v>
      </c>
      <c r="AZ3148" s="82" t="s">
        <v>17232</v>
      </c>
      <c r="BA3148" s="82" t="s">
        <v>17385</v>
      </c>
      <c r="BB3148" s="82" t="s">
        <v>17385</v>
      </c>
      <c r="BC3148" s="82" t="s">
        <v>17232</v>
      </c>
      <c r="BD3148" s="82" t="s">
        <v>17381</v>
      </c>
      <c r="BE3148" s="77"/>
      <c r="BF3148" s="77"/>
      <c r="BG3148" s="77"/>
      <c r="BH3148" s="77"/>
      <c r="BI3148" s="77"/>
    </row>
    <row r="3149" spans="1:61" x14ac:dyDescent="0.25">
      <c r="A3149" s="62" t="s">
        <v>692</v>
      </c>
      <c r="B3149" s="62" t="s">
        <v>692</v>
      </c>
      <c r="C3149" s="63"/>
      <c r="D3149" s="64"/>
      <c r="E3149" s="65"/>
      <c r="F3149" s="66"/>
      <c r="G3149" s="63"/>
      <c r="H3149" s="67"/>
      <c r="I3149" s="68"/>
      <c r="J3149" s="68"/>
      <c r="K3149" s="32"/>
      <c r="L3149" s="75">
        <v>3149</v>
      </c>
      <c r="M3149" s="75"/>
      <c r="N3149" s="70"/>
      <c r="O3149" s="77" t="s">
        <v>800</v>
      </c>
      <c r="P3149" s="79">
        <v>45110.548043981478</v>
      </c>
      <c r="Q3149" s="77" t="s">
        <v>3926</v>
      </c>
      <c r="R3149" s="77">
        <v>0</v>
      </c>
      <c r="S3149" s="77">
        <v>0</v>
      </c>
      <c r="T3149" s="77">
        <v>0</v>
      </c>
      <c r="U3149" s="77">
        <v>0</v>
      </c>
      <c r="V3149" s="77">
        <v>95</v>
      </c>
      <c r="W3149" s="82" t="s">
        <v>6479</v>
      </c>
      <c r="X3149" s="77"/>
      <c r="Y3149" s="77"/>
      <c r="Z3149" s="77"/>
      <c r="AA3149" s="77"/>
      <c r="AB3149" s="77"/>
      <c r="AC3149" s="82" t="s">
        <v>8232</v>
      </c>
      <c r="AD3149" s="77" t="s">
        <v>8282</v>
      </c>
      <c r="AE3149" s="80" t="str">
        <f>HYPERLINK("https://twitter.com/bpmoney_/status/1675854199421009921")</f>
        <v>https://twitter.com/bpmoney_/status/1675854199421009921</v>
      </c>
      <c r="AF3149" s="79">
        <v>45110.548043981478</v>
      </c>
      <c r="AG3149" s="85">
        <v>45110</v>
      </c>
      <c r="AH3149" s="82" t="s">
        <v>11167</v>
      </c>
      <c r="AI3149" s="77"/>
      <c r="AJ3149" s="77"/>
      <c r="AK3149" s="77"/>
      <c r="AL3149" s="77"/>
      <c r="AM3149" s="77"/>
      <c r="AN3149" s="77"/>
      <c r="AO3149" s="77"/>
      <c r="AP3149" s="77"/>
      <c r="AQ3149" s="77"/>
      <c r="AR3149" s="77"/>
      <c r="AS3149" s="77"/>
      <c r="AT3149" s="77"/>
      <c r="AU3149" s="77"/>
      <c r="AV3149" s="80" t="str">
        <f>HYPERLINK("https://pbs.twimg.com/profile_images/1518936529674117121/MCMYTicP_normal.jpg")</f>
        <v>https://pbs.twimg.com/profile_images/1518936529674117121/MCMYTicP_normal.jpg</v>
      </c>
      <c r="AW3149" s="82" t="s">
        <v>16233</v>
      </c>
      <c r="AX3149" s="82" t="s">
        <v>17233</v>
      </c>
      <c r="AY3149" s="82" t="s">
        <v>17381</v>
      </c>
      <c r="AZ3149" s="82" t="s">
        <v>17233</v>
      </c>
      <c r="BA3149" s="82" t="s">
        <v>17385</v>
      </c>
      <c r="BB3149" s="82" t="s">
        <v>17385</v>
      </c>
      <c r="BC3149" s="82" t="s">
        <v>17233</v>
      </c>
      <c r="BD3149" s="82" t="s">
        <v>17381</v>
      </c>
      <c r="BE3149" s="77"/>
      <c r="BF3149" s="77"/>
      <c r="BG3149" s="77"/>
      <c r="BH3149" s="77"/>
      <c r="BI3149" s="77"/>
    </row>
    <row r="3150" spans="1:61" x14ac:dyDescent="0.25">
      <c r="A3150" s="62" t="s">
        <v>692</v>
      </c>
      <c r="B3150" s="62" t="s">
        <v>692</v>
      </c>
      <c r="C3150" s="63"/>
      <c r="D3150" s="64"/>
      <c r="E3150" s="65"/>
      <c r="F3150" s="66"/>
      <c r="G3150" s="63"/>
      <c r="H3150" s="67"/>
      <c r="I3150" s="68"/>
      <c r="J3150" s="68"/>
      <c r="K3150" s="32"/>
      <c r="L3150" s="75">
        <v>3150</v>
      </c>
      <c r="M3150" s="75"/>
      <c r="N3150" s="70"/>
      <c r="O3150" s="77" t="s">
        <v>800</v>
      </c>
      <c r="P3150" s="79">
        <v>45086.898993055554</v>
      </c>
      <c r="Q3150" s="77" t="s">
        <v>3927</v>
      </c>
      <c r="R3150" s="77">
        <v>0</v>
      </c>
      <c r="S3150" s="77">
        <v>0</v>
      </c>
      <c r="T3150" s="77">
        <v>0</v>
      </c>
      <c r="U3150" s="77">
        <v>0</v>
      </c>
      <c r="V3150" s="77">
        <v>122</v>
      </c>
      <c r="W3150" s="82" t="s">
        <v>6480</v>
      </c>
      <c r="X3150" s="77"/>
      <c r="Y3150" s="77"/>
      <c r="Z3150" s="77"/>
      <c r="AA3150" s="77"/>
      <c r="AB3150" s="77"/>
      <c r="AC3150" s="82" t="s">
        <v>8232</v>
      </c>
      <c r="AD3150" s="77" t="s">
        <v>8282</v>
      </c>
      <c r="AE3150" s="80" t="str">
        <f>HYPERLINK("https://twitter.com/bpmoney_/status/1667284068436701184")</f>
        <v>https://twitter.com/bpmoney_/status/1667284068436701184</v>
      </c>
      <c r="AF3150" s="79">
        <v>45086.898993055554</v>
      </c>
      <c r="AG3150" s="85">
        <v>45086</v>
      </c>
      <c r="AH3150" s="82" t="s">
        <v>11168</v>
      </c>
      <c r="AI3150" s="77"/>
      <c r="AJ3150" s="77"/>
      <c r="AK3150" s="77"/>
      <c r="AL3150" s="77"/>
      <c r="AM3150" s="77"/>
      <c r="AN3150" s="77"/>
      <c r="AO3150" s="77"/>
      <c r="AP3150" s="77"/>
      <c r="AQ3150" s="77"/>
      <c r="AR3150" s="77"/>
      <c r="AS3150" s="77"/>
      <c r="AT3150" s="77"/>
      <c r="AU3150" s="77"/>
      <c r="AV3150" s="80" t="str">
        <f>HYPERLINK("https://pbs.twimg.com/profile_images/1518936529674117121/MCMYTicP_normal.jpg")</f>
        <v>https://pbs.twimg.com/profile_images/1518936529674117121/MCMYTicP_normal.jpg</v>
      </c>
      <c r="AW3150" s="82" t="s">
        <v>16234</v>
      </c>
      <c r="AX3150" s="82" t="s">
        <v>17234</v>
      </c>
      <c r="AY3150" s="82" t="s">
        <v>17381</v>
      </c>
      <c r="AZ3150" s="82" t="s">
        <v>17234</v>
      </c>
      <c r="BA3150" s="82" t="s">
        <v>17385</v>
      </c>
      <c r="BB3150" s="82" t="s">
        <v>17385</v>
      </c>
      <c r="BC3150" s="82" t="s">
        <v>17234</v>
      </c>
      <c r="BD3150" s="82" t="s">
        <v>17381</v>
      </c>
      <c r="BE3150" s="77"/>
      <c r="BF3150" s="77"/>
      <c r="BG3150" s="77"/>
      <c r="BH3150" s="77"/>
      <c r="BI3150" s="77"/>
    </row>
    <row r="3151" spans="1:61" x14ac:dyDescent="0.25">
      <c r="A3151" s="62" t="s">
        <v>692</v>
      </c>
      <c r="B3151" s="62" t="s">
        <v>692</v>
      </c>
      <c r="C3151" s="63"/>
      <c r="D3151" s="64"/>
      <c r="E3151" s="65"/>
      <c r="F3151" s="66"/>
      <c r="G3151" s="63"/>
      <c r="H3151" s="67"/>
      <c r="I3151" s="68"/>
      <c r="J3151" s="68"/>
      <c r="K3151" s="32"/>
      <c r="L3151" s="75">
        <v>3151</v>
      </c>
      <c r="M3151" s="75"/>
      <c r="N3151" s="70"/>
      <c r="O3151" s="77" t="s">
        <v>800</v>
      </c>
      <c r="P3151" s="79">
        <v>45086.628888888888</v>
      </c>
      <c r="Q3151" s="77" t="s">
        <v>3928</v>
      </c>
      <c r="R3151" s="77">
        <v>0</v>
      </c>
      <c r="S3151" s="77">
        <v>0</v>
      </c>
      <c r="T3151" s="77">
        <v>0</v>
      </c>
      <c r="U3151" s="77">
        <v>0</v>
      </c>
      <c r="V3151" s="77">
        <v>314</v>
      </c>
      <c r="W3151" s="82" t="s">
        <v>6481</v>
      </c>
      <c r="X3151" s="77"/>
      <c r="Y3151" s="77"/>
      <c r="Z3151" s="77"/>
      <c r="AA3151" s="77"/>
      <c r="AB3151" s="77"/>
      <c r="AC3151" s="82" t="s">
        <v>8232</v>
      </c>
      <c r="AD3151" s="77" t="s">
        <v>8282</v>
      </c>
      <c r="AE3151" s="80" t="str">
        <f>HYPERLINK("https://twitter.com/bpmoney_/status/1667186186471784449")</f>
        <v>https://twitter.com/bpmoney_/status/1667186186471784449</v>
      </c>
      <c r="AF3151" s="79">
        <v>45086.628888888888</v>
      </c>
      <c r="AG3151" s="85">
        <v>45086</v>
      </c>
      <c r="AH3151" s="82" t="s">
        <v>11169</v>
      </c>
      <c r="AI3151" s="77"/>
      <c r="AJ3151" s="77"/>
      <c r="AK3151" s="77"/>
      <c r="AL3151" s="77"/>
      <c r="AM3151" s="77"/>
      <c r="AN3151" s="77"/>
      <c r="AO3151" s="77"/>
      <c r="AP3151" s="77"/>
      <c r="AQ3151" s="77"/>
      <c r="AR3151" s="77"/>
      <c r="AS3151" s="77"/>
      <c r="AT3151" s="77"/>
      <c r="AU3151" s="77"/>
      <c r="AV3151" s="80" t="str">
        <f>HYPERLINK("https://pbs.twimg.com/profile_images/1518936529674117121/MCMYTicP_normal.jpg")</f>
        <v>https://pbs.twimg.com/profile_images/1518936529674117121/MCMYTicP_normal.jpg</v>
      </c>
      <c r="AW3151" s="82" t="s">
        <v>16235</v>
      </c>
      <c r="AX3151" s="82" t="s">
        <v>17235</v>
      </c>
      <c r="AY3151" s="82" t="s">
        <v>17381</v>
      </c>
      <c r="AZ3151" s="82" t="s">
        <v>17235</v>
      </c>
      <c r="BA3151" s="82" t="s">
        <v>17385</v>
      </c>
      <c r="BB3151" s="82" t="s">
        <v>17385</v>
      </c>
      <c r="BC3151" s="82" t="s">
        <v>17235</v>
      </c>
      <c r="BD3151" s="82" t="s">
        <v>17381</v>
      </c>
      <c r="BE3151" s="77"/>
      <c r="BF3151" s="77"/>
      <c r="BG3151" s="77"/>
      <c r="BH3151" s="77"/>
      <c r="BI3151" s="77"/>
    </row>
    <row r="3152" spans="1:61" x14ac:dyDescent="0.25">
      <c r="A3152" s="62" t="s">
        <v>692</v>
      </c>
      <c r="B3152" s="62" t="s">
        <v>692</v>
      </c>
      <c r="C3152" s="63"/>
      <c r="D3152" s="64"/>
      <c r="E3152" s="65"/>
      <c r="F3152" s="66"/>
      <c r="G3152" s="63"/>
      <c r="H3152" s="67"/>
      <c r="I3152" s="68"/>
      <c r="J3152" s="68"/>
      <c r="K3152" s="32"/>
      <c r="L3152" s="75">
        <v>3152</v>
      </c>
      <c r="M3152" s="75"/>
      <c r="N3152" s="70"/>
      <c r="O3152" s="77" t="s">
        <v>800</v>
      </c>
      <c r="P3152" s="79">
        <v>45072.510972222219</v>
      </c>
      <c r="Q3152" s="77" t="s">
        <v>3929</v>
      </c>
      <c r="R3152" s="77">
        <v>0</v>
      </c>
      <c r="S3152" s="77">
        <v>0</v>
      </c>
      <c r="T3152" s="77">
        <v>0</v>
      </c>
      <c r="U3152" s="77">
        <v>0</v>
      </c>
      <c r="V3152" s="77">
        <v>73</v>
      </c>
      <c r="W3152" s="82" t="s">
        <v>6482</v>
      </c>
      <c r="X3152" s="77"/>
      <c r="Y3152" s="77"/>
      <c r="Z3152" s="77"/>
      <c r="AA3152" s="77"/>
      <c r="AB3152" s="77"/>
      <c r="AC3152" s="82" t="s">
        <v>8232</v>
      </c>
      <c r="AD3152" s="77" t="s">
        <v>8282</v>
      </c>
      <c r="AE3152" s="80" t="str">
        <f>HYPERLINK("https://twitter.com/bpmoney_/status/1662070026763923457")</f>
        <v>https://twitter.com/bpmoney_/status/1662070026763923457</v>
      </c>
      <c r="AF3152" s="79">
        <v>45072.510972222219</v>
      </c>
      <c r="AG3152" s="85">
        <v>45072</v>
      </c>
      <c r="AH3152" s="82" t="s">
        <v>11170</v>
      </c>
      <c r="AI3152" s="77"/>
      <c r="AJ3152" s="77"/>
      <c r="AK3152" s="77"/>
      <c r="AL3152" s="77"/>
      <c r="AM3152" s="77"/>
      <c r="AN3152" s="77"/>
      <c r="AO3152" s="77"/>
      <c r="AP3152" s="77"/>
      <c r="AQ3152" s="77"/>
      <c r="AR3152" s="77"/>
      <c r="AS3152" s="77"/>
      <c r="AT3152" s="77"/>
      <c r="AU3152" s="77"/>
      <c r="AV3152" s="80" t="str">
        <f>HYPERLINK("https://pbs.twimg.com/profile_images/1518936529674117121/MCMYTicP_normal.jpg")</f>
        <v>https://pbs.twimg.com/profile_images/1518936529674117121/MCMYTicP_normal.jpg</v>
      </c>
      <c r="AW3152" s="82" t="s">
        <v>16236</v>
      </c>
      <c r="AX3152" s="82" t="s">
        <v>17236</v>
      </c>
      <c r="AY3152" s="82" t="s">
        <v>17381</v>
      </c>
      <c r="AZ3152" s="82" t="s">
        <v>17236</v>
      </c>
      <c r="BA3152" s="82" t="s">
        <v>17385</v>
      </c>
      <c r="BB3152" s="82" t="s">
        <v>17385</v>
      </c>
      <c r="BC3152" s="82" t="s">
        <v>17236</v>
      </c>
      <c r="BD3152" s="82" t="s">
        <v>17381</v>
      </c>
      <c r="BE3152" s="77"/>
      <c r="BF3152" s="77"/>
      <c r="BG3152" s="77"/>
      <c r="BH3152" s="77"/>
      <c r="BI3152" s="77"/>
    </row>
    <row r="3153" spans="1:61" x14ac:dyDescent="0.25">
      <c r="A3153" s="62" t="s">
        <v>692</v>
      </c>
      <c r="B3153" s="62" t="s">
        <v>692</v>
      </c>
      <c r="C3153" s="63"/>
      <c r="D3153" s="64"/>
      <c r="E3153" s="65"/>
      <c r="F3153" s="66"/>
      <c r="G3153" s="63"/>
      <c r="H3153" s="67"/>
      <c r="I3153" s="68"/>
      <c r="J3153" s="68"/>
      <c r="K3153" s="32"/>
      <c r="L3153" s="75">
        <v>3153</v>
      </c>
      <c r="M3153" s="75"/>
      <c r="N3153" s="70"/>
      <c r="O3153" s="77" t="s">
        <v>800</v>
      </c>
      <c r="P3153" s="79">
        <v>45071.518009259256</v>
      </c>
      <c r="Q3153" s="77" t="s">
        <v>3930</v>
      </c>
      <c r="R3153" s="77">
        <v>0</v>
      </c>
      <c r="S3153" s="77">
        <v>0</v>
      </c>
      <c r="T3153" s="77">
        <v>0</v>
      </c>
      <c r="U3153" s="77">
        <v>0</v>
      </c>
      <c r="V3153" s="77">
        <v>116</v>
      </c>
      <c r="W3153" s="82" t="s">
        <v>6483</v>
      </c>
      <c r="X3153" s="77"/>
      <c r="Y3153" s="77"/>
      <c r="Z3153" s="77"/>
      <c r="AA3153" s="77"/>
      <c r="AB3153" s="77"/>
      <c r="AC3153" s="82" t="s">
        <v>8232</v>
      </c>
      <c r="AD3153" s="77" t="s">
        <v>8282</v>
      </c>
      <c r="AE3153" s="80" t="str">
        <f>HYPERLINK("https://twitter.com/bpmoney_/status/1661710187172974597")</f>
        <v>https://twitter.com/bpmoney_/status/1661710187172974597</v>
      </c>
      <c r="AF3153" s="79">
        <v>45071.518009259256</v>
      </c>
      <c r="AG3153" s="85">
        <v>45071</v>
      </c>
      <c r="AH3153" s="82" t="s">
        <v>11171</v>
      </c>
      <c r="AI3153" s="77"/>
      <c r="AJ3153" s="77"/>
      <c r="AK3153" s="77"/>
      <c r="AL3153" s="77"/>
      <c r="AM3153" s="77"/>
      <c r="AN3153" s="77"/>
      <c r="AO3153" s="77"/>
      <c r="AP3153" s="77"/>
      <c r="AQ3153" s="77"/>
      <c r="AR3153" s="77"/>
      <c r="AS3153" s="77"/>
      <c r="AT3153" s="77"/>
      <c r="AU3153" s="77"/>
      <c r="AV3153" s="80" t="str">
        <f>HYPERLINK("https://pbs.twimg.com/profile_images/1518936529674117121/MCMYTicP_normal.jpg")</f>
        <v>https://pbs.twimg.com/profile_images/1518936529674117121/MCMYTicP_normal.jpg</v>
      </c>
      <c r="AW3153" s="82" t="s">
        <v>16237</v>
      </c>
      <c r="AX3153" s="82" t="s">
        <v>17237</v>
      </c>
      <c r="AY3153" s="82" t="s">
        <v>17381</v>
      </c>
      <c r="AZ3153" s="82" t="s">
        <v>17237</v>
      </c>
      <c r="BA3153" s="82" t="s">
        <v>17385</v>
      </c>
      <c r="BB3153" s="82" t="s">
        <v>17385</v>
      </c>
      <c r="BC3153" s="82" t="s">
        <v>17237</v>
      </c>
      <c r="BD3153" s="82" t="s">
        <v>17381</v>
      </c>
      <c r="BE3153" s="77"/>
      <c r="BF3153" s="77"/>
      <c r="BG3153" s="77"/>
      <c r="BH3153" s="77"/>
      <c r="BI3153" s="77"/>
    </row>
    <row r="3154" spans="1:61" x14ac:dyDescent="0.25">
      <c r="A3154" s="62" t="s">
        <v>692</v>
      </c>
      <c r="B3154" s="62" t="s">
        <v>692</v>
      </c>
      <c r="C3154" s="63"/>
      <c r="D3154" s="64"/>
      <c r="E3154" s="65"/>
      <c r="F3154" s="66"/>
      <c r="G3154" s="63"/>
      <c r="H3154" s="67"/>
      <c r="I3154" s="68"/>
      <c r="J3154" s="68"/>
      <c r="K3154" s="32"/>
      <c r="L3154" s="75">
        <v>3154</v>
      </c>
      <c r="M3154" s="75"/>
      <c r="N3154" s="70"/>
      <c r="O3154" s="77" t="s">
        <v>800</v>
      </c>
      <c r="P3154" s="79">
        <v>45054.852071759262</v>
      </c>
      <c r="Q3154" s="77" t="s">
        <v>3931</v>
      </c>
      <c r="R3154" s="77">
        <v>0</v>
      </c>
      <c r="S3154" s="77">
        <v>0</v>
      </c>
      <c r="T3154" s="77">
        <v>0</v>
      </c>
      <c r="U3154" s="77">
        <v>0</v>
      </c>
      <c r="V3154" s="77">
        <v>192</v>
      </c>
      <c r="W3154" s="82" t="s">
        <v>6484</v>
      </c>
      <c r="X3154" s="77"/>
      <c r="Y3154" s="77"/>
      <c r="Z3154" s="77"/>
      <c r="AA3154" s="77"/>
      <c r="AB3154" s="77"/>
      <c r="AC3154" s="82" t="s">
        <v>8232</v>
      </c>
      <c r="AD3154" s="77" t="s">
        <v>8282</v>
      </c>
      <c r="AE3154" s="80" t="str">
        <f>HYPERLINK("https://twitter.com/bpmoney_/status/1655670652227952654")</f>
        <v>https://twitter.com/bpmoney_/status/1655670652227952654</v>
      </c>
      <c r="AF3154" s="79">
        <v>45054.852071759262</v>
      </c>
      <c r="AG3154" s="85">
        <v>45054</v>
      </c>
      <c r="AH3154" s="82" t="s">
        <v>11172</v>
      </c>
      <c r="AI3154" s="77"/>
      <c r="AJ3154" s="77"/>
      <c r="AK3154" s="77"/>
      <c r="AL3154" s="77"/>
      <c r="AM3154" s="77"/>
      <c r="AN3154" s="77"/>
      <c r="AO3154" s="77"/>
      <c r="AP3154" s="77"/>
      <c r="AQ3154" s="77"/>
      <c r="AR3154" s="77"/>
      <c r="AS3154" s="77"/>
      <c r="AT3154" s="77"/>
      <c r="AU3154" s="77"/>
      <c r="AV3154" s="80" t="str">
        <f>HYPERLINK("https://pbs.twimg.com/profile_images/1518936529674117121/MCMYTicP_normal.jpg")</f>
        <v>https://pbs.twimg.com/profile_images/1518936529674117121/MCMYTicP_normal.jpg</v>
      </c>
      <c r="AW3154" s="82" t="s">
        <v>16238</v>
      </c>
      <c r="AX3154" s="82" t="s">
        <v>17238</v>
      </c>
      <c r="AY3154" s="82" t="s">
        <v>17381</v>
      </c>
      <c r="AZ3154" s="82" t="s">
        <v>17238</v>
      </c>
      <c r="BA3154" s="82" t="s">
        <v>17385</v>
      </c>
      <c r="BB3154" s="82" t="s">
        <v>17385</v>
      </c>
      <c r="BC3154" s="82" t="s">
        <v>17238</v>
      </c>
      <c r="BD3154" s="82" t="s">
        <v>17381</v>
      </c>
      <c r="BE3154" s="77"/>
      <c r="BF3154" s="77"/>
      <c r="BG3154" s="77"/>
      <c r="BH3154" s="77"/>
      <c r="BI3154" s="77"/>
    </row>
    <row r="3155" spans="1:61" x14ac:dyDescent="0.25">
      <c r="A3155" s="62" t="s">
        <v>692</v>
      </c>
      <c r="B3155" s="62" t="s">
        <v>692</v>
      </c>
      <c r="C3155" s="63"/>
      <c r="D3155" s="64"/>
      <c r="E3155" s="65"/>
      <c r="F3155" s="66"/>
      <c r="G3155" s="63"/>
      <c r="H3155" s="67"/>
      <c r="I3155" s="68"/>
      <c r="J3155" s="68"/>
      <c r="K3155" s="32"/>
      <c r="L3155" s="75">
        <v>3155</v>
      </c>
      <c r="M3155" s="75"/>
      <c r="N3155" s="70"/>
      <c r="O3155" s="77" t="s">
        <v>800</v>
      </c>
      <c r="P3155" s="79">
        <v>45054.47216435185</v>
      </c>
      <c r="Q3155" s="77" t="s">
        <v>3932</v>
      </c>
      <c r="R3155" s="77">
        <v>0</v>
      </c>
      <c r="S3155" s="77">
        <v>0</v>
      </c>
      <c r="T3155" s="77">
        <v>0</v>
      </c>
      <c r="U3155" s="77">
        <v>0</v>
      </c>
      <c r="V3155" s="77">
        <v>167</v>
      </c>
      <c r="W3155" s="82" t="s">
        <v>6485</v>
      </c>
      <c r="X3155" s="77"/>
      <c r="Y3155" s="77"/>
      <c r="Z3155" s="77"/>
      <c r="AA3155" s="77"/>
      <c r="AB3155" s="77"/>
      <c r="AC3155" s="82" t="s">
        <v>8232</v>
      </c>
      <c r="AD3155" s="77" t="s">
        <v>8282</v>
      </c>
      <c r="AE3155" s="80" t="str">
        <f>HYPERLINK("https://twitter.com/bpmoney_/status/1655532981522448386")</f>
        <v>https://twitter.com/bpmoney_/status/1655532981522448386</v>
      </c>
      <c r="AF3155" s="79">
        <v>45054.47216435185</v>
      </c>
      <c r="AG3155" s="85">
        <v>45054</v>
      </c>
      <c r="AH3155" s="82" t="s">
        <v>11173</v>
      </c>
      <c r="AI3155" s="77"/>
      <c r="AJ3155" s="77"/>
      <c r="AK3155" s="77"/>
      <c r="AL3155" s="77"/>
      <c r="AM3155" s="77"/>
      <c r="AN3155" s="77"/>
      <c r="AO3155" s="77"/>
      <c r="AP3155" s="77"/>
      <c r="AQ3155" s="77"/>
      <c r="AR3155" s="77"/>
      <c r="AS3155" s="77"/>
      <c r="AT3155" s="77"/>
      <c r="AU3155" s="77"/>
      <c r="AV3155" s="80" t="str">
        <f>HYPERLINK("https://pbs.twimg.com/profile_images/1518936529674117121/MCMYTicP_normal.jpg")</f>
        <v>https://pbs.twimg.com/profile_images/1518936529674117121/MCMYTicP_normal.jpg</v>
      </c>
      <c r="AW3155" s="82" t="s">
        <v>16239</v>
      </c>
      <c r="AX3155" s="82" t="s">
        <v>17239</v>
      </c>
      <c r="AY3155" s="82" t="s">
        <v>17381</v>
      </c>
      <c r="AZ3155" s="82" t="s">
        <v>17239</v>
      </c>
      <c r="BA3155" s="82" t="s">
        <v>17385</v>
      </c>
      <c r="BB3155" s="82" t="s">
        <v>17385</v>
      </c>
      <c r="BC3155" s="82" t="s">
        <v>17239</v>
      </c>
      <c r="BD3155" s="82" t="s">
        <v>17381</v>
      </c>
      <c r="BE3155" s="77"/>
      <c r="BF3155" s="77"/>
      <c r="BG3155" s="77"/>
      <c r="BH3155" s="77"/>
      <c r="BI3155" s="77"/>
    </row>
    <row r="3156" spans="1:61" x14ac:dyDescent="0.25">
      <c r="A3156" s="62" t="s">
        <v>692</v>
      </c>
      <c r="B3156" s="62" t="s">
        <v>692</v>
      </c>
      <c r="C3156" s="63"/>
      <c r="D3156" s="64"/>
      <c r="E3156" s="65"/>
      <c r="F3156" s="66"/>
      <c r="G3156" s="63"/>
      <c r="H3156" s="67"/>
      <c r="I3156" s="68"/>
      <c r="J3156" s="68"/>
      <c r="K3156" s="32"/>
      <c r="L3156" s="75">
        <v>3156</v>
      </c>
      <c r="M3156" s="75"/>
      <c r="N3156" s="70"/>
      <c r="O3156" s="77" t="s">
        <v>800</v>
      </c>
      <c r="P3156" s="79">
        <v>45118.628622685188</v>
      </c>
      <c r="Q3156" s="77" t="s">
        <v>3933</v>
      </c>
      <c r="R3156" s="77">
        <v>0</v>
      </c>
      <c r="S3156" s="77">
        <v>0</v>
      </c>
      <c r="T3156" s="77">
        <v>0</v>
      </c>
      <c r="U3156" s="77">
        <v>0</v>
      </c>
      <c r="V3156" s="77">
        <v>256</v>
      </c>
      <c r="W3156" s="82" t="s">
        <v>6486</v>
      </c>
      <c r="X3156" s="77"/>
      <c r="Y3156" s="77"/>
      <c r="Z3156" s="77"/>
      <c r="AA3156" s="77"/>
      <c r="AB3156" s="77"/>
      <c r="AC3156" s="82" t="s">
        <v>8232</v>
      </c>
      <c r="AD3156" s="77" t="s">
        <v>8282</v>
      </c>
      <c r="AE3156" s="80" t="str">
        <f>HYPERLINK("https://twitter.com/bpmoney_/status/1678782501505101825")</f>
        <v>https://twitter.com/bpmoney_/status/1678782501505101825</v>
      </c>
      <c r="AF3156" s="79">
        <v>45118.628622685188</v>
      </c>
      <c r="AG3156" s="85">
        <v>45118</v>
      </c>
      <c r="AH3156" s="82" t="s">
        <v>11174</v>
      </c>
      <c r="AI3156" s="77"/>
      <c r="AJ3156" s="77"/>
      <c r="AK3156" s="77"/>
      <c r="AL3156" s="77"/>
      <c r="AM3156" s="77"/>
      <c r="AN3156" s="77"/>
      <c r="AO3156" s="77"/>
      <c r="AP3156" s="77"/>
      <c r="AQ3156" s="77"/>
      <c r="AR3156" s="77"/>
      <c r="AS3156" s="77"/>
      <c r="AT3156" s="77"/>
      <c r="AU3156" s="77"/>
      <c r="AV3156" s="80" t="str">
        <f>HYPERLINK("https://pbs.twimg.com/profile_images/1518936529674117121/MCMYTicP_normal.jpg")</f>
        <v>https://pbs.twimg.com/profile_images/1518936529674117121/MCMYTicP_normal.jpg</v>
      </c>
      <c r="AW3156" s="82" t="s">
        <v>16240</v>
      </c>
      <c r="AX3156" s="82" t="s">
        <v>17240</v>
      </c>
      <c r="AY3156" s="82" t="s">
        <v>17381</v>
      </c>
      <c r="AZ3156" s="82" t="s">
        <v>17240</v>
      </c>
      <c r="BA3156" s="82" t="s">
        <v>17385</v>
      </c>
      <c r="BB3156" s="82" t="s">
        <v>17385</v>
      </c>
      <c r="BC3156" s="82" t="s">
        <v>17240</v>
      </c>
      <c r="BD3156" s="82" t="s">
        <v>17381</v>
      </c>
      <c r="BE3156" s="77"/>
      <c r="BF3156" s="77"/>
      <c r="BG3156" s="77"/>
      <c r="BH3156" s="77"/>
      <c r="BI3156" s="77"/>
    </row>
    <row r="3157" spans="1:61" x14ac:dyDescent="0.25">
      <c r="A3157" s="62" t="s">
        <v>692</v>
      </c>
      <c r="B3157" s="62" t="s">
        <v>692</v>
      </c>
      <c r="C3157" s="63"/>
      <c r="D3157" s="64"/>
      <c r="E3157" s="65"/>
      <c r="F3157" s="66"/>
      <c r="G3157" s="63"/>
      <c r="H3157" s="67"/>
      <c r="I3157" s="68"/>
      <c r="J3157" s="68"/>
      <c r="K3157" s="32"/>
      <c r="L3157" s="75">
        <v>3157</v>
      </c>
      <c r="M3157" s="75"/>
      <c r="N3157" s="70"/>
      <c r="O3157" s="77" t="s">
        <v>800</v>
      </c>
      <c r="P3157" s="79">
        <v>45118.573136574072</v>
      </c>
      <c r="Q3157" s="77" t="s">
        <v>3934</v>
      </c>
      <c r="R3157" s="77">
        <v>0</v>
      </c>
      <c r="S3157" s="77">
        <v>0</v>
      </c>
      <c r="T3157" s="77">
        <v>0</v>
      </c>
      <c r="U3157" s="77">
        <v>0</v>
      </c>
      <c r="V3157" s="77">
        <v>156</v>
      </c>
      <c r="W3157" s="82" t="s">
        <v>6487</v>
      </c>
      <c r="X3157" s="77"/>
      <c r="Y3157" s="77"/>
      <c r="Z3157" s="77"/>
      <c r="AA3157" s="77"/>
      <c r="AB3157" s="77"/>
      <c r="AC3157" s="82" t="s">
        <v>8232</v>
      </c>
      <c r="AD3157" s="77" t="s">
        <v>8282</v>
      </c>
      <c r="AE3157" s="80" t="str">
        <f>HYPERLINK("https://twitter.com/bpmoney_/status/1678762395366313984")</f>
        <v>https://twitter.com/bpmoney_/status/1678762395366313984</v>
      </c>
      <c r="AF3157" s="79">
        <v>45118.573136574072</v>
      </c>
      <c r="AG3157" s="85">
        <v>45118</v>
      </c>
      <c r="AH3157" s="82" t="s">
        <v>11175</v>
      </c>
      <c r="AI3157" s="77"/>
      <c r="AJ3157" s="77"/>
      <c r="AK3157" s="77"/>
      <c r="AL3157" s="77"/>
      <c r="AM3157" s="77"/>
      <c r="AN3157" s="77"/>
      <c r="AO3157" s="77"/>
      <c r="AP3157" s="77"/>
      <c r="AQ3157" s="77"/>
      <c r="AR3157" s="77"/>
      <c r="AS3157" s="77"/>
      <c r="AT3157" s="77"/>
      <c r="AU3157" s="77"/>
      <c r="AV3157" s="80" t="str">
        <f>HYPERLINK("https://pbs.twimg.com/profile_images/1518936529674117121/MCMYTicP_normal.jpg")</f>
        <v>https://pbs.twimg.com/profile_images/1518936529674117121/MCMYTicP_normal.jpg</v>
      </c>
      <c r="AW3157" s="82" t="s">
        <v>16241</v>
      </c>
      <c r="AX3157" s="82" t="s">
        <v>17241</v>
      </c>
      <c r="AY3157" s="82" t="s">
        <v>17381</v>
      </c>
      <c r="AZ3157" s="82" t="s">
        <v>17241</v>
      </c>
      <c r="BA3157" s="82" t="s">
        <v>17385</v>
      </c>
      <c r="BB3157" s="82" t="s">
        <v>17385</v>
      </c>
      <c r="BC3157" s="82" t="s">
        <v>17241</v>
      </c>
      <c r="BD3157" s="82" t="s">
        <v>17381</v>
      </c>
      <c r="BE3157" s="77"/>
      <c r="BF3157" s="77"/>
      <c r="BG3157" s="77"/>
      <c r="BH3157" s="77"/>
      <c r="BI3157" s="77"/>
    </row>
    <row r="3158" spans="1:61" x14ac:dyDescent="0.25">
      <c r="A3158" s="62" t="s">
        <v>692</v>
      </c>
      <c r="B3158" s="62" t="s">
        <v>692</v>
      </c>
      <c r="C3158" s="63"/>
      <c r="D3158" s="64"/>
      <c r="E3158" s="65"/>
      <c r="F3158" s="66"/>
      <c r="G3158" s="63"/>
      <c r="H3158" s="67"/>
      <c r="I3158" s="68"/>
      <c r="J3158" s="68"/>
      <c r="K3158" s="32"/>
      <c r="L3158" s="75">
        <v>3158</v>
      </c>
      <c r="M3158" s="75"/>
      <c r="N3158" s="70"/>
      <c r="O3158" s="77" t="s">
        <v>800</v>
      </c>
      <c r="P3158" s="79">
        <v>45117.575949074075</v>
      </c>
      <c r="Q3158" s="77" t="s">
        <v>3935</v>
      </c>
      <c r="R3158" s="77">
        <v>0</v>
      </c>
      <c r="S3158" s="77">
        <v>0</v>
      </c>
      <c r="T3158" s="77">
        <v>0</v>
      </c>
      <c r="U3158" s="77">
        <v>0</v>
      </c>
      <c r="V3158" s="77">
        <v>147</v>
      </c>
      <c r="W3158" s="82" t="s">
        <v>6488</v>
      </c>
      <c r="X3158" s="77"/>
      <c r="Y3158" s="77"/>
      <c r="Z3158" s="77"/>
      <c r="AA3158" s="77"/>
      <c r="AB3158" s="77"/>
      <c r="AC3158" s="82" t="s">
        <v>8232</v>
      </c>
      <c r="AD3158" s="77" t="s">
        <v>8282</v>
      </c>
      <c r="AE3158" s="80" t="str">
        <f>HYPERLINK("https://twitter.com/bpmoney_/status/1678401026443952131")</f>
        <v>https://twitter.com/bpmoney_/status/1678401026443952131</v>
      </c>
      <c r="AF3158" s="79">
        <v>45117.575949074075</v>
      </c>
      <c r="AG3158" s="85">
        <v>45117</v>
      </c>
      <c r="AH3158" s="82" t="s">
        <v>11176</v>
      </c>
      <c r="AI3158" s="77"/>
      <c r="AJ3158" s="77"/>
      <c r="AK3158" s="77"/>
      <c r="AL3158" s="77"/>
      <c r="AM3158" s="77"/>
      <c r="AN3158" s="77"/>
      <c r="AO3158" s="77"/>
      <c r="AP3158" s="77"/>
      <c r="AQ3158" s="77"/>
      <c r="AR3158" s="77"/>
      <c r="AS3158" s="77"/>
      <c r="AT3158" s="77"/>
      <c r="AU3158" s="77"/>
      <c r="AV3158" s="80" t="str">
        <f>HYPERLINK("https://pbs.twimg.com/profile_images/1518936529674117121/MCMYTicP_normal.jpg")</f>
        <v>https://pbs.twimg.com/profile_images/1518936529674117121/MCMYTicP_normal.jpg</v>
      </c>
      <c r="AW3158" s="82" t="s">
        <v>16242</v>
      </c>
      <c r="AX3158" s="82" t="s">
        <v>17242</v>
      </c>
      <c r="AY3158" s="82" t="s">
        <v>17381</v>
      </c>
      <c r="AZ3158" s="82" t="s">
        <v>17242</v>
      </c>
      <c r="BA3158" s="82" t="s">
        <v>17385</v>
      </c>
      <c r="BB3158" s="82" t="s">
        <v>17385</v>
      </c>
      <c r="BC3158" s="82" t="s">
        <v>17242</v>
      </c>
      <c r="BD3158" s="82" t="s">
        <v>17381</v>
      </c>
      <c r="BE3158" s="77"/>
      <c r="BF3158" s="77"/>
      <c r="BG3158" s="77"/>
      <c r="BH3158" s="77"/>
      <c r="BI3158" s="77"/>
    </row>
    <row r="3159" spans="1:61" x14ac:dyDescent="0.25">
      <c r="A3159" s="62" t="s">
        <v>692</v>
      </c>
      <c r="B3159" s="62" t="s">
        <v>692</v>
      </c>
      <c r="C3159" s="63"/>
      <c r="D3159" s="64"/>
      <c r="E3159" s="65"/>
      <c r="F3159" s="66"/>
      <c r="G3159" s="63"/>
      <c r="H3159" s="67"/>
      <c r="I3159" s="68"/>
      <c r="J3159" s="68"/>
      <c r="K3159" s="32"/>
      <c r="L3159" s="75">
        <v>3159</v>
      </c>
      <c r="M3159" s="75"/>
      <c r="N3159" s="70"/>
      <c r="O3159" s="77" t="s">
        <v>800</v>
      </c>
      <c r="P3159" s="79">
        <v>45092.794641203705</v>
      </c>
      <c r="Q3159" s="77" t="s">
        <v>3936</v>
      </c>
      <c r="R3159" s="77">
        <v>0</v>
      </c>
      <c r="S3159" s="77">
        <v>0</v>
      </c>
      <c r="T3159" s="77">
        <v>0</v>
      </c>
      <c r="U3159" s="77">
        <v>0</v>
      </c>
      <c r="V3159" s="77">
        <v>96</v>
      </c>
      <c r="W3159" s="82" t="s">
        <v>6489</v>
      </c>
      <c r="X3159" s="77"/>
      <c r="Y3159" s="77"/>
      <c r="Z3159" s="77"/>
      <c r="AA3159" s="77"/>
      <c r="AB3159" s="77"/>
      <c r="AC3159" s="82" t="s">
        <v>8232</v>
      </c>
      <c r="AD3159" s="77" t="s">
        <v>8282</v>
      </c>
      <c r="AE3159" s="80" t="str">
        <f>HYPERLINK("https://twitter.com/bpmoney_/status/1669420580712468485")</f>
        <v>https://twitter.com/bpmoney_/status/1669420580712468485</v>
      </c>
      <c r="AF3159" s="79">
        <v>45092.794641203705</v>
      </c>
      <c r="AG3159" s="85">
        <v>45092</v>
      </c>
      <c r="AH3159" s="82" t="s">
        <v>11177</v>
      </c>
      <c r="AI3159" s="77"/>
      <c r="AJ3159" s="77"/>
      <c r="AK3159" s="77"/>
      <c r="AL3159" s="77"/>
      <c r="AM3159" s="77"/>
      <c r="AN3159" s="77"/>
      <c r="AO3159" s="77"/>
      <c r="AP3159" s="77"/>
      <c r="AQ3159" s="77"/>
      <c r="AR3159" s="77"/>
      <c r="AS3159" s="77"/>
      <c r="AT3159" s="77"/>
      <c r="AU3159" s="77"/>
      <c r="AV3159" s="80" t="str">
        <f>HYPERLINK("https://pbs.twimg.com/profile_images/1518936529674117121/MCMYTicP_normal.jpg")</f>
        <v>https://pbs.twimg.com/profile_images/1518936529674117121/MCMYTicP_normal.jpg</v>
      </c>
      <c r="AW3159" s="82" t="s">
        <v>16243</v>
      </c>
      <c r="AX3159" s="82" t="s">
        <v>17243</v>
      </c>
      <c r="AY3159" s="82" t="s">
        <v>17381</v>
      </c>
      <c r="AZ3159" s="82" t="s">
        <v>17243</v>
      </c>
      <c r="BA3159" s="82" t="s">
        <v>17385</v>
      </c>
      <c r="BB3159" s="82" t="s">
        <v>17385</v>
      </c>
      <c r="BC3159" s="82" t="s">
        <v>17243</v>
      </c>
      <c r="BD3159" s="82" t="s">
        <v>17381</v>
      </c>
      <c r="BE3159" s="77"/>
      <c r="BF3159" s="77"/>
      <c r="BG3159" s="77"/>
      <c r="BH3159" s="77"/>
      <c r="BI3159" s="77"/>
    </row>
    <row r="3160" spans="1:61" x14ac:dyDescent="0.25">
      <c r="A3160" s="62" t="s">
        <v>692</v>
      </c>
      <c r="B3160" s="62" t="s">
        <v>692</v>
      </c>
      <c r="C3160" s="63"/>
      <c r="D3160" s="64"/>
      <c r="E3160" s="65"/>
      <c r="F3160" s="66"/>
      <c r="G3160" s="63"/>
      <c r="H3160" s="67"/>
      <c r="I3160" s="68"/>
      <c r="J3160" s="68"/>
      <c r="K3160" s="32"/>
      <c r="L3160" s="75">
        <v>3160</v>
      </c>
      <c r="M3160" s="75"/>
      <c r="N3160" s="70"/>
      <c r="O3160" s="77" t="s">
        <v>800</v>
      </c>
      <c r="P3160" s="79">
        <v>45092.573229166665</v>
      </c>
      <c r="Q3160" s="77" t="s">
        <v>3937</v>
      </c>
      <c r="R3160" s="77">
        <v>0</v>
      </c>
      <c r="S3160" s="77">
        <v>0</v>
      </c>
      <c r="T3160" s="77">
        <v>0</v>
      </c>
      <c r="U3160" s="77">
        <v>0</v>
      </c>
      <c r="V3160" s="77">
        <v>88</v>
      </c>
      <c r="W3160" s="82" t="s">
        <v>6490</v>
      </c>
      <c r="X3160" s="77"/>
      <c r="Y3160" s="77"/>
      <c r="Z3160" s="77"/>
      <c r="AA3160" s="77"/>
      <c r="AB3160" s="77"/>
      <c r="AC3160" s="82" t="s">
        <v>8232</v>
      </c>
      <c r="AD3160" s="77" t="s">
        <v>8282</v>
      </c>
      <c r="AE3160" s="80" t="str">
        <f>HYPERLINK("https://twitter.com/bpmoney_/status/1669340345945956353")</f>
        <v>https://twitter.com/bpmoney_/status/1669340345945956353</v>
      </c>
      <c r="AF3160" s="79">
        <v>45092.573229166665</v>
      </c>
      <c r="AG3160" s="85">
        <v>45092</v>
      </c>
      <c r="AH3160" s="82" t="s">
        <v>11178</v>
      </c>
      <c r="AI3160" s="77"/>
      <c r="AJ3160" s="77"/>
      <c r="AK3160" s="77"/>
      <c r="AL3160" s="77"/>
      <c r="AM3160" s="77"/>
      <c r="AN3160" s="77"/>
      <c r="AO3160" s="77"/>
      <c r="AP3160" s="77"/>
      <c r="AQ3160" s="77"/>
      <c r="AR3160" s="77"/>
      <c r="AS3160" s="77"/>
      <c r="AT3160" s="77"/>
      <c r="AU3160" s="77"/>
      <c r="AV3160" s="80" t="str">
        <f>HYPERLINK("https://pbs.twimg.com/profile_images/1518936529674117121/MCMYTicP_normal.jpg")</f>
        <v>https://pbs.twimg.com/profile_images/1518936529674117121/MCMYTicP_normal.jpg</v>
      </c>
      <c r="AW3160" s="82" t="s">
        <v>16244</v>
      </c>
      <c r="AX3160" s="82" t="s">
        <v>17244</v>
      </c>
      <c r="AY3160" s="82" t="s">
        <v>17381</v>
      </c>
      <c r="AZ3160" s="82" t="s">
        <v>17244</v>
      </c>
      <c r="BA3160" s="82" t="s">
        <v>17385</v>
      </c>
      <c r="BB3160" s="82" t="s">
        <v>17385</v>
      </c>
      <c r="BC3160" s="82" t="s">
        <v>17244</v>
      </c>
      <c r="BD3160" s="82" t="s">
        <v>17381</v>
      </c>
      <c r="BE3160" s="77"/>
      <c r="BF3160" s="77"/>
      <c r="BG3160" s="77"/>
      <c r="BH3160" s="77"/>
      <c r="BI3160" s="77"/>
    </row>
    <row r="3161" spans="1:61" x14ac:dyDescent="0.25">
      <c r="A3161" s="62" t="s">
        <v>692</v>
      </c>
      <c r="B3161" s="62" t="s">
        <v>692</v>
      </c>
      <c r="C3161" s="63"/>
      <c r="D3161" s="64"/>
      <c r="E3161" s="65"/>
      <c r="F3161" s="66"/>
      <c r="G3161" s="63"/>
      <c r="H3161" s="67"/>
      <c r="I3161" s="68"/>
      <c r="J3161" s="68"/>
      <c r="K3161" s="32"/>
      <c r="L3161" s="75">
        <v>3161</v>
      </c>
      <c r="M3161" s="75"/>
      <c r="N3161" s="70"/>
      <c r="O3161" s="77" t="s">
        <v>800</v>
      </c>
      <c r="P3161" s="79">
        <v>45092.572488425925</v>
      </c>
      <c r="Q3161" s="77" t="s">
        <v>3938</v>
      </c>
      <c r="R3161" s="77">
        <v>0</v>
      </c>
      <c r="S3161" s="77">
        <v>0</v>
      </c>
      <c r="T3161" s="77">
        <v>0</v>
      </c>
      <c r="U3161" s="77">
        <v>0</v>
      </c>
      <c r="V3161" s="77">
        <v>150</v>
      </c>
      <c r="W3161" s="82" t="s">
        <v>6491</v>
      </c>
      <c r="X3161" s="77"/>
      <c r="Y3161" s="77"/>
      <c r="Z3161" s="77"/>
      <c r="AA3161" s="77"/>
      <c r="AB3161" s="77"/>
      <c r="AC3161" s="82" t="s">
        <v>8232</v>
      </c>
      <c r="AD3161" s="77" t="s">
        <v>8282</v>
      </c>
      <c r="AE3161" s="80" t="str">
        <f>HYPERLINK("https://twitter.com/bpmoney_/status/1669340075572994051")</f>
        <v>https://twitter.com/bpmoney_/status/1669340075572994051</v>
      </c>
      <c r="AF3161" s="79">
        <v>45092.572488425925</v>
      </c>
      <c r="AG3161" s="85">
        <v>45092</v>
      </c>
      <c r="AH3161" s="82" t="s">
        <v>10503</v>
      </c>
      <c r="AI3161" s="77"/>
      <c r="AJ3161" s="77"/>
      <c r="AK3161" s="77"/>
      <c r="AL3161" s="77"/>
      <c r="AM3161" s="77"/>
      <c r="AN3161" s="77"/>
      <c r="AO3161" s="77"/>
      <c r="AP3161" s="77"/>
      <c r="AQ3161" s="77"/>
      <c r="AR3161" s="77"/>
      <c r="AS3161" s="77"/>
      <c r="AT3161" s="77"/>
      <c r="AU3161" s="77"/>
      <c r="AV3161" s="80" t="str">
        <f>HYPERLINK("https://pbs.twimg.com/profile_images/1518936529674117121/MCMYTicP_normal.jpg")</f>
        <v>https://pbs.twimg.com/profile_images/1518936529674117121/MCMYTicP_normal.jpg</v>
      </c>
      <c r="AW3161" s="82" t="s">
        <v>16245</v>
      </c>
      <c r="AX3161" s="82" t="s">
        <v>17245</v>
      </c>
      <c r="AY3161" s="82" t="s">
        <v>17381</v>
      </c>
      <c r="AZ3161" s="82" t="s">
        <v>17245</v>
      </c>
      <c r="BA3161" s="82" t="s">
        <v>17385</v>
      </c>
      <c r="BB3161" s="82" t="s">
        <v>17385</v>
      </c>
      <c r="BC3161" s="82" t="s">
        <v>17245</v>
      </c>
      <c r="BD3161" s="82" t="s">
        <v>17381</v>
      </c>
      <c r="BE3161" s="77"/>
      <c r="BF3161" s="77"/>
      <c r="BG3161" s="77"/>
      <c r="BH3161" s="77"/>
      <c r="BI3161" s="77"/>
    </row>
    <row r="3162" spans="1:61" x14ac:dyDescent="0.25">
      <c r="A3162" s="62" t="s">
        <v>692</v>
      </c>
      <c r="B3162" s="62" t="s">
        <v>692</v>
      </c>
      <c r="C3162" s="63"/>
      <c r="D3162" s="64"/>
      <c r="E3162" s="65"/>
      <c r="F3162" s="66"/>
      <c r="G3162" s="63"/>
      <c r="H3162" s="67"/>
      <c r="I3162" s="68"/>
      <c r="J3162" s="68"/>
      <c r="K3162" s="32"/>
      <c r="L3162" s="75">
        <v>3162</v>
      </c>
      <c r="M3162" s="75"/>
      <c r="N3162" s="70"/>
      <c r="O3162" s="77" t="s">
        <v>800</v>
      </c>
      <c r="P3162" s="79">
        <v>45057.76290509259</v>
      </c>
      <c r="Q3162" s="77" t="s">
        <v>3939</v>
      </c>
      <c r="R3162" s="77">
        <v>0</v>
      </c>
      <c r="S3162" s="77">
        <v>0</v>
      </c>
      <c r="T3162" s="77">
        <v>0</v>
      </c>
      <c r="U3162" s="77">
        <v>0</v>
      </c>
      <c r="V3162" s="77">
        <v>125</v>
      </c>
      <c r="W3162" s="82" t="s">
        <v>6492</v>
      </c>
      <c r="X3162" s="77"/>
      <c r="Y3162" s="77"/>
      <c r="Z3162" s="77"/>
      <c r="AA3162" s="77"/>
      <c r="AB3162" s="77"/>
      <c r="AC3162" s="82" t="s">
        <v>8232</v>
      </c>
      <c r="AD3162" s="77" t="s">
        <v>8282</v>
      </c>
      <c r="AE3162" s="80" t="str">
        <f>HYPERLINK("https://twitter.com/bpmoney_/status/1656725502982250497")</f>
        <v>https://twitter.com/bpmoney_/status/1656725502982250497</v>
      </c>
      <c r="AF3162" s="79">
        <v>45057.76290509259</v>
      </c>
      <c r="AG3162" s="85">
        <v>45057</v>
      </c>
      <c r="AH3162" s="82" t="s">
        <v>11179</v>
      </c>
      <c r="AI3162" s="77"/>
      <c r="AJ3162" s="77"/>
      <c r="AK3162" s="77"/>
      <c r="AL3162" s="77"/>
      <c r="AM3162" s="77"/>
      <c r="AN3162" s="77"/>
      <c r="AO3162" s="77"/>
      <c r="AP3162" s="77"/>
      <c r="AQ3162" s="77"/>
      <c r="AR3162" s="77"/>
      <c r="AS3162" s="77"/>
      <c r="AT3162" s="77"/>
      <c r="AU3162" s="77"/>
      <c r="AV3162" s="80" t="str">
        <f>HYPERLINK("https://pbs.twimg.com/profile_images/1518936529674117121/MCMYTicP_normal.jpg")</f>
        <v>https://pbs.twimg.com/profile_images/1518936529674117121/MCMYTicP_normal.jpg</v>
      </c>
      <c r="AW3162" s="82" t="s">
        <v>16246</v>
      </c>
      <c r="AX3162" s="82" t="s">
        <v>17246</v>
      </c>
      <c r="AY3162" s="82" t="s">
        <v>17381</v>
      </c>
      <c r="AZ3162" s="82" t="s">
        <v>17246</v>
      </c>
      <c r="BA3162" s="82" t="s">
        <v>17385</v>
      </c>
      <c r="BB3162" s="82" t="s">
        <v>17385</v>
      </c>
      <c r="BC3162" s="82" t="s">
        <v>17246</v>
      </c>
      <c r="BD3162" s="82" t="s">
        <v>17381</v>
      </c>
      <c r="BE3162" s="77"/>
      <c r="BF3162" s="77"/>
      <c r="BG3162" s="77"/>
      <c r="BH3162" s="77"/>
      <c r="BI3162" s="77"/>
    </row>
    <row r="3163" spans="1:61" x14ac:dyDescent="0.25">
      <c r="A3163" s="62" t="s">
        <v>692</v>
      </c>
      <c r="B3163" s="62" t="s">
        <v>692</v>
      </c>
      <c r="C3163" s="63"/>
      <c r="D3163" s="64"/>
      <c r="E3163" s="65"/>
      <c r="F3163" s="66"/>
      <c r="G3163" s="63"/>
      <c r="H3163" s="67"/>
      <c r="I3163" s="68"/>
      <c r="J3163" s="68"/>
      <c r="K3163" s="32"/>
      <c r="L3163" s="75">
        <v>3163</v>
      </c>
      <c r="M3163" s="75"/>
      <c r="N3163" s="70"/>
      <c r="O3163" s="77" t="s">
        <v>800</v>
      </c>
      <c r="P3163" s="79">
        <v>45057.65216435185</v>
      </c>
      <c r="Q3163" s="77" t="s">
        <v>3940</v>
      </c>
      <c r="R3163" s="77">
        <v>0</v>
      </c>
      <c r="S3163" s="77">
        <v>0</v>
      </c>
      <c r="T3163" s="77">
        <v>0</v>
      </c>
      <c r="U3163" s="77">
        <v>0</v>
      </c>
      <c r="V3163" s="77">
        <v>125</v>
      </c>
      <c r="W3163" s="82" t="s">
        <v>6493</v>
      </c>
      <c r="X3163" s="77"/>
      <c r="Y3163" s="77"/>
      <c r="Z3163" s="77"/>
      <c r="AA3163" s="77"/>
      <c r="AB3163" s="77"/>
      <c r="AC3163" s="82" t="s">
        <v>8232</v>
      </c>
      <c r="AD3163" s="77" t="s">
        <v>8282</v>
      </c>
      <c r="AE3163" s="80" t="str">
        <f>HYPERLINK("https://twitter.com/bpmoney_/status/1656685372313849857")</f>
        <v>https://twitter.com/bpmoney_/status/1656685372313849857</v>
      </c>
      <c r="AF3163" s="79">
        <v>45057.65216435185</v>
      </c>
      <c r="AG3163" s="85">
        <v>45057</v>
      </c>
      <c r="AH3163" s="82" t="s">
        <v>11180</v>
      </c>
      <c r="AI3163" s="77"/>
      <c r="AJ3163" s="77"/>
      <c r="AK3163" s="77"/>
      <c r="AL3163" s="77"/>
      <c r="AM3163" s="77"/>
      <c r="AN3163" s="77"/>
      <c r="AO3163" s="77"/>
      <c r="AP3163" s="77"/>
      <c r="AQ3163" s="77"/>
      <c r="AR3163" s="77"/>
      <c r="AS3163" s="77"/>
      <c r="AT3163" s="77"/>
      <c r="AU3163" s="77"/>
      <c r="AV3163" s="80" t="str">
        <f>HYPERLINK("https://pbs.twimg.com/profile_images/1518936529674117121/MCMYTicP_normal.jpg")</f>
        <v>https://pbs.twimg.com/profile_images/1518936529674117121/MCMYTicP_normal.jpg</v>
      </c>
      <c r="AW3163" s="82" t="s">
        <v>16247</v>
      </c>
      <c r="AX3163" s="82" t="s">
        <v>17247</v>
      </c>
      <c r="AY3163" s="82" t="s">
        <v>17381</v>
      </c>
      <c r="AZ3163" s="82" t="s">
        <v>17247</v>
      </c>
      <c r="BA3163" s="82" t="s">
        <v>17385</v>
      </c>
      <c r="BB3163" s="82" t="s">
        <v>17385</v>
      </c>
      <c r="BC3163" s="82" t="s">
        <v>17247</v>
      </c>
      <c r="BD3163" s="82" t="s">
        <v>17381</v>
      </c>
      <c r="BE3163" s="77"/>
      <c r="BF3163" s="77"/>
      <c r="BG3163" s="77"/>
      <c r="BH3163" s="77"/>
      <c r="BI3163" s="77"/>
    </row>
    <row r="3164" spans="1:61" x14ac:dyDescent="0.25">
      <c r="A3164" s="62" t="s">
        <v>692</v>
      </c>
      <c r="B3164" s="62" t="s">
        <v>692</v>
      </c>
      <c r="C3164" s="63"/>
      <c r="D3164" s="64"/>
      <c r="E3164" s="65"/>
      <c r="F3164" s="66"/>
      <c r="G3164" s="63"/>
      <c r="H3164" s="67"/>
      <c r="I3164" s="68"/>
      <c r="J3164" s="68"/>
      <c r="K3164" s="32"/>
      <c r="L3164" s="75">
        <v>3164</v>
      </c>
      <c r="M3164" s="75"/>
      <c r="N3164" s="70"/>
      <c r="O3164" s="77" t="s">
        <v>800</v>
      </c>
      <c r="P3164" s="79">
        <v>45056.614004629628</v>
      </c>
      <c r="Q3164" s="77" t="s">
        <v>3941</v>
      </c>
      <c r="R3164" s="77">
        <v>0</v>
      </c>
      <c r="S3164" s="77">
        <v>0</v>
      </c>
      <c r="T3164" s="77">
        <v>0</v>
      </c>
      <c r="U3164" s="77">
        <v>0</v>
      </c>
      <c r="V3164" s="77">
        <v>93</v>
      </c>
      <c r="W3164" s="82" t="s">
        <v>6494</v>
      </c>
      <c r="X3164" s="77"/>
      <c r="Y3164" s="77"/>
      <c r="Z3164" s="77"/>
      <c r="AA3164" s="77"/>
      <c r="AB3164" s="77"/>
      <c r="AC3164" s="82" t="s">
        <v>8232</v>
      </c>
      <c r="AD3164" s="77" t="s">
        <v>8282</v>
      </c>
      <c r="AE3164" s="80" t="str">
        <f>HYPERLINK("https://twitter.com/bpmoney_/status/1656309159321653249")</f>
        <v>https://twitter.com/bpmoney_/status/1656309159321653249</v>
      </c>
      <c r="AF3164" s="79">
        <v>45056.614004629628</v>
      </c>
      <c r="AG3164" s="85">
        <v>45056</v>
      </c>
      <c r="AH3164" s="82" t="s">
        <v>11181</v>
      </c>
      <c r="AI3164" s="77"/>
      <c r="AJ3164" s="77"/>
      <c r="AK3164" s="77"/>
      <c r="AL3164" s="77"/>
      <c r="AM3164" s="77"/>
      <c r="AN3164" s="77"/>
      <c r="AO3164" s="77"/>
      <c r="AP3164" s="77"/>
      <c r="AQ3164" s="77"/>
      <c r="AR3164" s="77"/>
      <c r="AS3164" s="77"/>
      <c r="AT3164" s="77"/>
      <c r="AU3164" s="77"/>
      <c r="AV3164" s="80" t="str">
        <f>HYPERLINK("https://pbs.twimg.com/profile_images/1518936529674117121/MCMYTicP_normal.jpg")</f>
        <v>https://pbs.twimg.com/profile_images/1518936529674117121/MCMYTicP_normal.jpg</v>
      </c>
      <c r="AW3164" s="82" t="s">
        <v>16248</v>
      </c>
      <c r="AX3164" s="82" t="s">
        <v>17248</v>
      </c>
      <c r="AY3164" s="82" t="s">
        <v>17381</v>
      </c>
      <c r="AZ3164" s="82" t="s">
        <v>17248</v>
      </c>
      <c r="BA3164" s="82" t="s">
        <v>17385</v>
      </c>
      <c r="BB3164" s="82" t="s">
        <v>17385</v>
      </c>
      <c r="BC3164" s="82" t="s">
        <v>17248</v>
      </c>
      <c r="BD3164" s="82" t="s">
        <v>17381</v>
      </c>
      <c r="BE3164" s="77"/>
      <c r="BF3164" s="77"/>
      <c r="BG3164" s="77"/>
      <c r="BH3164" s="77"/>
      <c r="BI3164" s="77"/>
    </row>
    <row r="3165" spans="1:61" x14ac:dyDescent="0.25">
      <c r="A3165" s="62" t="s">
        <v>692</v>
      </c>
      <c r="B3165" s="62" t="s">
        <v>692</v>
      </c>
      <c r="C3165" s="63"/>
      <c r="D3165" s="64"/>
      <c r="E3165" s="65"/>
      <c r="F3165" s="66"/>
      <c r="G3165" s="63"/>
      <c r="H3165" s="67"/>
      <c r="I3165" s="68"/>
      <c r="J3165" s="68"/>
      <c r="K3165" s="32"/>
      <c r="L3165" s="75">
        <v>3165</v>
      </c>
      <c r="M3165" s="75"/>
      <c r="N3165" s="70"/>
      <c r="O3165" s="77" t="s">
        <v>800</v>
      </c>
      <c r="P3165" s="79">
        <v>45055.540648148148</v>
      </c>
      <c r="Q3165" s="77" t="s">
        <v>3942</v>
      </c>
      <c r="R3165" s="77">
        <v>0</v>
      </c>
      <c r="S3165" s="77">
        <v>0</v>
      </c>
      <c r="T3165" s="77">
        <v>0</v>
      </c>
      <c r="U3165" s="77">
        <v>0</v>
      </c>
      <c r="V3165" s="77">
        <v>121</v>
      </c>
      <c r="W3165" s="82" t="s">
        <v>6495</v>
      </c>
      <c r="X3165" s="77"/>
      <c r="Y3165" s="77"/>
      <c r="Z3165" s="77"/>
      <c r="AA3165" s="77"/>
      <c r="AB3165" s="77"/>
      <c r="AC3165" s="82" t="s">
        <v>8232</v>
      </c>
      <c r="AD3165" s="77" t="s">
        <v>8282</v>
      </c>
      <c r="AE3165" s="80" t="str">
        <f>HYPERLINK("https://twitter.com/bpmoney_/status/1655920186782785541")</f>
        <v>https://twitter.com/bpmoney_/status/1655920186782785541</v>
      </c>
      <c r="AF3165" s="79">
        <v>45055.540648148148</v>
      </c>
      <c r="AG3165" s="85">
        <v>45055</v>
      </c>
      <c r="AH3165" s="82" t="s">
        <v>11182</v>
      </c>
      <c r="AI3165" s="77"/>
      <c r="AJ3165" s="77"/>
      <c r="AK3165" s="77"/>
      <c r="AL3165" s="77"/>
      <c r="AM3165" s="77"/>
      <c r="AN3165" s="77"/>
      <c r="AO3165" s="77"/>
      <c r="AP3165" s="77"/>
      <c r="AQ3165" s="77"/>
      <c r="AR3165" s="77"/>
      <c r="AS3165" s="77"/>
      <c r="AT3165" s="77"/>
      <c r="AU3165" s="77"/>
      <c r="AV3165" s="80" t="str">
        <f>HYPERLINK("https://pbs.twimg.com/profile_images/1518936529674117121/MCMYTicP_normal.jpg")</f>
        <v>https://pbs.twimg.com/profile_images/1518936529674117121/MCMYTicP_normal.jpg</v>
      </c>
      <c r="AW3165" s="82" t="s">
        <v>16249</v>
      </c>
      <c r="AX3165" s="82" t="s">
        <v>17249</v>
      </c>
      <c r="AY3165" s="82" t="s">
        <v>17381</v>
      </c>
      <c r="AZ3165" s="82" t="s">
        <v>17249</v>
      </c>
      <c r="BA3165" s="82" t="s">
        <v>17385</v>
      </c>
      <c r="BB3165" s="82" t="s">
        <v>17385</v>
      </c>
      <c r="BC3165" s="82" t="s">
        <v>17249</v>
      </c>
      <c r="BD3165" s="82" t="s">
        <v>17381</v>
      </c>
      <c r="BE3165" s="77"/>
      <c r="BF3165" s="77"/>
      <c r="BG3165" s="77"/>
      <c r="BH3165" s="77"/>
      <c r="BI3165" s="77"/>
    </row>
    <row r="3166" spans="1:61" x14ac:dyDescent="0.25">
      <c r="A3166" s="62" t="s">
        <v>692</v>
      </c>
      <c r="B3166" s="62" t="s">
        <v>692</v>
      </c>
      <c r="C3166" s="63"/>
      <c r="D3166" s="64"/>
      <c r="E3166" s="65"/>
      <c r="F3166" s="66"/>
      <c r="G3166" s="63"/>
      <c r="H3166" s="67"/>
      <c r="I3166" s="68"/>
      <c r="J3166" s="68"/>
      <c r="K3166" s="32"/>
      <c r="L3166" s="75">
        <v>3166</v>
      </c>
      <c r="M3166" s="75"/>
      <c r="N3166" s="70"/>
      <c r="O3166" s="77" t="s">
        <v>800</v>
      </c>
      <c r="P3166" s="79">
        <v>45114.571574074071</v>
      </c>
      <c r="Q3166" s="77" t="s">
        <v>3943</v>
      </c>
      <c r="R3166" s="77">
        <v>0</v>
      </c>
      <c r="S3166" s="77">
        <v>0</v>
      </c>
      <c r="T3166" s="77">
        <v>0</v>
      </c>
      <c r="U3166" s="77">
        <v>0</v>
      </c>
      <c r="V3166" s="77">
        <v>88</v>
      </c>
      <c r="W3166" s="82" t="s">
        <v>6496</v>
      </c>
      <c r="X3166" s="77"/>
      <c r="Y3166" s="77"/>
      <c r="Z3166" s="77"/>
      <c r="AA3166" s="77"/>
      <c r="AB3166" s="77"/>
      <c r="AC3166" s="82" t="s">
        <v>8232</v>
      </c>
      <c r="AD3166" s="77" t="s">
        <v>8282</v>
      </c>
      <c r="AE3166" s="80" t="str">
        <f>HYPERLINK("https://twitter.com/bpmoney_/status/1677312277488304129")</f>
        <v>https://twitter.com/bpmoney_/status/1677312277488304129</v>
      </c>
      <c r="AF3166" s="79">
        <v>45114.571574074071</v>
      </c>
      <c r="AG3166" s="85">
        <v>45114</v>
      </c>
      <c r="AH3166" s="82" t="s">
        <v>11183</v>
      </c>
      <c r="AI3166" s="77"/>
      <c r="AJ3166" s="77"/>
      <c r="AK3166" s="77"/>
      <c r="AL3166" s="77"/>
      <c r="AM3166" s="77"/>
      <c r="AN3166" s="77"/>
      <c r="AO3166" s="77"/>
      <c r="AP3166" s="77"/>
      <c r="AQ3166" s="77"/>
      <c r="AR3166" s="77"/>
      <c r="AS3166" s="77"/>
      <c r="AT3166" s="77"/>
      <c r="AU3166" s="77"/>
      <c r="AV3166" s="80" t="str">
        <f>HYPERLINK("https://pbs.twimg.com/profile_images/1518936529674117121/MCMYTicP_normal.jpg")</f>
        <v>https://pbs.twimg.com/profile_images/1518936529674117121/MCMYTicP_normal.jpg</v>
      </c>
      <c r="AW3166" s="82" t="s">
        <v>16250</v>
      </c>
      <c r="AX3166" s="82" t="s">
        <v>17250</v>
      </c>
      <c r="AY3166" s="82" t="s">
        <v>17381</v>
      </c>
      <c r="AZ3166" s="82" t="s">
        <v>17250</v>
      </c>
      <c r="BA3166" s="82" t="s">
        <v>17385</v>
      </c>
      <c r="BB3166" s="82" t="s">
        <v>17385</v>
      </c>
      <c r="BC3166" s="82" t="s">
        <v>17250</v>
      </c>
      <c r="BD3166" s="82" t="s">
        <v>17381</v>
      </c>
      <c r="BE3166" s="77"/>
      <c r="BF3166" s="77"/>
      <c r="BG3166" s="77"/>
      <c r="BH3166" s="77"/>
      <c r="BI3166" s="77"/>
    </row>
    <row r="3167" spans="1:61" x14ac:dyDescent="0.25">
      <c r="A3167" s="62" t="s">
        <v>692</v>
      </c>
      <c r="B3167" s="62" t="s">
        <v>692</v>
      </c>
      <c r="C3167" s="63"/>
      <c r="D3167" s="64"/>
      <c r="E3167" s="65"/>
      <c r="F3167" s="66"/>
      <c r="G3167" s="63"/>
      <c r="H3167" s="67"/>
      <c r="I3167" s="68"/>
      <c r="J3167" s="68"/>
      <c r="K3167" s="32"/>
      <c r="L3167" s="75">
        <v>3167</v>
      </c>
      <c r="M3167" s="75"/>
      <c r="N3167" s="70"/>
      <c r="O3167" s="77" t="s">
        <v>800</v>
      </c>
      <c r="P3167" s="79">
        <v>45113.612002314818</v>
      </c>
      <c r="Q3167" s="77" t="s">
        <v>3944</v>
      </c>
      <c r="R3167" s="77">
        <v>0</v>
      </c>
      <c r="S3167" s="77">
        <v>0</v>
      </c>
      <c r="T3167" s="77">
        <v>0</v>
      </c>
      <c r="U3167" s="77">
        <v>0</v>
      </c>
      <c r="V3167" s="77">
        <v>159</v>
      </c>
      <c r="W3167" s="82" t="s">
        <v>6497</v>
      </c>
      <c r="X3167" s="77"/>
      <c r="Y3167" s="77"/>
      <c r="Z3167" s="77"/>
      <c r="AA3167" s="77"/>
      <c r="AB3167" s="77"/>
      <c r="AC3167" s="82" t="s">
        <v>8232</v>
      </c>
      <c r="AD3167" s="77" t="s">
        <v>8282</v>
      </c>
      <c r="AE3167" s="80" t="str">
        <f>HYPERLINK("https://twitter.com/bpmoney_/status/1676964538636451842")</f>
        <v>https://twitter.com/bpmoney_/status/1676964538636451842</v>
      </c>
      <c r="AF3167" s="79">
        <v>45113.612002314818</v>
      </c>
      <c r="AG3167" s="85">
        <v>45113</v>
      </c>
      <c r="AH3167" s="82" t="s">
        <v>11184</v>
      </c>
      <c r="AI3167" s="77"/>
      <c r="AJ3167" s="77"/>
      <c r="AK3167" s="77"/>
      <c r="AL3167" s="77"/>
      <c r="AM3167" s="77"/>
      <c r="AN3167" s="77"/>
      <c r="AO3167" s="77"/>
      <c r="AP3167" s="77"/>
      <c r="AQ3167" s="77"/>
      <c r="AR3167" s="77"/>
      <c r="AS3167" s="77"/>
      <c r="AT3167" s="77"/>
      <c r="AU3167" s="77"/>
      <c r="AV3167" s="80" t="str">
        <f>HYPERLINK("https://pbs.twimg.com/profile_images/1518936529674117121/MCMYTicP_normal.jpg")</f>
        <v>https://pbs.twimg.com/profile_images/1518936529674117121/MCMYTicP_normal.jpg</v>
      </c>
      <c r="AW3167" s="82" t="s">
        <v>16251</v>
      </c>
      <c r="AX3167" s="82" t="s">
        <v>17251</v>
      </c>
      <c r="AY3167" s="82" t="s">
        <v>17381</v>
      </c>
      <c r="AZ3167" s="82" t="s">
        <v>17251</v>
      </c>
      <c r="BA3167" s="82" t="s">
        <v>17385</v>
      </c>
      <c r="BB3167" s="82" t="s">
        <v>17385</v>
      </c>
      <c r="BC3167" s="82" t="s">
        <v>17251</v>
      </c>
      <c r="BD3167" s="82" t="s">
        <v>17381</v>
      </c>
      <c r="BE3167" s="77"/>
      <c r="BF3167" s="77"/>
      <c r="BG3167" s="77"/>
      <c r="BH3167" s="77"/>
      <c r="BI3167" s="77"/>
    </row>
    <row r="3168" spans="1:61" x14ac:dyDescent="0.25">
      <c r="A3168" s="62" t="s">
        <v>692</v>
      </c>
      <c r="B3168" s="62" t="s">
        <v>692</v>
      </c>
      <c r="C3168" s="63"/>
      <c r="D3168" s="64"/>
      <c r="E3168" s="65"/>
      <c r="F3168" s="66"/>
      <c r="G3168" s="63"/>
      <c r="H3168" s="67"/>
      <c r="I3168" s="68"/>
      <c r="J3168" s="68"/>
      <c r="K3168" s="32"/>
      <c r="L3168" s="75">
        <v>3168</v>
      </c>
      <c r="M3168" s="75"/>
      <c r="N3168" s="70"/>
      <c r="O3168" s="77" t="s">
        <v>800</v>
      </c>
      <c r="P3168" s="79">
        <v>45112.879687499997</v>
      </c>
      <c r="Q3168" s="77" t="s">
        <v>3945</v>
      </c>
      <c r="R3168" s="77">
        <v>0</v>
      </c>
      <c r="S3168" s="77">
        <v>0</v>
      </c>
      <c r="T3168" s="77">
        <v>0</v>
      </c>
      <c r="U3168" s="77">
        <v>0</v>
      </c>
      <c r="V3168" s="77">
        <v>99</v>
      </c>
      <c r="W3168" s="82" t="s">
        <v>6498</v>
      </c>
      <c r="X3168" s="77"/>
      <c r="Y3168" s="77"/>
      <c r="Z3168" s="77"/>
      <c r="AA3168" s="77"/>
      <c r="AB3168" s="77"/>
      <c r="AC3168" s="82" t="s">
        <v>8232</v>
      </c>
      <c r="AD3168" s="77" t="s">
        <v>8282</v>
      </c>
      <c r="AE3168" s="80" t="str">
        <f>HYPERLINK("https://twitter.com/bpmoney_/status/1676699156717420544")</f>
        <v>https://twitter.com/bpmoney_/status/1676699156717420544</v>
      </c>
      <c r="AF3168" s="79">
        <v>45112.879687499997</v>
      </c>
      <c r="AG3168" s="85">
        <v>45112</v>
      </c>
      <c r="AH3168" s="82" t="s">
        <v>11185</v>
      </c>
      <c r="AI3168" s="77"/>
      <c r="AJ3168" s="77"/>
      <c r="AK3168" s="77"/>
      <c r="AL3168" s="77"/>
      <c r="AM3168" s="77"/>
      <c r="AN3168" s="77"/>
      <c r="AO3168" s="77"/>
      <c r="AP3168" s="77"/>
      <c r="AQ3168" s="77"/>
      <c r="AR3168" s="77"/>
      <c r="AS3168" s="77"/>
      <c r="AT3168" s="77"/>
      <c r="AU3168" s="77"/>
      <c r="AV3168" s="80" t="str">
        <f>HYPERLINK("https://pbs.twimg.com/profile_images/1518936529674117121/MCMYTicP_normal.jpg")</f>
        <v>https://pbs.twimg.com/profile_images/1518936529674117121/MCMYTicP_normal.jpg</v>
      </c>
      <c r="AW3168" s="82" t="s">
        <v>16252</v>
      </c>
      <c r="AX3168" s="82" t="s">
        <v>17252</v>
      </c>
      <c r="AY3168" s="82" t="s">
        <v>17381</v>
      </c>
      <c r="AZ3168" s="82" t="s">
        <v>17252</v>
      </c>
      <c r="BA3168" s="82" t="s">
        <v>17385</v>
      </c>
      <c r="BB3168" s="82" t="s">
        <v>17385</v>
      </c>
      <c r="BC3168" s="82" t="s">
        <v>17252</v>
      </c>
      <c r="BD3168" s="82" t="s">
        <v>17381</v>
      </c>
      <c r="BE3168" s="77"/>
      <c r="BF3168" s="77"/>
      <c r="BG3168" s="77"/>
      <c r="BH3168" s="77"/>
      <c r="BI3168" s="77"/>
    </row>
    <row r="3169" spans="1:61" x14ac:dyDescent="0.25">
      <c r="A3169" s="62" t="s">
        <v>692</v>
      </c>
      <c r="B3169" s="62" t="s">
        <v>692</v>
      </c>
      <c r="C3169" s="63"/>
      <c r="D3169" s="64"/>
      <c r="E3169" s="65"/>
      <c r="F3169" s="66"/>
      <c r="G3169" s="63"/>
      <c r="H3169" s="67"/>
      <c r="I3169" s="68"/>
      <c r="J3169" s="68"/>
      <c r="K3169" s="32"/>
      <c r="L3169" s="75">
        <v>3169</v>
      </c>
      <c r="M3169" s="75"/>
      <c r="N3169" s="70"/>
      <c r="O3169" s="77" t="s">
        <v>800</v>
      </c>
      <c r="P3169" s="79">
        <v>45112.569641203707</v>
      </c>
      <c r="Q3169" s="77" t="s">
        <v>3946</v>
      </c>
      <c r="R3169" s="77">
        <v>0</v>
      </c>
      <c r="S3169" s="77">
        <v>0</v>
      </c>
      <c r="T3169" s="77">
        <v>0</v>
      </c>
      <c r="U3169" s="77">
        <v>0</v>
      </c>
      <c r="V3169" s="77">
        <v>175</v>
      </c>
      <c r="W3169" s="82" t="s">
        <v>6499</v>
      </c>
      <c r="X3169" s="77"/>
      <c r="Y3169" s="77"/>
      <c r="Z3169" s="77"/>
      <c r="AA3169" s="77"/>
      <c r="AB3169" s="77"/>
      <c r="AC3169" s="82" t="s">
        <v>8232</v>
      </c>
      <c r="AD3169" s="77" t="s">
        <v>8282</v>
      </c>
      <c r="AE3169" s="80" t="str">
        <f>HYPERLINK("https://twitter.com/bpmoney_/status/1676586801048219653")</f>
        <v>https://twitter.com/bpmoney_/status/1676586801048219653</v>
      </c>
      <c r="AF3169" s="79">
        <v>45112.569641203707</v>
      </c>
      <c r="AG3169" s="85">
        <v>45112</v>
      </c>
      <c r="AH3169" s="82" t="s">
        <v>11186</v>
      </c>
      <c r="AI3169" s="77"/>
      <c r="AJ3169" s="77"/>
      <c r="AK3169" s="77"/>
      <c r="AL3169" s="77"/>
      <c r="AM3169" s="77"/>
      <c r="AN3169" s="77"/>
      <c r="AO3169" s="77"/>
      <c r="AP3169" s="77"/>
      <c r="AQ3169" s="77"/>
      <c r="AR3169" s="77"/>
      <c r="AS3169" s="77"/>
      <c r="AT3169" s="77"/>
      <c r="AU3169" s="77"/>
      <c r="AV3169" s="80" t="str">
        <f>HYPERLINK("https://pbs.twimg.com/profile_images/1518936529674117121/MCMYTicP_normal.jpg")</f>
        <v>https://pbs.twimg.com/profile_images/1518936529674117121/MCMYTicP_normal.jpg</v>
      </c>
      <c r="AW3169" s="82" t="s">
        <v>16253</v>
      </c>
      <c r="AX3169" s="82" t="s">
        <v>17253</v>
      </c>
      <c r="AY3169" s="82" t="s">
        <v>17381</v>
      </c>
      <c r="AZ3169" s="82" t="s">
        <v>17253</v>
      </c>
      <c r="BA3169" s="82" t="s">
        <v>17385</v>
      </c>
      <c r="BB3169" s="82" t="s">
        <v>17385</v>
      </c>
      <c r="BC3169" s="82" t="s">
        <v>17253</v>
      </c>
      <c r="BD3169" s="82" t="s">
        <v>17381</v>
      </c>
      <c r="BE3169" s="77"/>
      <c r="BF3169" s="77"/>
      <c r="BG3169" s="77"/>
      <c r="BH3169" s="77"/>
      <c r="BI3169" s="77"/>
    </row>
    <row r="3170" spans="1:61" x14ac:dyDescent="0.25">
      <c r="A3170" s="62" t="s">
        <v>692</v>
      </c>
      <c r="B3170" s="62" t="s">
        <v>692</v>
      </c>
      <c r="C3170" s="63"/>
      <c r="D3170" s="64"/>
      <c r="E3170" s="65"/>
      <c r="F3170" s="66"/>
      <c r="G3170" s="63"/>
      <c r="H3170" s="67"/>
      <c r="I3170" s="68"/>
      <c r="J3170" s="68"/>
      <c r="K3170" s="32"/>
      <c r="L3170" s="75">
        <v>3170</v>
      </c>
      <c r="M3170" s="75"/>
      <c r="N3170" s="70"/>
      <c r="O3170" s="77" t="s">
        <v>800</v>
      </c>
      <c r="P3170" s="79">
        <v>45090.827581018515</v>
      </c>
      <c r="Q3170" s="77" t="s">
        <v>3947</v>
      </c>
      <c r="R3170" s="77">
        <v>0</v>
      </c>
      <c r="S3170" s="77">
        <v>0</v>
      </c>
      <c r="T3170" s="77">
        <v>0</v>
      </c>
      <c r="U3170" s="77">
        <v>0</v>
      </c>
      <c r="V3170" s="77">
        <v>302</v>
      </c>
      <c r="W3170" s="82" t="s">
        <v>6500</v>
      </c>
      <c r="X3170" s="77"/>
      <c r="Y3170" s="77"/>
      <c r="Z3170" s="77"/>
      <c r="AA3170" s="77"/>
      <c r="AB3170" s="77"/>
      <c r="AC3170" s="82" t="s">
        <v>8232</v>
      </c>
      <c r="AD3170" s="77" t="s">
        <v>8282</v>
      </c>
      <c r="AE3170" s="80" t="str">
        <f>HYPERLINK("https://twitter.com/bpmoney_/status/1668707743295840256")</f>
        <v>https://twitter.com/bpmoney_/status/1668707743295840256</v>
      </c>
      <c r="AF3170" s="79">
        <v>45090.827581018515</v>
      </c>
      <c r="AG3170" s="85">
        <v>45090</v>
      </c>
      <c r="AH3170" s="82" t="s">
        <v>11187</v>
      </c>
      <c r="AI3170" s="77"/>
      <c r="AJ3170" s="77"/>
      <c r="AK3170" s="77"/>
      <c r="AL3170" s="77"/>
      <c r="AM3170" s="77"/>
      <c r="AN3170" s="77"/>
      <c r="AO3170" s="77"/>
      <c r="AP3170" s="77"/>
      <c r="AQ3170" s="77"/>
      <c r="AR3170" s="77"/>
      <c r="AS3170" s="77"/>
      <c r="AT3170" s="77"/>
      <c r="AU3170" s="77"/>
      <c r="AV3170" s="80" t="str">
        <f>HYPERLINK("https://pbs.twimg.com/profile_images/1518936529674117121/MCMYTicP_normal.jpg")</f>
        <v>https://pbs.twimg.com/profile_images/1518936529674117121/MCMYTicP_normal.jpg</v>
      </c>
      <c r="AW3170" s="82" t="s">
        <v>16254</v>
      </c>
      <c r="AX3170" s="82" t="s">
        <v>17254</v>
      </c>
      <c r="AY3170" s="82" t="s">
        <v>17381</v>
      </c>
      <c r="AZ3170" s="82" t="s">
        <v>17254</v>
      </c>
      <c r="BA3170" s="82" t="s">
        <v>17385</v>
      </c>
      <c r="BB3170" s="82" t="s">
        <v>17385</v>
      </c>
      <c r="BC3170" s="82" t="s">
        <v>17254</v>
      </c>
      <c r="BD3170" s="82" t="s">
        <v>17381</v>
      </c>
      <c r="BE3170" s="77"/>
      <c r="BF3170" s="77"/>
      <c r="BG3170" s="77"/>
      <c r="BH3170" s="77"/>
      <c r="BI3170" s="77"/>
    </row>
    <row r="3171" spans="1:61" x14ac:dyDescent="0.25">
      <c r="A3171" s="62" t="s">
        <v>692</v>
      </c>
      <c r="B3171" s="62" t="s">
        <v>692</v>
      </c>
      <c r="C3171" s="63"/>
      <c r="D3171" s="64"/>
      <c r="E3171" s="65"/>
      <c r="F3171" s="66"/>
      <c r="G3171" s="63"/>
      <c r="H3171" s="67"/>
      <c r="I3171" s="68"/>
      <c r="J3171" s="68"/>
      <c r="K3171" s="32"/>
      <c r="L3171" s="75">
        <v>3171</v>
      </c>
      <c r="M3171" s="75"/>
      <c r="N3171" s="70"/>
      <c r="O3171" s="77" t="s">
        <v>800</v>
      </c>
      <c r="P3171" s="79">
        <v>45090.824432870373</v>
      </c>
      <c r="Q3171" s="77" t="s">
        <v>3948</v>
      </c>
      <c r="R3171" s="77">
        <v>0</v>
      </c>
      <c r="S3171" s="77">
        <v>0</v>
      </c>
      <c r="T3171" s="77">
        <v>0</v>
      </c>
      <c r="U3171" s="77">
        <v>0</v>
      </c>
      <c r="V3171" s="77">
        <v>107</v>
      </c>
      <c r="W3171" s="82" t="s">
        <v>6501</v>
      </c>
      <c r="X3171" s="77"/>
      <c r="Y3171" s="77"/>
      <c r="Z3171" s="77"/>
      <c r="AA3171" s="77"/>
      <c r="AB3171" s="77"/>
      <c r="AC3171" s="82" t="s">
        <v>8232</v>
      </c>
      <c r="AD3171" s="77" t="s">
        <v>8282</v>
      </c>
      <c r="AE3171" s="80" t="str">
        <f>HYPERLINK("https://twitter.com/bpmoney_/status/1668706601019031555")</f>
        <v>https://twitter.com/bpmoney_/status/1668706601019031555</v>
      </c>
      <c r="AF3171" s="79">
        <v>45090.824432870373</v>
      </c>
      <c r="AG3171" s="85">
        <v>45090</v>
      </c>
      <c r="AH3171" s="82" t="s">
        <v>11188</v>
      </c>
      <c r="AI3171" s="77"/>
      <c r="AJ3171" s="77"/>
      <c r="AK3171" s="77"/>
      <c r="AL3171" s="77"/>
      <c r="AM3171" s="77"/>
      <c r="AN3171" s="77"/>
      <c r="AO3171" s="77"/>
      <c r="AP3171" s="77"/>
      <c r="AQ3171" s="77"/>
      <c r="AR3171" s="77"/>
      <c r="AS3171" s="77"/>
      <c r="AT3171" s="77"/>
      <c r="AU3171" s="77"/>
      <c r="AV3171" s="80" t="str">
        <f>HYPERLINK("https://pbs.twimg.com/profile_images/1518936529674117121/MCMYTicP_normal.jpg")</f>
        <v>https://pbs.twimg.com/profile_images/1518936529674117121/MCMYTicP_normal.jpg</v>
      </c>
      <c r="AW3171" s="82" t="s">
        <v>16255</v>
      </c>
      <c r="AX3171" s="82" t="s">
        <v>17255</v>
      </c>
      <c r="AY3171" s="82" t="s">
        <v>17381</v>
      </c>
      <c r="AZ3171" s="82" t="s">
        <v>17255</v>
      </c>
      <c r="BA3171" s="82" t="s">
        <v>17385</v>
      </c>
      <c r="BB3171" s="82" t="s">
        <v>17385</v>
      </c>
      <c r="BC3171" s="82" t="s">
        <v>17255</v>
      </c>
      <c r="BD3171" s="82" t="s">
        <v>17381</v>
      </c>
      <c r="BE3171" s="77"/>
      <c r="BF3171" s="77"/>
      <c r="BG3171" s="77"/>
      <c r="BH3171" s="77"/>
      <c r="BI3171" s="77"/>
    </row>
    <row r="3172" spans="1:61" x14ac:dyDescent="0.25">
      <c r="A3172" s="62" t="s">
        <v>692</v>
      </c>
      <c r="B3172" s="62" t="s">
        <v>692</v>
      </c>
      <c r="C3172" s="63"/>
      <c r="D3172" s="64"/>
      <c r="E3172" s="65"/>
      <c r="F3172" s="66"/>
      <c r="G3172" s="63"/>
      <c r="H3172" s="67"/>
      <c r="I3172" s="68"/>
      <c r="J3172" s="68"/>
      <c r="K3172" s="32"/>
      <c r="L3172" s="75">
        <v>3172</v>
      </c>
      <c r="M3172" s="75"/>
      <c r="N3172" s="70"/>
      <c r="O3172" s="77" t="s">
        <v>800</v>
      </c>
      <c r="P3172" s="79">
        <v>45090.822939814818</v>
      </c>
      <c r="Q3172" s="77" t="s">
        <v>3949</v>
      </c>
      <c r="R3172" s="77">
        <v>0</v>
      </c>
      <c r="S3172" s="77">
        <v>0</v>
      </c>
      <c r="T3172" s="77">
        <v>0</v>
      </c>
      <c r="U3172" s="77">
        <v>0</v>
      </c>
      <c r="V3172" s="77">
        <v>160</v>
      </c>
      <c r="W3172" s="82" t="s">
        <v>6502</v>
      </c>
      <c r="X3172" s="77"/>
      <c r="Y3172" s="77"/>
      <c r="Z3172" s="77"/>
      <c r="AA3172" s="77"/>
      <c r="AB3172" s="77"/>
      <c r="AC3172" s="82" t="s">
        <v>8232</v>
      </c>
      <c r="AD3172" s="77" t="s">
        <v>8282</v>
      </c>
      <c r="AE3172" s="80" t="str">
        <f>HYPERLINK("https://twitter.com/bpmoney_/status/1668706062042640386")</f>
        <v>https://twitter.com/bpmoney_/status/1668706062042640386</v>
      </c>
      <c r="AF3172" s="79">
        <v>45090.822939814818</v>
      </c>
      <c r="AG3172" s="85">
        <v>45090</v>
      </c>
      <c r="AH3172" s="82" t="s">
        <v>11189</v>
      </c>
      <c r="AI3172" s="77"/>
      <c r="AJ3172" s="77"/>
      <c r="AK3172" s="77"/>
      <c r="AL3172" s="77"/>
      <c r="AM3172" s="77"/>
      <c r="AN3172" s="77"/>
      <c r="AO3172" s="77"/>
      <c r="AP3172" s="77"/>
      <c r="AQ3172" s="77"/>
      <c r="AR3172" s="77"/>
      <c r="AS3172" s="77"/>
      <c r="AT3172" s="77"/>
      <c r="AU3172" s="77"/>
      <c r="AV3172" s="80" t="str">
        <f>HYPERLINK("https://pbs.twimg.com/profile_images/1518936529674117121/MCMYTicP_normal.jpg")</f>
        <v>https://pbs.twimg.com/profile_images/1518936529674117121/MCMYTicP_normal.jpg</v>
      </c>
      <c r="AW3172" s="82" t="s">
        <v>16256</v>
      </c>
      <c r="AX3172" s="82" t="s">
        <v>17256</v>
      </c>
      <c r="AY3172" s="82" t="s">
        <v>17381</v>
      </c>
      <c r="AZ3172" s="82" t="s">
        <v>17256</v>
      </c>
      <c r="BA3172" s="82" t="s">
        <v>17385</v>
      </c>
      <c r="BB3172" s="82" t="s">
        <v>17385</v>
      </c>
      <c r="BC3172" s="82" t="s">
        <v>17256</v>
      </c>
      <c r="BD3172" s="82" t="s">
        <v>17381</v>
      </c>
      <c r="BE3172" s="77"/>
      <c r="BF3172" s="77"/>
      <c r="BG3172" s="77"/>
      <c r="BH3172" s="77"/>
      <c r="BI3172" s="77"/>
    </row>
    <row r="3173" spans="1:61" x14ac:dyDescent="0.25">
      <c r="A3173" s="62" t="s">
        <v>692</v>
      </c>
      <c r="B3173" s="62" t="s">
        <v>692</v>
      </c>
      <c r="C3173" s="63"/>
      <c r="D3173" s="64"/>
      <c r="E3173" s="65"/>
      <c r="F3173" s="66"/>
      <c r="G3173" s="63"/>
      <c r="H3173" s="67"/>
      <c r="I3173" s="68"/>
      <c r="J3173" s="68"/>
      <c r="K3173" s="32"/>
      <c r="L3173" s="75">
        <v>3173</v>
      </c>
      <c r="M3173" s="75"/>
      <c r="N3173" s="70"/>
      <c r="O3173" s="77" t="s">
        <v>800</v>
      </c>
      <c r="P3173" s="79">
        <v>45090.483298611114</v>
      </c>
      <c r="Q3173" s="77" t="s">
        <v>3950</v>
      </c>
      <c r="R3173" s="77">
        <v>0</v>
      </c>
      <c r="S3173" s="77">
        <v>0</v>
      </c>
      <c r="T3173" s="77">
        <v>0</v>
      </c>
      <c r="U3173" s="77">
        <v>0</v>
      </c>
      <c r="V3173" s="77">
        <v>122</v>
      </c>
      <c r="W3173" s="82" t="s">
        <v>6503</v>
      </c>
      <c r="X3173" s="77"/>
      <c r="Y3173" s="77"/>
      <c r="Z3173" s="77"/>
      <c r="AA3173" s="77"/>
      <c r="AB3173" s="77"/>
      <c r="AC3173" s="82" t="s">
        <v>8232</v>
      </c>
      <c r="AD3173" s="77" t="s">
        <v>8282</v>
      </c>
      <c r="AE3173" s="80" t="str">
        <f>HYPERLINK("https://twitter.com/bpmoney_/status/1668582979969470473")</f>
        <v>https://twitter.com/bpmoney_/status/1668582979969470473</v>
      </c>
      <c r="AF3173" s="79">
        <v>45090.483298611114</v>
      </c>
      <c r="AG3173" s="85">
        <v>45090</v>
      </c>
      <c r="AH3173" s="82" t="s">
        <v>11190</v>
      </c>
      <c r="AI3173" s="77"/>
      <c r="AJ3173" s="77"/>
      <c r="AK3173" s="77"/>
      <c r="AL3173" s="77"/>
      <c r="AM3173" s="77"/>
      <c r="AN3173" s="77"/>
      <c r="AO3173" s="77"/>
      <c r="AP3173" s="77"/>
      <c r="AQ3173" s="77"/>
      <c r="AR3173" s="77"/>
      <c r="AS3173" s="77"/>
      <c r="AT3173" s="77"/>
      <c r="AU3173" s="77"/>
      <c r="AV3173" s="80" t="str">
        <f>HYPERLINK("https://pbs.twimg.com/profile_images/1518936529674117121/MCMYTicP_normal.jpg")</f>
        <v>https://pbs.twimg.com/profile_images/1518936529674117121/MCMYTicP_normal.jpg</v>
      </c>
      <c r="AW3173" s="82" t="s">
        <v>16257</v>
      </c>
      <c r="AX3173" s="82" t="s">
        <v>17257</v>
      </c>
      <c r="AY3173" s="82" t="s">
        <v>17381</v>
      </c>
      <c r="AZ3173" s="82" t="s">
        <v>17257</v>
      </c>
      <c r="BA3173" s="82" t="s">
        <v>17385</v>
      </c>
      <c r="BB3173" s="82" t="s">
        <v>17385</v>
      </c>
      <c r="BC3173" s="82" t="s">
        <v>17257</v>
      </c>
      <c r="BD3173" s="82" t="s">
        <v>17381</v>
      </c>
      <c r="BE3173" s="77"/>
      <c r="BF3173" s="77"/>
      <c r="BG3173" s="77"/>
      <c r="BH3173" s="77"/>
      <c r="BI3173" s="77"/>
    </row>
    <row r="3174" spans="1:61" x14ac:dyDescent="0.25">
      <c r="A3174" s="62" t="s">
        <v>692</v>
      </c>
      <c r="B3174" s="62" t="s">
        <v>692</v>
      </c>
      <c r="C3174" s="63"/>
      <c r="D3174" s="64"/>
      <c r="E3174" s="65"/>
      <c r="F3174" s="66"/>
      <c r="G3174" s="63"/>
      <c r="H3174" s="67"/>
      <c r="I3174" s="68"/>
      <c r="J3174" s="68"/>
      <c r="K3174" s="32"/>
      <c r="L3174" s="75">
        <v>3174</v>
      </c>
      <c r="M3174" s="75"/>
      <c r="N3174" s="70"/>
      <c r="O3174" s="77" t="s">
        <v>800</v>
      </c>
      <c r="P3174" s="79">
        <v>45077.775127314817</v>
      </c>
      <c r="Q3174" s="77" t="s">
        <v>3951</v>
      </c>
      <c r="R3174" s="77">
        <v>0</v>
      </c>
      <c r="S3174" s="77">
        <v>1</v>
      </c>
      <c r="T3174" s="77">
        <v>0</v>
      </c>
      <c r="U3174" s="77">
        <v>0</v>
      </c>
      <c r="V3174" s="77">
        <v>157</v>
      </c>
      <c r="W3174" s="82" t="s">
        <v>6504</v>
      </c>
      <c r="X3174" s="77"/>
      <c r="Y3174" s="77"/>
      <c r="Z3174" s="77"/>
      <c r="AA3174" s="77"/>
      <c r="AB3174" s="77"/>
      <c r="AC3174" s="82" t="s">
        <v>8232</v>
      </c>
      <c r="AD3174" s="77" t="s">
        <v>8282</v>
      </c>
      <c r="AE3174" s="80" t="str">
        <f>HYPERLINK("https://twitter.com/bpmoney_/status/1663977693245784064")</f>
        <v>https://twitter.com/bpmoney_/status/1663977693245784064</v>
      </c>
      <c r="AF3174" s="79">
        <v>45077.775127314817</v>
      </c>
      <c r="AG3174" s="85">
        <v>45077</v>
      </c>
      <c r="AH3174" s="82" t="s">
        <v>11191</v>
      </c>
      <c r="AI3174" s="77"/>
      <c r="AJ3174" s="77"/>
      <c r="AK3174" s="77"/>
      <c r="AL3174" s="77"/>
      <c r="AM3174" s="77"/>
      <c r="AN3174" s="77"/>
      <c r="AO3174" s="77"/>
      <c r="AP3174" s="77"/>
      <c r="AQ3174" s="77"/>
      <c r="AR3174" s="77"/>
      <c r="AS3174" s="77"/>
      <c r="AT3174" s="77"/>
      <c r="AU3174" s="77"/>
      <c r="AV3174" s="80" t="str">
        <f>HYPERLINK("https://pbs.twimg.com/profile_images/1518936529674117121/MCMYTicP_normal.jpg")</f>
        <v>https://pbs.twimg.com/profile_images/1518936529674117121/MCMYTicP_normal.jpg</v>
      </c>
      <c r="AW3174" s="82" t="s">
        <v>16258</v>
      </c>
      <c r="AX3174" s="82" t="s">
        <v>17258</v>
      </c>
      <c r="AY3174" s="82" t="s">
        <v>17381</v>
      </c>
      <c r="AZ3174" s="82" t="s">
        <v>17258</v>
      </c>
      <c r="BA3174" s="82" t="s">
        <v>17385</v>
      </c>
      <c r="BB3174" s="82" t="s">
        <v>17385</v>
      </c>
      <c r="BC3174" s="82" t="s">
        <v>17258</v>
      </c>
      <c r="BD3174" s="82" t="s">
        <v>17381</v>
      </c>
      <c r="BE3174" s="77"/>
      <c r="BF3174" s="77"/>
      <c r="BG3174" s="77"/>
      <c r="BH3174" s="77"/>
      <c r="BI3174" s="77"/>
    </row>
    <row r="3175" spans="1:61" x14ac:dyDescent="0.25">
      <c r="A3175" s="62" t="s">
        <v>692</v>
      </c>
      <c r="B3175" s="62" t="s">
        <v>692</v>
      </c>
      <c r="C3175" s="63"/>
      <c r="D3175" s="64"/>
      <c r="E3175" s="65"/>
      <c r="F3175" s="66"/>
      <c r="G3175" s="63"/>
      <c r="H3175" s="67"/>
      <c r="I3175" s="68"/>
      <c r="J3175" s="68"/>
      <c r="K3175" s="32"/>
      <c r="L3175" s="75">
        <v>3175</v>
      </c>
      <c r="M3175" s="75"/>
      <c r="N3175" s="70"/>
      <c r="O3175" s="77" t="s">
        <v>800</v>
      </c>
      <c r="P3175" s="79">
        <v>45077.531064814815</v>
      </c>
      <c r="Q3175" s="77" t="s">
        <v>3952</v>
      </c>
      <c r="R3175" s="77">
        <v>0</v>
      </c>
      <c r="S3175" s="77">
        <v>0</v>
      </c>
      <c r="T3175" s="77">
        <v>0</v>
      </c>
      <c r="U3175" s="77">
        <v>0</v>
      </c>
      <c r="V3175" s="77">
        <v>56</v>
      </c>
      <c r="W3175" s="82" t="s">
        <v>6505</v>
      </c>
      <c r="X3175" s="77"/>
      <c r="Y3175" s="77"/>
      <c r="Z3175" s="77"/>
      <c r="AA3175" s="77"/>
      <c r="AB3175" s="77"/>
      <c r="AC3175" s="82" t="s">
        <v>8232</v>
      </c>
      <c r="AD3175" s="77" t="s">
        <v>8282</v>
      </c>
      <c r="AE3175" s="80" t="str">
        <f>HYPERLINK("https://twitter.com/bpmoney_/status/1663889245524701184")</f>
        <v>https://twitter.com/bpmoney_/status/1663889245524701184</v>
      </c>
      <c r="AF3175" s="79">
        <v>45077.531064814815</v>
      </c>
      <c r="AG3175" s="85">
        <v>45077</v>
      </c>
      <c r="AH3175" s="82" t="s">
        <v>11192</v>
      </c>
      <c r="AI3175" s="77"/>
      <c r="AJ3175" s="77"/>
      <c r="AK3175" s="77"/>
      <c r="AL3175" s="77"/>
      <c r="AM3175" s="77"/>
      <c r="AN3175" s="77"/>
      <c r="AO3175" s="77"/>
      <c r="AP3175" s="77"/>
      <c r="AQ3175" s="77"/>
      <c r="AR3175" s="77"/>
      <c r="AS3175" s="77"/>
      <c r="AT3175" s="77"/>
      <c r="AU3175" s="77"/>
      <c r="AV3175" s="80" t="str">
        <f>HYPERLINK("https://pbs.twimg.com/profile_images/1518936529674117121/MCMYTicP_normal.jpg")</f>
        <v>https://pbs.twimg.com/profile_images/1518936529674117121/MCMYTicP_normal.jpg</v>
      </c>
      <c r="AW3175" s="82" t="s">
        <v>16259</v>
      </c>
      <c r="AX3175" s="82" t="s">
        <v>17259</v>
      </c>
      <c r="AY3175" s="82" t="s">
        <v>17381</v>
      </c>
      <c r="AZ3175" s="82" t="s">
        <v>17259</v>
      </c>
      <c r="BA3175" s="82" t="s">
        <v>17385</v>
      </c>
      <c r="BB3175" s="82" t="s">
        <v>17385</v>
      </c>
      <c r="BC3175" s="82" t="s">
        <v>17259</v>
      </c>
      <c r="BD3175" s="82" t="s">
        <v>17381</v>
      </c>
      <c r="BE3175" s="77"/>
      <c r="BF3175" s="77"/>
      <c r="BG3175" s="77"/>
      <c r="BH3175" s="77"/>
      <c r="BI3175" s="77"/>
    </row>
    <row r="3176" spans="1:61" x14ac:dyDescent="0.25">
      <c r="A3176" s="62" t="s">
        <v>692</v>
      </c>
      <c r="B3176" s="62" t="s">
        <v>692</v>
      </c>
      <c r="C3176" s="63"/>
      <c r="D3176" s="64"/>
      <c r="E3176" s="65"/>
      <c r="F3176" s="66"/>
      <c r="G3176" s="63"/>
      <c r="H3176" s="67"/>
      <c r="I3176" s="68"/>
      <c r="J3176" s="68"/>
      <c r="K3176" s="32"/>
      <c r="L3176" s="75">
        <v>3176</v>
      </c>
      <c r="M3176" s="75"/>
      <c r="N3176" s="70"/>
      <c r="O3176" s="77" t="s">
        <v>800</v>
      </c>
      <c r="P3176" s="79">
        <v>45076.544328703705</v>
      </c>
      <c r="Q3176" s="77" t="s">
        <v>3953</v>
      </c>
      <c r="R3176" s="77">
        <v>0</v>
      </c>
      <c r="S3176" s="77">
        <v>0</v>
      </c>
      <c r="T3176" s="77">
        <v>0</v>
      </c>
      <c r="U3176" s="77">
        <v>0</v>
      </c>
      <c r="V3176" s="77">
        <v>104</v>
      </c>
      <c r="W3176" s="82" t="s">
        <v>6506</v>
      </c>
      <c r="X3176" s="77"/>
      <c r="Y3176" s="77"/>
      <c r="Z3176" s="77"/>
      <c r="AA3176" s="77"/>
      <c r="AB3176" s="77"/>
      <c r="AC3176" s="82" t="s">
        <v>8232</v>
      </c>
      <c r="AD3176" s="77" t="s">
        <v>8282</v>
      </c>
      <c r="AE3176" s="80" t="str">
        <f>HYPERLINK("https://twitter.com/bpmoney_/status/1663531663182241792")</f>
        <v>https://twitter.com/bpmoney_/status/1663531663182241792</v>
      </c>
      <c r="AF3176" s="79">
        <v>45076.544328703705</v>
      </c>
      <c r="AG3176" s="85">
        <v>45076</v>
      </c>
      <c r="AH3176" s="82" t="s">
        <v>11193</v>
      </c>
      <c r="AI3176" s="77"/>
      <c r="AJ3176" s="77"/>
      <c r="AK3176" s="77"/>
      <c r="AL3176" s="77"/>
      <c r="AM3176" s="77"/>
      <c r="AN3176" s="77"/>
      <c r="AO3176" s="77"/>
      <c r="AP3176" s="77"/>
      <c r="AQ3176" s="77"/>
      <c r="AR3176" s="77"/>
      <c r="AS3176" s="77"/>
      <c r="AT3176" s="77"/>
      <c r="AU3176" s="77"/>
      <c r="AV3176" s="80" t="str">
        <f>HYPERLINK("https://pbs.twimg.com/profile_images/1518936529674117121/MCMYTicP_normal.jpg")</f>
        <v>https://pbs.twimg.com/profile_images/1518936529674117121/MCMYTicP_normal.jpg</v>
      </c>
      <c r="AW3176" s="82" t="s">
        <v>16260</v>
      </c>
      <c r="AX3176" s="82" t="s">
        <v>17260</v>
      </c>
      <c r="AY3176" s="82" t="s">
        <v>17381</v>
      </c>
      <c r="AZ3176" s="82" t="s">
        <v>17260</v>
      </c>
      <c r="BA3176" s="82" t="s">
        <v>17385</v>
      </c>
      <c r="BB3176" s="82" t="s">
        <v>17385</v>
      </c>
      <c r="BC3176" s="82" t="s">
        <v>17260</v>
      </c>
      <c r="BD3176" s="82" t="s">
        <v>17381</v>
      </c>
      <c r="BE3176" s="77"/>
      <c r="BF3176" s="77"/>
      <c r="BG3176" s="77"/>
      <c r="BH3176" s="77"/>
      <c r="BI3176" s="77"/>
    </row>
    <row r="3177" spans="1:61" x14ac:dyDescent="0.25">
      <c r="A3177" s="62" t="s">
        <v>692</v>
      </c>
      <c r="B3177" s="62" t="s">
        <v>692</v>
      </c>
      <c r="C3177" s="63"/>
      <c r="D3177" s="64"/>
      <c r="E3177" s="65"/>
      <c r="F3177" s="66"/>
      <c r="G3177" s="63"/>
      <c r="H3177" s="67"/>
      <c r="I3177" s="68"/>
      <c r="J3177" s="68"/>
      <c r="K3177" s="32"/>
      <c r="L3177" s="75">
        <v>3177</v>
      </c>
      <c r="M3177" s="75"/>
      <c r="N3177" s="70"/>
      <c r="O3177" s="77" t="s">
        <v>800</v>
      </c>
      <c r="P3177" s="79">
        <v>45075.896423611113</v>
      </c>
      <c r="Q3177" s="77" t="s">
        <v>3954</v>
      </c>
      <c r="R3177" s="77">
        <v>0</v>
      </c>
      <c r="S3177" s="77">
        <v>0</v>
      </c>
      <c r="T3177" s="77">
        <v>0</v>
      </c>
      <c r="U3177" s="77">
        <v>0</v>
      </c>
      <c r="V3177" s="77">
        <v>213</v>
      </c>
      <c r="W3177" s="82" t="s">
        <v>6507</v>
      </c>
      <c r="X3177" s="77"/>
      <c r="Y3177" s="77"/>
      <c r="Z3177" s="77"/>
      <c r="AA3177" s="77"/>
      <c r="AB3177" s="77"/>
      <c r="AC3177" s="82" t="s">
        <v>8232</v>
      </c>
      <c r="AD3177" s="77" t="s">
        <v>8282</v>
      </c>
      <c r="AE3177" s="80" t="str">
        <f>HYPERLINK("https://twitter.com/bpmoney_/status/1663296870767030272")</f>
        <v>https://twitter.com/bpmoney_/status/1663296870767030272</v>
      </c>
      <c r="AF3177" s="79">
        <v>45075.896423611113</v>
      </c>
      <c r="AG3177" s="85">
        <v>45075</v>
      </c>
      <c r="AH3177" s="82" t="s">
        <v>11194</v>
      </c>
      <c r="AI3177" s="77"/>
      <c r="AJ3177" s="77"/>
      <c r="AK3177" s="77"/>
      <c r="AL3177" s="77"/>
      <c r="AM3177" s="77"/>
      <c r="AN3177" s="77"/>
      <c r="AO3177" s="77"/>
      <c r="AP3177" s="77"/>
      <c r="AQ3177" s="77"/>
      <c r="AR3177" s="77"/>
      <c r="AS3177" s="77"/>
      <c r="AT3177" s="77"/>
      <c r="AU3177" s="77"/>
      <c r="AV3177" s="80" t="str">
        <f>HYPERLINK("https://pbs.twimg.com/profile_images/1518936529674117121/MCMYTicP_normal.jpg")</f>
        <v>https://pbs.twimg.com/profile_images/1518936529674117121/MCMYTicP_normal.jpg</v>
      </c>
      <c r="AW3177" s="82" t="s">
        <v>16261</v>
      </c>
      <c r="AX3177" s="82" t="s">
        <v>17261</v>
      </c>
      <c r="AY3177" s="82" t="s">
        <v>17381</v>
      </c>
      <c r="AZ3177" s="82" t="s">
        <v>17261</v>
      </c>
      <c r="BA3177" s="82" t="s">
        <v>17385</v>
      </c>
      <c r="BB3177" s="82" t="s">
        <v>17385</v>
      </c>
      <c r="BC3177" s="82" t="s">
        <v>17261</v>
      </c>
      <c r="BD3177" s="82" t="s">
        <v>17381</v>
      </c>
      <c r="BE3177" s="77"/>
      <c r="BF3177" s="77"/>
      <c r="BG3177" s="77"/>
      <c r="BH3177" s="77"/>
      <c r="BI3177" s="77"/>
    </row>
    <row r="3178" spans="1:61" x14ac:dyDescent="0.25">
      <c r="A3178" s="62" t="s">
        <v>692</v>
      </c>
      <c r="B3178" s="62" t="s">
        <v>692</v>
      </c>
      <c r="C3178" s="63"/>
      <c r="D3178" s="64"/>
      <c r="E3178" s="65"/>
      <c r="F3178" s="66"/>
      <c r="G3178" s="63"/>
      <c r="H3178" s="67"/>
      <c r="I3178" s="68"/>
      <c r="J3178" s="68"/>
      <c r="K3178" s="32"/>
      <c r="L3178" s="75">
        <v>3178</v>
      </c>
      <c r="M3178" s="75"/>
      <c r="N3178" s="70"/>
      <c r="O3178" s="77" t="s">
        <v>800</v>
      </c>
      <c r="P3178" s="79">
        <v>45044.483946759261</v>
      </c>
      <c r="Q3178" s="77" t="s">
        <v>3955</v>
      </c>
      <c r="R3178" s="77">
        <v>0</v>
      </c>
      <c r="S3178" s="77">
        <v>0</v>
      </c>
      <c r="T3178" s="77">
        <v>0</v>
      </c>
      <c r="U3178" s="77">
        <v>0</v>
      </c>
      <c r="V3178" s="77">
        <v>173</v>
      </c>
      <c r="W3178" s="82" t="s">
        <v>6508</v>
      </c>
      <c r="X3178" s="77"/>
      <c r="Y3178" s="77"/>
      <c r="Z3178" s="77"/>
      <c r="AA3178" s="77"/>
      <c r="AB3178" s="77"/>
      <c r="AC3178" s="82" t="s">
        <v>8232</v>
      </c>
      <c r="AD3178" s="77" t="s">
        <v>8282</v>
      </c>
      <c r="AE3178" s="80" t="str">
        <f>HYPERLINK("https://twitter.com/bpmoney_/status/1651913369501196289")</f>
        <v>https://twitter.com/bpmoney_/status/1651913369501196289</v>
      </c>
      <c r="AF3178" s="79">
        <v>45044.483946759261</v>
      </c>
      <c r="AG3178" s="85">
        <v>45044</v>
      </c>
      <c r="AH3178" s="82" t="s">
        <v>11195</v>
      </c>
      <c r="AI3178" s="77"/>
      <c r="AJ3178" s="77"/>
      <c r="AK3178" s="77"/>
      <c r="AL3178" s="77"/>
      <c r="AM3178" s="77"/>
      <c r="AN3178" s="77"/>
      <c r="AO3178" s="77"/>
      <c r="AP3178" s="77"/>
      <c r="AQ3178" s="77"/>
      <c r="AR3178" s="77"/>
      <c r="AS3178" s="77"/>
      <c r="AT3178" s="77"/>
      <c r="AU3178" s="77"/>
      <c r="AV3178" s="80" t="str">
        <f>HYPERLINK("https://pbs.twimg.com/profile_images/1518936529674117121/MCMYTicP_normal.jpg")</f>
        <v>https://pbs.twimg.com/profile_images/1518936529674117121/MCMYTicP_normal.jpg</v>
      </c>
      <c r="AW3178" s="82" t="s">
        <v>16262</v>
      </c>
      <c r="AX3178" s="82" t="s">
        <v>17262</v>
      </c>
      <c r="AY3178" s="82" t="s">
        <v>17381</v>
      </c>
      <c r="AZ3178" s="82" t="s">
        <v>17262</v>
      </c>
      <c r="BA3178" s="82" t="s">
        <v>17385</v>
      </c>
      <c r="BB3178" s="82" t="s">
        <v>17385</v>
      </c>
      <c r="BC3178" s="82" t="s">
        <v>17262</v>
      </c>
      <c r="BD3178" s="82" t="s">
        <v>17381</v>
      </c>
      <c r="BE3178" s="77"/>
      <c r="BF3178" s="77"/>
      <c r="BG3178" s="77"/>
      <c r="BH3178" s="77"/>
      <c r="BI3178" s="77"/>
    </row>
    <row r="3179" spans="1:61" x14ac:dyDescent="0.25">
      <c r="A3179" s="62" t="s">
        <v>692</v>
      </c>
      <c r="B3179" s="62" t="s">
        <v>692</v>
      </c>
      <c r="C3179" s="63"/>
      <c r="D3179" s="64"/>
      <c r="E3179" s="65"/>
      <c r="F3179" s="66"/>
      <c r="G3179" s="63"/>
      <c r="H3179" s="67"/>
      <c r="I3179" s="68"/>
      <c r="J3179" s="68"/>
      <c r="K3179" s="32"/>
      <c r="L3179" s="75">
        <v>3179</v>
      </c>
      <c r="M3179" s="75"/>
      <c r="N3179" s="70"/>
      <c r="O3179" s="77" t="s">
        <v>800</v>
      </c>
      <c r="P3179" s="79">
        <v>45132.545810185184</v>
      </c>
      <c r="Q3179" s="77" t="s">
        <v>3956</v>
      </c>
      <c r="R3179" s="77">
        <v>0</v>
      </c>
      <c r="S3179" s="77">
        <v>0</v>
      </c>
      <c r="T3179" s="77">
        <v>0</v>
      </c>
      <c r="U3179" s="77">
        <v>0</v>
      </c>
      <c r="V3179" s="77">
        <v>82</v>
      </c>
      <c r="W3179" s="82" t="s">
        <v>6509</v>
      </c>
      <c r="X3179" s="77"/>
      <c r="Y3179" s="77"/>
      <c r="Z3179" s="77"/>
      <c r="AA3179" s="77"/>
      <c r="AB3179" s="77"/>
      <c r="AC3179" s="82" t="s">
        <v>8232</v>
      </c>
      <c r="AD3179" s="77" t="s">
        <v>8282</v>
      </c>
      <c r="AE3179" s="80" t="str">
        <f>HYPERLINK("https://twitter.com/bpmoney_/status/1683825921667497984")</f>
        <v>https://twitter.com/bpmoney_/status/1683825921667497984</v>
      </c>
      <c r="AF3179" s="79">
        <v>45132.545810185184</v>
      </c>
      <c r="AG3179" s="85">
        <v>45132</v>
      </c>
      <c r="AH3179" s="82" t="s">
        <v>11196</v>
      </c>
      <c r="AI3179" s="77"/>
      <c r="AJ3179" s="77"/>
      <c r="AK3179" s="77"/>
      <c r="AL3179" s="77"/>
      <c r="AM3179" s="77"/>
      <c r="AN3179" s="77"/>
      <c r="AO3179" s="77"/>
      <c r="AP3179" s="77"/>
      <c r="AQ3179" s="77"/>
      <c r="AR3179" s="77"/>
      <c r="AS3179" s="77"/>
      <c r="AT3179" s="77"/>
      <c r="AU3179" s="77"/>
      <c r="AV3179" s="80" t="str">
        <f>HYPERLINK("https://pbs.twimg.com/profile_images/1518936529674117121/MCMYTicP_normal.jpg")</f>
        <v>https://pbs.twimg.com/profile_images/1518936529674117121/MCMYTicP_normal.jpg</v>
      </c>
      <c r="AW3179" s="82" t="s">
        <v>16263</v>
      </c>
      <c r="AX3179" s="82" t="s">
        <v>17263</v>
      </c>
      <c r="AY3179" s="82" t="s">
        <v>17381</v>
      </c>
      <c r="AZ3179" s="82" t="s">
        <v>17263</v>
      </c>
      <c r="BA3179" s="82" t="s">
        <v>17385</v>
      </c>
      <c r="BB3179" s="82" t="s">
        <v>17385</v>
      </c>
      <c r="BC3179" s="82" t="s">
        <v>17263</v>
      </c>
      <c r="BD3179" s="82" t="s">
        <v>17381</v>
      </c>
      <c r="BE3179" s="77"/>
      <c r="BF3179" s="77"/>
      <c r="BG3179" s="77"/>
      <c r="BH3179" s="77"/>
      <c r="BI3179" s="77"/>
    </row>
    <row r="3180" spans="1:61" x14ac:dyDescent="0.25">
      <c r="A3180" s="62" t="s">
        <v>692</v>
      </c>
      <c r="B3180" s="62" t="s">
        <v>692</v>
      </c>
      <c r="C3180" s="63"/>
      <c r="D3180" s="64"/>
      <c r="E3180" s="65"/>
      <c r="F3180" s="66"/>
      <c r="G3180" s="63"/>
      <c r="H3180" s="67"/>
      <c r="I3180" s="68"/>
      <c r="J3180" s="68"/>
      <c r="K3180" s="32"/>
      <c r="L3180" s="75">
        <v>3180</v>
      </c>
      <c r="M3180" s="75"/>
      <c r="N3180" s="70"/>
      <c r="O3180" s="77" t="s">
        <v>800</v>
      </c>
      <c r="P3180" s="79">
        <v>45131.628032407411</v>
      </c>
      <c r="Q3180" s="77" t="s">
        <v>3957</v>
      </c>
      <c r="R3180" s="77">
        <v>0</v>
      </c>
      <c r="S3180" s="77">
        <v>0</v>
      </c>
      <c r="T3180" s="77">
        <v>0</v>
      </c>
      <c r="U3180" s="77">
        <v>0</v>
      </c>
      <c r="V3180" s="77">
        <v>239</v>
      </c>
      <c r="W3180" s="82" t="s">
        <v>6510</v>
      </c>
      <c r="X3180" s="77"/>
      <c r="Y3180" s="77"/>
      <c r="Z3180" s="77"/>
      <c r="AA3180" s="77"/>
      <c r="AB3180" s="77"/>
      <c r="AC3180" s="82" t="s">
        <v>8233</v>
      </c>
      <c r="AD3180" s="77" t="s">
        <v>8282</v>
      </c>
      <c r="AE3180" s="80" t="str">
        <f>HYPERLINK("https://twitter.com/bpmoney_/status/1683493329181261826")</f>
        <v>https://twitter.com/bpmoney_/status/1683493329181261826</v>
      </c>
      <c r="AF3180" s="79">
        <v>45131.628032407411</v>
      </c>
      <c r="AG3180" s="85">
        <v>45131</v>
      </c>
      <c r="AH3180" s="82" t="s">
        <v>11197</v>
      </c>
      <c r="AI3180" s="77"/>
      <c r="AJ3180" s="77"/>
      <c r="AK3180" s="77"/>
      <c r="AL3180" s="77"/>
      <c r="AM3180" s="77"/>
      <c r="AN3180" s="77"/>
      <c r="AO3180" s="77"/>
      <c r="AP3180" s="77"/>
      <c r="AQ3180" s="77"/>
      <c r="AR3180" s="77"/>
      <c r="AS3180" s="77"/>
      <c r="AT3180" s="77"/>
      <c r="AU3180" s="77"/>
      <c r="AV3180" s="80" t="str">
        <f>HYPERLINK("https://pbs.twimg.com/profile_images/1518936529674117121/MCMYTicP_normal.jpg")</f>
        <v>https://pbs.twimg.com/profile_images/1518936529674117121/MCMYTicP_normal.jpg</v>
      </c>
      <c r="AW3180" s="82" t="s">
        <v>16264</v>
      </c>
      <c r="AX3180" s="82" t="s">
        <v>17264</v>
      </c>
      <c r="AY3180" s="82" t="s">
        <v>17381</v>
      </c>
      <c r="AZ3180" s="82" t="s">
        <v>17264</v>
      </c>
      <c r="BA3180" s="82" t="s">
        <v>17385</v>
      </c>
      <c r="BB3180" s="82" t="s">
        <v>17385</v>
      </c>
      <c r="BC3180" s="82" t="s">
        <v>17264</v>
      </c>
      <c r="BD3180" s="82" t="s">
        <v>17381</v>
      </c>
      <c r="BE3180" s="77"/>
      <c r="BF3180" s="77"/>
      <c r="BG3180" s="77"/>
      <c r="BH3180" s="77"/>
      <c r="BI3180" s="77"/>
    </row>
    <row r="3181" spans="1:61" x14ac:dyDescent="0.25">
      <c r="A3181" s="62" t="s">
        <v>692</v>
      </c>
      <c r="B3181" s="62" t="s">
        <v>692</v>
      </c>
      <c r="C3181" s="63"/>
      <c r="D3181" s="64"/>
      <c r="E3181" s="65"/>
      <c r="F3181" s="66"/>
      <c r="G3181" s="63"/>
      <c r="H3181" s="67"/>
      <c r="I3181" s="68"/>
      <c r="J3181" s="68"/>
      <c r="K3181" s="32"/>
      <c r="L3181" s="75">
        <v>3181</v>
      </c>
      <c r="M3181" s="75"/>
      <c r="N3181" s="70"/>
      <c r="O3181" s="77" t="s">
        <v>800</v>
      </c>
      <c r="P3181" s="79">
        <v>45131.627604166664</v>
      </c>
      <c r="Q3181" s="77" t="s">
        <v>3958</v>
      </c>
      <c r="R3181" s="77">
        <v>0</v>
      </c>
      <c r="S3181" s="77">
        <v>0</v>
      </c>
      <c r="T3181" s="77">
        <v>0</v>
      </c>
      <c r="U3181" s="77">
        <v>0</v>
      </c>
      <c r="V3181" s="77">
        <v>93</v>
      </c>
      <c r="W3181" s="82" t="s">
        <v>6511</v>
      </c>
      <c r="X3181" s="77"/>
      <c r="Y3181" s="77"/>
      <c r="Z3181" s="77"/>
      <c r="AA3181" s="77"/>
      <c r="AB3181" s="77"/>
      <c r="AC3181" s="82" t="s">
        <v>8233</v>
      </c>
      <c r="AD3181" s="77" t="s">
        <v>8282</v>
      </c>
      <c r="AE3181" s="80" t="str">
        <f>HYPERLINK("https://twitter.com/bpmoney_/status/1683493177599180803")</f>
        <v>https://twitter.com/bpmoney_/status/1683493177599180803</v>
      </c>
      <c r="AF3181" s="79">
        <v>45131.627604166664</v>
      </c>
      <c r="AG3181" s="85">
        <v>45131</v>
      </c>
      <c r="AH3181" s="82" t="s">
        <v>11198</v>
      </c>
      <c r="AI3181" s="77"/>
      <c r="AJ3181" s="77"/>
      <c r="AK3181" s="77"/>
      <c r="AL3181" s="77"/>
      <c r="AM3181" s="77"/>
      <c r="AN3181" s="77"/>
      <c r="AO3181" s="77"/>
      <c r="AP3181" s="77"/>
      <c r="AQ3181" s="77"/>
      <c r="AR3181" s="77"/>
      <c r="AS3181" s="77"/>
      <c r="AT3181" s="77"/>
      <c r="AU3181" s="77"/>
      <c r="AV3181" s="80" t="str">
        <f>HYPERLINK("https://pbs.twimg.com/profile_images/1518936529674117121/MCMYTicP_normal.jpg")</f>
        <v>https://pbs.twimg.com/profile_images/1518936529674117121/MCMYTicP_normal.jpg</v>
      </c>
      <c r="AW3181" s="82" t="s">
        <v>16265</v>
      </c>
      <c r="AX3181" s="82" t="s">
        <v>17265</v>
      </c>
      <c r="AY3181" s="82" t="s">
        <v>17381</v>
      </c>
      <c r="AZ3181" s="82" t="s">
        <v>17265</v>
      </c>
      <c r="BA3181" s="82" t="s">
        <v>17385</v>
      </c>
      <c r="BB3181" s="82" t="s">
        <v>17385</v>
      </c>
      <c r="BC3181" s="82" t="s">
        <v>17265</v>
      </c>
      <c r="BD3181" s="82" t="s">
        <v>17381</v>
      </c>
      <c r="BE3181" s="77"/>
      <c r="BF3181" s="77"/>
      <c r="BG3181" s="77"/>
      <c r="BH3181" s="77"/>
      <c r="BI3181" s="77"/>
    </row>
    <row r="3182" spans="1:61" x14ac:dyDescent="0.25">
      <c r="A3182" s="62" t="s">
        <v>692</v>
      </c>
      <c r="B3182" s="62" t="s">
        <v>692</v>
      </c>
      <c r="C3182" s="63"/>
      <c r="D3182" s="64"/>
      <c r="E3182" s="65"/>
      <c r="F3182" s="66"/>
      <c r="G3182" s="63"/>
      <c r="H3182" s="67"/>
      <c r="I3182" s="68"/>
      <c r="J3182" s="68"/>
      <c r="K3182" s="32"/>
      <c r="L3182" s="75">
        <v>3182</v>
      </c>
      <c r="M3182" s="75"/>
      <c r="N3182" s="70"/>
      <c r="O3182" s="77" t="s">
        <v>800</v>
      </c>
      <c r="P3182" s="79">
        <v>45064.652060185188</v>
      </c>
      <c r="Q3182" s="77" t="s">
        <v>3959</v>
      </c>
      <c r="R3182" s="77">
        <v>0</v>
      </c>
      <c r="S3182" s="77">
        <v>1</v>
      </c>
      <c r="T3182" s="77">
        <v>0</v>
      </c>
      <c r="U3182" s="77">
        <v>0</v>
      </c>
      <c r="V3182" s="77">
        <v>199</v>
      </c>
      <c r="W3182" s="82" t="s">
        <v>6512</v>
      </c>
      <c r="X3182" s="77"/>
      <c r="Y3182" s="77"/>
      <c r="Z3182" s="77"/>
      <c r="AA3182" s="77"/>
      <c r="AB3182" s="77"/>
      <c r="AC3182" s="82" t="s">
        <v>8232</v>
      </c>
      <c r="AD3182" s="77" t="s">
        <v>8282</v>
      </c>
      <c r="AE3182" s="80" t="str">
        <f>HYPERLINK("https://twitter.com/bpmoney_/status/1659222051679358978")</f>
        <v>https://twitter.com/bpmoney_/status/1659222051679358978</v>
      </c>
      <c r="AF3182" s="79">
        <v>45064.652060185188</v>
      </c>
      <c r="AG3182" s="85">
        <v>45064</v>
      </c>
      <c r="AH3182" s="82" t="s">
        <v>11199</v>
      </c>
      <c r="AI3182" s="77"/>
      <c r="AJ3182" s="77"/>
      <c r="AK3182" s="77"/>
      <c r="AL3182" s="77"/>
      <c r="AM3182" s="77"/>
      <c r="AN3182" s="77"/>
      <c r="AO3182" s="77"/>
      <c r="AP3182" s="77"/>
      <c r="AQ3182" s="77"/>
      <c r="AR3182" s="77"/>
      <c r="AS3182" s="77"/>
      <c r="AT3182" s="77"/>
      <c r="AU3182" s="77"/>
      <c r="AV3182" s="80" t="str">
        <f>HYPERLINK("https://pbs.twimg.com/profile_images/1518936529674117121/MCMYTicP_normal.jpg")</f>
        <v>https://pbs.twimg.com/profile_images/1518936529674117121/MCMYTicP_normal.jpg</v>
      </c>
      <c r="AW3182" s="82" t="s">
        <v>16266</v>
      </c>
      <c r="AX3182" s="82" t="s">
        <v>17266</v>
      </c>
      <c r="AY3182" s="82" t="s">
        <v>17381</v>
      </c>
      <c r="AZ3182" s="82" t="s">
        <v>17266</v>
      </c>
      <c r="BA3182" s="82" t="s">
        <v>17385</v>
      </c>
      <c r="BB3182" s="82" t="s">
        <v>17385</v>
      </c>
      <c r="BC3182" s="82" t="s">
        <v>17266</v>
      </c>
      <c r="BD3182" s="82" t="s">
        <v>17381</v>
      </c>
      <c r="BE3182" s="77"/>
      <c r="BF3182" s="77"/>
      <c r="BG3182" s="77"/>
      <c r="BH3182" s="77"/>
      <c r="BI3182" s="77"/>
    </row>
    <row r="3183" spans="1:61" x14ac:dyDescent="0.25">
      <c r="A3183" s="62" t="s">
        <v>692</v>
      </c>
      <c r="B3183" s="62" t="s">
        <v>692</v>
      </c>
      <c r="C3183" s="63"/>
      <c r="D3183" s="64"/>
      <c r="E3183" s="65"/>
      <c r="F3183" s="66"/>
      <c r="G3183" s="63"/>
      <c r="H3183" s="67"/>
      <c r="I3183" s="68"/>
      <c r="J3183" s="68"/>
      <c r="K3183" s="32"/>
      <c r="L3183" s="75">
        <v>3183</v>
      </c>
      <c r="M3183" s="75"/>
      <c r="N3183" s="70"/>
      <c r="O3183" s="77" t="s">
        <v>800</v>
      </c>
      <c r="P3183" s="79">
        <v>45063.646956018521</v>
      </c>
      <c r="Q3183" s="77" t="s">
        <v>3960</v>
      </c>
      <c r="R3183" s="77">
        <v>0</v>
      </c>
      <c r="S3183" s="77">
        <v>1</v>
      </c>
      <c r="T3183" s="77">
        <v>0</v>
      </c>
      <c r="U3183" s="77">
        <v>0</v>
      </c>
      <c r="V3183" s="77">
        <v>126</v>
      </c>
      <c r="W3183" s="82" t="s">
        <v>6513</v>
      </c>
      <c r="X3183" s="77"/>
      <c r="Y3183" s="77"/>
      <c r="Z3183" s="77"/>
      <c r="AA3183" s="77"/>
      <c r="AB3183" s="77"/>
      <c r="AC3183" s="82" t="s">
        <v>8232</v>
      </c>
      <c r="AD3183" s="77" t="s">
        <v>8282</v>
      </c>
      <c r="AE3183" s="80" t="str">
        <f>HYPERLINK("https://twitter.com/bpmoney_/status/1658857813119049729")</f>
        <v>https://twitter.com/bpmoney_/status/1658857813119049729</v>
      </c>
      <c r="AF3183" s="79">
        <v>45063.646956018521</v>
      </c>
      <c r="AG3183" s="85">
        <v>45063</v>
      </c>
      <c r="AH3183" s="82" t="s">
        <v>11200</v>
      </c>
      <c r="AI3183" s="77"/>
      <c r="AJ3183" s="77"/>
      <c r="AK3183" s="77"/>
      <c r="AL3183" s="77"/>
      <c r="AM3183" s="77"/>
      <c r="AN3183" s="77"/>
      <c r="AO3183" s="77"/>
      <c r="AP3183" s="77"/>
      <c r="AQ3183" s="77"/>
      <c r="AR3183" s="77"/>
      <c r="AS3183" s="77"/>
      <c r="AT3183" s="77"/>
      <c r="AU3183" s="77"/>
      <c r="AV3183" s="80" t="str">
        <f>HYPERLINK("https://pbs.twimg.com/profile_images/1518936529674117121/MCMYTicP_normal.jpg")</f>
        <v>https://pbs.twimg.com/profile_images/1518936529674117121/MCMYTicP_normal.jpg</v>
      </c>
      <c r="AW3183" s="82" t="s">
        <v>16267</v>
      </c>
      <c r="AX3183" s="82" t="s">
        <v>17267</v>
      </c>
      <c r="AY3183" s="82" t="s">
        <v>17381</v>
      </c>
      <c r="AZ3183" s="82" t="s">
        <v>17267</v>
      </c>
      <c r="BA3183" s="82" t="s">
        <v>17385</v>
      </c>
      <c r="BB3183" s="82" t="s">
        <v>17385</v>
      </c>
      <c r="BC3183" s="82" t="s">
        <v>17267</v>
      </c>
      <c r="BD3183" s="82" t="s">
        <v>17381</v>
      </c>
      <c r="BE3183" s="77"/>
      <c r="BF3183" s="77"/>
      <c r="BG3183" s="77"/>
      <c r="BH3183" s="77"/>
      <c r="BI3183" s="77"/>
    </row>
    <row r="3184" spans="1:61" x14ac:dyDescent="0.25">
      <c r="A3184" s="62" t="s">
        <v>692</v>
      </c>
      <c r="B3184" s="62" t="s">
        <v>692</v>
      </c>
      <c r="C3184" s="63"/>
      <c r="D3184" s="64"/>
      <c r="E3184" s="65"/>
      <c r="F3184" s="66"/>
      <c r="G3184" s="63"/>
      <c r="H3184" s="67"/>
      <c r="I3184" s="68"/>
      <c r="J3184" s="68"/>
      <c r="K3184" s="32"/>
      <c r="L3184" s="75">
        <v>3184</v>
      </c>
      <c r="M3184" s="75"/>
      <c r="N3184" s="70"/>
      <c r="O3184" s="77" t="s">
        <v>800</v>
      </c>
      <c r="P3184" s="79">
        <v>45138.599247685182</v>
      </c>
      <c r="Q3184" s="77" t="s">
        <v>3961</v>
      </c>
      <c r="R3184" s="77">
        <v>0</v>
      </c>
      <c r="S3184" s="77">
        <v>0</v>
      </c>
      <c r="T3184" s="77">
        <v>1</v>
      </c>
      <c r="U3184" s="77">
        <v>0</v>
      </c>
      <c r="V3184" s="77">
        <v>138</v>
      </c>
      <c r="W3184" s="82" t="s">
        <v>6514</v>
      </c>
      <c r="X3184" s="77"/>
      <c r="Y3184" s="77"/>
      <c r="Z3184" s="77"/>
      <c r="AA3184" s="77"/>
      <c r="AB3184" s="77"/>
      <c r="AC3184" s="82" t="s">
        <v>8232</v>
      </c>
      <c r="AD3184" s="77" t="s">
        <v>8282</v>
      </c>
      <c r="AE3184" s="80" t="str">
        <f>HYPERLINK("https://twitter.com/bpmoney_/status/1686019613836935170")</f>
        <v>https://twitter.com/bpmoney_/status/1686019613836935170</v>
      </c>
      <c r="AF3184" s="79">
        <v>45138.599247685182</v>
      </c>
      <c r="AG3184" s="85">
        <v>45138</v>
      </c>
      <c r="AH3184" s="82" t="s">
        <v>10179</v>
      </c>
      <c r="AI3184" s="77"/>
      <c r="AJ3184" s="77"/>
      <c r="AK3184" s="77"/>
      <c r="AL3184" s="77"/>
      <c r="AM3184" s="77"/>
      <c r="AN3184" s="77"/>
      <c r="AO3184" s="77"/>
      <c r="AP3184" s="77"/>
      <c r="AQ3184" s="77"/>
      <c r="AR3184" s="77"/>
      <c r="AS3184" s="77"/>
      <c r="AT3184" s="77"/>
      <c r="AU3184" s="77"/>
      <c r="AV3184" s="80" t="str">
        <f>HYPERLINK("https://pbs.twimg.com/profile_images/1518936529674117121/MCMYTicP_normal.jpg")</f>
        <v>https://pbs.twimg.com/profile_images/1518936529674117121/MCMYTicP_normal.jpg</v>
      </c>
      <c r="AW3184" s="82" t="s">
        <v>16268</v>
      </c>
      <c r="AX3184" s="82" t="s">
        <v>17268</v>
      </c>
      <c r="AY3184" s="82" t="s">
        <v>17381</v>
      </c>
      <c r="AZ3184" s="82" t="s">
        <v>17268</v>
      </c>
      <c r="BA3184" s="82" t="s">
        <v>17385</v>
      </c>
      <c r="BB3184" s="82" t="s">
        <v>17385</v>
      </c>
      <c r="BC3184" s="82" t="s">
        <v>17268</v>
      </c>
      <c r="BD3184" s="82" t="s">
        <v>17381</v>
      </c>
      <c r="BE3184" s="77"/>
      <c r="BF3184" s="77"/>
      <c r="BG3184" s="77"/>
      <c r="BH3184" s="77"/>
      <c r="BI3184" s="77"/>
    </row>
    <row r="3185" spans="1:61" x14ac:dyDescent="0.25">
      <c r="A3185" s="62" t="s">
        <v>692</v>
      </c>
      <c r="B3185" s="62" t="s">
        <v>692</v>
      </c>
      <c r="C3185" s="63"/>
      <c r="D3185" s="64"/>
      <c r="E3185" s="65"/>
      <c r="F3185" s="66"/>
      <c r="G3185" s="63"/>
      <c r="H3185" s="67"/>
      <c r="I3185" s="68"/>
      <c r="J3185" s="68"/>
      <c r="K3185" s="32"/>
      <c r="L3185" s="75">
        <v>3185</v>
      </c>
      <c r="M3185" s="75"/>
      <c r="N3185" s="70"/>
      <c r="O3185" s="77" t="s">
        <v>800</v>
      </c>
      <c r="P3185" s="79">
        <v>45138.567673611113</v>
      </c>
      <c r="Q3185" s="77" t="s">
        <v>3962</v>
      </c>
      <c r="R3185" s="77">
        <v>0</v>
      </c>
      <c r="S3185" s="77">
        <v>0</v>
      </c>
      <c r="T3185" s="77">
        <v>0</v>
      </c>
      <c r="U3185" s="77">
        <v>0</v>
      </c>
      <c r="V3185" s="77">
        <v>97</v>
      </c>
      <c r="W3185" s="82" t="s">
        <v>6515</v>
      </c>
      <c r="X3185" s="77"/>
      <c r="Y3185" s="77"/>
      <c r="Z3185" s="77"/>
      <c r="AA3185" s="77"/>
      <c r="AB3185" s="77"/>
      <c r="AC3185" s="82" t="s">
        <v>8232</v>
      </c>
      <c r="AD3185" s="77" t="s">
        <v>8282</v>
      </c>
      <c r="AE3185" s="80" t="str">
        <f>HYPERLINK("https://twitter.com/bpmoney_/status/1686008170752151552")</f>
        <v>https://twitter.com/bpmoney_/status/1686008170752151552</v>
      </c>
      <c r="AF3185" s="79">
        <v>45138.567673611113</v>
      </c>
      <c r="AG3185" s="85">
        <v>45138</v>
      </c>
      <c r="AH3185" s="82" t="s">
        <v>11201</v>
      </c>
      <c r="AI3185" s="77"/>
      <c r="AJ3185" s="77"/>
      <c r="AK3185" s="77"/>
      <c r="AL3185" s="77"/>
      <c r="AM3185" s="77"/>
      <c r="AN3185" s="77"/>
      <c r="AO3185" s="77"/>
      <c r="AP3185" s="77"/>
      <c r="AQ3185" s="77"/>
      <c r="AR3185" s="77"/>
      <c r="AS3185" s="77"/>
      <c r="AT3185" s="77"/>
      <c r="AU3185" s="77"/>
      <c r="AV3185" s="80" t="str">
        <f>HYPERLINK("https://pbs.twimg.com/profile_images/1518936529674117121/MCMYTicP_normal.jpg")</f>
        <v>https://pbs.twimg.com/profile_images/1518936529674117121/MCMYTicP_normal.jpg</v>
      </c>
      <c r="AW3185" s="82" t="s">
        <v>16269</v>
      </c>
      <c r="AX3185" s="82" t="s">
        <v>17269</v>
      </c>
      <c r="AY3185" s="82" t="s">
        <v>17381</v>
      </c>
      <c r="AZ3185" s="82" t="s">
        <v>17269</v>
      </c>
      <c r="BA3185" s="82" t="s">
        <v>17385</v>
      </c>
      <c r="BB3185" s="82" t="s">
        <v>17385</v>
      </c>
      <c r="BC3185" s="82" t="s">
        <v>17269</v>
      </c>
      <c r="BD3185" s="82" t="s">
        <v>17381</v>
      </c>
      <c r="BE3185" s="77"/>
      <c r="BF3185" s="77"/>
      <c r="BG3185" s="77"/>
      <c r="BH3185" s="77"/>
      <c r="BI3185" s="77"/>
    </row>
    <row r="3186" spans="1:61" x14ac:dyDescent="0.25">
      <c r="A3186" s="62" t="s">
        <v>692</v>
      </c>
      <c r="B3186" s="62" t="s">
        <v>692</v>
      </c>
      <c r="C3186" s="63"/>
      <c r="D3186" s="64"/>
      <c r="E3186" s="65"/>
      <c r="F3186" s="66"/>
      <c r="G3186" s="63"/>
      <c r="H3186" s="67"/>
      <c r="I3186" s="68"/>
      <c r="J3186" s="68"/>
      <c r="K3186" s="32"/>
      <c r="L3186" s="75">
        <v>3186</v>
      </c>
      <c r="M3186" s="75"/>
      <c r="N3186" s="70"/>
      <c r="O3186" s="77" t="s">
        <v>800</v>
      </c>
      <c r="P3186" s="79">
        <v>45107.534988425927</v>
      </c>
      <c r="Q3186" s="77" t="s">
        <v>3963</v>
      </c>
      <c r="R3186" s="77">
        <v>0</v>
      </c>
      <c r="S3186" s="77">
        <v>0</v>
      </c>
      <c r="T3186" s="77">
        <v>0</v>
      </c>
      <c r="U3186" s="77">
        <v>0</v>
      </c>
      <c r="V3186" s="77">
        <v>56</v>
      </c>
      <c r="W3186" s="82" t="s">
        <v>6516</v>
      </c>
      <c r="X3186" s="77"/>
      <c r="Y3186" s="77"/>
      <c r="Z3186" s="77"/>
      <c r="AA3186" s="77"/>
      <c r="AB3186" s="77"/>
      <c r="AC3186" s="82" t="s">
        <v>8232</v>
      </c>
      <c r="AD3186" s="77" t="s">
        <v>8282</v>
      </c>
      <c r="AE3186" s="80" t="str">
        <f>HYPERLINK("https://twitter.com/bpmoney_/status/1674762302107648001")</f>
        <v>https://twitter.com/bpmoney_/status/1674762302107648001</v>
      </c>
      <c r="AF3186" s="79">
        <v>45107.534988425927</v>
      </c>
      <c r="AG3186" s="85">
        <v>45107</v>
      </c>
      <c r="AH3186" s="82" t="s">
        <v>11202</v>
      </c>
      <c r="AI3186" s="77"/>
      <c r="AJ3186" s="77"/>
      <c r="AK3186" s="77"/>
      <c r="AL3186" s="77"/>
      <c r="AM3186" s="77"/>
      <c r="AN3186" s="77"/>
      <c r="AO3186" s="77"/>
      <c r="AP3186" s="77"/>
      <c r="AQ3186" s="77"/>
      <c r="AR3186" s="77"/>
      <c r="AS3186" s="77"/>
      <c r="AT3186" s="77"/>
      <c r="AU3186" s="77"/>
      <c r="AV3186" s="80" t="str">
        <f>HYPERLINK("https://pbs.twimg.com/profile_images/1518936529674117121/MCMYTicP_normal.jpg")</f>
        <v>https://pbs.twimg.com/profile_images/1518936529674117121/MCMYTicP_normal.jpg</v>
      </c>
      <c r="AW3186" s="82" t="s">
        <v>16270</v>
      </c>
      <c r="AX3186" s="82" t="s">
        <v>17270</v>
      </c>
      <c r="AY3186" s="82" t="s">
        <v>17381</v>
      </c>
      <c r="AZ3186" s="82" t="s">
        <v>17270</v>
      </c>
      <c r="BA3186" s="82" t="s">
        <v>17385</v>
      </c>
      <c r="BB3186" s="82" t="s">
        <v>17385</v>
      </c>
      <c r="BC3186" s="82" t="s">
        <v>17270</v>
      </c>
      <c r="BD3186" s="82" t="s">
        <v>17381</v>
      </c>
      <c r="BE3186" s="77"/>
      <c r="BF3186" s="77"/>
      <c r="BG3186" s="77"/>
      <c r="BH3186" s="77"/>
      <c r="BI3186" s="77"/>
    </row>
    <row r="3187" spans="1:61" x14ac:dyDescent="0.25">
      <c r="A3187" s="62" t="s">
        <v>692</v>
      </c>
      <c r="B3187" s="62" t="s">
        <v>692</v>
      </c>
      <c r="C3187" s="63"/>
      <c r="D3187" s="64"/>
      <c r="E3187" s="65"/>
      <c r="F3187" s="66"/>
      <c r="G3187" s="63"/>
      <c r="H3187" s="67"/>
      <c r="I3187" s="68"/>
      <c r="J3187" s="68"/>
      <c r="K3187" s="32"/>
      <c r="L3187" s="75">
        <v>3187</v>
      </c>
      <c r="M3187" s="75"/>
      <c r="N3187" s="70"/>
      <c r="O3187" s="77" t="s">
        <v>800</v>
      </c>
      <c r="P3187" s="79">
        <v>45107.490914351853</v>
      </c>
      <c r="Q3187" s="77" t="s">
        <v>3934</v>
      </c>
      <c r="R3187" s="77">
        <v>0</v>
      </c>
      <c r="S3187" s="77">
        <v>0</v>
      </c>
      <c r="T3187" s="77">
        <v>0</v>
      </c>
      <c r="U3187" s="77">
        <v>0</v>
      </c>
      <c r="V3187" s="77">
        <v>91</v>
      </c>
      <c r="W3187" s="82" t="s">
        <v>6487</v>
      </c>
      <c r="X3187" s="77"/>
      <c r="Y3187" s="77"/>
      <c r="Z3187" s="77"/>
      <c r="AA3187" s="77"/>
      <c r="AB3187" s="77"/>
      <c r="AC3187" s="82" t="s">
        <v>8232</v>
      </c>
      <c r="AD3187" s="77" t="s">
        <v>8282</v>
      </c>
      <c r="AE3187" s="80" t="str">
        <f>HYPERLINK("https://twitter.com/bpmoney_/status/1674746333104689155")</f>
        <v>https://twitter.com/bpmoney_/status/1674746333104689155</v>
      </c>
      <c r="AF3187" s="79">
        <v>45107.490914351853</v>
      </c>
      <c r="AG3187" s="85">
        <v>45107</v>
      </c>
      <c r="AH3187" s="82" t="s">
        <v>11203</v>
      </c>
      <c r="AI3187" s="77"/>
      <c r="AJ3187" s="77"/>
      <c r="AK3187" s="77"/>
      <c r="AL3187" s="77"/>
      <c r="AM3187" s="77"/>
      <c r="AN3187" s="77"/>
      <c r="AO3187" s="77"/>
      <c r="AP3187" s="77"/>
      <c r="AQ3187" s="77"/>
      <c r="AR3187" s="77"/>
      <c r="AS3187" s="77"/>
      <c r="AT3187" s="77"/>
      <c r="AU3187" s="77"/>
      <c r="AV3187" s="80" t="str">
        <f>HYPERLINK("https://pbs.twimg.com/profile_images/1518936529674117121/MCMYTicP_normal.jpg")</f>
        <v>https://pbs.twimg.com/profile_images/1518936529674117121/MCMYTicP_normal.jpg</v>
      </c>
      <c r="AW3187" s="82" t="s">
        <v>16271</v>
      </c>
      <c r="AX3187" s="82" t="s">
        <v>17271</v>
      </c>
      <c r="AY3187" s="82" t="s">
        <v>17381</v>
      </c>
      <c r="AZ3187" s="82" t="s">
        <v>17271</v>
      </c>
      <c r="BA3187" s="82" t="s">
        <v>17385</v>
      </c>
      <c r="BB3187" s="82" t="s">
        <v>17385</v>
      </c>
      <c r="BC3187" s="82" t="s">
        <v>17271</v>
      </c>
      <c r="BD3187" s="82" t="s">
        <v>17381</v>
      </c>
      <c r="BE3187" s="77"/>
      <c r="BF3187" s="77"/>
      <c r="BG3187" s="77"/>
      <c r="BH3187" s="77"/>
      <c r="BI3187" s="77"/>
    </row>
    <row r="3188" spans="1:61" x14ac:dyDescent="0.25">
      <c r="A3188" s="62" t="s">
        <v>692</v>
      </c>
      <c r="B3188" s="62" t="s">
        <v>692</v>
      </c>
      <c r="C3188" s="63"/>
      <c r="D3188" s="64"/>
      <c r="E3188" s="65"/>
      <c r="F3188" s="66"/>
      <c r="G3188" s="63"/>
      <c r="H3188" s="67"/>
      <c r="I3188" s="68"/>
      <c r="J3188" s="68"/>
      <c r="K3188" s="32"/>
      <c r="L3188" s="75">
        <v>3188</v>
      </c>
      <c r="M3188" s="75"/>
      <c r="N3188" s="70"/>
      <c r="O3188" s="77" t="s">
        <v>800</v>
      </c>
      <c r="P3188" s="79">
        <v>45084.62358796296</v>
      </c>
      <c r="Q3188" s="77" t="s">
        <v>3964</v>
      </c>
      <c r="R3188" s="77">
        <v>0</v>
      </c>
      <c r="S3188" s="77">
        <v>0</v>
      </c>
      <c r="T3188" s="77">
        <v>0</v>
      </c>
      <c r="U3188" s="77">
        <v>0</v>
      </c>
      <c r="V3188" s="77">
        <v>95</v>
      </c>
      <c r="W3188" s="82" t="s">
        <v>6517</v>
      </c>
      <c r="X3188" s="77"/>
      <c r="Y3188" s="77"/>
      <c r="Z3188" s="77"/>
      <c r="AA3188" s="77"/>
      <c r="AB3188" s="77"/>
      <c r="AC3188" s="82" t="s">
        <v>8232</v>
      </c>
      <c r="AD3188" s="77" t="s">
        <v>8282</v>
      </c>
      <c r="AE3188" s="80" t="str">
        <f>HYPERLINK("https://twitter.com/bpmoney_/status/1666459490416312333")</f>
        <v>https://twitter.com/bpmoney_/status/1666459490416312333</v>
      </c>
      <c r="AF3188" s="79">
        <v>45084.62358796296</v>
      </c>
      <c r="AG3188" s="85">
        <v>45084</v>
      </c>
      <c r="AH3188" s="82" t="s">
        <v>11204</v>
      </c>
      <c r="AI3188" s="77"/>
      <c r="AJ3188" s="77"/>
      <c r="AK3188" s="77"/>
      <c r="AL3188" s="77"/>
      <c r="AM3188" s="77"/>
      <c r="AN3188" s="77"/>
      <c r="AO3188" s="77"/>
      <c r="AP3188" s="77"/>
      <c r="AQ3188" s="77"/>
      <c r="AR3188" s="77"/>
      <c r="AS3188" s="77"/>
      <c r="AT3188" s="77"/>
      <c r="AU3188" s="77"/>
      <c r="AV3188" s="80" t="str">
        <f>HYPERLINK("https://pbs.twimg.com/profile_images/1518936529674117121/MCMYTicP_normal.jpg")</f>
        <v>https://pbs.twimg.com/profile_images/1518936529674117121/MCMYTicP_normal.jpg</v>
      </c>
      <c r="AW3188" s="82" t="s">
        <v>16272</v>
      </c>
      <c r="AX3188" s="82" t="s">
        <v>17272</v>
      </c>
      <c r="AY3188" s="82" t="s">
        <v>17381</v>
      </c>
      <c r="AZ3188" s="82" t="s">
        <v>17272</v>
      </c>
      <c r="BA3188" s="82" t="s">
        <v>17385</v>
      </c>
      <c r="BB3188" s="82" t="s">
        <v>17385</v>
      </c>
      <c r="BC3188" s="82" t="s">
        <v>17272</v>
      </c>
      <c r="BD3188" s="82" t="s">
        <v>17381</v>
      </c>
      <c r="BE3188" s="77"/>
      <c r="BF3188" s="77"/>
      <c r="BG3188" s="77"/>
      <c r="BH3188" s="77"/>
      <c r="BI3188" s="77"/>
    </row>
    <row r="3189" spans="1:61" x14ac:dyDescent="0.25">
      <c r="A3189" s="62" t="s">
        <v>692</v>
      </c>
      <c r="B3189" s="62" t="s">
        <v>692</v>
      </c>
      <c r="C3189" s="63"/>
      <c r="D3189" s="64"/>
      <c r="E3189" s="65"/>
      <c r="F3189" s="66"/>
      <c r="G3189" s="63"/>
      <c r="H3189" s="67"/>
      <c r="I3189" s="68"/>
      <c r="J3189" s="68"/>
      <c r="K3189" s="32"/>
      <c r="L3189" s="75">
        <v>3189</v>
      </c>
      <c r="M3189" s="75"/>
      <c r="N3189" s="70"/>
      <c r="O3189" s="77" t="s">
        <v>800</v>
      </c>
      <c r="P3189" s="79">
        <v>45084.622210648151</v>
      </c>
      <c r="Q3189" s="77" t="s">
        <v>3965</v>
      </c>
      <c r="R3189" s="77">
        <v>0</v>
      </c>
      <c r="S3189" s="77">
        <v>0</v>
      </c>
      <c r="T3189" s="77">
        <v>0</v>
      </c>
      <c r="U3189" s="77">
        <v>0</v>
      </c>
      <c r="V3189" s="77">
        <v>90</v>
      </c>
      <c r="W3189" s="82" t="s">
        <v>6518</v>
      </c>
      <c r="X3189" s="77"/>
      <c r="Y3189" s="77"/>
      <c r="Z3189" s="77"/>
      <c r="AA3189" s="77"/>
      <c r="AB3189" s="77"/>
      <c r="AC3189" s="82" t="s">
        <v>8232</v>
      </c>
      <c r="AD3189" s="77" t="s">
        <v>8282</v>
      </c>
      <c r="AE3189" s="80" t="str">
        <f>HYPERLINK("https://twitter.com/bpmoney_/status/1666458991247912961")</f>
        <v>https://twitter.com/bpmoney_/status/1666458991247912961</v>
      </c>
      <c r="AF3189" s="79">
        <v>45084.622210648151</v>
      </c>
      <c r="AG3189" s="85">
        <v>45084</v>
      </c>
      <c r="AH3189" s="82" t="s">
        <v>11205</v>
      </c>
      <c r="AI3189" s="77"/>
      <c r="AJ3189" s="77"/>
      <c r="AK3189" s="77"/>
      <c r="AL3189" s="77"/>
      <c r="AM3189" s="77"/>
      <c r="AN3189" s="77"/>
      <c r="AO3189" s="77"/>
      <c r="AP3189" s="77"/>
      <c r="AQ3189" s="77"/>
      <c r="AR3189" s="77"/>
      <c r="AS3189" s="77"/>
      <c r="AT3189" s="77"/>
      <c r="AU3189" s="77"/>
      <c r="AV3189" s="80" t="str">
        <f>HYPERLINK("https://pbs.twimg.com/profile_images/1518936529674117121/MCMYTicP_normal.jpg")</f>
        <v>https://pbs.twimg.com/profile_images/1518936529674117121/MCMYTicP_normal.jpg</v>
      </c>
      <c r="AW3189" s="82" t="s">
        <v>16273</v>
      </c>
      <c r="AX3189" s="82" t="s">
        <v>17273</v>
      </c>
      <c r="AY3189" s="82" t="s">
        <v>17381</v>
      </c>
      <c r="AZ3189" s="82" t="s">
        <v>17273</v>
      </c>
      <c r="BA3189" s="82" t="s">
        <v>17385</v>
      </c>
      <c r="BB3189" s="82" t="s">
        <v>17385</v>
      </c>
      <c r="BC3189" s="82" t="s">
        <v>17273</v>
      </c>
      <c r="BD3189" s="82" t="s">
        <v>17381</v>
      </c>
      <c r="BE3189" s="77"/>
      <c r="BF3189" s="77"/>
      <c r="BG3189" s="77"/>
      <c r="BH3189" s="77"/>
      <c r="BI3189" s="77"/>
    </row>
    <row r="3190" spans="1:61" x14ac:dyDescent="0.25">
      <c r="A3190" s="62" t="s">
        <v>692</v>
      </c>
      <c r="B3190" s="62" t="s">
        <v>692</v>
      </c>
      <c r="C3190" s="63"/>
      <c r="D3190" s="64"/>
      <c r="E3190" s="65"/>
      <c r="F3190" s="66"/>
      <c r="G3190" s="63"/>
      <c r="H3190" s="67"/>
      <c r="I3190" s="68"/>
      <c r="J3190" s="68"/>
      <c r="K3190" s="32"/>
      <c r="L3190" s="75">
        <v>3190</v>
      </c>
      <c r="M3190" s="75"/>
      <c r="N3190" s="70"/>
      <c r="O3190" s="77" t="s">
        <v>800</v>
      </c>
      <c r="P3190" s="79">
        <v>45084.538645833331</v>
      </c>
      <c r="Q3190" s="77" t="s">
        <v>3966</v>
      </c>
      <c r="R3190" s="77">
        <v>0</v>
      </c>
      <c r="S3190" s="77">
        <v>0</v>
      </c>
      <c r="T3190" s="77">
        <v>0</v>
      </c>
      <c r="U3190" s="77">
        <v>0</v>
      </c>
      <c r="V3190" s="77">
        <v>78</v>
      </c>
      <c r="W3190" s="82" t="s">
        <v>6519</v>
      </c>
      <c r="X3190" s="77"/>
      <c r="Y3190" s="77"/>
      <c r="Z3190" s="77"/>
      <c r="AA3190" s="77"/>
      <c r="AB3190" s="77"/>
      <c r="AC3190" s="82" t="s">
        <v>8232</v>
      </c>
      <c r="AD3190" s="77" t="s">
        <v>8282</v>
      </c>
      <c r="AE3190" s="80" t="str">
        <f>HYPERLINK("https://twitter.com/bpmoney_/status/1666428706464645120")</f>
        <v>https://twitter.com/bpmoney_/status/1666428706464645120</v>
      </c>
      <c r="AF3190" s="79">
        <v>45084.538645833331</v>
      </c>
      <c r="AG3190" s="85">
        <v>45084</v>
      </c>
      <c r="AH3190" s="82" t="s">
        <v>11206</v>
      </c>
      <c r="AI3190" s="77"/>
      <c r="AJ3190" s="77"/>
      <c r="AK3190" s="77"/>
      <c r="AL3190" s="77"/>
      <c r="AM3190" s="77"/>
      <c r="AN3190" s="77"/>
      <c r="AO3190" s="77"/>
      <c r="AP3190" s="77"/>
      <c r="AQ3190" s="77"/>
      <c r="AR3190" s="77"/>
      <c r="AS3190" s="77"/>
      <c r="AT3190" s="77"/>
      <c r="AU3190" s="77"/>
      <c r="AV3190" s="80" t="str">
        <f>HYPERLINK("https://pbs.twimg.com/profile_images/1518936529674117121/MCMYTicP_normal.jpg")</f>
        <v>https://pbs.twimg.com/profile_images/1518936529674117121/MCMYTicP_normal.jpg</v>
      </c>
      <c r="AW3190" s="82" t="s">
        <v>16274</v>
      </c>
      <c r="AX3190" s="82" t="s">
        <v>17274</v>
      </c>
      <c r="AY3190" s="82" t="s">
        <v>17381</v>
      </c>
      <c r="AZ3190" s="82" t="s">
        <v>17274</v>
      </c>
      <c r="BA3190" s="82" t="s">
        <v>17385</v>
      </c>
      <c r="BB3190" s="82" t="s">
        <v>17385</v>
      </c>
      <c r="BC3190" s="82" t="s">
        <v>17274</v>
      </c>
      <c r="BD3190" s="82" t="s">
        <v>17381</v>
      </c>
      <c r="BE3190" s="77"/>
      <c r="BF3190" s="77"/>
      <c r="BG3190" s="77"/>
      <c r="BH3190" s="77"/>
      <c r="BI3190" s="77"/>
    </row>
    <row r="3191" spans="1:61" x14ac:dyDescent="0.25">
      <c r="A3191" s="62" t="s">
        <v>692</v>
      </c>
      <c r="B3191" s="62" t="s">
        <v>692</v>
      </c>
      <c r="C3191" s="63"/>
      <c r="D3191" s="64"/>
      <c r="E3191" s="65"/>
      <c r="F3191" s="66"/>
      <c r="G3191" s="63"/>
      <c r="H3191" s="67"/>
      <c r="I3191" s="68"/>
      <c r="J3191" s="68"/>
      <c r="K3191" s="32"/>
      <c r="L3191" s="75">
        <v>3191</v>
      </c>
      <c r="M3191" s="75"/>
      <c r="N3191" s="70"/>
      <c r="O3191" s="77" t="s">
        <v>800</v>
      </c>
      <c r="P3191" s="79">
        <v>45051.480358796296</v>
      </c>
      <c r="Q3191" s="77" t="s">
        <v>3967</v>
      </c>
      <c r="R3191" s="77">
        <v>0</v>
      </c>
      <c r="S3191" s="77">
        <v>0</v>
      </c>
      <c r="T3191" s="77">
        <v>0</v>
      </c>
      <c r="U3191" s="77">
        <v>0</v>
      </c>
      <c r="V3191" s="77">
        <v>276</v>
      </c>
      <c r="W3191" s="82" t="s">
        <v>6520</v>
      </c>
      <c r="X3191" s="77"/>
      <c r="Y3191" s="77"/>
      <c r="Z3191" s="77"/>
      <c r="AA3191" s="77"/>
      <c r="AB3191" s="77"/>
      <c r="AC3191" s="82" t="s">
        <v>8232</v>
      </c>
      <c r="AD3191" s="77" t="s">
        <v>8282</v>
      </c>
      <c r="AE3191" s="80" t="str">
        <f>HYPERLINK("https://twitter.com/bpmoney_/status/1654448787853647872")</f>
        <v>https://twitter.com/bpmoney_/status/1654448787853647872</v>
      </c>
      <c r="AF3191" s="79">
        <v>45051.480358796296</v>
      </c>
      <c r="AG3191" s="85">
        <v>45051</v>
      </c>
      <c r="AH3191" s="82" t="s">
        <v>11207</v>
      </c>
      <c r="AI3191" s="77"/>
      <c r="AJ3191" s="77"/>
      <c r="AK3191" s="77"/>
      <c r="AL3191" s="77"/>
      <c r="AM3191" s="77"/>
      <c r="AN3191" s="77"/>
      <c r="AO3191" s="77"/>
      <c r="AP3191" s="77"/>
      <c r="AQ3191" s="77"/>
      <c r="AR3191" s="77"/>
      <c r="AS3191" s="77"/>
      <c r="AT3191" s="77"/>
      <c r="AU3191" s="77"/>
      <c r="AV3191" s="80" t="str">
        <f>HYPERLINK("https://pbs.twimg.com/profile_images/1518936529674117121/MCMYTicP_normal.jpg")</f>
        <v>https://pbs.twimg.com/profile_images/1518936529674117121/MCMYTicP_normal.jpg</v>
      </c>
      <c r="AW3191" s="82" t="s">
        <v>16275</v>
      </c>
      <c r="AX3191" s="82" t="s">
        <v>17275</v>
      </c>
      <c r="AY3191" s="82" t="s">
        <v>17381</v>
      </c>
      <c r="AZ3191" s="82" t="s">
        <v>17275</v>
      </c>
      <c r="BA3191" s="82" t="s">
        <v>17385</v>
      </c>
      <c r="BB3191" s="82" t="s">
        <v>17385</v>
      </c>
      <c r="BC3191" s="82" t="s">
        <v>17275</v>
      </c>
      <c r="BD3191" s="82" t="s">
        <v>17381</v>
      </c>
      <c r="BE3191" s="77"/>
      <c r="BF3191" s="77"/>
      <c r="BG3191" s="77"/>
      <c r="BH3191" s="77"/>
      <c r="BI3191" s="77"/>
    </row>
    <row r="3192" spans="1:61" x14ac:dyDescent="0.25">
      <c r="A3192" s="62" t="s">
        <v>692</v>
      </c>
      <c r="B3192" s="62" t="s">
        <v>692</v>
      </c>
      <c r="C3192" s="63"/>
      <c r="D3192" s="64"/>
      <c r="E3192" s="65"/>
      <c r="F3192" s="66"/>
      <c r="G3192" s="63"/>
      <c r="H3192" s="67"/>
      <c r="I3192" s="68"/>
      <c r="J3192" s="68"/>
      <c r="K3192" s="32"/>
      <c r="L3192" s="75">
        <v>3192</v>
      </c>
      <c r="M3192" s="75"/>
      <c r="N3192" s="70"/>
      <c r="O3192" s="77" t="s">
        <v>800</v>
      </c>
      <c r="P3192" s="79">
        <v>45049.801469907405</v>
      </c>
      <c r="Q3192" s="77" t="s">
        <v>3968</v>
      </c>
      <c r="R3192" s="77">
        <v>0</v>
      </c>
      <c r="S3192" s="77">
        <v>0</v>
      </c>
      <c r="T3192" s="77">
        <v>0</v>
      </c>
      <c r="U3192" s="77">
        <v>0</v>
      </c>
      <c r="V3192" s="77">
        <v>205</v>
      </c>
      <c r="W3192" s="82" t="s">
        <v>6521</v>
      </c>
      <c r="X3192" s="77"/>
      <c r="Y3192" s="77"/>
      <c r="Z3192" s="77"/>
      <c r="AA3192" s="77"/>
      <c r="AB3192" s="77"/>
      <c r="AC3192" s="82" t="s">
        <v>8232</v>
      </c>
      <c r="AD3192" s="77" t="s">
        <v>8282</v>
      </c>
      <c r="AE3192" s="80" t="str">
        <f>HYPERLINK("https://twitter.com/bpmoney_/status/1653840378984898561")</f>
        <v>https://twitter.com/bpmoney_/status/1653840378984898561</v>
      </c>
      <c r="AF3192" s="79">
        <v>45049.801469907405</v>
      </c>
      <c r="AG3192" s="85">
        <v>45049</v>
      </c>
      <c r="AH3192" s="82" t="s">
        <v>11208</v>
      </c>
      <c r="AI3192" s="77"/>
      <c r="AJ3192" s="77"/>
      <c r="AK3192" s="77"/>
      <c r="AL3192" s="77"/>
      <c r="AM3192" s="77"/>
      <c r="AN3192" s="77"/>
      <c r="AO3192" s="77"/>
      <c r="AP3192" s="77"/>
      <c r="AQ3192" s="77"/>
      <c r="AR3192" s="77"/>
      <c r="AS3192" s="77"/>
      <c r="AT3192" s="77"/>
      <c r="AU3192" s="77"/>
      <c r="AV3192" s="80" t="str">
        <f>HYPERLINK("https://pbs.twimg.com/profile_images/1518936529674117121/MCMYTicP_normal.jpg")</f>
        <v>https://pbs.twimg.com/profile_images/1518936529674117121/MCMYTicP_normal.jpg</v>
      </c>
      <c r="AW3192" s="82" t="s">
        <v>16276</v>
      </c>
      <c r="AX3192" s="82" t="s">
        <v>17276</v>
      </c>
      <c r="AY3192" s="82" t="s">
        <v>17381</v>
      </c>
      <c r="AZ3192" s="82" t="s">
        <v>17276</v>
      </c>
      <c r="BA3192" s="82" t="s">
        <v>17385</v>
      </c>
      <c r="BB3192" s="82" t="s">
        <v>17385</v>
      </c>
      <c r="BC3192" s="82" t="s">
        <v>17276</v>
      </c>
      <c r="BD3192" s="82" t="s">
        <v>17381</v>
      </c>
      <c r="BE3192" s="77"/>
      <c r="BF3192" s="77"/>
      <c r="BG3192" s="77"/>
      <c r="BH3192" s="77"/>
      <c r="BI3192" s="77"/>
    </row>
    <row r="3193" spans="1:61" x14ac:dyDescent="0.25">
      <c r="A3193" s="62" t="s">
        <v>692</v>
      </c>
      <c r="B3193" s="62" t="s">
        <v>692</v>
      </c>
      <c r="C3193" s="63"/>
      <c r="D3193" s="64"/>
      <c r="E3193" s="65"/>
      <c r="F3193" s="66"/>
      <c r="G3193" s="63"/>
      <c r="H3193" s="67"/>
      <c r="I3193" s="68"/>
      <c r="J3193" s="68"/>
      <c r="K3193" s="32"/>
      <c r="L3193" s="75">
        <v>3193</v>
      </c>
      <c r="M3193" s="75"/>
      <c r="N3193" s="70"/>
      <c r="O3193" s="77" t="s">
        <v>800</v>
      </c>
      <c r="P3193" s="79">
        <v>45049.758796296293</v>
      </c>
      <c r="Q3193" s="77" t="s">
        <v>3969</v>
      </c>
      <c r="R3193" s="77">
        <v>0</v>
      </c>
      <c r="S3193" s="77">
        <v>0</v>
      </c>
      <c r="T3193" s="77">
        <v>0</v>
      </c>
      <c r="U3193" s="77">
        <v>0</v>
      </c>
      <c r="V3193" s="77">
        <v>79</v>
      </c>
      <c r="W3193" s="82" t="s">
        <v>6522</v>
      </c>
      <c r="X3193" s="77"/>
      <c r="Y3193" s="77"/>
      <c r="Z3193" s="77"/>
      <c r="AA3193" s="77"/>
      <c r="AB3193" s="77"/>
      <c r="AC3193" s="82" t="s">
        <v>8232</v>
      </c>
      <c r="AD3193" s="77" t="s">
        <v>8282</v>
      </c>
      <c r="AE3193" s="80" t="str">
        <f>HYPERLINK("https://twitter.com/bpmoney_/status/1653824914732752914")</f>
        <v>https://twitter.com/bpmoney_/status/1653824914732752914</v>
      </c>
      <c r="AF3193" s="79">
        <v>45049.758796296293</v>
      </c>
      <c r="AG3193" s="85">
        <v>45049</v>
      </c>
      <c r="AH3193" s="82" t="s">
        <v>11209</v>
      </c>
      <c r="AI3193" s="77"/>
      <c r="AJ3193" s="77"/>
      <c r="AK3193" s="77"/>
      <c r="AL3193" s="77"/>
      <c r="AM3193" s="77"/>
      <c r="AN3193" s="77"/>
      <c r="AO3193" s="77"/>
      <c r="AP3193" s="77"/>
      <c r="AQ3193" s="77"/>
      <c r="AR3193" s="77"/>
      <c r="AS3193" s="77"/>
      <c r="AT3193" s="77"/>
      <c r="AU3193" s="77"/>
      <c r="AV3193" s="80" t="str">
        <f>HYPERLINK("https://pbs.twimg.com/profile_images/1518936529674117121/MCMYTicP_normal.jpg")</f>
        <v>https://pbs.twimg.com/profile_images/1518936529674117121/MCMYTicP_normal.jpg</v>
      </c>
      <c r="AW3193" s="82" t="s">
        <v>16277</v>
      </c>
      <c r="AX3193" s="82" t="s">
        <v>17277</v>
      </c>
      <c r="AY3193" s="82" t="s">
        <v>17381</v>
      </c>
      <c r="AZ3193" s="82" t="s">
        <v>17277</v>
      </c>
      <c r="BA3193" s="82" t="s">
        <v>17385</v>
      </c>
      <c r="BB3193" s="82" t="s">
        <v>17385</v>
      </c>
      <c r="BC3193" s="82" t="s">
        <v>17277</v>
      </c>
      <c r="BD3193" s="82" t="s">
        <v>17381</v>
      </c>
      <c r="BE3193" s="77"/>
      <c r="BF3193" s="77"/>
      <c r="BG3193" s="77"/>
      <c r="BH3193" s="77"/>
      <c r="BI3193" s="77"/>
    </row>
    <row r="3194" spans="1:61" x14ac:dyDescent="0.25">
      <c r="A3194" s="62" t="s">
        <v>692</v>
      </c>
      <c r="B3194" s="62" t="s">
        <v>692</v>
      </c>
      <c r="C3194" s="63"/>
      <c r="D3194" s="64"/>
      <c r="E3194" s="65"/>
      <c r="F3194" s="66"/>
      <c r="G3194" s="63"/>
      <c r="H3194" s="67"/>
      <c r="I3194" s="68"/>
      <c r="J3194" s="68"/>
      <c r="K3194" s="32"/>
      <c r="L3194" s="75">
        <v>3194</v>
      </c>
      <c r="M3194" s="75"/>
      <c r="N3194" s="70"/>
      <c r="O3194" s="77" t="s">
        <v>800</v>
      </c>
      <c r="P3194" s="79">
        <v>45138.822453703702</v>
      </c>
      <c r="Q3194" s="77" t="s">
        <v>3970</v>
      </c>
      <c r="R3194" s="77">
        <v>0</v>
      </c>
      <c r="S3194" s="77">
        <v>0</v>
      </c>
      <c r="T3194" s="77">
        <v>0</v>
      </c>
      <c r="U3194" s="77">
        <v>0</v>
      </c>
      <c r="V3194" s="77">
        <v>139</v>
      </c>
      <c r="W3194" s="82" t="s">
        <v>6523</v>
      </c>
      <c r="X3194" s="77"/>
      <c r="Y3194" s="77"/>
      <c r="Z3194" s="77"/>
      <c r="AA3194" s="77"/>
      <c r="AB3194" s="77"/>
      <c r="AC3194" s="82" t="s">
        <v>8232</v>
      </c>
      <c r="AD3194" s="77" t="s">
        <v>8282</v>
      </c>
      <c r="AE3194" s="80" t="str">
        <f>HYPERLINK("https://twitter.com/bpmoney_/status/1686100502646255616")</f>
        <v>https://twitter.com/bpmoney_/status/1686100502646255616</v>
      </c>
      <c r="AF3194" s="79">
        <v>45138.822453703702</v>
      </c>
      <c r="AG3194" s="85">
        <v>45138</v>
      </c>
      <c r="AH3194" s="82" t="s">
        <v>10743</v>
      </c>
      <c r="AI3194" s="77"/>
      <c r="AJ3194" s="77"/>
      <c r="AK3194" s="77"/>
      <c r="AL3194" s="77"/>
      <c r="AM3194" s="77"/>
      <c r="AN3194" s="77"/>
      <c r="AO3194" s="77"/>
      <c r="AP3194" s="77"/>
      <c r="AQ3194" s="77"/>
      <c r="AR3194" s="77"/>
      <c r="AS3194" s="77"/>
      <c r="AT3194" s="77"/>
      <c r="AU3194" s="77"/>
      <c r="AV3194" s="80" t="str">
        <f>HYPERLINK("https://pbs.twimg.com/profile_images/1518936529674117121/MCMYTicP_normal.jpg")</f>
        <v>https://pbs.twimg.com/profile_images/1518936529674117121/MCMYTicP_normal.jpg</v>
      </c>
      <c r="AW3194" s="82" t="s">
        <v>16278</v>
      </c>
      <c r="AX3194" s="82" t="s">
        <v>17278</v>
      </c>
      <c r="AY3194" s="82" t="s">
        <v>17381</v>
      </c>
      <c r="AZ3194" s="82" t="s">
        <v>17278</v>
      </c>
      <c r="BA3194" s="82" t="s">
        <v>17385</v>
      </c>
      <c r="BB3194" s="82" t="s">
        <v>17385</v>
      </c>
      <c r="BC3194" s="82" t="s">
        <v>17278</v>
      </c>
      <c r="BD3194" s="82" t="s">
        <v>17381</v>
      </c>
      <c r="BE3194" s="77"/>
      <c r="BF3194" s="77"/>
      <c r="BG3194" s="77"/>
      <c r="BH3194" s="77"/>
      <c r="BI3194" s="77"/>
    </row>
    <row r="3195" spans="1:61" x14ac:dyDescent="0.25">
      <c r="A3195" s="62" t="s">
        <v>692</v>
      </c>
      <c r="B3195" s="62" t="s">
        <v>692</v>
      </c>
      <c r="C3195" s="63"/>
      <c r="D3195" s="64"/>
      <c r="E3195" s="65"/>
      <c r="F3195" s="66"/>
      <c r="G3195" s="63"/>
      <c r="H3195" s="67"/>
      <c r="I3195" s="68"/>
      <c r="J3195" s="68"/>
      <c r="K3195" s="32"/>
      <c r="L3195" s="75">
        <v>3195</v>
      </c>
      <c r="M3195" s="75"/>
      <c r="N3195" s="70"/>
      <c r="O3195" s="77" t="s">
        <v>800</v>
      </c>
      <c r="P3195" s="79">
        <v>45121.529664351852</v>
      </c>
      <c r="Q3195" s="77" t="s">
        <v>3971</v>
      </c>
      <c r="R3195" s="77">
        <v>0</v>
      </c>
      <c r="S3195" s="77">
        <v>0</v>
      </c>
      <c r="T3195" s="77">
        <v>0</v>
      </c>
      <c r="U3195" s="77">
        <v>0</v>
      </c>
      <c r="V3195" s="77">
        <v>101</v>
      </c>
      <c r="W3195" s="82" t="s">
        <v>6524</v>
      </c>
      <c r="X3195" s="77"/>
      <c r="Y3195" s="77"/>
      <c r="Z3195" s="77"/>
      <c r="AA3195" s="77"/>
      <c r="AB3195" s="77"/>
      <c r="AC3195" s="82" t="s">
        <v>8232</v>
      </c>
      <c r="AD3195" s="77" t="s">
        <v>8282</v>
      </c>
      <c r="AE3195" s="80" t="str">
        <f>HYPERLINK("https://twitter.com/bpmoney_/status/1679833806184886272")</f>
        <v>https://twitter.com/bpmoney_/status/1679833806184886272</v>
      </c>
      <c r="AF3195" s="79">
        <v>45121.529664351852</v>
      </c>
      <c r="AG3195" s="85">
        <v>45121</v>
      </c>
      <c r="AH3195" s="82" t="s">
        <v>11210</v>
      </c>
      <c r="AI3195" s="77"/>
      <c r="AJ3195" s="77"/>
      <c r="AK3195" s="77"/>
      <c r="AL3195" s="77"/>
      <c r="AM3195" s="77"/>
      <c r="AN3195" s="77"/>
      <c r="AO3195" s="77"/>
      <c r="AP3195" s="77"/>
      <c r="AQ3195" s="77"/>
      <c r="AR3195" s="77"/>
      <c r="AS3195" s="77"/>
      <c r="AT3195" s="77"/>
      <c r="AU3195" s="77"/>
      <c r="AV3195" s="80" t="str">
        <f>HYPERLINK("https://pbs.twimg.com/profile_images/1518936529674117121/MCMYTicP_normal.jpg")</f>
        <v>https://pbs.twimg.com/profile_images/1518936529674117121/MCMYTicP_normal.jpg</v>
      </c>
      <c r="AW3195" s="82" t="s">
        <v>16279</v>
      </c>
      <c r="AX3195" s="82" t="s">
        <v>17279</v>
      </c>
      <c r="AY3195" s="82" t="s">
        <v>17381</v>
      </c>
      <c r="AZ3195" s="82" t="s">
        <v>17279</v>
      </c>
      <c r="BA3195" s="82" t="s">
        <v>17385</v>
      </c>
      <c r="BB3195" s="82" t="s">
        <v>17385</v>
      </c>
      <c r="BC3195" s="82" t="s">
        <v>17279</v>
      </c>
      <c r="BD3195" s="82" t="s">
        <v>17381</v>
      </c>
      <c r="BE3195" s="77"/>
      <c r="BF3195" s="77"/>
      <c r="BG3195" s="77"/>
      <c r="BH3195" s="77"/>
      <c r="BI3195" s="77"/>
    </row>
    <row r="3196" spans="1:61" x14ac:dyDescent="0.25">
      <c r="A3196" s="62" t="s">
        <v>692</v>
      </c>
      <c r="B3196" s="62" t="s">
        <v>692</v>
      </c>
      <c r="C3196" s="63"/>
      <c r="D3196" s="64"/>
      <c r="E3196" s="65"/>
      <c r="F3196" s="66"/>
      <c r="G3196" s="63"/>
      <c r="H3196" s="67"/>
      <c r="I3196" s="68"/>
      <c r="J3196" s="68"/>
      <c r="K3196" s="32"/>
      <c r="L3196" s="75">
        <v>3196</v>
      </c>
      <c r="M3196" s="75"/>
      <c r="N3196" s="70"/>
      <c r="O3196" s="77" t="s">
        <v>800</v>
      </c>
      <c r="P3196" s="79">
        <v>45121.492199074077</v>
      </c>
      <c r="Q3196" s="77" t="s">
        <v>3972</v>
      </c>
      <c r="R3196" s="77">
        <v>0</v>
      </c>
      <c r="S3196" s="77">
        <v>0</v>
      </c>
      <c r="T3196" s="77">
        <v>0</v>
      </c>
      <c r="U3196" s="77">
        <v>0</v>
      </c>
      <c r="V3196" s="77">
        <v>89</v>
      </c>
      <c r="W3196" s="82" t="s">
        <v>6525</v>
      </c>
      <c r="X3196" s="77"/>
      <c r="Y3196" s="77"/>
      <c r="Z3196" s="77"/>
      <c r="AA3196" s="77"/>
      <c r="AB3196" s="77"/>
      <c r="AC3196" s="82" t="s">
        <v>8232</v>
      </c>
      <c r="AD3196" s="77" t="s">
        <v>8282</v>
      </c>
      <c r="AE3196" s="80" t="str">
        <f>HYPERLINK("https://twitter.com/bpmoney_/status/1679820228216094722")</f>
        <v>https://twitter.com/bpmoney_/status/1679820228216094722</v>
      </c>
      <c r="AF3196" s="79">
        <v>45121.492199074077</v>
      </c>
      <c r="AG3196" s="85">
        <v>45121</v>
      </c>
      <c r="AH3196" s="82" t="s">
        <v>11211</v>
      </c>
      <c r="AI3196" s="77"/>
      <c r="AJ3196" s="77"/>
      <c r="AK3196" s="77"/>
      <c r="AL3196" s="77"/>
      <c r="AM3196" s="77"/>
      <c r="AN3196" s="77"/>
      <c r="AO3196" s="77"/>
      <c r="AP3196" s="77"/>
      <c r="AQ3196" s="77"/>
      <c r="AR3196" s="77"/>
      <c r="AS3196" s="77"/>
      <c r="AT3196" s="77"/>
      <c r="AU3196" s="77"/>
      <c r="AV3196" s="80" t="str">
        <f>HYPERLINK("https://pbs.twimg.com/profile_images/1518936529674117121/MCMYTicP_normal.jpg")</f>
        <v>https://pbs.twimg.com/profile_images/1518936529674117121/MCMYTicP_normal.jpg</v>
      </c>
      <c r="AW3196" s="82" t="s">
        <v>16280</v>
      </c>
      <c r="AX3196" s="82" t="s">
        <v>17280</v>
      </c>
      <c r="AY3196" s="82" t="s">
        <v>17381</v>
      </c>
      <c r="AZ3196" s="82" t="s">
        <v>17280</v>
      </c>
      <c r="BA3196" s="82" t="s">
        <v>17385</v>
      </c>
      <c r="BB3196" s="82" t="s">
        <v>17385</v>
      </c>
      <c r="BC3196" s="82" t="s">
        <v>17280</v>
      </c>
      <c r="BD3196" s="82" t="s">
        <v>17381</v>
      </c>
      <c r="BE3196" s="77"/>
      <c r="BF3196" s="77"/>
      <c r="BG3196" s="77"/>
      <c r="BH3196" s="77"/>
      <c r="BI3196" s="77"/>
    </row>
    <row r="3197" spans="1:61" x14ac:dyDescent="0.25">
      <c r="A3197" s="62" t="s">
        <v>692</v>
      </c>
      <c r="B3197" s="62" t="s">
        <v>692</v>
      </c>
      <c r="C3197" s="63"/>
      <c r="D3197" s="64"/>
      <c r="E3197" s="65"/>
      <c r="F3197" s="66"/>
      <c r="G3197" s="63"/>
      <c r="H3197" s="67"/>
      <c r="I3197" s="68"/>
      <c r="J3197" s="68"/>
      <c r="K3197" s="32"/>
      <c r="L3197" s="75">
        <v>3197</v>
      </c>
      <c r="M3197" s="75"/>
      <c r="N3197" s="70"/>
      <c r="O3197" s="77" t="s">
        <v>800</v>
      </c>
      <c r="P3197" s="79">
        <v>45111.603368055556</v>
      </c>
      <c r="Q3197" s="77" t="s">
        <v>3973</v>
      </c>
      <c r="R3197" s="77">
        <v>0</v>
      </c>
      <c r="S3197" s="77">
        <v>0</v>
      </c>
      <c r="T3197" s="77">
        <v>0</v>
      </c>
      <c r="U3197" s="77">
        <v>0</v>
      </c>
      <c r="V3197" s="77">
        <v>106</v>
      </c>
      <c r="W3197" s="82" t="s">
        <v>6526</v>
      </c>
      <c r="X3197" s="77"/>
      <c r="Y3197" s="77"/>
      <c r="Z3197" s="77"/>
      <c r="AA3197" s="77"/>
      <c r="AB3197" s="77"/>
      <c r="AC3197" s="82" t="s">
        <v>8232</v>
      </c>
      <c r="AD3197" s="77" t="s">
        <v>8282</v>
      </c>
      <c r="AE3197" s="80" t="str">
        <f>HYPERLINK("https://twitter.com/bpmoney_/status/1676236633308274689")</f>
        <v>https://twitter.com/bpmoney_/status/1676236633308274689</v>
      </c>
      <c r="AF3197" s="79">
        <v>45111.603368055556</v>
      </c>
      <c r="AG3197" s="85">
        <v>45111</v>
      </c>
      <c r="AH3197" s="82" t="s">
        <v>11212</v>
      </c>
      <c r="AI3197" s="77"/>
      <c r="AJ3197" s="77"/>
      <c r="AK3197" s="77"/>
      <c r="AL3197" s="77"/>
      <c r="AM3197" s="77"/>
      <c r="AN3197" s="77"/>
      <c r="AO3197" s="77"/>
      <c r="AP3197" s="77"/>
      <c r="AQ3197" s="77"/>
      <c r="AR3197" s="77"/>
      <c r="AS3197" s="77"/>
      <c r="AT3197" s="77"/>
      <c r="AU3197" s="77"/>
      <c r="AV3197" s="80" t="str">
        <f>HYPERLINK("https://pbs.twimg.com/profile_images/1518936529674117121/MCMYTicP_normal.jpg")</f>
        <v>https://pbs.twimg.com/profile_images/1518936529674117121/MCMYTicP_normal.jpg</v>
      </c>
      <c r="AW3197" s="82" t="s">
        <v>16281</v>
      </c>
      <c r="AX3197" s="82" t="s">
        <v>17281</v>
      </c>
      <c r="AY3197" s="82" t="s">
        <v>17381</v>
      </c>
      <c r="AZ3197" s="82" t="s">
        <v>17281</v>
      </c>
      <c r="BA3197" s="82" t="s">
        <v>17385</v>
      </c>
      <c r="BB3197" s="82" t="s">
        <v>17385</v>
      </c>
      <c r="BC3197" s="82" t="s">
        <v>17281</v>
      </c>
      <c r="BD3197" s="82" t="s">
        <v>17381</v>
      </c>
      <c r="BE3197" s="77"/>
      <c r="BF3197" s="77"/>
      <c r="BG3197" s="77"/>
      <c r="BH3197" s="77"/>
      <c r="BI3197" s="77"/>
    </row>
    <row r="3198" spans="1:61" x14ac:dyDescent="0.25">
      <c r="A3198" s="62" t="s">
        <v>692</v>
      </c>
      <c r="B3198" s="62" t="s">
        <v>692</v>
      </c>
      <c r="C3198" s="63"/>
      <c r="D3198" s="64"/>
      <c r="E3198" s="65"/>
      <c r="F3198" s="66"/>
      <c r="G3198" s="63"/>
      <c r="H3198" s="67"/>
      <c r="I3198" s="68"/>
      <c r="J3198" s="68"/>
      <c r="K3198" s="32"/>
      <c r="L3198" s="75">
        <v>3198</v>
      </c>
      <c r="M3198" s="75"/>
      <c r="N3198" s="70"/>
      <c r="O3198" s="77" t="s">
        <v>800</v>
      </c>
      <c r="P3198" s="79">
        <v>45111.542442129627</v>
      </c>
      <c r="Q3198" s="77" t="s">
        <v>3950</v>
      </c>
      <c r="R3198" s="77">
        <v>0</v>
      </c>
      <c r="S3198" s="77">
        <v>0</v>
      </c>
      <c r="T3198" s="77">
        <v>0</v>
      </c>
      <c r="U3198" s="77">
        <v>0</v>
      </c>
      <c r="V3198" s="77">
        <v>109</v>
      </c>
      <c r="W3198" s="82" t="s">
        <v>6503</v>
      </c>
      <c r="X3198" s="77"/>
      <c r="Y3198" s="77"/>
      <c r="Z3198" s="77"/>
      <c r="AA3198" s="77"/>
      <c r="AB3198" s="77"/>
      <c r="AC3198" s="82" t="s">
        <v>8232</v>
      </c>
      <c r="AD3198" s="77" t="s">
        <v>8282</v>
      </c>
      <c r="AE3198" s="80" t="str">
        <f>HYPERLINK("https://twitter.com/bpmoney_/status/1676214558258520074")</f>
        <v>https://twitter.com/bpmoney_/status/1676214558258520074</v>
      </c>
      <c r="AF3198" s="79">
        <v>45111.542442129627</v>
      </c>
      <c r="AG3198" s="85">
        <v>45111</v>
      </c>
      <c r="AH3198" s="82" t="s">
        <v>11213</v>
      </c>
      <c r="AI3198" s="77"/>
      <c r="AJ3198" s="77"/>
      <c r="AK3198" s="77"/>
      <c r="AL3198" s="77"/>
      <c r="AM3198" s="77"/>
      <c r="AN3198" s="77"/>
      <c r="AO3198" s="77"/>
      <c r="AP3198" s="77"/>
      <c r="AQ3198" s="77"/>
      <c r="AR3198" s="77"/>
      <c r="AS3198" s="77"/>
      <c r="AT3198" s="77"/>
      <c r="AU3198" s="77"/>
      <c r="AV3198" s="80" t="str">
        <f>HYPERLINK("https://pbs.twimg.com/profile_images/1518936529674117121/MCMYTicP_normal.jpg")</f>
        <v>https://pbs.twimg.com/profile_images/1518936529674117121/MCMYTicP_normal.jpg</v>
      </c>
      <c r="AW3198" s="82" t="s">
        <v>16282</v>
      </c>
      <c r="AX3198" s="82" t="s">
        <v>17282</v>
      </c>
      <c r="AY3198" s="82" t="s">
        <v>17381</v>
      </c>
      <c r="AZ3198" s="82" t="s">
        <v>17282</v>
      </c>
      <c r="BA3198" s="82" t="s">
        <v>17385</v>
      </c>
      <c r="BB3198" s="82" t="s">
        <v>17385</v>
      </c>
      <c r="BC3198" s="82" t="s">
        <v>17282</v>
      </c>
      <c r="BD3198" s="82" t="s">
        <v>17381</v>
      </c>
      <c r="BE3198" s="77"/>
      <c r="BF3198" s="77"/>
      <c r="BG3198" s="77"/>
      <c r="BH3198" s="77"/>
      <c r="BI3198" s="77"/>
    </row>
    <row r="3199" spans="1:61" x14ac:dyDescent="0.25">
      <c r="A3199" s="62" t="s">
        <v>692</v>
      </c>
      <c r="B3199" s="62" t="s">
        <v>692</v>
      </c>
      <c r="C3199" s="63"/>
      <c r="D3199" s="64"/>
      <c r="E3199" s="65"/>
      <c r="F3199" s="66"/>
      <c r="G3199" s="63"/>
      <c r="H3199" s="67"/>
      <c r="I3199" s="68"/>
      <c r="J3199" s="68"/>
      <c r="K3199" s="32"/>
      <c r="L3199" s="75">
        <v>3199</v>
      </c>
      <c r="M3199" s="75"/>
      <c r="N3199" s="70"/>
      <c r="O3199" s="77" t="s">
        <v>800</v>
      </c>
      <c r="P3199" s="79">
        <v>45089.574814814812</v>
      </c>
      <c r="Q3199" s="77" t="s">
        <v>3974</v>
      </c>
      <c r="R3199" s="77">
        <v>0</v>
      </c>
      <c r="S3199" s="77">
        <v>0</v>
      </c>
      <c r="T3199" s="77">
        <v>0</v>
      </c>
      <c r="U3199" s="77">
        <v>0</v>
      </c>
      <c r="V3199" s="77">
        <v>122</v>
      </c>
      <c r="W3199" s="82" t="s">
        <v>6527</v>
      </c>
      <c r="X3199" s="77"/>
      <c r="Y3199" s="77"/>
      <c r="Z3199" s="77"/>
      <c r="AA3199" s="77"/>
      <c r="AB3199" s="77"/>
      <c r="AC3199" s="82" t="s">
        <v>8232</v>
      </c>
      <c r="AD3199" s="77" t="s">
        <v>8282</v>
      </c>
      <c r="AE3199" s="80" t="str">
        <f>HYPERLINK("https://twitter.com/bpmoney_/status/1668253755643445252")</f>
        <v>https://twitter.com/bpmoney_/status/1668253755643445252</v>
      </c>
      <c r="AF3199" s="79">
        <v>45089.574814814812</v>
      </c>
      <c r="AG3199" s="85">
        <v>45089</v>
      </c>
      <c r="AH3199" s="82" t="s">
        <v>11214</v>
      </c>
      <c r="AI3199" s="77"/>
      <c r="AJ3199" s="77"/>
      <c r="AK3199" s="77"/>
      <c r="AL3199" s="77"/>
      <c r="AM3199" s="77"/>
      <c r="AN3199" s="77"/>
      <c r="AO3199" s="77"/>
      <c r="AP3199" s="77"/>
      <c r="AQ3199" s="77"/>
      <c r="AR3199" s="77"/>
      <c r="AS3199" s="77"/>
      <c r="AT3199" s="77"/>
      <c r="AU3199" s="77"/>
      <c r="AV3199" s="80" t="str">
        <f>HYPERLINK("https://pbs.twimg.com/profile_images/1518936529674117121/MCMYTicP_normal.jpg")</f>
        <v>https://pbs.twimg.com/profile_images/1518936529674117121/MCMYTicP_normal.jpg</v>
      </c>
      <c r="AW3199" s="82" t="s">
        <v>16283</v>
      </c>
      <c r="AX3199" s="82" t="s">
        <v>17283</v>
      </c>
      <c r="AY3199" s="82" t="s">
        <v>17381</v>
      </c>
      <c r="AZ3199" s="82" t="s">
        <v>17283</v>
      </c>
      <c r="BA3199" s="82" t="s">
        <v>17385</v>
      </c>
      <c r="BB3199" s="82" t="s">
        <v>17385</v>
      </c>
      <c r="BC3199" s="82" t="s">
        <v>17283</v>
      </c>
      <c r="BD3199" s="82" t="s">
        <v>17381</v>
      </c>
      <c r="BE3199" s="77"/>
      <c r="BF3199" s="77"/>
      <c r="BG3199" s="77"/>
      <c r="BH3199" s="77"/>
      <c r="BI3199" s="77"/>
    </row>
    <row r="3200" spans="1:61" x14ac:dyDescent="0.25">
      <c r="A3200" s="62" t="s">
        <v>692</v>
      </c>
      <c r="B3200" s="62" t="s">
        <v>692</v>
      </c>
      <c r="C3200" s="63"/>
      <c r="D3200" s="64"/>
      <c r="E3200" s="65"/>
      <c r="F3200" s="66"/>
      <c r="G3200" s="63"/>
      <c r="H3200" s="67"/>
      <c r="I3200" s="68"/>
      <c r="J3200" s="68"/>
      <c r="K3200" s="32"/>
      <c r="L3200" s="75">
        <v>3200</v>
      </c>
      <c r="M3200" s="75"/>
      <c r="N3200" s="70"/>
      <c r="O3200" s="77" t="s">
        <v>800</v>
      </c>
      <c r="P3200" s="79">
        <v>45089.574178240742</v>
      </c>
      <c r="Q3200" s="77" t="s">
        <v>3975</v>
      </c>
      <c r="R3200" s="77">
        <v>0</v>
      </c>
      <c r="S3200" s="77">
        <v>0</v>
      </c>
      <c r="T3200" s="77">
        <v>0</v>
      </c>
      <c r="U3200" s="77">
        <v>0</v>
      </c>
      <c r="V3200" s="77">
        <v>88</v>
      </c>
      <c r="W3200" s="82" t="s">
        <v>6528</v>
      </c>
      <c r="X3200" s="77"/>
      <c r="Y3200" s="77"/>
      <c r="Z3200" s="77"/>
      <c r="AA3200" s="77"/>
      <c r="AB3200" s="77"/>
      <c r="AC3200" s="82" t="s">
        <v>8232</v>
      </c>
      <c r="AD3200" s="77" t="s">
        <v>8282</v>
      </c>
      <c r="AE3200" s="80" t="str">
        <f>HYPERLINK("https://twitter.com/bpmoney_/status/1668253526324125696")</f>
        <v>https://twitter.com/bpmoney_/status/1668253526324125696</v>
      </c>
      <c r="AF3200" s="79">
        <v>45089.574178240742</v>
      </c>
      <c r="AG3200" s="85">
        <v>45089</v>
      </c>
      <c r="AH3200" s="82" t="s">
        <v>11215</v>
      </c>
      <c r="AI3200" s="77"/>
      <c r="AJ3200" s="77"/>
      <c r="AK3200" s="77"/>
      <c r="AL3200" s="77"/>
      <c r="AM3200" s="77"/>
      <c r="AN3200" s="77"/>
      <c r="AO3200" s="77"/>
      <c r="AP3200" s="77"/>
      <c r="AQ3200" s="77"/>
      <c r="AR3200" s="77"/>
      <c r="AS3200" s="77"/>
      <c r="AT3200" s="77"/>
      <c r="AU3200" s="77"/>
      <c r="AV3200" s="80" t="str">
        <f>HYPERLINK("https://pbs.twimg.com/profile_images/1518936529674117121/MCMYTicP_normal.jpg")</f>
        <v>https://pbs.twimg.com/profile_images/1518936529674117121/MCMYTicP_normal.jpg</v>
      </c>
      <c r="AW3200" s="82" t="s">
        <v>16284</v>
      </c>
      <c r="AX3200" s="82" t="s">
        <v>17284</v>
      </c>
      <c r="AY3200" s="82" t="s">
        <v>17381</v>
      </c>
      <c r="AZ3200" s="82" t="s">
        <v>17284</v>
      </c>
      <c r="BA3200" s="82" t="s">
        <v>17385</v>
      </c>
      <c r="BB3200" s="82" t="s">
        <v>17385</v>
      </c>
      <c r="BC3200" s="82" t="s">
        <v>17284</v>
      </c>
      <c r="BD3200" s="82" t="s">
        <v>17381</v>
      </c>
      <c r="BE3200" s="77"/>
      <c r="BF3200" s="77"/>
      <c r="BG3200" s="77"/>
      <c r="BH3200" s="77"/>
      <c r="BI3200" s="77"/>
    </row>
    <row r="3201" spans="1:61" x14ac:dyDescent="0.25">
      <c r="A3201" s="62" t="s">
        <v>692</v>
      </c>
      <c r="B3201" s="62" t="s">
        <v>692</v>
      </c>
      <c r="C3201" s="63"/>
      <c r="D3201" s="64"/>
      <c r="E3201" s="65"/>
      <c r="F3201" s="66"/>
      <c r="G3201" s="63"/>
      <c r="H3201" s="67"/>
      <c r="I3201" s="68"/>
      <c r="J3201" s="68"/>
      <c r="K3201" s="32"/>
      <c r="L3201" s="75">
        <v>3201</v>
      </c>
      <c r="M3201" s="75"/>
      <c r="N3201" s="70"/>
      <c r="O3201" s="77" t="s">
        <v>800</v>
      </c>
      <c r="P3201" s="79">
        <v>45078.523912037039</v>
      </c>
      <c r="Q3201" s="77" t="s">
        <v>3976</v>
      </c>
      <c r="R3201" s="77">
        <v>0</v>
      </c>
      <c r="S3201" s="77">
        <v>0</v>
      </c>
      <c r="T3201" s="77">
        <v>0</v>
      </c>
      <c r="U3201" s="77">
        <v>0</v>
      </c>
      <c r="V3201" s="77">
        <v>81</v>
      </c>
      <c r="W3201" s="82" t="s">
        <v>6529</v>
      </c>
      <c r="X3201" s="77"/>
      <c r="Y3201" s="77"/>
      <c r="Z3201" s="77"/>
      <c r="AA3201" s="77"/>
      <c r="AB3201" s="77"/>
      <c r="AC3201" s="82" t="s">
        <v>8232</v>
      </c>
      <c r="AD3201" s="77" t="s">
        <v>8282</v>
      </c>
      <c r="AE3201" s="80" t="str">
        <f>HYPERLINK("https://twitter.com/bpmoney_/status/1664249043189465089")</f>
        <v>https://twitter.com/bpmoney_/status/1664249043189465089</v>
      </c>
      <c r="AF3201" s="79">
        <v>45078.523912037039</v>
      </c>
      <c r="AG3201" s="85">
        <v>45078</v>
      </c>
      <c r="AH3201" s="82" t="s">
        <v>11216</v>
      </c>
      <c r="AI3201" s="77"/>
      <c r="AJ3201" s="77"/>
      <c r="AK3201" s="77"/>
      <c r="AL3201" s="77"/>
      <c r="AM3201" s="77"/>
      <c r="AN3201" s="77"/>
      <c r="AO3201" s="77"/>
      <c r="AP3201" s="77"/>
      <c r="AQ3201" s="77"/>
      <c r="AR3201" s="77"/>
      <c r="AS3201" s="77"/>
      <c r="AT3201" s="77"/>
      <c r="AU3201" s="77"/>
      <c r="AV3201" s="80" t="str">
        <f>HYPERLINK("https://pbs.twimg.com/profile_images/1518936529674117121/MCMYTicP_normal.jpg")</f>
        <v>https://pbs.twimg.com/profile_images/1518936529674117121/MCMYTicP_normal.jpg</v>
      </c>
      <c r="AW3201" s="82" t="s">
        <v>16285</v>
      </c>
      <c r="AX3201" s="82" t="s">
        <v>17285</v>
      </c>
      <c r="AY3201" s="82" t="s">
        <v>17381</v>
      </c>
      <c r="AZ3201" s="82" t="s">
        <v>17285</v>
      </c>
      <c r="BA3201" s="82" t="s">
        <v>17385</v>
      </c>
      <c r="BB3201" s="82" t="s">
        <v>17385</v>
      </c>
      <c r="BC3201" s="82" t="s">
        <v>17285</v>
      </c>
      <c r="BD3201" s="82" t="s">
        <v>17381</v>
      </c>
      <c r="BE3201" s="77"/>
      <c r="BF3201" s="77"/>
      <c r="BG3201" s="77"/>
      <c r="BH3201" s="77"/>
      <c r="BI3201" s="77"/>
    </row>
    <row r="3202" spans="1:61" x14ac:dyDescent="0.25">
      <c r="A3202" s="62" t="s">
        <v>692</v>
      </c>
      <c r="B3202" s="62" t="s">
        <v>692</v>
      </c>
      <c r="C3202" s="63"/>
      <c r="D3202" s="64"/>
      <c r="E3202" s="65"/>
      <c r="F3202" s="66"/>
      <c r="G3202" s="63"/>
      <c r="H3202" s="67"/>
      <c r="I3202" s="68"/>
      <c r="J3202" s="68"/>
      <c r="K3202" s="32"/>
      <c r="L3202" s="75">
        <v>3202</v>
      </c>
      <c r="M3202" s="75"/>
      <c r="N3202" s="70"/>
      <c r="O3202" s="77" t="s">
        <v>800</v>
      </c>
      <c r="P3202" s="79">
        <v>45062.636504629627</v>
      </c>
      <c r="Q3202" s="77" t="s">
        <v>3977</v>
      </c>
      <c r="R3202" s="77">
        <v>0</v>
      </c>
      <c r="S3202" s="77">
        <v>0</v>
      </c>
      <c r="T3202" s="77">
        <v>0</v>
      </c>
      <c r="U3202" s="77">
        <v>0</v>
      </c>
      <c r="V3202" s="77">
        <v>177</v>
      </c>
      <c r="W3202" s="82" t="s">
        <v>6530</v>
      </c>
      <c r="X3202" s="77"/>
      <c r="Y3202" s="77"/>
      <c r="Z3202" s="77"/>
      <c r="AA3202" s="77"/>
      <c r="AB3202" s="77"/>
      <c r="AC3202" s="82" t="s">
        <v>8232</v>
      </c>
      <c r="AD3202" s="77" t="s">
        <v>8282</v>
      </c>
      <c r="AE3202" s="80" t="str">
        <f>HYPERLINK("https://twitter.com/bpmoney_/status/1658491639315468293")</f>
        <v>https://twitter.com/bpmoney_/status/1658491639315468293</v>
      </c>
      <c r="AF3202" s="79">
        <v>45062.636504629627</v>
      </c>
      <c r="AG3202" s="85">
        <v>45062</v>
      </c>
      <c r="AH3202" s="82" t="s">
        <v>11217</v>
      </c>
      <c r="AI3202" s="77"/>
      <c r="AJ3202" s="77"/>
      <c r="AK3202" s="77"/>
      <c r="AL3202" s="77"/>
      <c r="AM3202" s="77"/>
      <c r="AN3202" s="77"/>
      <c r="AO3202" s="77"/>
      <c r="AP3202" s="77"/>
      <c r="AQ3202" s="77"/>
      <c r="AR3202" s="77"/>
      <c r="AS3202" s="77"/>
      <c r="AT3202" s="77"/>
      <c r="AU3202" s="77"/>
      <c r="AV3202" s="80" t="str">
        <f>HYPERLINK("https://pbs.twimg.com/profile_images/1518936529674117121/MCMYTicP_normal.jpg")</f>
        <v>https://pbs.twimg.com/profile_images/1518936529674117121/MCMYTicP_normal.jpg</v>
      </c>
      <c r="AW3202" s="82" t="s">
        <v>16286</v>
      </c>
      <c r="AX3202" s="82" t="s">
        <v>17286</v>
      </c>
      <c r="AY3202" s="82" t="s">
        <v>17381</v>
      </c>
      <c r="AZ3202" s="82" t="s">
        <v>17286</v>
      </c>
      <c r="BA3202" s="82" t="s">
        <v>17385</v>
      </c>
      <c r="BB3202" s="82" t="s">
        <v>17385</v>
      </c>
      <c r="BC3202" s="82" t="s">
        <v>17286</v>
      </c>
      <c r="BD3202" s="82" t="s">
        <v>17381</v>
      </c>
      <c r="BE3202" s="77"/>
      <c r="BF3202" s="77"/>
      <c r="BG3202" s="77"/>
      <c r="BH3202" s="77"/>
      <c r="BI3202" s="77"/>
    </row>
    <row r="3203" spans="1:61" x14ac:dyDescent="0.25">
      <c r="A3203" s="62" t="s">
        <v>692</v>
      </c>
      <c r="B3203" s="62" t="s">
        <v>692</v>
      </c>
      <c r="C3203" s="63"/>
      <c r="D3203" s="64"/>
      <c r="E3203" s="65"/>
      <c r="F3203" s="66"/>
      <c r="G3203" s="63"/>
      <c r="H3203" s="67"/>
      <c r="I3203" s="68"/>
      <c r="J3203" s="68"/>
      <c r="K3203" s="32"/>
      <c r="L3203" s="75">
        <v>3203</v>
      </c>
      <c r="M3203" s="75"/>
      <c r="N3203" s="70"/>
      <c r="O3203" s="77" t="s">
        <v>800</v>
      </c>
      <c r="P3203" s="79">
        <v>45048.648877314816</v>
      </c>
      <c r="Q3203" s="77" t="s">
        <v>3978</v>
      </c>
      <c r="R3203" s="77">
        <v>0</v>
      </c>
      <c r="S3203" s="77">
        <v>0</v>
      </c>
      <c r="T3203" s="77">
        <v>0</v>
      </c>
      <c r="U3203" s="77">
        <v>0</v>
      </c>
      <c r="V3203" s="77">
        <v>134</v>
      </c>
      <c r="W3203" s="82" t="s">
        <v>6531</v>
      </c>
      <c r="X3203" s="77"/>
      <c r="Y3203" s="77"/>
      <c r="Z3203" s="77"/>
      <c r="AA3203" s="77"/>
      <c r="AB3203" s="77"/>
      <c r="AC3203" s="82" t="s">
        <v>8232</v>
      </c>
      <c r="AD3203" s="77" t="s">
        <v>8282</v>
      </c>
      <c r="AE3203" s="80" t="str">
        <f>HYPERLINK("https://twitter.com/bpmoney_/status/1653422691896942599")</f>
        <v>https://twitter.com/bpmoney_/status/1653422691896942599</v>
      </c>
      <c r="AF3203" s="79">
        <v>45048.648877314816</v>
      </c>
      <c r="AG3203" s="85">
        <v>45048</v>
      </c>
      <c r="AH3203" s="82" t="s">
        <v>11218</v>
      </c>
      <c r="AI3203" s="77"/>
      <c r="AJ3203" s="77"/>
      <c r="AK3203" s="77"/>
      <c r="AL3203" s="77"/>
      <c r="AM3203" s="77"/>
      <c r="AN3203" s="77"/>
      <c r="AO3203" s="77"/>
      <c r="AP3203" s="77"/>
      <c r="AQ3203" s="77"/>
      <c r="AR3203" s="77"/>
      <c r="AS3203" s="77"/>
      <c r="AT3203" s="77"/>
      <c r="AU3203" s="77"/>
      <c r="AV3203" s="80" t="str">
        <f>HYPERLINK("https://pbs.twimg.com/profile_images/1518936529674117121/MCMYTicP_normal.jpg")</f>
        <v>https://pbs.twimg.com/profile_images/1518936529674117121/MCMYTicP_normal.jpg</v>
      </c>
      <c r="AW3203" s="82" t="s">
        <v>16287</v>
      </c>
      <c r="AX3203" s="82" t="s">
        <v>17287</v>
      </c>
      <c r="AY3203" s="82" t="s">
        <v>17381</v>
      </c>
      <c r="AZ3203" s="82" t="s">
        <v>17287</v>
      </c>
      <c r="BA3203" s="82" t="s">
        <v>17385</v>
      </c>
      <c r="BB3203" s="82" t="s">
        <v>17385</v>
      </c>
      <c r="BC3203" s="82" t="s">
        <v>17287</v>
      </c>
      <c r="BD3203" s="82" t="s">
        <v>17381</v>
      </c>
      <c r="BE3203" s="77"/>
      <c r="BF3203" s="77"/>
      <c r="BG3203" s="77"/>
      <c r="BH3203" s="77"/>
      <c r="BI3203" s="77"/>
    </row>
    <row r="3204" spans="1:61" x14ac:dyDescent="0.25">
      <c r="A3204" s="62" t="s">
        <v>692</v>
      </c>
      <c r="B3204" s="62" t="s">
        <v>692</v>
      </c>
      <c r="C3204" s="63"/>
      <c r="D3204" s="64"/>
      <c r="E3204" s="65"/>
      <c r="F3204" s="66"/>
      <c r="G3204" s="63"/>
      <c r="H3204" s="67"/>
      <c r="I3204" s="68"/>
      <c r="J3204" s="68"/>
      <c r="K3204" s="32"/>
      <c r="L3204" s="75">
        <v>3204</v>
      </c>
      <c r="M3204" s="75"/>
      <c r="N3204" s="70"/>
      <c r="O3204" s="77" t="s">
        <v>800</v>
      </c>
      <c r="P3204" s="79">
        <v>45048.554699074077</v>
      </c>
      <c r="Q3204" s="77" t="s">
        <v>3979</v>
      </c>
      <c r="R3204" s="77">
        <v>0</v>
      </c>
      <c r="S3204" s="77">
        <v>0</v>
      </c>
      <c r="T3204" s="77">
        <v>0</v>
      </c>
      <c r="U3204" s="77">
        <v>0</v>
      </c>
      <c r="V3204" s="77">
        <v>132</v>
      </c>
      <c r="W3204" s="82" t="s">
        <v>6532</v>
      </c>
      <c r="X3204" s="77"/>
      <c r="Y3204" s="77"/>
      <c r="Z3204" s="77"/>
      <c r="AA3204" s="77"/>
      <c r="AB3204" s="77"/>
      <c r="AC3204" s="82" t="s">
        <v>8232</v>
      </c>
      <c r="AD3204" s="77" t="s">
        <v>8282</v>
      </c>
      <c r="AE3204" s="80" t="str">
        <f>HYPERLINK("https://twitter.com/bpmoney_/status/1653388562048450562")</f>
        <v>https://twitter.com/bpmoney_/status/1653388562048450562</v>
      </c>
      <c r="AF3204" s="79">
        <v>45048.554699074077</v>
      </c>
      <c r="AG3204" s="85">
        <v>45048</v>
      </c>
      <c r="AH3204" s="82" t="s">
        <v>11219</v>
      </c>
      <c r="AI3204" s="77"/>
      <c r="AJ3204" s="77"/>
      <c r="AK3204" s="77"/>
      <c r="AL3204" s="77"/>
      <c r="AM3204" s="77"/>
      <c r="AN3204" s="77"/>
      <c r="AO3204" s="77"/>
      <c r="AP3204" s="77"/>
      <c r="AQ3204" s="77"/>
      <c r="AR3204" s="77"/>
      <c r="AS3204" s="77"/>
      <c r="AT3204" s="77"/>
      <c r="AU3204" s="77"/>
      <c r="AV3204" s="80" t="str">
        <f>HYPERLINK("https://pbs.twimg.com/profile_images/1518936529674117121/MCMYTicP_normal.jpg")</f>
        <v>https://pbs.twimg.com/profile_images/1518936529674117121/MCMYTicP_normal.jpg</v>
      </c>
      <c r="AW3204" s="82" t="s">
        <v>16288</v>
      </c>
      <c r="AX3204" s="82" t="s">
        <v>17288</v>
      </c>
      <c r="AY3204" s="82" t="s">
        <v>17381</v>
      </c>
      <c r="AZ3204" s="82" t="s">
        <v>17288</v>
      </c>
      <c r="BA3204" s="82" t="s">
        <v>17385</v>
      </c>
      <c r="BB3204" s="82" t="s">
        <v>17385</v>
      </c>
      <c r="BC3204" s="82" t="s">
        <v>17288</v>
      </c>
      <c r="BD3204" s="82" t="s">
        <v>17381</v>
      </c>
      <c r="BE3204" s="77"/>
      <c r="BF3204" s="77"/>
      <c r="BG3204" s="77"/>
      <c r="BH3204" s="77"/>
      <c r="BI3204" s="77"/>
    </row>
    <row r="3205" spans="1:61" x14ac:dyDescent="0.25">
      <c r="A3205" s="62" t="s">
        <v>692</v>
      </c>
      <c r="B3205" s="62" t="s">
        <v>692</v>
      </c>
      <c r="C3205" s="63"/>
      <c r="D3205" s="64"/>
      <c r="E3205" s="65"/>
      <c r="F3205" s="66"/>
      <c r="G3205" s="63"/>
      <c r="H3205" s="67"/>
      <c r="I3205" s="68"/>
      <c r="J3205" s="68"/>
      <c r="K3205" s="32"/>
      <c r="L3205" s="75">
        <v>3205</v>
      </c>
      <c r="M3205" s="75"/>
      <c r="N3205" s="70"/>
      <c r="O3205" s="77" t="s">
        <v>800</v>
      </c>
      <c r="P3205" s="79">
        <v>45140.539398148147</v>
      </c>
      <c r="Q3205" s="77" t="s">
        <v>3980</v>
      </c>
      <c r="R3205" s="77">
        <v>0</v>
      </c>
      <c r="S3205" s="77">
        <v>0</v>
      </c>
      <c r="T3205" s="77">
        <v>0</v>
      </c>
      <c r="U3205" s="77">
        <v>0</v>
      </c>
      <c r="V3205" s="77">
        <v>105</v>
      </c>
      <c r="W3205" s="82" t="s">
        <v>6533</v>
      </c>
      <c r="X3205" s="77"/>
      <c r="Y3205" s="77"/>
      <c r="Z3205" s="77"/>
      <c r="AA3205" s="77"/>
      <c r="AB3205" s="77"/>
      <c r="AC3205" s="82" t="s">
        <v>8232</v>
      </c>
      <c r="AD3205" s="77" t="s">
        <v>8282</v>
      </c>
      <c r="AE3205" s="80" t="str">
        <f>HYPERLINK("https://twitter.com/bpmoney_/status/1686722702965415936")</f>
        <v>https://twitter.com/bpmoney_/status/1686722702965415936</v>
      </c>
      <c r="AF3205" s="79">
        <v>45140.539398148147</v>
      </c>
      <c r="AG3205" s="85">
        <v>45140</v>
      </c>
      <c r="AH3205" s="82" t="s">
        <v>11220</v>
      </c>
      <c r="AI3205" s="77"/>
      <c r="AJ3205" s="77"/>
      <c r="AK3205" s="77"/>
      <c r="AL3205" s="77"/>
      <c r="AM3205" s="77"/>
      <c r="AN3205" s="77"/>
      <c r="AO3205" s="77"/>
      <c r="AP3205" s="77"/>
      <c r="AQ3205" s="77"/>
      <c r="AR3205" s="77"/>
      <c r="AS3205" s="77"/>
      <c r="AT3205" s="77"/>
      <c r="AU3205" s="77"/>
      <c r="AV3205" s="80" t="str">
        <f>HYPERLINK("https://pbs.twimg.com/profile_images/1518936529674117121/MCMYTicP_normal.jpg")</f>
        <v>https://pbs.twimg.com/profile_images/1518936529674117121/MCMYTicP_normal.jpg</v>
      </c>
      <c r="AW3205" s="82" t="s">
        <v>16289</v>
      </c>
      <c r="AX3205" s="82" t="s">
        <v>17289</v>
      </c>
      <c r="AY3205" s="82" t="s">
        <v>17381</v>
      </c>
      <c r="AZ3205" s="82" t="s">
        <v>17289</v>
      </c>
      <c r="BA3205" s="82" t="s">
        <v>17385</v>
      </c>
      <c r="BB3205" s="82" t="s">
        <v>17385</v>
      </c>
      <c r="BC3205" s="82" t="s">
        <v>17289</v>
      </c>
      <c r="BD3205" s="82" t="s">
        <v>17381</v>
      </c>
      <c r="BE3205" s="77"/>
      <c r="BF3205" s="77"/>
      <c r="BG3205" s="77"/>
      <c r="BH3205" s="77"/>
      <c r="BI3205" s="77"/>
    </row>
    <row r="3206" spans="1:61" x14ac:dyDescent="0.25">
      <c r="A3206" s="62" t="s">
        <v>692</v>
      </c>
      <c r="B3206" s="62" t="s">
        <v>692</v>
      </c>
      <c r="C3206" s="63"/>
      <c r="D3206" s="64"/>
      <c r="E3206" s="65"/>
      <c r="F3206" s="66"/>
      <c r="G3206" s="63"/>
      <c r="H3206" s="67"/>
      <c r="I3206" s="68"/>
      <c r="J3206" s="68"/>
      <c r="K3206" s="32"/>
      <c r="L3206" s="75">
        <v>3206</v>
      </c>
      <c r="M3206" s="75"/>
      <c r="N3206" s="70"/>
      <c r="O3206" s="77" t="s">
        <v>800</v>
      </c>
      <c r="P3206" s="79">
        <v>45126.552893518521</v>
      </c>
      <c r="Q3206" s="77" t="s">
        <v>3981</v>
      </c>
      <c r="R3206" s="77">
        <v>0</v>
      </c>
      <c r="S3206" s="77">
        <v>0</v>
      </c>
      <c r="T3206" s="77">
        <v>0</v>
      </c>
      <c r="U3206" s="77">
        <v>0</v>
      </c>
      <c r="V3206" s="77">
        <v>96</v>
      </c>
      <c r="W3206" s="82" t="s">
        <v>6534</v>
      </c>
      <c r="X3206" s="77"/>
      <c r="Y3206" s="77"/>
      <c r="Z3206" s="77"/>
      <c r="AA3206" s="77"/>
      <c r="AB3206" s="77"/>
      <c r="AC3206" s="82" t="s">
        <v>8232</v>
      </c>
      <c r="AD3206" s="77" t="s">
        <v>8282</v>
      </c>
      <c r="AE3206" s="80" t="str">
        <f>HYPERLINK("https://twitter.com/bpmoney_/status/1681654161085984768")</f>
        <v>https://twitter.com/bpmoney_/status/1681654161085984768</v>
      </c>
      <c r="AF3206" s="79">
        <v>45126.552893518521</v>
      </c>
      <c r="AG3206" s="85">
        <v>45126</v>
      </c>
      <c r="AH3206" s="82" t="s">
        <v>11221</v>
      </c>
      <c r="AI3206" s="77"/>
      <c r="AJ3206" s="77"/>
      <c r="AK3206" s="77"/>
      <c r="AL3206" s="77"/>
      <c r="AM3206" s="77"/>
      <c r="AN3206" s="77"/>
      <c r="AO3206" s="77"/>
      <c r="AP3206" s="77"/>
      <c r="AQ3206" s="77"/>
      <c r="AR3206" s="77"/>
      <c r="AS3206" s="77"/>
      <c r="AT3206" s="77"/>
      <c r="AU3206" s="77"/>
      <c r="AV3206" s="80" t="str">
        <f>HYPERLINK("https://pbs.twimg.com/profile_images/1518936529674117121/MCMYTicP_normal.jpg")</f>
        <v>https://pbs.twimg.com/profile_images/1518936529674117121/MCMYTicP_normal.jpg</v>
      </c>
      <c r="AW3206" s="82" t="s">
        <v>16290</v>
      </c>
      <c r="AX3206" s="82" t="s">
        <v>17290</v>
      </c>
      <c r="AY3206" s="82" t="s">
        <v>17381</v>
      </c>
      <c r="AZ3206" s="82" t="s">
        <v>17290</v>
      </c>
      <c r="BA3206" s="82" t="s">
        <v>17385</v>
      </c>
      <c r="BB3206" s="82" t="s">
        <v>17385</v>
      </c>
      <c r="BC3206" s="82" t="s">
        <v>17290</v>
      </c>
      <c r="BD3206" s="82" t="s">
        <v>17381</v>
      </c>
      <c r="BE3206" s="77"/>
      <c r="BF3206" s="77"/>
      <c r="BG3206" s="77"/>
      <c r="BH3206" s="77"/>
      <c r="BI3206" s="77"/>
    </row>
    <row r="3207" spans="1:61" x14ac:dyDescent="0.25">
      <c r="A3207" s="62" t="s">
        <v>692</v>
      </c>
      <c r="B3207" s="62" t="s">
        <v>692</v>
      </c>
      <c r="C3207" s="63"/>
      <c r="D3207" s="64"/>
      <c r="E3207" s="65"/>
      <c r="F3207" s="66"/>
      <c r="G3207" s="63"/>
      <c r="H3207" s="67"/>
      <c r="I3207" s="68"/>
      <c r="J3207" s="68"/>
      <c r="K3207" s="32"/>
      <c r="L3207" s="75">
        <v>3207</v>
      </c>
      <c r="M3207" s="75"/>
      <c r="N3207" s="70"/>
      <c r="O3207" s="77" t="s">
        <v>800</v>
      </c>
      <c r="P3207" s="79">
        <v>45124.482789351852</v>
      </c>
      <c r="Q3207" s="77" t="s">
        <v>3982</v>
      </c>
      <c r="R3207" s="77">
        <v>0</v>
      </c>
      <c r="S3207" s="77">
        <v>0</v>
      </c>
      <c r="T3207" s="77">
        <v>0</v>
      </c>
      <c r="U3207" s="77">
        <v>0</v>
      </c>
      <c r="V3207" s="77">
        <v>102</v>
      </c>
      <c r="W3207" s="82" t="s">
        <v>6535</v>
      </c>
      <c r="X3207" s="77"/>
      <c r="Y3207" s="77"/>
      <c r="Z3207" s="77"/>
      <c r="AA3207" s="77"/>
      <c r="AB3207" s="77"/>
      <c r="AC3207" s="82" t="s">
        <v>8232</v>
      </c>
      <c r="AD3207" s="77" t="s">
        <v>8282</v>
      </c>
      <c r="AE3207" s="80" t="str">
        <f>HYPERLINK("https://twitter.com/bpmoney_/status/1680903980723974144")</f>
        <v>https://twitter.com/bpmoney_/status/1680903980723974144</v>
      </c>
      <c r="AF3207" s="79">
        <v>45124.482789351852</v>
      </c>
      <c r="AG3207" s="85">
        <v>45124</v>
      </c>
      <c r="AH3207" s="82" t="s">
        <v>11222</v>
      </c>
      <c r="AI3207" s="77"/>
      <c r="AJ3207" s="77"/>
      <c r="AK3207" s="77"/>
      <c r="AL3207" s="77"/>
      <c r="AM3207" s="77"/>
      <c r="AN3207" s="77"/>
      <c r="AO3207" s="77"/>
      <c r="AP3207" s="77"/>
      <c r="AQ3207" s="77"/>
      <c r="AR3207" s="77"/>
      <c r="AS3207" s="77"/>
      <c r="AT3207" s="77"/>
      <c r="AU3207" s="77"/>
      <c r="AV3207" s="80" t="str">
        <f>HYPERLINK("https://pbs.twimg.com/profile_images/1518936529674117121/MCMYTicP_normal.jpg")</f>
        <v>https://pbs.twimg.com/profile_images/1518936529674117121/MCMYTicP_normal.jpg</v>
      </c>
      <c r="AW3207" s="82" t="s">
        <v>16291</v>
      </c>
      <c r="AX3207" s="82" t="s">
        <v>17291</v>
      </c>
      <c r="AY3207" s="82" t="s">
        <v>17381</v>
      </c>
      <c r="AZ3207" s="82" t="s">
        <v>17291</v>
      </c>
      <c r="BA3207" s="82" t="s">
        <v>17385</v>
      </c>
      <c r="BB3207" s="82" t="s">
        <v>17385</v>
      </c>
      <c r="BC3207" s="82" t="s">
        <v>17291</v>
      </c>
      <c r="BD3207" s="82" t="s">
        <v>17381</v>
      </c>
      <c r="BE3207" s="77"/>
      <c r="BF3207" s="77"/>
      <c r="BG3207" s="77"/>
      <c r="BH3207" s="77"/>
      <c r="BI3207" s="77"/>
    </row>
    <row r="3208" spans="1:61" x14ac:dyDescent="0.25">
      <c r="A3208" s="62" t="s">
        <v>692</v>
      </c>
      <c r="B3208" s="62" t="s">
        <v>692</v>
      </c>
      <c r="C3208" s="63"/>
      <c r="D3208" s="64"/>
      <c r="E3208" s="65"/>
      <c r="F3208" s="66"/>
      <c r="G3208" s="63"/>
      <c r="H3208" s="67"/>
      <c r="I3208" s="68"/>
      <c r="J3208" s="68"/>
      <c r="K3208" s="32"/>
      <c r="L3208" s="75">
        <v>3208</v>
      </c>
      <c r="M3208" s="75"/>
      <c r="N3208" s="70"/>
      <c r="O3208" s="77" t="s">
        <v>800</v>
      </c>
      <c r="P3208" s="79">
        <v>45100.53</v>
      </c>
      <c r="Q3208" s="77" t="s">
        <v>3920</v>
      </c>
      <c r="R3208" s="77">
        <v>0</v>
      </c>
      <c r="S3208" s="77">
        <v>0</v>
      </c>
      <c r="T3208" s="77">
        <v>0</v>
      </c>
      <c r="U3208" s="77">
        <v>0</v>
      </c>
      <c r="V3208" s="77">
        <v>366</v>
      </c>
      <c r="W3208" s="82" t="s">
        <v>6473</v>
      </c>
      <c r="X3208" s="77"/>
      <c r="Y3208" s="77"/>
      <c r="Z3208" s="77"/>
      <c r="AA3208" s="77"/>
      <c r="AB3208" s="77"/>
      <c r="AC3208" s="82" t="s">
        <v>8232</v>
      </c>
      <c r="AD3208" s="77" t="s">
        <v>8282</v>
      </c>
      <c r="AE3208" s="80" t="str">
        <f>HYPERLINK("https://twitter.com/bpmoney_/status/1672223780360400902")</f>
        <v>https://twitter.com/bpmoney_/status/1672223780360400902</v>
      </c>
      <c r="AF3208" s="79">
        <v>45100.53</v>
      </c>
      <c r="AG3208" s="85">
        <v>45100</v>
      </c>
      <c r="AH3208" s="82" t="s">
        <v>11223</v>
      </c>
      <c r="AI3208" s="77"/>
      <c r="AJ3208" s="77"/>
      <c r="AK3208" s="77"/>
      <c r="AL3208" s="77"/>
      <c r="AM3208" s="77"/>
      <c r="AN3208" s="77"/>
      <c r="AO3208" s="77"/>
      <c r="AP3208" s="77"/>
      <c r="AQ3208" s="77"/>
      <c r="AR3208" s="77"/>
      <c r="AS3208" s="77"/>
      <c r="AT3208" s="77"/>
      <c r="AU3208" s="77"/>
      <c r="AV3208" s="80" t="str">
        <f>HYPERLINK("https://pbs.twimg.com/profile_images/1518936529674117121/MCMYTicP_normal.jpg")</f>
        <v>https://pbs.twimg.com/profile_images/1518936529674117121/MCMYTicP_normal.jpg</v>
      </c>
      <c r="AW3208" s="82" t="s">
        <v>16292</v>
      </c>
      <c r="AX3208" s="82" t="s">
        <v>17292</v>
      </c>
      <c r="AY3208" s="82" t="s">
        <v>17381</v>
      </c>
      <c r="AZ3208" s="82" t="s">
        <v>17292</v>
      </c>
      <c r="BA3208" s="82" t="s">
        <v>17385</v>
      </c>
      <c r="BB3208" s="82" t="s">
        <v>17385</v>
      </c>
      <c r="BC3208" s="82" t="s">
        <v>17292</v>
      </c>
      <c r="BD3208" s="82" t="s">
        <v>17381</v>
      </c>
      <c r="BE3208" s="77"/>
      <c r="BF3208" s="77"/>
      <c r="BG3208" s="77"/>
      <c r="BH3208" s="77"/>
      <c r="BI3208" s="77"/>
    </row>
    <row r="3209" spans="1:61" x14ac:dyDescent="0.25">
      <c r="A3209" s="62" t="s">
        <v>692</v>
      </c>
      <c r="B3209" s="62" t="s">
        <v>692</v>
      </c>
      <c r="C3209" s="63"/>
      <c r="D3209" s="64"/>
      <c r="E3209" s="65"/>
      <c r="F3209" s="66"/>
      <c r="G3209" s="63"/>
      <c r="H3209" s="67"/>
      <c r="I3209" s="68"/>
      <c r="J3209" s="68"/>
      <c r="K3209" s="32"/>
      <c r="L3209" s="75">
        <v>3209</v>
      </c>
      <c r="M3209" s="75"/>
      <c r="N3209" s="70"/>
      <c r="O3209" s="77" t="s">
        <v>800</v>
      </c>
      <c r="P3209" s="79">
        <v>45098.767569444448</v>
      </c>
      <c r="Q3209" s="77" t="s">
        <v>3983</v>
      </c>
      <c r="R3209" s="77">
        <v>0</v>
      </c>
      <c r="S3209" s="77">
        <v>0</v>
      </c>
      <c r="T3209" s="77">
        <v>0</v>
      </c>
      <c r="U3209" s="77">
        <v>0</v>
      </c>
      <c r="V3209" s="77">
        <v>457</v>
      </c>
      <c r="W3209" s="82" t="s">
        <v>6536</v>
      </c>
      <c r="X3209" s="77"/>
      <c r="Y3209" s="77"/>
      <c r="Z3209" s="77"/>
      <c r="AA3209" s="77"/>
      <c r="AB3209" s="77"/>
      <c r="AC3209" s="82" t="s">
        <v>8232</v>
      </c>
      <c r="AD3209" s="77" t="s">
        <v>8282</v>
      </c>
      <c r="AE3209" s="80" t="str">
        <f>HYPERLINK("https://twitter.com/bpmoney_/status/1671585098288750592")</f>
        <v>https://twitter.com/bpmoney_/status/1671585098288750592</v>
      </c>
      <c r="AF3209" s="79">
        <v>45098.767569444448</v>
      </c>
      <c r="AG3209" s="85">
        <v>45098</v>
      </c>
      <c r="AH3209" s="82" t="s">
        <v>11224</v>
      </c>
      <c r="AI3209" s="77"/>
      <c r="AJ3209" s="77"/>
      <c r="AK3209" s="77"/>
      <c r="AL3209" s="77"/>
      <c r="AM3209" s="77"/>
      <c r="AN3209" s="77"/>
      <c r="AO3209" s="77"/>
      <c r="AP3209" s="77"/>
      <c r="AQ3209" s="77"/>
      <c r="AR3209" s="77"/>
      <c r="AS3209" s="77"/>
      <c r="AT3209" s="77"/>
      <c r="AU3209" s="77"/>
      <c r="AV3209" s="80" t="str">
        <f>HYPERLINK("https://pbs.twimg.com/profile_images/1518936529674117121/MCMYTicP_normal.jpg")</f>
        <v>https://pbs.twimg.com/profile_images/1518936529674117121/MCMYTicP_normal.jpg</v>
      </c>
      <c r="AW3209" s="82" t="s">
        <v>16293</v>
      </c>
      <c r="AX3209" s="82" t="s">
        <v>17293</v>
      </c>
      <c r="AY3209" s="82" t="s">
        <v>17381</v>
      </c>
      <c r="AZ3209" s="82" t="s">
        <v>17293</v>
      </c>
      <c r="BA3209" s="82" t="s">
        <v>17385</v>
      </c>
      <c r="BB3209" s="82" t="s">
        <v>17385</v>
      </c>
      <c r="BC3209" s="82" t="s">
        <v>17293</v>
      </c>
      <c r="BD3209" s="82" t="s">
        <v>17381</v>
      </c>
      <c r="BE3209" s="77"/>
      <c r="BF3209" s="77"/>
      <c r="BG3209" s="77"/>
      <c r="BH3209" s="77"/>
      <c r="BI3209" s="77"/>
    </row>
    <row r="3210" spans="1:61" x14ac:dyDescent="0.25">
      <c r="A3210" s="62" t="s">
        <v>692</v>
      </c>
      <c r="B3210" s="62" t="s">
        <v>692</v>
      </c>
      <c r="C3210" s="63"/>
      <c r="D3210" s="64"/>
      <c r="E3210" s="65"/>
      <c r="F3210" s="66"/>
      <c r="G3210" s="63"/>
      <c r="H3210" s="67"/>
      <c r="I3210" s="68"/>
      <c r="J3210" s="68"/>
      <c r="K3210" s="32"/>
      <c r="L3210" s="75">
        <v>3210</v>
      </c>
      <c r="M3210" s="75"/>
      <c r="N3210" s="70"/>
      <c r="O3210" s="77" t="s">
        <v>800</v>
      </c>
      <c r="P3210" s="79">
        <v>45079.576516203706</v>
      </c>
      <c r="Q3210" s="77" t="s">
        <v>3984</v>
      </c>
      <c r="R3210" s="77">
        <v>0</v>
      </c>
      <c r="S3210" s="77">
        <v>0</v>
      </c>
      <c r="T3210" s="77">
        <v>0</v>
      </c>
      <c r="U3210" s="77">
        <v>0</v>
      </c>
      <c r="V3210" s="77">
        <v>128</v>
      </c>
      <c r="W3210" s="82" t="s">
        <v>6537</v>
      </c>
      <c r="X3210" s="77"/>
      <c r="Y3210" s="77"/>
      <c r="Z3210" s="77"/>
      <c r="AA3210" s="77"/>
      <c r="AB3210" s="77"/>
      <c r="AC3210" s="82" t="s">
        <v>8232</v>
      </c>
      <c r="AD3210" s="77" t="s">
        <v>8282</v>
      </c>
      <c r="AE3210" s="80" t="str">
        <f>HYPERLINK("https://twitter.com/bpmoney_/status/1664630492417671181")</f>
        <v>https://twitter.com/bpmoney_/status/1664630492417671181</v>
      </c>
      <c r="AF3210" s="79">
        <v>45079.576516203706</v>
      </c>
      <c r="AG3210" s="85">
        <v>45079</v>
      </c>
      <c r="AH3210" s="82" t="s">
        <v>11225</v>
      </c>
      <c r="AI3210" s="77"/>
      <c r="AJ3210" s="77"/>
      <c r="AK3210" s="77"/>
      <c r="AL3210" s="77"/>
      <c r="AM3210" s="77"/>
      <c r="AN3210" s="77"/>
      <c r="AO3210" s="77"/>
      <c r="AP3210" s="77"/>
      <c r="AQ3210" s="77"/>
      <c r="AR3210" s="77"/>
      <c r="AS3210" s="77"/>
      <c r="AT3210" s="77"/>
      <c r="AU3210" s="77"/>
      <c r="AV3210" s="80" t="str">
        <f>HYPERLINK("https://pbs.twimg.com/profile_images/1518936529674117121/MCMYTicP_normal.jpg")</f>
        <v>https://pbs.twimg.com/profile_images/1518936529674117121/MCMYTicP_normal.jpg</v>
      </c>
      <c r="AW3210" s="82" t="s">
        <v>16294</v>
      </c>
      <c r="AX3210" s="82" t="s">
        <v>17294</v>
      </c>
      <c r="AY3210" s="82" t="s">
        <v>17381</v>
      </c>
      <c r="AZ3210" s="82" t="s">
        <v>17294</v>
      </c>
      <c r="BA3210" s="82" t="s">
        <v>17385</v>
      </c>
      <c r="BB3210" s="82" t="s">
        <v>17385</v>
      </c>
      <c r="BC3210" s="82" t="s">
        <v>17294</v>
      </c>
      <c r="BD3210" s="82" t="s">
        <v>17381</v>
      </c>
      <c r="BE3210" s="77"/>
      <c r="BF3210" s="77"/>
      <c r="BG3210" s="77"/>
      <c r="BH3210" s="77"/>
      <c r="BI3210" s="77"/>
    </row>
    <row r="3211" spans="1:61" x14ac:dyDescent="0.25">
      <c r="A3211" s="62" t="s">
        <v>692</v>
      </c>
      <c r="B3211" s="62" t="s">
        <v>692</v>
      </c>
      <c r="C3211" s="63"/>
      <c r="D3211" s="64"/>
      <c r="E3211" s="65"/>
      <c r="F3211" s="66"/>
      <c r="G3211" s="63"/>
      <c r="H3211" s="67"/>
      <c r="I3211" s="68"/>
      <c r="J3211" s="68"/>
      <c r="K3211" s="32"/>
      <c r="L3211" s="75">
        <v>3211</v>
      </c>
      <c r="M3211" s="75"/>
      <c r="N3211" s="70"/>
      <c r="O3211" s="77" t="s">
        <v>800</v>
      </c>
      <c r="P3211" s="79">
        <v>45079.516712962963</v>
      </c>
      <c r="Q3211" s="77" t="s">
        <v>3985</v>
      </c>
      <c r="R3211" s="77">
        <v>0</v>
      </c>
      <c r="S3211" s="77">
        <v>0</v>
      </c>
      <c r="T3211" s="77">
        <v>0</v>
      </c>
      <c r="U3211" s="77">
        <v>0</v>
      </c>
      <c r="V3211" s="77">
        <v>132</v>
      </c>
      <c r="W3211" s="82" t="s">
        <v>6538</v>
      </c>
      <c r="X3211" s="77"/>
      <c r="Y3211" s="77"/>
      <c r="Z3211" s="77"/>
      <c r="AA3211" s="77"/>
      <c r="AB3211" s="77"/>
      <c r="AC3211" s="82" t="s">
        <v>8232</v>
      </c>
      <c r="AD3211" s="77" t="s">
        <v>8282</v>
      </c>
      <c r="AE3211" s="80" t="str">
        <f>HYPERLINK("https://twitter.com/bpmoney_/status/1664608820914421760")</f>
        <v>https://twitter.com/bpmoney_/status/1664608820914421760</v>
      </c>
      <c r="AF3211" s="79">
        <v>45079.516712962963</v>
      </c>
      <c r="AG3211" s="85">
        <v>45079</v>
      </c>
      <c r="AH3211" s="82" t="s">
        <v>11226</v>
      </c>
      <c r="AI3211" s="77"/>
      <c r="AJ3211" s="77"/>
      <c r="AK3211" s="77"/>
      <c r="AL3211" s="77"/>
      <c r="AM3211" s="77"/>
      <c r="AN3211" s="77"/>
      <c r="AO3211" s="77"/>
      <c r="AP3211" s="77"/>
      <c r="AQ3211" s="77"/>
      <c r="AR3211" s="77"/>
      <c r="AS3211" s="77"/>
      <c r="AT3211" s="77"/>
      <c r="AU3211" s="77"/>
      <c r="AV3211" s="80" t="str">
        <f>HYPERLINK("https://pbs.twimg.com/profile_images/1518936529674117121/MCMYTicP_normal.jpg")</f>
        <v>https://pbs.twimg.com/profile_images/1518936529674117121/MCMYTicP_normal.jpg</v>
      </c>
      <c r="AW3211" s="82" t="s">
        <v>16295</v>
      </c>
      <c r="AX3211" s="82" t="s">
        <v>17295</v>
      </c>
      <c r="AY3211" s="82" t="s">
        <v>17381</v>
      </c>
      <c r="AZ3211" s="82" t="s">
        <v>17295</v>
      </c>
      <c r="BA3211" s="82" t="s">
        <v>17385</v>
      </c>
      <c r="BB3211" s="82" t="s">
        <v>17385</v>
      </c>
      <c r="BC3211" s="82" t="s">
        <v>17295</v>
      </c>
      <c r="BD3211" s="82" t="s">
        <v>17381</v>
      </c>
      <c r="BE3211" s="77"/>
      <c r="BF3211" s="77"/>
      <c r="BG3211" s="77"/>
      <c r="BH3211" s="77"/>
      <c r="BI3211" s="77"/>
    </row>
    <row r="3212" spans="1:61" x14ac:dyDescent="0.25">
      <c r="A3212" s="62" t="s">
        <v>692</v>
      </c>
      <c r="B3212" s="62" t="s">
        <v>692</v>
      </c>
      <c r="C3212" s="63"/>
      <c r="D3212" s="64"/>
      <c r="E3212" s="65"/>
      <c r="F3212" s="66"/>
      <c r="G3212" s="63"/>
      <c r="H3212" s="67"/>
      <c r="I3212" s="68"/>
      <c r="J3212" s="68"/>
      <c r="K3212" s="32"/>
      <c r="L3212" s="75">
        <v>3212</v>
      </c>
      <c r="M3212" s="75"/>
      <c r="N3212" s="70"/>
      <c r="O3212" s="77" t="s">
        <v>800</v>
      </c>
      <c r="P3212" s="79">
        <v>45061.663425925923</v>
      </c>
      <c r="Q3212" s="77" t="s">
        <v>3986</v>
      </c>
      <c r="R3212" s="77">
        <v>0</v>
      </c>
      <c r="S3212" s="77">
        <v>1</v>
      </c>
      <c r="T3212" s="77">
        <v>0</v>
      </c>
      <c r="U3212" s="77">
        <v>0</v>
      </c>
      <c r="V3212" s="77">
        <v>158</v>
      </c>
      <c r="W3212" s="82" t="s">
        <v>6539</v>
      </c>
      <c r="X3212" s="77"/>
      <c r="Y3212" s="77"/>
      <c r="Z3212" s="77"/>
      <c r="AA3212" s="77"/>
      <c r="AB3212" s="77"/>
      <c r="AC3212" s="82" t="s">
        <v>8232</v>
      </c>
      <c r="AD3212" s="77" t="s">
        <v>8282</v>
      </c>
      <c r="AE3212" s="80" t="str">
        <f>HYPERLINK("https://twitter.com/bpmoney_/status/1658139006712815618")</f>
        <v>https://twitter.com/bpmoney_/status/1658139006712815618</v>
      </c>
      <c r="AF3212" s="79">
        <v>45061.663425925923</v>
      </c>
      <c r="AG3212" s="85">
        <v>45061</v>
      </c>
      <c r="AH3212" s="82" t="s">
        <v>11227</v>
      </c>
      <c r="AI3212" s="77"/>
      <c r="AJ3212" s="77"/>
      <c r="AK3212" s="77"/>
      <c r="AL3212" s="77"/>
      <c r="AM3212" s="77"/>
      <c r="AN3212" s="77"/>
      <c r="AO3212" s="77"/>
      <c r="AP3212" s="77"/>
      <c r="AQ3212" s="77"/>
      <c r="AR3212" s="77"/>
      <c r="AS3212" s="77"/>
      <c r="AT3212" s="77"/>
      <c r="AU3212" s="77"/>
      <c r="AV3212" s="80" t="str">
        <f>HYPERLINK("https://pbs.twimg.com/profile_images/1518936529674117121/MCMYTicP_normal.jpg")</f>
        <v>https://pbs.twimg.com/profile_images/1518936529674117121/MCMYTicP_normal.jpg</v>
      </c>
      <c r="AW3212" s="82" t="s">
        <v>16296</v>
      </c>
      <c r="AX3212" s="82" t="s">
        <v>17296</v>
      </c>
      <c r="AY3212" s="82" t="s">
        <v>17381</v>
      </c>
      <c r="AZ3212" s="82" t="s">
        <v>17296</v>
      </c>
      <c r="BA3212" s="82" t="s">
        <v>17385</v>
      </c>
      <c r="BB3212" s="82" t="s">
        <v>17385</v>
      </c>
      <c r="BC3212" s="82" t="s">
        <v>17296</v>
      </c>
      <c r="BD3212" s="82" t="s">
        <v>17381</v>
      </c>
      <c r="BE3212" s="77"/>
      <c r="BF3212" s="77"/>
      <c r="BG3212" s="77"/>
      <c r="BH3212" s="77"/>
      <c r="BI3212" s="77"/>
    </row>
    <row r="3213" spans="1:61" x14ac:dyDescent="0.25">
      <c r="A3213" s="62" t="s">
        <v>692</v>
      </c>
      <c r="B3213" s="62" t="s">
        <v>692</v>
      </c>
      <c r="C3213" s="63"/>
      <c r="D3213" s="64"/>
      <c r="E3213" s="65"/>
      <c r="F3213" s="66"/>
      <c r="G3213" s="63"/>
      <c r="H3213" s="67"/>
      <c r="I3213" s="68"/>
      <c r="J3213" s="68"/>
      <c r="K3213" s="32"/>
      <c r="L3213" s="75">
        <v>3213</v>
      </c>
      <c r="M3213" s="75"/>
      <c r="N3213" s="70"/>
      <c r="O3213" s="77" t="s">
        <v>800</v>
      </c>
      <c r="P3213" s="79">
        <v>45058.760844907411</v>
      </c>
      <c r="Q3213" s="77" t="s">
        <v>3987</v>
      </c>
      <c r="R3213" s="77">
        <v>0</v>
      </c>
      <c r="S3213" s="77">
        <v>0</v>
      </c>
      <c r="T3213" s="77">
        <v>0</v>
      </c>
      <c r="U3213" s="77">
        <v>0</v>
      </c>
      <c r="V3213" s="77">
        <v>196</v>
      </c>
      <c r="W3213" s="82" t="s">
        <v>6540</v>
      </c>
      <c r="X3213" s="77"/>
      <c r="Y3213" s="77"/>
      <c r="Z3213" s="77"/>
      <c r="AA3213" s="77"/>
      <c r="AB3213" s="77"/>
      <c r="AC3213" s="82" t="s">
        <v>8232</v>
      </c>
      <c r="AD3213" s="77" t="s">
        <v>8282</v>
      </c>
      <c r="AE3213" s="80" t="str">
        <f>HYPERLINK("https://twitter.com/bpmoney_/status/1657087145901711360")</f>
        <v>https://twitter.com/bpmoney_/status/1657087145901711360</v>
      </c>
      <c r="AF3213" s="79">
        <v>45058.760844907411</v>
      </c>
      <c r="AG3213" s="85">
        <v>45058</v>
      </c>
      <c r="AH3213" s="82" t="s">
        <v>11228</v>
      </c>
      <c r="AI3213" s="77"/>
      <c r="AJ3213" s="77"/>
      <c r="AK3213" s="77"/>
      <c r="AL3213" s="77"/>
      <c r="AM3213" s="77"/>
      <c r="AN3213" s="77"/>
      <c r="AO3213" s="77"/>
      <c r="AP3213" s="77"/>
      <c r="AQ3213" s="77"/>
      <c r="AR3213" s="77"/>
      <c r="AS3213" s="77"/>
      <c r="AT3213" s="77"/>
      <c r="AU3213" s="77"/>
      <c r="AV3213" s="80" t="str">
        <f>HYPERLINK("https://pbs.twimg.com/profile_images/1518936529674117121/MCMYTicP_normal.jpg")</f>
        <v>https://pbs.twimg.com/profile_images/1518936529674117121/MCMYTicP_normal.jpg</v>
      </c>
      <c r="AW3213" s="82" t="s">
        <v>16297</v>
      </c>
      <c r="AX3213" s="82" t="s">
        <v>17297</v>
      </c>
      <c r="AY3213" s="82" t="s">
        <v>17381</v>
      </c>
      <c r="AZ3213" s="82" t="s">
        <v>17297</v>
      </c>
      <c r="BA3213" s="82" t="s">
        <v>17385</v>
      </c>
      <c r="BB3213" s="82" t="s">
        <v>17385</v>
      </c>
      <c r="BC3213" s="82" t="s">
        <v>17297</v>
      </c>
      <c r="BD3213" s="82" t="s">
        <v>17381</v>
      </c>
      <c r="BE3213" s="77"/>
      <c r="BF3213" s="77"/>
      <c r="BG3213" s="77"/>
      <c r="BH3213" s="77"/>
      <c r="BI3213" s="77"/>
    </row>
    <row r="3214" spans="1:61" x14ac:dyDescent="0.25">
      <c r="A3214" s="62" t="s">
        <v>692</v>
      </c>
      <c r="B3214" s="62" t="s">
        <v>692</v>
      </c>
      <c r="C3214" s="63"/>
      <c r="D3214" s="64"/>
      <c r="E3214" s="65"/>
      <c r="F3214" s="66"/>
      <c r="G3214" s="63"/>
      <c r="H3214" s="67"/>
      <c r="I3214" s="68"/>
      <c r="J3214" s="68"/>
      <c r="K3214" s="32"/>
      <c r="L3214" s="75">
        <v>3214</v>
      </c>
      <c r="M3214" s="75"/>
      <c r="N3214" s="70"/>
      <c r="O3214" s="77" t="s">
        <v>800</v>
      </c>
      <c r="P3214" s="79">
        <v>45058.64607638889</v>
      </c>
      <c r="Q3214" s="77" t="s">
        <v>3988</v>
      </c>
      <c r="R3214" s="77">
        <v>0</v>
      </c>
      <c r="S3214" s="77">
        <v>0</v>
      </c>
      <c r="T3214" s="77">
        <v>0</v>
      </c>
      <c r="U3214" s="77">
        <v>0</v>
      </c>
      <c r="V3214" s="77">
        <v>139</v>
      </c>
      <c r="W3214" s="82" t="s">
        <v>6541</v>
      </c>
      <c r="X3214" s="77"/>
      <c r="Y3214" s="77"/>
      <c r="Z3214" s="77"/>
      <c r="AA3214" s="77"/>
      <c r="AB3214" s="77"/>
      <c r="AC3214" s="82" t="s">
        <v>8232</v>
      </c>
      <c r="AD3214" s="77" t="s">
        <v>8282</v>
      </c>
      <c r="AE3214" s="80" t="str">
        <f>HYPERLINK("https://twitter.com/bpmoney_/status/1657045555179139076")</f>
        <v>https://twitter.com/bpmoney_/status/1657045555179139076</v>
      </c>
      <c r="AF3214" s="79">
        <v>45058.64607638889</v>
      </c>
      <c r="AG3214" s="85">
        <v>45058</v>
      </c>
      <c r="AH3214" s="82" t="s">
        <v>11229</v>
      </c>
      <c r="AI3214" s="77"/>
      <c r="AJ3214" s="77"/>
      <c r="AK3214" s="77"/>
      <c r="AL3214" s="77"/>
      <c r="AM3214" s="77"/>
      <c r="AN3214" s="77"/>
      <c r="AO3214" s="77"/>
      <c r="AP3214" s="77"/>
      <c r="AQ3214" s="77"/>
      <c r="AR3214" s="77"/>
      <c r="AS3214" s="77"/>
      <c r="AT3214" s="77"/>
      <c r="AU3214" s="77"/>
      <c r="AV3214" s="80" t="str">
        <f>HYPERLINK("https://pbs.twimg.com/profile_images/1518936529674117121/MCMYTicP_normal.jpg")</f>
        <v>https://pbs.twimg.com/profile_images/1518936529674117121/MCMYTicP_normal.jpg</v>
      </c>
      <c r="AW3214" s="82" t="s">
        <v>16298</v>
      </c>
      <c r="AX3214" s="82" t="s">
        <v>17298</v>
      </c>
      <c r="AY3214" s="82" t="s">
        <v>17381</v>
      </c>
      <c r="AZ3214" s="82" t="s">
        <v>17298</v>
      </c>
      <c r="BA3214" s="82" t="s">
        <v>17385</v>
      </c>
      <c r="BB3214" s="82" t="s">
        <v>17385</v>
      </c>
      <c r="BC3214" s="82" t="s">
        <v>17298</v>
      </c>
      <c r="BD3214" s="82" t="s">
        <v>17381</v>
      </c>
      <c r="BE3214" s="77"/>
      <c r="BF3214" s="77"/>
      <c r="BG3214" s="77"/>
      <c r="BH3214" s="77"/>
      <c r="BI3214" s="77"/>
    </row>
    <row r="3215" spans="1:61" x14ac:dyDescent="0.25">
      <c r="A3215" s="62" t="s">
        <v>693</v>
      </c>
      <c r="B3215" s="62" t="s">
        <v>731</v>
      </c>
      <c r="C3215" s="63"/>
      <c r="D3215" s="64"/>
      <c r="E3215" s="65"/>
      <c r="F3215" s="66"/>
      <c r="G3215" s="63"/>
      <c r="H3215" s="67"/>
      <c r="I3215" s="68"/>
      <c r="J3215" s="68"/>
      <c r="K3215" s="32"/>
      <c r="L3215" s="75">
        <v>3215</v>
      </c>
      <c r="M3215" s="75"/>
      <c r="N3215" s="70"/>
      <c r="O3215" s="77" t="s">
        <v>802</v>
      </c>
      <c r="P3215" s="79">
        <v>45085.537291666667</v>
      </c>
      <c r="Q3215" s="77" t="s">
        <v>3989</v>
      </c>
      <c r="R3215" s="77">
        <v>0</v>
      </c>
      <c r="S3215" s="77">
        <v>0</v>
      </c>
      <c r="T3215" s="77">
        <v>0</v>
      </c>
      <c r="U3215" s="77">
        <v>0</v>
      </c>
      <c r="V3215" s="77">
        <v>50</v>
      </c>
      <c r="W3215" s="82" t="s">
        <v>6542</v>
      </c>
      <c r="X3215" s="80" t="str">
        <f>HYPERLINK("https://youtube.com/clip/Ugkxp7cvVLDOagBRAfKx3I8ZUGANwmZ1xrni")</f>
        <v>https://youtube.com/clip/Ugkxp7cvVLDOagBRAfKx3I8ZUGANwmZ1xrni</v>
      </c>
      <c r="Y3215" s="77" t="s">
        <v>7065</v>
      </c>
      <c r="Z3215" s="77" t="s">
        <v>731</v>
      </c>
      <c r="AA3215" s="77"/>
      <c r="AB3215" s="77"/>
      <c r="AC3215" s="82" t="s">
        <v>8232</v>
      </c>
      <c r="AD3215" s="77" t="s">
        <v>8285</v>
      </c>
      <c r="AE3215" s="80" t="str">
        <f>HYPERLINK("https://twitter.com/ppspencersoares/status/1666790604838141952")</f>
        <v>https://twitter.com/ppspencersoares/status/1666790604838141952</v>
      </c>
      <c r="AF3215" s="79">
        <v>45085.537291666667</v>
      </c>
      <c r="AG3215" s="85">
        <v>45085</v>
      </c>
      <c r="AH3215" s="82" t="s">
        <v>11230</v>
      </c>
      <c r="AI3215" s="77" t="b">
        <v>0</v>
      </c>
      <c r="AJ3215" s="77"/>
      <c r="AK3215" s="77"/>
      <c r="AL3215" s="77"/>
      <c r="AM3215" s="77"/>
      <c r="AN3215" s="77"/>
      <c r="AO3215" s="77"/>
      <c r="AP3215" s="77"/>
      <c r="AQ3215" s="77"/>
      <c r="AR3215" s="77"/>
      <c r="AS3215" s="77"/>
      <c r="AT3215" s="77"/>
      <c r="AU3215" s="77"/>
      <c r="AV3215" s="80" t="str">
        <f>HYPERLINK("https://pbs.twimg.com/profile_images/1285309208351715338/fsDJCU3y_normal.jpg")</f>
        <v>https://pbs.twimg.com/profile_images/1285309208351715338/fsDJCU3y_normal.jpg</v>
      </c>
      <c r="AW3215" s="82" t="s">
        <v>16299</v>
      </c>
      <c r="AX3215" s="82" t="s">
        <v>16299</v>
      </c>
      <c r="AY3215" s="77"/>
      <c r="AZ3215" s="82" t="s">
        <v>17385</v>
      </c>
      <c r="BA3215" s="82" t="s">
        <v>17385</v>
      </c>
      <c r="BB3215" s="82" t="s">
        <v>17385</v>
      </c>
      <c r="BC3215" s="82" t="s">
        <v>16299</v>
      </c>
      <c r="BD3215" s="77">
        <v>67048206</v>
      </c>
      <c r="BE3215" s="77"/>
      <c r="BF3215" s="77"/>
      <c r="BG3215" s="77"/>
      <c r="BH3215" s="77"/>
      <c r="BI3215" s="77"/>
    </row>
    <row r="3216" spans="1:61" x14ac:dyDescent="0.25">
      <c r="A3216" s="62" t="s">
        <v>694</v>
      </c>
      <c r="B3216" s="62" t="s">
        <v>796</v>
      </c>
      <c r="C3216" s="63"/>
      <c r="D3216" s="64"/>
      <c r="E3216" s="65"/>
      <c r="F3216" s="66"/>
      <c r="G3216" s="63"/>
      <c r="H3216" s="67"/>
      <c r="I3216" s="68"/>
      <c r="J3216" s="68"/>
      <c r="K3216" s="32"/>
      <c r="L3216" s="75">
        <v>3216</v>
      </c>
      <c r="M3216" s="75"/>
      <c r="N3216" s="70"/>
      <c r="O3216" s="77" t="s">
        <v>802</v>
      </c>
      <c r="P3216" s="79">
        <v>45118.117546296293</v>
      </c>
      <c r="Q3216" s="77" t="s">
        <v>3990</v>
      </c>
      <c r="R3216" s="77">
        <v>0</v>
      </c>
      <c r="S3216" s="77">
        <v>0</v>
      </c>
      <c r="T3216" s="77">
        <v>0</v>
      </c>
      <c r="U3216" s="77">
        <v>0</v>
      </c>
      <c r="V3216" s="77">
        <v>120</v>
      </c>
      <c r="W3216" s="82" t="s">
        <v>6543</v>
      </c>
      <c r="X3216" s="77"/>
      <c r="Y3216" s="77"/>
      <c r="Z3216" s="77" t="s">
        <v>796</v>
      </c>
      <c r="AA3216" s="77" t="s">
        <v>8142</v>
      </c>
      <c r="AB3216" s="77" t="s">
        <v>8225</v>
      </c>
      <c r="AC3216" s="82" t="s">
        <v>8232</v>
      </c>
      <c r="AD3216" s="77" t="s">
        <v>8278</v>
      </c>
      <c r="AE3216" s="80" t="str">
        <f>HYPERLINK("https://twitter.com/hamampaulo/status/1678597295938457600")</f>
        <v>https://twitter.com/hamampaulo/status/1678597295938457600</v>
      </c>
      <c r="AF3216" s="79">
        <v>45118.117546296293</v>
      </c>
      <c r="AG3216" s="85">
        <v>45118</v>
      </c>
      <c r="AH3216" s="82" t="s">
        <v>11231</v>
      </c>
      <c r="AI3216" s="77" t="b">
        <v>0</v>
      </c>
      <c r="AJ3216" s="77"/>
      <c r="AK3216" s="77"/>
      <c r="AL3216" s="77"/>
      <c r="AM3216" s="77"/>
      <c r="AN3216" s="77"/>
      <c r="AO3216" s="77"/>
      <c r="AP3216" s="77"/>
      <c r="AQ3216" s="77" t="s">
        <v>13027</v>
      </c>
      <c r="AR3216" s="77"/>
      <c r="AS3216" s="77"/>
      <c r="AT3216" s="77"/>
      <c r="AU3216" s="77"/>
      <c r="AV3216" s="80" t="str">
        <f>HYPERLINK("https://pbs.twimg.com/media/F0uS6eFXgAItxcI.png")</f>
        <v>https://pbs.twimg.com/media/F0uS6eFXgAItxcI.png</v>
      </c>
      <c r="AW3216" s="82" t="s">
        <v>16300</v>
      </c>
      <c r="AX3216" s="82" t="s">
        <v>16300</v>
      </c>
      <c r="AY3216" s="82" t="s">
        <v>17382</v>
      </c>
      <c r="AZ3216" s="82" t="s">
        <v>17385</v>
      </c>
      <c r="BA3216" s="82" t="s">
        <v>17385</v>
      </c>
      <c r="BB3216" s="82" t="s">
        <v>17385</v>
      </c>
      <c r="BC3216" s="82" t="s">
        <v>16300</v>
      </c>
      <c r="BD3216" s="82" t="s">
        <v>17696</v>
      </c>
      <c r="BE3216" s="77"/>
      <c r="BF3216" s="77"/>
      <c r="BG3216" s="77"/>
      <c r="BH3216" s="77"/>
      <c r="BI3216" s="77"/>
    </row>
    <row r="3217" spans="1:61" x14ac:dyDescent="0.25">
      <c r="A3217" s="62" t="s">
        <v>695</v>
      </c>
      <c r="B3217" s="62" t="s">
        <v>695</v>
      </c>
      <c r="C3217" s="63"/>
      <c r="D3217" s="64"/>
      <c r="E3217" s="65"/>
      <c r="F3217" s="66"/>
      <c r="G3217" s="63"/>
      <c r="H3217" s="67"/>
      <c r="I3217" s="68"/>
      <c r="J3217" s="68"/>
      <c r="K3217" s="32"/>
      <c r="L3217" s="75">
        <v>3217</v>
      </c>
      <c r="M3217" s="75"/>
      <c r="N3217" s="70"/>
      <c r="O3217" s="77" t="s">
        <v>179</v>
      </c>
      <c r="P3217" s="79">
        <v>45048.649189814816</v>
      </c>
      <c r="Q3217" s="77" t="s">
        <v>3991</v>
      </c>
      <c r="R3217" s="77">
        <v>1</v>
      </c>
      <c r="S3217" s="77">
        <v>1</v>
      </c>
      <c r="T3217" s="77">
        <v>0</v>
      </c>
      <c r="U3217" s="77">
        <v>0</v>
      </c>
      <c r="V3217" s="77">
        <v>55</v>
      </c>
      <c r="W3217" s="82" t="s">
        <v>6544</v>
      </c>
      <c r="X3217" s="77"/>
      <c r="Y3217" s="77"/>
      <c r="Z3217" s="77"/>
      <c r="AA3217" s="77" t="s">
        <v>8143</v>
      </c>
      <c r="AB3217" s="77" t="s">
        <v>8225</v>
      </c>
      <c r="AC3217" s="82" t="s">
        <v>8232</v>
      </c>
      <c r="AD3217" s="77" t="s">
        <v>8285</v>
      </c>
      <c r="AE3217" s="80" t="str">
        <f>HYPERLINK("https://twitter.com/cryptonita_ta/status/1653422803113193474")</f>
        <v>https://twitter.com/cryptonita_ta/status/1653422803113193474</v>
      </c>
      <c r="AF3217" s="79">
        <v>45048.649189814816</v>
      </c>
      <c r="AG3217" s="85">
        <v>45048</v>
      </c>
      <c r="AH3217" s="82" t="s">
        <v>11232</v>
      </c>
      <c r="AI3217" s="77" t="b">
        <v>0</v>
      </c>
      <c r="AJ3217" s="77"/>
      <c r="AK3217" s="77"/>
      <c r="AL3217" s="77"/>
      <c r="AM3217" s="77"/>
      <c r="AN3217" s="77"/>
      <c r="AO3217" s="77"/>
      <c r="AP3217" s="77"/>
      <c r="AQ3217" s="77" t="s">
        <v>13028</v>
      </c>
      <c r="AR3217" s="77"/>
      <c r="AS3217" s="77"/>
      <c r="AT3217" s="77"/>
      <c r="AU3217" s="77"/>
      <c r="AV3217" s="80" t="str">
        <f>HYPERLINK("https://pbs.twimg.com/media/FvIjMErXwAIXCYt.png")</f>
        <v>https://pbs.twimg.com/media/FvIjMErXwAIXCYt.png</v>
      </c>
      <c r="AW3217" s="82" t="s">
        <v>16301</v>
      </c>
      <c r="AX3217" s="82" t="s">
        <v>16301</v>
      </c>
      <c r="AY3217" s="77"/>
      <c r="AZ3217" s="82" t="s">
        <v>17385</v>
      </c>
      <c r="BA3217" s="82" t="s">
        <v>17385</v>
      </c>
      <c r="BB3217" s="82" t="s">
        <v>17385</v>
      </c>
      <c r="BC3217" s="82" t="s">
        <v>16301</v>
      </c>
      <c r="BD3217" s="77">
        <v>52359184</v>
      </c>
      <c r="BE3217" s="77"/>
      <c r="BF3217" s="77"/>
      <c r="BG3217" s="77"/>
      <c r="BH3217" s="77"/>
      <c r="BI3217" s="77"/>
    </row>
    <row r="3218" spans="1:61" x14ac:dyDescent="0.25">
      <c r="A3218" s="62" t="s">
        <v>695</v>
      </c>
      <c r="B3218" s="62" t="s">
        <v>695</v>
      </c>
      <c r="C3218" s="63"/>
      <c r="D3218" s="64"/>
      <c r="E3218" s="65"/>
      <c r="F3218" s="66"/>
      <c r="G3218" s="63"/>
      <c r="H3218" s="67"/>
      <c r="I3218" s="68"/>
      <c r="J3218" s="68"/>
      <c r="K3218" s="32"/>
      <c r="L3218" s="75">
        <v>3218</v>
      </c>
      <c r="M3218" s="75"/>
      <c r="N3218" s="70"/>
      <c r="O3218" s="77" t="s">
        <v>179</v>
      </c>
      <c r="P3218" s="79">
        <v>45047.599189814813</v>
      </c>
      <c r="Q3218" s="77" t="s">
        <v>3992</v>
      </c>
      <c r="R3218" s="77">
        <v>1</v>
      </c>
      <c r="S3218" s="77">
        <v>1</v>
      </c>
      <c r="T3218" s="77">
        <v>0</v>
      </c>
      <c r="U3218" s="77">
        <v>0</v>
      </c>
      <c r="V3218" s="77">
        <v>88</v>
      </c>
      <c r="W3218" s="82" t="s">
        <v>6544</v>
      </c>
      <c r="X3218" s="77"/>
      <c r="Y3218" s="77"/>
      <c r="Z3218" s="77"/>
      <c r="AA3218" s="77" t="s">
        <v>8144</v>
      </c>
      <c r="AB3218" s="77" t="s">
        <v>8225</v>
      </c>
      <c r="AC3218" s="82" t="s">
        <v>8232</v>
      </c>
      <c r="AD3218" s="77" t="s">
        <v>8285</v>
      </c>
      <c r="AE3218" s="80" t="str">
        <f>HYPERLINK("https://twitter.com/cryptonita_ta/status/1653042299461304321")</f>
        <v>https://twitter.com/cryptonita_ta/status/1653042299461304321</v>
      </c>
      <c r="AF3218" s="79">
        <v>45047.599189814813</v>
      </c>
      <c r="AG3218" s="85">
        <v>45047</v>
      </c>
      <c r="AH3218" s="82" t="s">
        <v>11233</v>
      </c>
      <c r="AI3218" s="77" t="b">
        <v>0</v>
      </c>
      <c r="AJ3218" s="77"/>
      <c r="AK3218" s="77"/>
      <c r="AL3218" s="77"/>
      <c r="AM3218" s="77"/>
      <c r="AN3218" s="77"/>
      <c r="AO3218" s="77"/>
      <c r="AP3218" s="77"/>
      <c r="AQ3218" s="77" t="s">
        <v>13029</v>
      </c>
      <c r="AR3218" s="77"/>
      <c r="AS3218" s="77"/>
      <c r="AT3218" s="77"/>
      <c r="AU3218" s="77"/>
      <c r="AV3218" s="80" t="str">
        <f>HYPERLINK("https://pbs.twimg.com/media/FvDJHHIWwAI69GD.png")</f>
        <v>https://pbs.twimg.com/media/FvDJHHIWwAI69GD.png</v>
      </c>
      <c r="AW3218" s="82" t="s">
        <v>16302</v>
      </c>
      <c r="AX3218" s="82" t="s">
        <v>16302</v>
      </c>
      <c r="AY3218" s="77"/>
      <c r="AZ3218" s="82" t="s">
        <v>17385</v>
      </c>
      <c r="BA3218" s="82" t="s">
        <v>17385</v>
      </c>
      <c r="BB3218" s="82" t="s">
        <v>17385</v>
      </c>
      <c r="BC3218" s="82" t="s">
        <v>16302</v>
      </c>
      <c r="BD3218" s="77">
        <v>52359184</v>
      </c>
      <c r="BE3218" s="77"/>
      <c r="BF3218" s="77"/>
      <c r="BG3218" s="77"/>
      <c r="BH3218" s="77"/>
      <c r="BI3218" s="77"/>
    </row>
    <row r="3219" spans="1:61" x14ac:dyDescent="0.25">
      <c r="A3219" s="62" t="s">
        <v>695</v>
      </c>
      <c r="B3219" s="62" t="s">
        <v>695</v>
      </c>
      <c r="C3219" s="63"/>
      <c r="D3219" s="64"/>
      <c r="E3219" s="65"/>
      <c r="F3219" s="66"/>
      <c r="G3219" s="63"/>
      <c r="H3219" s="67"/>
      <c r="I3219" s="68"/>
      <c r="J3219" s="68"/>
      <c r="K3219" s="32"/>
      <c r="L3219" s="75">
        <v>3219</v>
      </c>
      <c r="M3219" s="75"/>
      <c r="N3219" s="70"/>
      <c r="O3219" s="77" t="s">
        <v>179</v>
      </c>
      <c r="P3219" s="79">
        <v>45047.592476851853</v>
      </c>
      <c r="Q3219" s="77" t="s">
        <v>3993</v>
      </c>
      <c r="R3219" s="77">
        <v>1</v>
      </c>
      <c r="S3219" s="77">
        <v>1</v>
      </c>
      <c r="T3219" s="77">
        <v>0</v>
      </c>
      <c r="U3219" s="77">
        <v>0</v>
      </c>
      <c r="V3219" s="77">
        <v>108</v>
      </c>
      <c r="W3219" s="82" t="s">
        <v>6544</v>
      </c>
      <c r="X3219" s="77"/>
      <c r="Y3219" s="77"/>
      <c r="Z3219" s="77"/>
      <c r="AA3219" s="77" t="s">
        <v>8145</v>
      </c>
      <c r="AB3219" s="77" t="s">
        <v>8226</v>
      </c>
      <c r="AC3219" s="82" t="s">
        <v>8232</v>
      </c>
      <c r="AD3219" s="77" t="s">
        <v>8285</v>
      </c>
      <c r="AE3219" s="80" t="str">
        <f>HYPERLINK("https://twitter.com/cryptonita_ta/status/1653039866093944832")</f>
        <v>https://twitter.com/cryptonita_ta/status/1653039866093944832</v>
      </c>
      <c r="AF3219" s="79">
        <v>45047.592476851853</v>
      </c>
      <c r="AG3219" s="85">
        <v>45047</v>
      </c>
      <c r="AH3219" s="82" t="s">
        <v>11234</v>
      </c>
      <c r="AI3219" s="77" t="b">
        <v>0</v>
      </c>
      <c r="AJ3219" s="77"/>
      <c r="AK3219" s="77"/>
      <c r="AL3219" s="77"/>
      <c r="AM3219" s="77"/>
      <c r="AN3219" s="77"/>
      <c r="AO3219" s="77"/>
      <c r="AP3219" s="77"/>
      <c r="AQ3219" s="77" t="s">
        <v>13030</v>
      </c>
      <c r="AR3219" s="77"/>
      <c r="AS3219" s="77"/>
      <c r="AT3219" s="77"/>
      <c r="AU3219" s="77"/>
      <c r="AV3219" s="80" t="str">
        <f>HYPERLINK("https://pbs.twimg.com/media/FvDG6TvWYAEnIEq.png")</f>
        <v>https://pbs.twimg.com/media/FvDG6TvWYAEnIEq.png</v>
      </c>
      <c r="AW3219" s="82" t="s">
        <v>16303</v>
      </c>
      <c r="AX3219" s="82" t="s">
        <v>16303</v>
      </c>
      <c r="AY3219" s="77"/>
      <c r="AZ3219" s="82" t="s">
        <v>17385</v>
      </c>
      <c r="BA3219" s="82" t="s">
        <v>17385</v>
      </c>
      <c r="BB3219" s="82" t="s">
        <v>17385</v>
      </c>
      <c r="BC3219" s="82" t="s">
        <v>16303</v>
      </c>
      <c r="BD3219" s="77">
        <v>52359184</v>
      </c>
      <c r="BE3219" s="77"/>
      <c r="BF3219" s="77"/>
      <c r="BG3219" s="77"/>
      <c r="BH3219" s="77"/>
      <c r="BI3219" s="77"/>
    </row>
    <row r="3220" spans="1:61" x14ac:dyDescent="0.25">
      <c r="A3220" s="62" t="s">
        <v>695</v>
      </c>
      <c r="B3220" s="62" t="s">
        <v>695</v>
      </c>
      <c r="C3220" s="63"/>
      <c r="D3220" s="64"/>
      <c r="E3220" s="65"/>
      <c r="F3220" s="66"/>
      <c r="G3220" s="63"/>
      <c r="H3220" s="67"/>
      <c r="I3220" s="68"/>
      <c r="J3220" s="68"/>
      <c r="K3220" s="32"/>
      <c r="L3220" s="75">
        <v>3220</v>
      </c>
      <c r="M3220" s="75"/>
      <c r="N3220" s="70"/>
      <c r="O3220" s="77" t="s">
        <v>179</v>
      </c>
      <c r="P3220" s="79">
        <v>45047.586273148147</v>
      </c>
      <c r="Q3220" s="77" t="s">
        <v>3994</v>
      </c>
      <c r="R3220" s="77">
        <v>1</v>
      </c>
      <c r="S3220" s="77">
        <v>1</v>
      </c>
      <c r="T3220" s="77">
        <v>0</v>
      </c>
      <c r="U3220" s="77">
        <v>0</v>
      </c>
      <c r="V3220" s="77">
        <v>49</v>
      </c>
      <c r="W3220" s="82" t="s">
        <v>6545</v>
      </c>
      <c r="X3220" s="77"/>
      <c r="Y3220" s="77"/>
      <c r="Z3220" s="77"/>
      <c r="AA3220" s="77" t="s">
        <v>8146</v>
      </c>
      <c r="AB3220" s="77" t="s">
        <v>8225</v>
      </c>
      <c r="AC3220" s="82" t="s">
        <v>8232</v>
      </c>
      <c r="AD3220" s="77" t="s">
        <v>8285</v>
      </c>
      <c r="AE3220" s="80" t="str">
        <f>HYPERLINK("https://twitter.com/cryptonita_ta/status/1653037616789442561")</f>
        <v>https://twitter.com/cryptonita_ta/status/1653037616789442561</v>
      </c>
      <c r="AF3220" s="79">
        <v>45047.586273148147</v>
      </c>
      <c r="AG3220" s="85">
        <v>45047</v>
      </c>
      <c r="AH3220" s="82" t="s">
        <v>11235</v>
      </c>
      <c r="AI3220" s="77" t="b">
        <v>0</v>
      </c>
      <c r="AJ3220" s="77"/>
      <c r="AK3220" s="77"/>
      <c r="AL3220" s="77"/>
      <c r="AM3220" s="77"/>
      <c r="AN3220" s="77"/>
      <c r="AO3220" s="77"/>
      <c r="AP3220" s="77"/>
      <c r="AQ3220" s="77" t="s">
        <v>13031</v>
      </c>
      <c r="AR3220" s="77"/>
      <c r="AS3220" s="77"/>
      <c r="AT3220" s="77"/>
      <c r="AU3220" s="77"/>
      <c r="AV3220" s="80" t="str">
        <f>HYPERLINK("https://pbs.twimg.com/media/FvDE2aiXwAIyIie.png")</f>
        <v>https://pbs.twimg.com/media/FvDE2aiXwAIyIie.png</v>
      </c>
      <c r="AW3220" s="82" t="s">
        <v>16304</v>
      </c>
      <c r="AX3220" s="82" t="s">
        <v>16304</v>
      </c>
      <c r="AY3220" s="77"/>
      <c r="AZ3220" s="82" t="s">
        <v>17385</v>
      </c>
      <c r="BA3220" s="82" t="s">
        <v>17385</v>
      </c>
      <c r="BB3220" s="82" t="s">
        <v>17385</v>
      </c>
      <c r="BC3220" s="82" t="s">
        <v>16304</v>
      </c>
      <c r="BD3220" s="77">
        <v>52359184</v>
      </c>
      <c r="BE3220" s="77"/>
      <c r="BF3220" s="77"/>
      <c r="BG3220" s="77"/>
      <c r="BH3220" s="77"/>
      <c r="BI3220" s="77"/>
    </row>
    <row r="3221" spans="1:61" x14ac:dyDescent="0.25">
      <c r="A3221" s="62" t="s">
        <v>695</v>
      </c>
      <c r="B3221" s="62" t="s">
        <v>695</v>
      </c>
      <c r="C3221" s="63"/>
      <c r="D3221" s="64"/>
      <c r="E3221" s="65"/>
      <c r="F3221" s="66"/>
      <c r="G3221" s="63"/>
      <c r="H3221" s="67"/>
      <c r="I3221" s="68"/>
      <c r="J3221" s="68"/>
      <c r="K3221" s="32"/>
      <c r="L3221" s="75">
        <v>3221</v>
      </c>
      <c r="M3221" s="75"/>
      <c r="N3221" s="70"/>
      <c r="O3221" s="77" t="s">
        <v>179</v>
      </c>
      <c r="P3221" s="79">
        <v>45047.583391203705</v>
      </c>
      <c r="Q3221" s="77" t="s">
        <v>3995</v>
      </c>
      <c r="R3221" s="77">
        <v>1</v>
      </c>
      <c r="S3221" s="77">
        <v>1</v>
      </c>
      <c r="T3221" s="77">
        <v>0</v>
      </c>
      <c r="U3221" s="77">
        <v>0</v>
      </c>
      <c r="V3221" s="77">
        <v>57</v>
      </c>
      <c r="W3221" s="82" t="s">
        <v>6544</v>
      </c>
      <c r="X3221" s="77"/>
      <c r="Y3221" s="77"/>
      <c r="Z3221" s="77"/>
      <c r="AA3221" s="77" t="s">
        <v>8147</v>
      </c>
      <c r="AB3221" s="77" t="s">
        <v>8225</v>
      </c>
      <c r="AC3221" s="82" t="s">
        <v>8232</v>
      </c>
      <c r="AD3221" s="77" t="s">
        <v>8285</v>
      </c>
      <c r="AE3221" s="80" t="str">
        <f>HYPERLINK("https://twitter.com/cryptonita_ta/status/1653036571073949699")</f>
        <v>https://twitter.com/cryptonita_ta/status/1653036571073949699</v>
      </c>
      <c r="AF3221" s="79">
        <v>45047.583391203705</v>
      </c>
      <c r="AG3221" s="85">
        <v>45047</v>
      </c>
      <c r="AH3221" s="82" t="s">
        <v>11236</v>
      </c>
      <c r="AI3221" s="77" t="b">
        <v>0</v>
      </c>
      <c r="AJ3221" s="77"/>
      <c r="AK3221" s="77"/>
      <c r="AL3221" s="77"/>
      <c r="AM3221" s="77"/>
      <c r="AN3221" s="77"/>
      <c r="AO3221" s="77"/>
      <c r="AP3221" s="77"/>
      <c r="AQ3221" s="77" t="s">
        <v>13032</v>
      </c>
      <c r="AR3221" s="77"/>
      <c r="AS3221" s="77"/>
      <c r="AT3221" s="77"/>
      <c r="AU3221" s="77"/>
      <c r="AV3221" s="80" t="str">
        <f>HYPERLINK("https://pbs.twimg.com/media/FvDD66UWAAE2d6W.png")</f>
        <v>https://pbs.twimg.com/media/FvDD66UWAAE2d6W.png</v>
      </c>
      <c r="AW3221" s="82" t="s">
        <v>16305</v>
      </c>
      <c r="AX3221" s="82" t="s">
        <v>16305</v>
      </c>
      <c r="AY3221" s="77"/>
      <c r="AZ3221" s="82" t="s">
        <v>17385</v>
      </c>
      <c r="BA3221" s="82" t="s">
        <v>17385</v>
      </c>
      <c r="BB3221" s="82" t="s">
        <v>17385</v>
      </c>
      <c r="BC3221" s="82" t="s">
        <v>16305</v>
      </c>
      <c r="BD3221" s="77">
        <v>52359184</v>
      </c>
      <c r="BE3221" s="77"/>
      <c r="BF3221" s="77"/>
      <c r="BG3221" s="77"/>
      <c r="BH3221" s="77"/>
      <c r="BI3221" s="77"/>
    </row>
    <row r="3222" spans="1:61" x14ac:dyDescent="0.25">
      <c r="A3222" s="62" t="s">
        <v>695</v>
      </c>
      <c r="B3222" s="62" t="s">
        <v>695</v>
      </c>
      <c r="C3222" s="63"/>
      <c r="D3222" s="64"/>
      <c r="E3222" s="65"/>
      <c r="F3222" s="66"/>
      <c r="G3222" s="63"/>
      <c r="H3222" s="67"/>
      <c r="I3222" s="68"/>
      <c r="J3222" s="68"/>
      <c r="K3222" s="32"/>
      <c r="L3222" s="75">
        <v>3222</v>
      </c>
      <c r="M3222" s="75"/>
      <c r="N3222" s="70"/>
      <c r="O3222" s="77" t="s">
        <v>179</v>
      </c>
      <c r="P3222" s="79">
        <v>45047.561736111114</v>
      </c>
      <c r="Q3222" s="77" t="s">
        <v>3996</v>
      </c>
      <c r="R3222" s="77">
        <v>1</v>
      </c>
      <c r="S3222" s="77">
        <v>2</v>
      </c>
      <c r="T3222" s="77">
        <v>0</v>
      </c>
      <c r="U3222" s="77">
        <v>0</v>
      </c>
      <c r="V3222" s="77">
        <v>151</v>
      </c>
      <c r="W3222" s="82" t="s">
        <v>6546</v>
      </c>
      <c r="X3222" s="77"/>
      <c r="Y3222" s="77"/>
      <c r="Z3222" s="77"/>
      <c r="AA3222" s="77" t="s">
        <v>8148</v>
      </c>
      <c r="AB3222" s="77" t="s">
        <v>8225</v>
      </c>
      <c r="AC3222" s="82" t="s">
        <v>8232</v>
      </c>
      <c r="AD3222" s="77" t="s">
        <v>8285</v>
      </c>
      <c r="AE3222" s="80" t="str">
        <f>HYPERLINK("https://twitter.com/cryptonita_ta/status/1653028724600610817")</f>
        <v>https://twitter.com/cryptonita_ta/status/1653028724600610817</v>
      </c>
      <c r="AF3222" s="79">
        <v>45047.561736111114</v>
      </c>
      <c r="AG3222" s="85">
        <v>45047</v>
      </c>
      <c r="AH3222" s="82" t="s">
        <v>11237</v>
      </c>
      <c r="AI3222" s="77" t="b">
        <v>0</v>
      </c>
      <c r="AJ3222" s="77"/>
      <c r="AK3222" s="77"/>
      <c r="AL3222" s="77"/>
      <c r="AM3222" s="77"/>
      <c r="AN3222" s="77"/>
      <c r="AO3222" s="77"/>
      <c r="AP3222" s="77"/>
      <c r="AQ3222" s="77" t="s">
        <v>13033</v>
      </c>
      <c r="AR3222" s="77"/>
      <c r="AS3222" s="77"/>
      <c r="AT3222" s="77"/>
      <c r="AU3222" s="77"/>
      <c r="AV3222" s="80" t="str">
        <f>HYPERLINK("https://pbs.twimg.com/media/FvC8x4vXsAYNR3L.png")</f>
        <v>https://pbs.twimg.com/media/FvC8x4vXsAYNR3L.png</v>
      </c>
      <c r="AW3222" s="82" t="s">
        <v>16306</v>
      </c>
      <c r="AX3222" s="82" t="s">
        <v>16306</v>
      </c>
      <c r="AY3222" s="77"/>
      <c r="AZ3222" s="82" t="s">
        <v>17385</v>
      </c>
      <c r="BA3222" s="82" t="s">
        <v>17385</v>
      </c>
      <c r="BB3222" s="82" t="s">
        <v>17385</v>
      </c>
      <c r="BC3222" s="82" t="s">
        <v>16306</v>
      </c>
      <c r="BD3222" s="77">
        <v>52359184</v>
      </c>
      <c r="BE3222" s="77"/>
      <c r="BF3222" s="77"/>
      <c r="BG3222" s="77"/>
      <c r="BH3222" s="77"/>
      <c r="BI3222" s="77"/>
    </row>
    <row r="3223" spans="1:61" x14ac:dyDescent="0.25">
      <c r="A3223" s="62" t="s">
        <v>695</v>
      </c>
      <c r="B3223" s="62" t="s">
        <v>695</v>
      </c>
      <c r="C3223" s="63"/>
      <c r="D3223" s="64"/>
      <c r="E3223" s="65"/>
      <c r="F3223" s="66"/>
      <c r="G3223" s="63"/>
      <c r="H3223" s="67"/>
      <c r="I3223" s="68"/>
      <c r="J3223" s="68"/>
      <c r="K3223" s="32"/>
      <c r="L3223" s="75">
        <v>3223</v>
      </c>
      <c r="M3223" s="75"/>
      <c r="N3223" s="70"/>
      <c r="O3223" s="77" t="s">
        <v>179</v>
      </c>
      <c r="P3223" s="79">
        <v>45043.815451388888</v>
      </c>
      <c r="Q3223" s="77" t="s">
        <v>3997</v>
      </c>
      <c r="R3223" s="77">
        <v>1</v>
      </c>
      <c r="S3223" s="77">
        <v>1</v>
      </c>
      <c r="T3223" s="77">
        <v>0</v>
      </c>
      <c r="U3223" s="77">
        <v>0</v>
      </c>
      <c r="V3223" s="77">
        <v>200</v>
      </c>
      <c r="W3223" s="82" t="s">
        <v>6544</v>
      </c>
      <c r="X3223" s="77"/>
      <c r="Y3223" s="77"/>
      <c r="Z3223" s="77"/>
      <c r="AA3223" s="77" t="s">
        <v>8149</v>
      </c>
      <c r="AB3223" s="77" t="s">
        <v>8225</v>
      </c>
      <c r="AC3223" s="82" t="s">
        <v>8232</v>
      </c>
      <c r="AD3223" s="77" t="s">
        <v>8285</v>
      </c>
      <c r="AE3223" s="80" t="str">
        <f>HYPERLINK("https://twitter.com/cryptonita_ta/status/1651671118627979264")</f>
        <v>https://twitter.com/cryptonita_ta/status/1651671118627979264</v>
      </c>
      <c r="AF3223" s="79">
        <v>45043.815451388888</v>
      </c>
      <c r="AG3223" s="85">
        <v>45043</v>
      </c>
      <c r="AH3223" s="82" t="s">
        <v>11238</v>
      </c>
      <c r="AI3223" s="77" t="b">
        <v>0</v>
      </c>
      <c r="AJ3223" s="77"/>
      <c r="AK3223" s="77"/>
      <c r="AL3223" s="77"/>
      <c r="AM3223" s="77"/>
      <c r="AN3223" s="77"/>
      <c r="AO3223" s="77"/>
      <c r="AP3223" s="77"/>
      <c r="AQ3223" s="77" t="s">
        <v>13034</v>
      </c>
      <c r="AR3223" s="77"/>
      <c r="AS3223" s="77"/>
      <c r="AT3223" s="77"/>
      <c r="AU3223" s="77"/>
      <c r="AV3223" s="80" t="str">
        <f>HYPERLINK("https://pbs.twimg.com/media/FuvqDFeWwAItKe0.png")</f>
        <v>https://pbs.twimg.com/media/FuvqDFeWwAItKe0.png</v>
      </c>
      <c r="AW3223" s="82" t="s">
        <v>16307</v>
      </c>
      <c r="AX3223" s="82" t="s">
        <v>16307</v>
      </c>
      <c r="AY3223" s="77"/>
      <c r="AZ3223" s="82" t="s">
        <v>17385</v>
      </c>
      <c r="BA3223" s="82" t="s">
        <v>17385</v>
      </c>
      <c r="BB3223" s="82" t="s">
        <v>17385</v>
      </c>
      <c r="BC3223" s="82" t="s">
        <v>16307</v>
      </c>
      <c r="BD3223" s="77">
        <v>52359184</v>
      </c>
      <c r="BE3223" s="77"/>
      <c r="BF3223" s="77"/>
      <c r="BG3223" s="77"/>
      <c r="BH3223" s="77"/>
      <c r="BI3223" s="77"/>
    </row>
    <row r="3224" spans="1:61" x14ac:dyDescent="0.25">
      <c r="A3224" s="62" t="s">
        <v>695</v>
      </c>
      <c r="B3224" s="62" t="s">
        <v>695</v>
      </c>
      <c r="C3224" s="63"/>
      <c r="D3224" s="64"/>
      <c r="E3224" s="65"/>
      <c r="F3224" s="66"/>
      <c r="G3224" s="63"/>
      <c r="H3224" s="67"/>
      <c r="I3224" s="68"/>
      <c r="J3224" s="68"/>
      <c r="K3224" s="32"/>
      <c r="L3224" s="75">
        <v>3224</v>
      </c>
      <c r="M3224" s="75"/>
      <c r="N3224" s="70"/>
      <c r="O3224" s="77" t="s">
        <v>179</v>
      </c>
      <c r="P3224" s="79">
        <v>45043.80395833333</v>
      </c>
      <c r="Q3224" s="77" t="s">
        <v>3998</v>
      </c>
      <c r="R3224" s="77">
        <v>1</v>
      </c>
      <c r="S3224" s="77">
        <v>1</v>
      </c>
      <c r="T3224" s="77">
        <v>0</v>
      </c>
      <c r="U3224" s="77">
        <v>0</v>
      </c>
      <c r="V3224" s="77">
        <v>64</v>
      </c>
      <c r="W3224" s="82" t="s">
        <v>6544</v>
      </c>
      <c r="X3224" s="77"/>
      <c r="Y3224" s="77"/>
      <c r="Z3224" s="77"/>
      <c r="AA3224" s="77" t="s">
        <v>8150</v>
      </c>
      <c r="AB3224" s="77" t="s">
        <v>8225</v>
      </c>
      <c r="AC3224" s="82" t="s">
        <v>8232</v>
      </c>
      <c r="AD3224" s="77" t="s">
        <v>8285</v>
      </c>
      <c r="AE3224" s="80" t="str">
        <f>HYPERLINK("https://twitter.com/cryptonita_ta/status/1651666951008133121")</f>
        <v>https://twitter.com/cryptonita_ta/status/1651666951008133121</v>
      </c>
      <c r="AF3224" s="79">
        <v>45043.80395833333</v>
      </c>
      <c r="AG3224" s="85">
        <v>45043</v>
      </c>
      <c r="AH3224" s="82" t="s">
        <v>11239</v>
      </c>
      <c r="AI3224" s="77" t="b">
        <v>0</v>
      </c>
      <c r="AJ3224" s="77"/>
      <c r="AK3224" s="77"/>
      <c r="AL3224" s="77"/>
      <c r="AM3224" s="77"/>
      <c r="AN3224" s="77"/>
      <c r="AO3224" s="77"/>
      <c r="AP3224" s="77"/>
      <c r="AQ3224" s="77" t="s">
        <v>13035</v>
      </c>
      <c r="AR3224" s="77"/>
      <c r="AS3224" s="77"/>
      <c r="AT3224" s="77"/>
      <c r="AU3224" s="77"/>
      <c r="AV3224" s="80" t="str">
        <f>HYPERLINK("https://pbs.twimg.com/media/FuvmQeLXsAAMcJb.png")</f>
        <v>https://pbs.twimg.com/media/FuvmQeLXsAAMcJb.png</v>
      </c>
      <c r="AW3224" s="82" t="s">
        <v>16308</v>
      </c>
      <c r="AX3224" s="82" t="s">
        <v>16308</v>
      </c>
      <c r="AY3224" s="77"/>
      <c r="AZ3224" s="82" t="s">
        <v>17385</v>
      </c>
      <c r="BA3224" s="82" t="s">
        <v>17385</v>
      </c>
      <c r="BB3224" s="82" t="s">
        <v>17385</v>
      </c>
      <c r="BC3224" s="82" t="s">
        <v>16308</v>
      </c>
      <c r="BD3224" s="77">
        <v>52359184</v>
      </c>
      <c r="BE3224" s="77"/>
      <c r="BF3224" s="77"/>
      <c r="BG3224" s="77"/>
      <c r="BH3224" s="77"/>
      <c r="BI3224" s="77"/>
    </row>
    <row r="3225" spans="1:61" x14ac:dyDescent="0.25">
      <c r="A3225" s="62" t="s">
        <v>695</v>
      </c>
      <c r="B3225" s="62" t="s">
        <v>695</v>
      </c>
      <c r="C3225" s="63"/>
      <c r="D3225" s="64"/>
      <c r="E3225" s="65"/>
      <c r="F3225" s="66"/>
      <c r="G3225" s="63"/>
      <c r="H3225" s="67"/>
      <c r="I3225" s="68"/>
      <c r="J3225" s="68"/>
      <c r="K3225" s="32"/>
      <c r="L3225" s="75">
        <v>3225</v>
      </c>
      <c r="M3225" s="75"/>
      <c r="N3225" s="70"/>
      <c r="O3225" s="77" t="s">
        <v>179</v>
      </c>
      <c r="P3225" s="79">
        <v>45043.803229166668</v>
      </c>
      <c r="Q3225" s="77" t="s">
        <v>3999</v>
      </c>
      <c r="R3225" s="77">
        <v>1</v>
      </c>
      <c r="S3225" s="77">
        <v>1</v>
      </c>
      <c r="T3225" s="77">
        <v>0</v>
      </c>
      <c r="U3225" s="77">
        <v>0</v>
      </c>
      <c r="V3225" s="77">
        <v>298</v>
      </c>
      <c r="W3225" s="82" t="s">
        <v>6544</v>
      </c>
      <c r="X3225" s="77"/>
      <c r="Y3225" s="77"/>
      <c r="Z3225" s="77"/>
      <c r="AA3225" s="77" t="s">
        <v>8151</v>
      </c>
      <c r="AB3225" s="77" t="s">
        <v>8225</v>
      </c>
      <c r="AC3225" s="82" t="s">
        <v>8232</v>
      </c>
      <c r="AD3225" s="77" t="s">
        <v>8285</v>
      </c>
      <c r="AE3225" s="80" t="str">
        <f>HYPERLINK("https://twitter.com/cryptonita_ta/status/1651666688687972354")</f>
        <v>https://twitter.com/cryptonita_ta/status/1651666688687972354</v>
      </c>
      <c r="AF3225" s="79">
        <v>45043.803229166668</v>
      </c>
      <c r="AG3225" s="85">
        <v>45043</v>
      </c>
      <c r="AH3225" s="82" t="s">
        <v>11240</v>
      </c>
      <c r="AI3225" s="77" t="b">
        <v>0</v>
      </c>
      <c r="AJ3225" s="77"/>
      <c r="AK3225" s="77"/>
      <c r="AL3225" s="77"/>
      <c r="AM3225" s="77"/>
      <c r="AN3225" s="77"/>
      <c r="AO3225" s="77"/>
      <c r="AP3225" s="77"/>
      <c r="AQ3225" s="77" t="s">
        <v>13036</v>
      </c>
      <c r="AR3225" s="77"/>
      <c r="AS3225" s="77"/>
      <c r="AT3225" s="77"/>
      <c r="AU3225" s="77"/>
      <c r="AV3225" s="80" t="str">
        <f>HYPERLINK("https://pbs.twimg.com/media/Fuvl9T0WAAAlC6B.png")</f>
        <v>https://pbs.twimg.com/media/Fuvl9T0WAAAlC6B.png</v>
      </c>
      <c r="AW3225" s="82" t="s">
        <v>16309</v>
      </c>
      <c r="AX3225" s="82" t="s">
        <v>16309</v>
      </c>
      <c r="AY3225" s="77"/>
      <c r="AZ3225" s="82" t="s">
        <v>17385</v>
      </c>
      <c r="BA3225" s="82" t="s">
        <v>17385</v>
      </c>
      <c r="BB3225" s="82" t="s">
        <v>17385</v>
      </c>
      <c r="BC3225" s="82" t="s">
        <v>16309</v>
      </c>
      <c r="BD3225" s="77">
        <v>52359184</v>
      </c>
      <c r="BE3225" s="77"/>
      <c r="BF3225" s="77"/>
      <c r="BG3225" s="77"/>
      <c r="BH3225" s="77"/>
      <c r="BI3225" s="77"/>
    </row>
    <row r="3226" spans="1:61" x14ac:dyDescent="0.25">
      <c r="A3226" s="62" t="s">
        <v>695</v>
      </c>
      <c r="B3226" s="62" t="s">
        <v>695</v>
      </c>
      <c r="C3226" s="63"/>
      <c r="D3226" s="64"/>
      <c r="E3226" s="65"/>
      <c r="F3226" s="66"/>
      <c r="G3226" s="63"/>
      <c r="H3226" s="67"/>
      <c r="I3226" s="68"/>
      <c r="J3226" s="68"/>
      <c r="K3226" s="32"/>
      <c r="L3226" s="75">
        <v>3226</v>
      </c>
      <c r="M3226" s="75"/>
      <c r="N3226" s="70"/>
      <c r="O3226" s="77" t="s">
        <v>179</v>
      </c>
      <c r="P3226" s="79">
        <v>45051.828518518516</v>
      </c>
      <c r="Q3226" s="77" t="s">
        <v>4000</v>
      </c>
      <c r="R3226" s="77">
        <v>0</v>
      </c>
      <c r="S3226" s="77">
        <v>1</v>
      </c>
      <c r="T3226" s="77">
        <v>0</v>
      </c>
      <c r="U3226" s="77">
        <v>0</v>
      </c>
      <c r="V3226" s="77">
        <v>65</v>
      </c>
      <c r="W3226" s="82" t="s">
        <v>6544</v>
      </c>
      <c r="X3226" s="77"/>
      <c r="Y3226" s="77"/>
      <c r="Z3226" s="77"/>
      <c r="AA3226" s="77" t="s">
        <v>8152</v>
      </c>
      <c r="AB3226" s="77" t="s">
        <v>8225</v>
      </c>
      <c r="AC3226" s="82" t="s">
        <v>8232</v>
      </c>
      <c r="AD3226" s="77" t="s">
        <v>8285</v>
      </c>
      <c r="AE3226" s="80" t="str">
        <f>HYPERLINK("https://twitter.com/cryptonita_ta/status/1654574956427067395")</f>
        <v>https://twitter.com/cryptonita_ta/status/1654574956427067395</v>
      </c>
      <c r="AF3226" s="79">
        <v>45051.828518518516</v>
      </c>
      <c r="AG3226" s="85">
        <v>45051</v>
      </c>
      <c r="AH3226" s="82" t="s">
        <v>11241</v>
      </c>
      <c r="AI3226" s="77" t="b">
        <v>0</v>
      </c>
      <c r="AJ3226" s="77"/>
      <c r="AK3226" s="77"/>
      <c r="AL3226" s="77"/>
      <c r="AM3226" s="77"/>
      <c r="AN3226" s="77"/>
      <c r="AO3226" s="77"/>
      <c r="AP3226" s="77"/>
      <c r="AQ3226" s="77" t="s">
        <v>13037</v>
      </c>
      <c r="AR3226" s="77"/>
      <c r="AS3226" s="77"/>
      <c r="AT3226" s="77"/>
      <c r="AU3226" s="77"/>
      <c r="AV3226" s="80" t="str">
        <f>HYPERLINK("https://pbs.twimg.com/media/FvY7DfbWYAAd6B2.png")</f>
        <v>https://pbs.twimg.com/media/FvY7DfbWYAAd6B2.png</v>
      </c>
      <c r="AW3226" s="82" t="s">
        <v>16310</v>
      </c>
      <c r="AX3226" s="82" t="s">
        <v>16310</v>
      </c>
      <c r="AY3226" s="77"/>
      <c r="AZ3226" s="82" t="s">
        <v>17385</v>
      </c>
      <c r="BA3226" s="82" t="s">
        <v>17385</v>
      </c>
      <c r="BB3226" s="82" t="s">
        <v>17385</v>
      </c>
      <c r="BC3226" s="82" t="s">
        <v>16310</v>
      </c>
      <c r="BD3226" s="77">
        <v>52359184</v>
      </c>
      <c r="BE3226" s="77"/>
      <c r="BF3226" s="77"/>
      <c r="BG3226" s="77"/>
      <c r="BH3226" s="77"/>
      <c r="BI3226" s="77"/>
    </row>
    <row r="3227" spans="1:61" x14ac:dyDescent="0.25">
      <c r="A3227" s="62" t="s">
        <v>695</v>
      </c>
      <c r="B3227" s="62" t="s">
        <v>695</v>
      </c>
      <c r="C3227" s="63"/>
      <c r="D3227" s="64"/>
      <c r="E3227" s="65"/>
      <c r="F3227" s="66"/>
      <c r="G3227" s="63"/>
      <c r="H3227" s="67"/>
      <c r="I3227" s="68"/>
      <c r="J3227" s="68"/>
      <c r="K3227" s="32"/>
      <c r="L3227" s="75">
        <v>3227</v>
      </c>
      <c r="M3227" s="75"/>
      <c r="N3227" s="70"/>
      <c r="O3227" s="77" t="s">
        <v>179</v>
      </c>
      <c r="P3227" s="79">
        <v>45051.825150462966</v>
      </c>
      <c r="Q3227" s="77" t="s">
        <v>4001</v>
      </c>
      <c r="R3227" s="77">
        <v>0</v>
      </c>
      <c r="S3227" s="77">
        <v>0</v>
      </c>
      <c r="T3227" s="77">
        <v>0</v>
      </c>
      <c r="U3227" s="77">
        <v>0</v>
      </c>
      <c r="V3227" s="77">
        <v>34</v>
      </c>
      <c r="W3227" s="82" t="s">
        <v>6544</v>
      </c>
      <c r="X3227" s="77"/>
      <c r="Y3227" s="77"/>
      <c r="Z3227" s="77"/>
      <c r="AA3227" s="77" t="s">
        <v>8153</v>
      </c>
      <c r="AB3227" s="77" t="s">
        <v>8225</v>
      </c>
      <c r="AC3227" s="82" t="s">
        <v>8232</v>
      </c>
      <c r="AD3227" s="77" t="s">
        <v>8285</v>
      </c>
      <c r="AE3227" s="80" t="str">
        <f>HYPERLINK("https://twitter.com/cryptonita_ta/status/1654573735855157248")</f>
        <v>https://twitter.com/cryptonita_ta/status/1654573735855157248</v>
      </c>
      <c r="AF3227" s="79">
        <v>45051.825150462966</v>
      </c>
      <c r="AG3227" s="85">
        <v>45051</v>
      </c>
      <c r="AH3227" s="82" t="s">
        <v>11242</v>
      </c>
      <c r="AI3227" s="77" t="b">
        <v>0</v>
      </c>
      <c r="AJ3227" s="77"/>
      <c r="AK3227" s="77"/>
      <c r="AL3227" s="77"/>
      <c r="AM3227" s="77"/>
      <c r="AN3227" s="77"/>
      <c r="AO3227" s="77"/>
      <c r="AP3227" s="77"/>
      <c r="AQ3227" s="77" t="s">
        <v>13038</v>
      </c>
      <c r="AR3227" s="77"/>
      <c r="AS3227" s="77"/>
      <c r="AT3227" s="77"/>
      <c r="AU3227" s="77"/>
      <c r="AV3227" s="80" t="str">
        <f>HYPERLINK("https://pbs.twimg.com/media/FvY59IpXoAEzOon.png")</f>
        <v>https://pbs.twimg.com/media/FvY59IpXoAEzOon.png</v>
      </c>
      <c r="AW3227" s="82" t="s">
        <v>16311</v>
      </c>
      <c r="AX3227" s="82" t="s">
        <v>16311</v>
      </c>
      <c r="AY3227" s="77"/>
      <c r="AZ3227" s="82" t="s">
        <v>17385</v>
      </c>
      <c r="BA3227" s="82" t="s">
        <v>17385</v>
      </c>
      <c r="BB3227" s="82" t="s">
        <v>17385</v>
      </c>
      <c r="BC3227" s="82" t="s">
        <v>16311</v>
      </c>
      <c r="BD3227" s="77">
        <v>52359184</v>
      </c>
      <c r="BE3227" s="77"/>
      <c r="BF3227" s="77"/>
      <c r="BG3227" s="77"/>
      <c r="BH3227" s="77"/>
      <c r="BI3227" s="77"/>
    </row>
    <row r="3228" spans="1:61" x14ac:dyDescent="0.25">
      <c r="A3228" s="62" t="s">
        <v>695</v>
      </c>
      <c r="B3228" s="62" t="s">
        <v>695</v>
      </c>
      <c r="C3228" s="63"/>
      <c r="D3228" s="64"/>
      <c r="E3228" s="65"/>
      <c r="F3228" s="66"/>
      <c r="G3228" s="63"/>
      <c r="H3228" s="67"/>
      <c r="I3228" s="68"/>
      <c r="J3228" s="68"/>
      <c r="K3228" s="32"/>
      <c r="L3228" s="75">
        <v>3228</v>
      </c>
      <c r="M3228" s="75"/>
      <c r="N3228" s="70"/>
      <c r="O3228" s="77" t="s">
        <v>179</v>
      </c>
      <c r="P3228" s="79">
        <v>45051.822210648148</v>
      </c>
      <c r="Q3228" s="77" t="s">
        <v>4002</v>
      </c>
      <c r="R3228" s="77">
        <v>0</v>
      </c>
      <c r="S3228" s="77">
        <v>0</v>
      </c>
      <c r="T3228" s="77">
        <v>0</v>
      </c>
      <c r="U3228" s="77">
        <v>0</v>
      </c>
      <c r="V3228" s="77">
        <v>36</v>
      </c>
      <c r="W3228" s="82" t="s">
        <v>6544</v>
      </c>
      <c r="X3228" s="77"/>
      <c r="Y3228" s="77"/>
      <c r="Z3228" s="77"/>
      <c r="AA3228" s="77" t="s">
        <v>8154</v>
      </c>
      <c r="AB3228" s="77" t="s">
        <v>8225</v>
      </c>
      <c r="AC3228" s="82" t="s">
        <v>8232</v>
      </c>
      <c r="AD3228" s="77" t="s">
        <v>8285</v>
      </c>
      <c r="AE3228" s="80" t="str">
        <f>HYPERLINK("https://twitter.com/cryptonita_ta/status/1654572668622893057")</f>
        <v>https://twitter.com/cryptonita_ta/status/1654572668622893057</v>
      </c>
      <c r="AF3228" s="79">
        <v>45051.822210648148</v>
      </c>
      <c r="AG3228" s="85">
        <v>45051</v>
      </c>
      <c r="AH3228" s="82" t="s">
        <v>10310</v>
      </c>
      <c r="AI3228" s="77" t="b">
        <v>0</v>
      </c>
      <c r="AJ3228" s="77"/>
      <c r="AK3228" s="77"/>
      <c r="AL3228" s="77"/>
      <c r="AM3228" s="77"/>
      <c r="AN3228" s="77"/>
      <c r="AO3228" s="77"/>
      <c r="AP3228" s="77"/>
      <c r="AQ3228" s="77" t="s">
        <v>13039</v>
      </c>
      <c r="AR3228" s="77"/>
      <c r="AS3228" s="77"/>
      <c r="AT3228" s="77"/>
      <c r="AU3228" s="77"/>
      <c r="AV3228" s="80" t="str">
        <f>HYPERLINK("https://pbs.twimg.com/media/FvY49DKXsAEl4fO.jpg")</f>
        <v>https://pbs.twimg.com/media/FvY49DKXsAEl4fO.jpg</v>
      </c>
      <c r="AW3228" s="82" t="s">
        <v>16312</v>
      </c>
      <c r="AX3228" s="82" t="s">
        <v>16312</v>
      </c>
      <c r="AY3228" s="77"/>
      <c r="AZ3228" s="82" t="s">
        <v>17385</v>
      </c>
      <c r="BA3228" s="82" t="s">
        <v>17385</v>
      </c>
      <c r="BB3228" s="82" t="s">
        <v>17385</v>
      </c>
      <c r="BC3228" s="82" t="s">
        <v>16312</v>
      </c>
      <c r="BD3228" s="77">
        <v>52359184</v>
      </c>
      <c r="BE3228" s="77"/>
      <c r="BF3228" s="77"/>
      <c r="BG3228" s="77"/>
      <c r="BH3228" s="77"/>
      <c r="BI3228" s="77"/>
    </row>
    <row r="3229" spans="1:61" x14ac:dyDescent="0.25">
      <c r="A3229" s="62" t="s">
        <v>695</v>
      </c>
      <c r="B3229" s="62" t="s">
        <v>695</v>
      </c>
      <c r="C3229" s="63"/>
      <c r="D3229" s="64"/>
      <c r="E3229" s="65"/>
      <c r="F3229" s="66"/>
      <c r="G3229" s="63"/>
      <c r="H3229" s="67"/>
      <c r="I3229" s="68"/>
      <c r="J3229" s="68"/>
      <c r="K3229" s="32"/>
      <c r="L3229" s="75">
        <v>3229</v>
      </c>
      <c r="M3229" s="75"/>
      <c r="N3229" s="70"/>
      <c r="O3229" s="77" t="s">
        <v>179</v>
      </c>
      <c r="P3229" s="79">
        <v>45064.003449074073</v>
      </c>
      <c r="Q3229" s="77" t="s">
        <v>4003</v>
      </c>
      <c r="R3229" s="77">
        <v>1</v>
      </c>
      <c r="S3229" s="77">
        <v>1</v>
      </c>
      <c r="T3229" s="77">
        <v>0</v>
      </c>
      <c r="U3229" s="77">
        <v>0</v>
      </c>
      <c r="V3229" s="77">
        <v>156</v>
      </c>
      <c r="W3229" s="82" t="s">
        <v>6547</v>
      </c>
      <c r="X3229" s="77"/>
      <c r="Y3229" s="77"/>
      <c r="Z3229" s="77"/>
      <c r="AA3229" s="77" t="s">
        <v>8155</v>
      </c>
      <c r="AB3229" s="77" t="s">
        <v>8229</v>
      </c>
      <c r="AC3229" s="82" t="s">
        <v>8232</v>
      </c>
      <c r="AD3229" s="77" t="s">
        <v>8285</v>
      </c>
      <c r="AE3229" s="80" t="str">
        <f>HYPERLINK("https://twitter.com/cryptonita_ta/status/1658987001561972743")</f>
        <v>https://twitter.com/cryptonita_ta/status/1658987001561972743</v>
      </c>
      <c r="AF3229" s="79">
        <v>45064.003449074073</v>
      </c>
      <c r="AG3229" s="85">
        <v>45064</v>
      </c>
      <c r="AH3229" s="82" t="s">
        <v>11243</v>
      </c>
      <c r="AI3229" s="77" t="b">
        <v>0</v>
      </c>
      <c r="AJ3229" s="77"/>
      <c r="AK3229" s="77"/>
      <c r="AL3229" s="77"/>
      <c r="AM3229" s="77"/>
      <c r="AN3229" s="77"/>
      <c r="AO3229" s="77"/>
      <c r="AP3229" s="77"/>
      <c r="AQ3229" s="77" t="s">
        <v>13040</v>
      </c>
      <c r="AR3229" s="77"/>
      <c r="AS3229" s="77"/>
      <c r="AT3229" s="77"/>
      <c r="AU3229" s="77"/>
      <c r="AV3229" s="80" t="str">
        <f>HYPERLINK("https://pbs.twimg.com/media/FwXnsSTWYAI_0CX.jpg")</f>
        <v>https://pbs.twimg.com/media/FwXnsSTWYAI_0CX.jpg</v>
      </c>
      <c r="AW3229" s="82" t="s">
        <v>16313</v>
      </c>
      <c r="AX3229" s="82" t="s">
        <v>16313</v>
      </c>
      <c r="AY3229" s="77"/>
      <c r="AZ3229" s="82" t="s">
        <v>17385</v>
      </c>
      <c r="BA3229" s="82" t="s">
        <v>17385</v>
      </c>
      <c r="BB3229" s="82" t="s">
        <v>17385</v>
      </c>
      <c r="BC3229" s="82" t="s">
        <v>16313</v>
      </c>
      <c r="BD3229" s="77">
        <v>52359184</v>
      </c>
      <c r="BE3229" s="77"/>
      <c r="BF3229" s="77"/>
      <c r="BG3229" s="77"/>
      <c r="BH3229" s="77"/>
      <c r="BI3229" s="77"/>
    </row>
    <row r="3230" spans="1:61" x14ac:dyDescent="0.25">
      <c r="A3230" s="62" t="s">
        <v>695</v>
      </c>
      <c r="B3230" s="62" t="s">
        <v>695</v>
      </c>
      <c r="C3230" s="63"/>
      <c r="D3230" s="64"/>
      <c r="E3230" s="65"/>
      <c r="F3230" s="66"/>
      <c r="G3230" s="63"/>
      <c r="H3230" s="67"/>
      <c r="I3230" s="68"/>
      <c r="J3230" s="68"/>
      <c r="K3230" s="32"/>
      <c r="L3230" s="75">
        <v>3230</v>
      </c>
      <c r="M3230" s="75"/>
      <c r="N3230" s="70"/>
      <c r="O3230" s="77" t="s">
        <v>179</v>
      </c>
      <c r="P3230" s="79">
        <v>45063.97556712963</v>
      </c>
      <c r="Q3230" s="77" t="s">
        <v>4004</v>
      </c>
      <c r="R3230" s="77">
        <v>1</v>
      </c>
      <c r="S3230" s="77">
        <v>1</v>
      </c>
      <c r="T3230" s="77">
        <v>0</v>
      </c>
      <c r="U3230" s="77">
        <v>0</v>
      </c>
      <c r="V3230" s="77">
        <v>59</v>
      </c>
      <c r="W3230" s="82" t="s">
        <v>6547</v>
      </c>
      <c r="X3230" s="77"/>
      <c r="Y3230" s="77"/>
      <c r="Z3230" s="77"/>
      <c r="AA3230" s="77" t="s">
        <v>8156</v>
      </c>
      <c r="AB3230" s="77" t="s">
        <v>8225</v>
      </c>
      <c r="AC3230" s="82" t="s">
        <v>8232</v>
      </c>
      <c r="AD3230" s="77" t="s">
        <v>8278</v>
      </c>
      <c r="AE3230" s="80" t="str">
        <f>HYPERLINK("https://twitter.com/cryptonita_ta/status/1658976896414019584")</f>
        <v>https://twitter.com/cryptonita_ta/status/1658976896414019584</v>
      </c>
      <c r="AF3230" s="79">
        <v>45063.97556712963</v>
      </c>
      <c r="AG3230" s="85">
        <v>45063</v>
      </c>
      <c r="AH3230" s="82" t="s">
        <v>11244</v>
      </c>
      <c r="AI3230" s="77" t="b">
        <v>0</v>
      </c>
      <c r="AJ3230" s="77"/>
      <c r="AK3230" s="77"/>
      <c r="AL3230" s="77"/>
      <c r="AM3230" s="77"/>
      <c r="AN3230" s="77"/>
      <c r="AO3230" s="77"/>
      <c r="AP3230" s="77"/>
      <c r="AQ3230" s="77" t="s">
        <v>13041</v>
      </c>
      <c r="AR3230" s="77"/>
      <c r="AS3230" s="77"/>
      <c r="AT3230" s="77"/>
      <c r="AU3230" s="77"/>
      <c r="AV3230" s="80" t="str">
        <f>HYPERLINK("https://pbs.twimg.com/media/FwXeAWeXsAAEW1-.png")</f>
        <v>https://pbs.twimg.com/media/FwXeAWeXsAAEW1-.png</v>
      </c>
      <c r="AW3230" s="82" t="s">
        <v>16314</v>
      </c>
      <c r="AX3230" s="82" t="s">
        <v>16314</v>
      </c>
      <c r="AY3230" s="77"/>
      <c r="AZ3230" s="82" t="s">
        <v>17385</v>
      </c>
      <c r="BA3230" s="82" t="s">
        <v>17385</v>
      </c>
      <c r="BB3230" s="82" t="s">
        <v>17385</v>
      </c>
      <c r="BC3230" s="82" t="s">
        <v>16314</v>
      </c>
      <c r="BD3230" s="77">
        <v>52359184</v>
      </c>
      <c r="BE3230" s="77"/>
      <c r="BF3230" s="77"/>
      <c r="BG3230" s="77"/>
      <c r="BH3230" s="77"/>
      <c r="BI3230" s="77"/>
    </row>
    <row r="3231" spans="1:61" x14ac:dyDescent="0.25">
      <c r="A3231" s="62" t="s">
        <v>695</v>
      </c>
      <c r="B3231" s="62" t="s">
        <v>695</v>
      </c>
      <c r="C3231" s="63"/>
      <c r="D3231" s="64"/>
      <c r="E3231" s="65"/>
      <c r="F3231" s="66"/>
      <c r="G3231" s="63"/>
      <c r="H3231" s="67"/>
      <c r="I3231" s="68"/>
      <c r="J3231" s="68"/>
      <c r="K3231" s="32"/>
      <c r="L3231" s="75">
        <v>3231</v>
      </c>
      <c r="M3231" s="75"/>
      <c r="N3231" s="70"/>
      <c r="O3231" s="77" t="s">
        <v>179</v>
      </c>
      <c r="P3231" s="79">
        <v>45063.920034722221</v>
      </c>
      <c r="Q3231" s="77" t="s">
        <v>4005</v>
      </c>
      <c r="R3231" s="77">
        <v>1</v>
      </c>
      <c r="S3231" s="77">
        <v>1</v>
      </c>
      <c r="T3231" s="77">
        <v>0</v>
      </c>
      <c r="U3231" s="77">
        <v>0</v>
      </c>
      <c r="V3231" s="77">
        <v>59</v>
      </c>
      <c r="W3231" s="82" t="s">
        <v>6544</v>
      </c>
      <c r="X3231" s="77"/>
      <c r="Y3231" s="77"/>
      <c r="Z3231" s="77"/>
      <c r="AA3231" s="77" t="s">
        <v>8157</v>
      </c>
      <c r="AB3231" s="77" t="s">
        <v>8225</v>
      </c>
      <c r="AC3231" s="82" t="s">
        <v>8234</v>
      </c>
      <c r="AD3231" s="77" t="s">
        <v>8285</v>
      </c>
      <c r="AE3231" s="80" t="str">
        <f>HYPERLINK("https://twitter.com/cryptonita_ta/status/1658956773179510784")</f>
        <v>https://twitter.com/cryptonita_ta/status/1658956773179510784</v>
      </c>
      <c r="AF3231" s="79">
        <v>45063.920034722221</v>
      </c>
      <c r="AG3231" s="85">
        <v>45063</v>
      </c>
      <c r="AH3231" s="82" t="s">
        <v>11245</v>
      </c>
      <c r="AI3231" s="77" t="b">
        <v>0</v>
      </c>
      <c r="AJ3231" s="77"/>
      <c r="AK3231" s="77"/>
      <c r="AL3231" s="77"/>
      <c r="AM3231" s="77"/>
      <c r="AN3231" s="77"/>
      <c r="AO3231" s="77"/>
      <c r="AP3231" s="77"/>
      <c r="AQ3231" s="77" t="s">
        <v>13042</v>
      </c>
      <c r="AR3231" s="77"/>
      <c r="AS3231" s="77"/>
      <c r="AT3231" s="77"/>
      <c r="AU3231" s="77"/>
      <c r="AV3231" s="80" t="str">
        <f>HYPERLINK("https://pbs.twimg.com/media/FwXMZF3WYAA9E_H.jpg")</f>
        <v>https://pbs.twimg.com/media/FwXMZF3WYAA9E_H.jpg</v>
      </c>
      <c r="AW3231" s="82" t="s">
        <v>16315</v>
      </c>
      <c r="AX3231" s="82" t="s">
        <v>16315</v>
      </c>
      <c r="AY3231" s="77"/>
      <c r="AZ3231" s="82" t="s">
        <v>17385</v>
      </c>
      <c r="BA3231" s="82" t="s">
        <v>17385</v>
      </c>
      <c r="BB3231" s="82" t="s">
        <v>17385</v>
      </c>
      <c r="BC3231" s="82" t="s">
        <v>16315</v>
      </c>
      <c r="BD3231" s="77">
        <v>52359184</v>
      </c>
      <c r="BE3231" s="77"/>
      <c r="BF3231" s="77"/>
      <c r="BG3231" s="77"/>
      <c r="BH3231" s="77"/>
      <c r="BI3231" s="77"/>
    </row>
    <row r="3232" spans="1:61" x14ac:dyDescent="0.25">
      <c r="A3232" s="62" t="s">
        <v>695</v>
      </c>
      <c r="B3232" s="62" t="s">
        <v>695</v>
      </c>
      <c r="C3232" s="63"/>
      <c r="D3232" s="64"/>
      <c r="E3232" s="65"/>
      <c r="F3232" s="66"/>
      <c r="G3232" s="63"/>
      <c r="H3232" s="67"/>
      <c r="I3232" s="68"/>
      <c r="J3232" s="68"/>
      <c r="K3232" s="32"/>
      <c r="L3232" s="75">
        <v>3232</v>
      </c>
      <c r="M3232" s="75"/>
      <c r="N3232" s="70"/>
      <c r="O3232" s="77" t="s">
        <v>179</v>
      </c>
      <c r="P3232" s="79">
        <v>45063.919502314813</v>
      </c>
      <c r="Q3232" s="77" t="s">
        <v>4006</v>
      </c>
      <c r="R3232" s="77">
        <v>1</v>
      </c>
      <c r="S3232" s="77">
        <v>2</v>
      </c>
      <c r="T3232" s="77">
        <v>0</v>
      </c>
      <c r="U3232" s="77">
        <v>0</v>
      </c>
      <c r="V3232" s="77">
        <v>63</v>
      </c>
      <c r="W3232" s="82" t="s">
        <v>6544</v>
      </c>
      <c r="X3232" s="77"/>
      <c r="Y3232" s="77"/>
      <c r="Z3232" s="77"/>
      <c r="AA3232" s="77" t="s">
        <v>8158</v>
      </c>
      <c r="AB3232" s="77" t="s">
        <v>8225</v>
      </c>
      <c r="AC3232" s="82" t="s">
        <v>8234</v>
      </c>
      <c r="AD3232" s="77" t="s">
        <v>8285</v>
      </c>
      <c r="AE3232" s="80" t="str">
        <f>HYPERLINK("https://twitter.com/cryptonita_ta/status/1658956582615412737")</f>
        <v>https://twitter.com/cryptonita_ta/status/1658956582615412737</v>
      </c>
      <c r="AF3232" s="79">
        <v>45063.919502314813</v>
      </c>
      <c r="AG3232" s="85">
        <v>45063</v>
      </c>
      <c r="AH3232" s="82" t="s">
        <v>11246</v>
      </c>
      <c r="AI3232" s="77" t="b">
        <v>0</v>
      </c>
      <c r="AJ3232" s="77"/>
      <c r="AK3232" s="77"/>
      <c r="AL3232" s="77"/>
      <c r="AM3232" s="77"/>
      <c r="AN3232" s="77"/>
      <c r="AO3232" s="77"/>
      <c r="AP3232" s="77"/>
      <c r="AQ3232" s="77" t="s">
        <v>13043</v>
      </c>
      <c r="AR3232" s="77"/>
      <c r="AS3232" s="77"/>
      <c r="AT3232" s="77"/>
      <c r="AU3232" s="77"/>
      <c r="AV3232" s="80" t="str">
        <f>HYPERLINK("https://pbs.twimg.com/media/FwXMHbaX0AQmefT.jpg")</f>
        <v>https://pbs.twimg.com/media/FwXMHbaX0AQmefT.jpg</v>
      </c>
      <c r="AW3232" s="82" t="s">
        <v>16316</v>
      </c>
      <c r="AX3232" s="82" t="s">
        <v>16316</v>
      </c>
      <c r="AY3232" s="77"/>
      <c r="AZ3232" s="82" t="s">
        <v>17385</v>
      </c>
      <c r="BA3232" s="82" t="s">
        <v>17385</v>
      </c>
      <c r="BB3232" s="82" t="s">
        <v>17385</v>
      </c>
      <c r="BC3232" s="82" t="s">
        <v>16316</v>
      </c>
      <c r="BD3232" s="77">
        <v>52359184</v>
      </c>
      <c r="BE3232" s="77"/>
      <c r="BF3232" s="77"/>
      <c r="BG3232" s="77"/>
      <c r="BH3232" s="77"/>
      <c r="BI3232" s="77"/>
    </row>
    <row r="3233" spans="1:61" x14ac:dyDescent="0.25">
      <c r="A3233" s="62" t="s">
        <v>695</v>
      </c>
      <c r="B3233" s="62" t="s">
        <v>695</v>
      </c>
      <c r="C3233" s="63"/>
      <c r="D3233" s="64"/>
      <c r="E3233" s="65"/>
      <c r="F3233" s="66"/>
      <c r="G3233" s="63"/>
      <c r="H3233" s="67"/>
      <c r="I3233" s="68"/>
      <c r="J3233" s="68"/>
      <c r="K3233" s="32"/>
      <c r="L3233" s="75">
        <v>3233</v>
      </c>
      <c r="M3233" s="75"/>
      <c r="N3233" s="70"/>
      <c r="O3233" s="77" t="s">
        <v>179</v>
      </c>
      <c r="P3233" s="79">
        <v>45057.596828703703</v>
      </c>
      <c r="Q3233" s="77" t="s">
        <v>4007</v>
      </c>
      <c r="R3233" s="77">
        <v>1</v>
      </c>
      <c r="S3233" s="77">
        <v>1</v>
      </c>
      <c r="T3233" s="77">
        <v>0</v>
      </c>
      <c r="U3233" s="77">
        <v>0</v>
      </c>
      <c r="V3233" s="77">
        <v>81</v>
      </c>
      <c r="W3233" s="82" t="s">
        <v>6544</v>
      </c>
      <c r="X3233" s="77"/>
      <c r="Y3233" s="77"/>
      <c r="Z3233" s="77"/>
      <c r="AA3233" s="77" t="s">
        <v>8159</v>
      </c>
      <c r="AB3233" s="77" t="s">
        <v>8225</v>
      </c>
      <c r="AC3233" s="82" t="s">
        <v>8273</v>
      </c>
      <c r="AD3233" s="77" t="s">
        <v>8285</v>
      </c>
      <c r="AE3233" s="80" t="str">
        <f>HYPERLINK("https://twitter.com/cryptonita_ta/status/1656665320986386433")</f>
        <v>https://twitter.com/cryptonita_ta/status/1656665320986386433</v>
      </c>
      <c r="AF3233" s="79">
        <v>45057.596828703703</v>
      </c>
      <c r="AG3233" s="85">
        <v>45057</v>
      </c>
      <c r="AH3233" s="82" t="s">
        <v>11247</v>
      </c>
      <c r="AI3233" s="77" t="b">
        <v>0</v>
      </c>
      <c r="AJ3233" s="77"/>
      <c r="AK3233" s="77"/>
      <c r="AL3233" s="77"/>
      <c r="AM3233" s="77"/>
      <c r="AN3233" s="77"/>
      <c r="AO3233" s="77"/>
      <c r="AP3233" s="77"/>
      <c r="AQ3233" s="77" t="s">
        <v>13044</v>
      </c>
      <c r="AR3233" s="77"/>
      <c r="AS3233" s="77"/>
      <c r="AT3233" s="77"/>
      <c r="AU3233" s="77"/>
      <c r="AV3233" s="80" t="str">
        <f>HYPERLINK("https://pbs.twimg.com/media/Fv2oVIxXoAAdRvT.jpg")</f>
        <v>https://pbs.twimg.com/media/Fv2oVIxXoAAdRvT.jpg</v>
      </c>
      <c r="AW3233" s="82" t="s">
        <v>16317</v>
      </c>
      <c r="AX3233" s="82" t="s">
        <v>16317</v>
      </c>
      <c r="AY3233" s="77"/>
      <c r="AZ3233" s="82" t="s">
        <v>17385</v>
      </c>
      <c r="BA3233" s="82" t="s">
        <v>17385</v>
      </c>
      <c r="BB3233" s="82" t="s">
        <v>17385</v>
      </c>
      <c r="BC3233" s="82" t="s">
        <v>16317</v>
      </c>
      <c r="BD3233" s="77">
        <v>52359184</v>
      </c>
      <c r="BE3233" s="77"/>
      <c r="BF3233" s="77"/>
      <c r="BG3233" s="77"/>
      <c r="BH3233" s="77"/>
      <c r="BI3233" s="77"/>
    </row>
    <row r="3234" spans="1:61" x14ac:dyDescent="0.25">
      <c r="A3234" s="62" t="s">
        <v>695</v>
      </c>
      <c r="B3234" s="62" t="s">
        <v>695</v>
      </c>
      <c r="C3234" s="63"/>
      <c r="D3234" s="64"/>
      <c r="E3234" s="65"/>
      <c r="F3234" s="66"/>
      <c r="G3234" s="63"/>
      <c r="H3234" s="67"/>
      <c r="I3234" s="68"/>
      <c r="J3234" s="68"/>
      <c r="K3234" s="32"/>
      <c r="L3234" s="75">
        <v>3234</v>
      </c>
      <c r="M3234" s="75"/>
      <c r="N3234" s="70"/>
      <c r="O3234" s="77" t="s">
        <v>179</v>
      </c>
      <c r="P3234" s="79">
        <v>45055.799884259257</v>
      </c>
      <c r="Q3234" s="77" t="s">
        <v>4008</v>
      </c>
      <c r="R3234" s="77">
        <v>1</v>
      </c>
      <c r="S3234" s="77">
        <v>1</v>
      </c>
      <c r="T3234" s="77">
        <v>0</v>
      </c>
      <c r="U3234" s="77">
        <v>0</v>
      </c>
      <c r="V3234" s="77">
        <v>52</v>
      </c>
      <c r="W3234" s="82" t="s">
        <v>6544</v>
      </c>
      <c r="X3234" s="77"/>
      <c r="Y3234" s="77"/>
      <c r="Z3234" s="77"/>
      <c r="AA3234" s="77" t="s">
        <v>8160</v>
      </c>
      <c r="AB3234" s="77" t="s">
        <v>8225</v>
      </c>
      <c r="AC3234" s="82" t="s">
        <v>8232</v>
      </c>
      <c r="AD3234" s="77" t="s">
        <v>8285</v>
      </c>
      <c r="AE3234" s="80" t="str">
        <f>HYPERLINK("https://twitter.com/cryptonita_ta/status/1656014131181363207")</f>
        <v>https://twitter.com/cryptonita_ta/status/1656014131181363207</v>
      </c>
      <c r="AF3234" s="79">
        <v>45055.799884259257</v>
      </c>
      <c r="AG3234" s="85">
        <v>45055</v>
      </c>
      <c r="AH3234" s="82" t="s">
        <v>11248</v>
      </c>
      <c r="AI3234" s="77" t="b">
        <v>0</v>
      </c>
      <c r="AJ3234" s="77"/>
      <c r="AK3234" s="77"/>
      <c r="AL3234" s="77"/>
      <c r="AM3234" s="77"/>
      <c r="AN3234" s="77"/>
      <c r="AO3234" s="77"/>
      <c r="AP3234" s="77"/>
      <c r="AQ3234" s="77" t="s">
        <v>13045</v>
      </c>
      <c r="AR3234" s="77"/>
      <c r="AS3234" s="77"/>
      <c r="AT3234" s="77"/>
      <c r="AU3234" s="77"/>
      <c r="AV3234" s="80" t="str">
        <f>HYPERLINK("https://pbs.twimg.com/media/FvtX-XRXoA4_XFY.jpg")</f>
        <v>https://pbs.twimg.com/media/FvtX-XRXoA4_XFY.jpg</v>
      </c>
      <c r="AW3234" s="82" t="s">
        <v>16318</v>
      </c>
      <c r="AX3234" s="82" t="s">
        <v>16318</v>
      </c>
      <c r="AY3234" s="77"/>
      <c r="AZ3234" s="82" t="s">
        <v>17385</v>
      </c>
      <c r="BA3234" s="82" t="s">
        <v>17385</v>
      </c>
      <c r="BB3234" s="82" t="s">
        <v>17385</v>
      </c>
      <c r="BC3234" s="82" t="s">
        <v>16318</v>
      </c>
      <c r="BD3234" s="77">
        <v>52359184</v>
      </c>
      <c r="BE3234" s="77"/>
      <c r="BF3234" s="77"/>
      <c r="BG3234" s="77"/>
      <c r="BH3234" s="77"/>
      <c r="BI3234" s="77"/>
    </row>
    <row r="3235" spans="1:61" x14ac:dyDescent="0.25">
      <c r="A3235" s="62" t="s">
        <v>695</v>
      </c>
      <c r="B3235" s="62" t="s">
        <v>695</v>
      </c>
      <c r="C3235" s="63"/>
      <c r="D3235" s="64"/>
      <c r="E3235" s="65"/>
      <c r="F3235" s="66"/>
      <c r="G3235" s="63"/>
      <c r="H3235" s="67"/>
      <c r="I3235" s="68"/>
      <c r="J3235" s="68"/>
      <c r="K3235" s="32"/>
      <c r="L3235" s="75">
        <v>3235</v>
      </c>
      <c r="M3235" s="75"/>
      <c r="N3235" s="70"/>
      <c r="O3235" s="77" t="s">
        <v>179</v>
      </c>
      <c r="P3235" s="79">
        <v>45055.790081018517</v>
      </c>
      <c r="Q3235" s="77" t="s">
        <v>4009</v>
      </c>
      <c r="R3235" s="77">
        <v>1</v>
      </c>
      <c r="S3235" s="77">
        <v>3</v>
      </c>
      <c r="T3235" s="77">
        <v>1</v>
      </c>
      <c r="U3235" s="77">
        <v>0</v>
      </c>
      <c r="V3235" s="77">
        <v>271</v>
      </c>
      <c r="W3235" s="82" t="s">
        <v>6544</v>
      </c>
      <c r="X3235" s="77"/>
      <c r="Y3235" s="77"/>
      <c r="Z3235" s="77"/>
      <c r="AA3235" s="77" t="s">
        <v>8161</v>
      </c>
      <c r="AB3235" s="77" t="s">
        <v>8225</v>
      </c>
      <c r="AC3235" s="82" t="s">
        <v>8232</v>
      </c>
      <c r="AD3235" s="77" t="s">
        <v>8285</v>
      </c>
      <c r="AE3235" s="80" t="str">
        <f>HYPERLINK("https://twitter.com/cryptonita_ta/status/1656010576059944960")</f>
        <v>https://twitter.com/cryptonita_ta/status/1656010576059944960</v>
      </c>
      <c r="AF3235" s="79">
        <v>45055.790081018517</v>
      </c>
      <c r="AG3235" s="85">
        <v>45055</v>
      </c>
      <c r="AH3235" s="82" t="s">
        <v>11249</v>
      </c>
      <c r="AI3235" s="77" t="b">
        <v>0</v>
      </c>
      <c r="AJ3235" s="77"/>
      <c r="AK3235" s="77"/>
      <c r="AL3235" s="77"/>
      <c r="AM3235" s="77"/>
      <c r="AN3235" s="77"/>
      <c r="AO3235" s="77"/>
      <c r="AP3235" s="77"/>
      <c r="AQ3235" s="77" t="s">
        <v>13046</v>
      </c>
      <c r="AR3235" s="77"/>
      <c r="AS3235" s="77"/>
      <c r="AT3235" s="77"/>
      <c r="AU3235" s="77"/>
      <c r="AV3235" s="80" t="str">
        <f>HYPERLINK("https://pbs.twimg.com/media/FvtUwb8XoAQi-E_.png")</f>
        <v>https://pbs.twimg.com/media/FvtUwb8XoAQi-E_.png</v>
      </c>
      <c r="AW3235" s="82" t="s">
        <v>16319</v>
      </c>
      <c r="AX3235" s="82" t="s">
        <v>16319</v>
      </c>
      <c r="AY3235" s="77"/>
      <c r="AZ3235" s="82" t="s">
        <v>17385</v>
      </c>
      <c r="BA3235" s="82" t="s">
        <v>17385</v>
      </c>
      <c r="BB3235" s="82" t="s">
        <v>17385</v>
      </c>
      <c r="BC3235" s="82" t="s">
        <v>16319</v>
      </c>
      <c r="BD3235" s="77">
        <v>52359184</v>
      </c>
      <c r="BE3235" s="77"/>
      <c r="BF3235" s="77"/>
      <c r="BG3235" s="77"/>
      <c r="BH3235" s="77"/>
      <c r="BI3235" s="77"/>
    </row>
    <row r="3236" spans="1:61" x14ac:dyDescent="0.25">
      <c r="A3236" s="62" t="s">
        <v>696</v>
      </c>
      <c r="B3236" s="62" t="s">
        <v>696</v>
      </c>
      <c r="C3236" s="63"/>
      <c r="D3236" s="64"/>
      <c r="E3236" s="65"/>
      <c r="F3236" s="66"/>
      <c r="G3236" s="63"/>
      <c r="H3236" s="67"/>
      <c r="I3236" s="68"/>
      <c r="J3236" s="68"/>
      <c r="K3236" s="32"/>
      <c r="L3236" s="75">
        <v>3236</v>
      </c>
      <c r="M3236" s="75"/>
      <c r="N3236" s="70"/>
      <c r="O3236" s="77" t="s">
        <v>179</v>
      </c>
      <c r="P3236" s="79">
        <v>45104.564942129633</v>
      </c>
      <c r="Q3236" s="77" t="s">
        <v>4010</v>
      </c>
      <c r="R3236" s="77">
        <v>0</v>
      </c>
      <c r="S3236" s="77">
        <v>0</v>
      </c>
      <c r="T3236" s="77">
        <v>0</v>
      </c>
      <c r="U3236" s="77">
        <v>0</v>
      </c>
      <c r="V3236" s="77">
        <v>25</v>
      </c>
      <c r="W3236" s="82" t="s">
        <v>6548</v>
      </c>
      <c r="X3236" s="77"/>
      <c r="Y3236" s="77"/>
      <c r="Z3236" s="77"/>
      <c r="AA3236" s="77"/>
      <c r="AB3236" s="77"/>
      <c r="AC3236" s="82" t="s">
        <v>8234</v>
      </c>
      <c r="AD3236" s="77" t="s">
        <v>8278</v>
      </c>
      <c r="AE3236" s="80" t="str">
        <f>HYPERLINK("https://twitter.com/dicionario_news/status/1673685995416322048")</f>
        <v>https://twitter.com/dicionario_news/status/1673685995416322048</v>
      </c>
      <c r="AF3236" s="79">
        <v>45104.564942129633</v>
      </c>
      <c r="AG3236" s="85">
        <v>45104</v>
      </c>
      <c r="AH3236" s="82" t="s">
        <v>11250</v>
      </c>
      <c r="AI3236" s="77"/>
      <c r="AJ3236" s="77"/>
      <c r="AK3236" s="77"/>
      <c r="AL3236" s="77"/>
      <c r="AM3236" s="77"/>
      <c r="AN3236" s="77"/>
      <c r="AO3236" s="77"/>
      <c r="AP3236" s="77"/>
      <c r="AQ3236" s="77"/>
      <c r="AR3236" s="77"/>
      <c r="AS3236" s="77"/>
      <c r="AT3236" s="77"/>
      <c r="AU3236" s="77"/>
      <c r="AV3236" s="80" t="str">
        <f>HYPERLINK("https://pbs.twimg.com/profile_images/1670518848431243265/yWhTcweE_normal.jpg")</f>
        <v>https://pbs.twimg.com/profile_images/1670518848431243265/yWhTcweE_normal.jpg</v>
      </c>
      <c r="AW3236" s="82" t="s">
        <v>16320</v>
      </c>
      <c r="AX3236" s="82" t="s">
        <v>16320</v>
      </c>
      <c r="AY3236" s="77"/>
      <c r="AZ3236" s="82" t="s">
        <v>17385</v>
      </c>
      <c r="BA3236" s="82" t="s">
        <v>17385</v>
      </c>
      <c r="BB3236" s="82" t="s">
        <v>17385</v>
      </c>
      <c r="BC3236" s="82" t="s">
        <v>16320</v>
      </c>
      <c r="BD3236" s="82" t="s">
        <v>17697</v>
      </c>
      <c r="BE3236" s="77"/>
      <c r="BF3236" s="77"/>
      <c r="BG3236" s="77"/>
      <c r="BH3236" s="77"/>
      <c r="BI3236" s="77"/>
    </row>
    <row r="3237" spans="1:61" x14ac:dyDescent="0.25">
      <c r="A3237" s="62" t="s">
        <v>605</v>
      </c>
      <c r="B3237" s="62" t="s">
        <v>605</v>
      </c>
      <c r="C3237" s="63"/>
      <c r="D3237" s="64"/>
      <c r="E3237" s="65"/>
      <c r="F3237" s="66"/>
      <c r="G3237" s="63"/>
      <c r="H3237" s="67"/>
      <c r="I3237" s="68"/>
      <c r="J3237" s="68"/>
      <c r="K3237" s="32"/>
      <c r="L3237" s="75">
        <v>3237</v>
      </c>
      <c r="M3237" s="75"/>
      <c r="N3237" s="70"/>
      <c r="O3237" s="77" t="s">
        <v>179</v>
      </c>
      <c r="P3237" s="79">
        <v>45154.589375000003</v>
      </c>
      <c r="Q3237" s="77" t="s">
        <v>4011</v>
      </c>
      <c r="R3237" s="77">
        <v>0</v>
      </c>
      <c r="S3237" s="77">
        <v>1</v>
      </c>
      <c r="T3237" s="77">
        <v>1</v>
      </c>
      <c r="U3237" s="77">
        <v>0</v>
      </c>
      <c r="V3237" s="77">
        <v>968</v>
      </c>
      <c r="W3237" s="82" t="s">
        <v>6549</v>
      </c>
      <c r="X3237" s="80" t="str">
        <f>HYPERLINK("https://www.moneytimes.com.br/magazine-luiza-mglu3-petrobras-petr3-e-outras-77-acoes-integram-novo-indice-da-b3-veja/")</f>
        <v>https://www.moneytimes.com.br/magazine-luiza-mglu3-petrobras-petr3-e-outras-77-acoes-integram-novo-indice-da-b3-veja/</v>
      </c>
      <c r="Y3237" s="77" t="s">
        <v>7053</v>
      </c>
      <c r="Z3237" s="77"/>
      <c r="AA3237" s="77"/>
      <c r="AB3237" s="77"/>
      <c r="AC3237" s="82" t="s">
        <v>8255</v>
      </c>
      <c r="AD3237" s="77" t="s">
        <v>8278</v>
      </c>
      <c r="AE3237" s="80" t="str">
        <f>HYPERLINK("https://twitter.com/leiamoneytimes/status/1691814242393956682")</f>
        <v>https://twitter.com/leiamoneytimes/status/1691814242393956682</v>
      </c>
      <c r="AF3237" s="79">
        <v>45154.589375000003</v>
      </c>
      <c r="AG3237" s="85">
        <v>45154</v>
      </c>
      <c r="AH3237" s="82" t="s">
        <v>11251</v>
      </c>
      <c r="AI3237" s="77" t="b">
        <v>0</v>
      </c>
      <c r="AJ3237" s="77"/>
      <c r="AK3237" s="77"/>
      <c r="AL3237" s="77"/>
      <c r="AM3237" s="77"/>
      <c r="AN3237" s="77"/>
      <c r="AO3237" s="77"/>
      <c r="AP3237" s="77"/>
      <c r="AQ3237" s="77"/>
      <c r="AR3237" s="77"/>
      <c r="AS3237" s="77"/>
      <c r="AT3237" s="77"/>
      <c r="AU3237" s="77"/>
      <c r="AV3237" s="80" t="str">
        <f>HYPERLINK("https://pbs.twimg.com/profile_images/1559883556846977024/bXHnQFY0_normal.jpg")</f>
        <v>https://pbs.twimg.com/profile_images/1559883556846977024/bXHnQFY0_normal.jpg</v>
      </c>
      <c r="AW3237" s="82" t="s">
        <v>16321</v>
      </c>
      <c r="AX3237" s="82" t="s">
        <v>16321</v>
      </c>
      <c r="AY3237" s="77"/>
      <c r="AZ3237" s="82" t="s">
        <v>17385</v>
      </c>
      <c r="BA3237" s="82" t="s">
        <v>17385</v>
      </c>
      <c r="BB3237" s="82" t="s">
        <v>17385</v>
      </c>
      <c r="BC3237" s="82" t="s">
        <v>16321</v>
      </c>
      <c r="BD3237" s="77">
        <v>51150679</v>
      </c>
      <c r="BE3237" s="77"/>
      <c r="BF3237" s="77"/>
      <c r="BG3237" s="77"/>
      <c r="BH3237" s="77"/>
      <c r="BI3237" s="77"/>
    </row>
    <row r="3238" spans="1:61" x14ac:dyDescent="0.25">
      <c r="A3238" s="62" t="s">
        <v>605</v>
      </c>
      <c r="B3238" s="62" t="s">
        <v>605</v>
      </c>
      <c r="C3238" s="63"/>
      <c r="D3238" s="64"/>
      <c r="E3238" s="65"/>
      <c r="F3238" s="66"/>
      <c r="G3238" s="63"/>
      <c r="H3238" s="67"/>
      <c r="I3238" s="68"/>
      <c r="J3238" s="68"/>
      <c r="K3238" s="32"/>
      <c r="L3238" s="75">
        <v>3238</v>
      </c>
      <c r="M3238" s="75"/>
      <c r="N3238" s="70"/>
      <c r="O3238" s="77" t="s">
        <v>179</v>
      </c>
      <c r="P3238" s="79">
        <v>45152.934444444443</v>
      </c>
      <c r="Q3238" s="77" t="s">
        <v>4012</v>
      </c>
      <c r="R3238" s="77">
        <v>0</v>
      </c>
      <c r="S3238" s="77">
        <v>5</v>
      </c>
      <c r="T3238" s="77">
        <v>1</v>
      </c>
      <c r="U3238" s="77">
        <v>0</v>
      </c>
      <c r="V3238" s="77">
        <v>1523</v>
      </c>
      <c r="W3238" s="82" t="s">
        <v>6550</v>
      </c>
      <c r="X3238" s="80" t="str">
        <f>HYPERLINK("https://www.moneytimes.com.br/dynamo-vende-acoes-de-empresa-que-amargou-prejuizo-no-2t23/")</f>
        <v>https://www.moneytimes.com.br/dynamo-vende-acoes-de-empresa-que-amargou-prejuizo-no-2t23/</v>
      </c>
      <c r="Y3238" s="77" t="s">
        <v>7053</v>
      </c>
      <c r="Z3238" s="77"/>
      <c r="AA3238" s="77"/>
      <c r="AB3238" s="77"/>
      <c r="AC3238" s="82" t="s">
        <v>8255</v>
      </c>
      <c r="AD3238" s="77" t="s">
        <v>8278</v>
      </c>
      <c r="AE3238" s="80" t="str">
        <f>HYPERLINK("https://twitter.com/leiamoneytimes/status/1691214514207817728")</f>
        <v>https://twitter.com/leiamoneytimes/status/1691214514207817728</v>
      </c>
      <c r="AF3238" s="79">
        <v>45152.934444444443</v>
      </c>
      <c r="AG3238" s="85">
        <v>45152</v>
      </c>
      <c r="AH3238" s="82" t="s">
        <v>11252</v>
      </c>
      <c r="AI3238" s="77" t="b">
        <v>0</v>
      </c>
      <c r="AJ3238" s="77"/>
      <c r="AK3238" s="77"/>
      <c r="AL3238" s="77"/>
      <c r="AM3238" s="77"/>
      <c r="AN3238" s="77"/>
      <c r="AO3238" s="77"/>
      <c r="AP3238" s="77"/>
      <c r="AQ3238" s="77"/>
      <c r="AR3238" s="77"/>
      <c r="AS3238" s="77"/>
      <c r="AT3238" s="77"/>
      <c r="AU3238" s="77"/>
      <c r="AV3238" s="80" t="str">
        <f>HYPERLINK("https://pbs.twimg.com/profile_images/1559883556846977024/bXHnQFY0_normal.jpg")</f>
        <v>https://pbs.twimg.com/profile_images/1559883556846977024/bXHnQFY0_normal.jpg</v>
      </c>
      <c r="AW3238" s="82" t="s">
        <v>16322</v>
      </c>
      <c r="AX3238" s="82" t="s">
        <v>16322</v>
      </c>
      <c r="AY3238" s="77"/>
      <c r="AZ3238" s="82" t="s">
        <v>17385</v>
      </c>
      <c r="BA3238" s="82" t="s">
        <v>17385</v>
      </c>
      <c r="BB3238" s="82" t="s">
        <v>17385</v>
      </c>
      <c r="BC3238" s="82" t="s">
        <v>16322</v>
      </c>
      <c r="BD3238" s="77">
        <v>51150679</v>
      </c>
      <c r="BE3238" s="77"/>
      <c r="BF3238" s="77"/>
      <c r="BG3238" s="77"/>
      <c r="BH3238" s="77"/>
      <c r="BI3238" s="77"/>
    </row>
    <row r="3239" spans="1:61" x14ac:dyDescent="0.25">
      <c r="A3239" s="62" t="s">
        <v>605</v>
      </c>
      <c r="B3239" s="62" t="s">
        <v>605</v>
      </c>
      <c r="C3239" s="63"/>
      <c r="D3239" s="64"/>
      <c r="E3239" s="65"/>
      <c r="F3239" s="66"/>
      <c r="G3239" s="63"/>
      <c r="H3239" s="67"/>
      <c r="I3239" s="68"/>
      <c r="J3239" s="68"/>
      <c r="K3239" s="32"/>
      <c r="L3239" s="75">
        <v>3239</v>
      </c>
      <c r="M3239" s="75"/>
      <c r="N3239" s="70"/>
      <c r="O3239" s="77" t="s">
        <v>179</v>
      </c>
      <c r="P3239" s="79">
        <v>45152.844895833332</v>
      </c>
      <c r="Q3239" s="77" t="s">
        <v>4013</v>
      </c>
      <c r="R3239" s="77">
        <v>0</v>
      </c>
      <c r="S3239" s="77">
        <v>3</v>
      </c>
      <c r="T3239" s="77">
        <v>2</v>
      </c>
      <c r="U3239" s="77">
        <v>0</v>
      </c>
      <c r="V3239" s="77">
        <v>1338</v>
      </c>
      <c r="W3239" s="82" t="s">
        <v>6551</v>
      </c>
      <c r="X3239" s="80" t="str">
        <f>HYPERLINK("https://www.moneytimes.com.br/ibovespa-hoje-fecha-queda-40-anos-resultados-2t23-14-08-2023/")</f>
        <v>https://www.moneytimes.com.br/ibovespa-hoje-fecha-queda-40-anos-resultados-2t23-14-08-2023/</v>
      </c>
      <c r="Y3239" s="77" t="s">
        <v>7053</v>
      </c>
      <c r="Z3239" s="77"/>
      <c r="AA3239" s="77"/>
      <c r="AB3239" s="77"/>
      <c r="AC3239" s="82" t="s">
        <v>8255</v>
      </c>
      <c r="AD3239" s="77" t="s">
        <v>8278</v>
      </c>
      <c r="AE3239" s="80" t="str">
        <f>HYPERLINK("https://twitter.com/leiamoneytimes/status/1691182065851527169")</f>
        <v>https://twitter.com/leiamoneytimes/status/1691182065851527169</v>
      </c>
      <c r="AF3239" s="79">
        <v>45152.844895833332</v>
      </c>
      <c r="AG3239" s="85">
        <v>45152</v>
      </c>
      <c r="AH3239" s="82" t="s">
        <v>11253</v>
      </c>
      <c r="AI3239" s="77" t="b">
        <v>0</v>
      </c>
      <c r="AJ3239" s="77"/>
      <c r="AK3239" s="77"/>
      <c r="AL3239" s="77"/>
      <c r="AM3239" s="77"/>
      <c r="AN3239" s="77"/>
      <c r="AO3239" s="77"/>
      <c r="AP3239" s="77"/>
      <c r="AQ3239" s="77"/>
      <c r="AR3239" s="77"/>
      <c r="AS3239" s="77"/>
      <c r="AT3239" s="77"/>
      <c r="AU3239" s="77"/>
      <c r="AV3239" s="80" t="str">
        <f>HYPERLINK("https://pbs.twimg.com/profile_images/1559883556846977024/bXHnQFY0_normal.jpg")</f>
        <v>https://pbs.twimg.com/profile_images/1559883556846977024/bXHnQFY0_normal.jpg</v>
      </c>
      <c r="AW3239" s="82" t="s">
        <v>16323</v>
      </c>
      <c r="AX3239" s="82" t="s">
        <v>16323</v>
      </c>
      <c r="AY3239" s="77"/>
      <c r="AZ3239" s="82" t="s">
        <v>17385</v>
      </c>
      <c r="BA3239" s="82" t="s">
        <v>17385</v>
      </c>
      <c r="BB3239" s="82" t="s">
        <v>17385</v>
      </c>
      <c r="BC3239" s="82" t="s">
        <v>16323</v>
      </c>
      <c r="BD3239" s="77">
        <v>51150679</v>
      </c>
      <c r="BE3239" s="77"/>
      <c r="BF3239" s="77"/>
      <c r="BG3239" s="77"/>
      <c r="BH3239" s="77"/>
      <c r="BI3239" s="77"/>
    </row>
    <row r="3240" spans="1:61" x14ac:dyDescent="0.25">
      <c r="A3240" s="62" t="s">
        <v>605</v>
      </c>
      <c r="B3240" s="62" t="s">
        <v>605</v>
      </c>
      <c r="C3240" s="63"/>
      <c r="D3240" s="64"/>
      <c r="E3240" s="65"/>
      <c r="F3240" s="66"/>
      <c r="G3240" s="63"/>
      <c r="H3240" s="67"/>
      <c r="I3240" s="68"/>
      <c r="J3240" s="68"/>
      <c r="K3240" s="32"/>
      <c r="L3240" s="75">
        <v>3240</v>
      </c>
      <c r="M3240" s="75"/>
      <c r="N3240" s="70"/>
      <c r="O3240" s="77" t="s">
        <v>179</v>
      </c>
      <c r="P3240" s="79">
        <v>45151.855243055557</v>
      </c>
      <c r="Q3240" s="77" t="s">
        <v>4014</v>
      </c>
      <c r="R3240" s="77">
        <v>0</v>
      </c>
      <c r="S3240" s="77">
        <v>9</v>
      </c>
      <c r="T3240" s="77">
        <v>1</v>
      </c>
      <c r="U3240" s="77">
        <v>0</v>
      </c>
      <c r="V3240" s="77">
        <v>2259</v>
      </c>
      <c r="W3240" s="82" t="s">
        <v>6552</v>
      </c>
      <c r="X3240" s="80" t="str">
        <f>HYPERLINK("https://www.moneytimes.com.br/brf-bfsa3-e-irb-irbr3-agitam-semana-dos-balancos-veja-o-que-esperar-do-periodo/")</f>
        <v>https://www.moneytimes.com.br/brf-bfsa3-e-irb-irbr3-agitam-semana-dos-balancos-veja-o-que-esperar-do-periodo/</v>
      </c>
      <c r="Y3240" s="77" t="s">
        <v>7053</v>
      </c>
      <c r="Z3240" s="77"/>
      <c r="AA3240" s="77"/>
      <c r="AB3240" s="77"/>
      <c r="AC3240" s="82" t="s">
        <v>8255</v>
      </c>
      <c r="AD3240" s="77" t="s">
        <v>8278</v>
      </c>
      <c r="AE3240" s="80" t="str">
        <f>HYPERLINK("https://twitter.com/leiamoneytimes/status/1690823426972303360")</f>
        <v>https://twitter.com/leiamoneytimes/status/1690823426972303360</v>
      </c>
      <c r="AF3240" s="79">
        <v>45151.855243055557</v>
      </c>
      <c r="AG3240" s="85">
        <v>45151</v>
      </c>
      <c r="AH3240" s="82" t="s">
        <v>11254</v>
      </c>
      <c r="AI3240" s="77" t="b">
        <v>0</v>
      </c>
      <c r="AJ3240" s="77"/>
      <c r="AK3240" s="77"/>
      <c r="AL3240" s="77"/>
      <c r="AM3240" s="77"/>
      <c r="AN3240" s="77"/>
      <c r="AO3240" s="77"/>
      <c r="AP3240" s="77"/>
      <c r="AQ3240" s="77"/>
      <c r="AR3240" s="77"/>
      <c r="AS3240" s="77"/>
      <c r="AT3240" s="77"/>
      <c r="AU3240" s="77"/>
      <c r="AV3240" s="80" t="str">
        <f>HYPERLINK("https://pbs.twimg.com/profile_images/1559883556846977024/bXHnQFY0_normal.jpg")</f>
        <v>https://pbs.twimg.com/profile_images/1559883556846977024/bXHnQFY0_normal.jpg</v>
      </c>
      <c r="AW3240" s="82" t="s">
        <v>16324</v>
      </c>
      <c r="AX3240" s="82" t="s">
        <v>16324</v>
      </c>
      <c r="AY3240" s="77"/>
      <c r="AZ3240" s="82" t="s">
        <v>17385</v>
      </c>
      <c r="BA3240" s="82" t="s">
        <v>17385</v>
      </c>
      <c r="BB3240" s="82" t="s">
        <v>17385</v>
      </c>
      <c r="BC3240" s="82" t="s">
        <v>16324</v>
      </c>
      <c r="BD3240" s="77">
        <v>51150679</v>
      </c>
      <c r="BE3240" s="77"/>
      <c r="BF3240" s="77"/>
      <c r="BG3240" s="77"/>
      <c r="BH3240" s="77"/>
      <c r="BI3240" s="77"/>
    </row>
    <row r="3241" spans="1:61" x14ac:dyDescent="0.25">
      <c r="A3241" s="62" t="s">
        <v>605</v>
      </c>
      <c r="B3241" s="62" t="s">
        <v>605</v>
      </c>
      <c r="C3241" s="63"/>
      <c r="D3241" s="64"/>
      <c r="E3241" s="65"/>
      <c r="F3241" s="66"/>
      <c r="G3241" s="63"/>
      <c r="H3241" s="67"/>
      <c r="I3241" s="68"/>
      <c r="J3241" s="68"/>
      <c r="K3241" s="32"/>
      <c r="L3241" s="75">
        <v>3241</v>
      </c>
      <c r="M3241" s="75"/>
      <c r="N3241" s="70"/>
      <c r="O3241" s="77" t="s">
        <v>179</v>
      </c>
      <c r="P3241" s="79">
        <v>45151.783472222225</v>
      </c>
      <c r="Q3241" s="77" t="s">
        <v>4015</v>
      </c>
      <c r="R3241" s="77">
        <v>0</v>
      </c>
      <c r="S3241" s="77">
        <v>2</v>
      </c>
      <c r="T3241" s="77">
        <v>1</v>
      </c>
      <c r="U3241" s="77">
        <v>0</v>
      </c>
      <c r="V3241" s="77">
        <v>1563</v>
      </c>
      <c r="W3241" s="82" t="s">
        <v>6553</v>
      </c>
      <c r="X3241" s="80" t="str">
        <f>HYPERLINK("https://www.moneytimes.com.br/rali-das-acoes-nos-eua-continua-em-2023-nao-sera-facil-agradar-investidor-com-balancos/")</f>
        <v>https://www.moneytimes.com.br/rali-das-acoes-nos-eua-continua-em-2023-nao-sera-facil-agradar-investidor-com-balancos/</v>
      </c>
      <c r="Y3241" s="77" t="s">
        <v>7053</v>
      </c>
      <c r="Z3241" s="77"/>
      <c r="AA3241" s="77"/>
      <c r="AB3241" s="77"/>
      <c r="AC3241" s="82" t="s">
        <v>8255</v>
      </c>
      <c r="AD3241" s="77" t="s">
        <v>8278</v>
      </c>
      <c r="AE3241" s="80" t="str">
        <f>HYPERLINK("https://twitter.com/leiamoneytimes/status/1690797416495112192")</f>
        <v>https://twitter.com/leiamoneytimes/status/1690797416495112192</v>
      </c>
      <c r="AF3241" s="79">
        <v>45151.783472222225</v>
      </c>
      <c r="AG3241" s="85">
        <v>45151</v>
      </c>
      <c r="AH3241" s="82" t="s">
        <v>11255</v>
      </c>
      <c r="AI3241" s="77" t="b">
        <v>0</v>
      </c>
      <c r="AJ3241" s="77"/>
      <c r="AK3241" s="77"/>
      <c r="AL3241" s="77"/>
      <c r="AM3241" s="77"/>
      <c r="AN3241" s="77"/>
      <c r="AO3241" s="77"/>
      <c r="AP3241" s="77"/>
      <c r="AQ3241" s="77"/>
      <c r="AR3241" s="77"/>
      <c r="AS3241" s="77"/>
      <c r="AT3241" s="77"/>
      <c r="AU3241" s="77"/>
      <c r="AV3241" s="80" t="str">
        <f>HYPERLINK("https://pbs.twimg.com/profile_images/1559883556846977024/bXHnQFY0_normal.jpg")</f>
        <v>https://pbs.twimg.com/profile_images/1559883556846977024/bXHnQFY0_normal.jpg</v>
      </c>
      <c r="AW3241" s="82" t="s">
        <v>16325</v>
      </c>
      <c r="AX3241" s="82" t="s">
        <v>16325</v>
      </c>
      <c r="AY3241" s="77"/>
      <c r="AZ3241" s="82" t="s">
        <v>17385</v>
      </c>
      <c r="BA3241" s="82" t="s">
        <v>17385</v>
      </c>
      <c r="BB3241" s="82" t="s">
        <v>17385</v>
      </c>
      <c r="BC3241" s="82" t="s">
        <v>16325</v>
      </c>
      <c r="BD3241" s="77">
        <v>51150679</v>
      </c>
      <c r="BE3241" s="77"/>
      <c r="BF3241" s="77"/>
      <c r="BG3241" s="77"/>
      <c r="BH3241" s="77"/>
      <c r="BI3241" s="77"/>
    </row>
    <row r="3242" spans="1:61" x14ac:dyDescent="0.25">
      <c r="A3242" s="62" t="s">
        <v>605</v>
      </c>
      <c r="B3242" s="62" t="s">
        <v>605</v>
      </c>
      <c r="C3242" s="63"/>
      <c r="D3242" s="64"/>
      <c r="E3242" s="65"/>
      <c r="F3242" s="66"/>
      <c r="G3242" s="63"/>
      <c r="H3242" s="67"/>
      <c r="I3242" s="68"/>
      <c r="J3242" s="68"/>
      <c r="K3242" s="32"/>
      <c r="L3242" s="75">
        <v>3242</v>
      </c>
      <c r="M3242" s="75"/>
      <c r="N3242" s="70"/>
      <c r="O3242" s="77" t="s">
        <v>179</v>
      </c>
      <c r="P3242" s="79">
        <v>45151.618576388886</v>
      </c>
      <c r="Q3242" s="77" t="s">
        <v>4016</v>
      </c>
      <c r="R3242" s="77">
        <v>1</v>
      </c>
      <c r="S3242" s="77">
        <v>2</v>
      </c>
      <c r="T3242" s="77">
        <v>1</v>
      </c>
      <c r="U3242" s="77">
        <v>0</v>
      </c>
      <c r="V3242" s="77">
        <v>2109</v>
      </c>
      <c r="W3242" s="82" t="s">
        <v>6554</v>
      </c>
      <c r="X3242" s="80" t="str">
        <f>HYPERLINK("https://www.moneytimes.com.br/pagbank-renova-carteira-em-80-para-bater-o-ibovespa-na-semana-saiba-em-quais-acoes-apostar/")</f>
        <v>https://www.moneytimes.com.br/pagbank-renova-carteira-em-80-para-bater-o-ibovespa-na-semana-saiba-em-quais-acoes-apostar/</v>
      </c>
      <c r="Y3242" s="77" t="s">
        <v>7053</v>
      </c>
      <c r="Z3242" s="77"/>
      <c r="AA3242" s="77"/>
      <c r="AB3242" s="77"/>
      <c r="AC3242" s="82" t="s">
        <v>8255</v>
      </c>
      <c r="AD3242" s="77" t="s">
        <v>8278</v>
      </c>
      <c r="AE3242" s="80" t="str">
        <f>HYPERLINK("https://twitter.com/leiamoneytimes/status/1690737660854231040")</f>
        <v>https://twitter.com/leiamoneytimes/status/1690737660854231040</v>
      </c>
      <c r="AF3242" s="79">
        <v>45151.618576388886</v>
      </c>
      <c r="AG3242" s="85">
        <v>45151</v>
      </c>
      <c r="AH3242" s="82" t="s">
        <v>11256</v>
      </c>
      <c r="AI3242" s="77" t="b">
        <v>0</v>
      </c>
      <c r="AJ3242" s="77"/>
      <c r="AK3242" s="77"/>
      <c r="AL3242" s="77"/>
      <c r="AM3242" s="77"/>
      <c r="AN3242" s="77"/>
      <c r="AO3242" s="77"/>
      <c r="AP3242" s="77"/>
      <c r="AQ3242" s="77"/>
      <c r="AR3242" s="77"/>
      <c r="AS3242" s="77"/>
      <c r="AT3242" s="77"/>
      <c r="AU3242" s="77"/>
      <c r="AV3242" s="80" t="str">
        <f>HYPERLINK("https://pbs.twimg.com/profile_images/1559883556846977024/bXHnQFY0_normal.jpg")</f>
        <v>https://pbs.twimg.com/profile_images/1559883556846977024/bXHnQFY0_normal.jpg</v>
      </c>
      <c r="AW3242" s="82" t="s">
        <v>16326</v>
      </c>
      <c r="AX3242" s="82" t="s">
        <v>16326</v>
      </c>
      <c r="AY3242" s="77"/>
      <c r="AZ3242" s="82" t="s">
        <v>17385</v>
      </c>
      <c r="BA3242" s="82" t="s">
        <v>17385</v>
      </c>
      <c r="BB3242" s="82" t="s">
        <v>17385</v>
      </c>
      <c r="BC3242" s="82" t="s">
        <v>16326</v>
      </c>
      <c r="BD3242" s="77">
        <v>51150679</v>
      </c>
      <c r="BE3242" s="77"/>
      <c r="BF3242" s="77"/>
      <c r="BG3242" s="77"/>
      <c r="BH3242" s="77"/>
      <c r="BI3242" s="77"/>
    </row>
    <row r="3243" spans="1:61" x14ac:dyDescent="0.25">
      <c r="A3243" s="62" t="s">
        <v>605</v>
      </c>
      <c r="B3243" s="62" t="s">
        <v>605</v>
      </c>
      <c r="C3243" s="63"/>
      <c r="D3243" s="64"/>
      <c r="E3243" s="65"/>
      <c r="F3243" s="66"/>
      <c r="G3243" s="63"/>
      <c r="H3243" s="67"/>
      <c r="I3243" s="68"/>
      <c r="J3243" s="68"/>
      <c r="K3243" s="32"/>
      <c r="L3243" s="75">
        <v>3243</v>
      </c>
      <c r="M3243" s="75"/>
      <c r="N3243" s="70"/>
      <c r="O3243" s="77" t="s">
        <v>179</v>
      </c>
      <c r="P3243" s="79">
        <v>45148.667488425926</v>
      </c>
      <c r="Q3243" s="77" t="s">
        <v>4017</v>
      </c>
      <c r="R3243" s="77">
        <v>0</v>
      </c>
      <c r="S3243" s="77">
        <v>3</v>
      </c>
      <c r="T3243" s="77">
        <v>1</v>
      </c>
      <c r="U3243" s="77">
        <v>0</v>
      </c>
      <c r="V3243" s="77">
        <v>1050</v>
      </c>
      <c r="W3243" s="82" t="s">
        <v>6555</v>
      </c>
      <c r="X3243" s="80" t="str">
        <f>HYPERLINK("https://www.moneytimes.com.br/ibovespa-hoje-agora-braskem-brkm5-dispara-enquanto-grupo-soma-soma3-despenca-10-08-2023/")</f>
        <v>https://www.moneytimes.com.br/ibovespa-hoje-agora-braskem-brkm5-dispara-enquanto-grupo-soma-soma3-despenca-10-08-2023/</v>
      </c>
      <c r="Y3243" s="77" t="s">
        <v>7053</v>
      </c>
      <c r="Z3243" s="77"/>
      <c r="AA3243" s="77"/>
      <c r="AB3243" s="77"/>
      <c r="AC3243" s="82" t="s">
        <v>8255</v>
      </c>
      <c r="AD3243" s="77" t="s">
        <v>8286</v>
      </c>
      <c r="AE3243" s="80" t="str">
        <f>HYPERLINK("https://twitter.com/leiamoneytimes/status/1689668222222491649")</f>
        <v>https://twitter.com/leiamoneytimes/status/1689668222222491649</v>
      </c>
      <c r="AF3243" s="79">
        <v>45148.667488425926</v>
      </c>
      <c r="AG3243" s="85">
        <v>45148</v>
      </c>
      <c r="AH3243" s="82" t="s">
        <v>11257</v>
      </c>
      <c r="AI3243" s="77" t="b">
        <v>0</v>
      </c>
      <c r="AJ3243" s="77"/>
      <c r="AK3243" s="77"/>
      <c r="AL3243" s="77"/>
      <c r="AM3243" s="77"/>
      <c r="AN3243" s="77"/>
      <c r="AO3243" s="77"/>
      <c r="AP3243" s="77"/>
      <c r="AQ3243" s="77"/>
      <c r="AR3243" s="77"/>
      <c r="AS3243" s="77"/>
      <c r="AT3243" s="77"/>
      <c r="AU3243" s="77"/>
      <c r="AV3243" s="80" t="str">
        <f>HYPERLINK("https://pbs.twimg.com/profile_images/1559883556846977024/bXHnQFY0_normal.jpg")</f>
        <v>https://pbs.twimg.com/profile_images/1559883556846977024/bXHnQFY0_normal.jpg</v>
      </c>
      <c r="AW3243" s="82" t="s">
        <v>16327</v>
      </c>
      <c r="AX3243" s="82" t="s">
        <v>16327</v>
      </c>
      <c r="AY3243" s="77"/>
      <c r="AZ3243" s="82" t="s">
        <v>17385</v>
      </c>
      <c r="BA3243" s="82" t="s">
        <v>17385</v>
      </c>
      <c r="BB3243" s="82" t="s">
        <v>17385</v>
      </c>
      <c r="BC3243" s="82" t="s">
        <v>16327</v>
      </c>
      <c r="BD3243" s="77">
        <v>51150679</v>
      </c>
      <c r="BE3243" s="77"/>
      <c r="BF3243" s="77"/>
      <c r="BG3243" s="77"/>
      <c r="BH3243" s="77"/>
      <c r="BI3243" s="77"/>
    </row>
    <row r="3244" spans="1:61" x14ac:dyDescent="0.25">
      <c r="A3244" s="62" t="s">
        <v>605</v>
      </c>
      <c r="B3244" s="62" t="s">
        <v>605</v>
      </c>
      <c r="C3244" s="63"/>
      <c r="D3244" s="64"/>
      <c r="E3244" s="65"/>
      <c r="F3244" s="66"/>
      <c r="G3244" s="63"/>
      <c r="H3244" s="67"/>
      <c r="I3244" s="68"/>
      <c r="J3244" s="68"/>
      <c r="K3244" s="32"/>
      <c r="L3244" s="75">
        <v>3244</v>
      </c>
      <c r="M3244" s="75"/>
      <c r="N3244" s="70"/>
      <c r="O3244" s="77" t="s">
        <v>179</v>
      </c>
      <c r="P3244" s="79">
        <v>45142.848321759258</v>
      </c>
      <c r="Q3244" s="77" t="s">
        <v>4018</v>
      </c>
      <c r="R3244" s="77">
        <v>1</v>
      </c>
      <c r="S3244" s="77">
        <v>4</v>
      </c>
      <c r="T3244" s="77">
        <v>0</v>
      </c>
      <c r="U3244" s="77">
        <v>0</v>
      </c>
      <c r="V3244" s="77">
        <v>1087</v>
      </c>
      <c r="W3244" s="82" t="s">
        <v>6551</v>
      </c>
      <c r="X3244" s="80" t="str">
        <f>HYPERLINK("https://www.moneytimes.com.br/ibovespa-hoje-fecha-queda-119-mil-pontos-petrobras-petr4-bradesco-bbdc4-04-08-2023/")</f>
        <v>https://www.moneytimes.com.br/ibovespa-hoje-fecha-queda-119-mil-pontos-petrobras-petr4-bradesco-bbdc4-04-08-2023/</v>
      </c>
      <c r="Y3244" s="77" t="s">
        <v>7053</v>
      </c>
      <c r="Z3244" s="77"/>
      <c r="AA3244" s="77"/>
      <c r="AB3244" s="77"/>
      <c r="AC3244" s="82" t="s">
        <v>8255</v>
      </c>
      <c r="AD3244" s="77" t="s">
        <v>8278</v>
      </c>
      <c r="AE3244" s="80" t="str">
        <f>HYPERLINK("https://twitter.com/leiamoneytimes/status/1687559428931747840")</f>
        <v>https://twitter.com/leiamoneytimes/status/1687559428931747840</v>
      </c>
      <c r="AF3244" s="79">
        <v>45142.848321759258</v>
      </c>
      <c r="AG3244" s="85">
        <v>45142</v>
      </c>
      <c r="AH3244" s="82" t="s">
        <v>11258</v>
      </c>
      <c r="AI3244" s="77" t="b">
        <v>0</v>
      </c>
      <c r="AJ3244" s="77"/>
      <c r="AK3244" s="77"/>
      <c r="AL3244" s="77"/>
      <c r="AM3244" s="77"/>
      <c r="AN3244" s="77"/>
      <c r="AO3244" s="77"/>
      <c r="AP3244" s="77"/>
      <c r="AQ3244" s="77"/>
      <c r="AR3244" s="77"/>
      <c r="AS3244" s="77"/>
      <c r="AT3244" s="77"/>
      <c r="AU3244" s="77"/>
      <c r="AV3244" s="80" t="str">
        <f>HYPERLINK("https://pbs.twimg.com/profile_images/1559883556846977024/bXHnQFY0_normal.jpg")</f>
        <v>https://pbs.twimg.com/profile_images/1559883556846977024/bXHnQFY0_normal.jpg</v>
      </c>
      <c r="AW3244" s="82" t="s">
        <v>16328</v>
      </c>
      <c r="AX3244" s="82" t="s">
        <v>16328</v>
      </c>
      <c r="AY3244" s="77"/>
      <c r="AZ3244" s="82" t="s">
        <v>17385</v>
      </c>
      <c r="BA3244" s="82" t="s">
        <v>17385</v>
      </c>
      <c r="BB3244" s="82" t="s">
        <v>17385</v>
      </c>
      <c r="BC3244" s="82" t="s">
        <v>16328</v>
      </c>
      <c r="BD3244" s="77">
        <v>51150679</v>
      </c>
      <c r="BE3244" s="77"/>
      <c r="BF3244" s="77"/>
      <c r="BG3244" s="77"/>
      <c r="BH3244" s="77"/>
      <c r="BI3244" s="77"/>
    </row>
    <row r="3245" spans="1:61" x14ac:dyDescent="0.25">
      <c r="A3245" s="62" t="s">
        <v>605</v>
      </c>
      <c r="B3245" s="62" t="s">
        <v>605</v>
      </c>
      <c r="C3245" s="63"/>
      <c r="D3245" s="64"/>
      <c r="E3245" s="65"/>
      <c r="F3245" s="66"/>
      <c r="G3245" s="63"/>
      <c r="H3245" s="67"/>
      <c r="I3245" s="68"/>
      <c r="J3245" s="68"/>
      <c r="K3245" s="32"/>
      <c r="L3245" s="75">
        <v>3245</v>
      </c>
      <c r="M3245" s="75"/>
      <c r="N3245" s="70"/>
      <c r="O3245" s="77" t="s">
        <v>179</v>
      </c>
      <c r="P3245" s="79">
        <v>45139.417442129627</v>
      </c>
      <c r="Q3245" s="77" t="s">
        <v>4019</v>
      </c>
      <c r="R3245" s="77">
        <v>1</v>
      </c>
      <c r="S3245" s="77">
        <v>9</v>
      </c>
      <c r="T3245" s="77">
        <v>1</v>
      </c>
      <c r="U3245" s="77">
        <v>0</v>
      </c>
      <c r="V3245" s="77">
        <v>1690</v>
      </c>
      <c r="W3245" s="82" t="s">
        <v>6556</v>
      </c>
      <c r="X3245" s="80" t="str">
        <f>HYPERLINK("https://www.moneytimes.com.br/goldman-sachs-compra-acoes-de-petroleira-queridinha-da-bolsa-brasileira-veja-qual/")</f>
        <v>https://www.moneytimes.com.br/goldman-sachs-compra-acoes-de-petroleira-queridinha-da-bolsa-brasileira-veja-qual/</v>
      </c>
      <c r="Y3245" s="77" t="s">
        <v>7053</v>
      </c>
      <c r="Z3245" s="77"/>
      <c r="AA3245" s="77"/>
      <c r="AB3245" s="77"/>
      <c r="AC3245" s="82" t="s">
        <v>8255</v>
      </c>
      <c r="AD3245" s="77" t="s">
        <v>8278</v>
      </c>
      <c r="AE3245" s="80" t="str">
        <f>HYPERLINK("https://twitter.com/leiamoneytimes/status/1686316119139741697")</f>
        <v>https://twitter.com/leiamoneytimes/status/1686316119139741697</v>
      </c>
      <c r="AF3245" s="79">
        <v>45139.417442129627</v>
      </c>
      <c r="AG3245" s="85">
        <v>45139</v>
      </c>
      <c r="AH3245" s="82" t="s">
        <v>11259</v>
      </c>
      <c r="AI3245" s="77" t="b">
        <v>0</v>
      </c>
      <c r="AJ3245" s="77"/>
      <c r="AK3245" s="77"/>
      <c r="AL3245" s="77"/>
      <c r="AM3245" s="77"/>
      <c r="AN3245" s="77"/>
      <c r="AO3245" s="77"/>
      <c r="AP3245" s="77"/>
      <c r="AQ3245" s="77"/>
      <c r="AR3245" s="77"/>
      <c r="AS3245" s="77"/>
      <c r="AT3245" s="77"/>
      <c r="AU3245" s="77"/>
      <c r="AV3245" s="80" t="str">
        <f>HYPERLINK("https://pbs.twimg.com/profile_images/1559883556846977024/bXHnQFY0_normal.jpg")</f>
        <v>https://pbs.twimg.com/profile_images/1559883556846977024/bXHnQFY0_normal.jpg</v>
      </c>
      <c r="AW3245" s="82" t="s">
        <v>16329</v>
      </c>
      <c r="AX3245" s="82" t="s">
        <v>16329</v>
      </c>
      <c r="AY3245" s="77"/>
      <c r="AZ3245" s="82" t="s">
        <v>17385</v>
      </c>
      <c r="BA3245" s="82" t="s">
        <v>17385</v>
      </c>
      <c r="BB3245" s="82" t="s">
        <v>17385</v>
      </c>
      <c r="BC3245" s="82" t="s">
        <v>16329</v>
      </c>
      <c r="BD3245" s="77">
        <v>51150679</v>
      </c>
      <c r="BE3245" s="77"/>
      <c r="BF3245" s="77"/>
      <c r="BG3245" s="77"/>
      <c r="BH3245" s="77"/>
      <c r="BI3245" s="77"/>
    </row>
    <row r="3246" spans="1:61" x14ac:dyDescent="0.25">
      <c r="A3246" s="62" t="s">
        <v>605</v>
      </c>
      <c r="B3246" s="62" t="s">
        <v>605</v>
      </c>
      <c r="C3246" s="63"/>
      <c r="D3246" s="64"/>
      <c r="E3246" s="65"/>
      <c r="F3246" s="66"/>
      <c r="G3246" s="63"/>
      <c r="H3246" s="67"/>
      <c r="I3246" s="68"/>
      <c r="J3246" s="68"/>
      <c r="K3246" s="32"/>
      <c r="L3246" s="75">
        <v>3246</v>
      </c>
      <c r="M3246" s="75"/>
      <c r="N3246" s="70"/>
      <c r="O3246" s="77" t="s">
        <v>179</v>
      </c>
      <c r="P3246" s="79">
        <v>45127.846932870372</v>
      </c>
      <c r="Q3246" s="77" t="s">
        <v>4020</v>
      </c>
      <c r="R3246" s="77">
        <v>1</v>
      </c>
      <c r="S3246" s="77">
        <v>3</v>
      </c>
      <c r="T3246" s="77">
        <v>0</v>
      </c>
      <c r="U3246" s="77">
        <v>0</v>
      </c>
      <c r="V3246" s="77">
        <v>1060</v>
      </c>
      <c r="W3246" s="82" t="s">
        <v>6551</v>
      </c>
      <c r="X3246" s="80" t="str">
        <f>HYPERLINK("https://www.moneytimes.com.br/ibovespa-hoje-fecha-alta-118-mil-pontos-economia-20-07-2023/")</f>
        <v>https://www.moneytimes.com.br/ibovespa-hoje-fecha-alta-118-mil-pontos-economia-20-07-2023/</v>
      </c>
      <c r="Y3246" s="77" t="s">
        <v>7053</v>
      </c>
      <c r="Z3246" s="77"/>
      <c r="AA3246" s="77"/>
      <c r="AB3246" s="77"/>
      <c r="AC3246" s="82" t="s">
        <v>8255</v>
      </c>
      <c r="AD3246" s="77" t="s">
        <v>8278</v>
      </c>
      <c r="AE3246" s="80" t="str">
        <f>HYPERLINK("https://twitter.com/leiamoneytimes/status/1682123105055961094")</f>
        <v>https://twitter.com/leiamoneytimes/status/1682123105055961094</v>
      </c>
      <c r="AF3246" s="79">
        <v>45127.846932870372</v>
      </c>
      <c r="AG3246" s="85">
        <v>45127</v>
      </c>
      <c r="AH3246" s="82" t="s">
        <v>11260</v>
      </c>
      <c r="AI3246" s="77" t="b">
        <v>0</v>
      </c>
      <c r="AJ3246" s="77"/>
      <c r="AK3246" s="77"/>
      <c r="AL3246" s="77"/>
      <c r="AM3246" s="77"/>
      <c r="AN3246" s="77"/>
      <c r="AO3246" s="77"/>
      <c r="AP3246" s="77"/>
      <c r="AQ3246" s="77"/>
      <c r="AR3246" s="77"/>
      <c r="AS3246" s="77"/>
      <c r="AT3246" s="77"/>
      <c r="AU3246" s="77"/>
      <c r="AV3246" s="80" t="str">
        <f>HYPERLINK("https://pbs.twimg.com/profile_images/1559883556846977024/bXHnQFY0_normal.jpg")</f>
        <v>https://pbs.twimg.com/profile_images/1559883556846977024/bXHnQFY0_normal.jpg</v>
      </c>
      <c r="AW3246" s="82" t="s">
        <v>16330</v>
      </c>
      <c r="AX3246" s="82" t="s">
        <v>16330</v>
      </c>
      <c r="AY3246" s="77"/>
      <c r="AZ3246" s="82" t="s">
        <v>17385</v>
      </c>
      <c r="BA3246" s="82" t="s">
        <v>17385</v>
      </c>
      <c r="BB3246" s="82" t="s">
        <v>17385</v>
      </c>
      <c r="BC3246" s="82" t="s">
        <v>16330</v>
      </c>
      <c r="BD3246" s="77">
        <v>51150679</v>
      </c>
      <c r="BE3246" s="77"/>
      <c r="BF3246" s="77"/>
      <c r="BG3246" s="77"/>
      <c r="BH3246" s="77"/>
      <c r="BI3246" s="77"/>
    </row>
    <row r="3247" spans="1:61" x14ac:dyDescent="0.25">
      <c r="A3247" s="62" t="s">
        <v>605</v>
      </c>
      <c r="B3247" s="62" t="s">
        <v>605</v>
      </c>
      <c r="C3247" s="63"/>
      <c r="D3247" s="64"/>
      <c r="E3247" s="65"/>
      <c r="F3247" s="66"/>
      <c r="G3247" s="63"/>
      <c r="H3247" s="67"/>
      <c r="I3247" s="68"/>
      <c r="J3247" s="68"/>
      <c r="K3247" s="32"/>
      <c r="L3247" s="75">
        <v>3247</v>
      </c>
      <c r="M3247" s="75"/>
      <c r="N3247" s="70"/>
      <c r="O3247" s="77" t="s">
        <v>179</v>
      </c>
      <c r="P3247" s="79">
        <v>45127.785833333335</v>
      </c>
      <c r="Q3247" s="77" t="s">
        <v>4021</v>
      </c>
      <c r="R3247" s="77">
        <v>1</v>
      </c>
      <c r="S3247" s="77">
        <v>0</v>
      </c>
      <c r="T3247" s="77">
        <v>0</v>
      </c>
      <c r="U3247" s="77">
        <v>0</v>
      </c>
      <c r="V3247" s="77">
        <v>991</v>
      </c>
      <c r="W3247" s="82" t="s">
        <v>6557</v>
      </c>
      <c r="X3247" s="80" t="str">
        <f>HYPERLINK("https://www.moneytimes.com.br/fraqueza-do-ibovespa-chama-a-atencao-entenda-os-motivos-e-saiba-se-recuperacao-corre-risco/")</f>
        <v>https://www.moneytimes.com.br/fraqueza-do-ibovespa-chama-a-atencao-entenda-os-motivos-e-saiba-se-recuperacao-corre-risco/</v>
      </c>
      <c r="Y3247" s="77" t="s">
        <v>7053</v>
      </c>
      <c r="Z3247" s="77"/>
      <c r="AA3247" s="77"/>
      <c r="AB3247" s="77"/>
      <c r="AC3247" s="82" t="s">
        <v>8255</v>
      </c>
      <c r="AD3247" s="77" t="s">
        <v>8278</v>
      </c>
      <c r="AE3247" s="80" t="str">
        <f>HYPERLINK("https://twitter.com/leiamoneytimes/status/1682100965720174593")</f>
        <v>https://twitter.com/leiamoneytimes/status/1682100965720174593</v>
      </c>
      <c r="AF3247" s="79">
        <v>45127.785833333335</v>
      </c>
      <c r="AG3247" s="85">
        <v>45127</v>
      </c>
      <c r="AH3247" s="82" t="s">
        <v>11261</v>
      </c>
      <c r="AI3247" s="77" t="b">
        <v>0</v>
      </c>
      <c r="AJ3247" s="77"/>
      <c r="AK3247" s="77"/>
      <c r="AL3247" s="77"/>
      <c r="AM3247" s="77"/>
      <c r="AN3247" s="77"/>
      <c r="AO3247" s="77"/>
      <c r="AP3247" s="77"/>
      <c r="AQ3247" s="77"/>
      <c r="AR3247" s="77"/>
      <c r="AS3247" s="77"/>
      <c r="AT3247" s="77"/>
      <c r="AU3247" s="77"/>
      <c r="AV3247" s="80" t="str">
        <f>HYPERLINK("https://pbs.twimg.com/profile_images/1559883556846977024/bXHnQFY0_normal.jpg")</f>
        <v>https://pbs.twimg.com/profile_images/1559883556846977024/bXHnQFY0_normal.jpg</v>
      </c>
      <c r="AW3247" s="82" t="s">
        <v>16331</v>
      </c>
      <c r="AX3247" s="82" t="s">
        <v>16331</v>
      </c>
      <c r="AY3247" s="77"/>
      <c r="AZ3247" s="82" t="s">
        <v>17385</v>
      </c>
      <c r="BA3247" s="82" t="s">
        <v>17385</v>
      </c>
      <c r="BB3247" s="82" t="s">
        <v>17385</v>
      </c>
      <c r="BC3247" s="82" t="s">
        <v>16331</v>
      </c>
      <c r="BD3247" s="77">
        <v>51150679</v>
      </c>
      <c r="BE3247" s="77"/>
      <c r="BF3247" s="77"/>
      <c r="BG3247" s="77"/>
      <c r="BH3247" s="77"/>
      <c r="BI3247" s="77"/>
    </row>
    <row r="3248" spans="1:61" x14ac:dyDescent="0.25">
      <c r="A3248" s="62" t="s">
        <v>605</v>
      </c>
      <c r="B3248" s="62" t="s">
        <v>605</v>
      </c>
      <c r="C3248" s="63"/>
      <c r="D3248" s="64"/>
      <c r="E3248" s="65"/>
      <c r="F3248" s="66"/>
      <c r="G3248" s="63"/>
      <c r="H3248" s="67"/>
      <c r="I3248" s="68"/>
      <c r="J3248" s="68"/>
      <c r="K3248" s="32"/>
      <c r="L3248" s="75">
        <v>3248</v>
      </c>
      <c r="M3248" s="75"/>
      <c r="N3248" s="70"/>
      <c r="O3248" s="77" t="s">
        <v>179</v>
      </c>
      <c r="P3248" s="79">
        <v>45127.678263888891</v>
      </c>
      <c r="Q3248" s="77" t="s">
        <v>4022</v>
      </c>
      <c r="R3248" s="77">
        <v>0</v>
      </c>
      <c r="S3248" s="77">
        <v>2</v>
      </c>
      <c r="T3248" s="77">
        <v>0</v>
      </c>
      <c r="U3248" s="77">
        <v>0</v>
      </c>
      <c r="V3248" s="77">
        <v>1206</v>
      </c>
      <c r="W3248" s="82" t="s">
        <v>6558</v>
      </c>
      <c r="X3248" s="80" t="str">
        <f>HYPERLINK("https://www.moneytimes.com.br/ibovespa-hoje-agora-natura-totvs-20-07-2023/")</f>
        <v>https://www.moneytimes.com.br/ibovespa-hoje-agora-natura-totvs-20-07-2023/</v>
      </c>
      <c r="Y3248" s="77" t="s">
        <v>7053</v>
      </c>
      <c r="Z3248" s="77"/>
      <c r="AA3248" s="77"/>
      <c r="AB3248" s="77"/>
      <c r="AC3248" s="82" t="s">
        <v>8255</v>
      </c>
      <c r="AD3248" s="77" t="s">
        <v>8278</v>
      </c>
      <c r="AE3248" s="80" t="str">
        <f>HYPERLINK("https://twitter.com/leiamoneytimes/status/1682061984508919812")</f>
        <v>https://twitter.com/leiamoneytimes/status/1682061984508919812</v>
      </c>
      <c r="AF3248" s="79">
        <v>45127.678263888891</v>
      </c>
      <c r="AG3248" s="85">
        <v>45127</v>
      </c>
      <c r="AH3248" s="82" t="s">
        <v>11262</v>
      </c>
      <c r="AI3248" s="77" t="b">
        <v>0</v>
      </c>
      <c r="AJ3248" s="77"/>
      <c r="AK3248" s="77"/>
      <c r="AL3248" s="77"/>
      <c r="AM3248" s="77"/>
      <c r="AN3248" s="77"/>
      <c r="AO3248" s="77"/>
      <c r="AP3248" s="77"/>
      <c r="AQ3248" s="77"/>
      <c r="AR3248" s="77"/>
      <c r="AS3248" s="77"/>
      <c r="AT3248" s="77"/>
      <c r="AU3248" s="77"/>
      <c r="AV3248" s="80" t="str">
        <f>HYPERLINK("https://pbs.twimg.com/profile_images/1559883556846977024/bXHnQFY0_normal.jpg")</f>
        <v>https://pbs.twimg.com/profile_images/1559883556846977024/bXHnQFY0_normal.jpg</v>
      </c>
      <c r="AW3248" s="82" t="s">
        <v>16332</v>
      </c>
      <c r="AX3248" s="82" t="s">
        <v>16332</v>
      </c>
      <c r="AY3248" s="77"/>
      <c r="AZ3248" s="82" t="s">
        <v>17385</v>
      </c>
      <c r="BA3248" s="82" t="s">
        <v>17385</v>
      </c>
      <c r="BB3248" s="82" t="s">
        <v>17385</v>
      </c>
      <c r="BC3248" s="82" t="s">
        <v>16332</v>
      </c>
      <c r="BD3248" s="77">
        <v>51150679</v>
      </c>
      <c r="BE3248" s="77"/>
      <c r="BF3248" s="77"/>
      <c r="BG3248" s="77"/>
      <c r="BH3248" s="77"/>
      <c r="BI3248" s="77"/>
    </row>
    <row r="3249" spans="1:61" x14ac:dyDescent="0.25">
      <c r="A3249" s="62" t="s">
        <v>605</v>
      </c>
      <c r="B3249" s="62" t="s">
        <v>605</v>
      </c>
      <c r="C3249" s="63"/>
      <c r="D3249" s="64"/>
      <c r="E3249" s="65"/>
      <c r="F3249" s="66"/>
      <c r="G3249" s="63"/>
      <c r="H3249" s="67"/>
      <c r="I3249" s="68"/>
      <c r="J3249" s="68"/>
      <c r="K3249" s="32"/>
      <c r="L3249" s="75">
        <v>3249</v>
      </c>
      <c r="M3249" s="75"/>
      <c r="N3249" s="70"/>
      <c r="O3249" s="77" t="s">
        <v>179</v>
      </c>
      <c r="P3249" s="79">
        <v>45120.635937500003</v>
      </c>
      <c r="Q3249" s="77" t="s">
        <v>4023</v>
      </c>
      <c r="R3249" s="77">
        <v>0</v>
      </c>
      <c r="S3249" s="77">
        <v>3</v>
      </c>
      <c r="T3249" s="77">
        <v>1</v>
      </c>
      <c r="U3249" s="77">
        <v>0</v>
      </c>
      <c r="V3249" s="77">
        <v>994</v>
      </c>
      <c r="W3249" s="82" t="s">
        <v>6551</v>
      </c>
      <c r="X3249" s="80" t="str">
        <f>HYPERLINK("https://www.moneytimes.com.br/estes-dois-fatores-podem-frear-o-ibovespa-no-curto-prazo-segundo-gestora/")</f>
        <v>https://www.moneytimes.com.br/estes-dois-fatores-podem-frear-o-ibovespa-no-curto-prazo-segundo-gestora/</v>
      </c>
      <c r="Y3249" s="77" t="s">
        <v>7053</v>
      </c>
      <c r="Z3249" s="77"/>
      <c r="AA3249" s="77"/>
      <c r="AB3249" s="77"/>
      <c r="AC3249" s="82" t="s">
        <v>8255</v>
      </c>
      <c r="AD3249" s="77" t="s">
        <v>8278</v>
      </c>
      <c r="AE3249" s="80" t="str">
        <f>HYPERLINK("https://twitter.com/leiamoneytimes/status/1679509927369359361")</f>
        <v>https://twitter.com/leiamoneytimes/status/1679509927369359361</v>
      </c>
      <c r="AF3249" s="79">
        <v>45120.635937500003</v>
      </c>
      <c r="AG3249" s="85">
        <v>45120</v>
      </c>
      <c r="AH3249" s="82" t="s">
        <v>10459</v>
      </c>
      <c r="AI3249" s="77" t="b">
        <v>0</v>
      </c>
      <c r="AJ3249" s="77"/>
      <c r="AK3249" s="77"/>
      <c r="AL3249" s="77"/>
      <c r="AM3249" s="77"/>
      <c r="AN3249" s="77"/>
      <c r="AO3249" s="77"/>
      <c r="AP3249" s="77"/>
      <c r="AQ3249" s="77"/>
      <c r="AR3249" s="77"/>
      <c r="AS3249" s="77"/>
      <c r="AT3249" s="77"/>
      <c r="AU3249" s="77"/>
      <c r="AV3249" s="80" t="str">
        <f>HYPERLINK("https://pbs.twimg.com/profile_images/1559883556846977024/bXHnQFY0_normal.jpg")</f>
        <v>https://pbs.twimg.com/profile_images/1559883556846977024/bXHnQFY0_normal.jpg</v>
      </c>
      <c r="AW3249" s="82" t="s">
        <v>16333</v>
      </c>
      <c r="AX3249" s="82" t="s">
        <v>16333</v>
      </c>
      <c r="AY3249" s="77"/>
      <c r="AZ3249" s="82" t="s">
        <v>17385</v>
      </c>
      <c r="BA3249" s="82" t="s">
        <v>17385</v>
      </c>
      <c r="BB3249" s="82" t="s">
        <v>17385</v>
      </c>
      <c r="BC3249" s="82" t="s">
        <v>16333</v>
      </c>
      <c r="BD3249" s="77">
        <v>51150679</v>
      </c>
      <c r="BE3249" s="77"/>
      <c r="BF3249" s="77"/>
      <c r="BG3249" s="77"/>
      <c r="BH3249" s="77"/>
      <c r="BI3249" s="77"/>
    </row>
    <row r="3250" spans="1:61" x14ac:dyDescent="0.25">
      <c r="A3250" s="62" t="s">
        <v>605</v>
      </c>
      <c r="B3250" s="62" t="s">
        <v>605</v>
      </c>
      <c r="C3250" s="63"/>
      <c r="D3250" s="64"/>
      <c r="E3250" s="65"/>
      <c r="F3250" s="66"/>
      <c r="G3250" s="63"/>
      <c r="H3250" s="67"/>
      <c r="I3250" s="68"/>
      <c r="J3250" s="68"/>
      <c r="K3250" s="32"/>
      <c r="L3250" s="75">
        <v>3250</v>
      </c>
      <c r="M3250" s="75"/>
      <c r="N3250" s="70"/>
      <c r="O3250" s="77" t="s">
        <v>179</v>
      </c>
      <c r="P3250" s="79">
        <v>45119.84746527778</v>
      </c>
      <c r="Q3250" s="77" t="s">
        <v>4024</v>
      </c>
      <c r="R3250" s="77">
        <v>1</v>
      </c>
      <c r="S3250" s="77">
        <v>5</v>
      </c>
      <c r="T3250" s="77">
        <v>1</v>
      </c>
      <c r="U3250" s="77">
        <v>0</v>
      </c>
      <c r="V3250" s="77">
        <v>1421</v>
      </c>
      <c r="W3250" s="82" t="s">
        <v>6551</v>
      </c>
      <c r="X3250" s="80" t="str">
        <f>HYPERLINK("https://www.moneytimes.com.br/ibovespa-hoje-fecha-alta-wall-street-jbs-jbss3-12-07-2023/")</f>
        <v>https://www.moneytimes.com.br/ibovespa-hoje-fecha-alta-wall-street-jbs-jbss3-12-07-2023/</v>
      </c>
      <c r="Y3250" s="77" t="s">
        <v>7053</v>
      </c>
      <c r="Z3250" s="77"/>
      <c r="AA3250" s="77"/>
      <c r="AB3250" s="77"/>
      <c r="AC3250" s="82" t="s">
        <v>8255</v>
      </c>
      <c r="AD3250" s="77" t="s">
        <v>8278</v>
      </c>
      <c r="AE3250" s="80" t="str">
        <f>HYPERLINK("https://twitter.com/leiamoneytimes/status/1679224194620436482")</f>
        <v>https://twitter.com/leiamoneytimes/status/1679224194620436482</v>
      </c>
      <c r="AF3250" s="79">
        <v>45119.84746527778</v>
      </c>
      <c r="AG3250" s="85">
        <v>45119</v>
      </c>
      <c r="AH3250" s="82" t="s">
        <v>10439</v>
      </c>
      <c r="AI3250" s="77" t="b">
        <v>0</v>
      </c>
      <c r="AJ3250" s="77"/>
      <c r="AK3250" s="77"/>
      <c r="AL3250" s="77"/>
      <c r="AM3250" s="77"/>
      <c r="AN3250" s="77"/>
      <c r="AO3250" s="77"/>
      <c r="AP3250" s="77"/>
      <c r="AQ3250" s="77"/>
      <c r="AR3250" s="77"/>
      <c r="AS3250" s="77"/>
      <c r="AT3250" s="77"/>
      <c r="AU3250" s="77"/>
      <c r="AV3250" s="80" t="str">
        <f>HYPERLINK("https://pbs.twimg.com/profile_images/1559883556846977024/bXHnQFY0_normal.jpg")</f>
        <v>https://pbs.twimg.com/profile_images/1559883556846977024/bXHnQFY0_normal.jpg</v>
      </c>
      <c r="AW3250" s="82" t="s">
        <v>16334</v>
      </c>
      <c r="AX3250" s="82" t="s">
        <v>16334</v>
      </c>
      <c r="AY3250" s="77"/>
      <c r="AZ3250" s="82" t="s">
        <v>17385</v>
      </c>
      <c r="BA3250" s="82" t="s">
        <v>17385</v>
      </c>
      <c r="BB3250" s="82" t="s">
        <v>17385</v>
      </c>
      <c r="BC3250" s="82" t="s">
        <v>16334</v>
      </c>
      <c r="BD3250" s="77">
        <v>51150679</v>
      </c>
      <c r="BE3250" s="77"/>
      <c r="BF3250" s="77"/>
      <c r="BG3250" s="77"/>
      <c r="BH3250" s="77"/>
      <c r="BI3250" s="77"/>
    </row>
    <row r="3251" spans="1:61" x14ac:dyDescent="0.25">
      <c r="A3251" s="62" t="s">
        <v>605</v>
      </c>
      <c r="B3251" s="62" t="s">
        <v>605</v>
      </c>
      <c r="C3251" s="63"/>
      <c r="D3251" s="64"/>
      <c r="E3251" s="65"/>
      <c r="F3251" s="66"/>
      <c r="G3251" s="63"/>
      <c r="H3251" s="67"/>
      <c r="I3251" s="68"/>
      <c r="J3251" s="68"/>
      <c r="K3251" s="32"/>
      <c r="L3251" s="75">
        <v>3251</v>
      </c>
      <c r="M3251" s="75"/>
      <c r="N3251" s="70"/>
      <c r="O3251" s="77" t="s">
        <v>179</v>
      </c>
      <c r="P3251" s="79">
        <v>45119.743854166663</v>
      </c>
      <c r="Q3251" s="77" t="s">
        <v>4025</v>
      </c>
      <c r="R3251" s="77">
        <v>0</v>
      </c>
      <c r="S3251" s="77">
        <v>3</v>
      </c>
      <c r="T3251" s="77">
        <v>1</v>
      </c>
      <c r="U3251" s="77">
        <v>1</v>
      </c>
      <c r="V3251" s="77">
        <v>1258</v>
      </c>
      <c r="W3251" s="82" t="s">
        <v>6559</v>
      </c>
      <c r="X3251" s="80" t="str">
        <f>HYPERLINK("https://www.moneytimes.com.br/erro-na-b3-b3sa3-fechamento-do-ibovespa-ibov-na-terca-11-e-corrigido/")</f>
        <v>https://www.moneytimes.com.br/erro-na-b3-b3sa3-fechamento-do-ibovespa-ibov-na-terca-11-e-corrigido/</v>
      </c>
      <c r="Y3251" s="77" t="s">
        <v>7053</v>
      </c>
      <c r="Z3251" s="77"/>
      <c r="AA3251" s="77"/>
      <c r="AB3251" s="77"/>
      <c r="AC3251" s="82" t="s">
        <v>8255</v>
      </c>
      <c r="AD3251" s="77" t="s">
        <v>8278</v>
      </c>
      <c r="AE3251" s="80" t="str">
        <f>HYPERLINK("https://twitter.com/leiamoneytimes/status/1679186650575028224")</f>
        <v>https://twitter.com/leiamoneytimes/status/1679186650575028224</v>
      </c>
      <c r="AF3251" s="79">
        <v>45119.743854166663</v>
      </c>
      <c r="AG3251" s="85">
        <v>45119</v>
      </c>
      <c r="AH3251" s="82" t="s">
        <v>11263</v>
      </c>
      <c r="AI3251" s="77" t="b">
        <v>0</v>
      </c>
      <c r="AJ3251" s="77"/>
      <c r="AK3251" s="77"/>
      <c r="AL3251" s="77"/>
      <c r="AM3251" s="77"/>
      <c r="AN3251" s="77"/>
      <c r="AO3251" s="77"/>
      <c r="AP3251" s="77"/>
      <c r="AQ3251" s="77"/>
      <c r="AR3251" s="77"/>
      <c r="AS3251" s="77"/>
      <c r="AT3251" s="77"/>
      <c r="AU3251" s="77"/>
      <c r="AV3251" s="80" t="str">
        <f>HYPERLINK("https://pbs.twimg.com/profile_images/1559883556846977024/bXHnQFY0_normal.jpg")</f>
        <v>https://pbs.twimg.com/profile_images/1559883556846977024/bXHnQFY0_normal.jpg</v>
      </c>
      <c r="AW3251" s="82" t="s">
        <v>16335</v>
      </c>
      <c r="AX3251" s="82" t="s">
        <v>16335</v>
      </c>
      <c r="AY3251" s="77"/>
      <c r="AZ3251" s="82" t="s">
        <v>17385</v>
      </c>
      <c r="BA3251" s="82" t="s">
        <v>17385</v>
      </c>
      <c r="BB3251" s="82" t="s">
        <v>17385</v>
      </c>
      <c r="BC3251" s="82" t="s">
        <v>16335</v>
      </c>
      <c r="BD3251" s="77">
        <v>51150679</v>
      </c>
      <c r="BE3251" s="77"/>
      <c r="BF3251" s="77"/>
      <c r="BG3251" s="77"/>
      <c r="BH3251" s="77"/>
      <c r="BI3251" s="77"/>
    </row>
    <row r="3252" spans="1:61" x14ac:dyDescent="0.25">
      <c r="A3252" s="62" t="s">
        <v>605</v>
      </c>
      <c r="B3252" s="62" t="s">
        <v>605</v>
      </c>
      <c r="C3252" s="63"/>
      <c r="D3252" s="64"/>
      <c r="E3252" s="65"/>
      <c r="F3252" s="66"/>
      <c r="G3252" s="63"/>
      <c r="H3252" s="67"/>
      <c r="I3252" s="68"/>
      <c r="J3252" s="68"/>
      <c r="K3252" s="32"/>
      <c r="L3252" s="75">
        <v>3252</v>
      </c>
      <c r="M3252" s="75"/>
      <c r="N3252" s="70"/>
      <c r="O3252" s="77" t="s">
        <v>179</v>
      </c>
      <c r="P3252" s="79">
        <v>45119.662256944444</v>
      </c>
      <c r="Q3252" s="77" t="s">
        <v>4026</v>
      </c>
      <c r="R3252" s="77">
        <v>0</v>
      </c>
      <c r="S3252" s="77">
        <v>3</v>
      </c>
      <c r="T3252" s="77">
        <v>1</v>
      </c>
      <c r="U3252" s="77">
        <v>0</v>
      </c>
      <c r="V3252" s="77">
        <v>1138</v>
      </c>
      <c r="W3252" s="82" t="s">
        <v>6560</v>
      </c>
      <c r="X3252" s="80" t="str">
        <f>HYPERLINK("https://www.moneytimes.com.br/ibovespa-o-que-explica-a-disparada-de-jbs-jbss3-dexco-dxco3-lidera-as-baixas/")</f>
        <v>https://www.moneytimes.com.br/ibovespa-o-que-explica-a-disparada-de-jbs-jbss3-dexco-dxco3-lidera-as-baixas/</v>
      </c>
      <c r="Y3252" s="77" t="s">
        <v>7053</v>
      </c>
      <c r="Z3252" s="77"/>
      <c r="AA3252" s="77"/>
      <c r="AB3252" s="77"/>
      <c r="AC3252" s="82" t="s">
        <v>8255</v>
      </c>
      <c r="AD3252" s="77" t="s">
        <v>8278</v>
      </c>
      <c r="AE3252" s="80" t="str">
        <f>HYPERLINK("https://twitter.com/leiamoneytimes/status/1679157080299585536")</f>
        <v>https://twitter.com/leiamoneytimes/status/1679157080299585536</v>
      </c>
      <c r="AF3252" s="79">
        <v>45119.662256944444</v>
      </c>
      <c r="AG3252" s="85">
        <v>45119</v>
      </c>
      <c r="AH3252" s="82" t="s">
        <v>11264</v>
      </c>
      <c r="AI3252" s="77" t="b">
        <v>0</v>
      </c>
      <c r="AJ3252" s="77"/>
      <c r="AK3252" s="77"/>
      <c r="AL3252" s="77"/>
      <c r="AM3252" s="77"/>
      <c r="AN3252" s="77"/>
      <c r="AO3252" s="77"/>
      <c r="AP3252" s="77"/>
      <c r="AQ3252" s="77"/>
      <c r="AR3252" s="77"/>
      <c r="AS3252" s="77"/>
      <c r="AT3252" s="77"/>
      <c r="AU3252" s="77"/>
      <c r="AV3252" s="80" t="str">
        <f>HYPERLINK("https://pbs.twimg.com/profile_images/1559883556846977024/bXHnQFY0_normal.jpg")</f>
        <v>https://pbs.twimg.com/profile_images/1559883556846977024/bXHnQFY0_normal.jpg</v>
      </c>
      <c r="AW3252" s="82" t="s">
        <v>16336</v>
      </c>
      <c r="AX3252" s="82" t="s">
        <v>16336</v>
      </c>
      <c r="AY3252" s="77"/>
      <c r="AZ3252" s="82" t="s">
        <v>17385</v>
      </c>
      <c r="BA3252" s="82" t="s">
        <v>17385</v>
      </c>
      <c r="BB3252" s="82" t="s">
        <v>17385</v>
      </c>
      <c r="BC3252" s="82" t="s">
        <v>16336</v>
      </c>
      <c r="BD3252" s="77">
        <v>51150679</v>
      </c>
      <c r="BE3252" s="77"/>
      <c r="BF3252" s="77"/>
      <c r="BG3252" s="77"/>
      <c r="BH3252" s="77"/>
      <c r="BI3252" s="77"/>
    </row>
    <row r="3253" spans="1:61" x14ac:dyDescent="0.25">
      <c r="A3253" s="62" t="s">
        <v>605</v>
      </c>
      <c r="B3253" s="62" t="s">
        <v>605</v>
      </c>
      <c r="C3253" s="63"/>
      <c r="D3253" s="64"/>
      <c r="E3253" s="65"/>
      <c r="F3253" s="66"/>
      <c r="G3253" s="63"/>
      <c r="H3253" s="67"/>
      <c r="I3253" s="68"/>
      <c r="J3253" s="68"/>
      <c r="K3253" s="32"/>
      <c r="L3253" s="75">
        <v>3253</v>
      </c>
      <c r="M3253" s="75"/>
      <c r="N3253" s="70"/>
      <c r="O3253" s="77" t="s">
        <v>179</v>
      </c>
      <c r="P3253" s="79">
        <v>45110.875775462962</v>
      </c>
      <c r="Q3253" s="77" t="s">
        <v>4027</v>
      </c>
      <c r="R3253" s="77">
        <v>0</v>
      </c>
      <c r="S3253" s="77">
        <v>4</v>
      </c>
      <c r="T3253" s="77">
        <v>1</v>
      </c>
      <c r="U3253" s="77">
        <v>0</v>
      </c>
      <c r="V3253" s="77">
        <v>2109</v>
      </c>
      <c r="W3253" s="82" t="s">
        <v>6561</v>
      </c>
      <c r="X3253" s="80" t="str">
        <f>HYPERLINK("https://www.moneytimes.com.br/a-burrada-de-mglu3-viia3-lren3-hapv3-e-ntco3-ajudou-a-derrubar-a-bolsa-mas-o-jogo-esta-prestes-a-virar-diz-gestora/")</f>
        <v>https://www.moneytimes.com.br/a-burrada-de-mglu3-viia3-lren3-hapv3-e-ntco3-ajudou-a-derrubar-a-bolsa-mas-o-jogo-esta-prestes-a-virar-diz-gestora/</v>
      </c>
      <c r="Y3253" s="77" t="s">
        <v>7053</v>
      </c>
      <c r="Z3253" s="77"/>
      <c r="AA3253" s="77"/>
      <c r="AB3253" s="77"/>
      <c r="AC3253" s="82" t="s">
        <v>8255</v>
      </c>
      <c r="AD3253" s="77" t="s">
        <v>8278</v>
      </c>
      <c r="AE3253" s="80" t="str">
        <f>HYPERLINK("https://twitter.com/leiamoneytimes/status/1675972964842438664")</f>
        <v>https://twitter.com/leiamoneytimes/status/1675972964842438664</v>
      </c>
      <c r="AF3253" s="79">
        <v>45110.875775462962</v>
      </c>
      <c r="AG3253" s="85">
        <v>45110</v>
      </c>
      <c r="AH3253" s="82" t="s">
        <v>11265</v>
      </c>
      <c r="AI3253" s="77" t="b">
        <v>0</v>
      </c>
      <c r="AJ3253" s="77"/>
      <c r="AK3253" s="77"/>
      <c r="AL3253" s="77"/>
      <c r="AM3253" s="77"/>
      <c r="AN3253" s="77"/>
      <c r="AO3253" s="77"/>
      <c r="AP3253" s="77"/>
      <c r="AQ3253" s="77"/>
      <c r="AR3253" s="77"/>
      <c r="AS3253" s="77"/>
      <c r="AT3253" s="77"/>
      <c r="AU3253" s="77"/>
      <c r="AV3253" s="80" t="str">
        <f>HYPERLINK("https://pbs.twimg.com/profile_images/1559883556846977024/bXHnQFY0_normal.jpg")</f>
        <v>https://pbs.twimg.com/profile_images/1559883556846977024/bXHnQFY0_normal.jpg</v>
      </c>
      <c r="AW3253" s="82" t="s">
        <v>16337</v>
      </c>
      <c r="AX3253" s="82" t="s">
        <v>16337</v>
      </c>
      <c r="AY3253" s="77"/>
      <c r="AZ3253" s="82" t="s">
        <v>17385</v>
      </c>
      <c r="BA3253" s="82" t="s">
        <v>17385</v>
      </c>
      <c r="BB3253" s="82" t="s">
        <v>17385</v>
      </c>
      <c r="BC3253" s="82" t="s">
        <v>16337</v>
      </c>
      <c r="BD3253" s="77">
        <v>51150679</v>
      </c>
      <c r="BE3253" s="77"/>
      <c r="BF3253" s="77"/>
      <c r="BG3253" s="77"/>
      <c r="BH3253" s="77"/>
      <c r="BI3253" s="77"/>
    </row>
    <row r="3254" spans="1:61" x14ac:dyDescent="0.25">
      <c r="A3254" s="62" t="s">
        <v>605</v>
      </c>
      <c r="B3254" s="62" t="s">
        <v>605</v>
      </c>
      <c r="C3254" s="63"/>
      <c r="D3254" s="64"/>
      <c r="E3254" s="65"/>
      <c r="F3254" s="66"/>
      <c r="G3254" s="63"/>
      <c r="H3254" s="67"/>
      <c r="I3254" s="68"/>
      <c r="J3254" s="68"/>
      <c r="K3254" s="32"/>
      <c r="L3254" s="75">
        <v>3254</v>
      </c>
      <c r="M3254" s="75"/>
      <c r="N3254" s="70"/>
      <c r="O3254" s="77" t="s">
        <v>179</v>
      </c>
      <c r="P3254" s="79">
        <v>45110.845219907409</v>
      </c>
      <c r="Q3254" s="77" t="s">
        <v>4028</v>
      </c>
      <c r="R3254" s="77">
        <v>0</v>
      </c>
      <c r="S3254" s="77">
        <v>4</v>
      </c>
      <c r="T3254" s="77">
        <v>1</v>
      </c>
      <c r="U3254" s="77">
        <v>0</v>
      </c>
      <c r="V3254" s="77">
        <v>1483</v>
      </c>
      <c r="W3254" s="82" t="s">
        <v>6551</v>
      </c>
      <c r="X3254" s="80" t="str">
        <f>HYPERLINK("https://www.moneytimes.com.br/ibovespa-hoje-fecha-alta-vale-vale3-petrobras-petr4-selic-03-07-2023/")</f>
        <v>https://www.moneytimes.com.br/ibovespa-hoje-fecha-alta-vale-vale3-petrobras-petr4-selic-03-07-2023/</v>
      </c>
      <c r="Y3254" s="77" t="s">
        <v>7053</v>
      </c>
      <c r="Z3254" s="77"/>
      <c r="AA3254" s="77"/>
      <c r="AB3254" s="77"/>
      <c r="AC3254" s="82" t="s">
        <v>8255</v>
      </c>
      <c r="AD3254" s="77" t="s">
        <v>8278</v>
      </c>
      <c r="AE3254" s="80" t="str">
        <f>HYPERLINK("https://twitter.com/leiamoneytimes/status/1675961891145895937")</f>
        <v>https://twitter.com/leiamoneytimes/status/1675961891145895937</v>
      </c>
      <c r="AF3254" s="79">
        <v>45110.845219907409</v>
      </c>
      <c r="AG3254" s="85">
        <v>45110</v>
      </c>
      <c r="AH3254" s="82" t="s">
        <v>11266</v>
      </c>
      <c r="AI3254" s="77" t="b">
        <v>0</v>
      </c>
      <c r="AJ3254" s="77"/>
      <c r="AK3254" s="77"/>
      <c r="AL3254" s="77"/>
      <c r="AM3254" s="77"/>
      <c r="AN3254" s="77"/>
      <c r="AO3254" s="77"/>
      <c r="AP3254" s="77"/>
      <c r="AQ3254" s="77"/>
      <c r="AR3254" s="77"/>
      <c r="AS3254" s="77"/>
      <c r="AT3254" s="77"/>
      <c r="AU3254" s="77"/>
      <c r="AV3254" s="80" t="str">
        <f>HYPERLINK("https://pbs.twimg.com/profile_images/1559883556846977024/bXHnQFY0_normal.jpg")</f>
        <v>https://pbs.twimg.com/profile_images/1559883556846977024/bXHnQFY0_normal.jpg</v>
      </c>
      <c r="AW3254" s="82" t="s">
        <v>16338</v>
      </c>
      <c r="AX3254" s="82" t="s">
        <v>16338</v>
      </c>
      <c r="AY3254" s="77"/>
      <c r="AZ3254" s="82" t="s">
        <v>17385</v>
      </c>
      <c r="BA3254" s="82" t="s">
        <v>17385</v>
      </c>
      <c r="BB3254" s="82" t="s">
        <v>17385</v>
      </c>
      <c r="BC3254" s="82" t="s">
        <v>16338</v>
      </c>
      <c r="BD3254" s="77">
        <v>51150679</v>
      </c>
      <c r="BE3254" s="77"/>
      <c r="BF3254" s="77"/>
      <c r="BG3254" s="77"/>
      <c r="BH3254" s="77"/>
      <c r="BI3254" s="77"/>
    </row>
    <row r="3255" spans="1:61" x14ac:dyDescent="0.25">
      <c r="A3255" s="62" t="s">
        <v>605</v>
      </c>
      <c r="B3255" s="62" t="s">
        <v>605</v>
      </c>
      <c r="C3255" s="63"/>
      <c r="D3255" s="64"/>
      <c r="E3255" s="65"/>
      <c r="F3255" s="66"/>
      <c r="G3255" s="63"/>
      <c r="H3255" s="67"/>
      <c r="I3255" s="68"/>
      <c r="J3255" s="68"/>
      <c r="K3255" s="32"/>
      <c r="L3255" s="75">
        <v>3255</v>
      </c>
      <c r="M3255" s="75"/>
      <c r="N3255" s="70"/>
      <c r="O3255" s="77" t="s">
        <v>179</v>
      </c>
      <c r="P3255" s="79">
        <v>45110.834189814814</v>
      </c>
      <c r="Q3255" s="77" t="s">
        <v>4029</v>
      </c>
      <c r="R3255" s="77">
        <v>0</v>
      </c>
      <c r="S3255" s="77">
        <v>5</v>
      </c>
      <c r="T3255" s="77">
        <v>1</v>
      </c>
      <c r="U3255" s="77">
        <v>0</v>
      </c>
      <c r="V3255" s="77">
        <v>1306</v>
      </c>
      <c r="W3255" s="82" t="s">
        <v>5566</v>
      </c>
      <c r="X3255" s="80" t="str">
        <f>HYPERLINK("https://www.moneytimes.com.br/petrobras-petr3-bradesco-bbdc3-e-mais-42-empresas-pagam-dividendos-no-2o-semestre-veja/")</f>
        <v>https://www.moneytimes.com.br/petrobras-petr3-bradesco-bbdc3-e-mais-42-empresas-pagam-dividendos-no-2o-semestre-veja/</v>
      </c>
      <c r="Y3255" s="77" t="s">
        <v>7053</v>
      </c>
      <c r="Z3255" s="77"/>
      <c r="AA3255" s="77"/>
      <c r="AB3255" s="77"/>
      <c r="AC3255" s="82" t="s">
        <v>8255</v>
      </c>
      <c r="AD3255" s="77" t="s">
        <v>8278</v>
      </c>
      <c r="AE3255" s="80" t="str">
        <f>HYPERLINK("https://twitter.com/leiamoneytimes/status/1675957895437901825")</f>
        <v>https://twitter.com/leiamoneytimes/status/1675957895437901825</v>
      </c>
      <c r="AF3255" s="79">
        <v>45110.834189814814</v>
      </c>
      <c r="AG3255" s="85">
        <v>45110</v>
      </c>
      <c r="AH3255" s="82" t="s">
        <v>11003</v>
      </c>
      <c r="AI3255" s="77" t="b">
        <v>0</v>
      </c>
      <c r="AJ3255" s="77"/>
      <c r="AK3255" s="77"/>
      <c r="AL3255" s="77"/>
      <c r="AM3255" s="77"/>
      <c r="AN3255" s="77"/>
      <c r="AO3255" s="77"/>
      <c r="AP3255" s="77"/>
      <c r="AQ3255" s="77"/>
      <c r="AR3255" s="77"/>
      <c r="AS3255" s="77"/>
      <c r="AT3255" s="77"/>
      <c r="AU3255" s="77"/>
      <c r="AV3255" s="80" t="str">
        <f>HYPERLINK("https://pbs.twimg.com/profile_images/1559883556846977024/bXHnQFY0_normal.jpg")</f>
        <v>https://pbs.twimg.com/profile_images/1559883556846977024/bXHnQFY0_normal.jpg</v>
      </c>
      <c r="AW3255" s="82" t="s">
        <v>16339</v>
      </c>
      <c r="AX3255" s="82" t="s">
        <v>16339</v>
      </c>
      <c r="AY3255" s="77"/>
      <c r="AZ3255" s="82" t="s">
        <v>17385</v>
      </c>
      <c r="BA3255" s="82" t="s">
        <v>17385</v>
      </c>
      <c r="BB3255" s="82" t="s">
        <v>17385</v>
      </c>
      <c r="BC3255" s="82" t="s">
        <v>16339</v>
      </c>
      <c r="BD3255" s="77">
        <v>51150679</v>
      </c>
      <c r="BE3255" s="77"/>
      <c r="BF3255" s="77"/>
      <c r="BG3255" s="77"/>
      <c r="BH3255" s="77"/>
      <c r="BI3255" s="77"/>
    </row>
    <row r="3256" spans="1:61" x14ac:dyDescent="0.25">
      <c r="A3256" s="62" t="s">
        <v>605</v>
      </c>
      <c r="B3256" s="62" t="s">
        <v>605</v>
      </c>
      <c r="C3256" s="63"/>
      <c r="D3256" s="64"/>
      <c r="E3256" s="65"/>
      <c r="F3256" s="66"/>
      <c r="G3256" s="63"/>
      <c r="H3256" s="67"/>
      <c r="I3256" s="68"/>
      <c r="J3256" s="68"/>
      <c r="K3256" s="32"/>
      <c r="L3256" s="75">
        <v>3256</v>
      </c>
      <c r="M3256" s="75"/>
      <c r="N3256" s="70"/>
      <c r="O3256" s="77" t="s">
        <v>179</v>
      </c>
      <c r="P3256" s="79">
        <v>45110.731689814813</v>
      </c>
      <c r="Q3256" s="77" t="s">
        <v>4030</v>
      </c>
      <c r="R3256" s="77">
        <v>0</v>
      </c>
      <c r="S3256" s="77">
        <v>0</v>
      </c>
      <c r="T3256" s="77">
        <v>1</v>
      </c>
      <c r="U3256" s="77">
        <v>0</v>
      </c>
      <c r="V3256" s="77">
        <v>1093</v>
      </c>
      <c r="W3256" s="82" t="s">
        <v>6562</v>
      </c>
      <c r="X3256" s="80" t="str">
        <f>HYPERLINK("https://www.moneytimes.com.br/partiu-feriado-wall-street-fecha-com-pouca-alteracao-em-pregao-mais-curto-tesla-salta/")</f>
        <v>https://www.moneytimes.com.br/partiu-feriado-wall-street-fecha-com-pouca-alteracao-em-pregao-mais-curto-tesla-salta/</v>
      </c>
      <c r="Y3256" s="77" t="s">
        <v>7053</v>
      </c>
      <c r="Z3256" s="77"/>
      <c r="AA3256" s="77"/>
      <c r="AB3256" s="77"/>
      <c r="AC3256" s="82" t="s">
        <v>8255</v>
      </c>
      <c r="AD3256" s="77" t="s">
        <v>8278</v>
      </c>
      <c r="AE3256" s="80" t="str">
        <f>HYPERLINK("https://twitter.com/leiamoneytimes/status/1675920749477912576")</f>
        <v>https://twitter.com/leiamoneytimes/status/1675920749477912576</v>
      </c>
      <c r="AF3256" s="79">
        <v>45110.731689814813</v>
      </c>
      <c r="AG3256" s="85">
        <v>45110</v>
      </c>
      <c r="AH3256" s="82" t="s">
        <v>11267</v>
      </c>
      <c r="AI3256" s="77" t="b">
        <v>0</v>
      </c>
      <c r="AJ3256" s="77"/>
      <c r="AK3256" s="77"/>
      <c r="AL3256" s="77"/>
      <c r="AM3256" s="77"/>
      <c r="AN3256" s="77"/>
      <c r="AO3256" s="77"/>
      <c r="AP3256" s="77"/>
      <c r="AQ3256" s="77"/>
      <c r="AR3256" s="77"/>
      <c r="AS3256" s="77"/>
      <c r="AT3256" s="77"/>
      <c r="AU3256" s="77"/>
      <c r="AV3256" s="80" t="str">
        <f>HYPERLINK("https://pbs.twimg.com/profile_images/1559883556846977024/bXHnQFY0_normal.jpg")</f>
        <v>https://pbs.twimg.com/profile_images/1559883556846977024/bXHnQFY0_normal.jpg</v>
      </c>
      <c r="AW3256" s="82" t="s">
        <v>16340</v>
      </c>
      <c r="AX3256" s="82" t="s">
        <v>16340</v>
      </c>
      <c r="AY3256" s="77"/>
      <c r="AZ3256" s="82" t="s">
        <v>17385</v>
      </c>
      <c r="BA3256" s="82" t="s">
        <v>17385</v>
      </c>
      <c r="BB3256" s="82" t="s">
        <v>17385</v>
      </c>
      <c r="BC3256" s="82" t="s">
        <v>16340</v>
      </c>
      <c r="BD3256" s="77">
        <v>51150679</v>
      </c>
      <c r="BE3256" s="77"/>
      <c r="BF3256" s="77"/>
      <c r="BG3256" s="77"/>
      <c r="BH3256" s="77"/>
      <c r="BI3256" s="77"/>
    </row>
    <row r="3257" spans="1:61" x14ac:dyDescent="0.25">
      <c r="A3257" s="62" t="s">
        <v>605</v>
      </c>
      <c r="B3257" s="62" t="s">
        <v>605</v>
      </c>
      <c r="C3257" s="63"/>
      <c r="D3257" s="64"/>
      <c r="E3257" s="65"/>
      <c r="F3257" s="66"/>
      <c r="G3257" s="63"/>
      <c r="H3257" s="67"/>
      <c r="I3257" s="68"/>
      <c r="J3257" s="68"/>
      <c r="K3257" s="32"/>
      <c r="L3257" s="75">
        <v>3257</v>
      </c>
      <c r="M3257" s="75"/>
      <c r="N3257" s="70"/>
      <c r="O3257" s="77" t="s">
        <v>179</v>
      </c>
      <c r="P3257" s="79">
        <v>45110.662268518521</v>
      </c>
      <c r="Q3257" s="77" t="s">
        <v>4031</v>
      </c>
      <c r="R3257" s="77">
        <v>0</v>
      </c>
      <c r="S3257" s="77">
        <v>3</v>
      </c>
      <c r="T3257" s="77">
        <v>0</v>
      </c>
      <c r="U3257" s="77">
        <v>0</v>
      </c>
      <c r="V3257" s="77">
        <v>1330</v>
      </c>
      <c r="W3257" s="82" t="s">
        <v>6563</v>
      </c>
      <c r="X3257" s="80" t="str">
        <f>HYPERLINK("https://www.moneytimes.com.br/ibovespa-gerdau-goau4-lidera-as-altas-da-sessao-petrobras-petr4-e-vale-vale3-avancam/")</f>
        <v>https://www.moneytimes.com.br/ibovespa-gerdau-goau4-lidera-as-altas-da-sessao-petrobras-petr4-e-vale-vale3-avancam/</v>
      </c>
      <c r="Y3257" s="77" t="s">
        <v>7053</v>
      </c>
      <c r="Z3257" s="77"/>
      <c r="AA3257" s="77"/>
      <c r="AB3257" s="77"/>
      <c r="AC3257" s="82" t="s">
        <v>8255</v>
      </c>
      <c r="AD3257" s="77" t="s">
        <v>8278</v>
      </c>
      <c r="AE3257" s="80" t="str">
        <f>HYPERLINK("https://twitter.com/leiamoneytimes/status/1675895591757307904")</f>
        <v>https://twitter.com/leiamoneytimes/status/1675895591757307904</v>
      </c>
      <c r="AF3257" s="79">
        <v>45110.662268518521</v>
      </c>
      <c r="AG3257" s="85">
        <v>45110</v>
      </c>
      <c r="AH3257" s="82" t="s">
        <v>11268</v>
      </c>
      <c r="AI3257" s="77" t="b">
        <v>0</v>
      </c>
      <c r="AJ3257" s="77"/>
      <c r="AK3257" s="77"/>
      <c r="AL3257" s="77"/>
      <c r="AM3257" s="77"/>
      <c r="AN3257" s="77"/>
      <c r="AO3257" s="77"/>
      <c r="AP3257" s="77"/>
      <c r="AQ3257" s="77"/>
      <c r="AR3257" s="77"/>
      <c r="AS3257" s="77"/>
      <c r="AT3257" s="77"/>
      <c r="AU3257" s="77"/>
      <c r="AV3257" s="80" t="str">
        <f>HYPERLINK("https://pbs.twimg.com/profile_images/1559883556846977024/bXHnQFY0_normal.jpg")</f>
        <v>https://pbs.twimg.com/profile_images/1559883556846977024/bXHnQFY0_normal.jpg</v>
      </c>
      <c r="AW3257" s="82" t="s">
        <v>16341</v>
      </c>
      <c r="AX3257" s="82" t="s">
        <v>16341</v>
      </c>
      <c r="AY3257" s="77"/>
      <c r="AZ3257" s="82" t="s">
        <v>17385</v>
      </c>
      <c r="BA3257" s="82" t="s">
        <v>17385</v>
      </c>
      <c r="BB3257" s="82" t="s">
        <v>17385</v>
      </c>
      <c r="BC3257" s="82" t="s">
        <v>16341</v>
      </c>
      <c r="BD3257" s="77">
        <v>51150679</v>
      </c>
      <c r="BE3257" s="77"/>
      <c r="BF3257" s="77"/>
      <c r="BG3257" s="77"/>
      <c r="BH3257" s="77"/>
      <c r="BI3257" s="77"/>
    </row>
    <row r="3258" spans="1:61" x14ac:dyDescent="0.25">
      <c r="A3258" s="62" t="s">
        <v>605</v>
      </c>
      <c r="B3258" s="62" t="s">
        <v>605</v>
      </c>
      <c r="C3258" s="63"/>
      <c r="D3258" s="64"/>
      <c r="E3258" s="65"/>
      <c r="F3258" s="66"/>
      <c r="G3258" s="63"/>
      <c r="H3258" s="67"/>
      <c r="I3258" s="68"/>
      <c r="J3258" s="68"/>
      <c r="K3258" s="32"/>
      <c r="L3258" s="75">
        <v>3258</v>
      </c>
      <c r="M3258" s="75"/>
      <c r="N3258" s="70"/>
      <c r="O3258" s="77" t="s">
        <v>179</v>
      </c>
      <c r="P3258" s="79">
        <v>45110.476886574077</v>
      </c>
      <c r="Q3258" s="77" t="s">
        <v>4032</v>
      </c>
      <c r="R3258" s="77">
        <v>0</v>
      </c>
      <c r="S3258" s="77">
        <v>5</v>
      </c>
      <c r="T3258" s="77">
        <v>1</v>
      </c>
      <c r="U3258" s="77">
        <v>0</v>
      </c>
      <c r="V3258" s="77">
        <v>1211</v>
      </c>
      <c r="W3258" s="82" t="s">
        <v>6564</v>
      </c>
      <c r="X3258" s="80" t="str">
        <f>HYPERLINK("https://www.moneytimes.com.br/bolsas-asiaticas-mercado-da-china-fecha-em-alta-com-expectativas-de-suporte/")</f>
        <v>https://www.moneytimes.com.br/bolsas-asiaticas-mercado-da-china-fecha-em-alta-com-expectativas-de-suporte/</v>
      </c>
      <c r="Y3258" s="77" t="s">
        <v>7053</v>
      </c>
      <c r="Z3258" s="77"/>
      <c r="AA3258" s="77"/>
      <c r="AB3258" s="77"/>
      <c r="AC3258" s="82" t="s">
        <v>8255</v>
      </c>
      <c r="AD3258" s="77" t="s">
        <v>8278</v>
      </c>
      <c r="AE3258" s="80" t="str">
        <f>HYPERLINK("https://twitter.com/leiamoneytimes/status/1675828410214498306")</f>
        <v>https://twitter.com/leiamoneytimes/status/1675828410214498306</v>
      </c>
      <c r="AF3258" s="79">
        <v>45110.476886574077</v>
      </c>
      <c r="AG3258" s="85">
        <v>45110</v>
      </c>
      <c r="AH3258" s="82" t="s">
        <v>11269</v>
      </c>
      <c r="AI3258" s="77" t="b">
        <v>0</v>
      </c>
      <c r="AJ3258" s="77"/>
      <c r="AK3258" s="77"/>
      <c r="AL3258" s="77"/>
      <c r="AM3258" s="77"/>
      <c r="AN3258" s="77"/>
      <c r="AO3258" s="77"/>
      <c r="AP3258" s="77"/>
      <c r="AQ3258" s="77"/>
      <c r="AR3258" s="77"/>
      <c r="AS3258" s="77"/>
      <c r="AT3258" s="77"/>
      <c r="AU3258" s="77"/>
      <c r="AV3258" s="80" t="str">
        <f>HYPERLINK("https://pbs.twimg.com/profile_images/1559883556846977024/bXHnQFY0_normal.jpg")</f>
        <v>https://pbs.twimg.com/profile_images/1559883556846977024/bXHnQFY0_normal.jpg</v>
      </c>
      <c r="AW3258" s="82" t="s">
        <v>16342</v>
      </c>
      <c r="AX3258" s="82" t="s">
        <v>16342</v>
      </c>
      <c r="AY3258" s="77"/>
      <c r="AZ3258" s="82" t="s">
        <v>17385</v>
      </c>
      <c r="BA3258" s="82" t="s">
        <v>17385</v>
      </c>
      <c r="BB3258" s="82" t="s">
        <v>17385</v>
      </c>
      <c r="BC3258" s="82" t="s">
        <v>16342</v>
      </c>
      <c r="BD3258" s="77">
        <v>51150679</v>
      </c>
      <c r="BE3258" s="77"/>
      <c r="BF3258" s="77"/>
      <c r="BG3258" s="77"/>
      <c r="BH3258" s="77"/>
      <c r="BI3258" s="77"/>
    </row>
    <row r="3259" spans="1:61" x14ac:dyDescent="0.25">
      <c r="A3259" s="62" t="s">
        <v>605</v>
      </c>
      <c r="B3259" s="62" t="s">
        <v>605</v>
      </c>
      <c r="C3259" s="63"/>
      <c r="D3259" s="64"/>
      <c r="E3259" s="65"/>
      <c r="F3259" s="66"/>
      <c r="G3259" s="63"/>
      <c r="H3259" s="67"/>
      <c r="I3259" s="68"/>
      <c r="J3259" s="68"/>
      <c r="K3259" s="32"/>
      <c r="L3259" s="75">
        <v>3259</v>
      </c>
      <c r="M3259" s="75"/>
      <c r="N3259" s="70"/>
      <c r="O3259" s="77" t="s">
        <v>179</v>
      </c>
      <c r="P3259" s="79">
        <v>45110.459583333337</v>
      </c>
      <c r="Q3259" s="77" t="s">
        <v>4033</v>
      </c>
      <c r="R3259" s="77">
        <v>0</v>
      </c>
      <c r="S3259" s="77">
        <v>0</v>
      </c>
      <c r="T3259" s="77">
        <v>1</v>
      </c>
      <c r="U3259" s="77">
        <v>0</v>
      </c>
      <c r="V3259" s="77">
        <v>1233</v>
      </c>
      <c r="W3259" s="82" t="s">
        <v>5554</v>
      </c>
      <c r="X3259" s="80" t="str">
        <f>HYPERLINK("https://www.moneytimes.com.br/vai-comecar-o-segundo-tempo-onde-investir-no-2o-semestre-crise-da-americanas-amer3-o-substituto-de-bolsonaro-e-outros-destaques-do-dia/")</f>
        <v>https://www.moneytimes.com.br/vai-comecar-o-segundo-tempo-onde-investir-no-2o-semestre-crise-da-americanas-amer3-o-substituto-de-bolsonaro-e-outros-destaques-do-dia/</v>
      </c>
      <c r="Y3259" s="77" t="s">
        <v>7053</v>
      </c>
      <c r="Z3259" s="77"/>
      <c r="AA3259" s="77"/>
      <c r="AB3259" s="77"/>
      <c r="AC3259" s="82" t="s">
        <v>8255</v>
      </c>
      <c r="AD3259" s="77" t="s">
        <v>8278</v>
      </c>
      <c r="AE3259" s="80" t="str">
        <f>HYPERLINK("https://twitter.com/leiamoneytimes/status/1675822143030849540")</f>
        <v>https://twitter.com/leiamoneytimes/status/1675822143030849540</v>
      </c>
      <c r="AF3259" s="79">
        <v>45110.459583333337</v>
      </c>
      <c r="AG3259" s="85">
        <v>45110</v>
      </c>
      <c r="AH3259" s="82" t="s">
        <v>11270</v>
      </c>
      <c r="AI3259" s="77" t="b">
        <v>0</v>
      </c>
      <c r="AJ3259" s="77"/>
      <c r="AK3259" s="77"/>
      <c r="AL3259" s="77"/>
      <c r="AM3259" s="77"/>
      <c r="AN3259" s="77"/>
      <c r="AO3259" s="77"/>
      <c r="AP3259" s="77"/>
      <c r="AQ3259" s="77"/>
      <c r="AR3259" s="77"/>
      <c r="AS3259" s="77"/>
      <c r="AT3259" s="77"/>
      <c r="AU3259" s="77"/>
      <c r="AV3259" s="80" t="str">
        <f>HYPERLINK("https://pbs.twimg.com/profile_images/1559883556846977024/bXHnQFY0_normal.jpg")</f>
        <v>https://pbs.twimg.com/profile_images/1559883556846977024/bXHnQFY0_normal.jpg</v>
      </c>
      <c r="AW3259" s="82" t="s">
        <v>16343</v>
      </c>
      <c r="AX3259" s="82" t="s">
        <v>16343</v>
      </c>
      <c r="AY3259" s="77"/>
      <c r="AZ3259" s="82" t="s">
        <v>17385</v>
      </c>
      <c r="BA3259" s="82" t="s">
        <v>17385</v>
      </c>
      <c r="BB3259" s="82" t="s">
        <v>17385</v>
      </c>
      <c r="BC3259" s="82" t="s">
        <v>16343</v>
      </c>
      <c r="BD3259" s="77">
        <v>51150679</v>
      </c>
      <c r="BE3259" s="77"/>
      <c r="BF3259" s="77"/>
      <c r="BG3259" s="77"/>
      <c r="BH3259" s="77"/>
      <c r="BI3259" s="77"/>
    </row>
    <row r="3260" spans="1:61" x14ac:dyDescent="0.25">
      <c r="A3260" s="62" t="s">
        <v>605</v>
      </c>
      <c r="B3260" s="62" t="s">
        <v>605</v>
      </c>
      <c r="C3260" s="63"/>
      <c r="D3260" s="64"/>
      <c r="E3260" s="65"/>
      <c r="F3260" s="66"/>
      <c r="G3260" s="63"/>
      <c r="H3260" s="67"/>
      <c r="I3260" s="68"/>
      <c r="J3260" s="68"/>
      <c r="K3260" s="32"/>
      <c r="L3260" s="75">
        <v>3260</v>
      </c>
      <c r="M3260" s="75"/>
      <c r="N3260" s="70"/>
      <c r="O3260" s="77" t="s">
        <v>179</v>
      </c>
      <c r="P3260" s="79">
        <v>45109.861539351848</v>
      </c>
      <c r="Q3260" s="77" t="s">
        <v>4034</v>
      </c>
      <c r="R3260" s="77">
        <v>7</v>
      </c>
      <c r="S3260" s="77">
        <v>16</v>
      </c>
      <c r="T3260" s="77">
        <v>3</v>
      </c>
      <c r="U3260" s="77">
        <v>3</v>
      </c>
      <c r="V3260" s="77">
        <v>5857</v>
      </c>
      <c r="W3260" s="82" t="s">
        <v>6565</v>
      </c>
      <c r="X3260" s="80" t="str">
        <f>HYPERLINK("https://www.moneytimes.com.br/petrobras-petr4-autoriza-odebrecht-andrade-gutierrez-e-utc-a-disputar-obras/")</f>
        <v>https://www.moneytimes.com.br/petrobras-petr4-autoriza-odebrecht-andrade-gutierrez-e-utc-a-disputar-obras/</v>
      </c>
      <c r="Y3260" s="77" t="s">
        <v>7053</v>
      </c>
      <c r="Z3260" s="77"/>
      <c r="AA3260" s="77"/>
      <c r="AB3260" s="77"/>
      <c r="AC3260" s="82" t="s">
        <v>8255</v>
      </c>
      <c r="AD3260" s="77" t="s">
        <v>8281</v>
      </c>
      <c r="AE3260" s="80" t="str">
        <f>HYPERLINK("https://twitter.com/leiamoneytimes/status/1675605416607088640")</f>
        <v>https://twitter.com/leiamoneytimes/status/1675605416607088640</v>
      </c>
      <c r="AF3260" s="79">
        <v>45109.861539351848</v>
      </c>
      <c r="AG3260" s="85">
        <v>45109</v>
      </c>
      <c r="AH3260" s="82" t="s">
        <v>11271</v>
      </c>
      <c r="AI3260" s="77" t="b">
        <v>0</v>
      </c>
      <c r="AJ3260" s="77"/>
      <c r="AK3260" s="77"/>
      <c r="AL3260" s="77"/>
      <c r="AM3260" s="77"/>
      <c r="AN3260" s="77"/>
      <c r="AO3260" s="77"/>
      <c r="AP3260" s="77"/>
      <c r="AQ3260" s="77"/>
      <c r="AR3260" s="77"/>
      <c r="AS3260" s="77"/>
      <c r="AT3260" s="77"/>
      <c r="AU3260" s="77"/>
      <c r="AV3260" s="80" t="str">
        <f>HYPERLINK("https://pbs.twimg.com/profile_images/1559883556846977024/bXHnQFY0_normal.jpg")</f>
        <v>https://pbs.twimg.com/profile_images/1559883556846977024/bXHnQFY0_normal.jpg</v>
      </c>
      <c r="AW3260" s="82" t="s">
        <v>16344</v>
      </c>
      <c r="AX3260" s="82" t="s">
        <v>16344</v>
      </c>
      <c r="AY3260" s="77"/>
      <c r="AZ3260" s="82" t="s">
        <v>17385</v>
      </c>
      <c r="BA3260" s="82" t="s">
        <v>17385</v>
      </c>
      <c r="BB3260" s="82" t="s">
        <v>17385</v>
      </c>
      <c r="BC3260" s="82" t="s">
        <v>16344</v>
      </c>
      <c r="BD3260" s="77">
        <v>51150679</v>
      </c>
      <c r="BE3260" s="77"/>
      <c r="BF3260" s="77"/>
      <c r="BG3260" s="77"/>
      <c r="BH3260" s="77"/>
      <c r="BI3260" s="77"/>
    </row>
    <row r="3261" spans="1:61" x14ac:dyDescent="0.25">
      <c r="A3261" s="62" t="s">
        <v>605</v>
      </c>
      <c r="B3261" s="62" t="s">
        <v>605</v>
      </c>
      <c r="C3261" s="63"/>
      <c r="D3261" s="64"/>
      <c r="E3261" s="65"/>
      <c r="F3261" s="66"/>
      <c r="G3261" s="63"/>
      <c r="H3261" s="67"/>
      <c r="I3261" s="68"/>
      <c r="J3261" s="68"/>
      <c r="K3261" s="32"/>
      <c r="L3261" s="75">
        <v>3261</v>
      </c>
      <c r="M3261" s="75"/>
      <c r="N3261" s="70"/>
      <c r="O3261" s="77" t="s">
        <v>179</v>
      </c>
      <c r="P3261" s="79">
        <v>45097.659375000003</v>
      </c>
      <c r="Q3261" s="77" t="s">
        <v>4035</v>
      </c>
      <c r="R3261" s="77">
        <v>0</v>
      </c>
      <c r="S3261" s="77">
        <v>7</v>
      </c>
      <c r="T3261" s="77">
        <v>1</v>
      </c>
      <c r="U3261" s="77">
        <v>0</v>
      </c>
      <c r="V3261" s="77">
        <v>1333</v>
      </c>
      <c r="W3261" s="82" t="s">
        <v>6566</v>
      </c>
      <c r="X3261" s="80" t="str">
        <f>HYPERLINK("https://www.moneytimes.com.br/ibovespa-brf-brfs3-e-jbs-jbss3-lideram-as-altas-enquanto-aereas-e-mineradoras-caem/")</f>
        <v>https://www.moneytimes.com.br/ibovespa-brf-brfs3-e-jbs-jbss3-lideram-as-altas-enquanto-aereas-e-mineradoras-caem/</v>
      </c>
      <c r="Y3261" s="77" t="s">
        <v>7053</v>
      </c>
      <c r="Z3261" s="77"/>
      <c r="AA3261" s="77"/>
      <c r="AB3261" s="77"/>
      <c r="AC3261" s="82" t="s">
        <v>8255</v>
      </c>
      <c r="AD3261" s="77" t="s">
        <v>8278</v>
      </c>
      <c r="AE3261" s="80" t="str">
        <f>HYPERLINK("https://twitter.com/leiamoneytimes/status/1671183502186774528")</f>
        <v>https://twitter.com/leiamoneytimes/status/1671183502186774528</v>
      </c>
      <c r="AF3261" s="79">
        <v>45097.659375000003</v>
      </c>
      <c r="AG3261" s="85">
        <v>45097</v>
      </c>
      <c r="AH3261" s="82" t="s">
        <v>11272</v>
      </c>
      <c r="AI3261" s="77" t="b">
        <v>0</v>
      </c>
      <c r="AJ3261" s="77"/>
      <c r="AK3261" s="77"/>
      <c r="AL3261" s="77"/>
      <c r="AM3261" s="77"/>
      <c r="AN3261" s="77"/>
      <c r="AO3261" s="77"/>
      <c r="AP3261" s="77"/>
      <c r="AQ3261" s="77"/>
      <c r="AR3261" s="77"/>
      <c r="AS3261" s="77"/>
      <c r="AT3261" s="77"/>
      <c r="AU3261" s="77"/>
      <c r="AV3261" s="80" t="str">
        <f>HYPERLINK("https://pbs.twimg.com/profile_images/1559883556846977024/bXHnQFY0_normal.jpg")</f>
        <v>https://pbs.twimg.com/profile_images/1559883556846977024/bXHnQFY0_normal.jpg</v>
      </c>
      <c r="AW3261" s="82" t="s">
        <v>16345</v>
      </c>
      <c r="AX3261" s="82" t="s">
        <v>16345</v>
      </c>
      <c r="AY3261" s="77"/>
      <c r="AZ3261" s="82" t="s">
        <v>17385</v>
      </c>
      <c r="BA3261" s="82" t="s">
        <v>17385</v>
      </c>
      <c r="BB3261" s="82" t="s">
        <v>17385</v>
      </c>
      <c r="BC3261" s="82" t="s">
        <v>16345</v>
      </c>
      <c r="BD3261" s="77">
        <v>51150679</v>
      </c>
      <c r="BE3261" s="77"/>
      <c r="BF3261" s="77"/>
      <c r="BG3261" s="77"/>
      <c r="BH3261" s="77"/>
      <c r="BI3261" s="77"/>
    </row>
    <row r="3262" spans="1:61" x14ac:dyDescent="0.25">
      <c r="A3262" s="62" t="s">
        <v>605</v>
      </c>
      <c r="B3262" s="62" t="s">
        <v>605</v>
      </c>
      <c r="C3262" s="63"/>
      <c r="D3262" s="64"/>
      <c r="E3262" s="65"/>
      <c r="F3262" s="66"/>
      <c r="G3262" s="63"/>
      <c r="H3262" s="67"/>
      <c r="I3262" s="68"/>
      <c r="J3262" s="68"/>
      <c r="K3262" s="32"/>
      <c r="L3262" s="75">
        <v>3262</v>
      </c>
      <c r="M3262" s="75"/>
      <c r="N3262" s="70"/>
      <c r="O3262" s="77" t="s">
        <v>179</v>
      </c>
      <c r="P3262" s="79">
        <v>45097.477650462963</v>
      </c>
      <c r="Q3262" s="77" t="s">
        <v>4036</v>
      </c>
      <c r="R3262" s="77">
        <v>0</v>
      </c>
      <c r="S3262" s="77">
        <v>3</v>
      </c>
      <c r="T3262" s="77">
        <v>1</v>
      </c>
      <c r="U3262" s="77">
        <v>0</v>
      </c>
      <c r="V3262" s="77">
        <v>1289</v>
      </c>
      <c r="W3262" s="82" t="s">
        <v>6567</v>
      </c>
      <c r="X3262" s="80" t="str">
        <f>HYPERLINK("https://www.moneytimes.com.br/acoes-da-china-e-hong-kong-caem-com-corte-de-juros-visita-de-blinken-decepciona/")</f>
        <v>https://www.moneytimes.com.br/acoes-da-china-e-hong-kong-caem-com-corte-de-juros-visita-de-blinken-decepciona/</v>
      </c>
      <c r="Y3262" s="77" t="s">
        <v>7053</v>
      </c>
      <c r="Z3262" s="77"/>
      <c r="AA3262" s="77"/>
      <c r="AB3262" s="77"/>
      <c r="AC3262" s="82" t="s">
        <v>8255</v>
      </c>
      <c r="AD3262" s="77" t="s">
        <v>8278</v>
      </c>
      <c r="AE3262" s="80" t="str">
        <f>HYPERLINK("https://twitter.com/leiamoneytimes/status/1671117648787013632")</f>
        <v>https://twitter.com/leiamoneytimes/status/1671117648787013632</v>
      </c>
      <c r="AF3262" s="79">
        <v>45097.477650462963</v>
      </c>
      <c r="AG3262" s="85">
        <v>45097</v>
      </c>
      <c r="AH3262" s="82" t="s">
        <v>11273</v>
      </c>
      <c r="AI3262" s="77" t="b">
        <v>0</v>
      </c>
      <c r="AJ3262" s="77"/>
      <c r="AK3262" s="77"/>
      <c r="AL3262" s="77"/>
      <c r="AM3262" s="77"/>
      <c r="AN3262" s="77"/>
      <c r="AO3262" s="77"/>
      <c r="AP3262" s="77"/>
      <c r="AQ3262" s="77"/>
      <c r="AR3262" s="77"/>
      <c r="AS3262" s="77"/>
      <c r="AT3262" s="77"/>
      <c r="AU3262" s="77"/>
      <c r="AV3262" s="80" t="str">
        <f>HYPERLINK("https://pbs.twimg.com/profile_images/1559883556846977024/bXHnQFY0_normal.jpg")</f>
        <v>https://pbs.twimg.com/profile_images/1559883556846977024/bXHnQFY0_normal.jpg</v>
      </c>
      <c r="AW3262" s="82" t="s">
        <v>16346</v>
      </c>
      <c r="AX3262" s="82" t="s">
        <v>16346</v>
      </c>
      <c r="AY3262" s="77"/>
      <c r="AZ3262" s="82" t="s">
        <v>17385</v>
      </c>
      <c r="BA3262" s="82" t="s">
        <v>17385</v>
      </c>
      <c r="BB3262" s="82" t="s">
        <v>17385</v>
      </c>
      <c r="BC3262" s="82" t="s">
        <v>16346</v>
      </c>
      <c r="BD3262" s="77">
        <v>51150679</v>
      </c>
      <c r="BE3262" s="77"/>
      <c r="BF3262" s="77"/>
      <c r="BG3262" s="77"/>
      <c r="BH3262" s="77"/>
      <c r="BI3262" s="77"/>
    </row>
    <row r="3263" spans="1:61" x14ac:dyDescent="0.25">
      <c r="A3263" s="62" t="s">
        <v>605</v>
      </c>
      <c r="B3263" s="62" t="s">
        <v>605</v>
      </c>
      <c r="C3263" s="63"/>
      <c r="D3263" s="64"/>
      <c r="E3263" s="65"/>
      <c r="F3263" s="66"/>
      <c r="G3263" s="63"/>
      <c r="H3263" s="67"/>
      <c r="I3263" s="68"/>
      <c r="J3263" s="68"/>
      <c r="K3263" s="32"/>
      <c r="L3263" s="75">
        <v>3263</v>
      </c>
      <c r="M3263" s="75"/>
      <c r="N3263" s="70"/>
      <c r="O3263" s="77" t="s">
        <v>179</v>
      </c>
      <c r="P3263" s="79">
        <v>45097.428379629629</v>
      </c>
      <c r="Q3263" s="77" t="s">
        <v>4037</v>
      </c>
      <c r="R3263" s="77">
        <v>0</v>
      </c>
      <c r="S3263" s="77">
        <v>5</v>
      </c>
      <c r="T3263" s="77">
        <v>1</v>
      </c>
      <c r="U3263" s="77">
        <v>0</v>
      </c>
      <c r="V3263" s="77">
        <v>1795</v>
      </c>
      <c r="W3263" s="82" t="s">
        <v>6568</v>
      </c>
      <c r="X3263" s="80" t="str">
        <f>HYPERLINK("https://www.moneytimes.com.br/tempo-real-ibovespa-pode-arriscar-mais-uma-alta-nesta-terca-feira-20/")</f>
        <v>https://www.moneytimes.com.br/tempo-real-ibovespa-pode-arriscar-mais-uma-alta-nesta-terca-feira-20/</v>
      </c>
      <c r="Y3263" s="77" t="s">
        <v>7053</v>
      </c>
      <c r="Z3263" s="77"/>
      <c r="AA3263" s="77"/>
      <c r="AB3263" s="77"/>
      <c r="AC3263" s="82" t="s">
        <v>8255</v>
      </c>
      <c r="AD3263" s="77" t="s">
        <v>8278</v>
      </c>
      <c r="AE3263" s="80" t="str">
        <f>HYPERLINK("https://twitter.com/leiamoneytimes/status/1671099790099136513")</f>
        <v>https://twitter.com/leiamoneytimes/status/1671099790099136513</v>
      </c>
      <c r="AF3263" s="79">
        <v>45097.428379629629</v>
      </c>
      <c r="AG3263" s="85">
        <v>45097</v>
      </c>
      <c r="AH3263" s="82" t="s">
        <v>11274</v>
      </c>
      <c r="AI3263" s="77" t="b">
        <v>0</v>
      </c>
      <c r="AJ3263" s="77"/>
      <c r="AK3263" s="77"/>
      <c r="AL3263" s="77"/>
      <c r="AM3263" s="77"/>
      <c r="AN3263" s="77"/>
      <c r="AO3263" s="77"/>
      <c r="AP3263" s="77"/>
      <c r="AQ3263" s="77"/>
      <c r="AR3263" s="77"/>
      <c r="AS3263" s="77"/>
      <c r="AT3263" s="77"/>
      <c r="AU3263" s="77"/>
      <c r="AV3263" s="80" t="str">
        <f>HYPERLINK("https://pbs.twimg.com/profile_images/1559883556846977024/bXHnQFY0_normal.jpg")</f>
        <v>https://pbs.twimg.com/profile_images/1559883556846977024/bXHnQFY0_normal.jpg</v>
      </c>
      <c r="AW3263" s="82" t="s">
        <v>16347</v>
      </c>
      <c r="AX3263" s="82" t="s">
        <v>16347</v>
      </c>
      <c r="AY3263" s="77"/>
      <c r="AZ3263" s="82" t="s">
        <v>17385</v>
      </c>
      <c r="BA3263" s="82" t="s">
        <v>17385</v>
      </c>
      <c r="BB3263" s="82" t="s">
        <v>17385</v>
      </c>
      <c r="BC3263" s="82" t="s">
        <v>16347</v>
      </c>
      <c r="BD3263" s="77">
        <v>51150679</v>
      </c>
      <c r="BE3263" s="77"/>
      <c r="BF3263" s="77"/>
      <c r="BG3263" s="77"/>
      <c r="BH3263" s="77"/>
      <c r="BI3263" s="77"/>
    </row>
    <row r="3264" spans="1:61" x14ac:dyDescent="0.25">
      <c r="A3264" s="62" t="s">
        <v>605</v>
      </c>
      <c r="B3264" s="62" t="s">
        <v>605</v>
      </c>
      <c r="C3264" s="63"/>
      <c r="D3264" s="64"/>
      <c r="E3264" s="65"/>
      <c r="F3264" s="66"/>
      <c r="G3264" s="63"/>
      <c r="H3264" s="67"/>
      <c r="I3264" s="68"/>
      <c r="J3264" s="68"/>
      <c r="K3264" s="32"/>
      <c r="L3264" s="75">
        <v>3264</v>
      </c>
      <c r="M3264" s="75"/>
      <c r="N3264" s="70"/>
      <c r="O3264" s="77" t="s">
        <v>179</v>
      </c>
      <c r="P3264" s="79">
        <v>45096.982881944445</v>
      </c>
      <c r="Q3264" s="77" t="s">
        <v>4038</v>
      </c>
      <c r="R3264" s="77">
        <v>0</v>
      </c>
      <c r="S3264" s="77">
        <v>7</v>
      </c>
      <c r="T3264" s="77">
        <v>1</v>
      </c>
      <c r="U3264" s="77">
        <v>0</v>
      </c>
      <c r="V3264" s="77">
        <v>2416</v>
      </c>
      <c r="W3264" s="82" t="s">
        <v>6550</v>
      </c>
      <c r="X3264" s="80" t="str">
        <f>HYPERLINK("https://www.moneytimes.com.br/gestora-vende-acoes-de-empresa-do-ibovespa-que-amarga-tombo-de-dois-digitos/")</f>
        <v>https://www.moneytimes.com.br/gestora-vende-acoes-de-empresa-do-ibovespa-que-amarga-tombo-de-dois-digitos/</v>
      </c>
      <c r="Y3264" s="77" t="s">
        <v>7053</v>
      </c>
      <c r="Z3264" s="77"/>
      <c r="AA3264" s="77"/>
      <c r="AB3264" s="77"/>
      <c r="AC3264" s="82" t="s">
        <v>8255</v>
      </c>
      <c r="AD3264" s="77" t="s">
        <v>8278</v>
      </c>
      <c r="AE3264" s="80" t="str">
        <f>HYPERLINK("https://twitter.com/leiamoneytimes/status/1670938348175720453")</f>
        <v>https://twitter.com/leiamoneytimes/status/1670938348175720453</v>
      </c>
      <c r="AF3264" s="79">
        <v>45096.982881944445</v>
      </c>
      <c r="AG3264" s="85">
        <v>45096</v>
      </c>
      <c r="AH3264" s="82" t="s">
        <v>11275</v>
      </c>
      <c r="AI3264" s="77" t="b">
        <v>0</v>
      </c>
      <c r="AJ3264" s="77"/>
      <c r="AK3264" s="77"/>
      <c r="AL3264" s="77"/>
      <c r="AM3264" s="77"/>
      <c r="AN3264" s="77"/>
      <c r="AO3264" s="77"/>
      <c r="AP3264" s="77"/>
      <c r="AQ3264" s="77"/>
      <c r="AR3264" s="77"/>
      <c r="AS3264" s="77"/>
      <c r="AT3264" s="77"/>
      <c r="AU3264" s="77"/>
      <c r="AV3264" s="80" t="str">
        <f>HYPERLINK("https://pbs.twimg.com/profile_images/1559883556846977024/bXHnQFY0_normal.jpg")</f>
        <v>https://pbs.twimg.com/profile_images/1559883556846977024/bXHnQFY0_normal.jpg</v>
      </c>
      <c r="AW3264" s="82" t="s">
        <v>16348</v>
      </c>
      <c r="AX3264" s="82" t="s">
        <v>16348</v>
      </c>
      <c r="AY3264" s="77"/>
      <c r="AZ3264" s="82" t="s">
        <v>17385</v>
      </c>
      <c r="BA3264" s="82" t="s">
        <v>17385</v>
      </c>
      <c r="BB3264" s="82" t="s">
        <v>17385</v>
      </c>
      <c r="BC3264" s="82" t="s">
        <v>16348</v>
      </c>
      <c r="BD3264" s="77">
        <v>51150679</v>
      </c>
      <c r="BE3264" s="77"/>
      <c r="BF3264" s="77"/>
      <c r="BG3264" s="77"/>
      <c r="BH3264" s="77"/>
      <c r="BI3264" s="77"/>
    </row>
    <row r="3265" spans="1:61" x14ac:dyDescent="0.25">
      <c r="A3265" s="62" t="s">
        <v>605</v>
      </c>
      <c r="B3265" s="62" t="s">
        <v>605</v>
      </c>
      <c r="C3265" s="63"/>
      <c r="D3265" s="64"/>
      <c r="E3265" s="65"/>
      <c r="F3265" s="66"/>
      <c r="G3265" s="63"/>
      <c r="H3265" s="67"/>
      <c r="I3265" s="68"/>
      <c r="J3265" s="68"/>
      <c r="K3265" s="32"/>
      <c r="L3265" s="75">
        <v>3265</v>
      </c>
      <c r="M3265" s="75"/>
      <c r="N3265" s="70"/>
      <c r="O3265" s="77" t="s">
        <v>179</v>
      </c>
      <c r="P3265" s="79">
        <v>45096.849166666667</v>
      </c>
      <c r="Q3265" s="77" t="s">
        <v>4039</v>
      </c>
      <c r="R3265" s="77">
        <v>0</v>
      </c>
      <c r="S3265" s="77">
        <v>7</v>
      </c>
      <c r="T3265" s="77">
        <v>1</v>
      </c>
      <c r="U3265" s="77">
        <v>0</v>
      </c>
      <c r="V3265" s="77">
        <v>1752</v>
      </c>
      <c r="W3265" s="82" t="s">
        <v>6551</v>
      </c>
      <c r="X3265" s="80" t="str">
        <f>HYPERLINK("https://www.moneytimes.com.br/ibovespa-hoje-fecha-alta-119-mil-pontos-selic-juros-banco-central-19-06-2023/")</f>
        <v>https://www.moneytimes.com.br/ibovespa-hoje-fecha-alta-119-mil-pontos-selic-juros-banco-central-19-06-2023/</v>
      </c>
      <c r="Y3265" s="77" t="s">
        <v>7053</v>
      </c>
      <c r="Z3265" s="77"/>
      <c r="AA3265" s="77"/>
      <c r="AB3265" s="77"/>
      <c r="AC3265" s="82" t="s">
        <v>8255</v>
      </c>
      <c r="AD3265" s="77" t="s">
        <v>8278</v>
      </c>
      <c r="AE3265" s="80" t="str">
        <f>HYPERLINK("https://twitter.com/leiamoneytimes/status/1670889889963864089")</f>
        <v>https://twitter.com/leiamoneytimes/status/1670889889963864089</v>
      </c>
      <c r="AF3265" s="79">
        <v>45096.849166666667</v>
      </c>
      <c r="AG3265" s="85">
        <v>45096</v>
      </c>
      <c r="AH3265" s="82" t="s">
        <v>11276</v>
      </c>
      <c r="AI3265" s="77" t="b">
        <v>0</v>
      </c>
      <c r="AJ3265" s="77"/>
      <c r="AK3265" s="77"/>
      <c r="AL3265" s="77"/>
      <c r="AM3265" s="77"/>
      <c r="AN3265" s="77"/>
      <c r="AO3265" s="77"/>
      <c r="AP3265" s="77"/>
      <c r="AQ3265" s="77"/>
      <c r="AR3265" s="77"/>
      <c r="AS3265" s="77"/>
      <c r="AT3265" s="77"/>
      <c r="AU3265" s="77"/>
      <c r="AV3265" s="80" t="str">
        <f>HYPERLINK("https://pbs.twimg.com/profile_images/1559883556846977024/bXHnQFY0_normal.jpg")</f>
        <v>https://pbs.twimg.com/profile_images/1559883556846977024/bXHnQFY0_normal.jpg</v>
      </c>
      <c r="AW3265" s="82" t="s">
        <v>16349</v>
      </c>
      <c r="AX3265" s="82" t="s">
        <v>16349</v>
      </c>
      <c r="AY3265" s="77"/>
      <c r="AZ3265" s="82" t="s">
        <v>17385</v>
      </c>
      <c r="BA3265" s="82" t="s">
        <v>17385</v>
      </c>
      <c r="BB3265" s="82" t="s">
        <v>17385</v>
      </c>
      <c r="BC3265" s="82" t="s">
        <v>16349</v>
      </c>
      <c r="BD3265" s="77">
        <v>51150679</v>
      </c>
      <c r="BE3265" s="77"/>
      <c r="BF3265" s="77"/>
      <c r="BG3265" s="77"/>
      <c r="BH3265" s="77"/>
      <c r="BI3265" s="77"/>
    </row>
    <row r="3266" spans="1:61" x14ac:dyDescent="0.25">
      <c r="A3266" s="62" t="s">
        <v>605</v>
      </c>
      <c r="B3266" s="62" t="s">
        <v>605</v>
      </c>
      <c r="C3266" s="63"/>
      <c r="D3266" s="64"/>
      <c r="E3266" s="65"/>
      <c r="F3266" s="66"/>
      <c r="G3266" s="63"/>
      <c r="H3266" s="67"/>
      <c r="I3266" s="68"/>
      <c r="J3266" s="68"/>
      <c r="K3266" s="32"/>
      <c r="L3266" s="75">
        <v>3266</v>
      </c>
      <c r="M3266" s="75"/>
      <c r="N3266" s="70"/>
      <c r="O3266" s="77" t="s">
        <v>179</v>
      </c>
      <c r="P3266" s="79">
        <v>45096.743750000001</v>
      </c>
      <c r="Q3266" s="77" t="s">
        <v>4040</v>
      </c>
      <c r="R3266" s="77">
        <v>0</v>
      </c>
      <c r="S3266" s="77">
        <v>2</v>
      </c>
      <c r="T3266" s="77">
        <v>0</v>
      </c>
      <c r="U3266" s="77">
        <v>0</v>
      </c>
      <c r="V3266" s="77">
        <v>1421</v>
      </c>
      <c r="W3266" s="82" t="s">
        <v>6569</v>
      </c>
      <c r="X3266" s="80" t="str">
        <f>HYPERLINK("https://www.moneytimes.com.br/bolsas-europeias-acoes-caem-e-indice-da-alemanha-recua-ante-pico-recorde/")</f>
        <v>https://www.moneytimes.com.br/bolsas-europeias-acoes-caem-e-indice-da-alemanha-recua-ante-pico-recorde/</v>
      </c>
      <c r="Y3266" s="77" t="s">
        <v>7053</v>
      </c>
      <c r="Z3266" s="77"/>
      <c r="AA3266" s="77"/>
      <c r="AB3266" s="77"/>
      <c r="AC3266" s="82" t="s">
        <v>8255</v>
      </c>
      <c r="AD3266" s="77" t="s">
        <v>8278</v>
      </c>
      <c r="AE3266" s="80" t="str">
        <f>HYPERLINK("https://twitter.com/leiamoneytimes/status/1670851691749449729")</f>
        <v>https://twitter.com/leiamoneytimes/status/1670851691749449729</v>
      </c>
      <c r="AF3266" s="79">
        <v>45096.743750000001</v>
      </c>
      <c r="AG3266" s="85">
        <v>45096</v>
      </c>
      <c r="AH3266" s="82" t="s">
        <v>9583</v>
      </c>
      <c r="AI3266" s="77" t="b">
        <v>0</v>
      </c>
      <c r="AJ3266" s="77"/>
      <c r="AK3266" s="77"/>
      <c r="AL3266" s="77"/>
      <c r="AM3266" s="77"/>
      <c r="AN3266" s="77"/>
      <c r="AO3266" s="77"/>
      <c r="AP3266" s="77"/>
      <c r="AQ3266" s="77"/>
      <c r="AR3266" s="77"/>
      <c r="AS3266" s="77"/>
      <c r="AT3266" s="77"/>
      <c r="AU3266" s="77"/>
      <c r="AV3266" s="80" t="str">
        <f>HYPERLINK("https://pbs.twimg.com/profile_images/1559883556846977024/bXHnQFY0_normal.jpg")</f>
        <v>https://pbs.twimg.com/profile_images/1559883556846977024/bXHnQFY0_normal.jpg</v>
      </c>
      <c r="AW3266" s="82" t="s">
        <v>16350</v>
      </c>
      <c r="AX3266" s="82" t="s">
        <v>16350</v>
      </c>
      <c r="AY3266" s="77"/>
      <c r="AZ3266" s="82" t="s">
        <v>17385</v>
      </c>
      <c r="BA3266" s="82" t="s">
        <v>17385</v>
      </c>
      <c r="BB3266" s="82" t="s">
        <v>17385</v>
      </c>
      <c r="BC3266" s="82" t="s">
        <v>16350</v>
      </c>
      <c r="BD3266" s="77">
        <v>51150679</v>
      </c>
      <c r="BE3266" s="77"/>
      <c r="BF3266" s="77"/>
      <c r="BG3266" s="77"/>
      <c r="BH3266" s="77"/>
      <c r="BI3266" s="77"/>
    </row>
    <row r="3267" spans="1:61" x14ac:dyDescent="0.25">
      <c r="A3267" s="62" t="s">
        <v>605</v>
      </c>
      <c r="B3267" s="62" t="s">
        <v>605</v>
      </c>
      <c r="C3267" s="63"/>
      <c r="D3267" s="64"/>
      <c r="E3267" s="65"/>
      <c r="F3267" s="66"/>
      <c r="G3267" s="63"/>
      <c r="H3267" s="67"/>
      <c r="I3267" s="68"/>
      <c r="J3267" s="68"/>
      <c r="K3267" s="32"/>
      <c r="L3267" s="75">
        <v>3267</v>
      </c>
      <c r="M3267" s="75"/>
      <c r="N3267" s="70"/>
      <c r="O3267" s="77" t="s">
        <v>179</v>
      </c>
      <c r="P3267" s="79">
        <v>45096.732766203706</v>
      </c>
      <c r="Q3267" s="77" t="s">
        <v>4041</v>
      </c>
      <c r="R3267" s="77">
        <v>6</v>
      </c>
      <c r="S3267" s="77">
        <v>43</v>
      </c>
      <c r="T3267" s="77">
        <v>2</v>
      </c>
      <c r="U3267" s="77">
        <v>1</v>
      </c>
      <c r="V3267" s="77">
        <v>8537</v>
      </c>
      <c r="W3267" s="82" t="s">
        <v>6570</v>
      </c>
      <c r="X3267" s="80" t="str">
        <f>HYPERLINK("https://www.moneytimes.com.br/com-forte-apetite-gringos-compram-mais-de-r-7-bilhoes-em-acoes-na-b3/")</f>
        <v>https://www.moneytimes.com.br/com-forte-apetite-gringos-compram-mais-de-r-7-bilhoes-em-acoes-na-b3/</v>
      </c>
      <c r="Y3267" s="77" t="s">
        <v>7053</v>
      </c>
      <c r="Z3267" s="77"/>
      <c r="AA3267" s="77"/>
      <c r="AB3267" s="77"/>
      <c r="AC3267" s="82" t="s">
        <v>8255</v>
      </c>
      <c r="AD3267" s="77" t="s">
        <v>8278</v>
      </c>
      <c r="AE3267" s="80" t="str">
        <f>HYPERLINK("https://twitter.com/leiamoneytimes/status/1670847710277124097")</f>
        <v>https://twitter.com/leiamoneytimes/status/1670847710277124097</v>
      </c>
      <c r="AF3267" s="79">
        <v>45096.732766203706</v>
      </c>
      <c r="AG3267" s="85">
        <v>45096</v>
      </c>
      <c r="AH3267" s="82" t="s">
        <v>10224</v>
      </c>
      <c r="AI3267" s="77" t="b">
        <v>0</v>
      </c>
      <c r="AJ3267" s="77"/>
      <c r="AK3267" s="77"/>
      <c r="AL3267" s="77"/>
      <c r="AM3267" s="77"/>
      <c r="AN3267" s="77"/>
      <c r="AO3267" s="77"/>
      <c r="AP3267" s="77"/>
      <c r="AQ3267" s="77"/>
      <c r="AR3267" s="77"/>
      <c r="AS3267" s="77"/>
      <c r="AT3267" s="77"/>
      <c r="AU3267" s="77"/>
      <c r="AV3267" s="80" t="str">
        <f>HYPERLINK("https://pbs.twimg.com/profile_images/1559883556846977024/bXHnQFY0_normal.jpg")</f>
        <v>https://pbs.twimg.com/profile_images/1559883556846977024/bXHnQFY0_normal.jpg</v>
      </c>
      <c r="AW3267" s="82" t="s">
        <v>16351</v>
      </c>
      <c r="AX3267" s="82" t="s">
        <v>16351</v>
      </c>
      <c r="AY3267" s="77"/>
      <c r="AZ3267" s="82" t="s">
        <v>17385</v>
      </c>
      <c r="BA3267" s="82" t="s">
        <v>17385</v>
      </c>
      <c r="BB3267" s="82" t="s">
        <v>17385</v>
      </c>
      <c r="BC3267" s="82" t="s">
        <v>16351</v>
      </c>
      <c r="BD3267" s="77">
        <v>51150679</v>
      </c>
      <c r="BE3267" s="77"/>
      <c r="BF3267" s="77"/>
      <c r="BG3267" s="77"/>
      <c r="BH3267" s="77"/>
      <c r="BI3267" s="77"/>
    </row>
    <row r="3268" spans="1:61" x14ac:dyDescent="0.25">
      <c r="A3268" s="62" t="s">
        <v>605</v>
      </c>
      <c r="B3268" s="62" t="s">
        <v>605</v>
      </c>
      <c r="C3268" s="63"/>
      <c r="D3268" s="64"/>
      <c r="E3268" s="65"/>
      <c r="F3268" s="66"/>
      <c r="G3268" s="63"/>
      <c r="H3268" s="67"/>
      <c r="I3268" s="68"/>
      <c r="J3268" s="68"/>
      <c r="K3268" s="32"/>
      <c r="L3268" s="75">
        <v>3268</v>
      </c>
      <c r="M3268" s="75"/>
      <c r="N3268" s="70"/>
      <c r="O3268" s="77" t="s">
        <v>179</v>
      </c>
      <c r="P3268" s="79">
        <v>45096.66064814815</v>
      </c>
      <c r="Q3268" s="77" t="s">
        <v>4042</v>
      </c>
      <c r="R3268" s="77">
        <v>1</v>
      </c>
      <c r="S3268" s="77">
        <v>3</v>
      </c>
      <c r="T3268" s="77">
        <v>1</v>
      </c>
      <c r="U3268" s="77">
        <v>0</v>
      </c>
      <c r="V3268" s="77">
        <v>1787</v>
      </c>
      <c r="W3268" s="82" t="s">
        <v>6571</v>
      </c>
      <c r="X3268" s="80" t="str">
        <f>HYPERLINK("https://www.moneytimes.com.br/ibovespa-por-que-cvc-cvcb3-interrompe-altas-e-lidera-as-perdas-jbs-jbss3-dispara-5/")</f>
        <v>https://www.moneytimes.com.br/ibovespa-por-que-cvc-cvcb3-interrompe-altas-e-lidera-as-perdas-jbs-jbss3-dispara-5/</v>
      </c>
      <c r="Y3268" s="77" t="s">
        <v>7053</v>
      </c>
      <c r="Z3268" s="77"/>
      <c r="AA3268" s="77"/>
      <c r="AB3268" s="77"/>
      <c r="AC3268" s="82" t="s">
        <v>8255</v>
      </c>
      <c r="AD3268" s="77" t="s">
        <v>8278</v>
      </c>
      <c r="AE3268" s="80" t="str">
        <f>HYPERLINK("https://twitter.com/leiamoneytimes/status/1670821574566453248")</f>
        <v>https://twitter.com/leiamoneytimes/status/1670821574566453248</v>
      </c>
      <c r="AF3268" s="79">
        <v>45096.66064814815</v>
      </c>
      <c r="AG3268" s="85">
        <v>45096</v>
      </c>
      <c r="AH3268" s="82" t="s">
        <v>11277</v>
      </c>
      <c r="AI3268" s="77" t="b">
        <v>0</v>
      </c>
      <c r="AJ3268" s="77"/>
      <c r="AK3268" s="77"/>
      <c r="AL3268" s="77"/>
      <c r="AM3268" s="77"/>
      <c r="AN3268" s="77"/>
      <c r="AO3268" s="77"/>
      <c r="AP3268" s="77"/>
      <c r="AQ3268" s="77"/>
      <c r="AR3268" s="77"/>
      <c r="AS3268" s="77"/>
      <c r="AT3268" s="77"/>
      <c r="AU3268" s="77"/>
      <c r="AV3268" s="80" t="str">
        <f>HYPERLINK("https://pbs.twimg.com/profile_images/1559883556846977024/bXHnQFY0_normal.jpg")</f>
        <v>https://pbs.twimg.com/profile_images/1559883556846977024/bXHnQFY0_normal.jpg</v>
      </c>
      <c r="AW3268" s="82" t="s">
        <v>16352</v>
      </c>
      <c r="AX3268" s="82" t="s">
        <v>16352</v>
      </c>
      <c r="AY3268" s="77"/>
      <c r="AZ3268" s="82" t="s">
        <v>17385</v>
      </c>
      <c r="BA3268" s="82" t="s">
        <v>17385</v>
      </c>
      <c r="BB3268" s="82" t="s">
        <v>17385</v>
      </c>
      <c r="BC3268" s="82" t="s">
        <v>16352</v>
      </c>
      <c r="BD3268" s="77">
        <v>51150679</v>
      </c>
      <c r="BE3268" s="77"/>
      <c r="BF3268" s="77"/>
      <c r="BG3268" s="77"/>
      <c r="BH3268" s="77"/>
      <c r="BI3268" s="77"/>
    </row>
    <row r="3269" spans="1:61" x14ac:dyDescent="0.25">
      <c r="A3269" s="62" t="s">
        <v>605</v>
      </c>
      <c r="B3269" s="62" t="s">
        <v>605</v>
      </c>
      <c r="C3269" s="63"/>
      <c r="D3269" s="64"/>
      <c r="E3269" s="65"/>
      <c r="F3269" s="66"/>
      <c r="G3269" s="63"/>
      <c r="H3269" s="67"/>
      <c r="I3269" s="68"/>
      <c r="J3269" s="68"/>
      <c r="K3269" s="32"/>
      <c r="L3269" s="75">
        <v>3269</v>
      </c>
      <c r="M3269" s="75"/>
      <c r="N3269" s="70"/>
      <c r="O3269" s="77" t="s">
        <v>179</v>
      </c>
      <c r="P3269" s="79">
        <v>45087.875798611109</v>
      </c>
      <c r="Q3269" s="77" t="s">
        <v>4043</v>
      </c>
      <c r="R3269" s="77">
        <v>0</v>
      </c>
      <c r="S3269" s="77">
        <v>15</v>
      </c>
      <c r="T3269" s="77">
        <v>2</v>
      </c>
      <c r="U3269" s="77">
        <v>0</v>
      </c>
      <c r="V3269" s="77">
        <v>4363</v>
      </c>
      <c r="W3269" s="82" t="s">
        <v>6572</v>
      </c>
      <c r="X3269" s="80" t="str">
        <f>HYPERLINK("https://www.moneytimes.com.br/como-garantir-dividendos-e-jcp-na-proxima-semana-petr4-bbas3-e-mais-3-tem-data-com/")</f>
        <v>https://www.moneytimes.com.br/como-garantir-dividendos-e-jcp-na-proxima-semana-petr4-bbas3-e-mais-3-tem-data-com/</v>
      </c>
      <c r="Y3269" s="77" t="s">
        <v>7053</v>
      </c>
      <c r="Z3269" s="77"/>
      <c r="AA3269" s="77"/>
      <c r="AB3269" s="77"/>
      <c r="AC3269" s="82" t="s">
        <v>8255</v>
      </c>
      <c r="AD3269" s="77" t="s">
        <v>8278</v>
      </c>
      <c r="AE3269" s="80" t="str">
        <f>HYPERLINK("https://twitter.com/leiamoneytimes/status/1667638051131076613")</f>
        <v>https://twitter.com/leiamoneytimes/status/1667638051131076613</v>
      </c>
      <c r="AF3269" s="79">
        <v>45087.875798611109</v>
      </c>
      <c r="AG3269" s="85">
        <v>45087</v>
      </c>
      <c r="AH3269" s="82" t="s">
        <v>11278</v>
      </c>
      <c r="AI3269" s="77" t="b">
        <v>0</v>
      </c>
      <c r="AJ3269" s="77"/>
      <c r="AK3269" s="77"/>
      <c r="AL3269" s="77"/>
      <c r="AM3269" s="77"/>
      <c r="AN3269" s="77"/>
      <c r="AO3269" s="77"/>
      <c r="AP3269" s="77"/>
      <c r="AQ3269" s="77"/>
      <c r="AR3269" s="77"/>
      <c r="AS3269" s="77"/>
      <c r="AT3269" s="77"/>
      <c r="AU3269" s="77"/>
      <c r="AV3269" s="80" t="str">
        <f>HYPERLINK("https://pbs.twimg.com/profile_images/1559883556846977024/bXHnQFY0_normal.jpg")</f>
        <v>https://pbs.twimg.com/profile_images/1559883556846977024/bXHnQFY0_normal.jpg</v>
      </c>
      <c r="AW3269" s="82" t="s">
        <v>16353</v>
      </c>
      <c r="AX3269" s="82" t="s">
        <v>16353</v>
      </c>
      <c r="AY3269" s="77"/>
      <c r="AZ3269" s="82" t="s">
        <v>17385</v>
      </c>
      <c r="BA3269" s="82" t="s">
        <v>17385</v>
      </c>
      <c r="BB3269" s="82" t="s">
        <v>17385</v>
      </c>
      <c r="BC3269" s="82" t="s">
        <v>16353</v>
      </c>
      <c r="BD3269" s="77">
        <v>51150679</v>
      </c>
      <c r="BE3269" s="77"/>
      <c r="BF3269" s="77"/>
      <c r="BG3269" s="77"/>
      <c r="BH3269" s="77"/>
      <c r="BI3269" s="77"/>
    </row>
    <row r="3270" spans="1:61" x14ac:dyDescent="0.25">
      <c r="A3270" s="62" t="s">
        <v>605</v>
      </c>
      <c r="B3270" s="62" t="s">
        <v>605</v>
      </c>
      <c r="C3270" s="63"/>
      <c r="D3270" s="64"/>
      <c r="E3270" s="65"/>
      <c r="F3270" s="66"/>
      <c r="G3270" s="63"/>
      <c r="H3270" s="67"/>
      <c r="I3270" s="68"/>
      <c r="J3270" s="68"/>
      <c r="K3270" s="32"/>
      <c r="L3270" s="75">
        <v>3270</v>
      </c>
      <c r="M3270" s="75"/>
      <c r="N3270" s="70"/>
      <c r="O3270" s="77" t="s">
        <v>179</v>
      </c>
      <c r="P3270" s="79">
        <v>45086.944456018522</v>
      </c>
      <c r="Q3270" s="77" t="s">
        <v>4044</v>
      </c>
      <c r="R3270" s="77">
        <v>3</v>
      </c>
      <c r="S3270" s="77">
        <v>27</v>
      </c>
      <c r="T3270" s="77">
        <v>2</v>
      </c>
      <c r="U3270" s="77">
        <v>0</v>
      </c>
      <c r="V3270" s="77">
        <v>7412</v>
      </c>
      <c r="W3270" s="82" t="s">
        <v>6573</v>
      </c>
      <c r="X3270" s="80" t="str">
        <f>HYPERLINK("https://www.moneytimes.com.br/cielo-ciel3-decisao-do-stf-pode-gerar-bolada-de-milhoes-e-maiores-dividendos-diz-citi/")</f>
        <v>https://www.moneytimes.com.br/cielo-ciel3-decisao-do-stf-pode-gerar-bolada-de-milhoes-e-maiores-dividendos-diz-citi/</v>
      </c>
      <c r="Y3270" s="77" t="s">
        <v>7053</v>
      </c>
      <c r="Z3270" s="77"/>
      <c r="AA3270" s="77"/>
      <c r="AB3270" s="77"/>
      <c r="AC3270" s="82" t="s">
        <v>8255</v>
      </c>
      <c r="AD3270" s="77" t="s">
        <v>8278</v>
      </c>
      <c r="AE3270" s="80" t="str">
        <f>HYPERLINK("https://twitter.com/leiamoneytimes/status/1667300543000133635")</f>
        <v>https://twitter.com/leiamoneytimes/status/1667300543000133635</v>
      </c>
      <c r="AF3270" s="79">
        <v>45086.944456018522</v>
      </c>
      <c r="AG3270" s="85">
        <v>45086</v>
      </c>
      <c r="AH3270" s="82" t="s">
        <v>11279</v>
      </c>
      <c r="AI3270" s="77" t="b">
        <v>0</v>
      </c>
      <c r="AJ3270" s="77"/>
      <c r="AK3270" s="77"/>
      <c r="AL3270" s="77"/>
      <c r="AM3270" s="77"/>
      <c r="AN3270" s="77"/>
      <c r="AO3270" s="77"/>
      <c r="AP3270" s="77"/>
      <c r="AQ3270" s="77"/>
      <c r="AR3270" s="77"/>
      <c r="AS3270" s="77"/>
      <c r="AT3270" s="77"/>
      <c r="AU3270" s="77"/>
      <c r="AV3270" s="80" t="str">
        <f>HYPERLINK("https://pbs.twimg.com/profile_images/1559883556846977024/bXHnQFY0_normal.jpg")</f>
        <v>https://pbs.twimg.com/profile_images/1559883556846977024/bXHnQFY0_normal.jpg</v>
      </c>
      <c r="AW3270" s="82" t="s">
        <v>16354</v>
      </c>
      <c r="AX3270" s="82" t="s">
        <v>16354</v>
      </c>
      <c r="AY3270" s="77"/>
      <c r="AZ3270" s="82" t="s">
        <v>17385</v>
      </c>
      <c r="BA3270" s="82" t="s">
        <v>17385</v>
      </c>
      <c r="BB3270" s="82" t="s">
        <v>17385</v>
      </c>
      <c r="BC3270" s="82" t="s">
        <v>16354</v>
      </c>
      <c r="BD3270" s="77">
        <v>51150679</v>
      </c>
      <c r="BE3270" s="77"/>
      <c r="BF3270" s="77"/>
      <c r="BG3270" s="77"/>
      <c r="BH3270" s="77"/>
      <c r="BI3270" s="77"/>
    </row>
    <row r="3271" spans="1:61" x14ac:dyDescent="0.25">
      <c r="A3271" s="62" t="s">
        <v>605</v>
      </c>
      <c r="B3271" s="62" t="s">
        <v>605</v>
      </c>
      <c r="C3271" s="63"/>
      <c r="D3271" s="64"/>
      <c r="E3271" s="65"/>
      <c r="F3271" s="66"/>
      <c r="G3271" s="63"/>
      <c r="H3271" s="67"/>
      <c r="I3271" s="68"/>
      <c r="J3271" s="68"/>
      <c r="K3271" s="32"/>
      <c r="L3271" s="75">
        <v>3271</v>
      </c>
      <c r="M3271" s="75"/>
      <c r="N3271" s="70"/>
      <c r="O3271" s="77" t="s">
        <v>179</v>
      </c>
      <c r="P3271" s="79">
        <v>45086.833773148152</v>
      </c>
      <c r="Q3271" s="77" t="s">
        <v>4045</v>
      </c>
      <c r="R3271" s="77">
        <v>2</v>
      </c>
      <c r="S3271" s="77">
        <v>5</v>
      </c>
      <c r="T3271" s="77">
        <v>0</v>
      </c>
      <c r="U3271" s="77">
        <v>0</v>
      </c>
      <c r="V3271" s="77">
        <v>2232</v>
      </c>
      <c r="W3271" s="82" t="s">
        <v>6557</v>
      </c>
      <c r="X3271" s="80" t="str">
        <f>HYPERLINK("https://www.moneytimes.com.br/ibovespa-petrobras-petr4-vale-vale3-e-os-motivos-por-tras-da-disparada-nesta-sexta/")</f>
        <v>https://www.moneytimes.com.br/ibovespa-petrobras-petr4-vale-vale3-e-os-motivos-por-tras-da-disparada-nesta-sexta/</v>
      </c>
      <c r="Y3271" s="77" t="s">
        <v>7053</v>
      </c>
      <c r="Z3271" s="77"/>
      <c r="AA3271" s="77"/>
      <c r="AB3271" s="77"/>
      <c r="AC3271" s="82" t="s">
        <v>8255</v>
      </c>
      <c r="AD3271" s="77" t="s">
        <v>8278</v>
      </c>
      <c r="AE3271" s="80" t="str">
        <f>HYPERLINK("https://twitter.com/leiamoneytimes/status/1667260435375050781")</f>
        <v>https://twitter.com/leiamoneytimes/status/1667260435375050781</v>
      </c>
      <c r="AF3271" s="79">
        <v>45086.833773148152</v>
      </c>
      <c r="AG3271" s="85">
        <v>45086</v>
      </c>
      <c r="AH3271" s="82" t="s">
        <v>11280</v>
      </c>
      <c r="AI3271" s="77" t="b">
        <v>0</v>
      </c>
      <c r="AJ3271" s="77"/>
      <c r="AK3271" s="77"/>
      <c r="AL3271" s="77"/>
      <c r="AM3271" s="77"/>
      <c r="AN3271" s="77"/>
      <c r="AO3271" s="77"/>
      <c r="AP3271" s="77"/>
      <c r="AQ3271" s="77"/>
      <c r="AR3271" s="77"/>
      <c r="AS3271" s="77"/>
      <c r="AT3271" s="77"/>
      <c r="AU3271" s="77"/>
      <c r="AV3271" s="80" t="str">
        <f>HYPERLINK("https://pbs.twimg.com/profile_images/1559883556846977024/bXHnQFY0_normal.jpg")</f>
        <v>https://pbs.twimg.com/profile_images/1559883556846977024/bXHnQFY0_normal.jpg</v>
      </c>
      <c r="AW3271" s="82" t="s">
        <v>16355</v>
      </c>
      <c r="AX3271" s="82" t="s">
        <v>16355</v>
      </c>
      <c r="AY3271" s="77"/>
      <c r="AZ3271" s="82" t="s">
        <v>17385</v>
      </c>
      <c r="BA3271" s="82" t="s">
        <v>17385</v>
      </c>
      <c r="BB3271" s="82" t="s">
        <v>17385</v>
      </c>
      <c r="BC3271" s="82" t="s">
        <v>16355</v>
      </c>
      <c r="BD3271" s="77">
        <v>51150679</v>
      </c>
      <c r="BE3271" s="77"/>
      <c r="BF3271" s="77"/>
      <c r="BG3271" s="77"/>
      <c r="BH3271" s="77"/>
      <c r="BI3271" s="77"/>
    </row>
    <row r="3272" spans="1:61" x14ac:dyDescent="0.25">
      <c r="A3272" s="62" t="s">
        <v>605</v>
      </c>
      <c r="B3272" s="62" t="s">
        <v>605</v>
      </c>
      <c r="C3272" s="63"/>
      <c r="D3272" s="64"/>
      <c r="E3272" s="65"/>
      <c r="F3272" s="66"/>
      <c r="G3272" s="63"/>
      <c r="H3272" s="67"/>
      <c r="I3272" s="68"/>
      <c r="J3272" s="68"/>
      <c r="K3272" s="32"/>
      <c r="L3272" s="75">
        <v>3272</v>
      </c>
      <c r="M3272" s="75"/>
      <c r="N3272" s="70"/>
      <c r="O3272" s="77" t="s">
        <v>179</v>
      </c>
      <c r="P3272" s="79">
        <v>45086.825914351852</v>
      </c>
      <c r="Q3272" s="77" t="s">
        <v>4046</v>
      </c>
      <c r="R3272" s="77">
        <v>1</v>
      </c>
      <c r="S3272" s="77">
        <v>12</v>
      </c>
      <c r="T3272" s="77">
        <v>0</v>
      </c>
      <c r="U3272" s="77">
        <v>0</v>
      </c>
      <c r="V3272" s="77">
        <v>2466</v>
      </c>
      <c r="W3272" s="82" t="s">
        <v>6574</v>
      </c>
      <c r="X3272" s="80" t="str">
        <f>HYPERLINK("https://www.moneytimes.com.br/santander-sanb11-rebaixa-duas-companhias-e-tem-nova-favorita-no-setor-de-mineracao/")</f>
        <v>https://www.moneytimes.com.br/santander-sanb11-rebaixa-duas-companhias-e-tem-nova-favorita-no-setor-de-mineracao/</v>
      </c>
      <c r="Y3272" s="77" t="s">
        <v>7053</v>
      </c>
      <c r="Z3272" s="77"/>
      <c r="AA3272" s="77"/>
      <c r="AB3272" s="77"/>
      <c r="AC3272" s="82" t="s">
        <v>8255</v>
      </c>
      <c r="AD3272" s="77" t="s">
        <v>8278</v>
      </c>
      <c r="AE3272" s="80" t="str">
        <f>HYPERLINK("https://twitter.com/leiamoneytimes/status/1667257585722970113")</f>
        <v>https://twitter.com/leiamoneytimes/status/1667257585722970113</v>
      </c>
      <c r="AF3272" s="79">
        <v>45086.825914351852</v>
      </c>
      <c r="AG3272" s="85">
        <v>45086</v>
      </c>
      <c r="AH3272" s="82" t="s">
        <v>11281</v>
      </c>
      <c r="AI3272" s="77" t="b">
        <v>0</v>
      </c>
      <c r="AJ3272" s="77"/>
      <c r="AK3272" s="77"/>
      <c r="AL3272" s="77"/>
      <c r="AM3272" s="77"/>
      <c r="AN3272" s="77"/>
      <c r="AO3272" s="77"/>
      <c r="AP3272" s="77"/>
      <c r="AQ3272" s="77"/>
      <c r="AR3272" s="77"/>
      <c r="AS3272" s="77"/>
      <c r="AT3272" s="77"/>
      <c r="AU3272" s="77"/>
      <c r="AV3272" s="80" t="str">
        <f>HYPERLINK("https://pbs.twimg.com/profile_images/1559883556846977024/bXHnQFY0_normal.jpg")</f>
        <v>https://pbs.twimg.com/profile_images/1559883556846977024/bXHnQFY0_normal.jpg</v>
      </c>
      <c r="AW3272" s="82" t="s">
        <v>16356</v>
      </c>
      <c r="AX3272" s="82" t="s">
        <v>16356</v>
      </c>
      <c r="AY3272" s="77"/>
      <c r="AZ3272" s="82" t="s">
        <v>17385</v>
      </c>
      <c r="BA3272" s="82" t="s">
        <v>17385</v>
      </c>
      <c r="BB3272" s="82" t="s">
        <v>17385</v>
      </c>
      <c r="BC3272" s="82" t="s">
        <v>16356</v>
      </c>
      <c r="BD3272" s="77">
        <v>51150679</v>
      </c>
      <c r="BE3272" s="77"/>
      <c r="BF3272" s="77"/>
      <c r="BG3272" s="77"/>
      <c r="BH3272" s="77"/>
      <c r="BI3272" s="77"/>
    </row>
    <row r="3273" spans="1:61" x14ac:dyDescent="0.25">
      <c r="A3273" s="62" t="s">
        <v>605</v>
      </c>
      <c r="B3273" s="62" t="s">
        <v>605</v>
      </c>
      <c r="C3273" s="63"/>
      <c r="D3273" s="64"/>
      <c r="E3273" s="65"/>
      <c r="F3273" s="66"/>
      <c r="G3273" s="63"/>
      <c r="H3273" s="67"/>
      <c r="I3273" s="68"/>
      <c r="J3273" s="68"/>
      <c r="K3273" s="32"/>
      <c r="L3273" s="75">
        <v>3273</v>
      </c>
      <c r="M3273" s="75"/>
      <c r="N3273" s="70"/>
      <c r="O3273" s="77" t="s">
        <v>179</v>
      </c>
      <c r="P3273" s="79">
        <v>45086.798090277778</v>
      </c>
      <c r="Q3273" s="77" t="s">
        <v>4047</v>
      </c>
      <c r="R3273" s="77">
        <v>1</v>
      </c>
      <c r="S3273" s="77">
        <v>4</v>
      </c>
      <c r="T3273" s="77">
        <v>0</v>
      </c>
      <c r="U3273" s="77">
        <v>0</v>
      </c>
      <c r="V3273" s="77">
        <v>1602</v>
      </c>
      <c r="W3273" s="82" t="s">
        <v>6575</v>
      </c>
      <c r="X3273" s="80" t="str">
        <f>HYPERLINK("https://www.moneytimes.com.br/messi-realidade-aumentada-e-disney-apple-uma-otima-empresa-mas-nao-um-otimo-investimento/")</f>
        <v>https://www.moneytimes.com.br/messi-realidade-aumentada-e-disney-apple-uma-otima-empresa-mas-nao-um-otimo-investimento/</v>
      </c>
      <c r="Y3273" s="77" t="s">
        <v>7053</v>
      </c>
      <c r="Z3273" s="77"/>
      <c r="AA3273" s="77"/>
      <c r="AB3273" s="77"/>
      <c r="AC3273" s="82" t="s">
        <v>8255</v>
      </c>
      <c r="AD3273" s="77" t="s">
        <v>8278</v>
      </c>
      <c r="AE3273" s="80" t="str">
        <f>HYPERLINK("https://twitter.com/leiamoneytimes/status/1667247505111764994")</f>
        <v>https://twitter.com/leiamoneytimes/status/1667247505111764994</v>
      </c>
      <c r="AF3273" s="79">
        <v>45086.798090277778</v>
      </c>
      <c r="AG3273" s="85">
        <v>45086</v>
      </c>
      <c r="AH3273" s="82" t="s">
        <v>11282</v>
      </c>
      <c r="AI3273" s="77" t="b">
        <v>0</v>
      </c>
      <c r="AJ3273" s="77"/>
      <c r="AK3273" s="77"/>
      <c r="AL3273" s="77"/>
      <c r="AM3273" s="77"/>
      <c r="AN3273" s="77"/>
      <c r="AO3273" s="77"/>
      <c r="AP3273" s="77"/>
      <c r="AQ3273" s="77"/>
      <c r="AR3273" s="77"/>
      <c r="AS3273" s="77"/>
      <c r="AT3273" s="77"/>
      <c r="AU3273" s="77"/>
      <c r="AV3273" s="80" t="str">
        <f>HYPERLINK("https://pbs.twimg.com/profile_images/1559883556846977024/bXHnQFY0_normal.jpg")</f>
        <v>https://pbs.twimg.com/profile_images/1559883556846977024/bXHnQFY0_normal.jpg</v>
      </c>
      <c r="AW3273" s="82" t="s">
        <v>16357</v>
      </c>
      <c r="AX3273" s="82" t="s">
        <v>16357</v>
      </c>
      <c r="AY3273" s="77"/>
      <c r="AZ3273" s="82" t="s">
        <v>17385</v>
      </c>
      <c r="BA3273" s="82" t="s">
        <v>17385</v>
      </c>
      <c r="BB3273" s="82" t="s">
        <v>17385</v>
      </c>
      <c r="BC3273" s="82" t="s">
        <v>16357</v>
      </c>
      <c r="BD3273" s="77">
        <v>51150679</v>
      </c>
      <c r="BE3273" s="77"/>
      <c r="BF3273" s="77"/>
      <c r="BG3273" s="77"/>
      <c r="BH3273" s="77"/>
      <c r="BI3273" s="77"/>
    </row>
    <row r="3274" spans="1:61" x14ac:dyDescent="0.25">
      <c r="A3274" s="62" t="s">
        <v>605</v>
      </c>
      <c r="B3274" s="62" t="s">
        <v>605</v>
      </c>
      <c r="C3274" s="63"/>
      <c r="D3274" s="64"/>
      <c r="E3274" s="65"/>
      <c r="F3274" s="66"/>
      <c r="G3274" s="63"/>
      <c r="H3274" s="67"/>
      <c r="I3274" s="68"/>
      <c r="J3274" s="68"/>
      <c r="K3274" s="32"/>
      <c r="L3274" s="75">
        <v>3274</v>
      </c>
      <c r="M3274" s="75"/>
      <c r="N3274" s="70"/>
      <c r="O3274" s="77" t="s">
        <v>179</v>
      </c>
      <c r="P3274" s="79">
        <v>45086.665937500002</v>
      </c>
      <c r="Q3274" s="77" t="s">
        <v>4048</v>
      </c>
      <c r="R3274" s="77">
        <v>1</v>
      </c>
      <c r="S3274" s="77">
        <v>1</v>
      </c>
      <c r="T3274" s="77">
        <v>1</v>
      </c>
      <c r="U3274" s="77">
        <v>0</v>
      </c>
      <c r="V3274" s="77">
        <v>1603</v>
      </c>
      <c r="W3274" s="82" t="s">
        <v>6576</v>
      </c>
      <c r="X3274" s="80" t="str">
        <f>HYPERLINK("https://www.moneytimes.com.br/ibovespa-por-que-cvc-cvcb3-dispara-e-vale-vale3-e-petrobras-petr4-sobem-nesta-sexta/")</f>
        <v>https://www.moneytimes.com.br/ibovespa-por-que-cvc-cvcb3-dispara-e-vale-vale3-e-petrobras-petr4-sobem-nesta-sexta/</v>
      </c>
      <c r="Y3274" s="77" t="s">
        <v>7053</v>
      </c>
      <c r="Z3274" s="77"/>
      <c r="AA3274" s="77"/>
      <c r="AB3274" s="77"/>
      <c r="AC3274" s="82" t="s">
        <v>8255</v>
      </c>
      <c r="AD3274" s="77" t="s">
        <v>8278</v>
      </c>
      <c r="AE3274" s="80" t="str">
        <f>HYPERLINK("https://twitter.com/leiamoneytimes/status/1667199612648583169")</f>
        <v>https://twitter.com/leiamoneytimes/status/1667199612648583169</v>
      </c>
      <c r="AF3274" s="79">
        <v>45086.665937500002</v>
      </c>
      <c r="AG3274" s="85">
        <v>45086</v>
      </c>
      <c r="AH3274" s="82" t="s">
        <v>11283</v>
      </c>
      <c r="AI3274" s="77" t="b">
        <v>0</v>
      </c>
      <c r="AJ3274" s="77"/>
      <c r="AK3274" s="77"/>
      <c r="AL3274" s="77"/>
      <c r="AM3274" s="77"/>
      <c r="AN3274" s="77"/>
      <c r="AO3274" s="77"/>
      <c r="AP3274" s="77"/>
      <c r="AQ3274" s="77"/>
      <c r="AR3274" s="77"/>
      <c r="AS3274" s="77"/>
      <c r="AT3274" s="77"/>
      <c r="AU3274" s="77"/>
      <c r="AV3274" s="80" t="str">
        <f>HYPERLINK("https://pbs.twimg.com/profile_images/1559883556846977024/bXHnQFY0_normal.jpg")</f>
        <v>https://pbs.twimg.com/profile_images/1559883556846977024/bXHnQFY0_normal.jpg</v>
      </c>
      <c r="AW3274" s="82" t="s">
        <v>16358</v>
      </c>
      <c r="AX3274" s="82" t="s">
        <v>16358</v>
      </c>
      <c r="AY3274" s="77"/>
      <c r="AZ3274" s="82" t="s">
        <v>17385</v>
      </c>
      <c r="BA3274" s="82" t="s">
        <v>17385</v>
      </c>
      <c r="BB3274" s="82" t="s">
        <v>17385</v>
      </c>
      <c r="BC3274" s="82" t="s">
        <v>16358</v>
      </c>
      <c r="BD3274" s="77">
        <v>51150679</v>
      </c>
      <c r="BE3274" s="77"/>
      <c r="BF3274" s="77"/>
      <c r="BG3274" s="77"/>
      <c r="BH3274" s="77"/>
      <c r="BI3274" s="77"/>
    </row>
    <row r="3275" spans="1:61" x14ac:dyDescent="0.25">
      <c r="A3275" s="62" t="s">
        <v>605</v>
      </c>
      <c r="B3275" s="62" t="s">
        <v>605</v>
      </c>
      <c r="C3275" s="63"/>
      <c r="D3275" s="64"/>
      <c r="E3275" s="65"/>
      <c r="F3275" s="66"/>
      <c r="G3275" s="63"/>
      <c r="H3275" s="67"/>
      <c r="I3275" s="68"/>
      <c r="J3275" s="68"/>
      <c r="K3275" s="32"/>
      <c r="L3275" s="75">
        <v>3275</v>
      </c>
      <c r="M3275" s="75"/>
      <c r="N3275" s="70"/>
      <c r="O3275" s="77" t="s">
        <v>179</v>
      </c>
      <c r="P3275" s="79">
        <v>45086.537627314814</v>
      </c>
      <c r="Q3275" s="77" t="s">
        <v>4049</v>
      </c>
      <c r="R3275" s="77">
        <v>0</v>
      </c>
      <c r="S3275" s="77">
        <v>1</v>
      </c>
      <c r="T3275" s="77">
        <v>0</v>
      </c>
      <c r="U3275" s="77">
        <v>0</v>
      </c>
      <c r="V3275" s="77">
        <v>1423</v>
      </c>
      <c r="W3275" s="82" t="s">
        <v>6577</v>
      </c>
      <c r="X3275" s="80" t="str">
        <f>HYPERLINK("https://www.moneytimes.com.br/swing-trade-acoes-da-eneva-enev3-podem-render-10-nesta-sexta-09-veja-como/")</f>
        <v>https://www.moneytimes.com.br/swing-trade-acoes-da-eneva-enev3-podem-render-10-nesta-sexta-09-veja-como/</v>
      </c>
      <c r="Y3275" s="77" t="s">
        <v>7053</v>
      </c>
      <c r="Z3275" s="77"/>
      <c r="AA3275" s="77"/>
      <c r="AB3275" s="77"/>
      <c r="AC3275" s="82" t="s">
        <v>8255</v>
      </c>
      <c r="AD3275" s="77" t="s">
        <v>8278</v>
      </c>
      <c r="AE3275" s="80" t="str">
        <f>HYPERLINK("https://twitter.com/leiamoneytimes/status/1667153116381212674")</f>
        <v>https://twitter.com/leiamoneytimes/status/1667153116381212674</v>
      </c>
      <c r="AF3275" s="79">
        <v>45086.537627314814</v>
      </c>
      <c r="AG3275" s="85">
        <v>45086</v>
      </c>
      <c r="AH3275" s="82" t="s">
        <v>11284</v>
      </c>
      <c r="AI3275" s="77" t="b">
        <v>0</v>
      </c>
      <c r="AJ3275" s="77"/>
      <c r="AK3275" s="77"/>
      <c r="AL3275" s="77"/>
      <c r="AM3275" s="77"/>
      <c r="AN3275" s="77"/>
      <c r="AO3275" s="77"/>
      <c r="AP3275" s="77"/>
      <c r="AQ3275" s="77"/>
      <c r="AR3275" s="77"/>
      <c r="AS3275" s="77"/>
      <c r="AT3275" s="77"/>
      <c r="AU3275" s="77"/>
      <c r="AV3275" s="80" t="str">
        <f>HYPERLINK("https://pbs.twimg.com/profile_images/1559883556846977024/bXHnQFY0_normal.jpg")</f>
        <v>https://pbs.twimg.com/profile_images/1559883556846977024/bXHnQFY0_normal.jpg</v>
      </c>
      <c r="AW3275" s="82" t="s">
        <v>16359</v>
      </c>
      <c r="AX3275" s="82" t="s">
        <v>16359</v>
      </c>
      <c r="AY3275" s="77"/>
      <c r="AZ3275" s="82" t="s">
        <v>17385</v>
      </c>
      <c r="BA3275" s="82" t="s">
        <v>17385</v>
      </c>
      <c r="BB3275" s="82" t="s">
        <v>17385</v>
      </c>
      <c r="BC3275" s="82" t="s">
        <v>16359</v>
      </c>
      <c r="BD3275" s="77">
        <v>51150679</v>
      </c>
      <c r="BE3275" s="77"/>
      <c r="BF3275" s="77"/>
      <c r="BG3275" s="77"/>
      <c r="BH3275" s="77"/>
      <c r="BI3275" s="77"/>
    </row>
    <row r="3276" spans="1:61" x14ac:dyDescent="0.25">
      <c r="A3276" s="62" t="s">
        <v>605</v>
      </c>
      <c r="B3276" s="62" t="s">
        <v>605</v>
      </c>
      <c r="C3276" s="63"/>
      <c r="D3276" s="64"/>
      <c r="E3276" s="65"/>
      <c r="F3276" s="66"/>
      <c r="G3276" s="63"/>
      <c r="H3276" s="67"/>
      <c r="I3276" s="68"/>
      <c r="J3276" s="68"/>
      <c r="K3276" s="32"/>
      <c r="L3276" s="75">
        <v>3276</v>
      </c>
      <c r="M3276" s="75"/>
      <c r="N3276" s="70"/>
      <c r="O3276" s="77" t="s">
        <v>179</v>
      </c>
      <c r="P3276" s="79">
        <v>45086.477407407408</v>
      </c>
      <c r="Q3276" s="77" t="s">
        <v>4050</v>
      </c>
      <c r="R3276" s="77">
        <v>0</v>
      </c>
      <c r="S3276" s="77">
        <v>1</v>
      </c>
      <c r="T3276" s="77">
        <v>0</v>
      </c>
      <c r="U3276" s="77">
        <v>0</v>
      </c>
      <c r="V3276" s="77">
        <v>1412</v>
      </c>
      <c r="W3276" s="82" t="s">
        <v>6578</v>
      </c>
      <c r="X3276" s="80" t="str">
        <f>HYPERLINK("https://www.moneytimes.com.br/bolsas-asiaticas-japao-dispara-quase-2-e-acoes-na-china-sobem-apesar-de-dados-sombrios/")</f>
        <v>https://www.moneytimes.com.br/bolsas-asiaticas-japao-dispara-quase-2-e-acoes-na-china-sobem-apesar-de-dados-sombrios/</v>
      </c>
      <c r="Y3276" s="77" t="s">
        <v>7053</v>
      </c>
      <c r="Z3276" s="77"/>
      <c r="AA3276" s="77"/>
      <c r="AB3276" s="77"/>
      <c r="AC3276" s="82" t="s">
        <v>8255</v>
      </c>
      <c r="AD3276" s="77" t="s">
        <v>8278</v>
      </c>
      <c r="AE3276" s="80" t="str">
        <f>HYPERLINK("https://twitter.com/leiamoneytimes/status/1667131293723680771")</f>
        <v>https://twitter.com/leiamoneytimes/status/1667131293723680771</v>
      </c>
      <c r="AF3276" s="79">
        <v>45086.477407407408</v>
      </c>
      <c r="AG3276" s="85">
        <v>45086</v>
      </c>
      <c r="AH3276" s="82" t="s">
        <v>11285</v>
      </c>
      <c r="AI3276" s="77" t="b">
        <v>0</v>
      </c>
      <c r="AJ3276" s="77"/>
      <c r="AK3276" s="77"/>
      <c r="AL3276" s="77"/>
      <c r="AM3276" s="77"/>
      <c r="AN3276" s="77"/>
      <c r="AO3276" s="77"/>
      <c r="AP3276" s="77"/>
      <c r="AQ3276" s="77"/>
      <c r="AR3276" s="77"/>
      <c r="AS3276" s="77"/>
      <c r="AT3276" s="77"/>
      <c r="AU3276" s="77"/>
      <c r="AV3276" s="80" t="str">
        <f>HYPERLINK("https://pbs.twimg.com/profile_images/1559883556846977024/bXHnQFY0_normal.jpg")</f>
        <v>https://pbs.twimg.com/profile_images/1559883556846977024/bXHnQFY0_normal.jpg</v>
      </c>
      <c r="AW3276" s="82" t="s">
        <v>16360</v>
      </c>
      <c r="AX3276" s="82" t="s">
        <v>16360</v>
      </c>
      <c r="AY3276" s="77"/>
      <c r="AZ3276" s="82" t="s">
        <v>17385</v>
      </c>
      <c r="BA3276" s="82" t="s">
        <v>17385</v>
      </c>
      <c r="BB3276" s="82" t="s">
        <v>17385</v>
      </c>
      <c r="BC3276" s="82" t="s">
        <v>16360</v>
      </c>
      <c r="BD3276" s="77">
        <v>51150679</v>
      </c>
      <c r="BE3276" s="77"/>
      <c r="BF3276" s="77"/>
      <c r="BG3276" s="77"/>
      <c r="BH3276" s="77"/>
      <c r="BI3276" s="77"/>
    </row>
    <row r="3277" spans="1:61" x14ac:dyDescent="0.25">
      <c r="A3277" s="62" t="s">
        <v>605</v>
      </c>
      <c r="B3277" s="62" t="s">
        <v>605</v>
      </c>
      <c r="C3277" s="63"/>
      <c r="D3277" s="64"/>
      <c r="E3277" s="65"/>
      <c r="F3277" s="66"/>
      <c r="G3277" s="63"/>
      <c r="H3277" s="67"/>
      <c r="I3277" s="68"/>
      <c r="J3277" s="68"/>
      <c r="K3277" s="32"/>
      <c r="L3277" s="75">
        <v>3277</v>
      </c>
      <c r="M3277" s="75"/>
      <c r="N3277" s="70"/>
      <c r="O3277" s="77" t="s">
        <v>179</v>
      </c>
      <c r="P3277" s="79">
        <v>45072.581319444442</v>
      </c>
      <c r="Q3277" s="77" t="s">
        <v>4051</v>
      </c>
      <c r="R3277" s="77">
        <v>0</v>
      </c>
      <c r="S3277" s="77">
        <v>5</v>
      </c>
      <c r="T3277" s="77">
        <v>0</v>
      </c>
      <c r="U3277" s="77">
        <v>0</v>
      </c>
      <c r="V3277" s="77">
        <v>1024</v>
      </c>
      <c r="W3277" s="82" t="s">
        <v>6559</v>
      </c>
      <c r="X3277" s="80" t="str">
        <f>HYPERLINK("https://www.moneytimes.com.br/gringos-vendem-r-25-bi-em-acoes-na-b3-em-uma-semana-e-maio-volta-a-ficar-no-vermelho/")</f>
        <v>https://www.moneytimes.com.br/gringos-vendem-r-25-bi-em-acoes-na-b3-em-uma-semana-e-maio-volta-a-ficar-no-vermelho/</v>
      </c>
      <c r="Y3277" s="77" t="s">
        <v>7053</v>
      </c>
      <c r="Z3277" s="77"/>
      <c r="AA3277" s="77"/>
      <c r="AB3277" s="77"/>
      <c r="AC3277" s="82" t="s">
        <v>8255</v>
      </c>
      <c r="AD3277" s="77" t="s">
        <v>8278</v>
      </c>
      <c r="AE3277" s="80" t="str">
        <f>HYPERLINK("https://twitter.com/leiamoneytimes/status/1662095516748984324")</f>
        <v>https://twitter.com/leiamoneytimes/status/1662095516748984324</v>
      </c>
      <c r="AF3277" s="79">
        <v>45072.581319444442</v>
      </c>
      <c r="AG3277" s="85">
        <v>45072</v>
      </c>
      <c r="AH3277" s="82" t="s">
        <v>11286</v>
      </c>
      <c r="AI3277" s="77" t="b">
        <v>0</v>
      </c>
      <c r="AJ3277" s="77"/>
      <c r="AK3277" s="77"/>
      <c r="AL3277" s="77"/>
      <c r="AM3277" s="77"/>
      <c r="AN3277" s="77"/>
      <c r="AO3277" s="77"/>
      <c r="AP3277" s="77"/>
      <c r="AQ3277" s="77"/>
      <c r="AR3277" s="77"/>
      <c r="AS3277" s="77"/>
      <c r="AT3277" s="77"/>
      <c r="AU3277" s="77"/>
      <c r="AV3277" s="80" t="str">
        <f>HYPERLINK("https://pbs.twimg.com/profile_images/1559883556846977024/bXHnQFY0_normal.jpg")</f>
        <v>https://pbs.twimg.com/profile_images/1559883556846977024/bXHnQFY0_normal.jpg</v>
      </c>
      <c r="AW3277" s="82" t="s">
        <v>16361</v>
      </c>
      <c r="AX3277" s="82" t="s">
        <v>16361</v>
      </c>
      <c r="AY3277" s="77"/>
      <c r="AZ3277" s="82" t="s">
        <v>17385</v>
      </c>
      <c r="BA3277" s="82" t="s">
        <v>17385</v>
      </c>
      <c r="BB3277" s="82" t="s">
        <v>17385</v>
      </c>
      <c r="BC3277" s="82" t="s">
        <v>16361</v>
      </c>
      <c r="BD3277" s="77">
        <v>51150679</v>
      </c>
      <c r="BE3277" s="77"/>
      <c r="BF3277" s="77"/>
      <c r="BG3277" s="77"/>
      <c r="BH3277" s="77"/>
      <c r="BI3277" s="77"/>
    </row>
    <row r="3278" spans="1:61" x14ac:dyDescent="0.25">
      <c r="A3278" s="62" t="s">
        <v>605</v>
      </c>
      <c r="B3278" s="62" t="s">
        <v>605</v>
      </c>
      <c r="C3278" s="63"/>
      <c r="D3278" s="64"/>
      <c r="E3278" s="65"/>
      <c r="F3278" s="66"/>
      <c r="G3278" s="63"/>
      <c r="H3278" s="67"/>
      <c r="I3278" s="68"/>
      <c r="J3278" s="68"/>
      <c r="K3278" s="32"/>
      <c r="L3278" s="75">
        <v>3278</v>
      </c>
      <c r="M3278" s="75"/>
      <c r="N3278" s="70"/>
      <c r="O3278" s="77" t="s">
        <v>179</v>
      </c>
      <c r="P3278" s="79">
        <v>45072.502060185187</v>
      </c>
      <c r="Q3278" s="77" t="s">
        <v>4052</v>
      </c>
      <c r="R3278" s="77">
        <v>0</v>
      </c>
      <c r="S3278" s="77">
        <v>4</v>
      </c>
      <c r="T3278" s="77">
        <v>1</v>
      </c>
      <c r="U3278" s="77">
        <v>0</v>
      </c>
      <c r="V3278" s="77">
        <v>1218</v>
      </c>
      <c r="W3278" s="82" t="s">
        <v>6579</v>
      </c>
      <c r="X3278" s="80" t="str">
        <f>HYPERLINK("https://www.moneytimes.com.br/banco-do-brasil-bbas3-vai-pagar-r-9664-milhoes-em-jcp-veja-quem-tem-direito/")</f>
        <v>https://www.moneytimes.com.br/banco-do-brasil-bbas3-vai-pagar-r-9664-milhoes-em-jcp-veja-quem-tem-direito/</v>
      </c>
      <c r="Y3278" s="77" t="s">
        <v>7053</v>
      </c>
      <c r="Z3278" s="77"/>
      <c r="AA3278" s="77"/>
      <c r="AB3278" s="77"/>
      <c r="AC3278" s="82" t="s">
        <v>8255</v>
      </c>
      <c r="AD3278" s="77" t="s">
        <v>8278</v>
      </c>
      <c r="AE3278" s="80" t="str">
        <f>HYPERLINK("https://twitter.com/leiamoneytimes/status/1662066794905886724")</f>
        <v>https://twitter.com/leiamoneytimes/status/1662066794905886724</v>
      </c>
      <c r="AF3278" s="79">
        <v>45072.502060185187</v>
      </c>
      <c r="AG3278" s="85">
        <v>45072</v>
      </c>
      <c r="AH3278" s="82" t="s">
        <v>11287</v>
      </c>
      <c r="AI3278" s="77" t="b">
        <v>0</v>
      </c>
      <c r="AJ3278" s="77"/>
      <c r="AK3278" s="77"/>
      <c r="AL3278" s="77"/>
      <c r="AM3278" s="77"/>
      <c r="AN3278" s="77"/>
      <c r="AO3278" s="77"/>
      <c r="AP3278" s="77"/>
      <c r="AQ3278" s="77"/>
      <c r="AR3278" s="77"/>
      <c r="AS3278" s="77"/>
      <c r="AT3278" s="77"/>
      <c r="AU3278" s="77"/>
      <c r="AV3278" s="80" t="str">
        <f>HYPERLINK("https://pbs.twimg.com/profile_images/1559883556846977024/bXHnQFY0_normal.jpg")</f>
        <v>https://pbs.twimg.com/profile_images/1559883556846977024/bXHnQFY0_normal.jpg</v>
      </c>
      <c r="AW3278" s="82" t="s">
        <v>16362</v>
      </c>
      <c r="AX3278" s="82" t="s">
        <v>16362</v>
      </c>
      <c r="AY3278" s="77"/>
      <c r="AZ3278" s="82" t="s">
        <v>17385</v>
      </c>
      <c r="BA3278" s="82" t="s">
        <v>17385</v>
      </c>
      <c r="BB3278" s="82" t="s">
        <v>17385</v>
      </c>
      <c r="BC3278" s="82" t="s">
        <v>16362</v>
      </c>
      <c r="BD3278" s="77">
        <v>51150679</v>
      </c>
      <c r="BE3278" s="77"/>
      <c r="BF3278" s="77"/>
      <c r="BG3278" s="77"/>
      <c r="BH3278" s="77"/>
      <c r="BI3278" s="77"/>
    </row>
    <row r="3279" spans="1:61" x14ac:dyDescent="0.25">
      <c r="A3279" s="62" t="s">
        <v>605</v>
      </c>
      <c r="B3279" s="62" t="s">
        <v>605</v>
      </c>
      <c r="C3279" s="63"/>
      <c r="D3279" s="64"/>
      <c r="E3279" s="65"/>
      <c r="F3279" s="66"/>
      <c r="G3279" s="63"/>
      <c r="H3279" s="67"/>
      <c r="I3279" s="68"/>
      <c r="J3279" s="68"/>
      <c r="K3279" s="32"/>
      <c r="L3279" s="75">
        <v>3279</v>
      </c>
      <c r="M3279" s="75"/>
      <c r="N3279" s="70"/>
      <c r="O3279" s="77" t="s">
        <v>179</v>
      </c>
      <c r="P3279" s="79">
        <v>45072.4690162037</v>
      </c>
      <c r="Q3279" s="77" t="s">
        <v>4053</v>
      </c>
      <c r="R3279" s="77">
        <v>0</v>
      </c>
      <c r="S3279" s="77">
        <v>6</v>
      </c>
      <c r="T3279" s="77">
        <v>0</v>
      </c>
      <c r="U3279" s="77">
        <v>0</v>
      </c>
      <c r="V3279" s="77">
        <v>1453</v>
      </c>
      <c r="W3279" s="82" t="s">
        <v>6580</v>
      </c>
      <c r="X3279" s="80" t="str">
        <f>HYPERLINK("https://www.moneytimes.com.br/o-minerio-no-sapato-da-bolsa-o-que-esperar-das-acoes-da-vale-cheque-especial-do-nubank-turbulencias-na-cvc-e-outros-destaques-do-dia/")</f>
        <v>https://www.moneytimes.com.br/o-minerio-no-sapato-da-bolsa-o-que-esperar-das-acoes-da-vale-cheque-especial-do-nubank-turbulencias-na-cvc-e-outros-destaques-do-dia/</v>
      </c>
      <c r="Y3279" s="77" t="s">
        <v>7053</v>
      </c>
      <c r="Z3279" s="77"/>
      <c r="AA3279" s="77"/>
      <c r="AB3279" s="77"/>
      <c r="AC3279" s="82" t="s">
        <v>8255</v>
      </c>
      <c r="AD3279" s="77" t="s">
        <v>8278</v>
      </c>
      <c r="AE3279" s="80" t="str">
        <f>HYPERLINK("https://twitter.com/leiamoneytimes/status/1662054819316506624")</f>
        <v>https://twitter.com/leiamoneytimes/status/1662054819316506624</v>
      </c>
      <c r="AF3279" s="79">
        <v>45072.4690162037</v>
      </c>
      <c r="AG3279" s="85">
        <v>45072</v>
      </c>
      <c r="AH3279" s="82" t="s">
        <v>11288</v>
      </c>
      <c r="AI3279" s="77" t="b">
        <v>0</v>
      </c>
      <c r="AJ3279" s="77"/>
      <c r="AK3279" s="77"/>
      <c r="AL3279" s="77"/>
      <c r="AM3279" s="77"/>
      <c r="AN3279" s="77"/>
      <c r="AO3279" s="77"/>
      <c r="AP3279" s="77"/>
      <c r="AQ3279" s="77"/>
      <c r="AR3279" s="77"/>
      <c r="AS3279" s="77"/>
      <c r="AT3279" s="77"/>
      <c r="AU3279" s="77"/>
      <c r="AV3279" s="80" t="str">
        <f>HYPERLINK("https://pbs.twimg.com/profile_images/1559883556846977024/bXHnQFY0_normal.jpg")</f>
        <v>https://pbs.twimg.com/profile_images/1559883556846977024/bXHnQFY0_normal.jpg</v>
      </c>
      <c r="AW3279" s="82" t="s">
        <v>16363</v>
      </c>
      <c r="AX3279" s="82" t="s">
        <v>16363</v>
      </c>
      <c r="AY3279" s="77"/>
      <c r="AZ3279" s="82" t="s">
        <v>17385</v>
      </c>
      <c r="BA3279" s="82" t="s">
        <v>17385</v>
      </c>
      <c r="BB3279" s="82" t="s">
        <v>17385</v>
      </c>
      <c r="BC3279" s="82" t="s">
        <v>16363</v>
      </c>
      <c r="BD3279" s="77">
        <v>51150679</v>
      </c>
      <c r="BE3279" s="77"/>
      <c r="BF3279" s="77"/>
      <c r="BG3279" s="77"/>
      <c r="BH3279" s="77"/>
      <c r="BI3279" s="77"/>
    </row>
    <row r="3280" spans="1:61" x14ac:dyDescent="0.25">
      <c r="A3280" s="62" t="s">
        <v>605</v>
      </c>
      <c r="B3280" s="62" t="s">
        <v>605</v>
      </c>
      <c r="C3280" s="63"/>
      <c r="D3280" s="64"/>
      <c r="E3280" s="65"/>
      <c r="F3280" s="66"/>
      <c r="G3280" s="63"/>
      <c r="H3280" s="67"/>
      <c r="I3280" s="68"/>
      <c r="J3280" s="68"/>
      <c r="K3280" s="32"/>
      <c r="L3280" s="75">
        <v>3280</v>
      </c>
      <c r="M3280" s="75"/>
      <c r="N3280" s="70"/>
      <c r="O3280" s="77" t="s">
        <v>179</v>
      </c>
      <c r="P3280" s="79">
        <v>45072.457488425927</v>
      </c>
      <c r="Q3280" s="77" t="s">
        <v>4054</v>
      </c>
      <c r="R3280" s="77">
        <v>1</v>
      </c>
      <c r="S3280" s="77">
        <v>0</v>
      </c>
      <c r="T3280" s="77">
        <v>1</v>
      </c>
      <c r="U3280" s="77">
        <v>0</v>
      </c>
      <c r="V3280" s="77">
        <v>1197</v>
      </c>
      <c r="W3280" s="82" t="s">
        <v>6581</v>
      </c>
      <c r="X3280" s="80" t="str">
        <f>HYPERLINK("https://www.moneytimes.com.br/novo-pedido-da-petrobras-petr4-dividendos-de-eletrica-e-outros-destaques-desta-sexta-26/")</f>
        <v>https://www.moneytimes.com.br/novo-pedido-da-petrobras-petr4-dividendos-de-eletrica-e-outros-destaques-desta-sexta-26/</v>
      </c>
      <c r="Y3280" s="77" t="s">
        <v>7053</v>
      </c>
      <c r="Z3280" s="77"/>
      <c r="AA3280" s="77"/>
      <c r="AB3280" s="77"/>
      <c r="AC3280" s="82" t="s">
        <v>8255</v>
      </c>
      <c r="AD3280" s="77" t="s">
        <v>8278</v>
      </c>
      <c r="AE3280" s="80" t="str">
        <f>HYPERLINK("https://twitter.com/leiamoneytimes/status/1662050643236749312")</f>
        <v>https://twitter.com/leiamoneytimes/status/1662050643236749312</v>
      </c>
      <c r="AF3280" s="79">
        <v>45072.457488425927</v>
      </c>
      <c r="AG3280" s="85">
        <v>45072</v>
      </c>
      <c r="AH3280" s="82" t="s">
        <v>11289</v>
      </c>
      <c r="AI3280" s="77" t="b">
        <v>0</v>
      </c>
      <c r="AJ3280" s="77"/>
      <c r="AK3280" s="77"/>
      <c r="AL3280" s="77"/>
      <c r="AM3280" s="77"/>
      <c r="AN3280" s="77"/>
      <c r="AO3280" s="77"/>
      <c r="AP3280" s="77"/>
      <c r="AQ3280" s="77"/>
      <c r="AR3280" s="77"/>
      <c r="AS3280" s="77"/>
      <c r="AT3280" s="77"/>
      <c r="AU3280" s="77"/>
      <c r="AV3280" s="80" t="str">
        <f>HYPERLINK("https://pbs.twimg.com/profile_images/1559883556846977024/bXHnQFY0_normal.jpg")</f>
        <v>https://pbs.twimg.com/profile_images/1559883556846977024/bXHnQFY0_normal.jpg</v>
      </c>
      <c r="AW3280" s="82" t="s">
        <v>16364</v>
      </c>
      <c r="AX3280" s="82" t="s">
        <v>16364</v>
      </c>
      <c r="AY3280" s="77"/>
      <c r="AZ3280" s="82" t="s">
        <v>17385</v>
      </c>
      <c r="BA3280" s="82" t="s">
        <v>17385</v>
      </c>
      <c r="BB3280" s="82" t="s">
        <v>17385</v>
      </c>
      <c r="BC3280" s="82" t="s">
        <v>16364</v>
      </c>
      <c r="BD3280" s="77">
        <v>51150679</v>
      </c>
      <c r="BE3280" s="77"/>
      <c r="BF3280" s="77"/>
      <c r="BG3280" s="77"/>
      <c r="BH3280" s="77"/>
      <c r="BI3280" s="77"/>
    </row>
    <row r="3281" spans="1:61" x14ac:dyDescent="0.25">
      <c r="A3281" s="62" t="s">
        <v>605</v>
      </c>
      <c r="B3281" s="62" t="s">
        <v>605</v>
      </c>
      <c r="C3281" s="63"/>
      <c r="D3281" s="64"/>
      <c r="E3281" s="65"/>
      <c r="F3281" s="66"/>
      <c r="G3281" s="63"/>
      <c r="H3281" s="67"/>
      <c r="I3281" s="68"/>
      <c r="J3281" s="68"/>
      <c r="K3281" s="32"/>
      <c r="L3281" s="75">
        <v>3281</v>
      </c>
      <c r="M3281" s="75"/>
      <c r="N3281" s="70"/>
      <c r="O3281" s="77" t="s">
        <v>179</v>
      </c>
      <c r="P3281" s="79">
        <v>45072.444340277776</v>
      </c>
      <c r="Q3281" s="77" t="s">
        <v>4055</v>
      </c>
      <c r="R3281" s="77">
        <v>0</v>
      </c>
      <c r="S3281" s="77">
        <v>3</v>
      </c>
      <c r="T3281" s="77">
        <v>0</v>
      </c>
      <c r="U3281" s="77">
        <v>0</v>
      </c>
      <c r="V3281" s="77">
        <v>1243</v>
      </c>
      <c r="W3281" s="82" t="s">
        <v>6564</v>
      </c>
      <c r="X3281" s="80" t="str">
        <f>HYPERLINK("https://www.moneytimes.com.br/bolsas-asiaticas-mercado-da-china-fecha-estavel-com-tensoes-sino-americanas-em-foco/")</f>
        <v>https://www.moneytimes.com.br/bolsas-asiaticas-mercado-da-china-fecha-estavel-com-tensoes-sino-americanas-em-foco/</v>
      </c>
      <c r="Y3281" s="77" t="s">
        <v>7053</v>
      </c>
      <c r="Z3281" s="77"/>
      <c r="AA3281" s="77"/>
      <c r="AB3281" s="77"/>
      <c r="AC3281" s="82" t="s">
        <v>8255</v>
      </c>
      <c r="AD3281" s="77" t="s">
        <v>8278</v>
      </c>
      <c r="AE3281" s="80" t="str">
        <f>HYPERLINK("https://twitter.com/leiamoneytimes/status/1662045880306761737")</f>
        <v>https://twitter.com/leiamoneytimes/status/1662045880306761737</v>
      </c>
      <c r="AF3281" s="79">
        <v>45072.444340277776</v>
      </c>
      <c r="AG3281" s="85">
        <v>45072</v>
      </c>
      <c r="AH3281" s="82" t="s">
        <v>11290</v>
      </c>
      <c r="AI3281" s="77" t="b">
        <v>0</v>
      </c>
      <c r="AJ3281" s="77"/>
      <c r="AK3281" s="77"/>
      <c r="AL3281" s="77"/>
      <c r="AM3281" s="77"/>
      <c r="AN3281" s="77"/>
      <c r="AO3281" s="77"/>
      <c r="AP3281" s="77"/>
      <c r="AQ3281" s="77"/>
      <c r="AR3281" s="77"/>
      <c r="AS3281" s="77"/>
      <c r="AT3281" s="77"/>
      <c r="AU3281" s="77"/>
      <c r="AV3281" s="80" t="str">
        <f>HYPERLINK("https://pbs.twimg.com/profile_images/1559883556846977024/bXHnQFY0_normal.jpg")</f>
        <v>https://pbs.twimg.com/profile_images/1559883556846977024/bXHnQFY0_normal.jpg</v>
      </c>
      <c r="AW3281" s="82" t="s">
        <v>16365</v>
      </c>
      <c r="AX3281" s="82" t="s">
        <v>16365</v>
      </c>
      <c r="AY3281" s="77"/>
      <c r="AZ3281" s="82" t="s">
        <v>17385</v>
      </c>
      <c r="BA3281" s="82" t="s">
        <v>17385</v>
      </c>
      <c r="BB3281" s="82" t="s">
        <v>17385</v>
      </c>
      <c r="BC3281" s="82" t="s">
        <v>16365</v>
      </c>
      <c r="BD3281" s="77">
        <v>51150679</v>
      </c>
      <c r="BE3281" s="77"/>
      <c r="BF3281" s="77"/>
      <c r="BG3281" s="77"/>
      <c r="BH3281" s="77"/>
      <c r="BI3281" s="77"/>
    </row>
    <row r="3282" spans="1:61" x14ac:dyDescent="0.25">
      <c r="A3282" s="62" t="s">
        <v>605</v>
      </c>
      <c r="B3282" s="62" t="s">
        <v>605</v>
      </c>
      <c r="C3282" s="63"/>
      <c r="D3282" s="64"/>
      <c r="E3282" s="65"/>
      <c r="F3282" s="66"/>
      <c r="G3282" s="63"/>
      <c r="H3282" s="67"/>
      <c r="I3282" s="68"/>
      <c r="J3282" s="68"/>
      <c r="K3282" s="32"/>
      <c r="L3282" s="75">
        <v>3282</v>
      </c>
      <c r="M3282" s="75"/>
      <c r="N3282" s="70"/>
      <c r="O3282" s="77" t="s">
        <v>179</v>
      </c>
      <c r="P3282" s="79">
        <v>45071.937557870369</v>
      </c>
      <c r="Q3282" s="77" t="s">
        <v>4056</v>
      </c>
      <c r="R3282" s="77">
        <v>1</v>
      </c>
      <c r="S3282" s="77">
        <v>0</v>
      </c>
      <c r="T3282" s="77">
        <v>1</v>
      </c>
      <c r="U3282" s="77">
        <v>0</v>
      </c>
      <c r="V3282" s="77">
        <v>1294</v>
      </c>
      <c r="W3282" s="82" t="s">
        <v>6582</v>
      </c>
      <c r="X3282" s="80" t="str">
        <f>HYPERLINK("https://www.moneytimes.com.br/nvidia-cara-veja-tres-acoes-que-decolaram-na-cola-da-fabricante/")</f>
        <v>https://www.moneytimes.com.br/nvidia-cara-veja-tres-acoes-que-decolaram-na-cola-da-fabricante/</v>
      </c>
      <c r="Y3282" s="77" t="s">
        <v>7053</v>
      </c>
      <c r="Z3282" s="77"/>
      <c r="AA3282" s="77"/>
      <c r="AB3282" s="77"/>
      <c r="AC3282" s="82" t="s">
        <v>8255</v>
      </c>
      <c r="AD3282" s="77" t="s">
        <v>8278</v>
      </c>
      <c r="AE3282" s="80" t="str">
        <f>HYPERLINK("https://twitter.com/leiamoneytimes/status/1661862225127129089")</f>
        <v>https://twitter.com/leiamoneytimes/status/1661862225127129089</v>
      </c>
      <c r="AF3282" s="79">
        <v>45071.937557870369</v>
      </c>
      <c r="AG3282" s="85">
        <v>45071</v>
      </c>
      <c r="AH3282" s="82" t="s">
        <v>11291</v>
      </c>
      <c r="AI3282" s="77" t="b">
        <v>0</v>
      </c>
      <c r="AJ3282" s="77"/>
      <c r="AK3282" s="77"/>
      <c r="AL3282" s="77"/>
      <c r="AM3282" s="77"/>
      <c r="AN3282" s="77"/>
      <c r="AO3282" s="77"/>
      <c r="AP3282" s="77"/>
      <c r="AQ3282" s="77"/>
      <c r="AR3282" s="77"/>
      <c r="AS3282" s="77"/>
      <c r="AT3282" s="77"/>
      <c r="AU3282" s="77"/>
      <c r="AV3282" s="80" t="str">
        <f>HYPERLINK("https://pbs.twimg.com/profile_images/1559883556846977024/bXHnQFY0_normal.jpg")</f>
        <v>https://pbs.twimg.com/profile_images/1559883556846977024/bXHnQFY0_normal.jpg</v>
      </c>
      <c r="AW3282" s="82" t="s">
        <v>16366</v>
      </c>
      <c r="AX3282" s="82" t="s">
        <v>16366</v>
      </c>
      <c r="AY3282" s="77"/>
      <c r="AZ3282" s="82" t="s">
        <v>17385</v>
      </c>
      <c r="BA3282" s="82" t="s">
        <v>17385</v>
      </c>
      <c r="BB3282" s="82" t="s">
        <v>17385</v>
      </c>
      <c r="BC3282" s="82" t="s">
        <v>16366</v>
      </c>
      <c r="BD3282" s="77">
        <v>51150679</v>
      </c>
      <c r="BE3282" s="77"/>
      <c r="BF3282" s="77"/>
      <c r="BG3282" s="77"/>
      <c r="BH3282" s="77"/>
      <c r="BI3282" s="77"/>
    </row>
    <row r="3283" spans="1:61" x14ac:dyDescent="0.25">
      <c r="A3283" s="62" t="s">
        <v>605</v>
      </c>
      <c r="B3283" s="62" t="s">
        <v>605</v>
      </c>
      <c r="C3283" s="63"/>
      <c r="D3283" s="64"/>
      <c r="E3283" s="65"/>
      <c r="F3283" s="66"/>
      <c r="G3283" s="63"/>
      <c r="H3283" s="67"/>
      <c r="I3283" s="68"/>
      <c r="J3283" s="68"/>
      <c r="K3283" s="32"/>
      <c r="L3283" s="75">
        <v>3283</v>
      </c>
      <c r="M3283" s="75"/>
      <c r="N3283" s="70"/>
      <c r="O3283" s="77" t="s">
        <v>179</v>
      </c>
      <c r="P3283" s="79">
        <v>45071.845659722225</v>
      </c>
      <c r="Q3283" s="77" t="s">
        <v>4057</v>
      </c>
      <c r="R3283" s="77">
        <v>0</v>
      </c>
      <c r="S3283" s="77">
        <v>1</v>
      </c>
      <c r="T3283" s="77">
        <v>0</v>
      </c>
      <c r="U3283" s="77">
        <v>0</v>
      </c>
      <c r="V3283" s="77">
        <v>1086</v>
      </c>
      <c r="W3283" s="82" t="s">
        <v>6551</v>
      </c>
      <c r="X3283" s="80" t="str">
        <f>HYPERLINK("https://www.moneytimes.com.br/ibovespa-hoje-fecha-alta-inflacao-varejo-nvidia-eua-25-05-2023/")</f>
        <v>https://www.moneytimes.com.br/ibovespa-hoje-fecha-alta-inflacao-varejo-nvidia-eua-25-05-2023/</v>
      </c>
      <c r="Y3283" s="77" t="s">
        <v>7053</v>
      </c>
      <c r="Z3283" s="77"/>
      <c r="AA3283" s="77"/>
      <c r="AB3283" s="77"/>
      <c r="AC3283" s="82" t="s">
        <v>8255</v>
      </c>
      <c r="AD3283" s="77" t="s">
        <v>8278</v>
      </c>
      <c r="AE3283" s="80" t="str">
        <f>HYPERLINK("https://twitter.com/leiamoneytimes/status/1661828922915299350")</f>
        <v>https://twitter.com/leiamoneytimes/status/1661828922915299350</v>
      </c>
      <c r="AF3283" s="79">
        <v>45071.845659722225</v>
      </c>
      <c r="AG3283" s="85">
        <v>45071</v>
      </c>
      <c r="AH3283" s="82" t="s">
        <v>11292</v>
      </c>
      <c r="AI3283" s="77" t="b">
        <v>0</v>
      </c>
      <c r="AJ3283" s="77"/>
      <c r="AK3283" s="77"/>
      <c r="AL3283" s="77"/>
      <c r="AM3283" s="77"/>
      <c r="AN3283" s="77"/>
      <c r="AO3283" s="77"/>
      <c r="AP3283" s="77"/>
      <c r="AQ3283" s="77"/>
      <c r="AR3283" s="77"/>
      <c r="AS3283" s="77"/>
      <c r="AT3283" s="77"/>
      <c r="AU3283" s="77"/>
      <c r="AV3283" s="80" t="str">
        <f>HYPERLINK("https://pbs.twimg.com/profile_images/1559883556846977024/bXHnQFY0_normal.jpg")</f>
        <v>https://pbs.twimg.com/profile_images/1559883556846977024/bXHnQFY0_normal.jpg</v>
      </c>
      <c r="AW3283" s="82" t="s">
        <v>16367</v>
      </c>
      <c r="AX3283" s="82" t="s">
        <v>16367</v>
      </c>
      <c r="AY3283" s="77"/>
      <c r="AZ3283" s="82" t="s">
        <v>17385</v>
      </c>
      <c r="BA3283" s="82" t="s">
        <v>17385</v>
      </c>
      <c r="BB3283" s="82" t="s">
        <v>17385</v>
      </c>
      <c r="BC3283" s="82" t="s">
        <v>16367</v>
      </c>
      <c r="BD3283" s="77">
        <v>51150679</v>
      </c>
      <c r="BE3283" s="77"/>
      <c r="BF3283" s="77"/>
      <c r="BG3283" s="77"/>
      <c r="BH3283" s="77"/>
      <c r="BI3283" s="77"/>
    </row>
    <row r="3284" spans="1:61" x14ac:dyDescent="0.25">
      <c r="A3284" s="62" t="s">
        <v>605</v>
      </c>
      <c r="B3284" s="62" t="s">
        <v>605</v>
      </c>
      <c r="C3284" s="63"/>
      <c r="D3284" s="64"/>
      <c r="E3284" s="65"/>
      <c r="F3284" s="66"/>
      <c r="G3284" s="63"/>
      <c r="H3284" s="67"/>
      <c r="I3284" s="68"/>
      <c r="J3284" s="68"/>
      <c r="K3284" s="32"/>
      <c r="L3284" s="75">
        <v>3284</v>
      </c>
      <c r="M3284" s="75"/>
      <c r="N3284" s="70"/>
      <c r="O3284" s="77" t="s">
        <v>179</v>
      </c>
      <c r="P3284" s="79">
        <v>45071.769178240742</v>
      </c>
      <c r="Q3284" s="77" t="s">
        <v>4058</v>
      </c>
      <c r="R3284" s="77">
        <v>1</v>
      </c>
      <c r="S3284" s="77">
        <v>3</v>
      </c>
      <c r="T3284" s="77">
        <v>1</v>
      </c>
      <c r="U3284" s="77">
        <v>0</v>
      </c>
      <c r="V3284" s="77">
        <v>1151</v>
      </c>
      <c r="W3284" s="82" t="s">
        <v>6577</v>
      </c>
      <c r="X3284" s="80" t="str">
        <f>HYPERLINK("https://www.moneytimes.com.br/vai-investir-na-nvidia-melhor-pensar-duas-vezes/")</f>
        <v>https://www.moneytimes.com.br/vai-investir-na-nvidia-melhor-pensar-duas-vezes/</v>
      </c>
      <c r="Y3284" s="77" t="s">
        <v>7053</v>
      </c>
      <c r="Z3284" s="77"/>
      <c r="AA3284" s="77"/>
      <c r="AB3284" s="77"/>
      <c r="AC3284" s="82" t="s">
        <v>8255</v>
      </c>
      <c r="AD3284" s="77" t="s">
        <v>8278</v>
      </c>
      <c r="AE3284" s="80" t="str">
        <f>HYPERLINK("https://twitter.com/leiamoneytimes/status/1661801207692705792")</f>
        <v>https://twitter.com/leiamoneytimes/status/1661801207692705792</v>
      </c>
      <c r="AF3284" s="79">
        <v>45071.769178240742</v>
      </c>
      <c r="AG3284" s="85">
        <v>45071</v>
      </c>
      <c r="AH3284" s="82" t="s">
        <v>11293</v>
      </c>
      <c r="AI3284" s="77" t="b">
        <v>0</v>
      </c>
      <c r="AJ3284" s="77"/>
      <c r="AK3284" s="77"/>
      <c r="AL3284" s="77"/>
      <c r="AM3284" s="77"/>
      <c r="AN3284" s="77"/>
      <c r="AO3284" s="77"/>
      <c r="AP3284" s="77"/>
      <c r="AQ3284" s="77"/>
      <c r="AR3284" s="77"/>
      <c r="AS3284" s="77"/>
      <c r="AT3284" s="77"/>
      <c r="AU3284" s="77"/>
      <c r="AV3284" s="80" t="str">
        <f>HYPERLINK("https://pbs.twimg.com/profile_images/1559883556846977024/bXHnQFY0_normal.jpg")</f>
        <v>https://pbs.twimg.com/profile_images/1559883556846977024/bXHnQFY0_normal.jpg</v>
      </c>
      <c r="AW3284" s="82" t="s">
        <v>16368</v>
      </c>
      <c r="AX3284" s="82" t="s">
        <v>16368</v>
      </c>
      <c r="AY3284" s="77"/>
      <c r="AZ3284" s="82" t="s">
        <v>17385</v>
      </c>
      <c r="BA3284" s="82" t="s">
        <v>17385</v>
      </c>
      <c r="BB3284" s="82" t="s">
        <v>17385</v>
      </c>
      <c r="BC3284" s="82" t="s">
        <v>16368</v>
      </c>
      <c r="BD3284" s="77">
        <v>51150679</v>
      </c>
      <c r="BE3284" s="77"/>
      <c r="BF3284" s="77"/>
      <c r="BG3284" s="77"/>
      <c r="BH3284" s="77"/>
      <c r="BI3284" s="77"/>
    </row>
    <row r="3285" spans="1:61" x14ac:dyDescent="0.25">
      <c r="A3285" s="62" t="s">
        <v>605</v>
      </c>
      <c r="B3285" s="62" t="s">
        <v>605</v>
      </c>
      <c r="C3285" s="63"/>
      <c r="D3285" s="64"/>
      <c r="E3285" s="65"/>
      <c r="F3285" s="66"/>
      <c r="G3285" s="63"/>
      <c r="H3285" s="67"/>
      <c r="I3285" s="68"/>
      <c r="J3285" s="68"/>
      <c r="K3285" s="32"/>
      <c r="L3285" s="75">
        <v>3285</v>
      </c>
      <c r="M3285" s="75"/>
      <c r="N3285" s="70"/>
      <c r="O3285" s="77" t="s">
        <v>179</v>
      </c>
      <c r="P3285" s="79">
        <v>45071.723530092589</v>
      </c>
      <c r="Q3285" s="77" t="s">
        <v>4059</v>
      </c>
      <c r="R3285" s="77">
        <v>1</v>
      </c>
      <c r="S3285" s="77">
        <v>2</v>
      </c>
      <c r="T3285" s="77">
        <v>0</v>
      </c>
      <c r="U3285" s="77">
        <v>0</v>
      </c>
      <c r="V3285" s="77">
        <v>1049</v>
      </c>
      <c r="W3285" s="82" t="s">
        <v>6583</v>
      </c>
      <c r="X3285" s="80" t="str">
        <f>HYPERLINK("https://www.moneytimes.com.br/acoes-europeias-caem-com-pessimismo-macroeconomico-setor-de-luxo-se-recupera/")</f>
        <v>https://www.moneytimes.com.br/acoes-europeias-caem-com-pessimismo-macroeconomico-setor-de-luxo-se-recupera/</v>
      </c>
      <c r="Y3285" s="77" t="s">
        <v>7053</v>
      </c>
      <c r="Z3285" s="77"/>
      <c r="AA3285" s="77"/>
      <c r="AB3285" s="77"/>
      <c r="AC3285" s="82" t="s">
        <v>8255</v>
      </c>
      <c r="AD3285" s="77" t="s">
        <v>8278</v>
      </c>
      <c r="AE3285" s="80" t="str">
        <f>HYPERLINK("https://twitter.com/leiamoneytimes/status/1661784668084088835")</f>
        <v>https://twitter.com/leiamoneytimes/status/1661784668084088835</v>
      </c>
      <c r="AF3285" s="79">
        <v>45071.723530092589</v>
      </c>
      <c r="AG3285" s="85">
        <v>45071</v>
      </c>
      <c r="AH3285" s="82" t="s">
        <v>11294</v>
      </c>
      <c r="AI3285" s="77" t="b">
        <v>0</v>
      </c>
      <c r="AJ3285" s="77"/>
      <c r="AK3285" s="77"/>
      <c r="AL3285" s="77"/>
      <c r="AM3285" s="77"/>
      <c r="AN3285" s="77"/>
      <c r="AO3285" s="77"/>
      <c r="AP3285" s="77"/>
      <c r="AQ3285" s="77"/>
      <c r="AR3285" s="77"/>
      <c r="AS3285" s="77"/>
      <c r="AT3285" s="77"/>
      <c r="AU3285" s="77"/>
      <c r="AV3285" s="80" t="str">
        <f>HYPERLINK("https://pbs.twimg.com/profile_images/1559883556846977024/bXHnQFY0_normal.jpg")</f>
        <v>https://pbs.twimg.com/profile_images/1559883556846977024/bXHnQFY0_normal.jpg</v>
      </c>
      <c r="AW3285" s="82" t="s">
        <v>16369</v>
      </c>
      <c r="AX3285" s="82" t="s">
        <v>16369</v>
      </c>
      <c r="AY3285" s="77"/>
      <c r="AZ3285" s="82" t="s">
        <v>17385</v>
      </c>
      <c r="BA3285" s="82" t="s">
        <v>17385</v>
      </c>
      <c r="BB3285" s="82" t="s">
        <v>17385</v>
      </c>
      <c r="BC3285" s="82" t="s">
        <v>16369</v>
      </c>
      <c r="BD3285" s="77">
        <v>51150679</v>
      </c>
      <c r="BE3285" s="77"/>
      <c r="BF3285" s="77"/>
      <c r="BG3285" s="77"/>
      <c r="BH3285" s="77"/>
      <c r="BI3285" s="77"/>
    </row>
    <row r="3286" spans="1:61" x14ac:dyDescent="0.25">
      <c r="A3286" s="62" t="s">
        <v>605</v>
      </c>
      <c r="B3286" s="62" t="s">
        <v>605</v>
      </c>
      <c r="C3286" s="63"/>
      <c r="D3286" s="64"/>
      <c r="E3286" s="65"/>
      <c r="F3286" s="66"/>
      <c r="G3286" s="63"/>
      <c r="H3286" s="67"/>
      <c r="I3286" s="68"/>
      <c r="J3286" s="68"/>
      <c r="K3286" s="32"/>
      <c r="L3286" s="75">
        <v>3286</v>
      </c>
      <c r="M3286" s="75"/>
      <c r="N3286" s="70"/>
      <c r="O3286" s="77" t="s">
        <v>179</v>
      </c>
      <c r="P3286" s="79">
        <v>45071.700810185182</v>
      </c>
      <c r="Q3286" s="77" t="s">
        <v>4060</v>
      </c>
      <c r="R3286" s="77">
        <v>1</v>
      </c>
      <c r="S3286" s="77">
        <v>5</v>
      </c>
      <c r="T3286" s="77">
        <v>0</v>
      </c>
      <c r="U3286" s="77">
        <v>0</v>
      </c>
      <c r="V3286" s="77">
        <v>1179</v>
      </c>
      <c r="W3286" s="82" t="s">
        <v>6584</v>
      </c>
      <c r="X3286" s="80" t="str">
        <f>HYPERLINK("https://www.moneytimes.com.br/sequoia-dispara-quase-5-na-bolsa-apos-mais-um-passo-na-venda-de-ativos-estrategicos/")</f>
        <v>https://www.moneytimes.com.br/sequoia-dispara-quase-5-na-bolsa-apos-mais-um-passo-na-venda-de-ativos-estrategicos/</v>
      </c>
      <c r="Y3286" s="77" t="s">
        <v>7053</v>
      </c>
      <c r="Z3286" s="77"/>
      <c r="AA3286" s="77"/>
      <c r="AB3286" s="77"/>
      <c r="AC3286" s="82" t="s">
        <v>8255</v>
      </c>
      <c r="AD3286" s="77" t="s">
        <v>8278</v>
      </c>
      <c r="AE3286" s="80" t="str">
        <f>HYPERLINK("https://twitter.com/leiamoneytimes/status/1661776431502831616")</f>
        <v>https://twitter.com/leiamoneytimes/status/1661776431502831616</v>
      </c>
      <c r="AF3286" s="79">
        <v>45071.700810185182</v>
      </c>
      <c r="AG3286" s="85">
        <v>45071</v>
      </c>
      <c r="AH3286" s="82" t="s">
        <v>11295</v>
      </c>
      <c r="AI3286" s="77" t="b">
        <v>0</v>
      </c>
      <c r="AJ3286" s="77"/>
      <c r="AK3286" s="77"/>
      <c r="AL3286" s="77"/>
      <c r="AM3286" s="77"/>
      <c r="AN3286" s="77"/>
      <c r="AO3286" s="77"/>
      <c r="AP3286" s="77"/>
      <c r="AQ3286" s="77"/>
      <c r="AR3286" s="77"/>
      <c r="AS3286" s="77"/>
      <c r="AT3286" s="77"/>
      <c r="AU3286" s="77"/>
      <c r="AV3286" s="80" t="str">
        <f>HYPERLINK("https://pbs.twimg.com/profile_images/1559883556846977024/bXHnQFY0_normal.jpg")</f>
        <v>https://pbs.twimg.com/profile_images/1559883556846977024/bXHnQFY0_normal.jpg</v>
      </c>
      <c r="AW3286" s="82" t="s">
        <v>16370</v>
      </c>
      <c r="AX3286" s="82" t="s">
        <v>16370</v>
      </c>
      <c r="AY3286" s="77"/>
      <c r="AZ3286" s="82" t="s">
        <v>17385</v>
      </c>
      <c r="BA3286" s="82" t="s">
        <v>17385</v>
      </c>
      <c r="BB3286" s="82" t="s">
        <v>17385</v>
      </c>
      <c r="BC3286" s="82" t="s">
        <v>16370</v>
      </c>
      <c r="BD3286" s="77">
        <v>51150679</v>
      </c>
      <c r="BE3286" s="77"/>
      <c r="BF3286" s="77"/>
      <c r="BG3286" s="77"/>
      <c r="BH3286" s="77"/>
      <c r="BI3286" s="77"/>
    </row>
    <row r="3287" spans="1:61" x14ac:dyDescent="0.25">
      <c r="A3287" s="62" t="s">
        <v>605</v>
      </c>
      <c r="B3287" s="62" t="s">
        <v>605</v>
      </c>
      <c r="C3287" s="63"/>
      <c r="D3287" s="64"/>
      <c r="E3287" s="65"/>
      <c r="F3287" s="66"/>
      <c r="G3287" s="63"/>
      <c r="H3287" s="67"/>
      <c r="I3287" s="68"/>
      <c r="J3287" s="68"/>
      <c r="K3287" s="32"/>
      <c r="L3287" s="75">
        <v>3287</v>
      </c>
      <c r="M3287" s="75"/>
      <c r="N3287" s="70"/>
      <c r="O3287" s="77" t="s">
        <v>179</v>
      </c>
      <c r="P3287" s="79">
        <v>45071.66505787037</v>
      </c>
      <c r="Q3287" s="77" t="s">
        <v>4061</v>
      </c>
      <c r="R3287" s="77">
        <v>0</v>
      </c>
      <c r="S3287" s="77">
        <v>3</v>
      </c>
      <c r="T3287" s="77">
        <v>0</v>
      </c>
      <c r="U3287" s="77">
        <v>0</v>
      </c>
      <c r="V3287" s="77">
        <v>1115</v>
      </c>
      <c r="W3287" s="82" t="s">
        <v>6585</v>
      </c>
      <c r="X3287" s="80" t="str">
        <f>HYPERLINK("https://www.moneytimes.com.br/ibovespa-por-que-azul4-e-goll4-disparam-nesta-quinta-25-petr4-recua-no-pregao/")</f>
        <v>https://www.moneytimes.com.br/ibovespa-por-que-azul4-e-goll4-disparam-nesta-quinta-25-petr4-recua-no-pregao/</v>
      </c>
      <c r="Y3287" s="77" t="s">
        <v>7053</v>
      </c>
      <c r="Z3287" s="77"/>
      <c r="AA3287" s="77"/>
      <c r="AB3287" s="77"/>
      <c r="AC3287" s="82" t="s">
        <v>8255</v>
      </c>
      <c r="AD3287" s="77" t="s">
        <v>8278</v>
      </c>
      <c r="AE3287" s="80" t="str">
        <f>HYPERLINK("https://twitter.com/leiamoneytimes/status/1661763477151653889")</f>
        <v>https://twitter.com/leiamoneytimes/status/1661763477151653889</v>
      </c>
      <c r="AF3287" s="79">
        <v>45071.66505787037</v>
      </c>
      <c r="AG3287" s="85">
        <v>45071</v>
      </c>
      <c r="AH3287" s="82" t="s">
        <v>11296</v>
      </c>
      <c r="AI3287" s="77" t="b">
        <v>0</v>
      </c>
      <c r="AJ3287" s="77"/>
      <c r="AK3287" s="77"/>
      <c r="AL3287" s="77"/>
      <c r="AM3287" s="77"/>
      <c r="AN3287" s="77"/>
      <c r="AO3287" s="77"/>
      <c r="AP3287" s="77"/>
      <c r="AQ3287" s="77"/>
      <c r="AR3287" s="77"/>
      <c r="AS3287" s="77"/>
      <c r="AT3287" s="77"/>
      <c r="AU3287" s="77"/>
      <c r="AV3287" s="80" t="str">
        <f>HYPERLINK("https://pbs.twimg.com/profile_images/1559883556846977024/bXHnQFY0_normal.jpg")</f>
        <v>https://pbs.twimg.com/profile_images/1559883556846977024/bXHnQFY0_normal.jpg</v>
      </c>
      <c r="AW3287" s="82" t="s">
        <v>16371</v>
      </c>
      <c r="AX3287" s="82" t="s">
        <v>16371</v>
      </c>
      <c r="AY3287" s="77"/>
      <c r="AZ3287" s="82" t="s">
        <v>17385</v>
      </c>
      <c r="BA3287" s="82" t="s">
        <v>17385</v>
      </c>
      <c r="BB3287" s="82" t="s">
        <v>17385</v>
      </c>
      <c r="BC3287" s="82" t="s">
        <v>16371</v>
      </c>
      <c r="BD3287" s="77">
        <v>51150679</v>
      </c>
      <c r="BE3287" s="77"/>
      <c r="BF3287" s="77"/>
      <c r="BG3287" s="77"/>
      <c r="BH3287" s="77"/>
      <c r="BI3287" s="77"/>
    </row>
    <row r="3288" spans="1:61" x14ac:dyDescent="0.25">
      <c r="A3288" s="62" t="s">
        <v>605</v>
      </c>
      <c r="B3288" s="62" t="s">
        <v>605</v>
      </c>
      <c r="C3288" s="63"/>
      <c r="D3288" s="64"/>
      <c r="E3288" s="65"/>
      <c r="F3288" s="66"/>
      <c r="G3288" s="63"/>
      <c r="H3288" s="67"/>
      <c r="I3288" s="68"/>
      <c r="J3288" s="68"/>
      <c r="K3288" s="32"/>
      <c r="L3288" s="75">
        <v>3288</v>
      </c>
      <c r="M3288" s="75"/>
      <c r="N3288" s="70"/>
      <c r="O3288" s="77" t="s">
        <v>179</v>
      </c>
      <c r="P3288" s="79">
        <v>45071.605763888889</v>
      </c>
      <c r="Q3288" s="77" t="s">
        <v>4062</v>
      </c>
      <c r="R3288" s="77">
        <v>0</v>
      </c>
      <c r="S3288" s="77">
        <v>6</v>
      </c>
      <c r="T3288" s="77">
        <v>0</v>
      </c>
      <c r="U3288" s="77">
        <v>0</v>
      </c>
      <c r="V3288" s="77">
        <v>1117</v>
      </c>
      <c r="W3288" s="82" t="s">
        <v>6586</v>
      </c>
      <c r="X3288" s="80" t="str">
        <f>HYPERLINK("https://www.moneytimes.com.br/proxima-penny-stock-ceo-da-cvc-cvcb3-deixa-companhia-em-momento-critico-segundo-analistas/")</f>
        <v>https://www.moneytimes.com.br/proxima-penny-stock-ceo-da-cvc-cvcb3-deixa-companhia-em-momento-critico-segundo-analistas/</v>
      </c>
      <c r="Y3288" s="77" t="s">
        <v>7053</v>
      </c>
      <c r="Z3288" s="77"/>
      <c r="AA3288" s="77"/>
      <c r="AB3288" s="77"/>
      <c r="AC3288" s="82" t="s">
        <v>8255</v>
      </c>
      <c r="AD3288" s="77" t="s">
        <v>8278</v>
      </c>
      <c r="AE3288" s="80" t="str">
        <f>HYPERLINK("https://twitter.com/leiamoneytimes/status/1661741989250093056")</f>
        <v>https://twitter.com/leiamoneytimes/status/1661741989250093056</v>
      </c>
      <c r="AF3288" s="79">
        <v>45071.605763888889</v>
      </c>
      <c r="AG3288" s="85">
        <v>45071</v>
      </c>
      <c r="AH3288" s="82" t="s">
        <v>11297</v>
      </c>
      <c r="AI3288" s="77" t="b">
        <v>0</v>
      </c>
      <c r="AJ3288" s="77"/>
      <c r="AK3288" s="77"/>
      <c r="AL3288" s="77"/>
      <c r="AM3288" s="77"/>
      <c r="AN3288" s="77"/>
      <c r="AO3288" s="77"/>
      <c r="AP3288" s="77"/>
      <c r="AQ3288" s="77"/>
      <c r="AR3288" s="77"/>
      <c r="AS3288" s="77"/>
      <c r="AT3288" s="77"/>
      <c r="AU3288" s="77"/>
      <c r="AV3288" s="80" t="str">
        <f>HYPERLINK("https://pbs.twimg.com/profile_images/1559883556846977024/bXHnQFY0_normal.jpg")</f>
        <v>https://pbs.twimg.com/profile_images/1559883556846977024/bXHnQFY0_normal.jpg</v>
      </c>
      <c r="AW3288" s="82" t="s">
        <v>16372</v>
      </c>
      <c r="AX3288" s="82" t="s">
        <v>16372</v>
      </c>
      <c r="AY3288" s="77"/>
      <c r="AZ3288" s="82" t="s">
        <v>17385</v>
      </c>
      <c r="BA3288" s="82" t="s">
        <v>17385</v>
      </c>
      <c r="BB3288" s="82" t="s">
        <v>17385</v>
      </c>
      <c r="BC3288" s="82" t="s">
        <v>16372</v>
      </c>
      <c r="BD3288" s="77">
        <v>51150679</v>
      </c>
      <c r="BE3288" s="77"/>
      <c r="BF3288" s="77"/>
      <c r="BG3288" s="77"/>
      <c r="BH3288" s="77"/>
      <c r="BI3288" s="77"/>
    </row>
    <row r="3289" spans="1:61" x14ac:dyDescent="0.25">
      <c r="A3289" s="62" t="s">
        <v>605</v>
      </c>
      <c r="B3289" s="62" t="s">
        <v>605</v>
      </c>
      <c r="C3289" s="63"/>
      <c r="D3289" s="64"/>
      <c r="E3289" s="65"/>
      <c r="F3289" s="66"/>
      <c r="G3289" s="63"/>
      <c r="H3289" s="67"/>
      <c r="I3289" s="68"/>
      <c r="J3289" s="68"/>
      <c r="K3289" s="32"/>
      <c r="L3289" s="75">
        <v>3289</v>
      </c>
      <c r="M3289" s="75"/>
      <c r="N3289" s="70"/>
      <c r="O3289" s="77" t="s">
        <v>179</v>
      </c>
      <c r="P3289" s="79">
        <v>45071.60125</v>
      </c>
      <c r="Q3289" s="77" t="s">
        <v>4063</v>
      </c>
      <c r="R3289" s="77">
        <v>0</v>
      </c>
      <c r="S3289" s="77">
        <v>3</v>
      </c>
      <c r="T3289" s="77">
        <v>0</v>
      </c>
      <c r="U3289" s="77">
        <v>0</v>
      </c>
      <c r="V3289" s="77">
        <v>1159</v>
      </c>
      <c r="W3289" s="82" t="s">
        <v>6559</v>
      </c>
      <c r="X3289" s="80" t="str">
        <f>HYPERLINK("https://www.moneytimes.com.br/gringos-repetem-em-um-unico-dia-na-b3-o-que-fizeram-nos-ultimos-tres-entenda/")</f>
        <v>https://www.moneytimes.com.br/gringos-repetem-em-um-unico-dia-na-b3-o-que-fizeram-nos-ultimos-tres-entenda/</v>
      </c>
      <c r="Y3289" s="77" t="s">
        <v>7053</v>
      </c>
      <c r="Z3289" s="77"/>
      <c r="AA3289" s="77"/>
      <c r="AB3289" s="77"/>
      <c r="AC3289" s="82" t="s">
        <v>8255</v>
      </c>
      <c r="AD3289" s="77" t="s">
        <v>8278</v>
      </c>
      <c r="AE3289" s="80" t="str">
        <f>HYPERLINK("https://twitter.com/leiamoneytimes/status/1661740353555415042")</f>
        <v>https://twitter.com/leiamoneytimes/status/1661740353555415042</v>
      </c>
      <c r="AF3289" s="79">
        <v>45071.60125</v>
      </c>
      <c r="AG3289" s="85">
        <v>45071</v>
      </c>
      <c r="AH3289" s="82" t="s">
        <v>11298</v>
      </c>
      <c r="AI3289" s="77" t="b">
        <v>0</v>
      </c>
      <c r="AJ3289" s="77"/>
      <c r="AK3289" s="77"/>
      <c r="AL3289" s="77"/>
      <c r="AM3289" s="77"/>
      <c r="AN3289" s="77"/>
      <c r="AO3289" s="77"/>
      <c r="AP3289" s="77"/>
      <c r="AQ3289" s="77"/>
      <c r="AR3289" s="77"/>
      <c r="AS3289" s="77"/>
      <c r="AT3289" s="77"/>
      <c r="AU3289" s="77"/>
      <c r="AV3289" s="80" t="str">
        <f>HYPERLINK("https://pbs.twimg.com/profile_images/1559883556846977024/bXHnQFY0_normal.jpg")</f>
        <v>https://pbs.twimg.com/profile_images/1559883556846977024/bXHnQFY0_normal.jpg</v>
      </c>
      <c r="AW3289" s="82" t="s">
        <v>16373</v>
      </c>
      <c r="AX3289" s="82" t="s">
        <v>16373</v>
      </c>
      <c r="AY3289" s="77"/>
      <c r="AZ3289" s="82" t="s">
        <v>17385</v>
      </c>
      <c r="BA3289" s="82" t="s">
        <v>17385</v>
      </c>
      <c r="BB3289" s="82" t="s">
        <v>17385</v>
      </c>
      <c r="BC3289" s="82" t="s">
        <v>16373</v>
      </c>
      <c r="BD3289" s="77">
        <v>51150679</v>
      </c>
      <c r="BE3289" s="77"/>
      <c r="BF3289" s="77"/>
      <c r="BG3289" s="77"/>
      <c r="BH3289" s="77"/>
      <c r="BI3289" s="77"/>
    </row>
    <row r="3290" spans="1:61" x14ac:dyDescent="0.25">
      <c r="A3290" s="62" t="s">
        <v>605</v>
      </c>
      <c r="B3290" s="62" t="s">
        <v>605</v>
      </c>
      <c r="C3290" s="63"/>
      <c r="D3290" s="64"/>
      <c r="E3290" s="65"/>
      <c r="F3290" s="66"/>
      <c r="G3290" s="63"/>
      <c r="H3290" s="67"/>
      <c r="I3290" s="68"/>
      <c r="J3290" s="68"/>
      <c r="K3290" s="32"/>
      <c r="L3290" s="75">
        <v>3290</v>
      </c>
      <c r="M3290" s="75"/>
      <c r="N3290" s="70"/>
      <c r="O3290" s="77" t="s">
        <v>179</v>
      </c>
      <c r="P3290" s="79">
        <v>45071.464872685188</v>
      </c>
      <c r="Q3290" s="77" t="s">
        <v>4064</v>
      </c>
      <c r="R3290" s="77">
        <v>0</v>
      </c>
      <c r="S3290" s="77">
        <v>4</v>
      </c>
      <c r="T3290" s="77">
        <v>0</v>
      </c>
      <c r="U3290" s="77">
        <v>0</v>
      </c>
      <c r="V3290" s="77">
        <v>1513</v>
      </c>
      <c r="W3290" s="82" t="s">
        <v>6587</v>
      </c>
      <c r="X3290" s="80" t="str">
        <f>HYPERLINK("https://www.moneytimes.com.br/dividendos-da-vale-vale3-risco-de-calote-da-oi-oibr3-e-outros-destaques-desta-quinta-feira-25/")</f>
        <v>https://www.moneytimes.com.br/dividendos-da-vale-vale3-risco-de-calote-da-oi-oibr3-e-outros-destaques-desta-quinta-feira-25/</v>
      </c>
      <c r="Y3290" s="77" t="s">
        <v>7053</v>
      </c>
      <c r="Z3290" s="77"/>
      <c r="AA3290" s="77"/>
      <c r="AB3290" s="77"/>
      <c r="AC3290" s="82" t="s">
        <v>8255</v>
      </c>
      <c r="AD3290" s="77" t="s">
        <v>8278</v>
      </c>
      <c r="AE3290" s="80" t="str">
        <f>HYPERLINK("https://twitter.com/leiamoneytimes/status/1661690930330492928")</f>
        <v>https://twitter.com/leiamoneytimes/status/1661690930330492928</v>
      </c>
      <c r="AF3290" s="79">
        <v>45071.464872685188</v>
      </c>
      <c r="AG3290" s="85">
        <v>45071</v>
      </c>
      <c r="AH3290" s="82" t="s">
        <v>11299</v>
      </c>
      <c r="AI3290" s="77" t="b">
        <v>0</v>
      </c>
      <c r="AJ3290" s="77"/>
      <c r="AK3290" s="77"/>
      <c r="AL3290" s="77"/>
      <c r="AM3290" s="77"/>
      <c r="AN3290" s="77"/>
      <c r="AO3290" s="77"/>
      <c r="AP3290" s="77"/>
      <c r="AQ3290" s="77"/>
      <c r="AR3290" s="77"/>
      <c r="AS3290" s="77"/>
      <c r="AT3290" s="77"/>
      <c r="AU3290" s="77"/>
      <c r="AV3290" s="80" t="str">
        <f>HYPERLINK("https://pbs.twimg.com/profile_images/1559883556846977024/bXHnQFY0_normal.jpg")</f>
        <v>https://pbs.twimg.com/profile_images/1559883556846977024/bXHnQFY0_normal.jpg</v>
      </c>
      <c r="AW3290" s="82" t="s">
        <v>16374</v>
      </c>
      <c r="AX3290" s="82" t="s">
        <v>16374</v>
      </c>
      <c r="AY3290" s="77"/>
      <c r="AZ3290" s="82" t="s">
        <v>17385</v>
      </c>
      <c r="BA3290" s="82" t="s">
        <v>17385</v>
      </c>
      <c r="BB3290" s="82" t="s">
        <v>17385</v>
      </c>
      <c r="BC3290" s="82" t="s">
        <v>16374</v>
      </c>
      <c r="BD3290" s="77">
        <v>51150679</v>
      </c>
      <c r="BE3290" s="77"/>
      <c r="BF3290" s="77"/>
      <c r="BG3290" s="77"/>
      <c r="BH3290" s="77"/>
      <c r="BI3290" s="77"/>
    </row>
    <row r="3291" spans="1:61" x14ac:dyDescent="0.25">
      <c r="A3291" s="62" t="s">
        <v>605</v>
      </c>
      <c r="B3291" s="62" t="s">
        <v>605</v>
      </c>
      <c r="C3291" s="63"/>
      <c r="D3291" s="64"/>
      <c r="E3291" s="65"/>
      <c r="F3291" s="66"/>
      <c r="G3291" s="63"/>
      <c r="H3291" s="67"/>
      <c r="I3291" s="68"/>
      <c r="J3291" s="68"/>
      <c r="K3291" s="32"/>
      <c r="L3291" s="75">
        <v>3291</v>
      </c>
      <c r="M3291" s="75"/>
      <c r="N3291" s="70"/>
      <c r="O3291" s="77" t="s">
        <v>179</v>
      </c>
      <c r="P3291" s="79">
        <v>45071.457326388889</v>
      </c>
      <c r="Q3291" s="77" t="s">
        <v>4065</v>
      </c>
      <c r="R3291" s="77">
        <v>0</v>
      </c>
      <c r="S3291" s="77">
        <v>3</v>
      </c>
      <c r="T3291" s="77">
        <v>0</v>
      </c>
      <c r="U3291" s="77">
        <v>0</v>
      </c>
      <c r="V3291" s="77">
        <v>1236</v>
      </c>
      <c r="W3291" s="82" t="s">
        <v>6588</v>
      </c>
      <c r="X3291" s="80" t="str">
        <f>HYPERLINK("https://www.moneytimes.com.br/ibovespa-ibov-hoje-fica-refem-da-vale-vale3-e-do-exterior-mas-e-outra-acao-que-rouba-a-cena/")</f>
        <v>https://www.moneytimes.com.br/ibovespa-ibov-hoje-fica-refem-da-vale-vale3-e-do-exterior-mas-e-outra-acao-que-rouba-a-cena/</v>
      </c>
      <c r="Y3291" s="77" t="s">
        <v>7053</v>
      </c>
      <c r="Z3291" s="77"/>
      <c r="AA3291" s="77"/>
      <c r="AB3291" s="77"/>
      <c r="AC3291" s="82" t="s">
        <v>8255</v>
      </c>
      <c r="AD3291" s="77" t="s">
        <v>8278</v>
      </c>
      <c r="AE3291" s="80" t="str">
        <f>HYPERLINK("https://twitter.com/leiamoneytimes/status/1661688199100473344")</f>
        <v>https://twitter.com/leiamoneytimes/status/1661688199100473344</v>
      </c>
      <c r="AF3291" s="79">
        <v>45071.457326388889</v>
      </c>
      <c r="AG3291" s="85">
        <v>45071</v>
      </c>
      <c r="AH3291" s="82" t="s">
        <v>11300</v>
      </c>
      <c r="AI3291" s="77" t="b">
        <v>0</v>
      </c>
      <c r="AJ3291" s="77"/>
      <c r="AK3291" s="77"/>
      <c r="AL3291" s="77"/>
      <c r="AM3291" s="77"/>
      <c r="AN3291" s="77"/>
      <c r="AO3291" s="77"/>
      <c r="AP3291" s="77"/>
      <c r="AQ3291" s="77"/>
      <c r="AR3291" s="77"/>
      <c r="AS3291" s="77"/>
      <c r="AT3291" s="77"/>
      <c r="AU3291" s="77"/>
      <c r="AV3291" s="80" t="str">
        <f>HYPERLINK("https://pbs.twimg.com/profile_images/1559883556846977024/bXHnQFY0_normal.jpg")</f>
        <v>https://pbs.twimg.com/profile_images/1559883556846977024/bXHnQFY0_normal.jpg</v>
      </c>
      <c r="AW3291" s="82" t="s">
        <v>16375</v>
      </c>
      <c r="AX3291" s="82" t="s">
        <v>16375</v>
      </c>
      <c r="AY3291" s="77"/>
      <c r="AZ3291" s="82" t="s">
        <v>17385</v>
      </c>
      <c r="BA3291" s="82" t="s">
        <v>17385</v>
      </c>
      <c r="BB3291" s="82" t="s">
        <v>17385</v>
      </c>
      <c r="BC3291" s="82" t="s">
        <v>16375</v>
      </c>
      <c r="BD3291" s="77">
        <v>51150679</v>
      </c>
      <c r="BE3291" s="77"/>
      <c r="BF3291" s="77"/>
      <c r="BG3291" s="77"/>
      <c r="BH3291" s="77"/>
      <c r="BI3291" s="77"/>
    </row>
    <row r="3292" spans="1:61" x14ac:dyDescent="0.25">
      <c r="A3292" s="62" t="s">
        <v>605</v>
      </c>
      <c r="B3292" s="62" t="s">
        <v>605</v>
      </c>
      <c r="C3292" s="63"/>
      <c r="D3292" s="64"/>
      <c r="E3292" s="65"/>
      <c r="F3292" s="66"/>
      <c r="G3292" s="63"/>
      <c r="H3292" s="67"/>
      <c r="I3292" s="68"/>
      <c r="J3292" s="68"/>
      <c r="K3292" s="32"/>
      <c r="L3292" s="75">
        <v>3292</v>
      </c>
      <c r="M3292" s="75"/>
      <c r="N3292" s="70"/>
      <c r="O3292" s="77" t="s">
        <v>179</v>
      </c>
      <c r="P3292" s="79">
        <v>45070.851006944446</v>
      </c>
      <c r="Q3292" s="77" t="s">
        <v>4066</v>
      </c>
      <c r="R3292" s="77">
        <v>0</v>
      </c>
      <c r="S3292" s="77">
        <v>2</v>
      </c>
      <c r="T3292" s="77">
        <v>0</v>
      </c>
      <c r="U3292" s="77">
        <v>0</v>
      </c>
      <c r="V3292" s="77">
        <v>1160</v>
      </c>
      <c r="W3292" s="82" t="s">
        <v>6551</v>
      </c>
      <c r="X3292" s="80" t="str">
        <f>HYPERLINK("https://www.moneytimes.com.br/ibovespa-hoje-fecha-queda-arcabouco-fiscal-vale-vale3-24-05-2023/")</f>
        <v>https://www.moneytimes.com.br/ibovespa-hoje-fecha-queda-arcabouco-fiscal-vale-vale3-24-05-2023/</v>
      </c>
      <c r="Y3292" s="77" t="s">
        <v>7053</v>
      </c>
      <c r="Z3292" s="77"/>
      <c r="AA3292" s="77"/>
      <c r="AB3292" s="77"/>
      <c r="AC3292" s="82" t="s">
        <v>8255</v>
      </c>
      <c r="AD3292" s="77" t="s">
        <v>8278</v>
      </c>
      <c r="AE3292" s="80" t="str">
        <f>HYPERLINK("https://twitter.com/leiamoneytimes/status/1661468472772116485")</f>
        <v>https://twitter.com/leiamoneytimes/status/1661468472772116485</v>
      </c>
      <c r="AF3292" s="79">
        <v>45070.851006944446</v>
      </c>
      <c r="AG3292" s="85">
        <v>45070</v>
      </c>
      <c r="AH3292" s="82" t="s">
        <v>8575</v>
      </c>
      <c r="AI3292" s="77" t="b">
        <v>0</v>
      </c>
      <c r="AJ3292" s="77"/>
      <c r="AK3292" s="77"/>
      <c r="AL3292" s="77"/>
      <c r="AM3292" s="77"/>
      <c r="AN3292" s="77"/>
      <c r="AO3292" s="77"/>
      <c r="AP3292" s="77"/>
      <c r="AQ3292" s="77"/>
      <c r="AR3292" s="77"/>
      <c r="AS3292" s="77"/>
      <c r="AT3292" s="77"/>
      <c r="AU3292" s="77"/>
      <c r="AV3292" s="80" t="str">
        <f>HYPERLINK("https://pbs.twimg.com/profile_images/1559883556846977024/bXHnQFY0_normal.jpg")</f>
        <v>https://pbs.twimg.com/profile_images/1559883556846977024/bXHnQFY0_normal.jpg</v>
      </c>
      <c r="AW3292" s="82" t="s">
        <v>16376</v>
      </c>
      <c r="AX3292" s="82" t="s">
        <v>16376</v>
      </c>
      <c r="AY3292" s="77"/>
      <c r="AZ3292" s="82" t="s">
        <v>17385</v>
      </c>
      <c r="BA3292" s="82" t="s">
        <v>17385</v>
      </c>
      <c r="BB3292" s="82" t="s">
        <v>17385</v>
      </c>
      <c r="BC3292" s="82" t="s">
        <v>16376</v>
      </c>
      <c r="BD3292" s="77">
        <v>51150679</v>
      </c>
      <c r="BE3292" s="77"/>
      <c r="BF3292" s="77"/>
      <c r="BG3292" s="77"/>
      <c r="BH3292" s="77"/>
      <c r="BI3292" s="77"/>
    </row>
    <row r="3293" spans="1:61" x14ac:dyDescent="0.25">
      <c r="A3293" s="62" t="s">
        <v>605</v>
      </c>
      <c r="B3293" s="62" t="s">
        <v>605</v>
      </c>
      <c r="C3293" s="63"/>
      <c r="D3293" s="64"/>
      <c r="E3293" s="65"/>
      <c r="F3293" s="66"/>
      <c r="G3293" s="63"/>
      <c r="H3293" s="67"/>
      <c r="I3293" s="68"/>
      <c r="J3293" s="68"/>
      <c r="K3293" s="32"/>
      <c r="L3293" s="75">
        <v>3293</v>
      </c>
      <c r="M3293" s="75"/>
      <c r="N3293" s="70"/>
      <c r="O3293" s="77" t="s">
        <v>179</v>
      </c>
      <c r="P3293" s="79">
        <v>45055.470462962963</v>
      </c>
      <c r="Q3293" s="77" t="s">
        <v>4067</v>
      </c>
      <c r="R3293" s="77">
        <v>0</v>
      </c>
      <c r="S3293" s="77">
        <v>1</v>
      </c>
      <c r="T3293" s="77">
        <v>1</v>
      </c>
      <c r="U3293" s="77">
        <v>0</v>
      </c>
      <c r="V3293" s="77">
        <v>1202</v>
      </c>
      <c r="W3293" s="82" t="s">
        <v>6578</v>
      </c>
      <c r="X3293" s="80" t="str">
        <f>HYPERLINK("https://www.moneytimes.com.br/bolsas-asiaticas-caem-com-fraqueza-na-china-minerio-de-ferro-salta-24-em-dalian/")</f>
        <v>https://www.moneytimes.com.br/bolsas-asiaticas-caem-com-fraqueza-na-china-minerio-de-ferro-salta-24-em-dalian/</v>
      </c>
      <c r="Y3293" s="77" t="s">
        <v>7053</v>
      </c>
      <c r="Z3293" s="77"/>
      <c r="AA3293" s="77"/>
      <c r="AB3293" s="77"/>
      <c r="AC3293" s="82" t="s">
        <v>8255</v>
      </c>
      <c r="AD3293" s="77" t="s">
        <v>8278</v>
      </c>
      <c r="AE3293" s="80" t="str">
        <f>HYPERLINK("https://twitter.com/leiamoneytimes/status/1655894751999057928")</f>
        <v>https://twitter.com/leiamoneytimes/status/1655894751999057928</v>
      </c>
      <c r="AF3293" s="79">
        <v>45055.470462962963</v>
      </c>
      <c r="AG3293" s="85">
        <v>45055</v>
      </c>
      <c r="AH3293" s="82" t="s">
        <v>11301</v>
      </c>
      <c r="AI3293" s="77" t="b">
        <v>0</v>
      </c>
      <c r="AJ3293" s="77"/>
      <c r="AK3293" s="77"/>
      <c r="AL3293" s="77"/>
      <c r="AM3293" s="77"/>
      <c r="AN3293" s="77"/>
      <c r="AO3293" s="77"/>
      <c r="AP3293" s="77"/>
      <c r="AQ3293" s="77"/>
      <c r="AR3293" s="77"/>
      <c r="AS3293" s="77"/>
      <c r="AT3293" s="77"/>
      <c r="AU3293" s="77"/>
      <c r="AV3293" s="80" t="str">
        <f>HYPERLINK("https://pbs.twimg.com/profile_images/1559883556846977024/bXHnQFY0_normal.jpg")</f>
        <v>https://pbs.twimg.com/profile_images/1559883556846977024/bXHnQFY0_normal.jpg</v>
      </c>
      <c r="AW3293" s="82" t="s">
        <v>16377</v>
      </c>
      <c r="AX3293" s="82" t="s">
        <v>16377</v>
      </c>
      <c r="AY3293" s="77"/>
      <c r="AZ3293" s="82" t="s">
        <v>17385</v>
      </c>
      <c r="BA3293" s="82" t="s">
        <v>17385</v>
      </c>
      <c r="BB3293" s="82" t="s">
        <v>17385</v>
      </c>
      <c r="BC3293" s="82" t="s">
        <v>16377</v>
      </c>
      <c r="BD3293" s="77">
        <v>51150679</v>
      </c>
      <c r="BE3293" s="77"/>
      <c r="BF3293" s="77"/>
      <c r="BG3293" s="77"/>
      <c r="BH3293" s="77"/>
      <c r="BI3293" s="77"/>
    </row>
    <row r="3294" spans="1:61" x14ac:dyDescent="0.25">
      <c r="A3294" s="62" t="s">
        <v>605</v>
      </c>
      <c r="B3294" s="62" t="s">
        <v>605</v>
      </c>
      <c r="C3294" s="63"/>
      <c r="D3294" s="64"/>
      <c r="E3294" s="65"/>
      <c r="F3294" s="66"/>
      <c r="G3294" s="63"/>
      <c r="H3294" s="67"/>
      <c r="I3294" s="68"/>
      <c r="J3294" s="68"/>
      <c r="K3294" s="32"/>
      <c r="L3294" s="75">
        <v>3294</v>
      </c>
      <c r="M3294" s="75"/>
      <c r="N3294" s="70"/>
      <c r="O3294" s="77" t="s">
        <v>179</v>
      </c>
      <c r="P3294" s="79">
        <v>45055.45716435185</v>
      </c>
      <c r="Q3294" s="77" t="s">
        <v>4068</v>
      </c>
      <c r="R3294" s="77">
        <v>0</v>
      </c>
      <c r="S3294" s="77">
        <v>0</v>
      </c>
      <c r="T3294" s="77">
        <v>1</v>
      </c>
      <c r="U3294" s="77">
        <v>0</v>
      </c>
      <c r="V3294" s="77">
        <v>1061</v>
      </c>
      <c r="W3294" s="82" t="s">
        <v>6589</v>
      </c>
      <c r="X3294" s="80" t="str">
        <f>HYPERLINK("https://www.moneytimes.com.br/ibovespa-ibov-comeca-terca-feira-9-agitada-por-copom-e-china/")</f>
        <v>https://www.moneytimes.com.br/ibovespa-ibov-comeca-terca-feira-9-agitada-por-copom-e-china/</v>
      </c>
      <c r="Y3294" s="77" t="s">
        <v>7053</v>
      </c>
      <c r="Z3294" s="77"/>
      <c r="AA3294" s="77"/>
      <c r="AB3294" s="77"/>
      <c r="AC3294" s="82" t="s">
        <v>8255</v>
      </c>
      <c r="AD3294" s="77" t="s">
        <v>8278</v>
      </c>
      <c r="AE3294" s="80" t="str">
        <f>HYPERLINK("https://twitter.com/leiamoneytimes/status/1655889932903170048")</f>
        <v>https://twitter.com/leiamoneytimes/status/1655889932903170048</v>
      </c>
      <c r="AF3294" s="79">
        <v>45055.45716435185</v>
      </c>
      <c r="AG3294" s="85">
        <v>45055</v>
      </c>
      <c r="AH3294" s="82" t="s">
        <v>11302</v>
      </c>
      <c r="AI3294" s="77" t="b">
        <v>0</v>
      </c>
      <c r="AJ3294" s="77"/>
      <c r="AK3294" s="77"/>
      <c r="AL3294" s="77"/>
      <c r="AM3294" s="77"/>
      <c r="AN3294" s="77"/>
      <c r="AO3294" s="77"/>
      <c r="AP3294" s="77"/>
      <c r="AQ3294" s="77"/>
      <c r="AR3294" s="77"/>
      <c r="AS3294" s="77"/>
      <c r="AT3294" s="77"/>
      <c r="AU3294" s="77"/>
      <c r="AV3294" s="80" t="str">
        <f>HYPERLINK("https://pbs.twimg.com/profile_images/1559883556846977024/bXHnQFY0_normal.jpg")</f>
        <v>https://pbs.twimg.com/profile_images/1559883556846977024/bXHnQFY0_normal.jpg</v>
      </c>
      <c r="AW3294" s="82" t="s">
        <v>16378</v>
      </c>
      <c r="AX3294" s="82" t="s">
        <v>16378</v>
      </c>
      <c r="AY3294" s="77"/>
      <c r="AZ3294" s="82" t="s">
        <v>17385</v>
      </c>
      <c r="BA3294" s="82" t="s">
        <v>17385</v>
      </c>
      <c r="BB3294" s="82" t="s">
        <v>17385</v>
      </c>
      <c r="BC3294" s="82" t="s">
        <v>16378</v>
      </c>
      <c r="BD3294" s="77">
        <v>51150679</v>
      </c>
      <c r="BE3294" s="77"/>
      <c r="BF3294" s="77"/>
      <c r="BG3294" s="77"/>
      <c r="BH3294" s="77"/>
      <c r="BI3294" s="77"/>
    </row>
    <row r="3295" spans="1:61" x14ac:dyDescent="0.25">
      <c r="A3295" s="62" t="s">
        <v>605</v>
      </c>
      <c r="B3295" s="62" t="s">
        <v>605</v>
      </c>
      <c r="C3295" s="63"/>
      <c r="D3295" s="64"/>
      <c r="E3295" s="65"/>
      <c r="F3295" s="66"/>
      <c r="G3295" s="63"/>
      <c r="H3295" s="67"/>
      <c r="I3295" s="68"/>
      <c r="J3295" s="68"/>
      <c r="K3295" s="32"/>
      <c r="L3295" s="75">
        <v>3295</v>
      </c>
      <c r="M3295" s="75"/>
      <c r="N3295" s="70"/>
      <c r="O3295" s="77" t="s">
        <v>179</v>
      </c>
      <c r="P3295" s="79">
        <v>45054.804583333331</v>
      </c>
      <c r="Q3295" s="77" t="s">
        <v>4069</v>
      </c>
      <c r="R3295" s="77">
        <v>1</v>
      </c>
      <c r="S3295" s="77">
        <v>4</v>
      </c>
      <c r="T3295" s="77">
        <v>1</v>
      </c>
      <c r="U3295" s="77">
        <v>0</v>
      </c>
      <c r="V3295" s="77">
        <v>1431</v>
      </c>
      <c r="W3295" s="82" t="s">
        <v>6590</v>
      </c>
      <c r="X3295" s="80" t="str">
        <f>HYPERLINK("https://www.moneytimes.com.br/por-que-as-acoes-brasileiras-estao-baratas-entenda/")</f>
        <v>https://www.moneytimes.com.br/por-que-as-acoes-brasileiras-estao-baratas-entenda/</v>
      </c>
      <c r="Y3295" s="77" t="s">
        <v>7053</v>
      </c>
      <c r="Z3295" s="77"/>
      <c r="AA3295" s="77"/>
      <c r="AB3295" s="77"/>
      <c r="AC3295" s="82" t="s">
        <v>8255</v>
      </c>
      <c r="AD3295" s="77" t="s">
        <v>8278</v>
      </c>
      <c r="AE3295" s="80" t="str">
        <f>HYPERLINK("https://twitter.com/leiamoneytimes/status/1655653446299574297")</f>
        <v>https://twitter.com/leiamoneytimes/status/1655653446299574297</v>
      </c>
      <c r="AF3295" s="79">
        <v>45054.804583333331</v>
      </c>
      <c r="AG3295" s="85">
        <v>45054</v>
      </c>
      <c r="AH3295" s="82" t="s">
        <v>10257</v>
      </c>
      <c r="AI3295" s="77" t="b">
        <v>0</v>
      </c>
      <c r="AJ3295" s="77"/>
      <c r="AK3295" s="77"/>
      <c r="AL3295" s="77"/>
      <c r="AM3295" s="77"/>
      <c r="AN3295" s="77"/>
      <c r="AO3295" s="77"/>
      <c r="AP3295" s="77"/>
      <c r="AQ3295" s="77"/>
      <c r="AR3295" s="77"/>
      <c r="AS3295" s="77"/>
      <c r="AT3295" s="77"/>
      <c r="AU3295" s="77"/>
      <c r="AV3295" s="80" t="str">
        <f>HYPERLINK("https://pbs.twimg.com/profile_images/1559883556846977024/bXHnQFY0_normal.jpg")</f>
        <v>https://pbs.twimg.com/profile_images/1559883556846977024/bXHnQFY0_normal.jpg</v>
      </c>
      <c r="AW3295" s="82" t="s">
        <v>16379</v>
      </c>
      <c r="AX3295" s="82" t="s">
        <v>16379</v>
      </c>
      <c r="AY3295" s="77"/>
      <c r="AZ3295" s="82" t="s">
        <v>17385</v>
      </c>
      <c r="BA3295" s="82" t="s">
        <v>17385</v>
      </c>
      <c r="BB3295" s="82" t="s">
        <v>17385</v>
      </c>
      <c r="BC3295" s="82" t="s">
        <v>16379</v>
      </c>
      <c r="BD3295" s="77">
        <v>51150679</v>
      </c>
      <c r="BE3295" s="77"/>
      <c r="BF3295" s="77"/>
      <c r="BG3295" s="77"/>
      <c r="BH3295" s="77"/>
      <c r="BI3295" s="77"/>
    </row>
    <row r="3296" spans="1:61" x14ac:dyDescent="0.25">
      <c r="A3296" s="62" t="s">
        <v>605</v>
      </c>
      <c r="B3296" s="62" t="s">
        <v>605</v>
      </c>
      <c r="C3296" s="63"/>
      <c r="D3296" s="64"/>
      <c r="E3296" s="65"/>
      <c r="F3296" s="66"/>
      <c r="G3296" s="63"/>
      <c r="H3296" s="67"/>
      <c r="I3296" s="68"/>
      <c r="J3296" s="68"/>
      <c r="K3296" s="32"/>
      <c r="L3296" s="75">
        <v>3296</v>
      </c>
      <c r="M3296" s="75"/>
      <c r="N3296" s="70"/>
      <c r="O3296" s="77" t="s">
        <v>179</v>
      </c>
      <c r="P3296" s="79">
        <v>45054.79277777778</v>
      </c>
      <c r="Q3296" s="77" t="s">
        <v>4070</v>
      </c>
      <c r="R3296" s="77">
        <v>0</v>
      </c>
      <c r="S3296" s="77">
        <v>4</v>
      </c>
      <c r="T3296" s="77">
        <v>1</v>
      </c>
      <c r="U3296" s="77">
        <v>0</v>
      </c>
      <c r="V3296" s="77">
        <v>1199</v>
      </c>
      <c r="W3296" s="82" t="s">
        <v>6591</v>
      </c>
      <c r="X3296" s="80" t="str">
        <f>HYPERLINK("https://www.moneytimes.com.br/construtoras-o-que-esperar-das-preferidas-dirr3-cury3-e-cyre3-no-1t23/")</f>
        <v>https://www.moneytimes.com.br/construtoras-o-que-esperar-das-preferidas-dirr3-cury3-e-cyre3-no-1t23/</v>
      </c>
      <c r="Y3296" s="77" t="s">
        <v>7053</v>
      </c>
      <c r="Z3296" s="77"/>
      <c r="AA3296" s="77"/>
      <c r="AB3296" s="77"/>
      <c r="AC3296" s="82" t="s">
        <v>8255</v>
      </c>
      <c r="AD3296" s="77" t="s">
        <v>8278</v>
      </c>
      <c r="AE3296" s="80" t="str">
        <f>HYPERLINK("https://twitter.com/leiamoneytimes/status/1655649166360469537")</f>
        <v>https://twitter.com/leiamoneytimes/status/1655649166360469537</v>
      </c>
      <c r="AF3296" s="79">
        <v>45054.79277777778</v>
      </c>
      <c r="AG3296" s="85">
        <v>45054</v>
      </c>
      <c r="AH3296" s="82" t="s">
        <v>11303</v>
      </c>
      <c r="AI3296" s="77" t="b">
        <v>0</v>
      </c>
      <c r="AJ3296" s="77"/>
      <c r="AK3296" s="77"/>
      <c r="AL3296" s="77"/>
      <c r="AM3296" s="77"/>
      <c r="AN3296" s="77"/>
      <c r="AO3296" s="77"/>
      <c r="AP3296" s="77"/>
      <c r="AQ3296" s="77"/>
      <c r="AR3296" s="77"/>
      <c r="AS3296" s="77"/>
      <c r="AT3296" s="77"/>
      <c r="AU3296" s="77"/>
      <c r="AV3296" s="80" t="str">
        <f>HYPERLINK("https://pbs.twimg.com/profile_images/1559883556846977024/bXHnQFY0_normal.jpg")</f>
        <v>https://pbs.twimg.com/profile_images/1559883556846977024/bXHnQFY0_normal.jpg</v>
      </c>
      <c r="AW3296" s="82" t="s">
        <v>16380</v>
      </c>
      <c r="AX3296" s="82" t="s">
        <v>16380</v>
      </c>
      <c r="AY3296" s="77"/>
      <c r="AZ3296" s="82" t="s">
        <v>17385</v>
      </c>
      <c r="BA3296" s="82" t="s">
        <v>17385</v>
      </c>
      <c r="BB3296" s="82" t="s">
        <v>17385</v>
      </c>
      <c r="BC3296" s="82" t="s">
        <v>16380</v>
      </c>
      <c r="BD3296" s="77">
        <v>51150679</v>
      </c>
      <c r="BE3296" s="77"/>
      <c r="BF3296" s="77"/>
      <c r="BG3296" s="77"/>
      <c r="BH3296" s="77"/>
      <c r="BI3296" s="77"/>
    </row>
    <row r="3297" spans="1:61" x14ac:dyDescent="0.25">
      <c r="A3297" s="62" t="s">
        <v>605</v>
      </c>
      <c r="B3297" s="62" t="s">
        <v>605</v>
      </c>
      <c r="C3297" s="63"/>
      <c r="D3297" s="64"/>
      <c r="E3297" s="65"/>
      <c r="F3297" s="66"/>
      <c r="G3297" s="63"/>
      <c r="H3297" s="67"/>
      <c r="I3297" s="68"/>
      <c r="J3297" s="68"/>
      <c r="K3297" s="32"/>
      <c r="L3297" s="75">
        <v>3297</v>
      </c>
      <c r="M3297" s="75"/>
      <c r="N3297" s="70"/>
      <c r="O3297" s="77" t="s">
        <v>179</v>
      </c>
      <c r="P3297" s="79">
        <v>45054.770243055558</v>
      </c>
      <c r="Q3297" s="77" t="s">
        <v>4071</v>
      </c>
      <c r="R3297" s="77">
        <v>1</v>
      </c>
      <c r="S3297" s="77">
        <v>15</v>
      </c>
      <c r="T3297" s="77">
        <v>1</v>
      </c>
      <c r="U3297" s="77">
        <v>1</v>
      </c>
      <c r="V3297" s="77">
        <v>2059</v>
      </c>
      <c r="W3297" s="82" t="s">
        <v>6592</v>
      </c>
      <c r="X3297" s="80" t="str">
        <f>HYPERLINK("https://www.moneytimes.com.br/gringos-ampliam-venda-de-acoes-e-saques-na-b3-superam-r-2-bi-em-3-pregoes-de-maio/")</f>
        <v>https://www.moneytimes.com.br/gringos-ampliam-venda-de-acoes-e-saques-na-b3-superam-r-2-bi-em-3-pregoes-de-maio/</v>
      </c>
      <c r="Y3297" s="77" t="s">
        <v>7053</v>
      </c>
      <c r="Z3297" s="77"/>
      <c r="AA3297" s="77"/>
      <c r="AB3297" s="77"/>
      <c r="AC3297" s="82" t="s">
        <v>8255</v>
      </c>
      <c r="AD3297" s="77" t="s">
        <v>8278</v>
      </c>
      <c r="AE3297" s="80" t="str">
        <f>HYPERLINK("https://twitter.com/leiamoneytimes/status/1655640998872055810")</f>
        <v>https://twitter.com/leiamoneytimes/status/1655640998872055810</v>
      </c>
      <c r="AF3297" s="79">
        <v>45054.770243055558</v>
      </c>
      <c r="AG3297" s="85">
        <v>45054</v>
      </c>
      <c r="AH3297" s="82" t="s">
        <v>11304</v>
      </c>
      <c r="AI3297" s="77" t="b">
        <v>0</v>
      </c>
      <c r="AJ3297" s="77"/>
      <c r="AK3297" s="77"/>
      <c r="AL3297" s="77"/>
      <c r="AM3297" s="77"/>
      <c r="AN3297" s="77"/>
      <c r="AO3297" s="77"/>
      <c r="AP3297" s="77"/>
      <c r="AQ3297" s="77"/>
      <c r="AR3297" s="77"/>
      <c r="AS3297" s="77"/>
      <c r="AT3297" s="77"/>
      <c r="AU3297" s="77"/>
      <c r="AV3297" s="80" t="str">
        <f>HYPERLINK("https://pbs.twimg.com/profile_images/1559883556846977024/bXHnQFY0_normal.jpg")</f>
        <v>https://pbs.twimg.com/profile_images/1559883556846977024/bXHnQFY0_normal.jpg</v>
      </c>
      <c r="AW3297" s="82" t="s">
        <v>16381</v>
      </c>
      <c r="AX3297" s="82" t="s">
        <v>16381</v>
      </c>
      <c r="AY3297" s="77"/>
      <c r="AZ3297" s="82" t="s">
        <v>17385</v>
      </c>
      <c r="BA3297" s="82" t="s">
        <v>17385</v>
      </c>
      <c r="BB3297" s="82" t="s">
        <v>17385</v>
      </c>
      <c r="BC3297" s="82" t="s">
        <v>16381</v>
      </c>
      <c r="BD3297" s="77">
        <v>51150679</v>
      </c>
      <c r="BE3297" s="77"/>
      <c r="BF3297" s="77"/>
      <c r="BG3297" s="77"/>
      <c r="BH3297" s="77"/>
      <c r="BI3297" s="77"/>
    </row>
    <row r="3298" spans="1:61" x14ac:dyDescent="0.25">
      <c r="A3298" s="62" t="s">
        <v>605</v>
      </c>
      <c r="B3298" s="62" t="s">
        <v>605</v>
      </c>
      <c r="C3298" s="63"/>
      <c r="D3298" s="64"/>
      <c r="E3298" s="65"/>
      <c r="F3298" s="66"/>
      <c r="G3298" s="63"/>
      <c r="H3298" s="67"/>
      <c r="I3298" s="68"/>
      <c r="J3298" s="68"/>
      <c r="K3298" s="32"/>
      <c r="L3298" s="75">
        <v>3298</v>
      </c>
      <c r="M3298" s="75"/>
      <c r="N3298" s="70"/>
      <c r="O3298" s="77" t="s">
        <v>179</v>
      </c>
      <c r="P3298" s="79">
        <v>45054.672500000001</v>
      </c>
      <c r="Q3298" s="77" t="s">
        <v>4072</v>
      </c>
      <c r="R3298" s="77">
        <v>1</v>
      </c>
      <c r="S3298" s="77">
        <v>2</v>
      </c>
      <c r="T3298" s="77">
        <v>1</v>
      </c>
      <c r="U3298" s="77">
        <v>0</v>
      </c>
      <c r="V3298" s="77">
        <v>1356</v>
      </c>
      <c r="W3298" s="82" t="s">
        <v>6593</v>
      </c>
      <c r="X3298" s="80" t="str">
        <f>HYPERLINK("https://www.moneytimes.com.br/ibovespa-vale-vale3-avanca-e-eletrobras-elet3-recua-nesta-segunda-8-entenda/")</f>
        <v>https://www.moneytimes.com.br/ibovespa-vale-vale3-avanca-e-eletrobras-elet3-recua-nesta-segunda-8-entenda/</v>
      </c>
      <c r="Y3298" s="77" t="s">
        <v>7053</v>
      </c>
      <c r="Z3298" s="77"/>
      <c r="AA3298" s="77"/>
      <c r="AB3298" s="77"/>
      <c r="AC3298" s="82" t="s">
        <v>8255</v>
      </c>
      <c r="AD3298" s="77" t="s">
        <v>8278</v>
      </c>
      <c r="AE3298" s="80" t="str">
        <f>HYPERLINK("https://twitter.com/leiamoneytimes/status/1655605579895717890")</f>
        <v>https://twitter.com/leiamoneytimes/status/1655605579895717890</v>
      </c>
      <c r="AF3298" s="79">
        <v>45054.672500000001</v>
      </c>
      <c r="AG3298" s="85">
        <v>45054</v>
      </c>
      <c r="AH3298" s="82" t="s">
        <v>11305</v>
      </c>
      <c r="AI3298" s="77" t="b">
        <v>0</v>
      </c>
      <c r="AJ3298" s="77"/>
      <c r="AK3298" s="77"/>
      <c r="AL3298" s="77"/>
      <c r="AM3298" s="77"/>
      <c r="AN3298" s="77"/>
      <c r="AO3298" s="77"/>
      <c r="AP3298" s="77"/>
      <c r="AQ3298" s="77"/>
      <c r="AR3298" s="77"/>
      <c r="AS3298" s="77"/>
      <c r="AT3298" s="77"/>
      <c r="AU3298" s="77"/>
      <c r="AV3298" s="80" t="str">
        <f>HYPERLINK("https://pbs.twimg.com/profile_images/1559883556846977024/bXHnQFY0_normal.jpg")</f>
        <v>https://pbs.twimg.com/profile_images/1559883556846977024/bXHnQFY0_normal.jpg</v>
      </c>
      <c r="AW3298" s="82" t="s">
        <v>16382</v>
      </c>
      <c r="AX3298" s="82" t="s">
        <v>16382</v>
      </c>
      <c r="AY3298" s="77"/>
      <c r="AZ3298" s="82" t="s">
        <v>17385</v>
      </c>
      <c r="BA3298" s="82" t="s">
        <v>17385</v>
      </c>
      <c r="BB3298" s="82" t="s">
        <v>17385</v>
      </c>
      <c r="BC3298" s="82" t="s">
        <v>16382</v>
      </c>
      <c r="BD3298" s="77">
        <v>51150679</v>
      </c>
      <c r="BE3298" s="77"/>
      <c r="BF3298" s="77"/>
      <c r="BG3298" s="77"/>
      <c r="BH3298" s="77"/>
      <c r="BI3298" s="77"/>
    </row>
    <row r="3299" spans="1:61" x14ac:dyDescent="0.25">
      <c r="A3299" s="62" t="s">
        <v>605</v>
      </c>
      <c r="B3299" s="62" t="s">
        <v>605</v>
      </c>
      <c r="C3299" s="63"/>
      <c r="D3299" s="64"/>
      <c r="E3299" s="65"/>
      <c r="F3299" s="66"/>
      <c r="G3299" s="63"/>
      <c r="H3299" s="67"/>
      <c r="I3299" s="68"/>
      <c r="J3299" s="68"/>
      <c r="K3299" s="32"/>
      <c r="L3299" s="75">
        <v>3299</v>
      </c>
      <c r="M3299" s="75"/>
      <c r="N3299" s="70"/>
      <c r="O3299" s="77" t="s">
        <v>179</v>
      </c>
      <c r="P3299" s="79">
        <v>45054.662789351853</v>
      </c>
      <c r="Q3299" s="77" t="s">
        <v>4073</v>
      </c>
      <c r="R3299" s="77">
        <v>0</v>
      </c>
      <c r="S3299" s="77">
        <v>3</v>
      </c>
      <c r="T3299" s="77">
        <v>1</v>
      </c>
      <c r="U3299" s="77">
        <v>0</v>
      </c>
      <c r="V3299" s="77">
        <v>1410</v>
      </c>
      <c r="W3299" s="82" t="s">
        <v>6594</v>
      </c>
      <c r="X3299" s="80" t="str">
        <f>HYPERLINK("https://www.moneytimes.com.br/por-que-petrobras-petr4-e-3rpetroleum-rrrp3-sobem-nesta-segunda-8/")</f>
        <v>https://www.moneytimes.com.br/por-que-petrobras-petr4-e-3rpetroleum-rrrp3-sobem-nesta-segunda-8/</v>
      </c>
      <c r="Y3299" s="77" t="s">
        <v>7053</v>
      </c>
      <c r="Z3299" s="77"/>
      <c r="AA3299" s="77"/>
      <c r="AB3299" s="77"/>
      <c r="AC3299" s="82" t="s">
        <v>8255</v>
      </c>
      <c r="AD3299" s="77" t="s">
        <v>8278</v>
      </c>
      <c r="AE3299" s="80" t="str">
        <f>HYPERLINK("https://twitter.com/leiamoneytimes/status/1655602061474516996")</f>
        <v>https://twitter.com/leiamoneytimes/status/1655602061474516996</v>
      </c>
      <c r="AF3299" s="79">
        <v>45054.662789351853</v>
      </c>
      <c r="AG3299" s="85">
        <v>45054</v>
      </c>
      <c r="AH3299" s="82" t="s">
        <v>11306</v>
      </c>
      <c r="AI3299" s="77" t="b">
        <v>0</v>
      </c>
      <c r="AJ3299" s="77"/>
      <c r="AK3299" s="77"/>
      <c r="AL3299" s="77"/>
      <c r="AM3299" s="77"/>
      <c r="AN3299" s="77"/>
      <c r="AO3299" s="77"/>
      <c r="AP3299" s="77"/>
      <c r="AQ3299" s="77"/>
      <c r="AR3299" s="77"/>
      <c r="AS3299" s="77"/>
      <c r="AT3299" s="77"/>
      <c r="AU3299" s="77"/>
      <c r="AV3299" s="80" t="str">
        <f>HYPERLINK("https://pbs.twimg.com/profile_images/1559883556846977024/bXHnQFY0_normal.jpg")</f>
        <v>https://pbs.twimg.com/profile_images/1559883556846977024/bXHnQFY0_normal.jpg</v>
      </c>
      <c r="AW3299" s="82" t="s">
        <v>16383</v>
      </c>
      <c r="AX3299" s="82" t="s">
        <v>16383</v>
      </c>
      <c r="AY3299" s="77"/>
      <c r="AZ3299" s="82" t="s">
        <v>17385</v>
      </c>
      <c r="BA3299" s="82" t="s">
        <v>17385</v>
      </c>
      <c r="BB3299" s="82" t="s">
        <v>17385</v>
      </c>
      <c r="BC3299" s="82" t="s">
        <v>16383</v>
      </c>
      <c r="BD3299" s="77">
        <v>51150679</v>
      </c>
      <c r="BE3299" s="77"/>
      <c r="BF3299" s="77"/>
      <c r="BG3299" s="77"/>
      <c r="BH3299" s="77"/>
      <c r="BI3299" s="77"/>
    </row>
    <row r="3300" spans="1:61" x14ac:dyDescent="0.25">
      <c r="A3300" s="62" t="s">
        <v>605</v>
      </c>
      <c r="B3300" s="62" t="s">
        <v>605</v>
      </c>
      <c r="C3300" s="63"/>
      <c r="D3300" s="64"/>
      <c r="E3300" s="65"/>
      <c r="F3300" s="66"/>
      <c r="G3300" s="63"/>
      <c r="H3300" s="67"/>
      <c r="I3300" s="68"/>
      <c r="J3300" s="68"/>
      <c r="K3300" s="32"/>
      <c r="L3300" s="75">
        <v>3300</v>
      </c>
      <c r="M3300" s="75"/>
      <c r="N3300" s="70"/>
      <c r="O3300" s="77" t="s">
        <v>179</v>
      </c>
      <c r="P3300" s="79">
        <v>45054.588460648149</v>
      </c>
      <c r="Q3300" s="77" t="s">
        <v>4074</v>
      </c>
      <c r="R3300" s="77">
        <v>1</v>
      </c>
      <c r="S3300" s="77">
        <v>4</v>
      </c>
      <c r="T3300" s="77">
        <v>1</v>
      </c>
      <c r="U3300" s="77">
        <v>0</v>
      </c>
      <c r="V3300" s="77">
        <v>1356</v>
      </c>
      <c r="W3300" s="82" t="s">
        <v>6595</v>
      </c>
      <c r="X3300" s="80" t="str">
        <f>HYPERLINK("https://www.moneytimes.com.br/braskem-brkm5-dispara-20-apos-novonor-receber-proposta-de-compra/")</f>
        <v>https://www.moneytimes.com.br/braskem-brkm5-dispara-20-apos-novonor-receber-proposta-de-compra/</v>
      </c>
      <c r="Y3300" s="77" t="s">
        <v>7053</v>
      </c>
      <c r="Z3300" s="77"/>
      <c r="AA3300" s="77"/>
      <c r="AB3300" s="77"/>
      <c r="AC3300" s="82" t="s">
        <v>8255</v>
      </c>
      <c r="AD3300" s="77" t="s">
        <v>8278</v>
      </c>
      <c r="AE3300" s="80" t="str">
        <f>HYPERLINK("https://twitter.com/leiamoneytimes/status/1655575122688765958")</f>
        <v>https://twitter.com/leiamoneytimes/status/1655575122688765958</v>
      </c>
      <c r="AF3300" s="79">
        <v>45054.588460648149</v>
      </c>
      <c r="AG3300" s="85">
        <v>45054</v>
      </c>
      <c r="AH3300" s="82" t="s">
        <v>11307</v>
      </c>
      <c r="AI3300" s="77" t="b">
        <v>0</v>
      </c>
      <c r="AJ3300" s="77"/>
      <c r="AK3300" s="77"/>
      <c r="AL3300" s="77"/>
      <c r="AM3300" s="77"/>
      <c r="AN3300" s="77"/>
      <c r="AO3300" s="77"/>
      <c r="AP3300" s="77"/>
      <c r="AQ3300" s="77"/>
      <c r="AR3300" s="77"/>
      <c r="AS3300" s="77"/>
      <c r="AT3300" s="77"/>
      <c r="AU3300" s="77"/>
      <c r="AV3300" s="80" t="str">
        <f>HYPERLINK("https://pbs.twimg.com/profile_images/1559883556846977024/bXHnQFY0_normal.jpg")</f>
        <v>https://pbs.twimg.com/profile_images/1559883556846977024/bXHnQFY0_normal.jpg</v>
      </c>
      <c r="AW3300" s="82" t="s">
        <v>16384</v>
      </c>
      <c r="AX3300" s="82" t="s">
        <v>16384</v>
      </c>
      <c r="AY3300" s="77"/>
      <c r="AZ3300" s="82" t="s">
        <v>17385</v>
      </c>
      <c r="BA3300" s="82" t="s">
        <v>17385</v>
      </c>
      <c r="BB3300" s="82" t="s">
        <v>17385</v>
      </c>
      <c r="BC3300" s="82" t="s">
        <v>16384</v>
      </c>
      <c r="BD3300" s="77">
        <v>51150679</v>
      </c>
      <c r="BE3300" s="77"/>
      <c r="BF3300" s="77"/>
      <c r="BG3300" s="77"/>
      <c r="BH3300" s="77"/>
      <c r="BI3300" s="77"/>
    </row>
    <row r="3301" spans="1:61" x14ac:dyDescent="0.25">
      <c r="A3301" s="62" t="s">
        <v>605</v>
      </c>
      <c r="B3301" s="62" t="s">
        <v>605</v>
      </c>
      <c r="C3301" s="63"/>
      <c r="D3301" s="64"/>
      <c r="E3301" s="65"/>
      <c r="F3301" s="66"/>
      <c r="G3301" s="63"/>
      <c r="H3301" s="67"/>
      <c r="I3301" s="68"/>
      <c r="J3301" s="68"/>
      <c r="K3301" s="32"/>
      <c r="L3301" s="75">
        <v>3301</v>
      </c>
      <c r="M3301" s="75"/>
      <c r="N3301" s="70"/>
      <c r="O3301" s="77" t="s">
        <v>179</v>
      </c>
      <c r="P3301" s="79">
        <v>45054.499340277776</v>
      </c>
      <c r="Q3301" s="77" t="s">
        <v>4075</v>
      </c>
      <c r="R3301" s="77">
        <v>1</v>
      </c>
      <c r="S3301" s="77">
        <v>2</v>
      </c>
      <c r="T3301" s="77">
        <v>1</v>
      </c>
      <c r="U3301" s="77">
        <v>0</v>
      </c>
      <c r="V3301" s="77">
        <v>1179</v>
      </c>
      <c r="W3301" s="82" t="s">
        <v>6596</v>
      </c>
      <c r="X3301" s="80" t="str">
        <f>HYPERLINK("https://www.moneytimes.com.br/petrobras-petr3-firma-acordos-e-privatizacao-da-eletrobras-elet3-sobe-no-telhado-confira-os-destaques-desta-segunda-feira-8/")</f>
        <v>https://www.moneytimes.com.br/petrobras-petr3-firma-acordos-e-privatizacao-da-eletrobras-elet3-sobe-no-telhado-confira-os-destaques-desta-segunda-feira-8/</v>
      </c>
      <c r="Y3301" s="77" t="s">
        <v>7053</v>
      </c>
      <c r="Z3301" s="77"/>
      <c r="AA3301" s="77"/>
      <c r="AB3301" s="77"/>
      <c r="AC3301" s="82" t="s">
        <v>8255</v>
      </c>
      <c r="AD3301" s="77" t="s">
        <v>8278</v>
      </c>
      <c r="AE3301" s="80" t="str">
        <f>HYPERLINK("https://twitter.com/leiamoneytimes/status/1655542828728975361")</f>
        <v>https://twitter.com/leiamoneytimes/status/1655542828728975361</v>
      </c>
      <c r="AF3301" s="79">
        <v>45054.499340277776</v>
      </c>
      <c r="AG3301" s="85">
        <v>45054</v>
      </c>
      <c r="AH3301" s="82" t="s">
        <v>11308</v>
      </c>
      <c r="AI3301" s="77" t="b">
        <v>0</v>
      </c>
      <c r="AJ3301" s="77"/>
      <c r="AK3301" s="77"/>
      <c r="AL3301" s="77"/>
      <c r="AM3301" s="77"/>
      <c r="AN3301" s="77"/>
      <c r="AO3301" s="77"/>
      <c r="AP3301" s="77"/>
      <c r="AQ3301" s="77"/>
      <c r="AR3301" s="77"/>
      <c r="AS3301" s="77"/>
      <c r="AT3301" s="77"/>
      <c r="AU3301" s="77"/>
      <c r="AV3301" s="80" t="str">
        <f>HYPERLINK("https://pbs.twimg.com/profile_images/1559883556846977024/bXHnQFY0_normal.jpg")</f>
        <v>https://pbs.twimg.com/profile_images/1559883556846977024/bXHnQFY0_normal.jpg</v>
      </c>
      <c r="AW3301" s="82" t="s">
        <v>16385</v>
      </c>
      <c r="AX3301" s="82" t="s">
        <v>16385</v>
      </c>
      <c r="AY3301" s="77"/>
      <c r="AZ3301" s="82" t="s">
        <v>17385</v>
      </c>
      <c r="BA3301" s="82" t="s">
        <v>17385</v>
      </c>
      <c r="BB3301" s="82" t="s">
        <v>17385</v>
      </c>
      <c r="BC3301" s="82" t="s">
        <v>16385</v>
      </c>
      <c r="BD3301" s="77">
        <v>51150679</v>
      </c>
      <c r="BE3301" s="77"/>
      <c r="BF3301" s="77"/>
      <c r="BG3301" s="77"/>
      <c r="BH3301" s="77"/>
      <c r="BI3301" s="77"/>
    </row>
    <row r="3302" spans="1:61" x14ac:dyDescent="0.25">
      <c r="A3302" s="62" t="s">
        <v>605</v>
      </c>
      <c r="B3302" s="62" t="s">
        <v>605</v>
      </c>
      <c r="C3302" s="63"/>
      <c r="D3302" s="64"/>
      <c r="E3302" s="65"/>
      <c r="F3302" s="66"/>
      <c r="G3302" s="63"/>
      <c r="H3302" s="67"/>
      <c r="I3302" s="68"/>
      <c r="J3302" s="68"/>
      <c r="K3302" s="32"/>
      <c r="L3302" s="75">
        <v>3302</v>
      </c>
      <c r="M3302" s="75"/>
      <c r="N3302" s="70"/>
      <c r="O3302" s="77" t="s">
        <v>179</v>
      </c>
      <c r="P3302" s="79">
        <v>45054.467291666668</v>
      </c>
      <c r="Q3302" s="77" t="s">
        <v>4076</v>
      </c>
      <c r="R3302" s="77">
        <v>0</v>
      </c>
      <c r="S3302" s="77">
        <v>2</v>
      </c>
      <c r="T3302" s="77">
        <v>1</v>
      </c>
      <c r="U3302" s="77">
        <v>0</v>
      </c>
      <c r="V3302" s="77">
        <v>1315</v>
      </c>
      <c r="W3302" s="82" t="s">
        <v>6597</v>
      </c>
      <c r="X3302" s="80" t="str">
        <f>HYPERLINK("https://www.moneytimes.com.br/por-que-petrobras-petr4-pode-subir-hoje-como-investir-nesta-segunda-feira-8/")</f>
        <v>https://www.moneytimes.com.br/por-que-petrobras-petr4-pode-subir-hoje-como-investir-nesta-segunda-feira-8/</v>
      </c>
      <c r="Y3302" s="77" t="s">
        <v>7053</v>
      </c>
      <c r="Z3302" s="77"/>
      <c r="AA3302" s="77"/>
      <c r="AB3302" s="77"/>
      <c r="AC3302" s="82" t="s">
        <v>8255</v>
      </c>
      <c r="AD3302" s="77" t="s">
        <v>8278</v>
      </c>
      <c r="AE3302" s="80" t="str">
        <f>HYPERLINK("https://twitter.com/leiamoneytimes/status/1655531216534224897")</f>
        <v>https://twitter.com/leiamoneytimes/status/1655531216534224897</v>
      </c>
      <c r="AF3302" s="79">
        <v>45054.467291666668</v>
      </c>
      <c r="AG3302" s="85">
        <v>45054</v>
      </c>
      <c r="AH3302" s="82" t="s">
        <v>11309</v>
      </c>
      <c r="AI3302" s="77" t="b">
        <v>0</v>
      </c>
      <c r="AJ3302" s="77"/>
      <c r="AK3302" s="77"/>
      <c r="AL3302" s="77"/>
      <c r="AM3302" s="77"/>
      <c r="AN3302" s="77"/>
      <c r="AO3302" s="77"/>
      <c r="AP3302" s="77"/>
      <c r="AQ3302" s="77"/>
      <c r="AR3302" s="77"/>
      <c r="AS3302" s="77"/>
      <c r="AT3302" s="77"/>
      <c r="AU3302" s="77"/>
      <c r="AV3302" s="80" t="str">
        <f>HYPERLINK("https://pbs.twimg.com/profile_images/1559883556846977024/bXHnQFY0_normal.jpg")</f>
        <v>https://pbs.twimg.com/profile_images/1559883556846977024/bXHnQFY0_normal.jpg</v>
      </c>
      <c r="AW3302" s="82" t="s">
        <v>16386</v>
      </c>
      <c r="AX3302" s="82" t="s">
        <v>16386</v>
      </c>
      <c r="AY3302" s="77"/>
      <c r="AZ3302" s="82" t="s">
        <v>17385</v>
      </c>
      <c r="BA3302" s="82" t="s">
        <v>17385</v>
      </c>
      <c r="BB3302" s="82" t="s">
        <v>17385</v>
      </c>
      <c r="BC3302" s="82" t="s">
        <v>16386</v>
      </c>
      <c r="BD3302" s="77">
        <v>51150679</v>
      </c>
      <c r="BE3302" s="77"/>
      <c r="BF3302" s="77"/>
      <c r="BG3302" s="77"/>
      <c r="BH3302" s="77"/>
      <c r="BI3302" s="77"/>
    </row>
    <row r="3303" spans="1:61" x14ac:dyDescent="0.25">
      <c r="A3303" s="62" t="s">
        <v>605</v>
      </c>
      <c r="B3303" s="62" t="s">
        <v>605</v>
      </c>
      <c r="C3303" s="63"/>
      <c r="D3303" s="64"/>
      <c r="E3303" s="65"/>
      <c r="F3303" s="66"/>
      <c r="G3303" s="63"/>
      <c r="H3303" s="67"/>
      <c r="I3303" s="68"/>
      <c r="J3303" s="68"/>
      <c r="K3303" s="32"/>
      <c r="L3303" s="75">
        <v>3303</v>
      </c>
      <c r="M3303" s="75"/>
      <c r="N3303" s="70"/>
      <c r="O3303" s="77" t="s">
        <v>179</v>
      </c>
      <c r="P3303" s="79">
        <v>45054.447476851848</v>
      </c>
      <c r="Q3303" s="77" t="s">
        <v>4077</v>
      </c>
      <c r="R3303" s="77">
        <v>0</v>
      </c>
      <c r="S3303" s="77">
        <v>7</v>
      </c>
      <c r="T3303" s="77">
        <v>1</v>
      </c>
      <c r="U3303" s="77">
        <v>0</v>
      </c>
      <c r="V3303" s="77">
        <v>1753</v>
      </c>
      <c r="W3303" s="82" t="s">
        <v>6598</v>
      </c>
      <c r="X3303" s="80" t="str">
        <f>HYPERLINK("https://www.moneytimes.com.br/acoes-de-bancos-levam-indice-de-xangai-a-maior-ganho-diario-em-2-meses/")</f>
        <v>https://www.moneytimes.com.br/acoes-de-bancos-levam-indice-de-xangai-a-maior-ganho-diario-em-2-meses/</v>
      </c>
      <c r="Y3303" s="77" t="s">
        <v>7053</v>
      </c>
      <c r="Z3303" s="77"/>
      <c r="AA3303" s="77"/>
      <c r="AB3303" s="77"/>
      <c r="AC3303" s="82" t="s">
        <v>8255</v>
      </c>
      <c r="AD3303" s="77" t="s">
        <v>8278</v>
      </c>
      <c r="AE3303" s="80" t="str">
        <f>HYPERLINK("https://twitter.com/leiamoneytimes/status/1655524034644172801")</f>
        <v>https://twitter.com/leiamoneytimes/status/1655524034644172801</v>
      </c>
      <c r="AF3303" s="79">
        <v>45054.447476851848</v>
      </c>
      <c r="AG3303" s="85">
        <v>45054</v>
      </c>
      <c r="AH3303" s="82" t="s">
        <v>11310</v>
      </c>
      <c r="AI3303" s="77" t="b">
        <v>0</v>
      </c>
      <c r="AJ3303" s="77"/>
      <c r="AK3303" s="77"/>
      <c r="AL3303" s="77"/>
      <c r="AM3303" s="77"/>
      <c r="AN3303" s="77"/>
      <c r="AO3303" s="77"/>
      <c r="AP3303" s="77"/>
      <c r="AQ3303" s="77"/>
      <c r="AR3303" s="77"/>
      <c r="AS3303" s="77"/>
      <c r="AT3303" s="77"/>
      <c r="AU3303" s="77"/>
      <c r="AV3303" s="80" t="str">
        <f>HYPERLINK("https://pbs.twimg.com/profile_images/1559883556846977024/bXHnQFY0_normal.jpg")</f>
        <v>https://pbs.twimg.com/profile_images/1559883556846977024/bXHnQFY0_normal.jpg</v>
      </c>
      <c r="AW3303" s="82" t="s">
        <v>16387</v>
      </c>
      <c r="AX3303" s="82" t="s">
        <v>16387</v>
      </c>
      <c r="AY3303" s="77"/>
      <c r="AZ3303" s="82" t="s">
        <v>17385</v>
      </c>
      <c r="BA3303" s="82" t="s">
        <v>17385</v>
      </c>
      <c r="BB3303" s="82" t="s">
        <v>17385</v>
      </c>
      <c r="BC3303" s="82" t="s">
        <v>16387</v>
      </c>
      <c r="BD3303" s="77">
        <v>51150679</v>
      </c>
      <c r="BE3303" s="77"/>
      <c r="BF3303" s="77"/>
      <c r="BG3303" s="77"/>
      <c r="BH3303" s="77"/>
      <c r="BI3303" s="77"/>
    </row>
    <row r="3304" spans="1:61" x14ac:dyDescent="0.25">
      <c r="A3304" s="62" t="s">
        <v>605</v>
      </c>
      <c r="B3304" s="62" t="s">
        <v>605</v>
      </c>
      <c r="C3304" s="63"/>
      <c r="D3304" s="64"/>
      <c r="E3304" s="65"/>
      <c r="F3304" s="66"/>
      <c r="G3304" s="63"/>
      <c r="H3304" s="67"/>
      <c r="I3304" s="68"/>
      <c r="J3304" s="68"/>
      <c r="K3304" s="32"/>
      <c r="L3304" s="75">
        <v>3304</v>
      </c>
      <c r="M3304" s="75"/>
      <c r="N3304" s="70"/>
      <c r="O3304" s="77" t="s">
        <v>179</v>
      </c>
      <c r="P3304" s="79">
        <v>45053.835115740738</v>
      </c>
      <c r="Q3304" s="77" t="s">
        <v>4078</v>
      </c>
      <c r="R3304" s="77">
        <v>0</v>
      </c>
      <c r="S3304" s="77">
        <v>7</v>
      </c>
      <c r="T3304" s="77">
        <v>1</v>
      </c>
      <c r="U3304" s="77">
        <v>0</v>
      </c>
      <c r="V3304" s="77">
        <v>2341</v>
      </c>
      <c r="W3304" s="82" t="s">
        <v>6599</v>
      </c>
      <c r="X3304" s="80" t="str">
        <f>HYPERLINK("https://www.moneytimes.com.br/dividendos-e-jcp-caixa-cxse3-taurus-tasa4-e-mais-7-pagam-r-2-bi-esta-semana-veja-quem-tem-direito/")</f>
        <v>https://www.moneytimes.com.br/dividendos-e-jcp-caixa-cxse3-taurus-tasa4-e-mais-7-pagam-r-2-bi-esta-semana-veja-quem-tem-direito/</v>
      </c>
      <c r="Y3304" s="77" t="s">
        <v>7053</v>
      </c>
      <c r="Z3304" s="77"/>
      <c r="AA3304" s="77"/>
      <c r="AB3304" s="77"/>
      <c r="AC3304" s="82" t="s">
        <v>8255</v>
      </c>
      <c r="AD3304" s="77" t="s">
        <v>8278</v>
      </c>
      <c r="AE3304" s="80" t="str">
        <f>HYPERLINK("https://twitter.com/leiamoneytimes/status/1655302121334382598")</f>
        <v>https://twitter.com/leiamoneytimes/status/1655302121334382598</v>
      </c>
      <c r="AF3304" s="79">
        <v>45053.835115740738</v>
      </c>
      <c r="AG3304" s="85">
        <v>45053</v>
      </c>
      <c r="AH3304" s="82" t="s">
        <v>11311</v>
      </c>
      <c r="AI3304" s="77" t="b">
        <v>0</v>
      </c>
      <c r="AJ3304" s="77"/>
      <c r="AK3304" s="77"/>
      <c r="AL3304" s="77"/>
      <c r="AM3304" s="77"/>
      <c r="AN3304" s="77"/>
      <c r="AO3304" s="77"/>
      <c r="AP3304" s="77"/>
      <c r="AQ3304" s="77"/>
      <c r="AR3304" s="77"/>
      <c r="AS3304" s="77"/>
      <c r="AT3304" s="77"/>
      <c r="AU3304" s="77"/>
      <c r="AV3304" s="80" t="str">
        <f>HYPERLINK("https://pbs.twimg.com/profile_images/1559883556846977024/bXHnQFY0_normal.jpg")</f>
        <v>https://pbs.twimg.com/profile_images/1559883556846977024/bXHnQFY0_normal.jpg</v>
      </c>
      <c r="AW3304" s="82" t="s">
        <v>16388</v>
      </c>
      <c r="AX3304" s="82" t="s">
        <v>16388</v>
      </c>
      <c r="AY3304" s="77"/>
      <c r="AZ3304" s="82" t="s">
        <v>17385</v>
      </c>
      <c r="BA3304" s="82" t="s">
        <v>17385</v>
      </c>
      <c r="BB3304" s="82" t="s">
        <v>17385</v>
      </c>
      <c r="BC3304" s="82" t="s">
        <v>16388</v>
      </c>
      <c r="BD3304" s="77">
        <v>51150679</v>
      </c>
      <c r="BE3304" s="77"/>
      <c r="BF3304" s="77"/>
      <c r="BG3304" s="77"/>
      <c r="BH3304" s="77"/>
      <c r="BI3304" s="77"/>
    </row>
    <row r="3305" spans="1:61" x14ac:dyDescent="0.25">
      <c r="A3305" s="62" t="s">
        <v>605</v>
      </c>
      <c r="B3305" s="62" t="s">
        <v>605</v>
      </c>
      <c r="C3305" s="63"/>
      <c r="D3305" s="64"/>
      <c r="E3305" s="65"/>
      <c r="F3305" s="66"/>
      <c r="G3305" s="63"/>
      <c r="H3305" s="67"/>
      <c r="I3305" s="68"/>
      <c r="J3305" s="68"/>
      <c r="K3305" s="32"/>
      <c r="L3305" s="75">
        <v>3305</v>
      </c>
      <c r="M3305" s="75"/>
      <c r="N3305" s="70"/>
      <c r="O3305" s="77" t="s">
        <v>179</v>
      </c>
      <c r="P3305" s="79">
        <v>45053.793113425927</v>
      </c>
      <c r="Q3305" s="77" t="s">
        <v>4079</v>
      </c>
      <c r="R3305" s="77">
        <v>0</v>
      </c>
      <c r="S3305" s="77">
        <v>3</v>
      </c>
      <c r="T3305" s="77">
        <v>1</v>
      </c>
      <c r="U3305" s="77">
        <v>0</v>
      </c>
      <c r="V3305" s="77">
        <v>1954</v>
      </c>
      <c r="W3305" s="82" t="s">
        <v>6600</v>
      </c>
      <c r="X3305" s="80" t="str">
        <f>HYPERLINK("https://www.moneytimes.com.br/mercado-repete-aposta-errada-de-varejista-e-ve-gringos-antecipar-ferias-de-verao/")</f>
        <v>https://www.moneytimes.com.br/mercado-repete-aposta-errada-de-varejista-e-ve-gringos-antecipar-ferias-de-verao/</v>
      </c>
      <c r="Y3305" s="77" t="s">
        <v>7053</v>
      </c>
      <c r="Z3305" s="77"/>
      <c r="AA3305" s="77"/>
      <c r="AB3305" s="77"/>
      <c r="AC3305" s="82" t="s">
        <v>8255</v>
      </c>
      <c r="AD3305" s="77" t="s">
        <v>8278</v>
      </c>
      <c r="AE3305" s="80" t="str">
        <f>HYPERLINK("https://twitter.com/leiamoneytimes/status/1655286901673283592")</f>
        <v>https://twitter.com/leiamoneytimes/status/1655286901673283592</v>
      </c>
      <c r="AF3305" s="79">
        <v>45053.793113425927</v>
      </c>
      <c r="AG3305" s="85">
        <v>45053</v>
      </c>
      <c r="AH3305" s="82" t="s">
        <v>11312</v>
      </c>
      <c r="AI3305" s="77" t="b">
        <v>0</v>
      </c>
      <c r="AJ3305" s="77"/>
      <c r="AK3305" s="77"/>
      <c r="AL3305" s="77"/>
      <c r="AM3305" s="77"/>
      <c r="AN3305" s="77"/>
      <c r="AO3305" s="77"/>
      <c r="AP3305" s="77"/>
      <c r="AQ3305" s="77"/>
      <c r="AR3305" s="77"/>
      <c r="AS3305" s="77"/>
      <c r="AT3305" s="77"/>
      <c r="AU3305" s="77"/>
      <c r="AV3305" s="80" t="str">
        <f>HYPERLINK("https://pbs.twimg.com/profile_images/1559883556846977024/bXHnQFY0_normal.jpg")</f>
        <v>https://pbs.twimg.com/profile_images/1559883556846977024/bXHnQFY0_normal.jpg</v>
      </c>
      <c r="AW3305" s="82" t="s">
        <v>16389</v>
      </c>
      <c r="AX3305" s="82" t="s">
        <v>16389</v>
      </c>
      <c r="AY3305" s="77"/>
      <c r="AZ3305" s="82" t="s">
        <v>17385</v>
      </c>
      <c r="BA3305" s="82" t="s">
        <v>17385</v>
      </c>
      <c r="BB3305" s="82" t="s">
        <v>17385</v>
      </c>
      <c r="BC3305" s="82" t="s">
        <v>16389</v>
      </c>
      <c r="BD3305" s="77">
        <v>51150679</v>
      </c>
      <c r="BE3305" s="77"/>
      <c r="BF3305" s="77"/>
      <c r="BG3305" s="77"/>
      <c r="BH3305" s="77"/>
      <c r="BI3305" s="77"/>
    </row>
    <row r="3306" spans="1:61" x14ac:dyDescent="0.25">
      <c r="A3306" s="62" t="s">
        <v>605</v>
      </c>
      <c r="B3306" s="62" t="s">
        <v>605</v>
      </c>
      <c r="C3306" s="63"/>
      <c r="D3306" s="64"/>
      <c r="E3306" s="65"/>
      <c r="F3306" s="66"/>
      <c r="G3306" s="63"/>
      <c r="H3306" s="67"/>
      <c r="I3306" s="68"/>
      <c r="J3306" s="68"/>
      <c r="K3306" s="32"/>
      <c r="L3306" s="75">
        <v>3306</v>
      </c>
      <c r="M3306" s="75"/>
      <c r="N3306" s="70"/>
      <c r="O3306" s="77" t="s">
        <v>179</v>
      </c>
      <c r="P3306" s="79">
        <v>45043.571412037039</v>
      </c>
      <c r="Q3306" s="77" t="s">
        <v>4080</v>
      </c>
      <c r="R3306" s="77">
        <v>0</v>
      </c>
      <c r="S3306" s="77">
        <v>1</v>
      </c>
      <c r="T3306" s="77">
        <v>0</v>
      </c>
      <c r="U3306" s="77">
        <v>0</v>
      </c>
      <c r="V3306" s="77">
        <v>881</v>
      </c>
      <c r="W3306" s="82" t="s">
        <v>6551</v>
      </c>
      <c r="X3306" s="80" t="str">
        <f>HYPERLINK("https://www.moneytimes.com.br/vale-vale3-vende-participacao-na-mrn-e-conclui-programa-de-desinvestimento/")</f>
        <v>https://www.moneytimes.com.br/vale-vale3-vende-participacao-na-mrn-e-conclui-programa-de-desinvestimento/</v>
      </c>
      <c r="Y3306" s="77" t="s">
        <v>7053</v>
      </c>
      <c r="Z3306" s="77"/>
      <c r="AA3306" s="77"/>
      <c r="AB3306" s="77"/>
      <c r="AC3306" s="82" t="s">
        <v>8255</v>
      </c>
      <c r="AD3306" s="77" t="s">
        <v>8278</v>
      </c>
      <c r="AE3306" s="80" t="str">
        <f>HYPERLINK("https://twitter.com/leiamoneytimes/status/1651582679446437889")</f>
        <v>https://twitter.com/leiamoneytimes/status/1651582679446437889</v>
      </c>
      <c r="AF3306" s="79">
        <v>45043.571412037039</v>
      </c>
      <c r="AG3306" s="85">
        <v>45043</v>
      </c>
      <c r="AH3306" s="82" t="s">
        <v>11313</v>
      </c>
      <c r="AI3306" s="77" t="b">
        <v>0</v>
      </c>
      <c r="AJ3306" s="77"/>
      <c r="AK3306" s="77"/>
      <c r="AL3306" s="77"/>
      <c r="AM3306" s="77"/>
      <c r="AN3306" s="77"/>
      <c r="AO3306" s="77"/>
      <c r="AP3306" s="77"/>
      <c r="AQ3306" s="77"/>
      <c r="AR3306" s="77"/>
      <c r="AS3306" s="77"/>
      <c r="AT3306" s="77"/>
      <c r="AU3306" s="77"/>
      <c r="AV3306" s="80" t="str">
        <f>HYPERLINK("https://pbs.twimg.com/profile_images/1559883556846977024/bXHnQFY0_normal.jpg")</f>
        <v>https://pbs.twimg.com/profile_images/1559883556846977024/bXHnQFY0_normal.jpg</v>
      </c>
      <c r="AW3306" s="82" t="s">
        <v>16390</v>
      </c>
      <c r="AX3306" s="82" t="s">
        <v>16390</v>
      </c>
      <c r="AY3306" s="77"/>
      <c r="AZ3306" s="82" t="s">
        <v>17385</v>
      </c>
      <c r="BA3306" s="82" t="s">
        <v>17385</v>
      </c>
      <c r="BB3306" s="82" t="s">
        <v>17385</v>
      </c>
      <c r="BC3306" s="82" t="s">
        <v>16390</v>
      </c>
      <c r="BD3306" s="77">
        <v>51150679</v>
      </c>
      <c r="BE3306" s="77"/>
      <c r="BF3306" s="77"/>
      <c r="BG3306" s="77"/>
      <c r="BH3306" s="77"/>
      <c r="BI3306" s="77"/>
    </row>
    <row r="3307" spans="1:61" x14ac:dyDescent="0.25">
      <c r="A3307" s="62" t="s">
        <v>605</v>
      </c>
      <c r="B3307" s="62" t="s">
        <v>605</v>
      </c>
      <c r="C3307" s="63"/>
      <c r="D3307" s="64"/>
      <c r="E3307" s="65"/>
      <c r="F3307" s="66"/>
      <c r="G3307" s="63"/>
      <c r="H3307" s="67"/>
      <c r="I3307" s="68"/>
      <c r="J3307" s="68"/>
      <c r="K3307" s="32"/>
      <c r="L3307" s="75">
        <v>3307</v>
      </c>
      <c r="M3307" s="75"/>
      <c r="N3307" s="70"/>
      <c r="O3307" s="77" t="s">
        <v>179</v>
      </c>
      <c r="P3307" s="79">
        <v>45043.557372685187</v>
      </c>
      <c r="Q3307" s="77" t="s">
        <v>4081</v>
      </c>
      <c r="R3307" s="77">
        <v>1</v>
      </c>
      <c r="S3307" s="77">
        <v>2</v>
      </c>
      <c r="T3307" s="77">
        <v>0</v>
      </c>
      <c r="U3307" s="77">
        <v>0</v>
      </c>
      <c r="V3307" s="77">
        <v>991</v>
      </c>
      <c r="W3307" s="82" t="s">
        <v>6601</v>
      </c>
      <c r="X3307" s="80" t="str">
        <f>HYPERLINK("https://www.moneytimes.com.br/meta-meta34-acoes-disparam-15-em-ny-apos-inteligencia-artificial-impulsionar-balanco-do-1t23/")</f>
        <v>https://www.moneytimes.com.br/meta-meta34-acoes-disparam-15-em-ny-apos-inteligencia-artificial-impulsionar-balanco-do-1t23/</v>
      </c>
      <c r="Y3307" s="77" t="s">
        <v>7053</v>
      </c>
      <c r="Z3307" s="77"/>
      <c r="AA3307" s="77"/>
      <c r="AB3307" s="77"/>
      <c r="AC3307" s="82" t="s">
        <v>8255</v>
      </c>
      <c r="AD3307" s="77" t="s">
        <v>8278</v>
      </c>
      <c r="AE3307" s="80" t="str">
        <f>HYPERLINK("https://twitter.com/leiamoneytimes/status/1651577591382302721")</f>
        <v>https://twitter.com/leiamoneytimes/status/1651577591382302721</v>
      </c>
      <c r="AF3307" s="79">
        <v>45043.557372685187</v>
      </c>
      <c r="AG3307" s="85">
        <v>45043</v>
      </c>
      <c r="AH3307" s="82" t="s">
        <v>11314</v>
      </c>
      <c r="AI3307" s="77" t="b">
        <v>0</v>
      </c>
      <c r="AJ3307" s="77"/>
      <c r="AK3307" s="77"/>
      <c r="AL3307" s="77"/>
      <c r="AM3307" s="77"/>
      <c r="AN3307" s="77"/>
      <c r="AO3307" s="77"/>
      <c r="AP3307" s="77"/>
      <c r="AQ3307" s="77"/>
      <c r="AR3307" s="77"/>
      <c r="AS3307" s="77"/>
      <c r="AT3307" s="77"/>
      <c r="AU3307" s="77"/>
      <c r="AV3307" s="80" t="str">
        <f>HYPERLINK("https://pbs.twimg.com/profile_images/1559883556846977024/bXHnQFY0_normal.jpg")</f>
        <v>https://pbs.twimg.com/profile_images/1559883556846977024/bXHnQFY0_normal.jpg</v>
      </c>
      <c r="AW3307" s="82" t="s">
        <v>16391</v>
      </c>
      <c r="AX3307" s="82" t="s">
        <v>16391</v>
      </c>
      <c r="AY3307" s="77"/>
      <c r="AZ3307" s="82" t="s">
        <v>17385</v>
      </c>
      <c r="BA3307" s="82" t="s">
        <v>17385</v>
      </c>
      <c r="BB3307" s="82" t="s">
        <v>17385</v>
      </c>
      <c r="BC3307" s="82" t="s">
        <v>16391</v>
      </c>
      <c r="BD3307" s="77">
        <v>51150679</v>
      </c>
      <c r="BE3307" s="77"/>
      <c r="BF3307" s="77"/>
      <c r="BG3307" s="77"/>
      <c r="BH3307" s="77"/>
      <c r="BI3307" s="77"/>
    </row>
    <row r="3308" spans="1:61" x14ac:dyDescent="0.25">
      <c r="A3308" s="62" t="s">
        <v>605</v>
      </c>
      <c r="B3308" s="62" t="s">
        <v>605</v>
      </c>
      <c r="C3308" s="63"/>
      <c r="D3308" s="64"/>
      <c r="E3308" s="65"/>
      <c r="F3308" s="66"/>
      <c r="G3308" s="63"/>
      <c r="H3308" s="67"/>
      <c r="I3308" s="68"/>
      <c r="J3308" s="68"/>
      <c r="K3308" s="32"/>
      <c r="L3308" s="75">
        <v>3308</v>
      </c>
      <c r="M3308" s="75"/>
      <c r="N3308" s="70"/>
      <c r="O3308" s="77" t="s">
        <v>179</v>
      </c>
      <c r="P3308" s="79">
        <v>45043.551203703704</v>
      </c>
      <c r="Q3308" s="77" t="s">
        <v>4082</v>
      </c>
      <c r="R3308" s="77">
        <v>0</v>
      </c>
      <c r="S3308" s="77">
        <v>1</v>
      </c>
      <c r="T3308" s="77">
        <v>0</v>
      </c>
      <c r="U3308" s="77">
        <v>0</v>
      </c>
      <c r="V3308" s="77">
        <v>965</v>
      </c>
      <c r="W3308" s="82" t="s">
        <v>6602</v>
      </c>
      <c r="X3308" s="80" t="str">
        <f>HYPERLINK("https://www.moneytimes.com.br/ibovespa-ibov-tenta-equilibrar-vale3-campos-neto-e-haddad-nesta-quinta-27-indice-abre-em-estabilidade/")</f>
        <v>https://www.moneytimes.com.br/ibovespa-ibov-tenta-equilibrar-vale3-campos-neto-e-haddad-nesta-quinta-27-indice-abre-em-estabilidade/</v>
      </c>
      <c r="Y3308" s="77" t="s">
        <v>7053</v>
      </c>
      <c r="Z3308" s="77"/>
      <c r="AA3308" s="77"/>
      <c r="AB3308" s="77"/>
      <c r="AC3308" s="82" t="s">
        <v>8255</v>
      </c>
      <c r="AD3308" s="77" t="s">
        <v>8278</v>
      </c>
      <c r="AE3308" s="80" t="str">
        <f>HYPERLINK("https://twitter.com/leiamoneytimes/status/1651575355914825729")</f>
        <v>https://twitter.com/leiamoneytimes/status/1651575355914825729</v>
      </c>
      <c r="AF3308" s="79">
        <v>45043.551203703704</v>
      </c>
      <c r="AG3308" s="85">
        <v>45043</v>
      </c>
      <c r="AH3308" s="82" t="s">
        <v>11315</v>
      </c>
      <c r="AI3308" s="77" t="b">
        <v>0</v>
      </c>
      <c r="AJ3308" s="77"/>
      <c r="AK3308" s="77"/>
      <c r="AL3308" s="77"/>
      <c r="AM3308" s="77"/>
      <c r="AN3308" s="77"/>
      <c r="AO3308" s="77"/>
      <c r="AP3308" s="77"/>
      <c r="AQ3308" s="77"/>
      <c r="AR3308" s="77"/>
      <c r="AS3308" s="77"/>
      <c r="AT3308" s="77"/>
      <c r="AU3308" s="77"/>
      <c r="AV3308" s="80" t="str">
        <f>HYPERLINK("https://pbs.twimg.com/profile_images/1559883556846977024/bXHnQFY0_normal.jpg")</f>
        <v>https://pbs.twimg.com/profile_images/1559883556846977024/bXHnQFY0_normal.jpg</v>
      </c>
      <c r="AW3308" s="82" t="s">
        <v>16392</v>
      </c>
      <c r="AX3308" s="82" t="s">
        <v>16392</v>
      </c>
      <c r="AY3308" s="77"/>
      <c r="AZ3308" s="82" t="s">
        <v>17385</v>
      </c>
      <c r="BA3308" s="82" t="s">
        <v>17385</v>
      </c>
      <c r="BB3308" s="82" t="s">
        <v>17385</v>
      </c>
      <c r="BC3308" s="82" t="s">
        <v>16392</v>
      </c>
      <c r="BD3308" s="77">
        <v>51150679</v>
      </c>
      <c r="BE3308" s="77"/>
      <c r="BF3308" s="77"/>
      <c r="BG3308" s="77"/>
      <c r="BH3308" s="77"/>
      <c r="BI3308" s="77"/>
    </row>
    <row r="3309" spans="1:61" x14ac:dyDescent="0.25">
      <c r="A3309" s="62" t="s">
        <v>605</v>
      </c>
      <c r="B3309" s="62" t="s">
        <v>605</v>
      </c>
      <c r="C3309" s="63"/>
      <c r="D3309" s="64"/>
      <c r="E3309" s="65"/>
      <c r="F3309" s="66"/>
      <c r="G3309" s="63"/>
      <c r="H3309" s="67"/>
      <c r="I3309" s="68"/>
      <c r="J3309" s="68"/>
      <c r="K3309" s="32"/>
      <c r="L3309" s="75">
        <v>3309</v>
      </c>
      <c r="M3309" s="75"/>
      <c r="N3309" s="70"/>
      <c r="O3309" s="77" t="s">
        <v>179</v>
      </c>
      <c r="P3309" s="79">
        <v>45043.497523148151</v>
      </c>
      <c r="Q3309" s="77" t="s">
        <v>4083</v>
      </c>
      <c r="R3309" s="77">
        <v>0</v>
      </c>
      <c r="S3309" s="77">
        <v>0</v>
      </c>
      <c r="T3309" s="77">
        <v>0</v>
      </c>
      <c r="U3309" s="77">
        <v>0</v>
      </c>
      <c r="V3309" s="77">
        <v>1183</v>
      </c>
      <c r="W3309" s="82" t="s">
        <v>6603</v>
      </c>
      <c r="X3309" s="80" t="str">
        <f>HYPERLINK("https://www.moneytimes.com.br/irb-irbr3-volta-ao-ibovespa-a-partir-de-maio-confira-as-mudancas-no-indice/")</f>
        <v>https://www.moneytimes.com.br/irb-irbr3-volta-ao-ibovespa-a-partir-de-maio-confira-as-mudancas-no-indice/</v>
      </c>
      <c r="Y3309" s="77" t="s">
        <v>7053</v>
      </c>
      <c r="Z3309" s="77"/>
      <c r="AA3309" s="77"/>
      <c r="AB3309" s="77"/>
      <c r="AC3309" s="82" t="s">
        <v>8255</v>
      </c>
      <c r="AD3309" s="77" t="s">
        <v>8278</v>
      </c>
      <c r="AE3309" s="80" t="str">
        <f>HYPERLINK("https://twitter.com/leiamoneytimes/status/1651555904284774401")</f>
        <v>https://twitter.com/leiamoneytimes/status/1651555904284774401</v>
      </c>
      <c r="AF3309" s="79">
        <v>45043.497523148151</v>
      </c>
      <c r="AG3309" s="85">
        <v>45043</v>
      </c>
      <c r="AH3309" s="82" t="s">
        <v>11316</v>
      </c>
      <c r="AI3309" s="77" t="b">
        <v>0</v>
      </c>
      <c r="AJ3309" s="77"/>
      <c r="AK3309" s="77"/>
      <c r="AL3309" s="77"/>
      <c r="AM3309" s="77"/>
      <c r="AN3309" s="77"/>
      <c r="AO3309" s="77"/>
      <c r="AP3309" s="77"/>
      <c r="AQ3309" s="77"/>
      <c r="AR3309" s="77"/>
      <c r="AS3309" s="77"/>
      <c r="AT3309" s="77"/>
      <c r="AU3309" s="77"/>
      <c r="AV3309" s="80" t="str">
        <f>HYPERLINK("https://pbs.twimg.com/profile_images/1559883556846977024/bXHnQFY0_normal.jpg")</f>
        <v>https://pbs.twimg.com/profile_images/1559883556846977024/bXHnQFY0_normal.jpg</v>
      </c>
      <c r="AW3309" s="82" t="s">
        <v>16393</v>
      </c>
      <c r="AX3309" s="82" t="s">
        <v>16393</v>
      </c>
      <c r="AY3309" s="77"/>
      <c r="AZ3309" s="82" t="s">
        <v>17385</v>
      </c>
      <c r="BA3309" s="82" t="s">
        <v>17385</v>
      </c>
      <c r="BB3309" s="82" t="s">
        <v>17385</v>
      </c>
      <c r="BC3309" s="82" t="s">
        <v>16393</v>
      </c>
      <c r="BD3309" s="77">
        <v>51150679</v>
      </c>
      <c r="BE3309" s="77"/>
      <c r="BF3309" s="77"/>
      <c r="BG3309" s="77"/>
      <c r="BH3309" s="77"/>
      <c r="BI3309" s="77"/>
    </row>
    <row r="3310" spans="1:61" x14ac:dyDescent="0.25">
      <c r="A3310" s="62" t="s">
        <v>605</v>
      </c>
      <c r="B3310" s="62" t="s">
        <v>605</v>
      </c>
      <c r="C3310" s="63"/>
      <c r="D3310" s="64"/>
      <c r="E3310" s="65"/>
      <c r="F3310" s="66"/>
      <c r="G3310" s="63"/>
      <c r="H3310" s="67"/>
      <c r="I3310" s="68"/>
      <c r="J3310" s="68"/>
      <c r="K3310" s="32"/>
      <c r="L3310" s="75">
        <v>3310</v>
      </c>
      <c r="M3310" s="75"/>
      <c r="N3310" s="70"/>
      <c r="O3310" s="77" t="s">
        <v>179</v>
      </c>
      <c r="P3310" s="79">
        <v>45043.427465277775</v>
      </c>
      <c r="Q3310" s="77" t="s">
        <v>4084</v>
      </c>
      <c r="R3310" s="77">
        <v>1</v>
      </c>
      <c r="S3310" s="77">
        <v>9</v>
      </c>
      <c r="T3310" s="77">
        <v>0</v>
      </c>
      <c r="U3310" s="77">
        <v>0</v>
      </c>
      <c r="V3310" s="77">
        <v>1886</v>
      </c>
      <c r="W3310" s="82" t="s">
        <v>6604</v>
      </c>
      <c r="X3310" s="80" t="str">
        <f>HYPERLINK("https://www.moneytimes.com.br/3r-petroleum-rrrp3-reverte-prejuizo-e-tem-lucro-liquido-de-r-16-milhoes-no-1t23/")</f>
        <v>https://www.moneytimes.com.br/3r-petroleum-rrrp3-reverte-prejuizo-e-tem-lucro-liquido-de-r-16-milhoes-no-1t23/</v>
      </c>
      <c r="Y3310" s="77" t="s">
        <v>7053</v>
      </c>
      <c r="Z3310" s="77"/>
      <c r="AA3310" s="77"/>
      <c r="AB3310" s="77"/>
      <c r="AC3310" s="82" t="s">
        <v>8255</v>
      </c>
      <c r="AD3310" s="77" t="s">
        <v>8278</v>
      </c>
      <c r="AE3310" s="80" t="str">
        <f>HYPERLINK("https://twitter.com/leiamoneytimes/status/1651530514317078529")</f>
        <v>https://twitter.com/leiamoneytimes/status/1651530514317078529</v>
      </c>
      <c r="AF3310" s="79">
        <v>45043.427465277775</v>
      </c>
      <c r="AG3310" s="85">
        <v>45043</v>
      </c>
      <c r="AH3310" s="82" t="s">
        <v>11317</v>
      </c>
      <c r="AI3310" s="77" t="b">
        <v>0</v>
      </c>
      <c r="AJ3310" s="77"/>
      <c r="AK3310" s="77"/>
      <c r="AL3310" s="77"/>
      <c r="AM3310" s="77"/>
      <c r="AN3310" s="77"/>
      <c r="AO3310" s="77"/>
      <c r="AP3310" s="77"/>
      <c r="AQ3310" s="77"/>
      <c r="AR3310" s="77"/>
      <c r="AS3310" s="77"/>
      <c r="AT3310" s="77"/>
      <c r="AU3310" s="77"/>
      <c r="AV3310" s="80" t="str">
        <f>HYPERLINK("https://pbs.twimg.com/profile_images/1559883556846977024/bXHnQFY0_normal.jpg")</f>
        <v>https://pbs.twimg.com/profile_images/1559883556846977024/bXHnQFY0_normal.jpg</v>
      </c>
      <c r="AW3310" s="82" t="s">
        <v>16394</v>
      </c>
      <c r="AX3310" s="82" t="s">
        <v>16394</v>
      </c>
      <c r="AY3310" s="77"/>
      <c r="AZ3310" s="82" t="s">
        <v>17385</v>
      </c>
      <c r="BA3310" s="82" t="s">
        <v>17385</v>
      </c>
      <c r="BB3310" s="82" t="s">
        <v>17385</v>
      </c>
      <c r="BC3310" s="82" t="s">
        <v>16394</v>
      </c>
      <c r="BD3310" s="77">
        <v>51150679</v>
      </c>
      <c r="BE3310" s="77"/>
      <c r="BF3310" s="77"/>
      <c r="BG3310" s="77"/>
      <c r="BH3310" s="77"/>
      <c r="BI3310" s="77"/>
    </row>
    <row r="3311" spans="1:61" x14ac:dyDescent="0.25">
      <c r="A3311" s="62" t="s">
        <v>605</v>
      </c>
      <c r="B3311" s="62" t="s">
        <v>605</v>
      </c>
      <c r="C3311" s="63"/>
      <c r="D3311" s="64"/>
      <c r="E3311" s="65"/>
      <c r="F3311" s="66"/>
      <c r="G3311" s="63"/>
      <c r="H3311" s="67"/>
      <c r="I3311" s="68"/>
      <c r="J3311" s="68"/>
      <c r="K3311" s="32"/>
      <c r="L3311" s="75">
        <v>3311</v>
      </c>
      <c r="M3311" s="75"/>
      <c r="N3311" s="70"/>
      <c r="O3311" s="77" t="s">
        <v>179</v>
      </c>
      <c r="P3311" s="79">
        <v>45170.973900462966</v>
      </c>
      <c r="Q3311" s="77" t="s">
        <v>4085</v>
      </c>
      <c r="R3311" s="77">
        <v>0</v>
      </c>
      <c r="S3311" s="77">
        <v>7</v>
      </c>
      <c r="T3311" s="77">
        <v>1</v>
      </c>
      <c r="U3311" s="77">
        <v>0</v>
      </c>
      <c r="V3311" s="77">
        <v>1934</v>
      </c>
      <c r="W3311" s="82" t="s">
        <v>6605</v>
      </c>
      <c r="X3311" s="80" t="str">
        <f>HYPERLINK("https://www.moneytimes.com.br/gestora-dynamo-vende-acoes-de-empresa-de-educacao/")</f>
        <v>https://www.moneytimes.com.br/gestora-dynamo-vende-acoes-de-empresa-de-educacao/</v>
      </c>
      <c r="Y3311" s="77" t="s">
        <v>7053</v>
      </c>
      <c r="Z3311" s="77"/>
      <c r="AA3311" s="77"/>
      <c r="AB3311" s="77"/>
      <c r="AC3311" s="82" t="s">
        <v>8255</v>
      </c>
      <c r="AD3311" s="77" t="s">
        <v>8278</v>
      </c>
      <c r="AE3311" s="80" t="str">
        <f>HYPERLINK("https://twitter.com/leiamoneytimes/status/1697751797748674834")</f>
        <v>https://twitter.com/leiamoneytimes/status/1697751797748674834</v>
      </c>
      <c r="AF3311" s="79">
        <v>45170.973900462966</v>
      </c>
      <c r="AG3311" s="85">
        <v>45170</v>
      </c>
      <c r="AH3311" s="82" t="s">
        <v>11318</v>
      </c>
      <c r="AI3311" s="77" t="b">
        <v>0</v>
      </c>
      <c r="AJ3311" s="77"/>
      <c r="AK3311" s="77"/>
      <c r="AL3311" s="77"/>
      <c r="AM3311" s="77"/>
      <c r="AN3311" s="77"/>
      <c r="AO3311" s="77"/>
      <c r="AP3311" s="77"/>
      <c r="AQ3311" s="77"/>
      <c r="AR3311" s="77"/>
      <c r="AS3311" s="77"/>
      <c r="AT3311" s="77"/>
      <c r="AU3311" s="77"/>
      <c r="AV3311" s="80" t="str">
        <f>HYPERLINK("https://pbs.twimg.com/profile_images/1559883556846977024/bXHnQFY0_normal.jpg")</f>
        <v>https://pbs.twimg.com/profile_images/1559883556846977024/bXHnQFY0_normal.jpg</v>
      </c>
      <c r="AW3311" s="82" t="s">
        <v>16395</v>
      </c>
      <c r="AX3311" s="82" t="s">
        <v>16395</v>
      </c>
      <c r="AY3311" s="77"/>
      <c r="AZ3311" s="82" t="s">
        <v>17385</v>
      </c>
      <c r="BA3311" s="82" t="s">
        <v>17385</v>
      </c>
      <c r="BB3311" s="82" t="s">
        <v>17385</v>
      </c>
      <c r="BC3311" s="82" t="s">
        <v>16395</v>
      </c>
      <c r="BD3311" s="77">
        <v>51150679</v>
      </c>
      <c r="BE3311" s="77"/>
      <c r="BF3311" s="77"/>
      <c r="BG3311" s="77"/>
      <c r="BH3311" s="77"/>
      <c r="BI3311" s="77"/>
    </row>
    <row r="3312" spans="1:61" x14ac:dyDescent="0.25">
      <c r="A3312" s="62" t="s">
        <v>605</v>
      </c>
      <c r="B3312" s="62" t="s">
        <v>605</v>
      </c>
      <c r="C3312" s="63"/>
      <c r="D3312" s="64"/>
      <c r="E3312" s="65"/>
      <c r="F3312" s="66"/>
      <c r="G3312" s="63"/>
      <c r="H3312" s="67"/>
      <c r="I3312" s="68"/>
      <c r="J3312" s="68"/>
      <c r="K3312" s="32"/>
      <c r="L3312" s="75">
        <v>3312</v>
      </c>
      <c r="M3312" s="75"/>
      <c r="N3312" s="70"/>
      <c r="O3312" s="77" t="s">
        <v>179</v>
      </c>
      <c r="P3312" s="79">
        <v>45170.852673611109</v>
      </c>
      <c r="Q3312" s="77" t="s">
        <v>4086</v>
      </c>
      <c r="R3312" s="77">
        <v>1</v>
      </c>
      <c r="S3312" s="77">
        <v>5</v>
      </c>
      <c r="T3312" s="77">
        <v>1</v>
      </c>
      <c r="U3312" s="77">
        <v>0</v>
      </c>
      <c r="V3312" s="77">
        <v>1589</v>
      </c>
      <c r="W3312" s="82" t="s">
        <v>6551</v>
      </c>
      <c r="X3312" s="80" t="str">
        <f>HYPERLINK("https://www.moneytimes.com.br/ibovespa-hoje-fecha-alta-pib-orcamento-2024-vale-vale3-01-09-2023/")</f>
        <v>https://www.moneytimes.com.br/ibovespa-hoje-fecha-alta-pib-orcamento-2024-vale-vale3-01-09-2023/</v>
      </c>
      <c r="Y3312" s="77" t="s">
        <v>7053</v>
      </c>
      <c r="Z3312" s="77"/>
      <c r="AA3312" s="77"/>
      <c r="AB3312" s="77"/>
      <c r="AC3312" s="82" t="s">
        <v>8255</v>
      </c>
      <c r="AD3312" s="77" t="s">
        <v>8278</v>
      </c>
      <c r="AE3312" s="80" t="str">
        <f>HYPERLINK("https://twitter.com/leiamoneytimes/status/1697707864989507916")</f>
        <v>https://twitter.com/leiamoneytimes/status/1697707864989507916</v>
      </c>
      <c r="AF3312" s="79">
        <v>45170.852673611109</v>
      </c>
      <c r="AG3312" s="85">
        <v>45170</v>
      </c>
      <c r="AH3312" s="82" t="s">
        <v>11319</v>
      </c>
      <c r="AI3312" s="77" t="b">
        <v>0</v>
      </c>
      <c r="AJ3312" s="77"/>
      <c r="AK3312" s="77"/>
      <c r="AL3312" s="77"/>
      <c r="AM3312" s="77"/>
      <c r="AN3312" s="77"/>
      <c r="AO3312" s="77"/>
      <c r="AP3312" s="77"/>
      <c r="AQ3312" s="77"/>
      <c r="AR3312" s="77"/>
      <c r="AS3312" s="77"/>
      <c r="AT3312" s="77"/>
      <c r="AU3312" s="77"/>
      <c r="AV3312" s="80" t="str">
        <f>HYPERLINK("https://pbs.twimg.com/profile_images/1559883556846977024/bXHnQFY0_normal.jpg")</f>
        <v>https://pbs.twimg.com/profile_images/1559883556846977024/bXHnQFY0_normal.jpg</v>
      </c>
      <c r="AW3312" s="82" t="s">
        <v>16396</v>
      </c>
      <c r="AX3312" s="82" t="s">
        <v>16396</v>
      </c>
      <c r="AY3312" s="77"/>
      <c r="AZ3312" s="82" t="s">
        <v>17385</v>
      </c>
      <c r="BA3312" s="82" t="s">
        <v>17385</v>
      </c>
      <c r="BB3312" s="82" t="s">
        <v>17385</v>
      </c>
      <c r="BC3312" s="82" t="s">
        <v>16396</v>
      </c>
      <c r="BD3312" s="77">
        <v>51150679</v>
      </c>
      <c r="BE3312" s="77"/>
      <c r="BF3312" s="77"/>
      <c r="BG3312" s="77"/>
      <c r="BH3312" s="77"/>
      <c r="BI3312" s="77"/>
    </row>
    <row r="3313" spans="1:61" x14ac:dyDescent="0.25">
      <c r="A3313" s="62" t="s">
        <v>605</v>
      </c>
      <c r="B3313" s="62" t="s">
        <v>605</v>
      </c>
      <c r="C3313" s="63"/>
      <c r="D3313" s="64"/>
      <c r="E3313" s="65"/>
      <c r="F3313" s="66"/>
      <c r="G3313" s="63"/>
      <c r="H3313" s="67"/>
      <c r="I3313" s="68"/>
      <c r="J3313" s="68"/>
      <c r="K3313" s="32"/>
      <c r="L3313" s="75">
        <v>3313</v>
      </c>
      <c r="M3313" s="75"/>
      <c r="N3313" s="70"/>
      <c r="O3313" s="77" t="s">
        <v>179</v>
      </c>
      <c r="P3313" s="79">
        <v>45170.786990740744</v>
      </c>
      <c r="Q3313" s="77" t="s">
        <v>4087</v>
      </c>
      <c r="R3313" s="77">
        <v>0</v>
      </c>
      <c r="S3313" s="77">
        <v>2</v>
      </c>
      <c r="T3313" s="77">
        <v>1</v>
      </c>
      <c r="U3313" s="77">
        <v>1</v>
      </c>
      <c r="V3313" s="77">
        <v>2004</v>
      </c>
      <c r="W3313" s="82" t="s">
        <v>6606</v>
      </c>
      <c r="X3313" s="80" t="str">
        <f>HYPERLINK("https://www.moneytimes.com.br/os-efeitos-da-medida-do-governo-lula-que-poe-fim-aos-juros-sobre-capital-proprio/")</f>
        <v>https://www.moneytimes.com.br/os-efeitos-da-medida-do-governo-lula-que-poe-fim-aos-juros-sobre-capital-proprio/</v>
      </c>
      <c r="Y3313" s="77" t="s">
        <v>7053</v>
      </c>
      <c r="Z3313" s="77"/>
      <c r="AA3313" s="77"/>
      <c r="AB3313" s="77"/>
      <c r="AC3313" s="82" t="s">
        <v>8255</v>
      </c>
      <c r="AD3313" s="77" t="s">
        <v>8278</v>
      </c>
      <c r="AE3313" s="80" t="str">
        <f>HYPERLINK("https://twitter.com/leiamoneytimes/status/1697684063547527453")</f>
        <v>https://twitter.com/leiamoneytimes/status/1697684063547527453</v>
      </c>
      <c r="AF3313" s="79">
        <v>45170.786990740744</v>
      </c>
      <c r="AG3313" s="85">
        <v>45170</v>
      </c>
      <c r="AH3313" s="82" t="s">
        <v>11320</v>
      </c>
      <c r="AI3313" s="77" t="b">
        <v>0</v>
      </c>
      <c r="AJ3313" s="77"/>
      <c r="AK3313" s="77"/>
      <c r="AL3313" s="77"/>
      <c r="AM3313" s="77"/>
      <c r="AN3313" s="77"/>
      <c r="AO3313" s="77"/>
      <c r="AP3313" s="77"/>
      <c r="AQ3313" s="77"/>
      <c r="AR3313" s="77"/>
      <c r="AS3313" s="77"/>
      <c r="AT3313" s="77"/>
      <c r="AU3313" s="77"/>
      <c r="AV3313" s="80" t="str">
        <f>HYPERLINK("https://pbs.twimg.com/profile_images/1559883556846977024/bXHnQFY0_normal.jpg")</f>
        <v>https://pbs.twimg.com/profile_images/1559883556846977024/bXHnQFY0_normal.jpg</v>
      </c>
      <c r="AW3313" s="82" t="s">
        <v>16397</v>
      </c>
      <c r="AX3313" s="82" t="s">
        <v>16397</v>
      </c>
      <c r="AY3313" s="77"/>
      <c r="AZ3313" s="82" t="s">
        <v>17385</v>
      </c>
      <c r="BA3313" s="82" t="s">
        <v>17385</v>
      </c>
      <c r="BB3313" s="82" t="s">
        <v>17385</v>
      </c>
      <c r="BC3313" s="82" t="s">
        <v>16397</v>
      </c>
      <c r="BD3313" s="77">
        <v>51150679</v>
      </c>
      <c r="BE3313" s="77"/>
      <c r="BF3313" s="77"/>
      <c r="BG3313" s="77"/>
      <c r="BH3313" s="77"/>
      <c r="BI3313" s="77"/>
    </row>
    <row r="3314" spans="1:61" x14ac:dyDescent="0.25">
      <c r="A3314" s="62" t="s">
        <v>605</v>
      </c>
      <c r="B3314" s="62" t="s">
        <v>605</v>
      </c>
      <c r="C3314" s="63"/>
      <c r="D3314" s="64"/>
      <c r="E3314" s="65"/>
      <c r="F3314" s="66"/>
      <c r="G3314" s="63"/>
      <c r="H3314" s="67"/>
      <c r="I3314" s="68"/>
      <c r="J3314" s="68"/>
      <c r="K3314" s="32"/>
      <c r="L3314" s="75">
        <v>3314</v>
      </c>
      <c r="M3314" s="75"/>
      <c r="N3314" s="70"/>
      <c r="O3314" s="77" t="s">
        <v>179</v>
      </c>
      <c r="P3314" s="79">
        <v>45168.842314814814</v>
      </c>
      <c r="Q3314" s="77" t="s">
        <v>4088</v>
      </c>
      <c r="R3314" s="77">
        <v>1</v>
      </c>
      <c r="S3314" s="77">
        <v>3</v>
      </c>
      <c r="T3314" s="77">
        <v>1</v>
      </c>
      <c r="U3314" s="77">
        <v>0</v>
      </c>
      <c r="V3314" s="77">
        <v>1563</v>
      </c>
      <c r="W3314" s="82" t="s">
        <v>6551</v>
      </c>
      <c r="X3314" s="80" t="str">
        <f>HYPERLINK("https://www.moneytimes.com.br/ibovespa-hoje-fecha-queda-orcamento-2024-bancos-jcp-30-08-2023/")</f>
        <v>https://www.moneytimes.com.br/ibovespa-hoje-fecha-queda-orcamento-2024-bancos-jcp-30-08-2023/</v>
      </c>
      <c r="Y3314" s="77" t="s">
        <v>7053</v>
      </c>
      <c r="Z3314" s="77"/>
      <c r="AA3314" s="77"/>
      <c r="AB3314" s="77"/>
      <c r="AC3314" s="82" t="s">
        <v>8255</v>
      </c>
      <c r="AD3314" s="77" t="s">
        <v>8278</v>
      </c>
      <c r="AE3314" s="80" t="str">
        <f>HYPERLINK("https://twitter.com/leiamoneytimes/status/1696979335389823396")</f>
        <v>https://twitter.com/leiamoneytimes/status/1696979335389823396</v>
      </c>
      <c r="AF3314" s="79">
        <v>45168.842314814814</v>
      </c>
      <c r="AG3314" s="85">
        <v>45168</v>
      </c>
      <c r="AH3314" s="82" t="s">
        <v>11321</v>
      </c>
      <c r="AI3314" s="77" t="b">
        <v>0</v>
      </c>
      <c r="AJ3314" s="77"/>
      <c r="AK3314" s="77"/>
      <c r="AL3314" s="77"/>
      <c r="AM3314" s="77"/>
      <c r="AN3314" s="77"/>
      <c r="AO3314" s="77"/>
      <c r="AP3314" s="77"/>
      <c r="AQ3314" s="77"/>
      <c r="AR3314" s="77"/>
      <c r="AS3314" s="77"/>
      <c r="AT3314" s="77"/>
      <c r="AU3314" s="77"/>
      <c r="AV3314" s="80" t="str">
        <f>HYPERLINK("https://pbs.twimg.com/profile_images/1559883556846977024/bXHnQFY0_normal.jpg")</f>
        <v>https://pbs.twimg.com/profile_images/1559883556846977024/bXHnQFY0_normal.jpg</v>
      </c>
      <c r="AW3314" s="82" t="s">
        <v>16398</v>
      </c>
      <c r="AX3314" s="82" t="s">
        <v>16398</v>
      </c>
      <c r="AY3314" s="77"/>
      <c r="AZ3314" s="82" t="s">
        <v>17385</v>
      </c>
      <c r="BA3314" s="82" t="s">
        <v>17385</v>
      </c>
      <c r="BB3314" s="82" t="s">
        <v>17385</v>
      </c>
      <c r="BC3314" s="82" t="s">
        <v>16398</v>
      </c>
      <c r="BD3314" s="77">
        <v>51150679</v>
      </c>
      <c r="BE3314" s="77"/>
      <c r="BF3314" s="77"/>
      <c r="BG3314" s="77"/>
      <c r="BH3314" s="77"/>
      <c r="BI3314" s="77"/>
    </row>
    <row r="3315" spans="1:61" x14ac:dyDescent="0.25">
      <c r="A3315" s="62" t="s">
        <v>605</v>
      </c>
      <c r="B3315" s="62" t="s">
        <v>605</v>
      </c>
      <c r="C3315" s="63"/>
      <c r="D3315" s="64"/>
      <c r="E3315" s="65"/>
      <c r="F3315" s="66"/>
      <c r="G3315" s="63"/>
      <c r="H3315" s="67"/>
      <c r="I3315" s="68"/>
      <c r="J3315" s="68"/>
      <c r="K3315" s="32"/>
      <c r="L3315" s="75">
        <v>3315</v>
      </c>
      <c r="M3315" s="75"/>
      <c r="N3315" s="70"/>
      <c r="O3315" s="77" t="s">
        <v>179</v>
      </c>
      <c r="P3315" s="79">
        <v>45160.676365740743</v>
      </c>
      <c r="Q3315" s="77" t="s">
        <v>4089</v>
      </c>
      <c r="R3315" s="77">
        <v>0</v>
      </c>
      <c r="S3315" s="77">
        <v>4</v>
      </c>
      <c r="T3315" s="77">
        <v>1</v>
      </c>
      <c r="U3315" s="77">
        <v>0</v>
      </c>
      <c r="V3315" s="77">
        <v>1559</v>
      </c>
      <c r="W3315" s="82" t="s">
        <v>6607</v>
      </c>
      <c r="X3315" s="80" t="str">
        <f>HYPERLINK("https://www.moneytimes.com.br/ibovespa-hoje-agora-irb-irbr3-dispara-e-lidera-as-altas-gol-goll4-e-pao-de-acucar-pcar3-sao-os-destaques-negativos-22-08-2023/")</f>
        <v>https://www.moneytimes.com.br/ibovespa-hoje-agora-irb-irbr3-dispara-e-lidera-as-altas-gol-goll4-e-pao-de-acucar-pcar3-sao-os-destaques-negativos-22-08-2023/</v>
      </c>
      <c r="Y3315" s="77" t="s">
        <v>7053</v>
      </c>
      <c r="Z3315" s="77"/>
      <c r="AA3315" s="77"/>
      <c r="AB3315" s="77"/>
      <c r="AC3315" s="82" t="s">
        <v>8255</v>
      </c>
      <c r="AD3315" s="77" t="s">
        <v>8278</v>
      </c>
      <c r="AE3315" s="80" t="str">
        <f>HYPERLINK("https://twitter.com/leiamoneytimes/status/1694020095377330573")</f>
        <v>https://twitter.com/leiamoneytimes/status/1694020095377330573</v>
      </c>
      <c r="AF3315" s="79">
        <v>45160.676365740743</v>
      </c>
      <c r="AG3315" s="85">
        <v>45160</v>
      </c>
      <c r="AH3315" s="82" t="s">
        <v>11322</v>
      </c>
      <c r="AI3315" s="77" t="b">
        <v>0</v>
      </c>
      <c r="AJ3315" s="77"/>
      <c r="AK3315" s="77"/>
      <c r="AL3315" s="77"/>
      <c r="AM3315" s="77"/>
      <c r="AN3315" s="77"/>
      <c r="AO3315" s="77"/>
      <c r="AP3315" s="77"/>
      <c r="AQ3315" s="77"/>
      <c r="AR3315" s="77"/>
      <c r="AS3315" s="77"/>
      <c r="AT3315" s="77"/>
      <c r="AU3315" s="77"/>
      <c r="AV3315" s="80" t="str">
        <f>HYPERLINK("https://pbs.twimg.com/profile_images/1559883556846977024/bXHnQFY0_normal.jpg")</f>
        <v>https://pbs.twimg.com/profile_images/1559883556846977024/bXHnQFY0_normal.jpg</v>
      </c>
      <c r="AW3315" s="82" t="s">
        <v>16399</v>
      </c>
      <c r="AX3315" s="82" t="s">
        <v>16399</v>
      </c>
      <c r="AY3315" s="77"/>
      <c r="AZ3315" s="82" t="s">
        <v>17385</v>
      </c>
      <c r="BA3315" s="82" t="s">
        <v>17385</v>
      </c>
      <c r="BB3315" s="82" t="s">
        <v>17385</v>
      </c>
      <c r="BC3315" s="82" t="s">
        <v>16399</v>
      </c>
      <c r="BD3315" s="77">
        <v>51150679</v>
      </c>
      <c r="BE3315" s="77"/>
      <c r="BF3315" s="77"/>
      <c r="BG3315" s="77"/>
      <c r="BH3315" s="77"/>
      <c r="BI3315" s="77"/>
    </row>
    <row r="3316" spans="1:61" x14ac:dyDescent="0.25">
      <c r="A3316" s="62" t="s">
        <v>605</v>
      </c>
      <c r="B3316" s="62" t="s">
        <v>605</v>
      </c>
      <c r="C3316" s="63"/>
      <c r="D3316" s="64"/>
      <c r="E3316" s="65"/>
      <c r="F3316" s="66"/>
      <c r="G3316" s="63"/>
      <c r="H3316" s="67"/>
      <c r="I3316" s="68"/>
      <c r="J3316" s="68"/>
      <c r="K3316" s="32"/>
      <c r="L3316" s="75">
        <v>3316</v>
      </c>
      <c r="M3316" s="75"/>
      <c r="N3316" s="70"/>
      <c r="O3316" s="77" t="s">
        <v>179</v>
      </c>
      <c r="P3316" s="79">
        <v>45157.722939814812</v>
      </c>
      <c r="Q3316" s="77" t="s">
        <v>4090</v>
      </c>
      <c r="R3316" s="77">
        <v>0</v>
      </c>
      <c r="S3316" s="77">
        <v>5</v>
      </c>
      <c r="T3316" s="77">
        <v>1</v>
      </c>
      <c r="U3316" s="77">
        <v>0</v>
      </c>
      <c r="V3316" s="77">
        <v>1549</v>
      </c>
      <c r="W3316" s="82" t="s">
        <v>6608</v>
      </c>
      <c r="X3316" s="80" t="str">
        <f>HYPERLINK("https://www.moneytimes.com.br/joao-braga-conheca-o-gestor-que-ja-trabalhou-com-stuhlberger-e-benchimol-mas-decidiu-abrir-sua-propria-gestora/")</f>
        <v>https://www.moneytimes.com.br/joao-braga-conheca-o-gestor-que-ja-trabalhou-com-stuhlberger-e-benchimol-mas-decidiu-abrir-sua-propria-gestora/</v>
      </c>
      <c r="Y3316" s="77" t="s">
        <v>7053</v>
      </c>
      <c r="Z3316" s="77"/>
      <c r="AA3316" s="77"/>
      <c r="AB3316" s="77"/>
      <c r="AC3316" s="82" t="s">
        <v>8255</v>
      </c>
      <c r="AD3316" s="77" t="s">
        <v>8278</v>
      </c>
      <c r="AE3316" s="80" t="str">
        <f>HYPERLINK("https://twitter.com/leiamoneytimes/status/1692949808858697956")</f>
        <v>https://twitter.com/leiamoneytimes/status/1692949808858697956</v>
      </c>
      <c r="AF3316" s="79">
        <v>45157.722939814812</v>
      </c>
      <c r="AG3316" s="85">
        <v>45157</v>
      </c>
      <c r="AH3316" s="82" t="s">
        <v>11323</v>
      </c>
      <c r="AI3316" s="77" t="b">
        <v>0</v>
      </c>
      <c r="AJ3316" s="77"/>
      <c r="AK3316" s="77"/>
      <c r="AL3316" s="77"/>
      <c r="AM3316" s="77"/>
      <c r="AN3316" s="77"/>
      <c r="AO3316" s="77"/>
      <c r="AP3316" s="77"/>
      <c r="AQ3316" s="77"/>
      <c r="AR3316" s="77"/>
      <c r="AS3316" s="77"/>
      <c r="AT3316" s="77"/>
      <c r="AU3316" s="77"/>
      <c r="AV3316" s="80" t="str">
        <f>HYPERLINK("https://pbs.twimg.com/profile_images/1559883556846977024/bXHnQFY0_normal.jpg")</f>
        <v>https://pbs.twimg.com/profile_images/1559883556846977024/bXHnQFY0_normal.jpg</v>
      </c>
      <c r="AW3316" s="82" t="s">
        <v>16400</v>
      </c>
      <c r="AX3316" s="82" t="s">
        <v>16400</v>
      </c>
      <c r="AY3316" s="77"/>
      <c r="AZ3316" s="82" t="s">
        <v>17385</v>
      </c>
      <c r="BA3316" s="82" t="s">
        <v>17385</v>
      </c>
      <c r="BB3316" s="82" t="s">
        <v>17385</v>
      </c>
      <c r="BC3316" s="82" t="s">
        <v>16400</v>
      </c>
      <c r="BD3316" s="77">
        <v>51150679</v>
      </c>
      <c r="BE3316" s="77"/>
      <c r="BF3316" s="77"/>
      <c r="BG3316" s="77"/>
      <c r="BH3316" s="77"/>
      <c r="BI3316" s="77"/>
    </row>
    <row r="3317" spans="1:61" x14ac:dyDescent="0.25">
      <c r="A3317" s="62" t="s">
        <v>605</v>
      </c>
      <c r="B3317" s="62" t="s">
        <v>605</v>
      </c>
      <c r="C3317" s="63"/>
      <c r="D3317" s="64"/>
      <c r="E3317" s="65"/>
      <c r="F3317" s="66"/>
      <c r="G3317" s="63"/>
      <c r="H3317" s="67"/>
      <c r="I3317" s="68"/>
      <c r="J3317" s="68"/>
      <c r="K3317" s="32"/>
      <c r="L3317" s="75">
        <v>3317</v>
      </c>
      <c r="M3317" s="75"/>
      <c r="N3317" s="70"/>
      <c r="O3317" s="77" t="s">
        <v>179</v>
      </c>
      <c r="P3317" s="79">
        <v>45156.922881944447</v>
      </c>
      <c r="Q3317" s="77" t="s">
        <v>4091</v>
      </c>
      <c r="R3317" s="77">
        <v>0</v>
      </c>
      <c r="S3317" s="77">
        <v>17</v>
      </c>
      <c r="T3317" s="77">
        <v>1</v>
      </c>
      <c r="U3317" s="77">
        <v>1</v>
      </c>
      <c r="V3317" s="77">
        <v>2983</v>
      </c>
      <c r="W3317" s="82" t="s">
        <v>6609</v>
      </c>
      <c r="X3317" s="80" t="str">
        <f>HYPERLINK("https://www.moneytimes.com.br/gestora-americana-vende-acoes-da-vale-vale3/")</f>
        <v>https://www.moneytimes.com.br/gestora-americana-vende-acoes-da-vale-vale3/</v>
      </c>
      <c r="Y3317" s="77" t="s">
        <v>7053</v>
      </c>
      <c r="Z3317" s="77"/>
      <c r="AA3317" s="77"/>
      <c r="AB3317" s="77"/>
      <c r="AC3317" s="82" t="s">
        <v>8255</v>
      </c>
      <c r="AD3317" s="77" t="s">
        <v>8278</v>
      </c>
      <c r="AE3317" s="80" t="str">
        <f>HYPERLINK("https://twitter.com/leiamoneytimes/status/1692659876197974188")</f>
        <v>https://twitter.com/leiamoneytimes/status/1692659876197974188</v>
      </c>
      <c r="AF3317" s="79">
        <v>45156.922881944447</v>
      </c>
      <c r="AG3317" s="85">
        <v>45156</v>
      </c>
      <c r="AH3317" s="82" t="s">
        <v>11324</v>
      </c>
      <c r="AI3317" s="77" t="b">
        <v>0</v>
      </c>
      <c r="AJ3317" s="77"/>
      <c r="AK3317" s="77"/>
      <c r="AL3317" s="77"/>
      <c r="AM3317" s="77"/>
      <c r="AN3317" s="77"/>
      <c r="AO3317" s="77"/>
      <c r="AP3317" s="77"/>
      <c r="AQ3317" s="77"/>
      <c r="AR3317" s="77"/>
      <c r="AS3317" s="77"/>
      <c r="AT3317" s="77"/>
      <c r="AU3317" s="77"/>
      <c r="AV3317" s="80" t="str">
        <f>HYPERLINK("https://pbs.twimg.com/profile_images/1559883556846977024/bXHnQFY0_normal.jpg")</f>
        <v>https://pbs.twimg.com/profile_images/1559883556846977024/bXHnQFY0_normal.jpg</v>
      </c>
      <c r="AW3317" s="82" t="s">
        <v>16401</v>
      </c>
      <c r="AX3317" s="82" t="s">
        <v>16401</v>
      </c>
      <c r="AY3317" s="77"/>
      <c r="AZ3317" s="82" t="s">
        <v>17385</v>
      </c>
      <c r="BA3317" s="82" t="s">
        <v>17385</v>
      </c>
      <c r="BB3317" s="82" t="s">
        <v>17385</v>
      </c>
      <c r="BC3317" s="82" t="s">
        <v>16401</v>
      </c>
      <c r="BD3317" s="77">
        <v>51150679</v>
      </c>
      <c r="BE3317" s="77"/>
      <c r="BF3317" s="77"/>
      <c r="BG3317" s="77"/>
      <c r="BH3317" s="77"/>
      <c r="BI3317" s="77"/>
    </row>
    <row r="3318" spans="1:61" x14ac:dyDescent="0.25">
      <c r="A3318" s="62" t="s">
        <v>605</v>
      </c>
      <c r="B3318" s="62" t="s">
        <v>605</v>
      </c>
      <c r="C3318" s="63"/>
      <c r="D3318" s="64"/>
      <c r="E3318" s="65"/>
      <c r="F3318" s="66"/>
      <c r="G3318" s="63"/>
      <c r="H3318" s="67"/>
      <c r="I3318" s="68"/>
      <c r="J3318" s="68"/>
      <c r="K3318" s="32"/>
      <c r="L3318" s="75">
        <v>3318</v>
      </c>
      <c r="M3318" s="75"/>
      <c r="N3318" s="70"/>
      <c r="O3318" s="77" t="s">
        <v>179</v>
      </c>
      <c r="P3318" s="79">
        <v>45152.625613425924</v>
      </c>
      <c r="Q3318" s="77" t="s">
        <v>4092</v>
      </c>
      <c r="R3318" s="77">
        <v>1</v>
      </c>
      <c r="S3318" s="77">
        <v>0</v>
      </c>
      <c r="T3318" s="77">
        <v>1</v>
      </c>
      <c r="U3318" s="77">
        <v>0</v>
      </c>
      <c r="V3318" s="77">
        <v>958</v>
      </c>
      <c r="W3318" s="82" t="s">
        <v>6610</v>
      </c>
      <c r="X3318" s="80" t="str">
        <f>HYPERLINK("https://www.moneytimes.com.br/10-acoes-para-investir-no-curto-prazo-segundo-a-mirae-asset/")</f>
        <v>https://www.moneytimes.com.br/10-acoes-para-investir-no-curto-prazo-segundo-a-mirae-asset/</v>
      </c>
      <c r="Y3318" s="77" t="s">
        <v>7053</v>
      </c>
      <c r="Z3318" s="77"/>
      <c r="AA3318" s="77"/>
      <c r="AB3318" s="77"/>
      <c r="AC3318" s="82" t="s">
        <v>8255</v>
      </c>
      <c r="AD3318" s="77" t="s">
        <v>8278</v>
      </c>
      <c r="AE3318" s="80" t="str">
        <f>HYPERLINK("https://twitter.com/leiamoneytimes/status/1691102598533685250")</f>
        <v>https://twitter.com/leiamoneytimes/status/1691102598533685250</v>
      </c>
      <c r="AF3318" s="79">
        <v>45152.625613425924</v>
      </c>
      <c r="AG3318" s="85">
        <v>45152</v>
      </c>
      <c r="AH3318" s="82" t="s">
        <v>11325</v>
      </c>
      <c r="AI3318" s="77" t="b">
        <v>0</v>
      </c>
      <c r="AJ3318" s="77"/>
      <c r="AK3318" s="77"/>
      <c r="AL3318" s="77"/>
      <c r="AM3318" s="77"/>
      <c r="AN3318" s="77"/>
      <c r="AO3318" s="77"/>
      <c r="AP3318" s="77"/>
      <c r="AQ3318" s="77"/>
      <c r="AR3318" s="77"/>
      <c r="AS3318" s="77"/>
      <c r="AT3318" s="77"/>
      <c r="AU3318" s="77"/>
      <c r="AV3318" s="80" t="str">
        <f>HYPERLINK("https://pbs.twimg.com/profile_images/1559883556846977024/bXHnQFY0_normal.jpg")</f>
        <v>https://pbs.twimg.com/profile_images/1559883556846977024/bXHnQFY0_normal.jpg</v>
      </c>
      <c r="AW3318" s="82" t="s">
        <v>16402</v>
      </c>
      <c r="AX3318" s="82" t="s">
        <v>16402</v>
      </c>
      <c r="AY3318" s="77"/>
      <c r="AZ3318" s="82" t="s">
        <v>17385</v>
      </c>
      <c r="BA3318" s="82" t="s">
        <v>17385</v>
      </c>
      <c r="BB3318" s="82" t="s">
        <v>17385</v>
      </c>
      <c r="BC3318" s="82" t="s">
        <v>16402</v>
      </c>
      <c r="BD3318" s="77">
        <v>51150679</v>
      </c>
      <c r="BE3318" s="77"/>
      <c r="BF3318" s="77"/>
      <c r="BG3318" s="77"/>
      <c r="BH3318" s="77"/>
      <c r="BI3318" s="77"/>
    </row>
    <row r="3319" spans="1:61" x14ac:dyDescent="0.25">
      <c r="A3319" s="62" t="s">
        <v>605</v>
      </c>
      <c r="B3319" s="62" t="s">
        <v>605</v>
      </c>
      <c r="C3319" s="63"/>
      <c r="D3319" s="64"/>
      <c r="E3319" s="65"/>
      <c r="F3319" s="66"/>
      <c r="G3319" s="63"/>
      <c r="H3319" s="67"/>
      <c r="I3319" s="68"/>
      <c r="J3319" s="68"/>
      <c r="K3319" s="32"/>
      <c r="L3319" s="75">
        <v>3319</v>
      </c>
      <c r="M3319" s="75"/>
      <c r="N3319" s="70"/>
      <c r="O3319" s="77" t="s">
        <v>179</v>
      </c>
      <c r="P3319" s="79">
        <v>45148.666377314818</v>
      </c>
      <c r="Q3319" s="77" t="s">
        <v>4093</v>
      </c>
      <c r="R3319" s="77">
        <v>0</v>
      </c>
      <c r="S3319" s="77">
        <v>0</v>
      </c>
      <c r="T3319" s="77">
        <v>1</v>
      </c>
      <c r="U3319" s="77">
        <v>0</v>
      </c>
      <c r="V3319" s="77">
        <v>798</v>
      </c>
      <c r="W3319" s="82" t="s">
        <v>5482</v>
      </c>
      <c r="X3319" s="80" t="str">
        <f>HYPERLINK("https://www.moneytimes.com.br/conheca-a-estrategia-de-investimento-do-gestor-que-ja-ganhou-1-500-com-small-caps/")</f>
        <v>https://www.moneytimes.com.br/conheca-a-estrategia-de-investimento-do-gestor-que-ja-ganhou-1-500-com-small-caps/</v>
      </c>
      <c r="Y3319" s="77" t="s">
        <v>7053</v>
      </c>
      <c r="Z3319" s="77"/>
      <c r="AA3319" s="77"/>
      <c r="AB3319" s="77"/>
      <c r="AC3319" s="82" t="s">
        <v>8255</v>
      </c>
      <c r="AD3319" s="77" t="s">
        <v>8278</v>
      </c>
      <c r="AE3319" s="80" t="str">
        <f>HYPERLINK("https://twitter.com/leiamoneytimes/status/1689667818176823297")</f>
        <v>https://twitter.com/leiamoneytimes/status/1689667818176823297</v>
      </c>
      <c r="AF3319" s="79">
        <v>45148.666377314818</v>
      </c>
      <c r="AG3319" s="85">
        <v>45148</v>
      </c>
      <c r="AH3319" s="82" t="s">
        <v>11326</v>
      </c>
      <c r="AI3319" s="77" t="b">
        <v>0</v>
      </c>
      <c r="AJ3319" s="77"/>
      <c r="AK3319" s="77"/>
      <c r="AL3319" s="77"/>
      <c r="AM3319" s="77"/>
      <c r="AN3319" s="77"/>
      <c r="AO3319" s="77"/>
      <c r="AP3319" s="77"/>
      <c r="AQ3319" s="77"/>
      <c r="AR3319" s="77"/>
      <c r="AS3319" s="77"/>
      <c r="AT3319" s="77"/>
      <c r="AU3319" s="77"/>
      <c r="AV3319" s="80" t="str">
        <f>HYPERLINK("https://pbs.twimg.com/profile_images/1559883556846977024/bXHnQFY0_normal.jpg")</f>
        <v>https://pbs.twimg.com/profile_images/1559883556846977024/bXHnQFY0_normal.jpg</v>
      </c>
      <c r="AW3319" s="82" t="s">
        <v>16403</v>
      </c>
      <c r="AX3319" s="82" t="s">
        <v>16403</v>
      </c>
      <c r="AY3319" s="77"/>
      <c r="AZ3319" s="82" t="s">
        <v>17385</v>
      </c>
      <c r="BA3319" s="82" t="s">
        <v>17385</v>
      </c>
      <c r="BB3319" s="82" t="s">
        <v>17385</v>
      </c>
      <c r="BC3319" s="82" t="s">
        <v>16403</v>
      </c>
      <c r="BD3319" s="77">
        <v>51150679</v>
      </c>
      <c r="BE3319" s="77"/>
      <c r="BF3319" s="77"/>
      <c r="BG3319" s="77"/>
      <c r="BH3319" s="77"/>
      <c r="BI3319" s="77"/>
    </row>
    <row r="3320" spans="1:61" x14ac:dyDescent="0.25">
      <c r="A3320" s="62" t="s">
        <v>605</v>
      </c>
      <c r="B3320" s="62" t="s">
        <v>605</v>
      </c>
      <c r="C3320" s="63"/>
      <c r="D3320" s="64"/>
      <c r="E3320" s="65"/>
      <c r="F3320" s="66"/>
      <c r="G3320" s="63"/>
      <c r="H3320" s="67"/>
      <c r="I3320" s="68"/>
      <c r="J3320" s="68"/>
      <c r="K3320" s="32"/>
      <c r="L3320" s="75">
        <v>3320</v>
      </c>
      <c r="M3320" s="75"/>
      <c r="N3320" s="70"/>
      <c r="O3320" s="77" t="s">
        <v>179</v>
      </c>
      <c r="P3320" s="79">
        <v>45148.657824074071</v>
      </c>
      <c r="Q3320" s="77" t="s">
        <v>4094</v>
      </c>
      <c r="R3320" s="77">
        <v>0</v>
      </c>
      <c r="S3320" s="77">
        <v>2</v>
      </c>
      <c r="T3320" s="77">
        <v>0</v>
      </c>
      <c r="U3320" s="77">
        <v>0</v>
      </c>
      <c r="V3320" s="77">
        <v>853</v>
      </c>
      <c r="W3320" s="82" t="s">
        <v>6611</v>
      </c>
      <c r="X3320" s="80" t="str">
        <f>HYPERLINK("https://www.moneytimes.com.br/a-provavel-volta-por-cima-das-small-caps/")</f>
        <v>https://www.moneytimes.com.br/a-provavel-volta-por-cima-das-small-caps/</v>
      </c>
      <c r="Y3320" s="77" t="s">
        <v>7053</v>
      </c>
      <c r="Z3320" s="77"/>
      <c r="AA3320" s="77"/>
      <c r="AB3320" s="77"/>
      <c r="AC3320" s="82" t="s">
        <v>8255</v>
      </c>
      <c r="AD3320" s="77" t="s">
        <v>8278</v>
      </c>
      <c r="AE3320" s="80" t="str">
        <f>HYPERLINK("https://twitter.com/leiamoneytimes/status/1689664722507890688")</f>
        <v>https://twitter.com/leiamoneytimes/status/1689664722507890688</v>
      </c>
      <c r="AF3320" s="79">
        <v>45148.657824074071</v>
      </c>
      <c r="AG3320" s="85">
        <v>45148</v>
      </c>
      <c r="AH3320" s="82" t="s">
        <v>11327</v>
      </c>
      <c r="AI3320" s="77" t="b">
        <v>0</v>
      </c>
      <c r="AJ3320" s="77"/>
      <c r="AK3320" s="77"/>
      <c r="AL3320" s="77"/>
      <c r="AM3320" s="77"/>
      <c r="AN3320" s="77"/>
      <c r="AO3320" s="77"/>
      <c r="AP3320" s="77"/>
      <c r="AQ3320" s="77"/>
      <c r="AR3320" s="77"/>
      <c r="AS3320" s="77"/>
      <c r="AT3320" s="77"/>
      <c r="AU3320" s="77"/>
      <c r="AV3320" s="80" t="str">
        <f>HYPERLINK("https://pbs.twimg.com/profile_images/1559883556846977024/bXHnQFY0_normal.jpg")</f>
        <v>https://pbs.twimg.com/profile_images/1559883556846977024/bXHnQFY0_normal.jpg</v>
      </c>
      <c r="AW3320" s="82" t="s">
        <v>16404</v>
      </c>
      <c r="AX3320" s="82" t="s">
        <v>16404</v>
      </c>
      <c r="AY3320" s="77"/>
      <c r="AZ3320" s="82" t="s">
        <v>17385</v>
      </c>
      <c r="BA3320" s="82" t="s">
        <v>17385</v>
      </c>
      <c r="BB3320" s="82" t="s">
        <v>17385</v>
      </c>
      <c r="BC3320" s="82" t="s">
        <v>16404</v>
      </c>
      <c r="BD3320" s="77">
        <v>51150679</v>
      </c>
      <c r="BE3320" s="77"/>
      <c r="BF3320" s="77"/>
      <c r="BG3320" s="77"/>
      <c r="BH3320" s="77"/>
      <c r="BI3320" s="77"/>
    </row>
    <row r="3321" spans="1:61" x14ac:dyDescent="0.25">
      <c r="A3321" s="62" t="s">
        <v>605</v>
      </c>
      <c r="B3321" s="62" t="s">
        <v>605</v>
      </c>
      <c r="C3321" s="63"/>
      <c r="D3321" s="64"/>
      <c r="E3321" s="65"/>
      <c r="F3321" s="66"/>
      <c r="G3321" s="63"/>
      <c r="H3321" s="67"/>
      <c r="I3321" s="68"/>
      <c r="J3321" s="68"/>
      <c r="K3321" s="32"/>
      <c r="L3321" s="75">
        <v>3321</v>
      </c>
      <c r="M3321" s="75"/>
      <c r="N3321" s="70"/>
      <c r="O3321" s="77" t="s">
        <v>179</v>
      </c>
      <c r="P3321" s="79">
        <v>45148.534571759257</v>
      </c>
      <c r="Q3321" s="77" t="s">
        <v>4095</v>
      </c>
      <c r="R3321" s="77">
        <v>3</v>
      </c>
      <c r="S3321" s="77">
        <v>25</v>
      </c>
      <c r="T3321" s="77">
        <v>1</v>
      </c>
      <c r="U3321" s="77">
        <v>1</v>
      </c>
      <c r="V3321" s="77">
        <v>3753</v>
      </c>
      <c r="W3321" s="82" t="s">
        <v>5596</v>
      </c>
      <c r="X3321" s="80" t="str">
        <f>HYPERLINK("https://www.moneytimes.com.br/agosto-vermelho-gringos-retiram-dinheiro-da-b3-pelo-5o-dia-valor-chega-a-r-55-bilhoes/")</f>
        <v>https://www.moneytimes.com.br/agosto-vermelho-gringos-retiram-dinheiro-da-b3-pelo-5o-dia-valor-chega-a-r-55-bilhoes/</v>
      </c>
      <c r="Y3321" s="77" t="s">
        <v>7053</v>
      </c>
      <c r="Z3321" s="77"/>
      <c r="AA3321" s="77"/>
      <c r="AB3321" s="77"/>
      <c r="AC3321" s="82" t="s">
        <v>8255</v>
      </c>
      <c r="AD3321" s="77" t="s">
        <v>8278</v>
      </c>
      <c r="AE3321" s="80" t="str">
        <f>HYPERLINK("https://twitter.com/leiamoneytimes/status/1689620054919225345")</f>
        <v>https://twitter.com/leiamoneytimes/status/1689620054919225345</v>
      </c>
      <c r="AF3321" s="79">
        <v>45148.534571759257</v>
      </c>
      <c r="AG3321" s="85">
        <v>45148</v>
      </c>
      <c r="AH3321" s="82" t="s">
        <v>11328</v>
      </c>
      <c r="AI3321" s="77" t="b">
        <v>0</v>
      </c>
      <c r="AJ3321" s="77"/>
      <c r="AK3321" s="77"/>
      <c r="AL3321" s="77"/>
      <c r="AM3321" s="77"/>
      <c r="AN3321" s="77"/>
      <c r="AO3321" s="77"/>
      <c r="AP3321" s="77"/>
      <c r="AQ3321" s="77"/>
      <c r="AR3321" s="77"/>
      <c r="AS3321" s="77"/>
      <c r="AT3321" s="77"/>
      <c r="AU3321" s="77"/>
      <c r="AV3321" s="80" t="str">
        <f>HYPERLINK("https://pbs.twimg.com/profile_images/1559883556846977024/bXHnQFY0_normal.jpg")</f>
        <v>https://pbs.twimg.com/profile_images/1559883556846977024/bXHnQFY0_normal.jpg</v>
      </c>
      <c r="AW3321" s="82" t="s">
        <v>16405</v>
      </c>
      <c r="AX3321" s="82" t="s">
        <v>16405</v>
      </c>
      <c r="AY3321" s="77"/>
      <c r="AZ3321" s="82" t="s">
        <v>17385</v>
      </c>
      <c r="BA3321" s="82" t="s">
        <v>17385</v>
      </c>
      <c r="BB3321" s="82" t="s">
        <v>17385</v>
      </c>
      <c r="BC3321" s="82" t="s">
        <v>16405</v>
      </c>
      <c r="BD3321" s="77">
        <v>51150679</v>
      </c>
      <c r="BE3321" s="77"/>
      <c r="BF3321" s="77"/>
      <c r="BG3321" s="77"/>
      <c r="BH3321" s="77"/>
      <c r="BI3321" s="77"/>
    </row>
    <row r="3322" spans="1:61" x14ac:dyDescent="0.25">
      <c r="A3322" s="62" t="s">
        <v>605</v>
      </c>
      <c r="B3322" s="62" t="s">
        <v>605</v>
      </c>
      <c r="C3322" s="63"/>
      <c r="D3322" s="64"/>
      <c r="E3322" s="65"/>
      <c r="F3322" s="66"/>
      <c r="G3322" s="63"/>
      <c r="H3322" s="67"/>
      <c r="I3322" s="68"/>
      <c r="J3322" s="68"/>
      <c r="K3322" s="32"/>
      <c r="L3322" s="75">
        <v>3322</v>
      </c>
      <c r="M3322" s="75"/>
      <c r="N3322" s="70"/>
      <c r="O3322" s="77" t="s">
        <v>179</v>
      </c>
      <c r="P3322" s="79">
        <v>45148.470289351855</v>
      </c>
      <c r="Q3322" s="77" t="s">
        <v>4096</v>
      </c>
      <c r="R3322" s="77">
        <v>0</v>
      </c>
      <c r="S3322" s="77">
        <v>7</v>
      </c>
      <c r="T3322" s="77">
        <v>1</v>
      </c>
      <c r="U3322" s="77">
        <v>0</v>
      </c>
      <c r="V3322" s="77">
        <v>1278</v>
      </c>
      <c r="W3322" s="82" t="s">
        <v>5559</v>
      </c>
      <c r="X3322" s="80" t="str">
        <f>HYPERLINK("https://www.moneytimes.com.br/sera-que-o-ibovespa-vai-subir-por-que-a-bolsa-caiu-em-agosto-banco-do-brasil-alem-das-projecoes-taxa-do-ponto-extra-no-disney-plus-e-outros-destaques-do-dia/")</f>
        <v>https://www.moneytimes.com.br/sera-que-o-ibovespa-vai-subir-por-que-a-bolsa-caiu-em-agosto-banco-do-brasil-alem-das-projecoes-taxa-do-ponto-extra-no-disney-plus-e-outros-destaques-do-dia/</v>
      </c>
      <c r="Y3322" s="77" t="s">
        <v>7053</v>
      </c>
      <c r="Z3322" s="77"/>
      <c r="AA3322" s="77"/>
      <c r="AB3322" s="77"/>
      <c r="AC3322" s="82" t="s">
        <v>8255</v>
      </c>
      <c r="AD3322" s="77" t="s">
        <v>8278</v>
      </c>
      <c r="AE3322" s="80" t="str">
        <f>HYPERLINK("https://twitter.com/leiamoneytimes/status/1689596758664384512")</f>
        <v>https://twitter.com/leiamoneytimes/status/1689596758664384512</v>
      </c>
      <c r="AF3322" s="79">
        <v>45148.470289351855</v>
      </c>
      <c r="AG3322" s="85">
        <v>45148</v>
      </c>
      <c r="AH3322" s="82" t="s">
        <v>11329</v>
      </c>
      <c r="AI3322" s="77" t="b">
        <v>0</v>
      </c>
      <c r="AJ3322" s="77"/>
      <c r="AK3322" s="77"/>
      <c r="AL3322" s="77"/>
      <c r="AM3322" s="77"/>
      <c r="AN3322" s="77"/>
      <c r="AO3322" s="77"/>
      <c r="AP3322" s="77"/>
      <c r="AQ3322" s="77"/>
      <c r="AR3322" s="77"/>
      <c r="AS3322" s="77"/>
      <c r="AT3322" s="77"/>
      <c r="AU3322" s="77"/>
      <c r="AV3322" s="80" t="str">
        <f>HYPERLINK("https://pbs.twimg.com/profile_images/1559883556846977024/bXHnQFY0_normal.jpg")</f>
        <v>https://pbs.twimg.com/profile_images/1559883556846977024/bXHnQFY0_normal.jpg</v>
      </c>
      <c r="AW3322" s="82" t="s">
        <v>16406</v>
      </c>
      <c r="AX3322" s="82" t="s">
        <v>16406</v>
      </c>
      <c r="AY3322" s="77"/>
      <c r="AZ3322" s="82" t="s">
        <v>17385</v>
      </c>
      <c r="BA3322" s="82" t="s">
        <v>17385</v>
      </c>
      <c r="BB3322" s="82" t="s">
        <v>17385</v>
      </c>
      <c r="BC3322" s="82" t="s">
        <v>16406</v>
      </c>
      <c r="BD3322" s="77">
        <v>51150679</v>
      </c>
      <c r="BE3322" s="77"/>
      <c r="BF3322" s="77"/>
      <c r="BG3322" s="77"/>
      <c r="BH3322" s="77"/>
      <c r="BI3322" s="77"/>
    </row>
    <row r="3323" spans="1:61" x14ac:dyDescent="0.25">
      <c r="A3323" s="62" t="s">
        <v>605</v>
      </c>
      <c r="B3323" s="62" t="s">
        <v>605</v>
      </c>
      <c r="C3323" s="63"/>
      <c r="D3323" s="64"/>
      <c r="E3323" s="65"/>
      <c r="F3323" s="66"/>
      <c r="G3323" s="63"/>
      <c r="H3323" s="67"/>
      <c r="I3323" s="68"/>
      <c r="J3323" s="68"/>
      <c r="K3323" s="32"/>
      <c r="L3323" s="75">
        <v>3323</v>
      </c>
      <c r="M3323" s="75"/>
      <c r="N3323" s="70"/>
      <c r="O3323" s="77" t="s">
        <v>179</v>
      </c>
      <c r="P3323" s="79">
        <v>45147.978576388887</v>
      </c>
      <c r="Q3323" s="77" t="s">
        <v>4097</v>
      </c>
      <c r="R3323" s="77">
        <v>1</v>
      </c>
      <c r="S3323" s="77">
        <v>10</v>
      </c>
      <c r="T3323" s="77">
        <v>1</v>
      </c>
      <c r="U3323" s="77">
        <v>0</v>
      </c>
      <c r="V3323" s="77">
        <v>1712</v>
      </c>
      <c r="W3323" s="82" t="s">
        <v>6612</v>
      </c>
      <c r="X3323" s="80" t="str">
        <f>HYPERLINK("https://www.moneytimes.com.br/eletrica-candidata-a-vaca-leiteira-paga-mais-uma-rodada-de-dividendos-veja-detalhes/")</f>
        <v>https://www.moneytimes.com.br/eletrica-candidata-a-vaca-leiteira-paga-mais-uma-rodada-de-dividendos-veja-detalhes/</v>
      </c>
      <c r="Y3323" s="77" t="s">
        <v>7053</v>
      </c>
      <c r="Z3323" s="77"/>
      <c r="AA3323" s="77"/>
      <c r="AB3323" s="77"/>
      <c r="AC3323" s="82" t="s">
        <v>8255</v>
      </c>
      <c r="AD3323" s="77" t="s">
        <v>8278</v>
      </c>
      <c r="AE3323" s="80" t="str">
        <f>HYPERLINK("https://twitter.com/leiamoneytimes/status/1689418569635811328")</f>
        <v>https://twitter.com/leiamoneytimes/status/1689418569635811328</v>
      </c>
      <c r="AF3323" s="79">
        <v>45147.978576388887</v>
      </c>
      <c r="AG3323" s="85">
        <v>45147</v>
      </c>
      <c r="AH3323" s="82" t="s">
        <v>11330</v>
      </c>
      <c r="AI3323" s="77" t="b">
        <v>0</v>
      </c>
      <c r="AJ3323" s="77"/>
      <c r="AK3323" s="77"/>
      <c r="AL3323" s="77"/>
      <c r="AM3323" s="77"/>
      <c r="AN3323" s="77"/>
      <c r="AO3323" s="77"/>
      <c r="AP3323" s="77"/>
      <c r="AQ3323" s="77"/>
      <c r="AR3323" s="77"/>
      <c r="AS3323" s="77"/>
      <c r="AT3323" s="77"/>
      <c r="AU3323" s="77"/>
      <c r="AV3323" s="80" t="str">
        <f>HYPERLINK("https://pbs.twimg.com/profile_images/1559883556846977024/bXHnQFY0_normal.jpg")</f>
        <v>https://pbs.twimg.com/profile_images/1559883556846977024/bXHnQFY0_normal.jpg</v>
      </c>
      <c r="AW3323" s="82" t="s">
        <v>16407</v>
      </c>
      <c r="AX3323" s="82" t="s">
        <v>16407</v>
      </c>
      <c r="AY3323" s="77"/>
      <c r="AZ3323" s="82" t="s">
        <v>17385</v>
      </c>
      <c r="BA3323" s="82" t="s">
        <v>17385</v>
      </c>
      <c r="BB3323" s="82" t="s">
        <v>17385</v>
      </c>
      <c r="BC3323" s="82" t="s">
        <v>16407</v>
      </c>
      <c r="BD3323" s="77">
        <v>51150679</v>
      </c>
      <c r="BE3323" s="77"/>
      <c r="BF3323" s="77"/>
      <c r="BG3323" s="77"/>
      <c r="BH3323" s="77"/>
      <c r="BI3323" s="77"/>
    </row>
    <row r="3324" spans="1:61" x14ac:dyDescent="0.25">
      <c r="A3324" s="62" t="s">
        <v>605</v>
      </c>
      <c r="B3324" s="62" t="s">
        <v>605</v>
      </c>
      <c r="C3324" s="63"/>
      <c r="D3324" s="64"/>
      <c r="E3324" s="65"/>
      <c r="F3324" s="66"/>
      <c r="G3324" s="63"/>
      <c r="H3324" s="67"/>
      <c r="I3324" s="68"/>
      <c r="J3324" s="68"/>
      <c r="K3324" s="32"/>
      <c r="L3324" s="75">
        <v>3324</v>
      </c>
      <c r="M3324" s="75"/>
      <c r="N3324" s="70"/>
      <c r="O3324" s="77" t="s">
        <v>179</v>
      </c>
      <c r="P3324" s="79">
        <v>45147.962511574071</v>
      </c>
      <c r="Q3324" s="77" t="s">
        <v>4098</v>
      </c>
      <c r="R3324" s="77">
        <v>5</v>
      </c>
      <c r="S3324" s="77">
        <v>20</v>
      </c>
      <c r="T3324" s="77">
        <v>2</v>
      </c>
      <c r="U3324" s="77">
        <v>2</v>
      </c>
      <c r="V3324" s="77">
        <v>3226</v>
      </c>
      <c r="W3324" s="82" t="s">
        <v>6613</v>
      </c>
      <c r="X3324" s="80" t="str">
        <f>HYPERLINK("https://www.moneytimes.com.br/petrobras-petr4-nova-politica-de-precos-traz-prejuizo-a-companhia-diz-associacao/")</f>
        <v>https://www.moneytimes.com.br/petrobras-petr4-nova-politica-de-precos-traz-prejuizo-a-companhia-diz-associacao/</v>
      </c>
      <c r="Y3324" s="77" t="s">
        <v>7053</v>
      </c>
      <c r="Z3324" s="77"/>
      <c r="AA3324" s="77"/>
      <c r="AB3324" s="77"/>
      <c r="AC3324" s="82" t="s">
        <v>8255</v>
      </c>
      <c r="AD3324" s="77" t="s">
        <v>8278</v>
      </c>
      <c r="AE3324" s="80" t="str">
        <f>HYPERLINK("https://twitter.com/leiamoneytimes/status/1689412747384033280")</f>
        <v>https://twitter.com/leiamoneytimes/status/1689412747384033280</v>
      </c>
      <c r="AF3324" s="79">
        <v>45147.962511574071</v>
      </c>
      <c r="AG3324" s="85">
        <v>45147</v>
      </c>
      <c r="AH3324" s="82" t="s">
        <v>11331</v>
      </c>
      <c r="AI3324" s="77" t="b">
        <v>0</v>
      </c>
      <c r="AJ3324" s="77"/>
      <c r="AK3324" s="77"/>
      <c r="AL3324" s="77"/>
      <c r="AM3324" s="77"/>
      <c r="AN3324" s="77"/>
      <c r="AO3324" s="77"/>
      <c r="AP3324" s="77"/>
      <c r="AQ3324" s="77"/>
      <c r="AR3324" s="77"/>
      <c r="AS3324" s="77"/>
      <c r="AT3324" s="77"/>
      <c r="AU3324" s="77"/>
      <c r="AV3324" s="80" t="str">
        <f>HYPERLINK("https://pbs.twimg.com/profile_images/1559883556846977024/bXHnQFY0_normal.jpg")</f>
        <v>https://pbs.twimg.com/profile_images/1559883556846977024/bXHnQFY0_normal.jpg</v>
      </c>
      <c r="AW3324" s="82" t="s">
        <v>16408</v>
      </c>
      <c r="AX3324" s="82" t="s">
        <v>16408</v>
      </c>
      <c r="AY3324" s="77"/>
      <c r="AZ3324" s="82" t="s">
        <v>17385</v>
      </c>
      <c r="BA3324" s="82" t="s">
        <v>17385</v>
      </c>
      <c r="BB3324" s="82" t="s">
        <v>17385</v>
      </c>
      <c r="BC3324" s="82" t="s">
        <v>16408</v>
      </c>
      <c r="BD3324" s="77">
        <v>51150679</v>
      </c>
      <c r="BE3324" s="77"/>
      <c r="BF3324" s="77"/>
      <c r="BG3324" s="77"/>
      <c r="BH3324" s="77"/>
      <c r="BI3324" s="77"/>
    </row>
    <row r="3325" spans="1:61" x14ac:dyDescent="0.25">
      <c r="A3325" s="62" t="s">
        <v>605</v>
      </c>
      <c r="B3325" s="62" t="s">
        <v>605</v>
      </c>
      <c r="C3325" s="63"/>
      <c r="D3325" s="64"/>
      <c r="E3325" s="65"/>
      <c r="F3325" s="66"/>
      <c r="G3325" s="63"/>
      <c r="H3325" s="67"/>
      <c r="I3325" s="68"/>
      <c r="J3325" s="68"/>
      <c r="K3325" s="32"/>
      <c r="L3325" s="75">
        <v>3325</v>
      </c>
      <c r="M3325" s="75"/>
      <c r="N3325" s="70"/>
      <c r="O3325" s="77" t="s">
        <v>179</v>
      </c>
      <c r="P3325" s="79">
        <v>45147.895833333336</v>
      </c>
      <c r="Q3325" s="77" t="s">
        <v>4099</v>
      </c>
      <c r="R3325" s="77">
        <v>1</v>
      </c>
      <c r="S3325" s="77">
        <v>9</v>
      </c>
      <c r="T3325" s="77">
        <v>1</v>
      </c>
      <c r="U3325" s="77">
        <v>0</v>
      </c>
      <c r="V3325" s="77">
        <v>1199</v>
      </c>
      <c r="W3325" s="82" t="s">
        <v>5601</v>
      </c>
      <c r="X3325" s="80" t="str">
        <f>HYPERLINK("https://www.moneytimes.com.br/ultrapar-ugpa3-anuncia-r-273-milhoes-em-dividendos-saiba-quanto-o-acionista-ganhara-por-acao/")</f>
        <v>https://www.moneytimes.com.br/ultrapar-ugpa3-anuncia-r-273-milhoes-em-dividendos-saiba-quanto-o-acionista-ganhara-por-acao/</v>
      </c>
      <c r="Y3325" s="77" t="s">
        <v>7053</v>
      </c>
      <c r="Z3325" s="77"/>
      <c r="AA3325" s="77"/>
      <c r="AB3325" s="77"/>
      <c r="AC3325" s="82" t="s">
        <v>8255</v>
      </c>
      <c r="AD3325" s="77" t="s">
        <v>8278</v>
      </c>
      <c r="AE3325" s="80" t="str">
        <f>HYPERLINK("https://twitter.com/leiamoneytimes/status/1689388585609302017")</f>
        <v>https://twitter.com/leiamoneytimes/status/1689388585609302017</v>
      </c>
      <c r="AF3325" s="79">
        <v>45147.895833333336</v>
      </c>
      <c r="AG3325" s="85">
        <v>45147</v>
      </c>
      <c r="AH3325" s="82" t="s">
        <v>8626</v>
      </c>
      <c r="AI3325" s="77" t="b">
        <v>0</v>
      </c>
      <c r="AJ3325" s="77"/>
      <c r="AK3325" s="77"/>
      <c r="AL3325" s="77"/>
      <c r="AM3325" s="77"/>
      <c r="AN3325" s="77"/>
      <c r="AO3325" s="77"/>
      <c r="AP3325" s="77"/>
      <c r="AQ3325" s="77"/>
      <c r="AR3325" s="77"/>
      <c r="AS3325" s="77"/>
      <c r="AT3325" s="77"/>
      <c r="AU3325" s="77"/>
      <c r="AV3325" s="80" t="str">
        <f>HYPERLINK("https://pbs.twimg.com/profile_images/1559883556846977024/bXHnQFY0_normal.jpg")</f>
        <v>https://pbs.twimg.com/profile_images/1559883556846977024/bXHnQFY0_normal.jpg</v>
      </c>
      <c r="AW3325" s="82" t="s">
        <v>16409</v>
      </c>
      <c r="AX3325" s="82" t="s">
        <v>16409</v>
      </c>
      <c r="AY3325" s="77"/>
      <c r="AZ3325" s="82" t="s">
        <v>17385</v>
      </c>
      <c r="BA3325" s="82" t="s">
        <v>17385</v>
      </c>
      <c r="BB3325" s="82" t="s">
        <v>17385</v>
      </c>
      <c r="BC3325" s="82" t="s">
        <v>16409</v>
      </c>
      <c r="BD3325" s="77">
        <v>51150679</v>
      </c>
      <c r="BE3325" s="77"/>
      <c r="BF3325" s="77"/>
      <c r="BG3325" s="77"/>
      <c r="BH3325" s="77"/>
      <c r="BI3325" s="77"/>
    </row>
    <row r="3326" spans="1:61" x14ac:dyDescent="0.25">
      <c r="A3326" s="62" t="s">
        <v>605</v>
      </c>
      <c r="B3326" s="62" t="s">
        <v>605</v>
      </c>
      <c r="C3326" s="63"/>
      <c r="D3326" s="64"/>
      <c r="E3326" s="65"/>
      <c r="F3326" s="66"/>
      <c r="G3326" s="63"/>
      <c r="H3326" s="67"/>
      <c r="I3326" s="68"/>
      <c r="J3326" s="68"/>
      <c r="K3326" s="32"/>
      <c r="L3326" s="75">
        <v>3326</v>
      </c>
      <c r="M3326" s="75"/>
      <c r="N3326" s="70"/>
      <c r="O3326" s="77" t="s">
        <v>179</v>
      </c>
      <c r="P3326" s="79">
        <v>45147.845949074072</v>
      </c>
      <c r="Q3326" s="77" t="s">
        <v>4100</v>
      </c>
      <c r="R3326" s="77">
        <v>0</v>
      </c>
      <c r="S3326" s="77">
        <v>6</v>
      </c>
      <c r="T3326" s="77">
        <v>1</v>
      </c>
      <c r="U3326" s="77">
        <v>0</v>
      </c>
      <c r="V3326" s="77">
        <v>1187</v>
      </c>
      <c r="W3326" s="82" t="s">
        <v>6551</v>
      </c>
      <c r="X3326" s="80" t="str">
        <f>HYPERLINK("https://www.moneytimes.com.br/ibovespa-hoje-fecha-queda-resultados-2t23-banco-do-brasil-bbas3-09-08-2023/")</f>
        <v>https://www.moneytimes.com.br/ibovespa-hoje-fecha-queda-resultados-2t23-banco-do-brasil-bbas3-09-08-2023/</v>
      </c>
      <c r="Y3326" s="77" t="s">
        <v>7053</v>
      </c>
      <c r="Z3326" s="77"/>
      <c r="AA3326" s="77"/>
      <c r="AB3326" s="77"/>
      <c r="AC3326" s="82" t="s">
        <v>8255</v>
      </c>
      <c r="AD3326" s="77" t="s">
        <v>8278</v>
      </c>
      <c r="AE3326" s="80" t="str">
        <f>HYPERLINK("https://twitter.com/leiamoneytimes/status/1689370505172660224")</f>
        <v>https://twitter.com/leiamoneytimes/status/1689370505172660224</v>
      </c>
      <c r="AF3326" s="79">
        <v>45147.845949074072</v>
      </c>
      <c r="AG3326" s="85">
        <v>45147</v>
      </c>
      <c r="AH3326" s="82" t="s">
        <v>11332</v>
      </c>
      <c r="AI3326" s="77" t="b">
        <v>0</v>
      </c>
      <c r="AJ3326" s="77"/>
      <c r="AK3326" s="77"/>
      <c r="AL3326" s="77"/>
      <c r="AM3326" s="77"/>
      <c r="AN3326" s="77"/>
      <c r="AO3326" s="77"/>
      <c r="AP3326" s="77"/>
      <c r="AQ3326" s="77"/>
      <c r="AR3326" s="77"/>
      <c r="AS3326" s="77"/>
      <c r="AT3326" s="77"/>
      <c r="AU3326" s="77"/>
      <c r="AV3326" s="80" t="str">
        <f>HYPERLINK("https://pbs.twimg.com/profile_images/1559883556846977024/bXHnQFY0_normal.jpg")</f>
        <v>https://pbs.twimg.com/profile_images/1559883556846977024/bXHnQFY0_normal.jpg</v>
      </c>
      <c r="AW3326" s="82" t="s">
        <v>16410</v>
      </c>
      <c r="AX3326" s="82" t="s">
        <v>16410</v>
      </c>
      <c r="AY3326" s="77"/>
      <c r="AZ3326" s="82" t="s">
        <v>17385</v>
      </c>
      <c r="BA3326" s="82" t="s">
        <v>17385</v>
      </c>
      <c r="BB3326" s="82" t="s">
        <v>17385</v>
      </c>
      <c r="BC3326" s="82" t="s">
        <v>16410</v>
      </c>
      <c r="BD3326" s="77">
        <v>51150679</v>
      </c>
      <c r="BE3326" s="77"/>
      <c r="BF3326" s="77"/>
      <c r="BG3326" s="77"/>
      <c r="BH3326" s="77"/>
      <c r="BI3326" s="77"/>
    </row>
    <row r="3327" spans="1:61" x14ac:dyDescent="0.25">
      <c r="A3327" s="62" t="s">
        <v>605</v>
      </c>
      <c r="B3327" s="62" t="s">
        <v>605</v>
      </c>
      <c r="C3327" s="63"/>
      <c r="D3327" s="64"/>
      <c r="E3327" s="65"/>
      <c r="F3327" s="66"/>
      <c r="G3327" s="63"/>
      <c r="H3327" s="67"/>
      <c r="I3327" s="68"/>
      <c r="J3327" s="68"/>
      <c r="K3327" s="32"/>
      <c r="L3327" s="75">
        <v>3327</v>
      </c>
      <c r="M3327" s="75"/>
      <c r="N3327" s="70"/>
      <c r="O3327" s="77" t="s">
        <v>179</v>
      </c>
      <c r="P3327" s="79">
        <v>45138.685555555552</v>
      </c>
      <c r="Q3327" s="77" t="s">
        <v>4101</v>
      </c>
      <c r="R3327" s="77">
        <v>0</v>
      </c>
      <c r="S3327" s="77">
        <v>13</v>
      </c>
      <c r="T3327" s="77">
        <v>0</v>
      </c>
      <c r="U3327" s="77">
        <v>1</v>
      </c>
      <c r="V3327" s="77">
        <v>1673</v>
      </c>
      <c r="W3327" s="82" t="s">
        <v>6614</v>
      </c>
      <c r="X3327" s="80" t="str">
        <f>HYPERLINK("https://www.moneytimes.com.br/taurus-tasa4-pode-construir-fabrica-na-arabia-saudita-entenda/")</f>
        <v>https://www.moneytimes.com.br/taurus-tasa4-pode-construir-fabrica-na-arabia-saudita-entenda/</v>
      </c>
      <c r="Y3327" s="77" t="s">
        <v>7053</v>
      </c>
      <c r="Z3327" s="77"/>
      <c r="AA3327" s="77"/>
      <c r="AB3327" s="77"/>
      <c r="AC3327" s="82" t="s">
        <v>8255</v>
      </c>
      <c r="AD3327" s="77" t="s">
        <v>8278</v>
      </c>
      <c r="AE3327" s="80" t="str">
        <f>HYPERLINK("https://twitter.com/leiamoneytimes/status/1686050891416129537")</f>
        <v>https://twitter.com/leiamoneytimes/status/1686050891416129537</v>
      </c>
      <c r="AF3327" s="79">
        <v>45138.685555555552</v>
      </c>
      <c r="AG3327" s="85">
        <v>45138</v>
      </c>
      <c r="AH3327" s="82" t="s">
        <v>11333</v>
      </c>
      <c r="AI3327" s="77" t="b">
        <v>0</v>
      </c>
      <c r="AJ3327" s="77"/>
      <c r="AK3327" s="77"/>
      <c r="AL3327" s="77"/>
      <c r="AM3327" s="77"/>
      <c r="AN3327" s="77"/>
      <c r="AO3327" s="77"/>
      <c r="AP3327" s="77"/>
      <c r="AQ3327" s="77"/>
      <c r="AR3327" s="77"/>
      <c r="AS3327" s="77"/>
      <c r="AT3327" s="77"/>
      <c r="AU3327" s="77"/>
      <c r="AV3327" s="80" t="str">
        <f>HYPERLINK("https://pbs.twimg.com/profile_images/1559883556846977024/bXHnQFY0_normal.jpg")</f>
        <v>https://pbs.twimg.com/profile_images/1559883556846977024/bXHnQFY0_normal.jpg</v>
      </c>
      <c r="AW3327" s="82" t="s">
        <v>16411</v>
      </c>
      <c r="AX3327" s="82" t="s">
        <v>16411</v>
      </c>
      <c r="AY3327" s="77"/>
      <c r="AZ3327" s="82" t="s">
        <v>17385</v>
      </c>
      <c r="BA3327" s="82" t="s">
        <v>17385</v>
      </c>
      <c r="BB3327" s="82" t="s">
        <v>17385</v>
      </c>
      <c r="BC3327" s="82" t="s">
        <v>16411</v>
      </c>
      <c r="BD3327" s="77">
        <v>51150679</v>
      </c>
      <c r="BE3327" s="77"/>
      <c r="BF3327" s="77"/>
      <c r="BG3327" s="77"/>
      <c r="BH3327" s="77"/>
      <c r="BI3327" s="77"/>
    </row>
    <row r="3328" spans="1:61" x14ac:dyDescent="0.25">
      <c r="A3328" s="62" t="s">
        <v>605</v>
      </c>
      <c r="B3328" s="62" t="s">
        <v>605</v>
      </c>
      <c r="C3328" s="63"/>
      <c r="D3328" s="64"/>
      <c r="E3328" s="65"/>
      <c r="F3328" s="66"/>
      <c r="G3328" s="63"/>
      <c r="H3328" s="67"/>
      <c r="I3328" s="68"/>
      <c r="J3328" s="68"/>
      <c r="K3328" s="32"/>
      <c r="L3328" s="75">
        <v>3328</v>
      </c>
      <c r="M3328" s="75"/>
      <c r="N3328" s="70"/>
      <c r="O3328" s="77" t="s">
        <v>179</v>
      </c>
      <c r="P3328" s="79">
        <v>45138.650960648149</v>
      </c>
      <c r="Q3328" s="77" t="s">
        <v>4102</v>
      </c>
      <c r="R3328" s="77">
        <v>0</v>
      </c>
      <c r="S3328" s="77">
        <v>3</v>
      </c>
      <c r="T3328" s="77">
        <v>1</v>
      </c>
      <c r="U3328" s="77">
        <v>0</v>
      </c>
      <c r="V3328" s="77">
        <v>1597</v>
      </c>
      <c r="W3328" s="82" t="s">
        <v>6615</v>
      </c>
      <c r="X3328" s="80" t="str">
        <f>HYPERLINK("https://www.moneytimes.com.br/ibovespa-hoje-agora-dexco-petrobras-meliuz-31-07-2023/")</f>
        <v>https://www.moneytimes.com.br/ibovespa-hoje-agora-dexco-petrobras-meliuz-31-07-2023/</v>
      </c>
      <c r="Y3328" s="77" t="s">
        <v>7053</v>
      </c>
      <c r="Z3328" s="77"/>
      <c r="AA3328" s="77"/>
      <c r="AB3328" s="77"/>
      <c r="AC3328" s="82" t="s">
        <v>8255</v>
      </c>
      <c r="AD3328" s="77" t="s">
        <v>8278</v>
      </c>
      <c r="AE3328" s="80" t="str">
        <f>HYPERLINK("https://twitter.com/leiamoneytimes/status/1686038353697722368")</f>
        <v>https://twitter.com/leiamoneytimes/status/1686038353697722368</v>
      </c>
      <c r="AF3328" s="79">
        <v>45138.650960648149</v>
      </c>
      <c r="AG3328" s="85">
        <v>45138</v>
      </c>
      <c r="AH3328" s="82" t="s">
        <v>11334</v>
      </c>
      <c r="AI3328" s="77" t="b">
        <v>0</v>
      </c>
      <c r="AJ3328" s="77"/>
      <c r="AK3328" s="77"/>
      <c r="AL3328" s="77"/>
      <c r="AM3328" s="77"/>
      <c r="AN3328" s="77"/>
      <c r="AO3328" s="77"/>
      <c r="AP3328" s="77"/>
      <c r="AQ3328" s="77"/>
      <c r="AR3328" s="77"/>
      <c r="AS3328" s="77"/>
      <c r="AT3328" s="77"/>
      <c r="AU3328" s="77"/>
      <c r="AV3328" s="80" t="str">
        <f>HYPERLINK("https://pbs.twimg.com/profile_images/1559883556846977024/bXHnQFY0_normal.jpg")</f>
        <v>https://pbs.twimg.com/profile_images/1559883556846977024/bXHnQFY0_normal.jpg</v>
      </c>
      <c r="AW3328" s="82" t="s">
        <v>16412</v>
      </c>
      <c r="AX3328" s="82" t="s">
        <v>16412</v>
      </c>
      <c r="AY3328" s="77"/>
      <c r="AZ3328" s="82" t="s">
        <v>17385</v>
      </c>
      <c r="BA3328" s="82" t="s">
        <v>17385</v>
      </c>
      <c r="BB3328" s="82" t="s">
        <v>17385</v>
      </c>
      <c r="BC3328" s="82" t="s">
        <v>16412</v>
      </c>
      <c r="BD3328" s="77">
        <v>51150679</v>
      </c>
      <c r="BE3328" s="77"/>
      <c r="BF3328" s="77"/>
      <c r="BG3328" s="77"/>
      <c r="BH3328" s="77"/>
      <c r="BI3328" s="77"/>
    </row>
    <row r="3329" spans="1:61" x14ac:dyDescent="0.25">
      <c r="A3329" s="62" t="s">
        <v>605</v>
      </c>
      <c r="B3329" s="62" t="s">
        <v>605</v>
      </c>
      <c r="C3329" s="63"/>
      <c r="D3329" s="64"/>
      <c r="E3329" s="65"/>
      <c r="F3329" s="66"/>
      <c r="G3329" s="63"/>
      <c r="H3329" s="67"/>
      <c r="I3329" s="68"/>
      <c r="J3329" s="68"/>
      <c r="K3329" s="32"/>
      <c r="L3329" s="75">
        <v>3329</v>
      </c>
      <c r="M3329" s="75"/>
      <c r="N3329" s="70"/>
      <c r="O3329" s="77" t="s">
        <v>179</v>
      </c>
      <c r="P3329" s="79">
        <v>45138.457060185188</v>
      </c>
      <c r="Q3329" s="77" t="s">
        <v>4103</v>
      </c>
      <c r="R3329" s="77">
        <v>1</v>
      </c>
      <c r="S3329" s="77">
        <v>6</v>
      </c>
      <c r="T3329" s="77">
        <v>2</v>
      </c>
      <c r="U3329" s="77">
        <v>0</v>
      </c>
      <c r="V3329" s="77">
        <v>2012</v>
      </c>
      <c r="W3329" s="82" t="s">
        <v>6616</v>
      </c>
      <c r="X3329" s="80" t="str">
        <f>HYPERLINK("https://www.moneytimes.com.br/petrobras-petr4-gringos-enchem-os-bolsos-com-nova-politica-de-dividendos/")</f>
        <v>https://www.moneytimes.com.br/petrobras-petr4-gringos-enchem-os-bolsos-com-nova-politica-de-dividendos/</v>
      </c>
      <c r="Y3329" s="77" t="s">
        <v>7053</v>
      </c>
      <c r="Z3329" s="77"/>
      <c r="AA3329" s="77"/>
      <c r="AB3329" s="77"/>
      <c r="AC3329" s="82" t="s">
        <v>8255</v>
      </c>
      <c r="AD3329" s="77" t="s">
        <v>8278</v>
      </c>
      <c r="AE3329" s="80" t="str">
        <f>HYPERLINK("https://twitter.com/leiamoneytimes/status/1685968088783605761")</f>
        <v>https://twitter.com/leiamoneytimes/status/1685968088783605761</v>
      </c>
      <c r="AF3329" s="79">
        <v>45138.457060185188</v>
      </c>
      <c r="AG3329" s="85">
        <v>45138</v>
      </c>
      <c r="AH3329" s="82" t="s">
        <v>11335</v>
      </c>
      <c r="AI3329" s="77" t="b">
        <v>0</v>
      </c>
      <c r="AJ3329" s="77"/>
      <c r="AK3329" s="77"/>
      <c r="AL3329" s="77"/>
      <c r="AM3329" s="77"/>
      <c r="AN3329" s="77"/>
      <c r="AO3329" s="77"/>
      <c r="AP3329" s="77"/>
      <c r="AQ3329" s="77"/>
      <c r="AR3329" s="77"/>
      <c r="AS3329" s="77"/>
      <c r="AT3329" s="77"/>
      <c r="AU3329" s="77"/>
      <c r="AV3329" s="80" t="str">
        <f>HYPERLINK("https://pbs.twimg.com/profile_images/1559883556846977024/bXHnQFY0_normal.jpg")</f>
        <v>https://pbs.twimg.com/profile_images/1559883556846977024/bXHnQFY0_normal.jpg</v>
      </c>
      <c r="AW3329" s="82" t="s">
        <v>16413</v>
      </c>
      <c r="AX3329" s="82" t="s">
        <v>16413</v>
      </c>
      <c r="AY3329" s="77"/>
      <c r="AZ3329" s="82" t="s">
        <v>17385</v>
      </c>
      <c r="BA3329" s="82" t="s">
        <v>17385</v>
      </c>
      <c r="BB3329" s="82" t="s">
        <v>17385</v>
      </c>
      <c r="BC3329" s="82" t="s">
        <v>16413</v>
      </c>
      <c r="BD3329" s="77">
        <v>51150679</v>
      </c>
      <c r="BE3329" s="77"/>
      <c r="BF3329" s="77"/>
      <c r="BG3329" s="77"/>
      <c r="BH3329" s="77"/>
      <c r="BI3329" s="77"/>
    </row>
    <row r="3330" spans="1:61" x14ac:dyDescent="0.25">
      <c r="A3330" s="62" t="s">
        <v>605</v>
      </c>
      <c r="B3330" s="62" t="s">
        <v>605</v>
      </c>
      <c r="C3330" s="63"/>
      <c r="D3330" s="64"/>
      <c r="E3330" s="65"/>
      <c r="F3330" s="66"/>
      <c r="G3330" s="63"/>
      <c r="H3330" s="67"/>
      <c r="I3330" s="68"/>
      <c r="J3330" s="68"/>
      <c r="K3330" s="32"/>
      <c r="L3330" s="75">
        <v>3330</v>
      </c>
      <c r="M3330" s="75"/>
      <c r="N3330" s="70"/>
      <c r="O3330" s="77" t="s">
        <v>179</v>
      </c>
      <c r="P3330" s="79">
        <v>45137.689293981479</v>
      </c>
      <c r="Q3330" s="77" t="s">
        <v>4104</v>
      </c>
      <c r="R3330" s="77">
        <v>0</v>
      </c>
      <c r="S3330" s="77">
        <v>0</v>
      </c>
      <c r="T3330" s="77">
        <v>1</v>
      </c>
      <c r="U3330" s="77">
        <v>0</v>
      </c>
      <c r="V3330" s="77">
        <v>1866</v>
      </c>
      <c r="W3330" s="82" t="s">
        <v>6617</v>
      </c>
      <c r="X3330" s="80" t="str">
        <f>HYPERLINK("https://www.moneytimes.com.br/petrobras-petr4-nova-politica-de-dividendos-agrada-o-mercado/")</f>
        <v>https://www.moneytimes.com.br/petrobras-petr4-nova-politica-de-dividendos-agrada-o-mercado/</v>
      </c>
      <c r="Y3330" s="77" t="s">
        <v>7053</v>
      </c>
      <c r="Z3330" s="77"/>
      <c r="AA3330" s="77"/>
      <c r="AB3330" s="77"/>
      <c r="AC3330" s="82" t="s">
        <v>8255</v>
      </c>
      <c r="AD3330" s="77" t="s">
        <v>8278</v>
      </c>
      <c r="AE3330" s="80" t="str">
        <f>HYPERLINK("https://twitter.com/leiamoneytimes/status/1685689858071621632")</f>
        <v>https://twitter.com/leiamoneytimes/status/1685689858071621632</v>
      </c>
      <c r="AF3330" s="79">
        <v>45137.689293981479</v>
      </c>
      <c r="AG3330" s="85">
        <v>45137</v>
      </c>
      <c r="AH3330" s="82" t="s">
        <v>11336</v>
      </c>
      <c r="AI3330" s="77" t="b">
        <v>0</v>
      </c>
      <c r="AJ3330" s="77"/>
      <c r="AK3330" s="77"/>
      <c r="AL3330" s="77"/>
      <c r="AM3330" s="77"/>
      <c r="AN3330" s="77"/>
      <c r="AO3330" s="77"/>
      <c r="AP3330" s="77"/>
      <c r="AQ3330" s="77"/>
      <c r="AR3330" s="77"/>
      <c r="AS3330" s="77"/>
      <c r="AT3330" s="77"/>
      <c r="AU3330" s="77"/>
      <c r="AV3330" s="80" t="str">
        <f>HYPERLINK("https://pbs.twimg.com/profile_images/1559883556846977024/bXHnQFY0_normal.jpg")</f>
        <v>https://pbs.twimg.com/profile_images/1559883556846977024/bXHnQFY0_normal.jpg</v>
      </c>
      <c r="AW3330" s="82" t="s">
        <v>16414</v>
      </c>
      <c r="AX3330" s="82" t="s">
        <v>16414</v>
      </c>
      <c r="AY3330" s="77"/>
      <c r="AZ3330" s="82" t="s">
        <v>17385</v>
      </c>
      <c r="BA3330" s="82" t="s">
        <v>17385</v>
      </c>
      <c r="BB3330" s="82" t="s">
        <v>17385</v>
      </c>
      <c r="BC3330" s="82" t="s">
        <v>16414</v>
      </c>
      <c r="BD3330" s="77">
        <v>51150679</v>
      </c>
      <c r="BE3330" s="77"/>
      <c r="BF3330" s="77"/>
      <c r="BG3330" s="77"/>
      <c r="BH3330" s="77"/>
      <c r="BI3330" s="77"/>
    </row>
    <row r="3331" spans="1:61" x14ac:dyDescent="0.25">
      <c r="A3331" s="62" t="s">
        <v>605</v>
      </c>
      <c r="B3331" s="62" t="s">
        <v>605</v>
      </c>
      <c r="C3331" s="63"/>
      <c r="D3331" s="64"/>
      <c r="E3331" s="65"/>
      <c r="F3331" s="66"/>
      <c r="G3331" s="63"/>
      <c r="H3331" s="67"/>
      <c r="I3331" s="68"/>
      <c r="J3331" s="68"/>
      <c r="K3331" s="32"/>
      <c r="L3331" s="75">
        <v>3331</v>
      </c>
      <c r="M3331" s="75"/>
      <c r="N3331" s="70"/>
      <c r="O3331" s="77" t="s">
        <v>179</v>
      </c>
      <c r="P3331" s="79">
        <v>45116.834131944444</v>
      </c>
      <c r="Q3331" s="77" t="s">
        <v>4105</v>
      </c>
      <c r="R3331" s="77">
        <v>0</v>
      </c>
      <c r="S3331" s="77">
        <v>5</v>
      </c>
      <c r="T3331" s="77">
        <v>1</v>
      </c>
      <c r="U3331" s="77">
        <v>0</v>
      </c>
      <c r="V3331" s="77">
        <v>2248</v>
      </c>
      <c r="W3331" s="82" t="s">
        <v>6618</v>
      </c>
      <c r="X3331" s="80" t="str">
        <f>HYPERLINK("https://www.moneytimes.com.br/4-empresas-pagam-milhoes-em-dividendos-e-jcp-esta-semana-pomo4-e-stbp3-tem-data-com/")</f>
        <v>https://www.moneytimes.com.br/4-empresas-pagam-milhoes-em-dividendos-e-jcp-esta-semana-pomo4-e-stbp3-tem-data-com/</v>
      </c>
      <c r="Y3331" s="77" t="s">
        <v>7053</v>
      </c>
      <c r="Z3331" s="77"/>
      <c r="AA3331" s="77"/>
      <c r="AB3331" s="77"/>
      <c r="AC3331" s="82" t="s">
        <v>8255</v>
      </c>
      <c r="AD3331" s="77" t="s">
        <v>8278</v>
      </c>
      <c r="AE3331" s="80" t="str">
        <f>HYPERLINK("https://twitter.com/leiamoneytimes/status/1678132202578624513")</f>
        <v>https://twitter.com/leiamoneytimes/status/1678132202578624513</v>
      </c>
      <c r="AF3331" s="79">
        <v>45116.834131944444</v>
      </c>
      <c r="AG3331" s="85">
        <v>45116</v>
      </c>
      <c r="AH3331" s="82" t="s">
        <v>11337</v>
      </c>
      <c r="AI3331" s="77" t="b">
        <v>0</v>
      </c>
      <c r="AJ3331" s="77"/>
      <c r="AK3331" s="77"/>
      <c r="AL3331" s="77"/>
      <c r="AM3331" s="77"/>
      <c r="AN3331" s="77"/>
      <c r="AO3331" s="77"/>
      <c r="AP3331" s="77"/>
      <c r="AQ3331" s="77"/>
      <c r="AR3331" s="77"/>
      <c r="AS3331" s="77"/>
      <c r="AT3331" s="77"/>
      <c r="AU3331" s="77"/>
      <c r="AV3331" s="80" t="str">
        <f>HYPERLINK("https://pbs.twimg.com/profile_images/1559883556846977024/bXHnQFY0_normal.jpg")</f>
        <v>https://pbs.twimg.com/profile_images/1559883556846977024/bXHnQFY0_normal.jpg</v>
      </c>
      <c r="AW3331" s="82" t="s">
        <v>16415</v>
      </c>
      <c r="AX3331" s="82" t="s">
        <v>16415</v>
      </c>
      <c r="AY3331" s="77"/>
      <c r="AZ3331" s="82" t="s">
        <v>17385</v>
      </c>
      <c r="BA3331" s="82" t="s">
        <v>17385</v>
      </c>
      <c r="BB3331" s="82" t="s">
        <v>17385</v>
      </c>
      <c r="BC3331" s="82" t="s">
        <v>16415</v>
      </c>
      <c r="BD3331" s="77">
        <v>51150679</v>
      </c>
      <c r="BE3331" s="77"/>
      <c r="BF3331" s="77"/>
      <c r="BG3331" s="77"/>
      <c r="BH3331" s="77"/>
      <c r="BI3331" s="77"/>
    </row>
    <row r="3332" spans="1:61" x14ac:dyDescent="0.25">
      <c r="A3332" s="62" t="s">
        <v>605</v>
      </c>
      <c r="B3332" s="62" t="s">
        <v>605</v>
      </c>
      <c r="C3332" s="63"/>
      <c r="D3332" s="64"/>
      <c r="E3332" s="65"/>
      <c r="F3332" s="66"/>
      <c r="G3332" s="63"/>
      <c r="H3332" s="67"/>
      <c r="I3332" s="68"/>
      <c r="J3332" s="68"/>
      <c r="K3332" s="32"/>
      <c r="L3332" s="75">
        <v>3332</v>
      </c>
      <c r="M3332" s="75"/>
      <c r="N3332" s="70"/>
      <c r="O3332" s="77" t="s">
        <v>179</v>
      </c>
      <c r="P3332" s="79">
        <v>45115.745567129627</v>
      </c>
      <c r="Q3332" s="77" t="s">
        <v>4106</v>
      </c>
      <c r="R3332" s="77">
        <v>0</v>
      </c>
      <c r="S3332" s="77">
        <v>1</v>
      </c>
      <c r="T3332" s="77">
        <v>2</v>
      </c>
      <c r="U3332" s="77">
        <v>0</v>
      </c>
      <c r="V3332" s="77">
        <v>1666</v>
      </c>
      <c r="W3332" s="82" t="s">
        <v>6619</v>
      </c>
      <c r="X3332" s="80" t="str">
        <f>HYPERLINK("https://www.moneytimes.com.br/ant-group-valores-de-recompra-de-acoes-surpreendem-e-fecham-com-forte-desconto-de-75-em-relacao-a-ipo/")</f>
        <v>https://www.moneytimes.com.br/ant-group-valores-de-recompra-de-acoes-surpreendem-e-fecham-com-forte-desconto-de-75-em-relacao-a-ipo/</v>
      </c>
      <c r="Y3332" s="77" t="s">
        <v>7053</v>
      </c>
      <c r="Z3332" s="77"/>
      <c r="AA3332" s="77"/>
      <c r="AB3332" s="77"/>
      <c r="AC3332" s="82" t="s">
        <v>8255</v>
      </c>
      <c r="AD3332" s="77" t="s">
        <v>8278</v>
      </c>
      <c r="AE3332" s="80" t="str">
        <f>HYPERLINK("https://twitter.com/leiamoneytimes/status/1677737718334234625")</f>
        <v>https://twitter.com/leiamoneytimes/status/1677737718334234625</v>
      </c>
      <c r="AF3332" s="79">
        <v>45115.745567129627</v>
      </c>
      <c r="AG3332" s="85">
        <v>45115</v>
      </c>
      <c r="AH3332" s="82" t="s">
        <v>11338</v>
      </c>
      <c r="AI3332" s="77" t="b">
        <v>0</v>
      </c>
      <c r="AJ3332" s="77"/>
      <c r="AK3332" s="77"/>
      <c r="AL3332" s="77"/>
      <c r="AM3332" s="77"/>
      <c r="AN3332" s="77"/>
      <c r="AO3332" s="77"/>
      <c r="AP3332" s="77"/>
      <c r="AQ3332" s="77"/>
      <c r="AR3332" s="77"/>
      <c r="AS3332" s="77"/>
      <c r="AT3332" s="77"/>
      <c r="AU3332" s="77"/>
      <c r="AV3332" s="80" t="str">
        <f>HYPERLINK("https://pbs.twimg.com/profile_images/1559883556846977024/bXHnQFY0_normal.jpg")</f>
        <v>https://pbs.twimg.com/profile_images/1559883556846977024/bXHnQFY0_normal.jpg</v>
      </c>
      <c r="AW3332" s="82" t="s">
        <v>16416</v>
      </c>
      <c r="AX3332" s="82" t="s">
        <v>16416</v>
      </c>
      <c r="AY3332" s="77"/>
      <c r="AZ3332" s="82" t="s">
        <v>17385</v>
      </c>
      <c r="BA3332" s="82" t="s">
        <v>17385</v>
      </c>
      <c r="BB3332" s="82" t="s">
        <v>17385</v>
      </c>
      <c r="BC3332" s="82" t="s">
        <v>16416</v>
      </c>
      <c r="BD3332" s="77">
        <v>51150679</v>
      </c>
      <c r="BE3332" s="77"/>
      <c r="BF3332" s="77"/>
      <c r="BG3332" s="77"/>
      <c r="BH3332" s="77"/>
      <c r="BI3332" s="77"/>
    </row>
    <row r="3333" spans="1:61" x14ac:dyDescent="0.25">
      <c r="A3333" s="62" t="s">
        <v>605</v>
      </c>
      <c r="B3333" s="62" t="s">
        <v>605</v>
      </c>
      <c r="C3333" s="63"/>
      <c r="D3333" s="64"/>
      <c r="E3333" s="65"/>
      <c r="F3333" s="66"/>
      <c r="G3333" s="63"/>
      <c r="H3333" s="67"/>
      <c r="I3333" s="68"/>
      <c r="J3333" s="68"/>
      <c r="K3333" s="32"/>
      <c r="L3333" s="75">
        <v>3333</v>
      </c>
      <c r="M3333" s="75"/>
      <c r="N3333" s="70"/>
      <c r="O3333" s="77" t="s">
        <v>179</v>
      </c>
      <c r="P3333" s="79">
        <v>45115.636273148149</v>
      </c>
      <c r="Q3333" s="77" t="s">
        <v>4107</v>
      </c>
      <c r="R3333" s="77">
        <v>3</v>
      </c>
      <c r="S3333" s="77">
        <v>26</v>
      </c>
      <c r="T3333" s="77">
        <v>2</v>
      </c>
      <c r="U3333" s="77">
        <v>1</v>
      </c>
      <c r="V3333" s="77">
        <v>11209</v>
      </c>
      <c r="W3333" s="82" t="s">
        <v>6620</v>
      </c>
      <c r="X3333" s="80" t="str">
        <f>HYPERLINK("https://www.moneytimes.com.br/hidrovias-do-brasil-hbsa3-anuncia-oferta-de-acoes-de-ate-r-4446-mi-com-venda-de-participacao-dos-principais-acionistas/")</f>
        <v>https://www.moneytimes.com.br/hidrovias-do-brasil-hbsa3-anuncia-oferta-de-acoes-de-ate-r-4446-mi-com-venda-de-participacao-dos-principais-acionistas/</v>
      </c>
      <c r="Y3333" s="77" t="s">
        <v>7053</v>
      </c>
      <c r="Z3333" s="77"/>
      <c r="AA3333" s="77"/>
      <c r="AB3333" s="77"/>
      <c r="AC3333" s="82" t="s">
        <v>8255</v>
      </c>
      <c r="AD3333" s="77" t="s">
        <v>8278</v>
      </c>
      <c r="AE3333" s="80" t="str">
        <f>HYPERLINK("https://twitter.com/leiamoneytimes/status/1677698110179491841")</f>
        <v>https://twitter.com/leiamoneytimes/status/1677698110179491841</v>
      </c>
      <c r="AF3333" s="79">
        <v>45115.636273148149</v>
      </c>
      <c r="AG3333" s="85">
        <v>45115</v>
      </c>
      <c r="AH3333" s="82" t="s">
        <v>11339</v>
      </c>
      <c r="AI3333" s="77" t="b">
        <v>0</v>
      </c>
      <c r="AJ3333" s="77"/>
      <c r="AK3333" s="77"/>
      <c r="AL3333" s="77"/>
      <c r="AM3333" s="77"/>
      <c r="AN3333" s="77"/>
      <c r="AO3333" s="77"/>
      <c r="AP3333" s="77"/>
      <c r="AQ3333" s="77"/>
      <c r="AR3333" s="77"/>
      <c r="AS3333" s="77"/>
      <c r="AT3333" s="77"/>
      <c r="AU3333" s="77"/>
      <c r="AV3333" s="80" t="str">
        <f>HYPERLINK("https://pbs.twimg.com/profile_images/1559883556846977024/bXHnQFY0_normal.jpg")</f>
        <v>https://pbs.twimg.com/profile_images/1559883556846977024/bXHnQFY0_normal.jpg</v>
      </c>
      <c r="AW3333" s="82" t="s">
        <v>16417</v>
      </c>
      <c r="AX3333" s="82" t="s">
        <v>16417</v>
      </c>
      <c r="AY3333" s="77"/>
      <c r="AZ3333" s="82" t="s">
        <v>17385</v>
      </c>
      <c r="BA3333" s="82" t="s">
        <v>17385</v>
      </c>
      <c r="BB3333" s="82" t="s">
        <v>17385</v>
      </c>
      <c r="BC3333" s="82" t="s">
        <v>16417</v>
      </c>
      <c r="BD3333" s="77">
        <v>51150679</v>
      </c>
      <c r="BE3333" s="77"/>
      <c r="BF3333" s="77"/>
      <c r="BG3333" s="77"/>
      <c r="BH3333" s="77"/>
      <c r="BI3333" s="77"/>
    </row>
    <row r="3334" spans="1:61" x14ac:dyDescent="0.25">
      <c r="A3334" s="62" t="s">
        <v>605</v>
      </c>
      <c r="B3334" s="62" t="s">
        <v>605</v>
      </c>
      <c r="C3334" s="63"/>
      <c r="D3334" s="64"/>
      <c r="E3334" s="65"/>
      <c r="F3334" s="66"/>
      <c r="G3334" s="63"/>
      <c r="H3334" s="67"/>
      <c r="I3334" s="68"/>
      <c r="J3334" s="68"/>
      <c r="K3334" s="32"/>
      <c r="L3334" s="75">
        <v>3334</v>
      </c>
      <c r="M3334" s="75"/>
      <c r="N3334" s="70"/>
      <c r="O3334" s="77" t="s">
        <v>179</v>
      </c>
      <c r="P3334" s="79">
        <v>45114.851238425923</v>
      </c>
      <c r="Q3334" s="77" t="s">
        <v>4108</v>
      </c>
      <c r="R3334" s="77">
        <v>0</v>
      </c>
      <c r="S3334" s="77">
        <v>4</v>
      </c>
      <c r="T3334" s="77">
        <v>1</v>
      </c>
      <c r="U3334" s="77">
        <v>0</v>
      </c>
      <c r="V3334" s="77">
        <v>1188</v>
      </c>
      <c r="W3334" s="82" t="s">
        <v>6551</v>
      </c>
      <c r="X3334" s="80" t="str">
        <f>HYPERLINK("https://www.moneytimes.com.br/ibovespa-hoje-fecha-alta-reforma-tributaria-payroll-07-07-2023/")</f>
        <v>https://www.moneytimes.com.br/ibovespa-hoje-fecha-alta-reforma-tributaria-payroll-07-07-2023/</v>
      </c>
      <c r="Y3334" s="77" t="s">
        <v>7053</v>
      </c>
      <c r="Z3334" s="77"/>
      <c r="AA3334" s="77"/>
      <c r="AB3334" s="77"/>
      <c r="AC3334" s="82" t="s">
        <v>8255</v>
      </c>
      <c r="AD3334" s="77" t="s">
        <v>8278</v>
      </c>
      <c r="AE3334" s="80" t="str">
        <f>HYPERLINK("https://twitter.com/leiamoneytimes/status/1677413623809843200")</f>
        <v>https://twitter.com/leiamoneytimes/status/1677413623809843200</v>
      </c>
      <c r="AF3334" s="79">
        <v>45114.851238425923</v>
      </c>
      <c r="AG3334" s="85">
        <v>45114</v>
      </c>
      <c r="AH3334" s="82" t="s">
        <v>11340</v>
      </c>
      <c r="AI3334" s="77" t="b">
        <v>0</v>
      </c>
      <c r="AJ3334" s="77"/>
      <c r="AK3334" s="77"/>
      <c r="AL3334" s="77"/>
      <c r="AM3334" s="77"/>
      <c r="AN3334" s="77"/>
      <c r="AO3334" s="77"/>
      <c r="AP3334" s="77"/>
      <c r="AQ3334" s="77"/>
      <c r="AR3334" s="77"/>
      <c r="AS3334" s="77"/>
      <c r="AT3334" s="77"/>
      <c r="AU3334" s="77"/>
      <c r="AV3334" s="80" t="str">
        <f>HYPERLINK("https://pbs.twimg.com/profile_images/1559883556846977024/bXHnQFY0_normal.jpg")</f>
        <v>https://pbs.twimg.com/profile_images/1559883556846977024/bXHnQFY0_normal.jpg</v>
      </c>
      <c r="AW3334" s="82" t="s">
        <v>16418</v>
      </c>
      <c r="AX3334" s="82" t="s">
        <v>16418</v>
      </c>
      <c r="AY3334" s="77"/>
      <c r="AZ3334" s="82" t="s">
        <v>17385</v>
      </c>
      <c r="BA3334" s="82" t="s">
        <v>17385</v>
      </c>
      <c r="BB3334" s="82" t="s">
        <v>17385</v>
      </c>
      <c r="BC3334" s="82" t="s">
        <v>16418</v>
      </c>
      <c r="BD3334" s="77">
        <v>51150679</v>
      </c>
      <c r="BE3334" s="77"/>
      <c r="BF3334" s="77"/>
      <c r="BG3334" s="77"/>
      <c r="BH3334" s="77"/>
      <c r="BI3334" s="77"/>
    </row>
    <row r="3335" spans="1:61" x14ac:dyDescent="0.25">
      <c r="A3335" s="62" t="s">
        <v>605</v>
      </c>
      <c r="B3335" s="62" t="s">
        <v>605</v>
      </c>
      <c r="C3335" s="63"/>
      <c r="D3335" s="64"/>
      <c r="E3335" s="65"/>
      <c r="F3335" s="66"/>
      <c r="G3335" s="63"/>
      <c r="H3335" s="67"/>
      <c r="I3335" s="68"/>
      <c r="J3335" s="68"/>
      <c r="K3335" s="32"/>
      <c r="L3335" s="75">
        <v>3335</v>
      </c>
      <c r="M3335" s="75"/>
      <c r="N3335" s="70"/>
      <c r="O3335" s="77" t="s">
        <v>179</v>
      </c>
      <c r="P3335" s="79">
        <v>45114.687245370369</v>
      </c>
      <c r="Q3335" s="77" t="s">
        <v>4109</v>
      </c>
      <c r="R3335" s="77">
        <v>1</v>
      </c>
      <c r="S3335" s="77">
        <v>4</v>
      </c>
      <c r="T3335" s="77">
        <v>1</v>
      </c>
      <c r="U3335" s="77">
        <v>0</v>
      </c>
      <c r="V3335" s="77">
        <v>1252</v>
      </c>
      <c r="W3335" s="82" t="s">
        <v>6555</v>
      </c>
      <c r="X3335" s="80" t="str">
        <f>HYPERLINK("https://www.moneytimes.com.br/ibovespa-por-que-3r-petroleum-rrrp3-dispara-mais-de-7-e-petrobras-petr4-cai/")</f>
        <v>https://www.moneytimes.com.br/ibovespa-por-que-3r-petroleum-rrrp3-dispara-mais-de-7-e-petrobras-petr4-cai/</v>
      </c>
      <c r="Y3335" s="77" t="s">
        <v>7053</v>
      </c>
      <c r="Z3335" s="77"/>
      <c r="AA3335" s="77"/>
      <c r="AB3335" s="77"/>
      <c r="AC3335" s="82" t="s">
        <v>8255</v>
      </c>
      <c r="AD3335" s="77" t="s">
        <v>8278</v>
      </c>
      <c r="AE3335" s="80" t="str">
        <f>HYPERLINK("https://twitter.com/leiamoneytimes/status/1677354194037092352")</f>
        <v>https://twitter.com/leiamoneytimes/status/1677354194037092352</v>
      </c>
      <c r="AF3335" s="79">
        <v>45114.687245370369</v>
      </c>
      <c r="AG3335" s="85">
        <v>45114</v>
      </c>
      <c r="AH3335" s="82" t="s">
        <v>11341</v>
      </c>
      <c r="AI3335" s="77" t="b">
        <v>0</v>
      </c>
      <c r="AJ3335" s="77"/>
      <c r="AK3335" s="77"/>
      <c r="AL3335" s="77"/>
      <c r="AM3335" s="77"/>
      <c r="AN3335" s="77"/>
      <c r="AO3335" s="77"/>
      <c r="AP3335" s="77"/>
      <c r="AQ3335" s="77"/>
      <c r="AR3335" s="77"/>
      <c r="AS3335" s="77"/>
      <c r="AT3335" s="77"/>
      <c r="AU3335" s="77"/>
      <c r="AV3335" s="80" t="str">
        <f>HYPERLINK("https://pbs.twimg.com/profile_images/1559883556846977024/bXHnQFY0_normal.jpg")</f>
        <v>https://pbs.twimg.com/profile_images/1559883556846977024/bXHnQFY0_normal.jpg</v>
      </c>
      <c r="AW3335" s="82" t="s">
        <v>16419</v>
      </c>
      <c r="AX3335" s="82" t="s">
        <v>16419</v>
      </c>
      <c r="AY3335" s="77"/>
      <c r="AZ3335" s="82" t="s">
        <v>17385</v>
      </c>
      <c r="BA3335" s="82" t="s">
        <v>17385</v>
      </c>
      <c r="BB3335" s="82" t="s">
        <v>17385</v>
      </c>
      <c r="BC3335" s="82" t="s">
        <v>16419</v>
      </c>
      <c r="BD3335" s="77">
        <v>51150679</v>
      </c>
      <c r="BE3335" s="77"/>
      <c r="BF3335" s="77"/>
      <c r="BG3335" s="77"/>
      <c r="BH3335" s="77"/>
      <c r="BI3335" s="77"/>
    </row>
    <row r="3336" spans="1:61" x14ac:dyDescent="0.25">
      <c r="A3336" s="62" t="s">
        <v>605</v>
      </c>
      <c r="B3336" s="62" t="s">
        <v>605</v>
      </c>
      <c r="C3336" s="63"/>
      <c r="D3336" s="64"/>
      <c r="E3336" s="65"/>
      <c r="F3336" s="66"/>
      <c r="G3336" s="63"/>
      <c r="H3336" s="67"/>
      <c r="I3336" s="68"/>
      <c r="J3336" s="68"/>
      <c r="K3336" s="32"/>
      <c r="L3336" s="75">
        <v>3336</v>
      </c>
      <c r="M3336" s="75"/>
      <c r="N3336" s="70"/>
      <c r="O3336" s="77" t="s">
        <v>179</v>
      </c>
      <c r="P3336" s="79">
        <v>45109.827152777776</v>
      </c>
      <c r="Q3336" s="77" t="s">
        <v>4110</v>
      </c>
      <c r="R3336" s="77">
        <v>1</v>
      </c>
      <c r="S3336" s="77">
        <v>7</v>
      </c>
      <c r="T3336" s="77">
        <v>0</v>
      </c>
      <c r="U3336" s="77">
        <v>0</v>
      </c>
      <c r="V3336" s="77">
        <v>2422</v>
      </c>
      <c r="W3336" s="82" t="s">
        <v>6621</v>
      </c>
      <c r="X3336" s="80" t="str">
        <f>HYPERLINK("https://www.moneytimes.com.br/dividendos-e-jcp-bradesco-bbdc4-itau-itub4-e-mais-6-empresas-pagam-quase-r-1-bilhao-na-1a-semana-de-julho/")</f>
        <v>https://www.moneytimes.com.br/dividendos-e-jcp-bradesco-bbdc4-itau-itub4-e-mais-6-empresas-pagam-quase-r-1-bilhao-na-1a-semana-de-julho/</v>
      </c>
      <c r="Y3336" s="77" t="s">
        <v>7053</v>
      </c>
      <c r="Z3336" s="77"/>
      <c r="AA3336" s="77"/>
      <c r="AB3336" s="77"/>
      <c r="AC3336" s="82" t="s">
        <v>8255</v>
      </c>
      <c r="AD3336" s="77" t="s">
        <v>8278</v>
      </c>
      <c r="AE3336" s="80" t="str">
        <f>HYPERLINK("https://twitter.com/leiamoneytimes/status/1675592958471544832")</f>
        <v>https://twitter.com/leiamoneytimes/status/1675592958471544832</v>
      </c>
      <c r="AF3336" s="79">
        <v>45109.827152777776</v>
      </c>
      <c r="AG3336" s="85">
        <v>45109</v>
      </c>
      <c r="AH3336" s="82" t="s">
        <v>11342</v>
      </c>
      <c r="AI3336" s="77" t="b">
        <v>0</v>
      </c>
      <c r="AJ3336" s="77"/>
      <c r="AK3336" s="77"/>
      <c r="AL3336" s="77"/>
      <c r="AM3336" s="77"/>
      <c r="AN3336" s="77"/>
      <c r="AO3336" s="77"/>
      <c r="AP3336" s="77"/>
      <c r="AQ3336" s="77"/>
      <c r="AR3336" s="77"/>
      <c r="AS3336" s="77"/>
      <c r="AT3336" s="77"/>
      <c r="AU3336" s="77"/>
      <c r="AV3336" s="80" t="str">
        <f>HYPERLINK("https://pbs.twimg.com/profile_images/1559883556846977024/bXHnQFY0_normal.jpg")</f>
        <v>https://pbs.twimg.com/profile_images/1559883556846977024/bXHnQFY0_normal.jpg</v>
      </c>
      <c r="AW3336" s="82" t="s">
        <v>16420</v>
      </c>
      <c r="AX3336" s="82" t="s">
        <v>16420</v>
      </c>
      <c r="AY3336" s="77"/>
      <c r="AZ3336" s="82" t="s">
        <v>17385</v>
      </c>
      <c r="BA3336" s="82" t="s">
        <v>17385</v>
      </c>
      <c r="BB3336" s="82" t="s">
        <v>17385</v>
      </c>
      <c r="BC3336" s="82" t="s">
        <v>16420</v>
      </c>
      <c r="BD3336" s="77">
        <v>51150679</v>
      </c>
      <c r="BE3336" s="77"/>
      <c r="BF3336" s="77"/>
      <c r="BG3336" s="77"/>
      <c r="BH3336" s="77"/>
      <c r="BI3336" s="77"/>
    </row>
    <row r="3337" spans="1:61" x14ac:dyDescent="0.25">
      <c r="A3337" s="62" t="s">
        <v>605</v>
      </c>
      <c r="B3337" s="62" t="s">
        <v>605</v>
      </c>
      <c r="C3337" s="63"/>
      <c r="D3337" s="64"/>
      <c r="E3337" s="65"/>
      <c r="F3337" s="66"/>
      <c r="G3337" s="63"/>
      <c r="H3337" s="67"/>
      <c r="I3337" s="68"/>
      <c r="J3337" s="68"/>
      <c r="K3337" s="32"/>
      <c r="L3337" s="75">
        <v>3337</v>
      </c>
      <c r="M3337" s="75"/>
      <c r="N3337" s="70"/>
      <c r="O3337" s="77" t="s">
        <v>179</v>
      </c>
      <c r="P3337" s="79">
        <v>45109.653587962966</v>
      </c>
      <c r="Q3337" s="77" t="s">
        <v>4111</v>
      </c>
      <c r="R3337" s="77">
        <v>0</v>
      </c>
      <c r="S3337" s="77">
        <v>6</v>
      </c>
      <c r="T3337" s="77">
        <v>0</v>
      </c>
      <c r="U3337" s="77">
        <v>0</v>
      </c>
      <c r="V3337" s="77">
        <v>1969</v>
      </c>
      <c r="W3337" s="82" t="s">
        <v>6584</v>
      </c>
      <c r="X3337" s="80" t="str">
        <f>HYPERLINK("https://www.moneytimes.com.br/mobly-comunica-que-ctm-investimentos-atinge-1991-das-acoes-ordinarias-da-empresa/")</f>
        <v>https://www.moneytimes.com.br/mobly-comunica-que-ctm-investimentos-atinge-1991-das-acoes-ordinarias-da-empresa/</v>
      </c>
      <c r="Y3337" s="77" t="s">
        <v>7053</v>
      </c>
      <c r="Z3337" s="77"/>
      <c r="AA3337" s="77"/>
      <c r="AB3337" s="77"/>
      <c r="AC3337" s="82" t="s">
        <v>8255</v>
      </c>
      <c r="AD3337" s="77" t="s">
        <v>8278</v>
      </c>
      <c r="AE3337" s="80" t="str">
        <f>HYPERLINK("https://twitter.com/leiamoneytimes/status/1675530059833024513")</f>
        <v>https://twitter.com/leiamoneytimes/status/1675530059833024513</v>
      </c>
      <c r="AF3337" s="79">
        <v>45109.653587962966</v>
      </c>
      <c r="AG3337" s="85">
        <v>45109</v>
      </c>
      <c r="AH3337" s="82" t="s">
        <v>11343</v>
      </c>
      <c r="AI3337" s="77" t="b">
        <v>0</v>
      </c>
      <c r="AJ3337" s="77"/>
      <c r="AK3337" s="77"/>
      <c r="AL3337" s="77"/>
      <c r="AM3337" s="77"/>
      <c r="AN3337" s="77"/>
      <c r="AO3337" s="77"/>
      <c r="AP3337" s="77"/>
      <c r="AQ3337" s="77"/>
      <c r="AR3337" s="77"/>
      <c r="AS3337" s="77"/>
      <c r="AT3337" s="77"/>
      <c r="AU3337" s="77"/>
      <c r="AV3337" s="80" t="str">
        <f>HYPERLINK("https://pbs.twimg.com/profile_images/1559883556846977024/bXHnQFY0_normal.jpg")</f>
        <v>https://pbs.twimg.com/profile_images/1559883556846977024/bXHnQFY0_normal.jpg</v>
      </c>
      <c r="AW3337" s="82" t="s">
        <v>16421</v>
      </c>
      <c r="AX3337" s="82" t="s">
        <v>16421</v>
      </c>
      <c r="AY3337" s="77"/>
      <c r="AZ3337" s="82" t="s">
        <v>17385</v>
      </c>
      <c r="BA3337" s="82" t="s">
        <v>17385</v>
      </c>
      <c r="BB3337" s="82" t="s">
        <v>17385</v>
      </c>
      <c r="BC3337" s="82" t="s">
        <v>16421</v>
      </c>
      <c r="BD3337" s="77">
        <v>51150679</v>
      </c>
      <c r="BE3337" s="77"/>
      <c r="BF3337" s="77"/>
      <c r="BG3337" s="77"/>
      <c r="BH3337" s="77"/>
      <c r="BI3337" s="77"/>
    </row>
    <row r="3338" spans="1:61" x14ac:dyDescent="0.25">
      <c r="A3338" s="62" t="s">
        <v>605</v>
      </c>
      <c r="B3338" s="62" t="s">
        <v>605</v>
      </c>
      <c r="C3338" s="63"/>
      <c r="D3338" s="64"/>
      <c r="E3338" s="65"/>
      <c r="F3338" s="66"/>
      <c r="G3338" s="63"/>
      <c r="H3338" s="67"/>
      <c r="I3338" s="68"/>
      <c r="J3338" s="68"/>
      <c r="K3338" s="32"/>
      <c r="L3338" s="75">
        <v>3338</v>
      </c>
      <c r="M3338" s="75"/>
      <c r="N3338" s="70"/>
      <c r="O3338" s="77" t="s">
        <v>179</v>
      </c>
      <c r="P3338" s="79">
        <v>45109.647766203707</v>
      </c>
      <c r="Q3338" s="77" t="s">
        <v>4112</v>
      </c>
      <c r="R3338" s="77">
        <v>2</v>
      </c>
      <c r="S3338" s="77">
        <v>3</v>
      </c>
      <c r="T3338" s="77">
        <v>0</v>
      </c>
      <c r="U3338" s="77">
        <v>1</v>
      </c>
      <c r="V3338" s="77">
        <v>1602</v>
      </c>
      <c r="W3338" s="82" t="s">
        <v>6622</v>
      </c>
      <c r="X3338" s="80" t="str">
        <f>HYPERLINK("https://www.moneytimes.com.br/twitter-tera-limite-de-leitura-de-600-post-por-dia-para-usuarios-sem-selo-azul/")</f>
        <v>https://www.moneytimes.com.br/twitter-tera-limite-de-leitura-de-600-post-por-dia-para-usuarios-sem-selo-azul/</v>
      </c>
      <c r="Y3338" s="77" t="s">
        <v>7053</v>
      </c>
      <c r="Z3338" s="77"/>
      <c r="AA3338" s="77"/>
      <c r="AB3338" s="77"/>
      <c r="AC3338" s="82" t="s">
        <v>8255</v>
      </c>
      <c r="AD3338" s="77" t="s">
        <v>8278</v>
      </c>
      <c r="AE3338" s="80" t="str">
        <f>HYPERLINK("https://twitter.com/leiamoneytimes/status/1675527948026216448")</f>
        <v>https://twitter.com/leiamoneytimes/status/1675527948026216448</v>
      </c>
      <c r="AF3338" s="79">
        <v>45109.647766203707</v>
      </c>
      <c r="AG3338" s="85">
        <v>45109</v>
      </c>
      <c r="AH3338" s="82" t="s">
        <v>11344</v>
      </c>
      <c r="AI3338" s="77" t="b">
        <v>0</v>
      </c>
      <c r="AJ3338" s="77"/>
      <c r="AK3338" s="77"/>
      <c r="AL3338" s="77"/>
      <c r="AM3338" s="77"/>
      <c r="AN3338" s="77"/>
      <c r="AO3338" s="77"/>
      <c r="AP3338" s="77"/>
      <c r="AQ3338" s="77"/>
      <c r="AR3338" s="77"/>
      <c r="AS3338" s="77"/>
      <c r="AT3338" s="77"/>
      <c r="AU3338" s="77"/>
      <c r="AV3338" s="80" t="str">
        <f>HYPERLINK("https://pbs.twimg.com/profile_images/1559883556846977024/bXHnQFY0_normal.jpg")</f>
        <v>https://pbs.twimg.com/profile_images/1559883556846977024/bXHnQFY0_normal.jpg</v>
      </c>
      <c r="AW3338" s="82" t="s">
        <v>16422</v>
      </c>
      <c r="AX3338" s="82" t="s">
        <v>16422</v>
      </c>
      <c r="AY3338" s="77"/>
      <c r="AZ3338" s="82" t="s">
        <v>17385</v>
      </c>
      <c r="BA3338" s="82" t="s">
        <v>17385</v>
      </c>
      <c r="BB3338" s="82" t="s">
        <v>17385</v>
      </c>
      <c r="BC3338" s="82" t="s">
        <v>16422</v>
      </c>
      <c r="BD3338" s="77">
        <v>51150679</v>
      </c>
      <c r="BE3338" s="77"/>
      <c r="BF3338" s="77"/>
      <c r="BG3338" s="77"/>
      <c r="BH3338" s="77"/>
      <c r="BI3338" s="77"/>
    </row>
    <row r="3339" spans="1:61" x14ac:dyDescent="0.25">
      <c r="A3339" s="62" t="s">
        <v>605</v>
      </c>
      <c r="B3339" s="62" t="s">
        <v>605</v>
      </c>
      <c r="C3339" s="63"/>
      <c r="D3339" s="64"/>
      <c r="E3339" s="65"/>
      <c r="F3339" s="66"/>
      <c r="G3339" s="63"/>
      <c r="H3339" s="67"/>
      <c r="I3339" s="68"/>
      <c r="J3339" s="68"/>
      <c r="K3339" s="32"/>
      <c r="L3339" s="75">
        <v>3339</v>
      </c>
      <c r="M3339" s="75"/>
      <c r="N3339" s="70"/>
      <c r="O3339" s="77" t="s">
        <v>179</v>
      </c>
      <c r="P3339" s="79">
        <v>45107.849537037036</v>
      </c>
      <c r="Q3339" s="77" t="s">
        <v>4113</v>
      </c>
      <c r="R3339" s="77">
        <v>0</v>
      </c>
      <c r="S3339" s="77">
        <v>2</v>
      </c>
      <c r="T3339" s="77">
        <v>1</v>
      </c>
      <c r="U3339" s="77">
        <v>0</v>
      </c>
      <c r="V3339" s="77">
        <v>1073</v>
      </c>
      <c r="W3339" s="82" t="s">
        <v>6551</v>
      </c>
      <c r="X3339" s="80" t="str">
        <f>HYPERLINK("https://www.moneytimes.com.br/ibovespa-hoje-fecha-queda-petrobras-petr4-30-06-2023/")</f>
        <v>https://www.moneytimes.com.br/ibovespa-hoje-fecha-queda-petrobras-petr4-30-06-2023/</v>
      </c>
      <c r="Y3339" s="77" t="s">
        <v>7053</v>
      </c>
      <c r="Z3339" s="77"/>
      <c r="AA3339" s="77"/>
      <c r="AB3339" s="77"/>
      <c r="AC3339" s="82" t="s">
        <v>8255</v>
      </c>
      <c r="AD3339" s="77" t="s">
        <v>8278</v>
      </c>
      <c r="AE3339" s="80" t="str">
        <f>HYPERLINK("https://twitter.com/leiamoneytimes/status/1674876291479207944")</f>
        <v>https://twitter.com/leiamoneytimes/status/1674876291479207944</v>
      </c>
      <c r="AF3339" s="79">
        <v>45107.849537037036</v>
      </c>
      <c r="AG3339" s="85">
        <v>45107</v>
      </c>
      <c r="AH3339" s="82" t="s">
        <v>11345</v>
      </c>
      <c r="AI3339" s="77" t="b">
        <v>0</v>
      </c>
      <c r="AJ3339" s="77"/>
      <c r="AK3339" s="77"/>
      <c r="AL3339" s="77"/>
      <c r="AM3339" s="77"/>
      <c r="AN3339" s="77"/>
      <c r="AO3339" s="77"/>
      <c r="AP3339" s="77"/>
      <c r="AQ3339" s="77"/>
      <c r="AR3339" s="77"/>
      <c r="AS3339" s="77"/>
      <c r="AT3339" s="77"/>
      <c r="AU3339" s="77"/>
      <c r="AV3339" s="80" t="str">
        <f>HYPERLINK("https://pbs.twimg.com/profile_images/1559883556846977024/bXHnQFY0_normal.jpg")</f>
        <v>https://pbs.twimg.com/profile_images/1559883556846977024/bXHnQFY0_normal.jpg</v>
      </c>
      <c r="AW3339" s="82" t="s">
        <v>16423</v>
      </c>
      <c r="AX3339" s="82" t="s">
        <v>16423</v>
      </c>
      <c r="AY3339" s="77"/>
      <c r="AZ3339" s="82" t="s">
        <v>17385</v>
      </c>
      <c r="BA3339" s="82" t="s">
        <v>17385</v>
      </c>
      <c r="BB3339" s="82" t="s">
        <v>17385</v>
      </c>
      <c r="BC3339" s="82" t="s">
        <v>16423</v>
      </c>
      <c r="BD3339" s="77">
        <v>51150679</v>
      </c>
      <c r="BE3339" s="77"/>
      <c r="BF3339" s="77"/>
      <c r="BG3339" s="77"/>
      <c r="BH3339" s="77"/>
      <c r="BI3339" s="77"/>
    </row>
    <row r="3340" spans="1:61" x14ac:dyDescent="0.25">
      <c r="A3340" s="62" t="s">
        <v>605</v>
      </c>
      <c r="B3340" s="62" t="s">
        <v>605</v>
      </c>
      <c r="C3340" s="63"/>
      <c r="D3340" s="64"/>
      <c r="E3340" s="65"/>
      <c r="F3340" s="66"/>
      <c r="G3340" s="63"/>
      <c r="H3340" s="67"/>
      <c r="I3340" s="68"/>
      <c r="J3340" s="68"/>
      <c r="K3340" s="32"/>
      <c r="L3340" s="75">
        <v>3340</v>
      </c>
      <c r="M3340" s="75"/>
      <c r="N3340" s="70"/>
      <c r="O3340" s="77" t="s">
        <v>179</v>
      </c>
      <c r="P3340" s="79">
        <v>45107.807685185187</v>
      </c>
      <c r="Q3340" s="77" t="s">
        <v>4114</v>
      </c>
      <c r="R3340" s="77">
        <v>0</v>
      </c>
      <c r="S3340" s="77">
        <v>2</v>
      </c>
      <c r="T3340" s="77">
        <v>2</v>
      </c>
      <c r="U3340" s="77">
        <v>0</v>
      </c>
      <c r="V3340" s="77">
        <v>1071</v>
      </c>
      <c r="W3340" s="82" t="s">
        <v>6623</v>
      </c>
      <c r="X3340" s="80" t="str">
        <f>HYPERLINK("https://www.moneytimes.com.br/gringos-fazem-pequenos-ajustes-de-compra-e-venda-de-acoes-na-b3-confira/")</f>
        <v>https://www.moneytimes.com.br/gringos-fazem-pequenos-ajustes-de-compra-e-venda-de-acoes-na-b3-confira/</v>
      </c>
      <c r="Y3340" s="77" t="s">
        <v>7053</v>
      </c>
      <c r="Z3340" s="77"/>
      <c r="AA3340" s="77"/>
      <c r="AB3340" s="77"/>
      <c r="AC3340" s="82" t="s">
        <v>8255</v>
      </c>
      <c r="AD3340" s="77" t="s">
        <v>8278</v>
      </c>
      <c r="AE3340" s="80" t="str">
        <f>HYPERLINK("https://twitter.com/leiamoneytimes/status/1674861124334805007")</f>
        <v>https://twitter.com/leiamoneytimes/status/1674861124334805007</v>
      </c>
      <c r="AF3340" s="79">
        <v>45107.807685185187</v>
      </c>
      <c r="AG3340" s="85">
        <v>45107</v>
      </c>
      <c r="AH3340" s="82" t="s">
        <v>11346</v>
      </c>
      <c r="AI3340" s="77" t="b">
        <v>0</v>
      </c>
      <c r="AJ3340" s="77"/>
      <c r="AK3340" s="77"/>
      <c r="AL3340" s="77"/>
      <c r="AM3340" s="77"/>
      <c r="AN3340" s="77"/>
      <c r="AO3340" s="77"/>
      <c r="AP3340" s="77"/>
      <c r="AQ3340" s="77"/>
      <c r="AR3340" s="77"/>
      <c r="AS3340" s="77"/>
      <c r="AT3340" s="77"/>
      <c r="AU3340" s="77"/>
      <c r="AV3340" s="80" t="str">
        <f>HYPERLINK("https://pbs.twimg.com/profile_images/1559883556846977024/bXHnQFY0_normal.jpg")</f>
        <v>https://pbs.twimg.com/profile_images/1559883556846977024/bXHnQFY0_normal.jpg</v>
      </c>
      <c r="AW3340" s="82" t="s">
        <v>16424</v>
      </c>
      <c r="AX3340" s="82" t="s">
        <v>16424</v>
      </c>
      <c r="AY3340" s="77"/>
      <c r="AZ3340" s="82" t="s">
        <v>17385</v>
      </c>
      <c r="BA3340" s="82" t="s">
        <v>17385</v>
      </c>
      <c r="BB3340" s="82" t="s">
        <v>17385</v>
      </c>
      <c r="BC3340" s="82" t="s">
        <v>16424</v>
      </c>
      <c r="BD3340" s="77">
        <v>51150679</v>
      </c>
      <c r="BE3340" s="77"/>
      <c r="BF3340" s="77"/>
      <c r="BG3340" s="77"/>
      <c r="BH3340" s="77"/>
      <c r="BI3340" s="77"/>
    </row>
    <row r="3341" spans="1:61" x14ac:dyDescent="0.25">
      <c r="A3341" s="62" t="s">
        <v>605</v>
      </c>
      <c r="B3341" s="62" t="s">
        <v>605</v>
      </c>
      <c r="C3341" s="63"/>
      <c r="D3341" s="64"/>
      <c r="E3341" s="65"/>
      <c r="F3341" s="66"/>
      <c r="G3341" s="63"/>
      <c r="H3341" s="67"/>
      <c r="I3341" s="68"/>
      <c r="J3341" s="68"/>
      <c r="K3341" s="32"/>
      <c r="L3341" s="75">
        <v>3341</v>
      </c>
      <c r="M3341" s="75"/>
      <c r="N3341" s="70"/>
      <c r="O3341" s="77" t="s">
        <v>179</v>
      </c>
      <c r="P3341" s="79">
        <v>45107.750659722224</v>
      </c>
      <c r="Q3341" s="77" t="s">
        <v>4115</v>
      </c>
      <c r="R3341" s="77">
        <v>0</v>
      </c>
      <c r="S3341" s="77">
        <v>3</v>
      </c>
      <c r="T3341" s="77">
        <v>1</v>
      </c>
      <c r="U3341" s="77">
        <v>0</v>
      </c>
      <c r="V3341" s="77">
        <v>1177</v>
      </c>
      <c r="W3341" s="82" t="s">
        <v>6624</v>
      </c>
      <c r="X3341" s="80" t="str">
        <f>HYPERLINK("https://www.moneytimes.com.br/campos-neto-vai-ceder-juros-agosto-acoes-multipliquem-5-vezes-dinheiro-investido-lbrdlc379-tsts/")</f>
        <v>https://www.moneytimes.com.br/campos-neto-vai-ceder-juros-agosto-acoes-multipliquem-5-vezes-dinheiro-investido-lbrdlc379-tsts/</v>
      </c>
      <c r="Y3341" s="77" t="s">
        <v>7053</v>
      </c>
      <c r="Z3341" s="77"/>
      <c r="AA3341" s="77"/>
      <c r="AB3341" s="77"/>
      <c r="AC3341" s="82" t="s">
        <v>8255</v>
      </c>
      <c r="AD3341" s="77" t="s">
        <v>8278</v>
      </c>
      <c r="AE3341" s="80" t="str">
        <f>HYPERLINK("https://twitter.com/leiamoneytimes/status/1674840458906812419")</f>
        <v>https://twitter.com/leiamoneytimes/status/1674840458906812419</v>
      </c>
      <c r="AF3341" s="79">
        <v>45107.750659722224</v>
      </c>
      <c r="AG3341" s="85">
        <v>45107</v>
      </c>
      <c r="AH3341" s="82" t="s">
        <v>11347</v>
      </c>
      <c r="AI3341" s="77" t="b">
        <v>0</v>
      </c>
      <c r="AJ3341" s="77"/>
      <c r="AK3341" s="77"/>
      <c r="AL3341" s="77"/>
      <c r="AM3341" s="77"/>
      <c r="AN3341" s="77"/>
      <c r="AO3341" s="77"/>
      <c r="AP3341" s="77"/>
      <c r="AQ3341" s="77"/>
      <c r="AR3341" s="77"/>
      <c r="AS3341" s="77"/>
      <c r="AT3341" s="77"/>
      <c r="AU3341" s="77"/>
      <c r="AV3341" s="80" t="str">
        <f>HYPERLINK("https://pbs.twimg.com/profile_images/1559883556846977024/bXHnQFY0_normal.jpg")</f>
        <v>https://pbs.twimg.com/profile_images/1559883556846977024/bXHnQFY0_normal.jpg</v>
      </c>
      <c r="AW3341" s="82" t="s">
        <v>16425</v>
      </c>
      <c r="AX3341" s="82" t="s">
        <v>16425</v>
      </c>
      <c r="AY3341" s="77"/>
      <c r="AZ3341" s="82" t="s">
        <v>17385</v>
      </c>
      <c r="BA3341" s="82" t="s">
        <v>17385</v>
      </c>
      <c r="BB3341" s="82" t="s">
        <v>17385</v>
      </c>
      <c r="BC3341" s="82" t="s">
        <v>16425</v>
      </c>
      <c r="BD3341" s="77">
        <v>51150679</v>
      </c>
      <c r="BE3341" s="77"/>
      <c r="BF3341" s="77"/>
      <c r="BG3341" s="77"/>
      <c r="BH3341" s="77"/>
      <c r="BI3341" s="77"/>
    </row>
    <row r="3342" spans="1:61" x14ac:dyDescent="0.25">
      <c r="A3342" s="62" t="s">
        <v>605</v>
      </c>
      <c r="B3342" s="62" t="s">
        <v>605</v>
      </c>
      <c r="C3342" s="63"/>
      <c r="D3342" s="64"/>
      <c r="E3342" s="65"/>
      <c r="F3342" s="66"/>
      <c r="G3342" s="63"/>
      <c r="H3342" s="67"/>
      <c r="I3342" s="68"/>
      <c r="J3342" s="68"/>
      <c r="K3342" s="32"/>
      <c r="L3342" s="75">
        <v>3342</v>
      </c>
      <c r="M3342" s="75"/>
      <c r="N3342" s="70"/>
      <c r="O3342" s="77" t="s">
        <v>179</v>
      </c>
      <c r="P3342" s="79">
        <v>45107.747743055559</v>
      </c>
      <c r="Q3342" s="77" t="s">
        <v>4116</v>
      </c>
      <c r="R3342" s="77">
        <v>0</v>
      </c>
      <c r="S3342" s="77">
        <v>0</v>
      </c>
      <c r="T3342" s="77">
        <v>1</v>
      </c>
      <c r="U3342" s="77">
        <v>0</v>
      </c>
      <c r="V3342" s="77">
        <v>925</v>
      </c>
      <c r="W3342" s="82" t="s">
        <v>6625</v>
      </c>
      <c r="X3342" s="80" t="str">
        <f>HYPERLINK("https://www.moneytimes.com.br/bolsas-europeias-acoes-fecham-2-trimestre-em-alta/")</f>
        <v>https://www.moneytimes.com.br/bolsas-europeias-acoes-fecham-2-trimestre-em-alta/</v>
      </c>
      <c r="Y3342" s="77" t="s">
        <v>7053</v>
      </c>
      <c r="Z3342" s="77"/>
      <c r="AA3342" s="77"/>
      <c r="AB3342" s="77"/>
      <c r="AC3342" s="82" t="s">
        <v>8255</v>
      </c>
      <c r="AD3342" s="77" t="s">
        <v>8278</v>
      </c>
      <c r="AE3342" s="80" t="str">
        <f>HYPERLINK("https://twitter.com/leiamoneytimes/status/1674839402323771407")</f>
        <v>https://twitter.com/leiamoneytimes/status/1674839402323771407</v>
      </c>
      <c r="AF3342" s="79">
        <v>45107.747743055559</v>
      </c>
      <c r="AG3342" s="85">
        <v>45107</v>
      </c>
      <c r="AH3342" s="82" t="s">
        <v>11348</v>
      </c>
      <c r="AI3342" s="77" t="b">
        <v>0</v>
      </c>
      <c r="AJ3342" s="77"/>
      <c r="AK3342" s="77"/>
      <c r="AL3342" s="77"/>
      <c r="AM3342" s="77"/>
      <c r="AN3342" s="77"/>
      <c r="AO3342" s="77"/>
      <c r="AP3342" s="77"/>
      <c r="AQ3342" s="77"/>
      <c r="AR3342" s="77"/>
      <c r="AS3342" s="77"/>
      <c r="AT3342" s="77"/>
      <c r="AU3342" s="77"/>
      <c r="AV3342" s="80" t="str">
        <f>HYPERLINK("https://pbs.twimg.com/profile_images/1559883556846977024/bXHnQFY0_normal.jpg")</f>
        <v>https://pbs.twimg.com/profile_images/1559883556846977024/bXHnQFY0_normal.jpg</v>
      </c>
      <c r="AW3342" s="82" t="s">
        <v>16426</v>
      </c>
      <c r="AX3342" s="82" t="s">
        <v>16426</v>
      </c>
      <c r="AY3342" s="77"/>
      <c r="AZ3342" s="82" t="s">
        <v>17385</v>
      </c>
      <c r="BA3342" s="82" t="s">
        <v>17385</v>
      </c>
      <c r="BB3342" s="82" t="s">
        <v>17385</v>
      </c>
      <c r="BC3342" s="82" t="s">
        <v>16426</v>
      </c>
      <c r="BD3342" s="77">
        <v>51150679</v>
      </c>
      <c r="BE3342" s="77"/>
      <c r="BF3342" s="77"/>
      <c r="BG3342" s="77"/>
      <c r="BH3342" s="77"/>
      <c r="BI3342" s="77"/>
    </row>
    <row r="3343" spans="1:61" x14ac:dyDescent="0.25">
      <c r="A3343" s="62" t="s">
        <v>605</v>
      </c>
      <c r="B3343" s="62" t="s">
        <v>605</v>
      </c>
      <c r="C3343" s="63"/>
      <c r="D3343" s="64"/>
      <c r="E3343" s="65"/>
      <c r="F3343" s="66"/>
      <c r="G3343" s="63"/>
      <c r="H3343" s="67"/>
      <c r="I3343" s="68"/>
      <c r="J3343" s="68"/>
      <c r="K3343" s="32"/>
      <c r="L3343" s="75">
        <v>3343</v>
      </c>
      <c r="M3343" s="75"/>
      <c r="N3343" s="70"/>
      <c r="O3343" s="77" t="s">
        <v>179</v>
      </c>
      <c r="P3343" s="79">
        <v>45107.658020833333</v>
      </c>
      <c r="Q3343" s="77" t="s">
        <v>4117</v>
      </c>
      <c r="R3343" s="77">
        <v>0</v>
      </c>
      <c r="S3343" s="77">
        <v>1</v>
      </c>
      <c r="T3343" s="77">
        <v>1</v>
      </c>
      <c r="U3343" s="77">
        <v>0</v>
      </c>
      <c r="V3343" s="77">
        <v>1186</v>
      </c>
      <c r="W3343" s="82" t="s">
        <v>6615</v>
      </c>
      <c r="X3343" s="80" t="str">
        <f>HYPERLINK("https://www.moneytimes.com.br/ibovespa-ibov-por-que-petrobras-petr4-despenca-enquanto-mrv-mrve3-dispara-mineradoras-caem/")</f>
        <v>https://www.moneytimes.com.br/ibovespa-ibov-por-que-petrobras-petr4-despenca-enquanto-mrv-mrve3-dispara-mineradoras-caem/</v>
      </c>
      <c r="Y3343" s="77" t="s">
        <v>7053</v>
      </c>
      <c r="Z3343" s="77"/>
      <c r="AA3343" s="77"/>
      <c r="AB3343" s="77"/>
      <c r="AC3343" s="82" t="s">
        <v>8255</v>
      </c>
      <c r="AD3343" s="77" t="s">
        <v>8278</v>
      </c>
      <c r="AE3343" s="80" t="str">
        <f>HYPERLINK("https://twitter.com/leiamoneytimes/status/1674806888741912576")</f>
        <v>https://twitter.com/leiamoneytimes/status/1674806888741912576</v>
      </c>
      <c r="AF3343" s="79">
        <v>45107.658020833333</v>
      </c>
      <c r="AG3343" s="85">
        <v>45107</v>
      </c>
      <c r="AH3343" s="82" t="s">
        <v>11349</v>
      </c>
      <c r="AI3343" s="77" t="b">
        <v>0</v>
      </c>
      <c r="AJ3343" s="77"/>
      <c r="AK3343" s="77"/>
      <c r="AL3343" s="77"/>
      <c r="AM3343" s="77"/>
      <c r="AN3343" s="77"/>
      <c r="AO3343" s="77"/>
      <c r="AP3343" s="77"/>
      <c r="AQ3343" s="77"/>
      <c r="AR3343" s="77"/>
      <c r="AS3343" s="77"/>
      <c r="AT3343" s="77"/>
      <c r="AU3343" s="77"/>
      <c r="AV3343" s="80" t="str">
        <f>HYPERLINK("https://pbs.twimg.com/profile_images/1559883556846977024/bXHnQFY0_normal.jpg")</f>
        <v>https://pbs.twimg.com/profile_images/1559883556846977024/bXHnQFY0_normal.jpg</v>
      </c>
      <c r="AW3343" s="82" t="s">
        <v>16427</v>
      </c>
      <c r="AX3343" s="82" t="s">
        <v>16427</v>
      </c>
      <c r="AY3343" s="77"/>
      <c r="AZ3343" s="82" t="s">
        <v>17385</v>
      </c>
      <c r="BA3343" s="82" t="s">
        <v>17385</v>
      </c>
      <c r="BB3343" s="82" t="s">
        <v>17385</v>
      </c>
      <c r="BC3343" s="82" t="s">
        <v>16427</v>
      </c>
      <c r="BD3343" s="77">
        <v>51150679</v>
      </c>
      <c r="BE3343" s="77"/>
      <c r="BF3343" s="77"/>
      <c r="BG3343" s="77"/>
      <c r="BH3343" s="77"/>
      <c r="BI3343" s="77"/>
    </row>
    <row r="3344" spans="1:61" x14ac:dyDescent="0.25">
      <c r="A3344" s="62" t="s">
        <v>605</v>
      </c>
      <c r="B3344" s="62" t="s">
        <v>605</v>
      </c>
      <c r="C3344" s="63"/>
      <c r="D3344" s="64"/>
      <c r="E3344" s="65"/>
      <c r="F3344" s="66"/>
      <c r="G3344" s="63"/>
      <c r="H3344" s="67"/>
      <c r="I3344" s="68"/>
      <c r="J3344" s="68"/>
      <c r="K3344" s="32"/>
      <c r="L3344" s="75">
        <v>3344</v>
      </c>
      <c r="M3344" s="75"/>
      <c r="N3344" s="70"/>
      <c r="O3344" s="77" t="s">
        <v>179</v>
      </c>
      <c r="P3344" s="79">
        <v>45107.485983796294</v>
      </c>
      <c r="Q3344" s="77" t="s">
        <v>4118</v>
      </c>
      <c r="R3344" s="77">
        <v>0</v>
      </c>
      <c r="S3344" s="77">
        <v>2</v>
      </c>
      <c r="T3344" s="77">
        <v>1</v>
      </c>
      <c r="U3344" s="77">
        <v>0</v>
      </c>
      <c r="V3344" s="77">
        <v>1017</v>
      </c>
      <c r="W3344" s="82" t="s">
        <v>6564</v>
      </c>
      <c r="X3344" s="80" t="str">
        <f>HYPERLINK("https://www.moneytimes.com.br/bolsas-asiaticas-acoes-da-china-sobem-apos-dado-fraco-de-industria-alimentar-expectativa-de-estimulo/")</f>
        <v>https://www.moneytimes.com.br/bolsas-asiaticas-acoes-da-china-sobem-apos-dado-fraco-de-industria-alimentar-expectativa-de-estimulo/</v>
      </c>
      <c r="Y3344" s="77" t="s">
        <v>7053</v>
      </c>
      <c r="Z3344" s="77"/>
      <c r="AA3344" s="77"/>
      <c r="AB3344" s="77"/>
      <c r="AC3344" s="82" t="s">
        <v>8255</v>
      </c>
      <c r="AD3344" s="77" t="s">
        <v>8278</v>
      </c>
      <c r="AE3344" s="80" t="str">
        <f>HYPERLINK("https://twitter.com/leiamoneytimes/status/1674744545852940291")</f>
        <v>https://twitter.com/leiamoneytimes/status/1674744545852940291</v>
      </c>
      <c r="AF3344" s="79">
        <v>45107.485983796294</v>
      </c>
      <c r="AG3344" s="85">
        <v>45107</v>
      </c>
      <c r="AH3344" s="82" t="s">
        <v>11350</v>
      </c>
      <c r="AI3344" s="77" t="b">
        <v>0</v>
      </c>
      <c r="AJ3344" s="77"/>
      <c r="AK3344" s="77"/>
      <c r="AL3344" s="77"/>
      <c r="AM3344" s="77"/>
      <c r="AN3344" s="77"/>
      <c r="AO3344" s="77"/>
      <c r="AP3344" s="77"/>
      <c r="AQ3344" s="77"/>
      <c r="AR3344" s="77"/>
      <c r="AS3344" s="77"/>
      <c r="AT3344" s="77"/>
      <c r="AU3344" s="77"/>
      <c r="AV3344" s="80" t="str">
        <f>HYPERLINK("https://pbs.twimg.com/profile_images/1559883556846977024/bXHnQFY0_normal.jpg")</f>
        <v>https://pbs.twimg.com/profile_images/1559883556846977024/bXHnQFY0_normal.jpg</v>
      </c>
      <c r="AW3344" s="82" t="s">
        <v>16428</v>
      </c>
      <c r="AX3344" s="82" t="s">
        <v>16428</v>
      </c>
      <c r="AY3344" s="77"/>
      <c r="AZ3344" s="82" t="s">
        <v>17385</v>
      </c>
      <c r="BA3344" s="82" t="s">
        <v>17385</v>
      </c>
      <c r="BB3344" s="82" t="s">
        <v>17385</v>
      </c>
      <c r="BC3344" s="82" t="s">
        <v>16428</v>
      </c>
      <c r="BD3344" s="77">
        <v>51150679</v>
      </c>
      <c r="BE3344" s="77"/>
      <c r="BF3344" s="77"/>
      <c r="BG3344" s="77"/>
      <c r="BH3344" s="77"/>
      <c r="BI3344" s="77"/>
    </row>
    <row r="3345" spans="1:61" x14ac:dyDescent="0.25">
      <c r="A3345" s="62" t="s">
        <v>605</v>
      </c>
      <c r="B3345" s="62" t="s">
        <v>605</v>
      </c>
      <c r="C3345" s="63"/>
      <c r="D3345" s="64"/>
      <c r="E3345" s="65"/>
      <c r="F3345" s="66"/>
      <c r="G3345" s="63"/>
      <c r="H3345" s="67"/>
      <c r="I3345" s="68"/>
      <c r="J3345" s="68"/>
      <c r="K3345" s="32"/>
      <c r="L3345" s="75">
        <v>3345</v>
      </c>
      <c r="M3345" s="75"/>
      <c r="N3345" s="70"/>
      <c r="O3345" s="77" t="s">
        <v>179</v>
      </c>
      <c r="P3345" s="79">
        <v>45106.847361111111</v>
      </c>
      <c r="Q3345" s="77" t="s">
        <v>4119</v>
      </c>
      <c r="R3345" s="77">
        <v>0</v>
      </c>
      <c r="S3345" s="77">
        <v>3</v>
      </c>
      <c r="T3345" s="77">
        <v>1</v>
      </c>
      <c r="U3345" s="77">
        <v>0</v>
      </c>
      <c r="V3345" s="77">
        <v>1187</v>
      </c>
      <c r="W3345" s="82" t="s">
        <v>6551</v>
      </c>
      <c r="X3345" s="80" t="str">
        <f>HYPERLINK("https://www.moneytimes.com.br/ibovespa-hoje-fecha-alta-118-mil-pontos-selic-cmn-petrobras-petr4-vale-vale3-29-06-2023/")</f>
        <v>https://www.moneytimes.com.br/ibovespa-hoje-fecha-alta-118-mil-pontos-selic-cmn-petrobras-petr4-vale-vale3-29-06-2023/</v>
      </c>
      <c r="Y3345" s="77" t="s">
        <v>7053</v>
      </c>
      <c r="Z3345" s="77"/>
      <c r="AA3345" s="77"/>
      <c r="AB3345" s="77"/>
      <c r="AC3345" s="82" t="s">
        <v>8255</v>
      </c>
      <c r="AD3345" s="77" t="s">
        <v>8278</v>
      </c>
      <c r="AE3345" s="80" t="str">
        <f>HYPERLINK("https://twitter.com/leiamoneytimes/status/1674513116263071744")</f>
        <v>https://twitter.com/leiamoneytimes/status/1674513116263071744</v>
      </c>
      <c r="AF3345" s="79">
        <v>45106.847361111111</v>
      </c>
      <c r="AG3345" s="85">
        <v>45106</v>
      </c>
      <c r="AH3345" s="82" t="s">
        <v>11351</v>
      </c>
      <c r="AI3345" s="77" t="b">
        <v>0</v>
      </c>
      <c r="AJ3345" s="77"/>
      <c r="AK3345" s="77"/>
      <c r="AL3345" s="77"/>
      <c r="AM3345" s="77"/>
      <c r="AN3345" s="77"/>
      <c r="AO3345" s="77"/>
      <c r="AP3345" s="77"/>
      <c r="AQ3345" s="77"/>
      <c r="AR3345" s="77"/>
      <c r="AS3345" s="77"/>
      <c r="AT3345" s="77"/>
      <c r="AU3345" s="77"/>
      <c r="AV3345" s="80" t="str">
        <f>HYPERLINK("https://pbs.twimg.com/profile_images/1559883556846977024/bXHnQFY0_normal.jpg")</f>
        <v>https://pbs.twimg.com/profile_images/1559883556846977024/bXHnQFY0_normal.jpg</v>
      </c>
      <c r="AW3345" s="82" t="s">
        <v>16429</v>
      </c>
      <c r="AX3345" s="82" t="s">
        <v>16429</v>
      </c>
      <c r="AY3345" s="77"/>
      <c r="AZ3345" s="82" t="s">
        <v>17385</v>
      </c>
      <c r="BA3345" s="82" t="s">
        <v>17385</v>
      </c>
      <c r="BB3345" s="82" t="s">
        <v>17385</v>
      </c>
      <c r="BC3345" s="82" t="s">
        <v>16429</v>
      </c>
      <c r="BD3345" s="77">
        <v>51150679</v>
      </c>
      <c r="BE3345" s="77"/>
      <c r="BF3345" s="77"/>
      <c r="BG3345" s="77"/>
      <c r="BH3345" s="77"/>
      <c r="BI3345" s="77"/>
    </row>
    <row r="3346" spans="1:61" x14ac:dyDescent="0.25">
      <c r="A3346" s="62" t="s">
        <v>605</v>
      </c>
      <c r="B3346" s="62" t="s">
        <v>605</v>
      </c>
      <c r="C3346" s="63"/>
      <c r="D3346" s="64"/>
      <c r="E3346" s="65"/>
      <c r="F3346" s="66"/>
      <c r="G3346" s="63"/>
      <c r="H3346" s="67"/>
      <c r="I3346" s="68"/>
      <c r="J3346" s="68"/>
      <c r="K3346" s="32"/>
      <c r="L3346" s="75">
        <v>3346</v>
      </c>
      <c r="M3346" s="75"/>
      <c r="N3346" s="70"/>
      <c r="O3346" s="77" t="s">
        <v>179</v>
      </c>
      <c r="P3346" s="79">
        <v>45106.834606481483</v>
      </c>
      <c r="Q3346" s="77" t="s">
        <v>4120</v>
      </c>
      <c r="R3346" s="77">
        <v>0</v>
      </c>
      <c r="S3346" s="77">
        <v>3</v>
      </c>
      <c r="T3346" s="77">
        <v>1</v>
      </c>
      <c r="U3346" s="77">
        <v>0</v>
      </c>
      <c r="V3346" s="77">
        <v>1012</v>
      </c>
      <c r="W3346" s="82" t="s">
        <v>6623</v>
      </c>
      <c r="X3346" s="80" t="str">
        <f>HYPERLINK("https://www.moneytimes.com.br/gringos-compram-r-1-bilhao-na-b3-com-apetite-por-acoes-brasileiras/")</f>
        <v>https://www.moneytimes.com.br/gringos-compram-r-1-bilhao-na-b3-com-apetite-por-acoes-brasileiras/</v>
      </c>
      <c r="Y3346" s="77" t="s">
        <v>7053</v>
      </c>
      <c r="Z3346" s="77"/>
      <c r="AA3346" s="77"/>
      <c r="AB3346" s="77"/>
      <c r="AC3346" s="82" t="s">
        <v>8255</v>
      </c>
      <c r="AD3346" s="77" t="s">
        <v>8278</v>
      </c>
      <c r="AE3346" s="80" t="str">
        <f>HYPERLINK("https://twitter.com/leiamoneytimes/status/1674508493603106852")</f>
        <v>https://twitter.com/leiamoneytimes/status/1674508493603106852</v>
      </c>
      <c r="AF3346" s="79">
        <v>45106.834606481483</v>
      </c>
      <c r="AG3346" s="85">
        <v>45106</v>
      </c>
      <c r="AH3346" s="82" t="s">
        <v>11352</v>
      </c>
      <c r="AI3346" s="77" t="b">
        <v>0</v>
      </c>
      <c r="AJ3346" s="77"/>
      <c r="AK3346" s="77"/>
      <c r="AL3346" s="77"/>
      <c r="AM3346" s="77"/>
      <c r="AN3346" s="77"/>
      <c r="AO3346" s="77"/>
      <c r="AP3346" s="77"/>
      <c r="AQ3346" s="77"/>
      <c r="AR3346" s="77"/>
      <c r="AS3346" s="77"/>
      <c r="AT3346" s="77"/>
      <c r="AU3346" s="77"/>
      <c r="AV3346" s="80" t="str">
        <f>HYPERLINK("https://pbs.twimg.com/profile_images/1559883556846977024/bXHnQFY0_normal.jpg")</f>
        <v>https://pbs.twimg.com/profile_images/1559883556846977024/bXHnQFY0_normal.jpg</v>
      </c>
      <c r="AW3346" s="82" t="s">
        <v>16430</v>
      </c>
      <c r="AX3346" s="82" t="s">
        <v>16430</v>
      </c>
      <c r="AY3346" s="77"/>
      <c r="AZ3346" s="82" t="s">
        <v>17385</v>
      </c>
      <c r="BA3346" s="82" t="s">
        <v>17385</v>
      </c>
      <c r="BB3346" s="82" t="s">
        <v>17385</v>
      </c>
      <c r="BC3346" s="82" t="s">
        <v>16430</v>
      </c>
      <c r="BD3346" s="77">
        <v>51150679</v>
      </c>
      <c r="BE3346" s="77"/>
      <c r="BF3346" s="77"/>
      <c r="BG3346" s="77"/>
      <c r="BH3346" s="77"/>
      <c r="BI3346" s="77"/>
    </row>
    <row r="3347" spans="1:61" x14ac:dyDescent="0.25">
      <c r="A3347" s="62" t="s">
        <v>605</v>
      </c>
      <c r="B3347" s="62" t="s">
        <v>605</v>
      </c>
      <c r="C3347" s="63"/>
      <c r="D3347" s="64"/>
      <c r="E3347" s="65"/>
      <c r="F3347" s="66"/>
      <c r="G3347" s="63"/>
      <c r="H3347" s="67"/>
      <c r="I3347" s="68"/>
      <c r="J3347" s="68"/>
      <c r="K3347" s="32"/>
      <c r="L3347" s="75">
        <v>3347</v>
      </c>
      <c r="M3347" s="75"/>
      <c r="N3347" s="70"/>
      <c r="O3347" s="77" t="s">
        <v>179</v>
      </c>
      <c r="P3347" s="79">
        <v>45106.678819444445</v>
      </c>
      <c r="Q3347" s="77" t="s">
        <v>4121</v>
      </c>
      <c r="R3347" s="77">
        <v>1</v>
      </c>
      <c r="S3347" s="77">
        <v>10</v>
      </c>
      <c r="T3347" s="77">
        <v>1</v>
      </c>
      <c r="U3347" s="77">
        <v>0</v>
      </c>
      <c r="V3347" s="77">
        <v>1555</v>
      </c>
      <c r="W3347" s="82" t="s">
        <v>6626</v>
      </c>
      <c r="X3347" s="80" t="str">
        <f>HYPERLINK("https://www.moneytimes.com.br/ibovespa-as-falas-de-roberto-campos-neto-que-fazem-indice-disparar/")</f>
        <v>https://www.moneytimes.com.br/ibovespa-as-falas-de-roberto-campos-neto-que-fazem-indice-disparar/</v>
      </c>
      <c r="Y3347" s="77" t="s">
        <v>7053</v>
      </c>
      <c r="Z3347" s="77"/>
      <c r="AA3347" s="77"/>
      <c r="AB3347" s="77"/>
      <c r="AC3347" s="82" t="s">
        <v>8255</v>
      </c>
      <c r="AD3347" s="77" t="s">
        <v>8278</v>
      </c>
      <c r="AE3347" s="80" t="str">
        <f>HYPERLINK("https://twitter.com/leiamoneytimes/status/1674452039311536131")</f>
        <v>https://twitter.com/leiamoneytimes/status/1674452039311536131</v>
      </c>
      <c r="AF3347" s="79">
        <v>45106.678819444445</v>
      </c>
      <c r="AG3347" s="85">
        <v>45106</v>
      </c>
      <c r="AH3347" s="82" t="s">
        <v>11353</v>
      </c>
      <c r="AI3347" s="77" t="b">
        <v>0</v>
      </c>
      <c r="AJ3347" s="77"/>
      <c r="AK3347" s="77"/>
      <c r="AL3347" s="77"/>
      <c r="AM3347" s="77"/>
      <c r="AN3347" s="77"/>
      <c r="AO3347" s="77"/>
      <c r="AP3347" s="77"/>
      <c r="AQ3347" s="77"/>
      <c r="AR3347" s="77"/>
      <c r="AS3347" s="77"/>
      <c r="AT3347" s="77"/>
      <c r="AU3347" s="77"/>
      <c r="AV3347" s="80" t="str">
        <f>HYPERLINK("https://pbs.twimg.com/profile_images/1559883556846977024/bXHnQFY0_normal.jpg")</f>
        <v>https://pbs.twimg.com/profile_images/1559883556846977024/bXHnQFY0_normal.jpg</v>
      </c>
      <c r="AW3347" s="82" t="s">
        <v>16431</v>
      </c>
      <c r="AX3347" s="82" t="s">
        <v>16431</v>
      </c>
      <c r="AY3347" s="77"/>
      <c r="AZ3347" s="82" t="s">
        <v>17385</v>
      </c>
      <c r="BA3347" s="82" t="s">
        <v>17385</v>
      </c>
      <c r="BB3347" s="82" t="s">
        <v>17385</v>
      </c>
      <c r="BC3347" s="82" t="s">
        <v>16431</v>
      </c>
      <c r="BD3347" s="77">
        <v>51150679</v>
      </c>
      <c r="BE3347" s="77"/>
      <c r="BF3347" s="77"/>
      <c r="BG3347" s="77"/>
      <c r="BH3347" s="77"/>
      <c r="BI3347" s="77"/>
    </row>
    <row r="3348" spans="1:61" x14ac:dyDescent="0.25">
      <c r="A3348" s="62" t="s">
        <v>605</v>
      </c>
      <c r="B3348" s="62" t="s">
        <v>605</v>
      </c>
      <c r="C3348" s="63"/>
      <c r="D3348" s="64"/>
      <c r="E3348" s="65"/>
      <c r="F3348" s="66"/>
      <c r="G3348" s="63"/>
      <c r="H3348" s="67"/>
      <c r="I3348" s="68"/>
      <c r="J3348" s="68"/>
      <c r="K3348" s="32"/>
      <c r="L3348" s="75">
        <v>3348</v>
      </c>
      <c r="M3348" s="75"/>
      <c r="N3348" s="70"/>
      <c r="O3348" s="77" t="s">
        <v>179</v>
      </c>
      <c r="P3348" s="79">
        <v>45085.522465277776</v>
      </c>
      <c r="Q3348" s="77" t="s">
        <v>4122</v>
      </c>
      <c r="R3348" s="77">
        <v>1</v>
      </c>
      <c r="S3348" s="77">
        <v>4</v>
      </c>
      <c r="T3348" s="77">
        <v>0</v>
      </c>
      <c r="U3348" s="77">
        <v>0</v>
      </c>
      <c r="V3348" s="77">
        <v>1758</v>
      </c>
      <c r="W3348" s="82" t="s">
        <v>6627</v>
      </c>
      <c r="X3348" s="80" t="str">
        <f>HYPERLINK("https://www.moneytimes.com.br/gringos-compram-acoes-da-petrobras-e-da-vale-negociadas-nos-eua-neste-feriado/")</f>
        <v>https://www.moneytimes.com.br/gringos-compram-acoes-da-petrobras-e-da-vale-negociadas-nos-eua-neste-feriado/</v>
      </c>
      <c r="Y3348" s="77" t="s">
        <v>7053</v>
      </c>
      <c r="Z3348" s="77"/>
      <c r="AA3348" s="77"/>
      <c r="AB3348" s="77"/>
      <c r="AC3348" s="82" t="s">
        <v>8255</v>
      </c>
      <c r="AD3348" s="77" t="s">
        <v>8278</v>
      </c>
      <c r="AE3348" s="80" t="str">
        <f>HYPERLINK("https://twitter.com/leiamoneytimes/status/1666785232173891586")</f>
        <v>https://twitter.com/leiamoneytimes/status/1666785232173891586</v>
      </c>
      <c r="AF3348" s="79">
        <v>45085.522465277776</v>
      </c>
      <c r="AG3348" s="85">
        <v>45085</v>
      </c>
      <c r="AH3348" s="82" t="s">
        <v>11354</v>
      </c>
      <c r="AI3348" s="77" t="b">
        <v>0</v>
      </c>
      <c r="AJ3348" s="77"/>
      <c r="AK3348" s="77"/>
      <c r="AL3348" s="77"/>
      <c r="AM3348" s="77"/>
      <c r="AN3348" s="77"/>
      <c r="AO3348" s="77"/>
      <c r="AP3348" s="77"/>
      <c r="AQ3348" s="77"/>
      <c r="AR3348" s="77"/>
      <c r="AS3348" s="77"/>
      <c r="AT3348" s="77"/>
      <c r="AU3348" s="77"/>
      <c r="AV3348" s="80" t="str">
        <f>HYPERLINK("https://pbs.twimg.com/profile_images/1559883556846977024/bXHnQFY0_normal.jpg")</f>
        <v>https://pbs.twimg.com/profile_images/1559883556846977024/bXHnQFY0_normal.jpg</v>
      </c>
      <c r="AW3348" s="82" t="s">
        <v>16432</v>
      </c>
      <c r="AX3348" s="82" t="s">
        <v>16432</v>
      </c>
      <c r="AY3348" s="77"/>
      <c r="AZ3348" s="82" t="s">
        <v>17385</v>
      </c>
      <c r="BA3348" s="82" t="s">
        <v>17385</v>
      </c>
      <c r="BB3348" s="82" t="s">
        <v>17385</v>
      </c>
      <c r="BC3348" s="82" t="s">
        <v>16432</v>
      </c>
      <c r="BD3348" s="77">
        <v>51150679</v>
      </c>
      <c r="BE3348" s="77"/>
      <c r="BF3348" s="77"/>
      <c r="BG3348" s="77"/>
      <c r="BH3348" s="77"/>
      <c r="BI3348" s="77"/>
    </row>
    <row r="3349" spans="1:61" x14ac:dyDescent="0.25">
      <c r="A3349" s="62" t="s">
        <v>605</v>
      </c>
      <c r="B3349" s="62" t="s">
        <v>605</v>
      </c>
      <c r="C3349" s="63"/>
      <c r="D3349" s="64"/>
      <c r="E3349" s="65"/>
      <c r="F3349" s="66"/>
      <c r="G3349" s="63"/>
      <c r="H3349" s="67"/>
      <c r="I3349" s="68"/>
      <c r="J3349" s="68"/>
      <c r="K3349" s="32"/>
      <c r="L3349" s="75">
        <v>3349</v>
      </c>
      <c r="M3349" s="75"/>
      <c r="N3349" s="70"/>
      <c r="O3349" s="77" t="s">
        <v>179</v>
      </c>
      <c r="P3349" s="79">
        <v>45085.485046296293</v>
      </c>
      <c r="Q3349" s="77" t="s">
        <v>4123</v>
      </c>
      <c r="R3349" s="77">
        <v>0</v>
      </c>
      <c r="S3349" s="77">
        <v>4</v>
      </c>
      <c r="T3349" s="77">
        <v>1</v>
      </c>
      <c r="U3349" s="77">
        <v>0</v>
      </c>
      <c r="V3349" s="77">
        <v>2585</v>
      </c>
      <c r="W3349" s="82" t="s">
        <v>6628</v>
      </c>
      <c r="X3349" s="80" t="str">
        <f>HYPERLINK("https://www.moneytimes.com.br/como-proteger-seus-investimentos-assessora-dina-franca-indica-o-que-fazer-em-2023/")</f>
        <v>https://www.moneytimes.com.br/como-proteger-seus-investimentos-assessora-dina-franca-indica-o-que-fazer-em-2023/</v>
      </c>
      <c r="Y3349" s="77" t="s">
        <v>7053</v>
      </c>
      <c r="Z3349" s="77"/>
      <c r="AA3349" s="77"/>
      <c r="AB3349" s="77"/>
      <c r="AC3349" s="82" t="s">
        <v>8255</v>
      </c>
      <c r="AD3349" s="77" t="s">
        <v>8278</v>
      </c>
      <c r="AE3349" s="80" t="str">
        <f>HYPERLINK("https://twitter.com/leiamoneytimes/status/1666771672068661250")</f>
        <v>https://twitter.com/leiamoneytimes/status/1666771672068661250</v>
      </c>
      <c r="AF3349" s="79">
        <v>45085.485046296293</v>
      </c>
      <c r="AG3349" s="85">
        <v>45085</v>
      </c>
      <c r="AH3349" s="82" t="s">
        <v>11355</v>
      </c>
      <c r="AI3349" s="77" t="b">
        <v>0</v>
      </c>
      <c r="AJ3349" s="77"/>
      <c r="AK3349" s="77"/>
      <c r="AL3349" s="77"/>
      <c r="AM3349" s="77"/>
      <c r="AN3349" s="77"/>
      <c r="AO3349" s="77"/>
      <c r="AP3349" s="77"/>
      <c r="AQ3349" s="77"/>
      <c r="AR3349" s="77"/>
      <c r="AS3349" s="77"/>
      <c r="AT3349" s="77"/>
      <c r="AU3349" s="77"/>
      <c r="AV3349" s="80" t="str">
        <f>HYPERLINK("https://pbs.twimg.com/profile_images/1559883556846977024/bXHnQFY0_normal.jpg")</f>
        <v>https://pbs.twimg.com/profile_images/1559883556846977024/bXHnQFY0_normal.jpg</v>
      </c>
      <c r="AW3349" s="82" t="s">
        <v>16433</v>
      </c>
      <c r="AX3349" s="82" t="s">
        <v>16433</v>
      </c>
      <c r="AY3349" s="77"/>
      <c r="AZ3349" s="82" t="s">
        <v>17385</v>
      </c>
      <c r="BA3349" s="82" t="s">
        <v>17385</v>
      </c>
      <c r="BB3349" s="82" t="s">
        <v>17385</v>
      </c>
      <c r="BC3349" s="82" t="s">
        <v>16433</v>
      </c>
      <c r="BD3349" s="77">
        <v>51150679</v>
      </c>
      <c r="BE3349" s="77"/>
      <c r="BF3349" s="77"/>
      <c r="BG3349" s="77"/>
      <c r="BH3349" s="77"/>
      <c r="BI3349" s="77"/>
    </row>
    <row r="3350" spans="1:61" x14ac:dyDescent="0.25">
      <c r="A3350" s="62" t="s">
        <v>605</v>
      </c>
      <c r="B3350" s="62" t="s">
        <v>605</v>
      </c>
      <c r="C3350" s="63"/>
      <c r="D3350" s="64"/>
      <c r="E3350" s="65"/>
      <c r="F3350" s="66"/>
      <c r="G3350" s="63"/>
      <c r="H3350" s="67"/>
      <c r="I3350" s="68"/>
      <c r="J3350" s="68"/>
      <c r="K3350" s="32"/>
      <c r="L3350" s="75">
        <v>3350</v>
      </c>
      <c r="M3350" s="75"/>
      <c r="N3350" s="70"/>
      <c r="O3350" s="77" t="s">
        <v>179</v>
      </c>
      <c r="P3350" s="79">
        <v>45084.964537037034</v>
      </c>
      <c r="Q3350" s="77" t="s">
        <v>4124</v>
      </c>
      <c r="R3350" s="77">
        <v>1</v>
      </c>
      <c r="S3350" s="77">
        <v>13</v>
      </c>
      <c r="T3350" s="77">
        <v>1</v>
      </c>
      <c r="U3350" s="77">
        <v>0</v>
      </c>
      <c r="V3350" s="77">
        <v>2836</v>
      </c>
      <c r="W3350" s="82" t="s">
        <v>6629</v>
      </c>
      <c r="X3350" s="80" t="str">
        <f>HYPERLINK("https://www.moneytimes.com.br/maior-gestora-do-mundo-vende-acao-que-ja-entregou-ganhos-de-mais-de-40-em-2023/")</f>
        <v>https://www.moneytimes.com.br/maior-gestora-do-mundo-vende-acao-que-ja-entregou-ganhos-de-mais-de-40-em-2023/</v>
      </c>
      <c r="Y3350" s="77" t="s">
        <v>7053</v>
      </c>
      <c r="Z3350" s="77"/>
      <c r="AA3350" s="77"/>
      <c r="AB3350" s="77"/>
      <c r="AC3350" s="82" t="s">
        <v>8255</v>
      </c>
      <c r="AD3350" s="77" t="s">
        <v>8278</v>
      </c>
      <c r="AE3350" s="80" t="str">
        <f>HYPERLINK("https://twitter.com/leiamoneytimes/status/1666583045497929729")</f>
        <v>https://twitter.com/leiamoneytimes/status/1666583045497929729</v>
      </c>
      <c r="AF3350" s="79">
        <v>45084.964537037034</v>
      </c>
      <c r="AG3350" s="85">
        <v>45084</v>
      </c>
      <c r="AH3350" s="82" t="s">
        <v>11356</v>
      </c>
      <c r="AI3350" s="77" t="b">
        <v>0</v>
      </c>
      <c r="AJ3350" s="77"/>
      <c r="AK3350" s="77"/>
      <c r="AL3350" s="77"/>
      <c r="AM3350" s="77"/>
      <c r="AN3350" s="77"/>
      <c r="AO3350" s="77"/>
      <c r="AP3350" s="77"/>
      <c r="AQ3350" s="77"/>
      <c r="AR3350" s="77"/>
      <c r="AS3350" s="77"/>
      <c r="AT3350" s="77"/>
      <c r="AU3350" s="77"/>
      <c r="AV3350" s="80" t="str">
        <f>HYPERLINK("https://pbs.twimg.com/profile_images/1559883556846977024/bXHnQFY0_normal.jpg")</f>
        <v>https://pbs.twimg.com/profile_images/1559883556846977024/bXHnQFY0_normal.jpg</v>
      </c>
      <c r="AW3350" s="82" t="s">
        <v>16434</v>
      </c>
      <c r="AX3350" s="82" t="s">
        <v>16434</v>
      </c>
      <c r="AY3350" s="77"/>
      <c r="AZ3350" s="82" t="s">
        <v>17385</v>
      </c>
      <c r="BA3350" s="82" t="s">
        <v>17385</v>
      </c>
      <c r="BB3350" s="82" t="s">
        <v>17385</v>
      </c>
      <c r="BC3350" s="82" t="s">
        <v>16434</v>
      </c>
      <c r="BD3350" s="77">
        <v>51150679</v>
      </c>
      <c r="BE3350" s="77"/>
      <c r="BF3350" s="77"/>
      <c r="BG3350" s="77"/>
      <c r="BH3350" s="77"/>
      <c r="BI3350" s="77"/>
    </row>
    <row r="3351" spans="1:61" x14ac:dyDescent="0.25">
      <c r="A3351" s="62" t="s">
        <v>605</v>
      </c>
      <c r="B3351" s="62" t="s">
        <v>605</v>
      </c>
      <c r="C3351" s="63"/>
      <c r="D3351" s="64"/>
      <c r="E3351" s="65"/>
      <c r="F3351" s="66"/>
      <c r="G3351" s="63"/>
      <c r="H3351" s="67"/>
      <c r="I3351" s="68"/>
      <c r="J3351" s="68"/>
      <c r="K3351" s="32"/>
      <c r="L3351" s="75">
        <v>3351</v>
      </c>
      <c r="M3351" s="75"/>
      <c r="N3351" s="70"/>
      <c r="O3351" s="77" t="s">
        <v>179</v>
      </c>
      <c r="P3351" s="79">
        <v>45084.850532407407</v>
      </c>
      <c r="Q3351" s="77" t="s">
        <v>4125</v>
      </c>
      <c r="R3351" s="77">
        <v>0</v>
      </c>
      <c r="S3351" s="77">
        <v>3</v>
      </c>
      <c r="T3351" s="77">
        <v>0</v>
      </c>
      <c r="U3351" s="77">
        <v>1</v>
      </c>
      <c r="V3351" s="77">
        <v>1386</v>
      </c>
      <c r="W3351" s="82" t="s">
        <v>6551</v>
      </c>
      <c r="X3351" s="80" t="str">
        <f>HYPERLINK("https://www.moneytimes.com.br/ibovespa-hoje-fecha-alta-115-mil-pontos-ipca-inflacao-juros-banco-central-07-06-2023/")</f>
        <v>https://www.moneytimes.com.br/ibovespa-hoje-fecha-alta-115-mil-pontos-ipca-inflacao-juros-banco-central-07-06-2023/</v>
      </c>
      <c r="Y3351" s="77" t="s">
        <v>7053</v>
      </c>
      <c r="Z3351" s="77"/>
      <c r="AA3351" s="77"/>
      <c r="AB3351" s="77"/>
      <c r="AC3351" s="82" t="s">
        <v>8255</v>
      </c>
      <c r="AD3351" s="77" t="s">
        <v>8278</v>
      </c>
      <c r="AE3351" s="80" t="str">
        <f>HYPERLINK("https://twitter.com/leiamoneytimes/status/1666541733667020807")</f>
        <v>https://twitter.com/leiamoneytimes/status/1666541733667020807</v>
      </c>
      <c r="AF3351" s="79">
        <v>45084.850532407407</v>
      </c>
      <c r="AG3351" s="85">
        <v>45084</v>
      </c>
      <c r="AH3351" s="82" t="s">
        <v>11357</v>
      </c>
      <c r="AI3351" s="77" t="b">
        <v>0</v>
      </c>
      <c r="AJ3351" s="77"/>
      <c r="AK3351" s="77"/>
      <c r="AL3351" s="77"/>
      <c r="AM3351" s="77"/>
      <c r="AN3351" s="77"/>
      <c r="AO3351" s="77"/>
      <c r="AP3351" s="77"/>
      <c r="AQ3351" s="77"/>
      <c r="AR3351" s="77"/>
      <c r="AS3351" s="77"/>
      <c r="AT3351" s="77"/>
      <c r="AU3351" s="77"/>
      <c r="AV3351" s="80" t="str">
        <f>HYPERLINK("https://pbs.twimg.com/profile_images/1559883556846977024/bXHnQFY0_normal.jpg")</f>
        <v>https://pbs.twimg.com/profile_images/1559883556846977024/bXHnQFY0_normal.jpg</v>
      </c>
      <c r="AW3351" s="82" t="s">
        <v>16435</v>
      </c>
      <c r="AX3351" s="82" t="s">
        <v>16435</v>
      </c>
      <c r="AY3351" s="77"/>
      <c r="AZ3351" s="82" t="s">
        <v>17385</v>
      </c>
      <c r="BA3351" s="82" t="s">
        <v>17385</v>
      </c>
      <c r="BB3351" s="82" t="s">
        <v>17385</v>
      </c>
      <c r="BC3351" s="82" t="s">
        <v>16435</v>
      </c>
      <c r="BD3351" s="77">
        <v>51150679</v>
      </c>
      <c r="BE3351" s="77"/>
      <c r="BF3351" s="77"/>
      <c r="BG3351" s="77"/>
      <c r="BH3351" s="77"/>
      <c r="BI3351" s="77"/>
    </row>
    <row r="3352" spans="1:61" x14ac:dyDescent="0.25">
      <c r="A3352" s="62" t="s">
        <v>605</v>
      </c>
      <c r="B3352" s="62" t="s">
        <v>605</v>
      </c>
      <c r="C3352" s="63"/>
      <c r="D3352" s="64"/>
      <c r="E3352" s="65"/>
      <c r="F3352" s="66"/>
      <c r="G3352" s="63"/>
      <c r="H3352" s="67"/>
      <c r="I3352" s="68"/>
      <c r="J3352" s="68"/>
      <c r="K3352" s="32"/>
      <c r="L3352" s="75">
        <v>3352</v>
      </c>
      <c r="M3352" s="75"/>
      <c r="N3352" s="70"/>
      <c r="O3352" s="77" t="s">
        <v>179</v>
      </c>
      <c r="P3352" s="79">
        <v>45084.791724537034</v>
      </c>
      <c r="Q3352" s="77" t="s">
        <v>4126</v>
      </c>
      <c r="R3352" s="77">
        <v>0</v>
      </c>
      <c r="S3352" s="77">
        <v>3</v>
      </c>
      <c r="T3352" s="77">
        <v>0</v>
      </c>
      <c r="U3352" s="77">
        <v>0</v>
      </c>
      <c r="V3352" s="77">
        <v>983</v>
      </c>
      <c r="W3352" s="82" t="s">
        <v>6630</v>
      </c>
      <c r="X3352" s="80" t="str">
        <f>HYPERLINK("https://www.moneytimes.com.br/inteligencia-artificial-os-bancos-conseguirao-evoluir-sem-perder-a-humanidade/")</f>
        <v>https://www.moneytimes.com.br/inteligencia-artificial-os-bancos-conseguirao-evoluir-sem-perder-a-humanidade/</v>
      </c>
      <c r="Y3352" s="77" t="s">
        <v>7053</v>
      </c>
      <c r="Z3352" s="77"/>
      <c r="AA3352" s="77"/>
      <c r="AB3352" s="77"/>
      <c r="AC3352" s="82" t="s">
        <v>8255</v>
      </c>
      <c r="AD3352" s="77" t="s">
        <v>8278</v>
      </c>
      <c r="AE3352" s="80" t="str">
        <f>HYPERLINK("https://twitter.com/leiamoneytimes/status/1666520422022520857")</f>
        <v>https://twitter.com/leiamoneytimes/status/1666520422022520857</v>
      </c>
      <c r="AF3352" s="79">
        <v>45084.791724537034</v>
      </c>
      <c r="AG3352" s="85">
        <v>45084</v>
      </c>
      <c r="AH3352" s="82" t="s">
        <v>11358</v>
      </c>
      <c r="AI3352" s="77" t="b">
        <v>0</v>
      </c>
      <c r="AJ3352" s="77"/>
      <c r="AK3352" s="77"/>
      <c r="AL3352" s="77"/>
      <c r="AM3352" s="77"/>
      <c r="AN3352" s="77"/>
      <c r="AO3352" s="77"/>
      <c r="AP3352" s="77"/>
      <c r="AQ3352" s="77"/>
      <c r="AR3352" s="77"/>
      <c r="AS3352" s="77"/>
      <c r="AT3352" s="77"/>
      <c r="AU3352" s="77"/>
      <c r="AV3352" s="80" t="str">
        <f>HYPERLINK("https://pbs.twimg.com/profile_images/1559883556846977024/bXHnQFY0_normal.jpg")</f>
        <v>https://pbs.twimg.com/profile_images/1559883556846977024/bXHnQFY0_normal.jpg</v>
      </c>
      <c r="AW3352" s="82" t="s">
        <v>16436</v>
      </c>
      <c r="AX3352" s="82" t="s">
        <v>16436</v>
      </c>
      <c r="AY3352" s="77"/>
      <c r="AZ3352" s="82" t="s">
        <v>17385</v>
      </c>
      <c r="BA3352" s="82" t="s">
        <v>17385</v>
      </c>
      <c r="BB3352" s="82" t="s">
        <v>17385</v>
      </c>
      <c r="BC3352" s="82" t="s">
        <v>16436</v>
      </c>
      <c r="BD3352" s="77">
        <v>51150679</v>
      </c>
      <c r="BE3352" s="77"/>
      <c r="BF3352" s="77"/>
      <c r="BG3352" s="77"/>
      <c r="BH3352" s="77"/>
      <c r="BI3352" s="77"/>
    </row>
    <row r="3353" spans="1:61" x14ac:dyDescent="0.25">
      <c r="A3353" s="62" t="s">
        <v>605</v>
      </c>
      <c r="B3353" s="62" t="s">
        <v>605</v>
      </c>
      <c r="C3353" s="63"/>
      <c r="D3353" s="64"/>
      <c r="E3353" s="65"/>
      <c r="F3353" s="66"/>
      <c r="G3353" s="63"/>
      <c r="H3353" s="67"/>
      <c r="I3353" s="68"/>
      <c r="J3353" s="68"/>
      <c r="K3353" s="32"/>
      <c r="L3353" s="75">
        <v>3353</v>
      </c>
      <c r="M3353" s="75"/>
      <c r="N3353" s="70"/>
      <c r="O3353" s="77" t="s">
        <v>179</v>
      </c>
      <c r="P3353" s="79">
        <v>45084.688391203701</v>
      </c>
      <c r="Q3353" s="77" t="s">
        <v>4127</v>
      </c>
      <c r="R3353" s="77">
        <v>0</v>
      </c>
      <c r="S3353" s="77">
        <v>1</v>
      </c>
      <c r="T3353" s="77">
        <v>0</v>
      </c>
      <c r="U3353" s="77">
        <v>0</v>
      </c>
      <c r="V3353" s="77">
        <v>1202</v>
      </c>
      <c r="W3353" s="82" t="s">
        <v>6631</v>
      </c>
      <c r="X3353" s="80" t="str">
        <f>HYPERLINK("https://www.moneytimes.com.br/ibovespa-por-que-magazine-luiza-mglu3-cai-mesmo-com-queda-da-inflacao/")</f>
        <v>https://www.moneytimes.com.br/ibovespa-por-que-magazine-luiza-mglu3-cai-mesmo-com-queda-da-inflacao/</v>
      </c>
      <c r="Y3353" s="77" t="s">
        <v>7053</v>
      </c>
      <c r="Z3353" s="77"/>
      <c r="AA3353" s="77"/>
      <c r="AB3353" s="77"/>
      <c r="AC3353" s="82" t="s">
        <v>8255</v>
      </c>
      <c r="AD3353" s="77" t="s">
        <v>8278</v>
      </c>
      <c r="AE3353" s="80" t="str">
        <f>HYPERLINK("https://twitter.com/leiamoneytimes/status/1666482974575976467")</f>
        <v>https://twitter.com/leiamoneytimes/status/1666482974575976467</v>
      </c>
      <c r="AF3353" s="79">
        <v>45084.688391203701</v>
      </c>
      <c r="AG3353" s="85">
        <v>45084</v>
      </c>
      <c r="AH3353" s="82" t="s">
        <v>9299</v>
      </c>
      <c r="AI3353" s="77" t="b">
        <v>0</v>
      </c>
      <c r="AJ3353" s="77"/>
      <c r="AK3353" s="77"/>
      <c r="AL3353" s="77"/>
      <c r="AM3353" s="77"/>
      <c r="AN3353" s="77"/>
      <c r="AO3353" s="77"/>
      <c r="AP3353" s="77"/>
      <c r="AQ3353" s="77"/>
      <c r="AR3353" s="77"/>
      <c r="AS3353" s="77"/>
      <c r="AT3353" s="77"/>
      <c r="AU3353" s="77"/>
      <c r="AV3353" s="80" t="str">
        <f>HYPERLINK("https://pbs.twimg.com/profile_images/1559883556846977024/bXHnQFY0_normal.jpg")</f>
        <v>https://pbs.twimg.com/profile_images/1559883556846977024/bXHnQFY0_normal.jpg</v>
      </c>
      <c r="AW3353" s="82" t="s">
        <v>16437</v>
      </c>
      <c r="AX3353" s="82" t="s">
        <v>16437</v>
      </c>
      <c r="AY3353" s="77"/>
      <c r="AZ3353" s="82" t="s">
        <v>17385</v>
      </c>
      <c r="BA3353" s="82" t="s">
        <v>17385</v>
      </c>
      <c r="BB3353" s="82" t="s">
        <v>17385</v>
      </c>
      <c r="BC3353" s="82" t="s">
        <v>16437</v>
      </c>
      <c r="BD3353" s="77">
        <v>51150679</v>
      </c>
      <c r="BE3353" s="77"/>
      <c r="BF3353" s="77"/>
      <c r="BG3353" s="77"/>
      <c r="BH3353" s="77"/>
      <c r="BI3353" s="77"/>
    </row>
    <row r="3354" spans="1:61" x14ac:dyDescent="0.25">
      <c r="A3354" s="62" t="s">
        <v>605</v>
      </c>
      <c r="B3354" s="62" t="s">
        <v>605</v>
      </c>
      <c r="C3354" s="63"/>
      <c r="D3354" s="64"/>
      <c r="E3354" s="65"/>
      <c r="F3354" s="66"/>
      <c r="G3354" s="63"/>
      <c r="H3354" s="67"/>
      <c r="I3354" s="68"/>
      <c r="J3354" s="68"/>
      <c r="K3354" s="32"/>
      <c r="L3354" s="75">
        <v>3354</v>
      </c>
      <c r="M3354" s="75"/>
      <c r="N3354" s="70"/>
      <c r="O3354" s="77" t="s">
        <v>179</v>
      </c>
      <c r="P3354" s="79">
        <v>45084.534803240742</v>
      </c>
      <c r="Q3354" s="77" t="s">
        <v>4128</v>
      </c>
      <c r="R3354" s="77">
        <v>0</v>
      </c>
      <c r="S3354" s="77">
        <v>10</v>
      </c>
      <c r="T3354" s="77">
        <v>0</v>
      </c>
      <c r="U3354" s="77">
        <v>0</v>
      </c>
      <c r="V3354" s="77">
        <v>1558</v>
      </c>
      <c r="W3354" s="82" t="s">
        <v>6551</v>
      </c>
      <c r="X3354" s="80" t="str">
        <f>HYPERLINK("https://www.moneytimes.com.br/itausa-itsa4-despeja-r-11-bilhao-em-acoes-da-xp-no-mercado/")</f>
        <v>https://www.moneytimes.com.br/itausa-itsa4-despeja-r-11-bilhao-em-acoes-da-xp-no-mercado/</v>
      </c>
      <c r="Y3354" s="77" t="s">
        <v>7053</v>
      </c>
      <c r="Z3354" s="77"/>
      <c r="AA3354" s="77"/>
      <c r="AB3354" s="77"/>
      <c r="AC3354" s="82" t="s">
        <v>8255</v>
      </c>
      <c r="AD3354" s="77" t="s">
        <v>8278</v>
      </c>
      <c r="AE3354" s="80" t="str">
        <f>HYPERLINK("https://twitter.com/leiamoneytimes/status/1666427317332193281")</f>
        <v>https://twitter.com/leiamoneytimes/status/1666427317332193281</v>
      </c>
      <c r="AF3354" s="79">
        <v>45084.534803240742</v>
      </c>
      <c r="AG3354" s="85">
        <v>45084</v>
      </c>
      <c r="AH3354" s="82" t="s">
        <v>11359</v>
      </c>
      <c r="AI3354" s="77" t="b">
        <v>0</v>
      </c>
      <c r="AJ3354" s="77"/>
      <c r="AK3354" s="77"/>
      <c r="AL3354" s="77"/>
      <c r="AM3354" s="77"/>
      <c r="AN3354" s="77"/>
      <c r="AO3354" s="77"/>
      <c r="AP3354" s="77"/>
      <c r="AQ3354" s="77"/>
      <c r="AR3354" s="77"/>
      <c r="AS3354" s="77"/>
      <c r="AT3354" s="77"/>
      <c r="AU3354" s="77"/>
      <c r="AV3354" s="80" t="str">
        <f>HYPERLINK("https://pbs.twimg.com/profile_images/1559883556846977024/bXHnQFY0_normal.jpg")</f>
        <v>https://pbs.twimg.com/profile_images/1559883556846977024/bXHnQFY0_normal.jpg</v>
      </c>
      <c r="AW3354" s="82" t="s">
        <v>16438</v>
      </c>
      <c r="AX3354" s="82" t="s">
        <v>16438</v>
      </c>
      <c r="AY3354" s="77"/>
      <c r="AZ3354" s="82" t="s">
        <v>17385</v>
      </c>
      <c r="BA3354" s="82" t="s">
        <v>17385</v>
      </c>
      <c r="BB3354" s="82" t="s">
        <v>17385</v>
      </c>
      <c r="BC3354" s="82" t="s">
        <v>16438</v>
      </c>
      <c r="BD3354" s="77">
        <v>51150679</v>
      </c>
      <c r="BE3354" s="77"/>
      <c r="BF3354" s="77"/>
      <c r="BG3354" s="77"/>
      <c r="BH3354" s="77"/>
      <c r="BI3354" s="77"/>
    </row>
    <row r="3355" spans="1:61" x14ac:dyDescent="0.25">
      <c r="A3355" s="62" t="s">
        <v>605</v>
      </c>
      <c r="B3355" s="62" t="s">
        <v>605</v>
      </c>
      <c r="C3355" s="63"/>
      <c r="D3355" s="64"/>
      <c r="E3355" s="65"/>
      <c r="F3355" s="66"/>
      <c r="G3355" s="63"/>
      <c r="H3355" s="67"/>
      <c r="I3355" s="68"/>
      <c r="J3355" s="68"/>
      <c r="K3355" s="32"/>
      <c r="L3355" s="75">
        <v>3355</v>
      </c>
      <c r="M3355" s="75"/>
      <c r="N3355" s="70"/>
      <c r="O3355" s="77" t="s">
        <v>179</v>
      </c>
      <c r="P3355" s="79">
        <v>45084.500567129631</v>
      </c>
      <c r="Q3355" s="77" t="s">
        <v>4129</v>
      </c>
      <c r="R3355" s="77">
        <v>0</v>
      </c>
      <c r="S3355" s="77">
        <v>5</v>
      </c>
      <c r="T3355" s="77">
        <v>0</v>
      </c>
      <c r="U3355" s="77">
        <v>0</v>
      </c>
      <c r="V3355" s="77">
        <v>1126</v>
      </c>
      <c r="W3355" s="82" t="s">
        <v>6632</v>
      </c>
      <c r="X3355" s="80" t="str">
        <f>HYPERLINK("https://www.moneytimes.com.br/irb-irbr3-vai-emitir-r-250-mi-em-debentures-para-auxiliar-cobertura-de-provisoes/")</f>
        <v>https://www.moneytimes.com.br/irb-irbr3-vai-emitir-r-250-mi-em-debentures-para-auxiliar-cobertura-de-provisoes/</v>
      </c>
      <c r="Y3355" s="77" t="s">
        <v>7053</v>
      </c>
      <c r="Z3355" s="77"/>
      <c r="AA3355" s="77"/>
      <c r="AB3355" s="77"/>
      <c r="AC3355" s="82" t="s">
        <v>8255</v>
      </c>
      <c r="AD3355" s="77" t="s">
        <v>8278</v>
      </c>
      <c r="AE3355" s="80" t="str">
        <f>HYPERLINK("https://twitter.com/leiamoneytimes/status/1666414909821730816")</f>
        <v>https://twitter.com/leiamoneytimes/status/1666414909821730816</v>
      </c>
      <c r="AF3355" s="79">
        <v>45084.500567129631</v>
      </c>
      <c r="AG3355" s="85">
        <v>45084</v>
      </c>
      <c r="AH3355" s="82" t="s">
        <v>11360</v>
      </c>
      <c r="AI3355" s="77" t="b">
        <v>0</v>
      </c>
      <c r="AJ3355" s="77"/>
      <c r="AK3355" s="77"/>
      <c r="AL3355" s="77"/>
      <c r="AM3355" s="77"/>
      <c r="AN3355" s="77"/>
      <c r="AO3355" s="77"/>
      <c r="AP3355" s="77"/>
      <c r="AQ3355" s="77"/>
      <c r="AR3355" s="77"/>
      <c r="AS3355" s="77"/>
      <c r="AT3355" s="77"/>
      <c r="AU3355" s="77"/>
      <c r="AV3355" s="80" t="str">
        <f>HYPERLINK("https://pbs.twimg.com/profile_images/1559883556846977024/bXHnQFY0_normal.jpg")</f>
        <v>https://pbs.twimg.com/profile_images/1559883556846977024/bXHnQFY0_normal.jpg</v>
      </c>
      <c r="AW3355" s="82" t="s">
        <v>16439</v>
      </c>
      <c r="AX3355" s="82" t="s">
        <v>16439</v>
      </c>
      <c r="AY3355" s="77"/>
      <c r="AZ3355" s="82" t="s">
        <v>17385</v>
      </c>
      <c r="BA3355" s="82" t="s">
        <v>17385</v>
      </c>
      <c r="BB3355" s="82" t="s">
        <v>17385</v>
      </c>
      <c r="BC3355" s="82" t="s">
        <v>16439</v>
      </c>
      <c r="BD3355" s="77">
        <v>51150679</v>
      </c>
      <c r="BE3355" s="77"/>
      <c r="BF3355" s="77"/>
      <c r="BG3355" s="77"/>
      <c r="BH3355" s="77"/>
      <c r="BI3355" s="77"/>
    </row>
    <row r="3356" spans="1:61" x14ac:dyDescent="0.25">
      <c r="A3356" s="62" t="s">
        <v>605</v>
      </c>
      <c r="B3356" s="62" t="s">
        <v>605</v>
      </c>
      <c r="C3356" s="63"/>
      <c r="D3356" s="64"/>
      <c r="E3356" s="65"/>
      <c r="F3356" s="66"/>
      <c r="G3356" s="63"/>
      <c r="H3356" s="67"/>
      <c r="I3356" s="68"/>
      <c r="J3356" s="68"/>
      <c r="K3356" s="32"/>
      <c r="L3356" s="75">
        <v>3356</v>
      </c>
      <c r="M3356" s="75"/>
      <c r="N3356" s="70"/>
      <c r="O3356" s="77" t="s">
        <v>179</v>
      </c>
      <c r="P3356" s="79">
        <v>45084.453657407408</v>
      </c>
      <c r="Q3356" s="77" t="s">
        <v>4130</v>
      </c>
      <c r="R3356" s="77">
        <v>0</v>
      </c>
      <c r="S3356" s="77">
        <v>3</v>
      </c>
      <c r="T3356" s="77">
        <v>0</v>
      </c>
      <c r="U3356" s="77">
        <v>0</v>
      </c>
      <c r="V3356" s="77">
        <v>1263</v>
      </c>
      <c r="W3356" s="82" t="s">
        <v>6598</v>
      </c>
      <c r="X3356" s="80" t="str">
        <f>HYPERLINK("https://www.moneytimes.com.br/bolsa-asiaticas-acoes-blue-chips-da-china-caem-com-dados-fracos-de-balanca-comercial/")</f>
        <v>https://www.moneytimes.com.br/bolsa-asiaticas-acoes-blue-chips-da-china-caem-com-dados-fracos-de-balanca-comercial/</v>
      </c>
      <c r="Y3356" s="77" t="s">
        <v>7053</v>
      </c>
      <c r="Z3356" s="77"/>
      <c r="AA3356" s="77"/>
      <c r="AB3356" s="77"/>
      <c r="AC3356" s="82" t="s">
        <v>8255</v>
      </c>
      <c r="AD3356" s="77" t="s">
        <v>8278</v>
      </c>
      <c r="AE3356" s="80" t="str">
        <f>HYPERLINK("https://twitter.com/leiamoneytimes/status/1666397910727049217")</f>
        <v>https://twitter.com/leiamoneytimes/status/1666397910727049217</v>
      </c>
      <c r="AF3356" s="79">
        <v>45084.453657407408</v>
      </c>
      <c r="AG3356" s="85">
        <v>45084</v>
      </c>
      <c r="AH3356" s="82" t="s">
        <v>11361</v>
      </c>
      <c r="AI3356" s="77" t="b">
        <v>0</v>
      </c>
      <c r="AJ3356" s="77"/>
      <c r="AK3356" s="77"/>
      <c r="AL3356" s="77"/>
      <c r="AM3356" s="77"/>
      <c r="AN3356" s="77"/>
      <c r="AO3356" s="77"/>
      <c r="AP3356" s="77"/>
      <c r="AQ3356" s="77"/>
      <c r="AR3356" s="77"/>
      <c r="AS3356" s="77"/>
      <c r="AT3356" s="77"/>
      <c r="AU3356" s="77"/>
      <c r="AV3356" s="80" t="str">
        <f>HYPERLINK("https://pbs.twimg.com/profile_images/1559883556846977024/bXHnQFY0_normal.jpg")</f>
        <v>https://pbs.twimg.com/profile_images/1559883556846977024/bXHnQFY0_normal.jpg</v>
      </c>
      <c r="AW3356" s="82" t="s">
        <v>16440</v>
      </c>
      <c r="AX3356" s="82" t="s">
        <v>16440</v>
      </c>
      <c r="AY3356" s="77"/>
      <c r="AZ3356" s="82" t="s">
        <v>17385</v>
      </c>
      <c r="BA3356" s="82" t="s">
        <v>17385</v>
      </c>
      <c r="BB3356" s="82" t="s">
        <v>17385</v>
      </c>
      <c r="BC3356" s="82" t="s">
        <v>16440</v>
      </c>
      <c r="BD3356" s="77">
        <v>51150679</v>
      </c>
      <c r="BE3356" s="77"/>
      <c r="BF3356" s="77"/>
      <c r="BG3356" s="77"/>
      <c r="BH3356" s="77"/>
      <c r="BI3356" s="77"/>
    </row>
    <row r="3357" spans="1:61" x14ac:dyDescent="0.25">
      <c r="A3357" s="62" t="s">
        <v>605</v>
      </c>
      <c r="B3357" s="62" t="s">
        <v>605</v>
      </c>
      <c r="C3357" s="63"/>
      <c r="D3357" s="64"/>
      <c r="E3357" s="65"/>
      <c r="F3357" s="66"/>
      <c r="G3357" s="63"/>
      <c r="H3357" s="67"/>
      <c r="I3357" s="68"/>
      <c r="J3357" s="68"/>
      <c r="K3357" s="32"/>
      <c r="L3357" s="75">
        <v>3357</v>
      </c>
      <c r="M3357" s="75"/>
      <c r="N3357" s="70"/>
      <c r="O3357" s="77" t="s">
        <v>179</v>
      </c>
      <c r="P3357" s="79">
        <v>45070.82340277778</v>
      </c>
      <c r="Q3357" s="77" t="s">
        <v>4131</v>
      </c>
      <c r="R3357" s="77">
        <v>0</v>
      </c>
      <c r="S3357" s="77">
        <v>2</v>
      </c>
      <c r="T3357" s="77">
        <v>0</v>
      </c>
      <c r="U3357" s="77">
        <v>0</v>
      </c>
      <c r="V3357" s="77">
        <v>1099</v>
      </c>
      <c r="W3357" s="82" t="s">
        <v>6633</v>
      </c>
      <c r="X3357" s="80" t="str">
        <f>HYPERLINK("https://www.moneytimes.com.br/imposto-de-renda-2023-como-declarar-acoes-dividendos-cdbs-e-outros/")</f>
        <v>https://www.moneytimes.com.br/imposto-de-renda-2023-como-declarar-acoes-dividendos-cdbs-e-outros/</v>
      </c>
      <c r="Y3357" s="77" t="s">
        <v>7053</v>
      </c>
      <c r="Z3357" s="77"/>
      <c r="AA3357" s="77"/>
      <c r="AB3357" s="77"/>
      <c r="AC3357" s="82" t="s">
        <v>8255</v>
      </c>
      <c r="AD3357" s="77" t="s">
        <v>8278</v>
      </c>
      <c r="AE3357" s="80" t="str">
        <f>HYPERLINK("https://twitter.com/leiamoneytimes/status/1661458468962697218")</f>
        <v>https://twitter.com/leiamoneytimes/status/1661458468962697218</v>
      </c>
      <c r="AF3357" s="79">
        <v>45070.82340277778</v>
      </c>
      <c r="AG3357" s="85">
        <v>45070</v>
      </c>
      <c r="AH3357" s="82" t="s">
        <v>11362</v>
      </c>
      <c r="AI3357" s="77" t="b">
        <v>0</v>
      </c>
      <c r="AJ3357" s="77"/>
      <c r="AK3357" s="77"/>
      <c r="AL3357" s="77"/>
      <c r="AM3357" s="77"/>
      <c r="AN3357" s="77"/>
      <c r="AO3357" s="77"/>
      <c r="AP3357" s="77"/>
      <c r="AQ3357" s="77"/>
      <c r="AR3357" s="77"/>
      <c r="AS3357" s="77"/>
      <c r="AT3357" s="77"/>
      <c r="AU3357" s="77"/>
      <c r="AV3357" s="80" t="str">
        <f>HYPERLINK("https://pbs.twimg.com/profile_images/1559883556846977024/bXHnQFY0_normal.jpg")</f>
        <v>https://pbs.twimg.com/profile_images/1559883556846977024/bXHnQFY0_normal.jpg</v>
      </c>
      <c r="AW3357" s="82" t="s">
        <v>16441</v>
      </c>
      <c r="AX3357" s="82" t="s">
        <v>16441</v>
      </c>
      <c r="AY3357" s="77"/>
      <c r="AZ3357" s="82" t="s">
        <v>17385</v>
      </c>
      <c r="BA3357" s="82" t="s">
        <v>17385</v>
      </c>
      <c r="BB3357" s="82" t="s">
        <v>17385</v>
      </c>
      <c r="BC3357" s="82" t="s">
        <v>16441</v>
      </c>
      <c r="BD3357" s="77">
        <v>51150679</v>
      </c>
      <c r="BE3357" s="77"/>
      <c r="BF3357" s="77"/>
      <c r="BG3357" s="77"/>
      <c r="BH3357" s="77"/>
      <c r="BI3357" s="77"/>
    </row>
    <row r="3358" spans="1:61" x14ac:dyDescent="0.25">
      <c r="A3358" s="62" t="s">
        <v>605</v>
      </c>
      <c r="B3358" s="62" t="s">
        <v>605</v>
      </c>
      <c r="C3358" s="63"/>
      <c r="D3358" s="64"/>
      <c r="E3358" s="65"/>
      <c r="F3358" s="66"/>
      <c r="G3358" s="63"/>
      <c r="H3358" s="67"/>
      <c r="I3358" s="68"/>
      <c r="J3358" s="68"/>
      <c r="K3358" s="32"/>
      <c r="L3358" s="75">
        <v>3358</v>
      </c>
      <c r="M3358" s="75"/>
      <c r="N3358" s="70"/>
      <c r="O3358" s="77" t="s">
        <v>179</v>
      </c>
      <c r="P3358" s="79">
        <v>45070.758252314816</v>
      </c>
      <c r="Q3358" s="77" t="s">
        <v>4132</v>
      </c>
      <c r="R3358" s="77">
        <v>1</v>
      </c>
      <c r="S3358" s="77">
        <v>15</v>
      </c>
      <c r="T3358" s="77">
        <v>0</v>
      </c>
      <c r="U3358" s="77">
        <v>0</v>
      </c>
      <c r="V3358" s="77">
        <v>1985</v>
      </c>
      <c r="W3358" s="82" t="s">
        <v>6559</v>
      </c>
      <c r="X3358" s="80" t="str">
        <f>HYPERLINK("https://www.moneytimes.com.br/gringos-vendem-quase-r-1-bi-em-acoes-na-b3-em-3-dias-confira-o-saldo-no-mes/")</f>
        <v>https://www.moneytimes.com.br/gringos-vendem-quase-r-1-bi-em-acoes-na-b3-em-3-dias-confira-o-saldo-no-mes/</v>
      </c>
      <c r="Y3358" s="77" t="s">
        <v>7053</v>
      </c>
      <c r="Z3358" s="77"/>
      <c r="AA3358" s="77"/>
      <c r="AB3358" s="77"/>
      <c r="AC3358" s="82" t="s">
        <v>8255</v>
      </c>
      <c r="AD3358" s="77" t="s">
        <v>8278</v>
      </c>
      <c r="AE3358" s="80" t="str">
        <f>HYPERLINK("https://twitter.com/leiamoneytimes/status/1661434862119649301")</f>
        <v>https://twitter.com/leiamoneytimes/status/1661434862119649301</v>
      </c>
      <c r="AF3358" s="79">
        <v>45070.758252314816</v>
      </c>
      <c r="AG3358" s="85">
        <v>45070</v>
      </c>
      <c r="AH3358" s="82" t="s">
        <v>11363</v>
      </c>
      <c r="AI3358" s="77" t="b">
        <v>0</v>
      </c>
      <c r="AJ3358" s="77"/>
      <c r="AK3358" s="77"/>
      <c r="AL3358" s="77"/>
      <c r="AM3358" s="77"/>
      <c r="AN3358" s="77"/>
      <c r="AO3358" s="77"/>
      <c r="AP3358" s="77"/>
      <c r="AQ3358" s="77"/>
      <c r="AR3358" s="77"/>
      <c r="AS3358" s="77"/>
      <c r="AT3358" s="77"/>
      <c r="AU3358" s="77"/>
      <c r="AV3358" s="80" t="str">
        <f>HYPERLINK("https://pbs.twimg.com/profile_images/1559883556846977024/bXHnQFY0_normal.jpg")</f>
        <v>https://pbs.twimg.com/profile_images/1559883556846977024/bXHnQFY0_normal.jpg</v>
      </c>
      <c r="AW3358" s="82" t="s">
        <v>16442</v>
      </c>
      <c r="AX3358" s="82" t="s">
        <v>16442</v>
      </c>
      <c r="AY3358" s="77"/>
      <c r="AZ3358" s="82" t="s">
        <v>17385</v>
      </c>
      <c r="BA3358" s="82" t="s">
        <v>17385</v>
      </c>
      <c r="BB3358" s="82" t="s">
        <v>17385</v>
      </c>
      <c r="BC3358" s="82" t="s">
        <v>16442</v>
      </c>
      <c r="BD3358" s="77">
        <v>51150679</v>
      </c>
      <c r="BE3358" s="77"/>
      <c r="BF3358" s="77"/>
      <c r="BG3358" s="77"/>
      <c r="BH3358" s="77"/>
      <c r="BI3358" s="77"/>
    </row>
    <row r="3359" spans="1:61" x14ac:dyDescent="0.25">
      <c r="A3359" s="62" t="s">
        <v>605</v>
      </c>
      <c r="B3359" s="62" t="s">
        <v>605</v>
      </c>
      <c r="C3359" s="63"/>
      <c r="D3359" s="64"/>
      <c r="E3359" s="65"/>
      <c r="F3359" s="66"/>
      <c r="G3359" s="63"/>
      <c r="H3359" s="67"/>
      <c r="I3359" s="68"/>
      <c r="J3359" s="68"/>
      <c r="K3359" s="32"/>
      <c r="L3359" s="75">
        <v>3359</v>
      </c>
      <c r="M3359" s="75"/>
      <c r="N3359" s="70"/>
      <c r="O3359" s="77" t="s">
        <v>179</v>
      </c>
      <c r="P3359" s="79">
        <v>45070.751435185186</v>
      </c>
      <c r="Q3359" s="77" t="s">
        <v>4133</v>
      </c>
      <c r="R3359" s="77">
        <v>0</v>
      </c>
      <c r="S3359" s="77">
        <v>2</v>
      </c>
      <c r="T3359" s="77">
        <v>0</v>
      </c>
      <c r="U3359" s="77">
        <v>0</v>
      </c>
      <c r="V3359" s="77">
        <v>1037</v>
      </c>
      <c r="W3359" s="82" t="s">
        <v>6617</v>
      </c>
      <c r="X3359" s="80" t="str">
        <f>HYPERLINK("https://www.moneytimes.com.br/dividendos-brasileiros-caem-no-1t23-e-vale-vale3-tem-culpa-nisso-entenda/")</f>
        <v>https://www.moneytimes.com.br/dividendos-brasileiros-caem-no-1t23-e-vale-vale3-tem-culpa-nisso-entenda/</v>
      </c>
      <c r="Y3359" s="77" t="s">
        <v>7053</v>
      </c>
      <c r="Z3359" s="77"/>
      <c r="AA3359" s="77"/>
      <c r="AB3359" s="77"/>
      <c r="AC3359" s="82" t="s">
        <v>8255</v>
      </c>
      <c r="AD3359" s="77" t="s">
        <v>8278</v>
      </c>
      <c r="AE3359" s="80" t="str">
        <f>HYPERLINK("https://twitter.com/leiamoneytimes/status/1661432389548093441")</f>
        <v>https://twitter.com/leiamoneytimes/status/1661432389548093441</v>
      </c>
      <c r="AF3359" s="79">
        <v>45070.751435185186</v>
      </c>
      <c r="AG3359" s="85">
        <v>45070</v>
      </c>
      <c r="AH3359" s="82" t="s">
        <v>11364</v>
      </c>
      <c r="AI3359" s="77" t="b">
        <v>0</v>
      </c>
      <c r="AJ3359" s="77"/>
      <c r="AK3359" s="77"/>
      <c r="AL3359" s="77"/>
      <c r="AM3359" s="77"/>
      <c r="AN3359" s="77"/>
      <c r="AO3359" s="77"/>
      <c r="AP3359" s="77"/>
      <c r="AQ3359" s="77"/>
      <c r="AR3359" s="77"/>
      <c r="AS3359" s="77"/>
      <c r="AT3359" s="77"/>
      <c r="AU3359" s="77"/>
      <c r="AV3359" s="80" t="str">
        <f>HYPERLINK("https://pbs.twimg.com/profile_images/1559883556846977024/bXHnQFY0_normal.jpg")</f>
        <v>https://pbs.twimg.com/profile_images/1559883556846977024/bXHnQFY0_normal.jpg</v>
      </c>
      <c r="AW3359" s="82" t="s">
        <v>16443</v>
      </c>
      <c r="AX3359" s="82" t="s">
        <v>16443</v>
      </c>
      <c r="AY3359" s="77"/>
      <c r="AZ3359" s="82" t="s">
        <v>17385</v>
      </c>
      <c r="BA3359" s="82" t="s">
        <v>17385</v>
      </c>
      <c r="BB3359" s="82" t="s">
        <v>17385</v>
      </c>
      <c r="BC3359" s="82" t="s">
        <v>16443</v>
      </c>
      <c r="BD3359" s="77">
        <v>51150679</v>
      </c>
      <c r="BE3359" s="77"/>
      <c r="BF3359" s="77"/>
      <c r="BG3359" s="77"/>
      <c r="BH3359" s="77"/>
      <c r="BI3359" s="77"/>
    </row>
    <row r="3360" spans="1:61" x14ac:dyDescent="0.25">
      <c r="A3360" s="62" t="s">
        <v>605</v>
      </c>
      <c r="B3360" s="62" t="s">
        <v>605</v>
      </c>
      <c r="C3360" s="63"/>
      <c r="D3360" s="64"/>
      <c r="E3360" s="65"/>
      <c r="F3360" s="66"/>
      <c r="G3360" s="63"/>
      <c r="H3360" s="67"/>
      <c r="I3360" s="68"/>
      <c r="J3360" s="68"/>
      <c r="K3360" s="32"/>
      <c r="L3360" s="75">
        <v>3360</v>
      </c>
      <c r="M3360" s="75"/>
      <c r="N3360" s="70"/>
      <c r="O3360" s="77" t="s">
        <v>179</v>
      </c>
      <c r="P3360" s="79">
        <v>45070.711180555554</v>
      </c>
      <c r="Q3360" s="77" t="s">
        <v>4134</v>
      </c>
      <c r="R3360" s="77">
        <v>1</v>
      </c>
      <c r="S3360" s="77">
        <v>1</v>
      </c>
      <c r="T3360" s="77">
        <v>0</v>
      </c>
      <c r="U3360" s="77">
        <v>0</v>
      </c>
      <c r="V3360" s="77">
        <v>1246</v>
      </c>
      <c r="W3360" s="82" t="s">
        <v>6634</v>
      </c>
      <c r="X3360" s="80" t="str">
        <f>HYPERLINK("https://www.moneytimes.com.br/bolsas-europeias-acoes-tem-pior-pregao-em-2-meses-com-inflacao-no-reino-unido-e-preocupacao-sobre-divida-dos-eua/")</f>
        <v>https://www.moneytimes.com.br/bolsas-europeias-acoes-tem-pior-pregao-em-2-meses-com-inflacao-no-reino-unido-e-preocupacao-sobre-divida-dos-eua/</v>
      </c>
      <c r="Y3360" s="77" t="s">
        <v>7053</v>
      </c>
      <c r="Z3360" s="77"/>
      <c r="AA3360" s="77"/>
      <c r="AB3360" s="77"/>
      <c r="AC3360" s="82" t="s">
        <v>8255</v>
      </c>
      <c r="AD3360" s="77" t="s">
        <v>8278</v>
      </c>
      <c r="AE3360" s="80" t="str">
        <f>HYPERLINK("https://twitter.com/leiamoneytimes/status/1661417804837290006")</f>
        <v>https://twitter.com/leiamoneytimes/status/1661417804837290006</v>
      </c>
      <c r="AF3360" s="79">
        <v>45070.711180555554</v>
      </c>
      <c r="AG3360" s="85">
        <v>45070</v>
      </c>
      <c r="AH3360" s="82" t="s">
        <v>11365</v>
      </c>
      <c r="AI3360" s="77" t="b">
        <v>0</v>
      </c>
      <c r="AJ3360" s="77"/>
      <c r="AK3360" s="77"/>
      <c r="AL3360" s="77"/>
      <c r="AM3360" s="77"/>
      <c r="AN3360" s="77"/>
      <c r="AO3360" s="77"/>
      <c r="AP3360" s="77"/>
      <c r="AQ3360" s="77"/>
      <c r="AR3360" s="77"/>
      <c r="AS3360" s="77"/>
      <c r="AT3360" s="77"/>
      <c r="AU3360" s="77"/>
      <c r="AV3360" s="80" t="str">
        <f>HYPERLINK("https://pbs.twimg.com/profile_images/1559883556846977024/bXHnQFY0_normal.jpg")</f>
        <v>https://pbs.twimg.com/profile_images/1559883556846977024/bXHnQFY0_normal.jpg</v>
      </c>
      <c r="AW3360" s="82" t="s">
        <v>16444</v>
      </c>
      <c r="AX3360" s="82" t="s">
        <v>16444</v>
      </c>
      <c r="AY3360" s="77"/>
      <c r="AZ3360" s="82" t="s">
        <v>17385</v>
      </c>
      <c r="BA3360" s="82" t="s">
        <v>17385</v>
      </c>
      <c r="BB3360" s="82" t="s">
        <v>17385</v>
      </c>
      <c r="BC3360" s="82" t="s">
        <v>16444</v>
      </c>
      <c r="BD3360" s="77">
        <v>51150679</v>
      </c>
      <c r="BE3360" s="77"/>
      <c r="BF3360" s="77"/>
      <c r="BG3360" s="77"/>
      <c r="BH3360" s="77"/>
      <c r="BI3360" s="77"/>
    </row>
    <row r="3361" spans="1:61" x14ac:dyDescent="0.25">
      <c r="A3361" s="62" t="s">
        <v>605</v>
      </c>
      <c r="B3361" s="62" t="s">
        <v>605</v>
      </c>
      <c r="C3361" s="63"/>
      <c r="D3361" s="64"/>
      <c r="E3361" s="65"/>
      <c r="F3361" s="66"/>
      <c r="G3361" s="63"/>
      <c r="H3361" s="67"/>
      <c r="I3361" s="68"/>
      <c r="J3361" s="68"/>
      <c r="K3361" s="32"/>
      <c r="L3361" s="75">
        <v>3361</v>
      </c>
      <c r="M3361" s="75"/>
      <c r="N3361" s="70"/>
      <c r="O3361" s="77" t="s">
        <v>179</v>
      </c>
      <c r="P3361" s="79">
        <v>45070.670358796298</v>
      </c>
      <c r="Q3361" s="77" t="s">
        <v>4135</v>
      </c>
      <c r="R3361" s="77">
        <v>1</v>
      </c>
      <c r="S3361" s="77">
        <v>5</v>
      </c>
      <c r="T3361" s="77">
        <v>0</v>
      </c>
      <c r="U3361" s="77">
        <v>0</v>
      </c>
      <c r="V3361" s="77">
        <v>1400</v>
      </c>
      <c r="W3361" s="82" t="s">
        <v>6635</v>
      </c>
      <c r="X3361" s="80" t="str">
        <f>HYPERLINK("https://www.moneytimes.com.br/ibovespa-por-que-vale-vale3-volta-a-cair-nesta-quarta-24/")</f>
        <v>https://www.moneytimes.com.br/ibovespa-por-que-vale-vale3-volta-a-cair-nesta-quarta-24/</v>
      </c>
      <c r="Y3361" s="77" t="s">
        <v>7053</v>
      </c>
      <c r="Z3361" s="77"/>
      <c r="AA3361" s="77"/>
      <c r="AB3361" s="77"/>
      <c r="AC3361" s="82" t="s">
        <v>8255</v>
      </c>
      <c r="AD3361" s="77" t="s">
        <v>8278</v>
      </c>
      <c r="AE3361" s="80" t="str">
        <f>HYPERLINK("https://twitter.com/leiamoneytimes/status/1661403008687656963")</f>
        <v>https://twitter.com/leiamoneytimes/status/1661403008687656963</v>
      </c>
      <c r="AF3361" s="79">
        <v>45070.670358796298</v>
      </c>
      <c r="AG3361" s="85">
        <v>45070</v>
      </c>
      <c r="AH3361" s="82" t="s">
        <v>11366</v>
      </c>
      <c r="AI3361" s="77" t="b">
        <v>0</v>
      </c>
      <c r="AJ3361" s="77"/>
      <c r="AK3361" s="77"/>
      <c r="AL3361" s="77"/>
      <c r="AM3361" s="77"/>
      <c r="AN3361" s="77"/>
      <c r="AO3361" s="77"/>
      <c r="AP3361" s="77"/>
      <c r="AQ3361" s="77"/>
      <c r="AR3361" s="77"/>
      <c r="AS3361" s="77"/>
      <c r="AT3361" s="77"/>
      <c r="AU3361" s="77"/>
      <c r="AV3361" s="80" t="str">
        <f>HYPERLINK("https://pbs.twimg.com/profile_images/1559883556846977024/bXHnQFY0_normal.jpg")</f>
        <v>https://pbs.twimg.com/profile_images/1559883556846977024/bXHnQFY0_normal.jpg</v>
      </c>
      <c r="AW3361" s="82" t="s">
        <v>16445</v>
      </c>
      <c r="AX3361" s="82" t="s">
        <v>16445</v>
      </c>
      <c r="AY3361" s="77"/>
      <c r="AZ3361" s="82" t="s">
        <v>17385</v>
      </c>
      <c r="BA3361" s="82" t="s">
        <v>17385</v>
      </c>
      <c r="BB3361" s="82" t="s">
        <v>17385</v>
      </c>
      <c r="BC3361" s="82" t="s">
        <v>16445</v>
      </c>
      <c r="BD3361" s="77">
        <v>51150679</v>
      </c>
      <c r="BE3361" s="77"/>
      <c r="BF3361" s="77"/>
      <c r="BG3361" s="77"/>
      <c r="BH3361" s="77"/>
      <c r="BI3361" s="77"/>
    </row>
    <row r="3362" spans="1:61" x14ac:dyDescent="0.25">
      <c r="A3362" s="62" t="s">
        <v>605</v>
      </c>
      <c r="B3362" s="62" t="s">
        <v>605</v>
      </c>
      <c r="C3362" s="63"/>
      <c r="D3362" s="64"/>
      <c r="E3362" s="65"/>
      <c r="F3362" s="66"/>
      <c r="G3362" s="63"/>
      <c r="H3362" s="67"/>
      <c r="I3362" s="68"/>
      <c r="J3362" s="68"/>
      <c r="K3362" s="32"/>
      <c r="L3362" s="75">
        <v>3362</v>
      </c>
      <c r="M3362" s="75"/>
      <c r="N3362" s="70"/>
      <c r="O3362" s="77" t="s">
        <v>179</v>
      </c>
      <c r="P3362" s="79">
        <v>45070.661527777775</v>
      </c>
      <c r="Q3362" s="77" t="s">
        <v>4136</v>
      </c>
      <c r="R3362" s="77">
        <v>1</v>
      </c>
      <c r="S3362" s="77">
        <v>3</v>
      </c>
      <c r="T3362" s="77">
        <v>0</v>
      </c>
      <c r="U3362" s="77">
        <v>0</v>
      </c>
      <c r="V3362" s="77">
        <v>1496</v>
      </c>
      <c r="W3362" s="82" t="s">
        <v>6636</v>
      </c>
      <c r="X3362" s="80" t="str">
        <f>HYPERLINK("https://www.moneytimes.com.br/bilionarios-homem-mais-rico-do-mundo-perde-us-11-bilhoes-em-um-dia-entenda-o-motivo-da-queda/")</f>
        <v>https://www.moneytimes.com.br/bilionarios-homem-mais-rico-do-mundo-perde-us-11-bilhoes-em-um-dia-entenda-o-motivo-da-queda/</v>
      </c>
      <c r="Y3362" s="77" t="s">
        <v>7053</v>
      </c>
      <c r="Z3362" s="77"/>
      <c r="AA3362" s="77"/>
      <c r="AB3362" s="77"/>
      <c r="AC3362" s="82" t="s">
        <v>8255</v>
      </c>
      <c r="AD3362" s="77" t="s">
        <v>8278</v>
      </c>
      <c r="AE3362" s="80" t="str">
        <f>HYPERLINK("https://twitter.com/leiamoneytimes/status/1661399810316943362")</f>
        <v>https://twitter.com/leiamoneytimes/status/1661399810316943362</v>
      </c>
      <c r="AF3362" s="79">
        <v>45070.661527777775</v>
      </c>
      <c r="AG3362" s="85">
        <v>45070</v>
      </c>
      <c r="AH3362" s="82" t="s">
        <v>11367</v>
      </c>
      <c r="AI3362" s="77" t="b">
        <v>0</v>
      </c>
      <c r="AJ3362" s="77"/>
      <c r="AK3362" s="77"/>
      <c r="AL3362" s="77"/>
      <c r="AM3362" s="77"/>
      <c r="AN3362" s="77"/>
      <c r="AO3362" s="77"/>
      <c r="AP3362" s="77"/>
      <c r="AQ3362" s="77"/>
      <c r="AR3362" s="77"/>
      <c r="AS3362" s="77"/>
      <c r="AT3362" s="77"/>
      <c r="AU3362" s="77"/>
      <c r="AV3362" s="80" t="str">
        <f>HYPERLINK("https://pbs.twimg.com/profile_images/1559883556846977024/bXHnQFY0_normal.jpg")</f>
        <v>https://pbs.twimg.com/profile_images/1559883556846977024/bXHnQFY0_normal.jpg</v>
      </c>
      <c r="AW3362" s="82" t="s">
        <v>16446</v>
      </c>
      <c r="AX3362" s="82" t="s">
        <v>16446</v>
      </c>
      <c r="AY3362" s="77"/>
      <c r="AZ3362" s="82" t="s">
        <v>17385</v>
      </c>
      <c r="BA3362" s="82" t="s">
        <v>17385</v>
      </c>
      <c r="BB3362" s="82" t="s">
        <v>17385</v>
      </c>
      <c r="BC3362" s="82" t="s">
        <v>16446</v>
      </c>
      <c r="BD3362" s="77">
        <v>51150679</v>
      </c>
      <c r="BE3362" s="77"/>
      <c r="BF3362" s="77"/>
      <c r="BG3362" s="77"/>
      <c r="BH3362" s="77"/>
      <c r="BI3362" s="77"/>
    </row>
    <row r="3363" spans="1:61" x14ac:dyDescent="0.25">
      <c r="A3363" s="62" t="s">
        <v>605</v>
      </c>
      <c r="B3363" s="62" t="s">
        <v>605</v>
      </c>
      <c r="C3363" s="63"/>
      <c r="D3363" s="64"/>
      <c r="E3363" s="65"/>
      <c r="F3363" s="66"/>
      <c r="G3363" s="63"/>
      <c r="H3363" s="67"/>
      <c r="I3363" s="68"/>
      <c r="J3363" s="68"/>
      <c r="K3363" s="32"/>
      <c r="L3363" s="75">
        <v>3363</v>
      </c>
      <c r="M3363" s="75"/>
      <c r="N3363" s="70"/>
      <c r="O3363" s="77" t="s">
        <v>179</v>
      </c>
      <c r="P3363" s="79">
        <v>45070.640694444446</v>
      </c>
      <c r="Q3363" s="77" t="s">
        <v>4137</v>
      </c>
      <c r="R3363" s="77">
        <v>0</v>
      </c>
      <c r="S3363" s="77">
        <v>3</v>
      </c>
      <c r="T3363" s="77">
        <v>0</v>
      </c>
      <c r="U3363" s="77">
        <v>0</v>
      </c>
      <c r="V3363" s="77">
        <v>1276</v>
      </c>
      <c r="W3363" s="82" t="s">
        <v>6609</v>
      </c>
      <c r="X3363" s="80" t="str">
        <f>HYPERLINK("https://www.moneytimes.com.br/por-que-petrobras-petr4-sobe-na-contramao-do-ibovespa-novela-com-ibama-ganha-mais-um-capitulo/")</f>
        <v>https://www.moneytimes.com.br/por-que-petrobras-petr4-sobe-na-contramao-do-ibovespa-novela-com-ibama-ganha-mais-um-capitulo/</v>
      </c>
      <c r="Y3363" s="77" t="s">
        <v>7053</v>
      </c>
      <c r="Z3363" s="77"/>
      <c r="AA3363" s="77"/>
      <c r="AB3363" s="77"/>
      <c r="AC3363" s="82" t="s">
        <v>8255</v>
      </c>
      <c r="AD3363" s="77" t="s">
        <v>8278</v>
      </c>
      <c r="AE3363" s="80" t="str">
        <f>HYPERLINK("https://twitter.com/leiamoneytimes/status/1661392259676291072")</f>
        <v>https://twitter.com/leiamoneytimes/status/1661392259676291072</v>
      </c>
      <c r="AF3363" s="79">
        <v>45070.640694444446</v>
      </c>
      <c r="AG3363" s="85">
        <v>45070</v>
      </c>
      <c r="AH3363" s="82" t="s">
        <v>11368</v>
      </c>
      <c r="AI3363" s="77" t="b">
        <v>0</v>
      </c>
      <c r="AJ3363" s="77"/>
      <c r="AK3363" s="77"/>
      <c r="AL3363" s="77"/>
      <c r="AM3363" s="77"/>
      <c r="AN3363" s="77"/>
      <c r="AO3363" s="77"/>
      <c r="AP3363" s="77"/>
      <c r="AQ3363" s="77"/>
      <c r="AR3363" s="77"/>
      <c r="AS3363" s="77"/>
      <c r="AT3363" s="77"/>
      <c r="AU3363" s="77"/>
      <c r="AV3363" s="80" t="str">
        <f>HYPERLINK("https://pbs.twimg.com/profile_images/1559883556846977024/bXHnQFY0_normal.jpg")</f>
        <v>https://pbs.twimg.com/profile_images/1559883556846977024/bXHnQFY0_normal.jpg</v>
      </c>
      <c r="AW3363" s="82" t="s">
        <v>16447</v>
      </c>
      <c r="AX3363" s="82" t="s">
        <v>16447</v>
      </c>
      <c r="AY3363" s="77"/>
      <c r="AZ3363" s="82" t="s">
        <v>17385</v>
      </c>
      <c r="BA3363" s="82" t="s">
        <v>17385</v>
      </c>
      <c r="BB3363" s="82" t="s">
        <v>17385</v>
      </c>
      <c r="BC3363" s="82" t="s">
        <v>16447</v>
      </c>
      <c r="BD3363" s="77">
        <v>51150679</v>
      </c>
      <c r="BE3363" s="77"/>
      <c r="BF3363" s="77"/>
      <c r="BG3363" s="77"/>
      <c r="BH3363" s="77"/>
      <c r="BI3363" s="77"/>
    </row>
    <row r="3364" spans="1:61" x14ac:dyDescent="0.25">
      <c r="A3364" s="62" t="s">
        <v>605</v>
      </c>
      <c r="B3364" s="62" t="s">
        <v>605</v>
      </c>
      <c r="C3364" s="63"/>
      <c r="D3364" s="64"/>
      <c r="E3364" s="65"/>
      <c r="F3364" s="66"/>
      <c r="G3364" s="63"/>
      <c r="H3364" s="67"/>
      <c r="I3364" s="68"/>
      <c r="J3364" s="68"/>
      <c r="K3364" s="32"/>
      <c r="L3364" s="75">
        <v>3364</v>
      </c>
      <c r="M3364" s="75"/>
      <c r="N3364" s="70"/>
      <c r="O3364" s="77" t="s">
        <v>179</v>
      </c>
      <c r="P3364" s="79">
        <v>45070.46670138889</v>
      </c>
      <c r="Q3364" s="77" t="s">
        <v>4138</v>
      </c>
      <c r="R3364" s="77">
        <v>0</v>
      </c>
      <c r="S3364" s="77">
        <v>4</v>
      </c>
      <c r="T3364" s="77">
        <v>0</v>
      </c>
      <c r="U3364" s="77">
        <v>0</v>
      </c>
      <c r="V3364" s="77">
        <v>1555</v>
      </c>
      <c r="W3364" s="82" t="s">
        <v>6637</v>
      </c>
      <c r="X3364" s="80" t="str">
        <f>HYPERLINK("https://www.moneytimes.com.br/potencial-da-petrobras-petr4-riscos-para-oi-oibr3-e-mais-destaques-desta-quarta-24/")</f>
        <v>https://www.moneytimes.com.br/potencial-da-petrobras-petr4-riscos-para-oi-oibr3-e-mais-destaques-desta-quarta-24/</v>
      </c>
      <c r="Y3364" s="77" t="s">
        <v>7053</v>
      </c>
      <c r="Z3364" s="77"/>
      <c r="AA3364" s="77"/>
      <c r="AB3364" s="77"/>
      <c r="AC3364" s="82" t="s">
        <v>8255</v>
      </c>
      <c r="AD3364" s="77" t="s">
        <v>8278</v>
      </c>
      <c r="AE3364" s="80" t="str">
        <f>HYPERLINK("https://twitter.com/leiamoneytimes/status/1661329208444944384")</f>
        <v>https://twitter.com/leiamoneytimes/status/1661329208444944384</v>
      </c>
      <c r="AF3364" s="79">
        <v>45070.46670138889</v>
      </c>
      <c r="AG3364" s="85">
        <v>45070</v>
      </c>
      <c r="AH3364" s="82" t="s">
        <v>9314</v>
      </c>
      <c r="AI3364" s="77" t="b">
        <v>0</v>
      </c>
      <c r="AJ3364" s="77"/>
      <c r="AK3364" s="77"/>
      <c r="AL3364" s="77"/>
      <c r="AM3364" s="77"/>
      <c r="AN3364" s="77"/>
      <c r="AO3364" s="77"/>
      <c r="AP3364" s="77"/>
      <c r="AQ3364" s="77"/>
      <c r="AR3364" s="77"/>
      <c r="AS3364" s="77"/>
      <c r="AT3364" s="77"/>
      <c r="AU3364" s="77"/>
      <c r="AV3364" s="80" t="str">
        <f>HYPERLINK("https://pbs.twimg.com/profile_images/1559883556846977024/bXHnQFY0_normal.jpg")</f>
        <v>https://pbs.twimg.com/profile_images/1559883556846977024/bXHnQFY0_normal.jpg</v>
      </c>
      <c r="AW3364" s="82" t="s">
        <v>16448</v>
      </c>
      <c r="AX3364" s="82" t="s">
        <v>16448</v>
      </c>
      <c r="AY3364" s="77"/>
      <c r="AZ3364" s="82" t="s">
        <v>17385</v>
      </c>
      <c r="BA3364" s="82" t="s">
        <v>17385</v>
      </c>
      <c r="BB3364" s="82" t="s">
        <v>17385</v>
      </c>
      <c r="BC3364" s="82" t="s">
        <v>16448</v>
      </c>
      <c r="BD3364" s="77">
        <v>51150679</v>
      </c>
      <c r="BE3364" s="77"/>
      <c r="BF3364" s="77"/>
      <c r="BG3364" s="77"/>
      <c r="BH3364" s="77"/>
      <c r="BI3364" s="77"/>
    </row>
    <row r="3365" spans="1:61" x14ac:dyDescent="0.25">
      <c r="A3365" s="62" t="s">
        <v>605</v>
      </c>
      <c r="B3365" s="62" t="s">
        <v>605</v>
      </c>
      <c r="C3365" s="63"/>
      <c r="D3365" s="64"/>
      <c r="E3365" s="65"/>
      <c r="F3365" s="66"/>
      <c r="G3365" s="63"/>
      <c r="H3365" s="67"/>
      <c r="I3365" s="68"/>
      <c r="J3365" s="68"/>
      <c r="K3365" s="32"/>
      <c r="L3365" s="75">
        <v>3365</v>
      </c>
      <c r="M3365" s="75"/>
      <c r="N3365" s="70"/>
      <c r="O3365" s="77" t="s">
        <v>179</v>
      </c>
      <c r="P3365" s="79">
        <v>45070.450046296297</v>
      </c>
      <c r="Q3365" s="77" t="s">
        <v>4139</v>
      </c>
      <c r="R3365" s="77">
        <v>1</v>
      </c>
      <c r="S3365" s="77">
        <v>5</v>
      </c>
      <c r="T3365" s="77">
        <v>0</v>
      </c>
      <c r="U3365" s="77">
        <v>0</v>
      </c>
      <c r="V3365" s="77">
        <v>1353</v>
      </c>
      <c r="W3365" s="82" t="s">
        <v>6564</v>
      </c>
      <c r="X3365" s="80" t="str">
        <f>HYPERLINK("https://www.moneytimes.com.br/bolsas-asiaticas-acoes-da-china-volta-a-cair-sob-peso-de-acoes-de-consumo-e-financeiras/")</f>
        <v>https://www.moneytimes.com.br/bolsas-asiaticas-acoes-da-china-volta-a-cair-sob-peso-de-acoes-de-consumo-e-financeiras/</v>
      </c>
      <c r="Y3365" s="77" t="s">
        <v>7053</v>
      </c>
      <c r="Z3365" s="77"/>
      <c r="AA3365" s="77"/>
      <c r="AB3365" s="77"/>
      <c r="AC3365" s="82" t="s">
        <v>8255</v>
      </c>
      <c r="AD3365" s="77" t="s">
        <v>8278</v>
      </c>
      <c r="AE3365" s="80" t="str">
        <f>HYPERLINK("https://twitter.com/leiamoneytimes/status/1661323171037958144")</f>
        <v>https://twitter.com/leiamoneytimes/status/1661323171037958144</v>
      </c>
      <c r="AF3365" s="79">
        <v>45070.450046296297</v>
      </c>
      <c r="AG3365" s="85">
        <v>45070</v>
      </c>
      <c r="AH3365" s="82" t="s">
        <v>11369</v>
      </c>
      <c r="AI3365" s="77" t="b">
        <v>0</v>
      </c>
      <c r="AJ3365" s="77"/>
      <c r="AK3365" s="77"/>
      <c r="AL3365" s="77"/>
      <c r="AM3365" s="77"/>
      <c r="AN3365" s="77"/>
      <c r="AO3365" s="77"/>
      <c r="AP3365" s="77"/>
      <c r="AQ3365" s="77"/>
      <c r="AR3365" s="77"/>
      <c r="AS3365" s="77"/>
      <c r="AT3365" s="77"/>
      <c r="AU3365" s="77"/>
      <c r="AV3365" s="80" t="str">
        <f>HYPERLINK("https://pbs.twimg.com/profile_images/1559883556846977024/bXHnQFY0_normal.jpg")</f>
        <v>https://pbs.twimg.com/profile_images/1559883556846977024/bXHnQFY0_normal.jpg</v>
      </c>
      <c r="AW3365" s="82" t="s">
        <v>16449</v>
      </c>
      <c r="AX3365" s="82" t="s">
        <v>16449</v>
      </c>
      <c r="AY3365" s="77"/>
      <c r="AZ3365" s="82" t="s">
        <v>17385</v>
      </c>
      <c r="BA3365" s="82" t="s">
        <v>17385</v>
      </c>
      <c r="BB3365" s="82" t="s">
        <v>17385</v>
      </c>
      <c r="BC3365" s="82" t="s">
        <v>16449</v>
      </c>
      <c r="BD3365" s="77">
        <v>51150679</v>
      </c>
      <c r="BE3365" s="77"/>
      <c r="BF3365" s="77"/>
      <c r="BG3365" s="77"/>
      <c r="BH3365" s="77"/>
      <c r="BI3365" s="77"/>
    </row>
    <row r="3366" spans="1:61" x14ac:dyDescent="0.25">
      <c r="A3366" s="62" t="s">
        <v>605</v>
      </c>
      <c r="B3366" s="62" t="s">
        <v>605</v>
      </c>
      <c r="C3366" s="63"/>
      <c r="D3366" s="64"/>
      <c r="E3366" s="65"/>
      <c r="F3366" s="66"/>
      <c r="G3366" s="63"/>
      <c r="H3366" s="67"/>
      <c r="I3366" s="68"/>
      <c r="J3366" s="68"/>
      <c r="K3366" s="32"/>
      <c r="L3366" s="75">
        <v>3366</v>
      </c>
      <c r="M3366" s="75"/>
      <c r="N3366" s="70"/>
      <c r="O3366" s="77" t="s">
        <v>179</v>
      </c>
      <c r="P3366" s="79">
        <v>45069.915659722225</v>
      </c>
      <c r="Q3366" s="77" t="s">
        <v>4140</v>
      </c>
      <c r="R3366" s="77">
        <v>0</v>
      </c>
      <c r="S3366" s="77">
        <v>12</v>
      </c>
      <c r="T3366" s="77">
        <v>2</v>
      </c>
      <c r="U3366" s="77">
        <v>0</v>
      </c>
      <c r="V3366" s="77">
        <v>3131</v>
      </c>
      <c r="W3366" s="82" t="s">
        <v>6551</v>
      </c>
      <c r="X3366" s="80" t="str">
        <f>HYPERLINK("https://www.moneytimes.com.br/prio-prio3-gestora-despeja-312-milhoes-de-acoes-no-mercado/")</f>
        <v>https://www.moneytimes.com.br/prio-prio3-gestora-despeja-312-milhoes-de-acoes-no-mercado/</v>
      </c>
      <c r="Y3366" s="77" t="s">
        <v>7053</v>
      </c>
      <c r="Z3366" s="77"/>
      <c r="AA3366" s="77"/>
      <c r="AB3366" s="77"/>
      <c r="AC3366" s="82" t="s">
        <v>8255</v>
      </c>
      <c r="AD3366" s="77" t="s">
        <v>8278</v>
      </c>
      <c r="AE3366" s="80" t="str">
        <f>HYPERLINK("https://twitter.com/leiamoneytimes/status/1661129515169468417")</f>
        <v>https://twitter.com/leiamoneytimes/status/1661129515169468417</v>
      </c>
      <c r="AF3366" s="79">
        <v>45069.915659722225</v>
      </c>
      <c r="AG3366" s="85">
        <v>45069</v>
      </c>
      <c r="AH3366" s="82" t="s">
        <v>11370</v>
      </c>
      <c r="AI3366" s="77" t="b">
        <v>0</v>
      </c>
      <c r="AJ3366" s="77"/>
      <c r="AK3366" s="77"/>
      <c r="AL3366" s="77"/>
      <c r="AM3366" s="77"/>
      <c r="AN3366" s="77"/>
      <c r="AO3366" s="77"/>
      <c r="AP3366" s="77"/>
      <c r="AQ3366" s="77"/>
      <c r="AR3366" s="77"/>
      <c r="AS3366" s="77"/>
      <c r="AT3366" s="77"/>
      <c r="AU3366" s="77"/>
      <c r="AV3366" s="80" t="str">
        <f>HYPERLINK("https://pbs.twimg.com/profile_images/1559883556846977024/bXHnQFY0_normal.jpg")</f>
        <v>https://pbs.twimg.com/profile_images/1559883556846977024/bXHnQFY0_normal.jpg</v>
      </c>
      <c r="AW3366" s="82" t="s">
        <v>16450</v>
      </c>
      <c r="AX3366" s="82" t="s">
        <v>16450</v>
      </c>
      <c r="AY3366" s="77"/>
      <c r="AZ3366" s="82" t="s">
        <v>17385</v>
      </c>
      <c r="BA3366" s="82" t="s">
        <v>17385</v>
      </c>
      <c r="BB3366" s="82" t="s">
        <v>17385</v>
      </c>
      <c r="BC3366" s="82" t="s">
        <v>16450</v>
      </c>
      <c r="BD3366" s="77">
        <v>51150679</v>
      </c>
      <c r="BE3366" s="77"/>
      <c r="BF3366" s="77"/>
      <c r="BG3366" s="77"/>
      <c r="BH3366" s="77"/>
      <c r="BI3366" s="77"/>
    </row>
    <row r="3367" spans="1:61" x14ac:dyDescent="0.25">
      <c r="A3367" s="62" t="s">
        <v>605</v>
      </c>
      <c r="B3367" s="62" t="s">
        <v>605</v>
      </c>
      <c r="C3367" s="63"/>
      <c r="D3367" s="64"/>
      <c r="E3367" s="65"/>
      <c r="F3367" s="66"/>
      <c r="G3367" s="63"/>
      <c r="H3367" s="67"/>
      <c r="I3367" s="68"/>
      <c r="J3367" s="68"/>
      <c r="K3367" s="32"/>
      <c r="L3367" s="75">
        <v>3367</v>
      </c>
      <c r="M3367" s="75"/>
      <c r="N3367" s="70"/>
      <c r="O3367" s="77" t="s">
        <v>179</v>
      </c>
      <c r="P3367" s="79">
        <v>45069.855046296296</v>
      </c>
      <c r="Q3367" s="77" t="s">
        <v>4141</v>
      </c>
      <c r="R3367" s="77">
        <v>0</v>
      </c>
      <c r="S3367" s="77">
        <v>2</v>
      </c>
      <c r="T3367" s="77">
        <v>1</v>
      </c>
      <c r="U3367" s="77">
        <v>0</v>
      </c>
      <c r="V3367" s="77">
        <v>1353</v>
      </c>
      <c r="W3367" s="82" t="s">
        <v>6551</v>
      </c>
      <c r="X3367" s="80" t="str">
        <f>HYPERLINK("https://www.moneytimes.com.br/ibovespa-hoje-fecha-queda-divida-eua-arcabouco-fiscal-23-05-2023/")</f>
        <v>https://www.moneytimes.com.br/ibovespa-hoje-fecha-queda-divida-eua-arcabouco-fiscal-23-05-2023/</v>
      </c>
      <c r="Y3367" s="77" t="s">
        <v>7053</v>
      </c>
      <c r="Z3367" s="77"/>
      <c r="AA3367" s="77"/>
      <c r="AB3367" s="77"/>
      <c r="AC3367" s="82" t="s">
        <v>8255</v>
      </c>
      <c r="AD3367" s="77" t="s">
        <v>8278</v>
      </c>
      <c r="AE3367" s="80" t="str">
        <f>HYPERLINK("https://twitter.com/leiamoneytimes/status/1661107552166223888")</f>
        <v>https://twitter.com/leiamoneytimes/status/1661107552166223888</v>
      </c>
      <c r="AF3367" s="79">
        <v>45069.855046296296</v>
      </c>
      <c r="AG3367" s="85">
        <v>45069</v>
      </c>
      <c r="AH3367" s="82" t="s">
        <v>11371</v>
      </c>
      <c r="AI3367" s="77" t="b">
        <v>0</v>
      </c>
      <c r="AJ3367" s="77"/>
      <c r="AK3367" s="77"/>
      <c r="AL3367" s="77"/>
      <c r="AM3367" s="77"/>
      <c r="AN3367" s="77"/>
      <c r="AO3367" s="77"/>
      <c r="AP3367" s="77"/>
      <c r="AQ3367" s="77"/>
      <c r="AR3367" s="77"/>
      <c r="AS3367" s="77"/>
      <c r="AT3367" s="77"/>
      <c r="AU3367" s="77"/>
      <c r="AV3367" s="80" t="str">
        <f>HYPERLINK("https://pbs.twimg.com/profile_images/1559883556846977024/bXHnQFY0_normal.jpg")</f>
        <v>https://pbs.twimg.com/profile_images/1559883556846977024/bXHnQFY0_normal.jpg</v>
      </c>
      <c r="AW3367" s="82" t="s">
        <v>16451</v>
      </c>
      <c r="AX3367" s="82" t="s">
        <v>16451</v>
      </c>
      <c r="AY3367" s="77"/>
      <c r="AZ3367" s="82" t="s">
        <v>17385</v>
      </c>
      <c r="BA3367" s="82" t="s">
        <v>17385</v>
      </c>
      <c r="BB3367" s="82" t="s">
        <v>17385</v>
      </c>
      <c r="BC3367" s="82" t="s">
        <v>16451</v>
      </c>
      <c r="BD3367" s="77">
        <v>51150679</v>
      </c>
      <c r="BE3367" s="77"/>
      <c r="BF3367" s="77"/>
      <c r="BG3367" s="77"/>
      <c r="BH3367" s="77"/>
      <c r="BI3367" s="77"/>
    </row>
    <row r="3368" spans="1:61" x14ac:dyDescent="0.25">
      <c r="A3368" s="62" t="s">
        <v>605</v>
      </c>
      <c r="B3368" s="62" t="s">
        <v>605</v>
      </c>
      <c r="C3368" s="63"/>
      <c r="D3368" s="64"/>
      <c r="E3368" s="65"/>
      <c r="F3368" s="66"/>
      <c r="G3368" s="63"/>
      <c r="H3368" s="67"/>
      <c r="I3368" s="68"/>
      <c r="J3368" s="68"/>
      <c r="K3368" s="32"/>
      <c r="L3368" s="75">
        <v>3368</v>
      </c>
      <c r="M3368" s="75"/>
      <c r="N3368" s="70"/>
      <c r="O3368" s="77" t="s">
        <v>179</v>
      </c>
      <c r="P3368" s="79">
        <v>45069.834224537037</v>
      </c>
      <c r="Q3368" s="77" t="s">
        <v>4142</v>
      </c>
      <c r="R3368" s="77">
        <v>0</v>
      </c>
      <c r="S3368" s="77">
        <v>4</v>
      </c>
      <c r="T3368" s="77">
        <v>0</v>
      </c>
      <c r="U3368" s="77">
        <v>0</v>
      </c>
      <c r="V3368" s="77">
        <v>1414</v>
      </c>
      <c r="W3368" s="82" t="s">
        <v>6638</v>
      </c>
      <c r="X3368" s="80" t="str">
        <f>HYPERLINK("https://www.moneytimes.com.br/ibovespa-tem-longo-caminho-para-andar-antes-da-selic-cair-e-mira-os-120-mil-pontos/")</f>
        <v>https://www.moneytimes.com.br/ibovespa-tem-longo-caminho-para-andar-antes-da-selic-cair-e-mira-os-120-mil-pontos/</v>
      </c>
      <c r="Y3368" s="77" t="s">
        <v>7053</v>
      </c>
      <c r="Z3368" s="77"/>
      <c r="AA3368" s="77"/>
      <c r="AB3368" s="77"/>
      <c r="AC3368" s="82" t="s">
        <v>8255</v>
      </c>
      <c r="AD3368" s="77" t="s">
        <v>8278</v>
      </c>
      <c r="AE3368" s="80" t="str">
        <f>HYPERLINK("https://twitter.com/leiamoneytimes/status/1661100004134596610")</f>
        <v>https://twitter.com/leiamoneytimes/status/1661100004134596610</v>
      </c>
      <c r="AF3368" s="79">
        <v>45069.834224537037</v>
      </c>
      <c r="AG3368" s="85">
        <v>45069</v>
      </c>
      <c r="AH3368" s="82" t="s">
        <v>11372</v>
      </c>
      <c r="AI3368" s="77" t="b">
        <v>0</v>
      </c>
      <c r="AJ3368" s="77"/>
      <c r="AK3368" s="77"/>
      <c r="AL3368" s="77"/>
      <c r="AM3368" s="77"/>
      <c r="AN3368" s="77"/>
      <c r="AO3368" s="77"/>
      <c r="AP3368" s="77"/>
      <c r="AQ3368" s="77"/>
      <c r="AR3368" s="77"/>
      <c r="AS3368" s="77"/>
      <c r="AT3368" s="77"/>
      <c r="AU3368" s="77"/>
      <c r="AV3368" s="80" t="str">
        <f>HYPERLINK("https://pbs.twimg.com/profile_images/1559883556846977024/bXHnQFY0_normal.jpg")</f>
        <v>https://pbs.twimg.com/profile_images/1559883556846977024/bXHnQFY0_normal.jpg</v>
      </c>
      <c r="AW3368" s="82" t="s">
        <v>16452</v>
      </c>
      <c r="AX3368" s="82" t="s">
        <v>16452</v>
      </c>
      <c r="AY3368" s="77"/>
      <c r="AZ3368" s="82" t="s">
        <v>17385</v>
      </c>
      <c r="BA3368" s="82" t="s">
        <v>17385</v>
      </c>
      <c r="BB3368" s="82" t="s">
        <v>17385</v>
      </c>
      <c r="BC3368" s="82" t="s">
        <v>16452</v>
      </c>
      <c r="BD3368" s="77">
        <v>51150679</v>
      </c>
      <c r="BE3368" s="77"/>
      <c r="BF3368" s="77"/>
      <c r="BG3368" s="77"/>
      <c r="BH3368" s="77"/>
      <c r="BI3368" s="77"/>
    </row>
    <row r="3369" spans="1:61" x14ac:dyDescent="0.25">
      <c r="A3369" s="62" t="s">
        <v>605</v>
      </c>
      <c r="B3369" s="62" t="s">
        <v>605</v>
      </c>
      <c r="C3369" s="63"/>
      <c r="D3369" s="64"/>
      <c r="E3369" s="65"/>
      <c r="F3369" s="66"/>
      <c r="G3369" s="63"/>
      <c r="H3369" s="67"/>
      <c r="I3369" s="68"/>
      <c r="J3369" s="68"/>
      <c r="K3369" s="32"/>
      <c r="L3369" s="75">
        <v>3369</v>
      </c>
      <c r="M3369" s="75"/>
      <c r="N3369" s="70"/>
      <c r="O3369" s="77" t="s">
        <v>179</v>
      </c>
      <c r="P3369" s="79">
        <v>45069.796365740738</v>
      </c>
      <c r="Q3369" s="77" t="s">
        <v>4143</v>
      </c>
      <c r="R3369" s="77">
        <v>0</v>
      </c>
      <c r="S3369" s="77">
        <v>3</v>
      </c>
      <c r="T3369" s="77">
        <v>0</v>
      </c>
      <c r="U3369" s="77">
        <v>0</v>
      </c>
      <c r="V3369" s="77">
        <v>1182</v>
      </c>
      <c r="W3369" s="82" t="s">
        <v>6639</v>
      </c>
      <c r="X3369" s="80" t="str">
        <f>HYPERLINK("https://www.moneytimes.com.br/campea-da-bolsa-americana-com-bdr-na-b3-subiu-110-no-ano-ainda-da-tempo-de-embarcar/")</f>
        <v>https://www.moneytimes.com.br/campea-da-bolsa-americana-com-bdr-na-b3-subiu-110-no-ano-ainda-da-tempo-de-embarcar/</v>
      </c>
      <c r="Y3369" s="77" t="s">
        <v>7053</v>
      </c>
      <c r="Z3369" s="77"/>
      <c r="AA3369" s="77"/>
      <c r="AB3369" s="77"/>
      <c r="AC3369" s="82" t="s">
        <v>8255</v>
      </c>
      <c r="AD3369" s="77" t="s">
        <v>8278</v>
      </c>
      <c r="AE3369" s="80" t="str">
        <f>HYPERLINK("https://twitter.com/leiamoneytimes/status/1661086283093950493")</f>
        <v>https://twitter.com/leiamoneytimes/status/1661086283093950493</v>
      </c>
      <c r="AF3369" s="79">
        <v>45069.796365740738</v>
      </c>
      <c r="AG3369" s="85">
        <v>45069</v>
      </c>
      <c r="AH3369" s="82" t="s">
        <v>11373</v>
      </c>
      <c r="AI3369" s="77" t="b">
        <v>0</v>
      </c>
      <c r="AJ3369" s="77"/>
      <c r="AK3369" s="77"/>
      <c r="AL3369" s="77"/>
      <c r="AM3369" s="77"/>
      <c r="AN3369" s="77"/>
      <c r="AO3369" s="77"/>
      <c r="AP3369" s="77"/>
      <c r="AQ3369" s="77"/>
      <c r="AR3369" s="77"/>
      <c r="AS3369" s="77"/>
      <c r="AT3369" s="77"/>
      <c r="AU3369" s="77"/>
      <c r="AV3369" s="80" t="str">
        <f>HYPERLINK("https://pbs.twimg.com/profile_images/1559883556846977024/bXHnQFY0_normal.jpg")</f>
        <v>https://pbs.twimg.com/profile_images/1559883556846977024/bXHnQFY0_normal.jpg</v>
      </c>
      <c r="AW3369" s="82" t="s">
        <v>16453</v>
      </c>
      <c r="AX3369" s="82" t="s">
        <v>16453</v>
      </c>
      <c r="AY3369" s="77"/>
      <c r="AZ3369" s="82" t="s">
        <v>17385</v>
      </c>
      <c r="BA3369" s="82" t="s">
        <v>17385</v>
      </c>
      <c r="BB3369" s="82" t="s">
        <v>17385</v>
      </c>
      <c r="BC3369" s="82" t="s">
        <v>16453</v>
      </c>
      <c r="BD3369" s="77">
        <v>51150679</v>
      </c>
      <c r="BE3369" s="77"/>
      <c r="BF3369" s="77"/>
      <c r="BG3369" s="77"/>
      <c r="BH3369" s="77"/>
      <c r="BI3369" s="77"/>
    </row>
    <row r="3370" spans="1:61" x14ac:dyDescent="0.25">
      <c r="A3370" s="62" t="s">
        <v>605</v>
      </c>
      <c r="B3370" s="62" t="s">
        <v>605</v>
      </c>
      <c r="C3370" s="63"/>
      <c r="D3370" s="64"/>
      <c r="E3370" s="65"/>
      <c r="F3370" s="66"/>
      <c r="G3370" s="63"/>
      <c r="H3370" s="67"/>
      <c r="I3370" s="68"/>
      <c r="J3370" s="68"/>
      <c r="K3370" s="32"/>
      <c r="L3370" s="75">
        <v>3370</v>
      </c>
      <c r="M3370" s="75"/>
      <c r="N3370" s="70"/>
      <c r="O3370" s="77" t="s">
        <v>179</v>
      </c>
      <c r="P3370" s="79">
        <v>45069.76017361111</v>
      </c>
      <c r="Q3370" s="77" t="s">
        <v>4144</v>
      </c>
      <c r="R3370" s="77">
        <v>0</v>
      </c>
      <c r="S3370" s="77">
        <v>3</v>
      </c>
      <c r="T3370" s="77">
        <v>1</v>
      </c>
      <c r="U3370" s="77">
        <v>0</v>
      </c>
      <c r="V3370" s="77">
        <v>1074</v>
      </c>
      <c r="W3370" s="82" t="s">
        <v>6640</v>
      </c>
      <c r="X3370" s="80" t="str">
        <f>HYPERLINK("https://www.moneytimes.com.br/indices-europeus-recuam-por-queda-em-empresas-de-luxo-e-sob-peso-do-julius-baer/")</f>
        <v>https://www.moneytimes.com.br/indices-europeus-recuam-por-queda-em-empresas-de-luxo-e-sob-peso-do-julius-baer/</v>
      </c>
      <c r="Y3370" s="77" t="s">
        <v>7053</v>
      </c>
      <c r="Z3370" s="77"/>
      <c r="AA3370" s="77"/>
      <c r="AB3370" s="77"/>
      <c r="AC3370" s="82" t="s">
        <v>8255</v>
      </c>
      <c r="AD3370" s="77" t="s">
        <v>8278</v>
      </c>
      <c r="AE3370" s="80" t="str">
        <f>HYPERLINK("https://twitter.com/leiamoneytimes/status/1661073169640222722")</f>
        <v>https://twitter.com/leiamoneytimes/status/1661073169640222722</v>
      </c>
      <c r="AF3370" s="79">
        <v>45069.76017361111</v>
      </c>
      <c r="AG3370" s="85">
        <v>45069</v>
      </c>
      <c r="AH3370" s="82" t="s">
        <v>8905</v>
      </c>
      <c r="AI3370" s="77" t="b">
        <v>0</v>
      </c>
      <c r="AJ3370" s="77"/>
      <c r="AK3370" s="77"/>
      <c r="AL3370" s="77"/>
      <c r="AM3370" s="77"/>
      <c r="AN3370" s="77"/>
      <c r="AO3370" s="77"/>
      <c r="AP3370" s="77"/>
      <c r="AQ3370" s="77"/>
      <c r="AR3370" s="77"/>
      <c r="AS3370" s="77"/>
      <c r="AT3370" s="77"/>
      <c r="AU3370" s="77"/>
      <c r="AV3370" s="80" t="str">
        <f>HYPERLINK("https://pbs.twimg.com/profile_images/1559883556846977024/bXHnQFY0_normal.jpg")</f>
        <v>https://pbs.twimg.com/profile_images/1559883556846977024/bXHnQFY0_normal.jpg</v>
      </c>
      <c r="AW3370" s="82" t="s">
        <v>16454</v>
      </c>
      <c r="AX3370" s="82" t="s">
        <v>16454</v>
      </c>
      <c r="AY3370" s="77"/>
      <c r="AZ3370" s="82" t="s">
        <v>17385</v>
      </c>
      <c r="BA3370" s="82" t="s">
        <v>17385</v>
      </c>
      <c r="BB3370" s="82" t="s">
        <v>17385</v>
      </c>
      <c r="BC3370" s="82" t="s">
        <v>16454</v>
      </c>
      <c r="BD3370" s="77">
        <v>51150679</v>
      </c>
      <c r="BE3370" s="77"/>
      <c r="BF3370" s="77"/>
      <c r="BG3370" s="77"/>
      <c r="BH3370" s="77"/>
      <c r="BI3370" s="77"/>
    </row>
    <row r="3371" spans="1:61" x14ac:dyDescent="0.25">
      <c r="A3371" s="62" t="s">
        <v>605</v>
      </c>
      <c r="B3371" s="62" t="s">
        <v>605</v>
      </c>
      <c r="C3371" s="63"/>
      <c r="D3371" s="64"/>
      <c r="E3371" s="65"/>
      <c r="F3371" s="66"/>
      <c r="G3371" s="63"/>
      <c r="H3371" s="67"/>
      <c r="I3371" s="68"/>
      <c r="J3371" s="68"/>
      <c r="K3371" s="32"/>
      <c r="L3371" s="75">
        <v>3371</v>
      </c>
      <c r="M3371" s="75"/>
      <c r="N3371" s="70"/>
      <c r="O3371" s="77" t="s">
        <v>179</v>
      </c>
      <c r="P3371" s="79">
        <v>45069.663819444446</v>
      </c>
      <c r="Q3371" s="77" t="s">
        <v>4145</v>
      </c>
      <c r="R3371" s="77">
        <v>1</v>
      </c>
      <c r="S3371" s="77">
        <v>3</v>
      </c>
      <c r="T3371" s="77">
        <v>0</v>
      </c>
      <c r="U3371" s="77">
        <v>0</v>
      </c>
      <c r="V3371" s="77">
        <v>1520</v>
      </c>
      <c r="W3371" s="82" t="s">
        <v>6641</v>
      </c>
      <c r="X3371" s="80" t="str">
        <f>HYPERLINK("https://www.moneytimes.com.br/ibovespa-por-que-petrobras-petr3petr4-avanca-nesta-terca-23/")</f>
        <v>https://www.moneytimes.com.br/ibovespa-por-que-petrobras-petr3petr4-avanca-nesta-terca-23/</v>
      </c>
      <c r="Y3371" s="77" t="s">
        <v>7053</v>
      </c>
      <c r="Z3371" s="77"/>
      <c r="AA3371" s="77"/>
      <c r="AB3371" s="77"/>
      <c r="AC3371" s="82" t="s">
        <v>8255</v>
      </c>
      <c r="AD3371" s="77" t="s">
        <v>8278</v>
      </c>
      <c r="AE3371" s="80" t="str">
        <f>HYPERLINK("https://twitter.com/leiamoneytimes/status/1661038251409305600")</f>
        <v>https://twitter.com/leiamoneytimes/status/1661038251409305600</v>
      </c>
      <c r="AF3371" s="79">
        <v>45069.663819444446</v>
      </c>
      <c r="AG3371" s="85">
        <v>45069</v>
      </c>
      <c r="AH3371" s="82" t="s">
        <v>11374</v>
      </c>
      <c r="AI3371" s="77" t="b">
        <v>0</v>
      </c>
      <c r="AJ3371" s="77"/>
      <c r="AK3371" s="77"/>
      <c r="AL3371" s="77"/>
      <c r="AM3371" s="77"/>
      <c r="AN3371" s="77"/>
      <c r="AO3371" s="77"/>
      <c r="AP3371" s="77"/>
      <c r="AQ3371" s="77"/>
      <c r="AR3371" s="77"/>
      <c r="AS3371" s="77"/>
      <c r="AT3371" s="77"/>
      <c r="AU3371" s="77"/>
      <c r="AV3371" s="80" t="str">
        <f>HYPERLINK("https://pbs.twimg.com/profile_images/1559883556846977024/bXHnQFY0_normal.jpg")</f>
        <v>https://pbs.twimg.com/profile_images/1559883556846977024/bXHnQFY0_normal.jpg</v>
      </c>
      <c r="AW3371" s="82" t="s">
        <v>16455</v>
      </c>
      <c r="AX3371" s="82" t="s">
        <v>16455</v>
      </c>
      <c r="AY3371" s="77"/>
      <c r="AZ3371" s="82" t="s">
        <v>17385</v>
      </c>
      <c r="BA3371" s="82" t="s">
        <v>17385</v>
      </c>
      <c r="BB3371" s="82" t="s">
        <v>17385</v>
      </c>
      <c r="BC3371" s="82" t="s">
        <v>16455</v>
      </c>
      <c r="BD3371" s="77">
        <v>51150679</v>
      </c>
      <c r="BE3371" s="77"/>
      <c r="BF3371" s="77"/>
      <c r="BG3371" s="77"/>
      <c r="BH3371" s="77"/>
      <c r="BI3371" s="77"/>
    </row>
    <row r="3372" spans="1:61" x14ac:dyDescent="0.25">
      <c r="A3372" s="62" t="s">
        <v>605</v>
      </c>
      <c r="B3372" s="62" t="s">
        <v>605</v>
      </c>
      <c r="C3372" s="63"/>
      <c r="D3372" s="64"/>
      <c r="E3372" s="65"/>
      <c r="F3372" s="66"/>
      <c r="G3372" s="63"/>
      <c r="H3372" s="67"/>
      <c r="I3372" s="68"/>
      <c r="J3372" s="68"/>
      <c r="K3372" s="32"/>
      <c r="L3372" s="75">
        <v>3372</v>
      </c>
      <c r="M3372" s="75"/>
      <c r="N3372" s="70"/>
      <c r="O3372" s="77" t="s">
        <v>179</v>
      </c>
      <c r="P3372" s="79">
        <v>45069.655405092592</v>
      </c>
      <c r="Q3372" s="77" t="s">
        <v>4146</v>
      </c>
      <c r="R3372" s="77">
        <v>1</v>
      </c>
      <c r="S3372" s="77">
        <v>6</v>
      </c>
      <c r="T3372" s="77">
        <v>0</v>
      </c>
      <c r="U3372" s="77">
        <v>0</v>
      </c>
      <c r="V3372" s="77">
        <v>1415</v>
      </c>
      <c r="W3372" s="82" t="s">
        <v>5601</v>
      </c>
      <c r="X3372" s="80" t="str">
        <f>HYPERLINK("https://www.moneytimes.com.br/6-motivos-para-ficar-otimista-com-acoes/")</f>
        <v>https://www.moneytimes.com.br/6-motivos-para-ficar-otimista-com-acoes/</v>
      </c>
      <c r="Y3372" s="77" t="s">
        <v>7053</v>
      </c>
      <c r="Z3372" s="77"/>
      <c r="AA3372" s="77"/>
      <c r="AB3372" s="77"/>
      <c r="AC3372" s="82" t="s">
        <v>8255</v>
      </c>
      <c r="AD3372" s="77" t="s">
        <v>8278</v>
      </c>
      <c r="AE3372" s="80" t="str">
        <f>HYPERLINK("https://twitter.com/leiamoneytimes/status/1661035202565611520")</f>
        <v>https://twitter.com/leiamoneytimes/status/1661035202565611520</v>
      </c>
      <c r="AF3372" s="79">
        <v>45069.655405092592</v>
      </c>
      <c r="AG3372" s="85">
        <v>45069</v>
      </c>
      <c r="AH3372" s="82" t="s">
        <v>11375</v>
      </c>
      <c r="AI3372" s="77" t="b">
        <v>0</v>
      </c>
      <c r="AJ3372" s="77"/>
      <c r="AK3372" s="77"/>
      <c r="AL3372" s="77"/>
      <c r="AM3372" s="77"/>
      <c r="AN3372" s="77"/>
      <c r="AO3372" s="77"/>
      <c r="AP3372" s="77"/>
      <c r="AQ3372" s="77"/>
      <c r="AR3372" s="77"/>
      <c r="AS3372" s="77"/>
      <c r="AT3372" s="77"/>
      <c r="AU3372" s="77"/>
      <c r="AV3372" s="80" t="str">
        <f>HYPERLINK("https://pbs.twimg.com/profile_images/1559883556846977024/bXHnQFY0_normal.jpg")</f>
        <v>https://pbs.twimg.com/profile_images/1559883556846977024/bXHnQFY0_normal.jpg</v>
      </c>
      <c r="AW3372" s="82" t="s">
        <v>16456</v>
      </c>
      <c r="AX3372" s="82" t="s">
        <v>16456</v>
      </c>
      <c r="AY3372" s="77"/>
      <c r="AZ3372" s="82" t="s">
        <v>17385</v>
      </c>
      <c r="BA3372" s="82" t="s">
        <v>17385</v>
      </c>
      <c r="BB3372" s="82" t="s">
        <v>17385</v>
      </c>
      <c r="BC3372" s="82" t="s">
        <v>16456</v>
      </c>
      <c r="BD3372" s="77">
        <v>51150679</v>
      </c>
      <c r="BE3372" s="77"/>
      <c r="BF3372" s="77"/>
      <c r="BG3372" s="77"/>
      <c r="BH3372" s="77"/>
      <c r="BI3372" s="77"/>
    </row>
    <row r="3373" spans="1:61" x14ac:dyDescent="0.25">
      <c r="A3373" s="62" t="s">
        <v>605</v>
      </c>
      <c r="B3373" s="62" t="s">
        <v>605</v>
      </c>
      <c r="C3373" s="63"/>
      <c r="D3373" s="64"/>
      <c r="E3373" s="65"/>
      <c r="F3373" s="66"/>
      <c r="G3373" s="63"/>
      <c r="H3373" s="67"/>
      <c r="I3373" s="68"/>
      <c r="J3373" s="68"/>
      <c r="K3373" s="32"/>
      <c r="L3373" s="75">
        <v>3373</v>
      </c>
      <c r="M3373" s="75"/>
      <c r="N3373" s="70"/>
      <c r="O3373" s="77" t="s">
        <v>179</v>
      </c>
      <c r="P3373" s="79">
        <v>45069.629293981481</v>
      </c>
      <c r="Q3373" s="77" t="s">
        <v>4147</v>
      </c>
      <c r="R3373" s="77">
        <v>0</v>
      </c>
      <c r="S3373" s="77">
        <v>2</v>
      </c>
      <c r="T3373" s="77">
        <v>1</v>
      </c>
      <c r="U3373" s="77">
        <v>0</v>
      </c>
      <c r="V3373" s="77">
        <v>1134</v>
      </c>
      <c r="W3373" s="82" t="s">
        <v>6642</v>
      </c>
      <c r="X3373" s="80" t="str">
        <f>HYPERLINK("https://www.moneytimes.com.br/wall-street-cai-com-preocupacoes-em-meio-a-impasse-sobre-teto-da-divida/")</f>
        <v>https://www.moneytimes.com.br/wall-street-cai-com-preocupacoes-em-meio-a-impasse-sobre-teto-da-divida/</v>
      </c>
      <c r="Y3373" s="77" t="s">
        <v>7053</v>
      </c>
      <c r="Z3373" s="77"/>
      <c r="AA3373" s="77"/>
      <c r="AB3373" s="77"/>
      <c r="AC3373" s="82" t="s">
        <v>8255</v>
      </c>
      <c r="AD3373" s="77" t="s">
        <v>8278</v>
      </c>
      <c r="AE3373" s="80" t="str">
        <f>HYPERLINK("https://twitter.com/leiamoneytimes/status/1661025738391433219")</f>
        <v>https://twitter.com/leiamoneytimes/status/1661025738391433219</v>
      </c>
      <c r="AF3373" s="79">
        <v>45069.629293981481</v>
      </c>
      <c r="AG3373" s="85">
        <v>45069</v>
      </c>
      <c r="AH3373" s="82" t="s">
        <v>11376</v>
      </c>
      <c r="AI3373" s="77" t="b">
        <v>0</v>
      </c>
      <c r="AJ3373" s="77"/>
      <c r="AK3373" s="77"/>
      <c r="AL3373" s="77"/>
      <c r="AM3373" s="77"/>
      <c r="AN3373" s="77"/>
      <c r="AO3373" s="77"/>
      <c r="AP3373" s="77"/>
      <c r="AQ3373" s="77"/>
      <c r="AR3373" s="77"/>
      <c r="AS3373" s="77"/>
      <c r="AT3373" s="77"/>
      <c r="AU3373" s="77"/>
      <c r="AV3373" s="80" t="str">
        <f>HYPERLINK("https://pbs.twimg.com/profile_images/1559883556846977024/bXHnQFY0_normal.jpg")</f>
        <v>https://pbs.twimg.com/profile_images/1559883556846977024/bXHnQFY0_normal.jpg</v>
      </c>
      <c r="AW3373" s="82" t="s">
        <v>16457</v>
      </c>
      <c r="AX3373" s="82" t="s">
        <v>16457</v>
      </c>
      <c r="AY3373" s="77"/>
      <c r="AZ3373" s="82" t="s">
        <v>17385</v>
      </c>
      <c r="BA3373" s="82" t="s">
        <v>17385</v>
      </c>
      <c r="BB3373" s="82" t="s">
        <v>17385</v>
      </c>
      <c r="BC3373" s="82" t="s">
        <v>16457</v>
      </c>
      <c r="BD3373" s="77">
        <v>51150679</v>
      </c>
      <c r="BE3373" s="77"/>
      <c r="BF3373" s="77"/>
      <c r="BG3373" s="77"/>
      <c r="BH3373" s="77"/>
      <c r="BI3373" s="77"/>
    </row>
    <row r="3374" spans="1:61" x14ac:dyDescent="0.25">
      <c r="A3374" s="62" t="s">
        <v>605</v>
      </c>
      <c r="B3374" s="62" t="s">
        <v>605</v>
      </c>
      <c r="C3374" s="63"/>
      <c r="D3374" s="64"/>
      <c r="E3374" s="65"/>
      <c r="F3374" s="66"/>
      <c r="G3374" s="63"/>
      <c r="H3374" s="67"/>
      <c r="I3374" s="68"/>
      <c r="J3374" s="68"/>
      <c r="K3374" s="32"/>
      <c r="L3374" s="75">
        <v>3374</v>
      </c>
      <c r="M3374" s="75"/>
      <c r="N3374" s="70"/>
      <c r="O3374" s="77" t="s">
        <v>179</v>
      </c>
      <c r="P3374" s="79">
        <v>45069.621678240743</v>
      </c>
      <c r="Q3374" s="77" t="s">
        <v>4148</v>
      </c>
      <c r="R3374" s="77">
        <v>0</v>
      </c>
      <c r="S3374" s="77">
        <v>1</v>
      </c>
      <c r="T3374" s="77">
        <v>0</v>
      </c>
      <c r="U3374" s="77">
        <v>0</v>
      </c>
      <c r="V3374" s="77">
        <v>1009</v>
      </c>
      <c r="W3374" s="82" t="s">
        <v>6643</v>
      </c>
      <c r="X3374" s="80" t="str">
        <f>HYPERLINK("https://www.moneytimes.com.br/ibovespa-ibov-sobe-de-olho-no-arcabouco-fiscal-enquanto-mineradoras-e-siderurgicas-pesam-veja-os-indicadores-desta-terca-23/")</f>
        <v>https://www.moneytimes.com.br/ibovespa-ibov-sobe-de-olho-no-arcabouco-fiscal-enquanto-mineradoras-e-siderurgicas-pesam-veja-os-indicadores-desta-terca-23/</v>
      </c>
      <c r="Y3374" s="77" t="s">
        <v>7053</v>
      </c>
      <c r="Z3374" s="77"/>
      <c r="AA3374" s="77"/>
      <c r="AB3374" s="77"/>
      <c r="AC3374" s="82" t="s">
        <v>8255</v>
      </c>
      <c r="AD3374" s="77" t="s">
        <v>8278</v>
      </c>
      <c r="AE3374" s="80" t="str">
        <f>HYPERLINK("https://twitter.com/leiamoneytimes/status/1661022978535211011")</f>
        <v>https://twitter.com/leiamoneytimes/status/1661022978535211011</v>
      </c>
      <c r="AF3374" s="79">
        <v>45069.621678240743</v>
      </c>
      <c r="AG3374" s="85">
        <v>45069</v>
      </c>
      <c r="AH3374" s="82" t="s">
        <v>11377</v>
      </c>
      <c r="AI3374" s="77" t="b">
        <v>0</v>
      </c>
      <c r="AJ3374" s="77"/>
      <c r="AK3374" s="77"/>
      <c r="AL3374" s="77"/>
      <c r="AM3374" s="77"/>
      <c r="AN3374" s="77"/>
      <c r="AO3374" s="77"/>
      <c r="AP3374" s="77"/>
      <c r="AQ3374" s="77"/>
      <c r="AR3374" s="77"/>
      <c r="AS3374" s="77"/>
      <c r="AT3374" s="77"/>
      <c r="AU3374" s="77"/>
      <c r="AV3374" s="80" t="str">
        <f>HYPERLINK("https://pbs.twimg.com/profile_images/1559883556846977024/bXHnQFY0_normal.jpg")</f>
        <v>https://pbs.twimg.com/profile_images/1559883556846977024/bXHnQFY0_normal.jpg</v>
      </c>
      <c r="AW3374" s="82" t="s">
        <v>16458</v>
      </c>
      <c r="AX3374" s="82" t="s">
        <v>16458</v>
      </c>
      <c r="AY3374" s="77"/>
      <c r="AZ3374" s="82" t="s">
        <v>17385</v>
      </c>
      <c r="BA3374" s="82" t="s">
        <v>17385</v>
      </c>
      <c r="BB3374" s="82" t="s">
        <v>17385</v>
      </c>
      <c r="BC3374" s="82" t="s">
        <v>16458</v>
      </c>
      <c r="BD3374" s="77">
        <v>51150679</v>
      </c>
      <c r="BE3374" s="77"/>
      <c r="BF3374" s="77"/>
      <c r="BG3374" s="77"/>
      <c r="BH3374" s="77"/>
      <c r="BI3374" s="77"/>
    </row>
    <row r="3375" spans="1:61" x14ac:dyDescent="0.25">
      <c r="A3375" s="62" t="s">
        <v>605</v>
      </c>
      <c r="B3375" s="62" t="s">
        <v>605</v>
      </c>
      <c r="C3375" s="63"/>
      <c r="D3375" s="64"/>
      <c r="E3375" s="65"/>
      <c r="F3375" s="66"/>
      <c r="G3375" s="63"/>
      <c r="H3375" s="67"/>
      <c r="I3375" s="68"/>
      <c r="J3375" s="68"/>
      <c r="K3375" s="32"/>
      <c r="L3375" s="75">
        <v>3375</v>
      </c>
      <c r="M3375" s="75"/>
      <c r="N3375" s="70"/>
      <c r="O3375" s="77" t="s">
        <v>179</v>
      </c>
      <c r="P3375" s="79">
        <v>45069.610081018516</v>
      </c>
      <c r="Q3375" s="77" t="s">
        <v>4149</v>
      </c>
      <c r="R3375" s="77">
        <v>0</v>
      </c>
      <c r="S3375" s="77">
        <v>4</v>
      </c>
      <c r="T3375" s="77">
        <v>1</v>
      </c>
      <c r="U3375" s="77">
        <v>0</v>
      </c>
      <c r="V3375" s="77">
        <v>1251</v>
      </c>
      <c r="W3375" s="82" t="s">
        <v>6644</v>
      </c>
      <c r="X3375" s="80" t="str">
        <f>HYPERLINK("https://www.moneytimes.com.br/acoes-da-vale-vale3-caem-nesta-terca-entenda/")</f>
        <v>https://www.moneytimes.com.br/acoes-da-vale-vale3-caem-nesta-terca-entenda/</v>
      </c>
      <c r="Y3375" s="77" t="s">
        <v>7053</v>
      </c>
      <c r="Z3375" s="77"/>
      <c r="AA3375" s="77"/>
      <c r="AB3375" s="77"/>
      <c r="AC3375" s="82" t="s">
        <v>8255</v>
      </c>
      <c r="AD3375" s="77" t="s">
        <v>8278</v>
      </c>
      <c r="AE3375" s="80" t="str">
        <f>HYPERLINK("https://twitter.com/leiamoneytimes/status/1661018779181281280")</f>
        <v>https://twitter.com/leiamoneytimes/status/1661018779181281280</v>
      </c>
      <c r="AF3375" s="79">
        <v>45069.610081018516</v>
      </c>
      <c r="AG3375" s="85">
        <v>45069</v>
      </c>
      <c r="AH3375" s="82" t="s">
        <v>11378</v>
      </c>
      <c r="AI3375" s="77" t="b">
        <v>0</v>
      </c>
      <c r="AJ3375" s="77"/>
      <c r="AK3375" s="77"/>
      <c r="AL3375" s="77"/>
      <c r="AM3375" s="77"/>
      <c r="AN3375" s="77"/>
      <c r="AO3375" s="77"/>
      <c r="AP3375" s="77"/>
      <c r="AQ3375" s="77"/>
      <c r="AR3375" s="77"/>
      <c r="AS3375" s="77"/>
      <c r="AT3375" s="77"/>
      <c r="AU3375" s="77"/>
      <c r="AV3375" s="80" t="str">
        <f>HYPERLINK("https://pbs.twimg.com/profile_images/1559883556846977024/bXHnQFY0_normal.jpg")</f>
        <v>https://pbs.twimg.com/profile_images/1559883556846977024/bXHnQFY0_normal.jpg</v>
      </c>
      <c r="AW3375" s="82" t="s">
        <v>16459</v>
      </c>
      <c r="AX3375" s="82" t="s">
        <v>16459</v>
      </c>
      <c r="AY3375" s="77"/>
      <c r="AZ3375" s="82" t="s">
        <v>17385</v>
      </c>
      <c r="BA3375" s="82" t="s">
        <v>17385</v>
      </c>
      <c r="BB3375" s="82" t="s">
        <v>17385</v>
      </c>
      <c r="BC3375" s="82" t="s">
        <v>16459</v>
      </c>
      <c r="BD3375" s="77">
        <v>51150679</v>
      </c>
      <c r="BE3375" s="77"/>
      <c r="BF3375" s="77"/>
      <c r="BG3375" s="77"/>
      <c r="BH3375" s="77"/>
      <c r="BI3375" s="77"/>
    </row>
    <row r="3376" spans="1:61" x14ac:dyDescent="0.25">
      <c r="A3376" s="62" t="s">
        <v>605</v>
      </c>
      <c r="B3376" s="62" t="s">
        <v>605</v>
      </c>
      <c r="C3376" s="63"/>
      <c r="D3376" s="64"/>
      <c r="E3376" s="65"/>
      <c r="F3376" s="66"/>
      <c r="G3376" s="63"/>
      <c r="H3376" s="67"/>
      <c r="I3376" s="68"/>
      <c r="J3376" s="68"/>
      <c r="K3376" s="32"/>
      <c r="L3376" s="75">
        <v>3376</v>
      </c>
      <c r="M3376" s="75"/>
      <c r="N3376" s="70"/>
      <c r="O3376" s="77" t="s">
        <v>179</v>
      </c>
      <c r="P3376" s="79">
        <v>45069.556157407409</v>
      </c>
      <c r="Q3376" s="77" t="s">
        <v>4150</v>
      </c>
      <c r="R3376" s="77">
        <v>0</v>
      </c>
      <c r="S3376" s="77">
        <v>2</v>
      </c>
      <c r="T3376" s="77">
        <v>0</v>
      </c>
      <c r="U3376" s="77">
        <v>0</v>
      </c>
      <c r="V3376" s="77">
        <v>1020</v>
      </c>
      <c r="W3376" s="82" t="s">
        <v>6645</v>
      </c>
      <c r="X3376" s="80" t="str">
        <f>HYPERLINK("https://www.moneytimes.com.br/ibovespa-ibov-cai-com-arcabouco-fiscal-e-teto-da-divida-nesta-terca-23/")</f>
        <v>https://www.moneytimes.com.br/ibovespa-ibov-cai-com-arcabouco-fiscal-e-teto-da-divida-nesta-terca-23/</v>
      </c>
      <c r="Y3376" s="77" t="s">
        <v>7053</v>
      </c>
      <c r="Z3376" s="77"/>
      <c r="AA3376" s="77"/>
      <c r="AB3376" s="77"/>
      <c r="AC3376" s="82" t="s">
        <v>8255</v>
      </c>
      <c r="AD3376" s="77" t="s">
        <v>8278</v>
      </c>
      <c r="AE3376" s="80" t="str">
        <f>HYPERLINK("https://twitter.com/leiamoneytimes/status/1660999235389538304")</f>
        <v>https://twitter.com/leiamoneytimes/status/1660999235389538304</v>
      </c>
      <c r="AF3376" s="79">
        <v>45069.556157407409</v>
      </c>
      <c r="AG3376" s="85">
        <v>45069</v>
      </c>
      <c r="AH3376" s="82" t="s">
        <v>11379</v>
      </c>
      <c r="AI3376" s="77" t="b">
        <v>0</v>
      </c>
      <c r="AJ3376" s="77"/>
      <c r="AK3376" s="77"/>
      <c r="AL3376" s="77"/>
      <c r="AM3376" s="77"/>
      <c r="AN3376" s="77"/>
      <c r="AO3376" s="77"/>
      <c r="AP3376" s="77"/>
      <c r="AQ3376" s="77"/>
      <c r="AR3376" s="77"/>
      <c r="AS3376" s="77"/>
      <c r="AT3376" s="77"/>
      <c r="AU3376" s="77"/>
      <c r="AV3376" s="80" t="str">
        <f>HYPERLINK("https://pbs.twimg.com/profile_images/1559883556846977024/bXHnQFY0_normal.jpg")</f>
        <v>https://pbs.twimg.com/profile_images/1559883556846977024/bXHnQFY0_normal.jpg</v>
      </c>
      <c r="AW3376" s="82" t="s">
        <v>16460</v>
      </c>
      <c r="AX3376" s="82" t="s">
        <v>16460</v>
      </c>
      <c r="AY3376" s="77"/>
      <c r="AZ3376" s="82" t="s">
        <v>17385</v>
      </c>
      <c r="BA3376" s="82" t="s">
        <v>17385</v>
      </c>
      <c r="BB3376" s="82" t="s">
        <v>17385</v>
      </c>
      <c r="BC3376" s="82" t="s">
        <v>16460</v>
      </c>
      <c r="BD3376" s="77">
        <v>51150679</v>
      </c>
      <c r="BE3376" s="77"/>
      <c r="BF3376" s="77"/>
      <c r="BG3376" s="77"/>
      <c r="BH3376" s="77"/>
      <c r="BI3376" s="77"/>
    </row>
    <row r="3377" spans="1:61" x14ac:dyDescent="0.25">
      <c r="A3377" s="62" t="s">
        <v>605</v>
      </c>
      <c r="B3377" s="62" t="s">
        <v>605</v>
      </c>
      <c r="C3377" s="63"/>
      <c r="D3377" s="64"/>
      <c r="E3377" s="65"/>
      <c r="F3377" s="66"/>
      <c r="G3377" s="63"/>
      <c r="H3377" s="67"/>
      <c r="I3377" s="68"/>
      <c r="J3377" s="68"/>
      <c r="K3377" s="32"/>
      <c r="L3377" s="75">
        <v>3377</v>
      </c>
      <c r="M3377" s="75"/>
      <c r="N3377" s="70"/>
      <c r="O3377" s="77" t="s">
        <v>179</v>
      </c>
      <c r="P3377" s="79">
        <v>45069.554085648146</v>
      </c>
      <c r="Q3377" s="77" t="s">
        <v>4151</v>
      </c>
      <c r="R3377" s="77">
        <v>0</v>
      </c>
      <c r="S3377" s="77">
        <v>1</v>
      </c>
      <c r="T3377" s="77">
        <v>0</v>
      </c>
      <c r="U3377" s="77">
        <v>0</v>
      </c>
      <c r="V3377" s="77">
        <v>912</v>
      </c>
      <c r="W3377" s="82" t="s">
        <v>6559</v>
      </c>
      <c r="X3377" s="80" t="str">
        <f>HYPERLINK("https://www.moneytimes.com.br/gringos-enfrentam-dilema-na-b3-em-maio-buy-in-may-ou-sell-ou-may/")</f>
        <v>https://www.moneytimes.com.br/gringos-enfrentam-dilema-na-b3-em-maio-buy-in-may-ou-sell-ou-may/</v>
      </c>
      <c r="Y3377" s="77" t="s">
        <v>7053</v>
      </c>
      <c r="Z3377" s="77"/>
      <c r="AA3377" s="77"/>
      <c r="AB3377" s="77"/>
      <c r="AC3377" s="82" t="s">
        <v>8255</v>
      </c>
      <c r="AD3377" s="77" t="s">
        <v>8278</v>
      </c>
      <c r="AE3377" s="80" t="str">
        <f>HYPERLINK("https://twitter.com/leiamoneytimes/status/1660998487184424960")</f>
        <v>https://twitter.com/leiamoneytimes/status/1660998487184424960</v>
      </c>
      <c r="AF3377" s="79">
        <v>45069.554085648146</v>
      </c>
      <c r="AG3377" s="85">
        <v>45069</v>
      </c>
      <c r="AH3377" s="82" t="s">
        <v>11380</v>
      </c>
      <c r="AI3377" s="77" t="b">
        <v>0</v>
      </c>
      <c r="AJ3377" s="77"/>
      <c r="AK3377" s="77"/>
      <c r="AL3377" s="77"/>
      <c r="AM3377" s="77"/>
      <c r="AN3377" s="77"/>
      <c r="AO3377" s="77"/>
      <c r="AP3377" s="77"/>
      <c r="AQ3377" s="77"/>
      <c r="AR3377" s="77"/>
      <c r="AS3377" s="77"/>
      <c r="AT3377" s="77"/>
      <c r="AU3377" s="77"/>
      <c r="AV3377" s="80" t="str">
        <f>HYPERLINK("https://pbs.twimg.com/profile_images/1559883556846977024/bXHnQFY0_normal.jpg")</f>
        <v>https://pbs.twimg.com/profile_images/1559883556846977024/bXHnQFY0_normal.jpg</v>
      </c>
      <c r="AW3377" s="82" t="s">
        <v>16461</v>
      </c>
      <c r="AX3377" s="82" t="s">
        <v>16461</v>
      </c>
      <c r="AY3377" s="77"/>
      <c r="AZ3377" s="82" t="s">
        <v>17385</v>
      </c>
      <c r="BA3377" s="82" t="s">
        <v>17385</v>
      </c>
      <c r="BB3377" s="82" t="s">
        <v>17385</v>
      </c>
      <c r="BC3377" s="82" t="s">
        <v>16461</v>
      </c>
      <c r="BD3377" s="77">
        <v>51150679</v>
      </c>
      <c r="BE3377" s="77"/>
      <c r="BF3377" s="77"/>
      <c r="BG3377" s="77"/>
      <c r="BH3377" s="77"/>
      <c r="BI3377" s="77"/>
    </row>
    <row r="3378" spans="1:61" x14ac:dyDescent="0.25">
      <c r="A3378" s="62" t="s">
        <v>605</v>
      </c>
      <c r="B3378" s="62" t="s">
        <v>605</v>
      </c>
      <c r="C3378" s="63"/>
      <c r="D3378" s="64"/>
      <c r="E3378" s="65"/>
      <c r="F3378" s="66"/>
      <c r="G3378" s="63"/>
      <c r="H3378" s="67"/>
      <c r="I3378" s="68"/>
      <c r="J3378" s="68"/>
      <c r="K3378" s="32"/>
      <c r="L3378" s="75">
        <v>3378</v>
      </c>
      <c r="M3378" s="75"/>
      <c r="N3378" s="70"/>
      <c r="O3378" s="77" t="s">
        <v>179</v>
      </c>
      <c r="P3378" s="79">
        <v>45069.482175925928</v>
      </c>
      <c r="Q3378" s="77" t="s">
        <v>4152</v>
      </c>
      <c r="R3378" s="77">
        <v>0</v>
      </c>
      <c r="S3378" s="77">
        <v>9</v>
      </c>
      <c r="T3378" s="77">
        <v>1</v>
      </c>
      <c r="U3378" s="77">
        <v>0</v>
      </c>
      <c r="V3378" s="77">
        <v>1505</v>
      </c>
      <c r="W3378" s="82" t="s">
        <v>6578</v>
      </c>
      <c r="X3378" s="80" t="str">
        <f>HYPERLINK("https://www.moneytimes.com.br/bolsas-asiaticas-acoes-em-hong-kong-batem-fundo-de-dois-meses-ambiente-e-fragil/")</f>
        <v>https://www.moneytimes.com.br/bolsas-asiaticas-acoes-em-hong-kong-batem-fundo-de-dois-meses-ambiente-e-fragil/</v>
      </c>
      <c r="Y3378" s="77" t="s">
        <v>7053</v>
      </c>
      <c r="Z3378" s="77"/>
      <c r="AA3378" s="77"/>
      <c r="AB3378" s="77"/>
      <c r="AC3378" s="82" t="s">
        <v>8255</v>
      </c>
      <c r="AD3378" s="77" t="s">
        <v>8278</v>
      </c>
      <c r="AE3378" s="80" t="str">
        <f>HYPERLINK("https://twitter.com/leiamoneytimes/status/1660972425570295809")</f>
        <v>https://twitter.com/leiamoneytimes/status/1660972425570295809</v>
      </c>
      <c r="AF3378" s="79">
        <v>45069.482175925928</v>
      </c>
      <c r="AG3378" s="85">
        <v>45069</v>
      </c>
      <c r="AH3378" s="82" t="s">
        <v>11381</v>
      </c>
      <c r="AI3378" s="77" t="b">
        <v>0</v>
      </c>
      <c r="AJ3378" s="77"/>
      <c r="AK3378" s="77"/>
      <c r="AL3378" s="77"/>
      <c r="AM3378" s="77"/>
      <c r="AN3378" s="77"/>
      <c r="AO3378" s="77"/>
      <c r="AP3378" s="77"/>
      <c r="AQ3378" s="77"/>
      <c r="AR3378" s="77"/>
      <c r="AS3378" s="77"/>
      <c r="AT3378" s="77"/>
      <c r="AU3378" s="77"/>
      <c r="AV3378" s="80" t="str">
        <f>HYPERLINK("https://pbs.twimg.com/profile_images/1559883556846977024/bXHnQFY0_normal.jpg")</f>
        <v>https://pbs.twimg.com/profile_images/1559883556846977024/bXHnQFY0_normal.jpg</v>
      </c>
      <c r="AW3378" s="82" t="s">
        <v>16462</v>
      </c>
      <c r="AX3378" s="82" t="s">
        <v>16462</v>
      </c>
      <c r="AY3378" s="77"/>
      <c r="AZ3378" s="82" t="s">
        <v>17385</v>
      </c>
      <c r="BA3378" s="82" t="s">
        <v>17385</v>
      </c>
      <c r="BB3378" s="82" t="s">
        <v>17385</v>
      </c>
      <c r="BC3378" s="82" t="s">
        <v>16462</v>
      </c>
      <c r="BD3378" s="77">
        <v>51150679</v>
      </c>
      <c r="BE3378" s="77"/>
      <c r="BF3378" s="77"/>
      <c r="BG3378" s="77"/>
      <c r="BH3378" s="77"/>
      <c r="BI3378" s="77"/>
    </row>
    <row r="3379" spans="1:61" x14ac:dyDescent="0.25">
      <c r="A3379" s="62" t="s">
        <v>605</v>
      </c>
      <c r="B3379" s="62" t="s">
        <v>605</v>
      </c>
      <c r="C3379" s="63"/>
      <c r="D3379" s="64"/>
      <c r="E3379" s="65"/>
      <c r="F3379" s="66"/>
      <c r="G3379" s="63"/>
      <c r="H3379" s="67"/>
      <c r="I3379" s="68"/>
      <c r="J3379" s="68"/>
      <c r="K3379" s="32"/>
      <c r="L3379" s="75">
        <v>3379</v>
      </c>
      <c r="M3379" s="75"/>
      <c r="N3379" s="70"/>
      <c r="O3379" s="77" t="s">
        <v>179</v>
      </c>
      <c r="P3379" s="79">
        <v>45068.98064814815</v>
      </c>
      <c r="Q3379" s="77" t="s">
        <v>4153</v>
      </c>
      <c r="R3379" s="77">
        <v>1</v>
      </c>
      <c r="S3379" s="77">
        <v>5</v>
      </c>
      <c r="T3379" s="77">
        <v>0</v>
      </c>
      <c r="U3379" s="77">
        <v>0</v>
      </c>
      <c r="V3379" s="77">
        <v>2340</v>
      </c>
      <c r="W3379" s="82" t="s">
        <v>6646</v>
      </c>
      <c r="X3379" s="80" t="str">
        <f>HYPERLINK("https://www.moneytimes.com.br/gestora-com-us-26-tri-sob-gestao-zera-posicao-em-varejista-e-despeja-97-mi-de-papeis-no-mercado/")</f>
        <v>https://www.moneytimes.com.br/gestora-com-us-26-tri-sob-gestao-zera-posicao-em-varejista-e-despeja-97-mi-de-papeis-no-mercado/</v>
      </c>
      <c r="Y3379" s="77" t="s">
        <v>7053</v>
      </c>
      <c r="Z3379" s="77"/>
      <c r="AA3379" s="77"/>
      <c r="AB3379" s="77"/>
      <c r="AC3379" s="82" t="s">
        <v>8255</v>
      </c>
      <c r="AD3379" s="77" t="s">
        <v>8278</v>
      </c>
      <c r="AE3379" s="80" t="str">
        <f>HYPERLINK("https://twitter.com/leiamoneytimes/status/1660790680480886784")</f>
        <v>https://twitter.com/leiamoneytimes/status/1660790680480886784</v>
      </c>
      <c r="AF3379" s="79">
        <v>45068.98064814815</v>
      </c>
      <c r="AG3379" s="85">
        <v>45068</v>
      </c>
      <c r="AH3379" s="82" t="s">
        <v>11382</v>
      </c>
      <c r="AI3379" s="77" t="b">
        <v>0</v>
      </c>
      <c r="AJ3379" s="77"/>
      <c r="AK3379" s="77"/>
      <c r="AL3379" s="77"/>
      <c r="AM3379" s="77"/>
      <c r="AN3379" s="77"/>
      <c r="AO3379" s="77"/>
      <c r="AP3379" s="77"/>
      <c r="AQ3379" s="77"/>
      <c r="AR3379" s="77"/>
      <c r="AS3379" s="77"/>
      <c r="AT3379" s="77"/>
      <c r="AU3379" s="77"/>
      <c r="AV3379" s="80" t="str">
        <f>HYPERLINK("https://pbs.twimg.com/profile_images/1559883556846977024/bXHnQFY0_normal.jpg")</f>
        <v>https://pbs.twimg.com/profile_images/1559883556846977024/bXHnQFY0_normal.jpg</v>
      </c>
      <c r="AW3379" s="82" t="s">
        <v>16463</v>
      </c>
      <c r="AX3379" s="82" t="s">
        <v>16463</v>
      </c>
      <c r="AY3379" s="77"/>
      <c r="AZ3379" s="82" t="s">
        <v>17385</v>
      </c>
      <c r="BA3379" s="82" t="s">
        <v>17385</v>
      </c>
      <c r="BB3379" s="82" t="s">
        <v>17385</v>
      </c>
      <c r="BC3379" s="82" t="s">
        <v>16463</v>
      </c>
      <c r="BD3379" s="77">
        <v>51150679</v>
      </c>
      <c r="BE3379" s="77"/>
      <c r="BF3379" s="77"/>
      <c r="BG3379" s="77"/>
      <c r="BH3379" s="77"/>
      <c r="BI3379" s="77"/>
    </row>
    <row r="3380" spans="1:61" x14ac:dyDescent="0.25">
      <c r="A3380" s="62" t="s">
        <v>605</v>
      </c>
      <c r="B3380" s="62" t="s">
        <v>605</v>
      </c>
      <c r="C3380" s="63"/>
      <c r="D3380" s="64"/>
      <c r="E3380" s="65"/>
      <c r="F3380" s="66"/>
      <c r="G3380" s="63"/>
      <c r="H3380" s="67"/>
      <c r="I3380" s="68"/>
      <c r="J3380" s="68"/>
      <c r="K3380" s="32"/>
      <c r="L3380" s="75">
        <v>3380</v>
      </c>
      <c r="M3380" s="75"/>
      <c r="N3380" s="70"/>
      <c r="O3380" s="77" t="s">
        <v>179</v>
      </c>
      <c r="P3380" s="79">
        <v>45068.847928240742</v>
      </c>
      <c r="Q3380" s="77" t="s">
        <v>4154</v>
      </c>
      <c r="R3380" s="77">
        <v>0</v>
      </c>
      <c r="S3380" s="77">
        <v>6</v>
      </c>
      <c r="T3380" s="77">
        <v>1</v>
      </c>
      <c r="U3380" s="77">
        <v>0</v>
      </c>
      <c r="V3380" s="77">
        <v>1340</v>
      </c>
      <c r="W3380" s="82" t="s">
        <v>6551</v>
      </c>
      <c r="X3380" s="80" t="str">
        <f>HYPERLINK("https://www.moneytimes.com.br/ibovespa-hoje-fecha-queda-arcabouco-fiscal-divida-eua-22-05-2023/")</f>
        <v>https://www.moneytimes.com.br/ibovespa-hoje-fecha-queda-arcabouco-fiscal-divida-eua-22-05-2023/</v>
      </c>
      <c r="Y3380" s="77" t="s">
        <v>7053</v>
      </c>
      <c r="Z3380" s="77"/>
      <c r="AA3380" s="77"/>
      <c r="AB3380" s="77"/>
      <c r="AC3380" s="82" t="s">
        <v>8255</v>
      </c>
      <c r="AD3380" s="77" t="s">
        <v>8278</v>
      </c>
      <c r="AE3380" s="80" t="str">
        <f>HYPERLINK("https://twitter.com/leiamoneytimes/status/1660742584338206749")</f>
        <v>https://twitter.com/leiamoneytimes/status/1660742584338206749</v>
      </c>
      <c r="AF3380" s="79">
        <v>45068.847928240742</v>
      </c>
      <c r="AG3380" s="85">
        <v>45068</v>
      </c>
      <c r="AH3380" s="82" t="s">
        <v>11383</v>
      </c>
      <c r="AI3380" s="77" t="b">
        <v>0</v>
      </c>
      <c r="AJ3380" s="77"/>
      <c r="AK3380" s="77"/>
      <c r="AL3380" s="77"/>
      <c r="AM3380" s="77"/>
      <c r="AN3380" s="77"/>
      <c r="AO3380" s="77"/>
      <c r="AP3380" s="77"/>
      <c r="AQ3380" s="77"/>
      <c r="AR3380" s="77"/>
      <c r="AS3380" s="77"/>
      <c r="AT3380" s="77"/>
      <c r="AU3380" s="77"/>
      <c r="AV3380" s="80" t="str">
        <f>HYPERLINK("https://pbs.twimg.com/profile_images/1559883556846977024/bXHnQFY0_normal.jpg")</f>
        <v>https://pbs.twimg.com/profile_images/1559883556846977024/bXHnQFY0_normal.jpg</v>
      </c>
      <c r="AW3380" s="82" t="s">
        <v>16464</v>
      </c>
      <c r="AX3380" s="82" t="s">
        <v>16464</v>
      </c>
      <c r="AY3380" s="77"/>
      <c r="AZ3380" s="82" t="s">
        <v>17385</v>
      </c>
      <c r="BA3380" s="82" t="s">
        <v>17385</v>
      </c>
      <c r="BB3380" s="82" t="s">
        <v>17385</v>
      </c>
      <c r="BC3380" s="82" t="s">
        <v>16464</v>
      </c>
      <c r="BD3380" s="77">
        <v>51150679</v>
      </c>
      <c r="BE3380" s="77"/>
      <c r="BF3380" s="77"/>
      <c r="BG3380" s="77"/>
      <c r="BH3380" s="77"/>
      <c r="BI3380" s="77"/>
    </row>
    <row r="3381" spans="1:61" x14ac:dyDescent="0.25">
      <c r="A3381" s="62" t="s">
        <v>605</v>
      </c>
      <c r="B3381" s="62" t="s">
        <v>605</v>
      </c>
      <c r="C3381" s="63"/>
      <c r="D3381" s="64"/>
      <c r="E3381" s="65"/>
      <c r="F3381" s="66"/>
      <c r="G3381" s="63"/>
      <c r="H3381" s="67"/>
      <c r="I3381" s="68"/>
      <c r="J3381" s="68"/>
      <c r="K3381" s="32"/>
      <c r="L3381" s="75">
        <v>3381</v>
      </c>
      <c r="M3381" s="75"/>
      <c r="N3381" s="70"/>
      <c r="O3381" s="77" t="s">
        <v>179</v>
      </c>
      <c r="P3381" s="79">
        <v>45051.726655092592</v>
      </c>
      <c r="Q3381" s="77" t="s">
        <v>4155</v>
      </c>
      <c r="R3381" s="77">
        <v>0</v>
      </c>
      <c r="S3381" s="77">
        <v>1</v>
      </c>
      <c r="T3381" s="77">
        <v>1</v>
      </c>
      <c r="U3381" s="77">
        <v>0</v>
      </c>
      <c r="V3381" s="77">
        <v>932</v>
      </c>
      <c r="W3381" s="82" t="s">
        <v>6640</v>
      </c>
      <c r="X3381" s="80" t="str">
        <f>HYPERLINK("https://www.moneytimes.com.br/acoes-europeias-sobem-hoje-com-energia-e-hsbc-mas-caem-pela-segunda-semana-consecutiva/")</f>
        <v>https://www.moneytimes.com.br/acoes-europeias-sobem-hoje-com-energia-e-hsbc-mas-caem-pela-segunda-semana-consecutiva/</v>
      </c>
      <c r="Y3381" s="77" t="s">
        <v>7053</v>
      </c>
      <c r="Z3381" s="77"/>
      <c r="AA3381" s="77"/>
      <c r="AB3381" s="77"/>
      <c r="AC3381" s="82" t="s">
        <v>8255</v>
      </c>
      <c r="AD3381" s="77" t="s">
        <v>8278</v>
      </c>
      <c r="AE3381" s="80" t="str">
        <f>HYPERLINK("https://twitter.com/leiamoneytimes/status/1654538041820577800")</f>
        <v>https://twitter.com/leiamoneytimes/status/1654538041820577800</v>
      </c>
      <c r="AF3381" s="79">
        <v>45051.726655092592</v>
      </c>
      <c r="AG3381" s="85">
        <v>45051</v>
      </c>
      <c r="AH3381" s="82" t="s">
        <v>11384</v>
      </c>
      <c r="AI3381" s="77" t="b">
        <v>0</v>
      </c>
      <c r="AJ3381" s="77"/>
      <c r="AK3381" s="77"/>
      <c r="AL3381" s="77"/>
      <c r="AM3381" s="77"/>
      <c r="AN3381" s="77"/>
      <c r="AO3381" s="77"/>
      <c r="AP3381" s="77"/>
      <c r="AQ3381" s="77"/>
      <c r="AR3381" s="77"/>
      <c r="AS3381" s="77"/>
      <c r="AT3381" s="77"/>
      <c r="AU3381" s="77"/>
      <c r="AV3381" s="80" t="str">
        <f>HYPERLINK("https://pbs.twimg.com/profile_images/1559883556846977024/bXHnQFY0_normal.jpg")</f>
        <v>https://pbs.twimg.com/profile_images/1559883556846977024/bXHnQFY0_normal.jpg</v>
      </c>
      <c r="AW3381" s="82" t="s">
        <v>16465</v>
      </c>
      <c r="AX3381" s="82" t="s">
        <v>16465</v>
      </c>
      <c r="AY3381" s="77"/>
      <c r="AZ3381" s="82" t="s">
        <v>17385</v>
      </c>
      <c r="BA3381" s="82" t="s">
        <v>17385</v>
      </c>
      <c r="BB3381" s="82" t="s">
        <v>17385</v>
      </c>
      <c r="BC3381" s="82" t="s">
        <v>16465</v>
      </c>
      <c r="BD3381" s="77">
        <v>51150679</v>
      </c>
      <c r="BE3381" s="77"/>
      <c r="BF3381" s="77"/>
      <c r="BG3381" s="77"/>
      <c r="BH3381" s="77"/>
      <c r="BI3381" s="77"/>
    </row>
    <row r="3382" spans="1:61" x14ac:dyDescent="0.25">
      <c r="A3382" s="62" t="s">
        <v>605</v>
      </c>
      <c r="B3382" s="62" t="s">
        <v>605</v>
      </c>
      <c r="C3382" s="63"/>
      <c r="D3382" s="64"/>
      <c r="E3382" s="65"/>
      <c r="F3382" s="66"/>
      <c r="G3382" s="63"/>
      <c r="H3382" s="67"/>
      <c r="I3382" s="68"/>
      <c r="J3382" s="68"/>
      <c r="K3382" s="32"/>
      <c r="L3382" s="75">
        <v>3382</v>
      </c>
      <c r="M3382" s="75"/>
      <c r="N3382" s="70"/>
      <c r="O3382" s="77" t="s">
        <v>179</v>
      </c>
      <c r="P3382" s="79">
        <v>45051.706967592596</v>
      </c>
      <c r="Q3382" s="77" t="s">
        <v>4156</v>
      </c>
      <c r="R3382" s="77">
        <v>0</v>
      </c>
      <c r="S3382" s="77">
        <v>3</v>
      </c>
      <c r="T3382" s="77">
        <v>1</v>
      </c>
      <c r="U3382" s="77">
        <v>0</v>
      </c>
      <c r="V3382" s="77">
        <v>976</v>
      </c>
      <c r="W3382" s="82" t="s">
        <v>6647</v>
      </c>
      <c r="X3382" s="80" t="str">
        <f>HYPERLINK("https://www.moneytimes.com.br/sell-in-may-vem-ai-gringos-iniciam-maio-vendendo-mais-de-r-15-bi-em-acoes-na-b3-em-2-dias/")</f>
        <v>https://www.moneytimes.com.br/sell-in-may-vem-ai-gringos-iniciam-maio-vendendo-mais-de-r-15-bi-em-acoes-na-b3-em-2-dias/</v>
      </c>
      <c r="Y3382" s="77" t="s">
        <v>7053</v>
      </c>
      <c r="Z3382" s="77"/>
      <c r="AA3382" s="77"/>
      <c r="AB3382" s="77"/>
      <c r="AC3382" s="82" t="s">
        <v>8255</v>
      </c>
      <c r="AD3382" s="77" t="s">
        <v>8278</v>
      </c>
      <c r="AE3382" s="80" t="str">
        <f>HYPERLINK("https://twitter.com/leiamoneytimes/status/1654530905719832582")</f>
        <v>https://twitter.com/leiamoneytimes/status/1654530905719832582</v>
      </c>
      <c r="AF3382" s="79">
        <v>45051.706967592596</v>
      </c>
      <c r="AG3382" s="85">
        <v>45051</v>
      </c>
      <c r="AH3382" s="82" t="s">
        <v>11385</v>
      </c>
      <c r="AI3382" s="77" t="b">
        <v>0</v>
      </c>
      <c r="AJ3382" s="77"/>
      <c r="AK3382" s="77"/>
      <c r="AL3382" s="77"/>
      <c r="AM3382" s="77"/>
      <c r="AN3382" s="77"/>
      <c r="AO3382" s="77"/>
      <c r="AP3382" s="77"/>
      <c r="AQ3382" s="77"/>
      <c r="AR3382" s="77"/>
      <c r="AS3382" s="77"/>
      <c r="AT3382" s="77"/>
      <c r="AU3382" s="77"/>
      <c r="AV3382" s="80" t="str">
        <f>HYPERLINK("https://pbs.twimg.com/profile_images/1559883556846977024/bXHnQFY0_normal.jpg")</f>
        <v>https://pbs.twimg.com/profile_images/1559883556846977024/bXHnQFY0_normal.jpg</v>
      </c>
      <c r="AW3382" s="82" t="s">
        <v>16466</v>
      </c>
      <c r="AX3382" s="82" t="s">
        <v>16466</v>
      </c>
      <c r="AY3382" s="77"/>
      <c r="AZ3382" s="82" t="s">
        <v>17385</v>
      </c>
      <c r="BA3382" s="82" t="s">
        <v>17385</v>
      </c>
      <c r="BB3382" s="82" t="s">
        <v>17385</v>
      </c>
      <c r="BC3382" s="82" t="s">
        <v>16466</v>
      </c>
      <c r="BD3382" s="77">
        <v>51150679</v>
      </c>
      <c r="BE3382" s="77"/>
      <c r="BF3382" s="77"/>
      <c r="BG3382" s="77"/>
      <c r="BH3382" s="77"/>
      <c r="BI3382" s="77"/>
    </row>
    <row r="3383" spans="1:61" x14ac:dyDescent="0.25">
      <c r="A3383" s="62" t="s">
        <v>605</v>
      </c>
      <c r="B3383" s="62" t="s">
        <v>605</v>
      </c>
      <c r="C3383" s="63"/>
      <c r="D3383" s="64"/>
      <c r="E3383" s="65"/>
      <c r="F3383" s="66"/>
      <c r="G3383" s="63"/>
      <c r="H3383" s="67"/>
      <c r="I3383" s="68"/>
      <c r="J3383" s="68"/>
      <c r="K3383" s="32"/>
      <c r="L3383" s="75">
        <v>3383</v>
      </c>
      <c r="M3383" s="75"/>
      <c r="N3383" s="70"/>
      <c r="O3383" s="77" t="s">
        <v>179</v>
      </c>
      <c r="P3383" s="79">
        <v>45051.682905092595</v>
      </c>
      <c r="Q3383" s="77" t="s">
        <v>4157</v>
      </c>
      <c r="R3383" s="77">
        <v>0</v>
      </c>
      <c r="S3383" s="77">
        <v>1</v>
      </c>
      <c r="T3383" s="77">
        <v>1</v>
      </c>
      <c r="U3383" s="77">
        <v>0</v>
      </c>
      <c r="V3383" s="77">
        <v>1104</v>
      </c>
      <c r="W3383" s="82" t="s">
        <v>6648</v>
      </c>
      <c r="X3383" s="80" t="str">
        <f>HYPERLINK("https://www.moneytimes.com.br/ibovespa-entenda-o-que-esta-por-tras-da-alta-de-vale3-e-petr4-nesta-sexta-5/")</f>
        <v>https://www.moneytimes.com.br/ibovespa-entenda-o-que-esta-por-tras-da-alta-de-vale3-e-petr4-nesta-sexta-5/</v>
      </c>
      <c r="Y3383" s="77" t="s">
        <v>7053</v>
      </c>
      <c r="Z3383" s="77"/>
      <c r="AA3383" s="77"/>
      <c r="AB3383" s="77"/>
      <c r="AC3383" s="82" t="s">
        <v>8255</v>
      </c>
      <c r="AD3383" s="77" t="s">
        <v>8278</v>
      </c>
      <c r="AE3383" s="80" t="str">
        <f>HYPERLINK("https://twitter.com/leiamoneytimes/status/1654522184763572239")</f>
        <v>https://twitter.com/leiamoneytimes/status/1654522184763572239</v>
      </c>
      <c r="AF3383" s="79">
        <v>45051.682905092595</v>
      </c>
      <c r="AG3383" s="85">
        <v>45051</v>
      </c>
      <c r="AH3383" s="82" t="s">
        <v>11386</v>
      </c>
      <c r="AI3383" s="77" t="b">
        <v>0</v>
      </c>
      <c r="AJ3383" s="77"/>
      <c r="AK3383" s="77"/>
      <c r="AL3383" s="77"/>
      <c r="AM3383" s="77"/>
      <c r="AN3383" s="77"/>
      <c r="AO3383" s="77"/>
      <c r="AP3383" s="77"/>
      <c r="AQ3383" s="77"/>
      <c r="AR3383" s="77"/>
      <c r="AS3383" s="77"/>
      <c r="AT3383" s="77"/>
      <c r="AU3383" s="77"/>
      <c r="AV3383" s="80" t="str">
        <f>HYPERLINK("https://pbs.twimg.com/profile_images/1559883556846977024/bXHnQFY0_normal.jpg")</f>
        <v>https://pbs.twimg.com/profile_images/1559883556846977024/bXHnQFY0_normal.jpg</v>
      </c>
      <c r="AW3383" s="82" t="s">
        <v>16467</v>
      </c>
      <c r="AX3383" s="82" t="s">
        <v>16467</v>
      </c>
      <c r="AY3383" s="77"/>
      <c r="AZ3383" s="82" t="s">
        <v>17385</v>
      </c>
      <c r="BA3383" s="82" t="s">
        <v>17385</v>
      </c>
      <c r="BB3383" s="82" t="s">
        <v>17385</v>
      </c>
      <c r="BC3383" s="82" t="s">
        <v>16467</v>
      </c>
      <c r="BD3383" s="77">
        <v>51150679</v>
      </c>
      <c r="BE3383" s="77"/>
      <c r="BF3383" s="77"/>
      <c r="BG3383" s="77"/>
      <c r="BH3383" s="77"/>
      <c r="BI3383" s="77"/>
    </row>
    <row r="3384" spans="1:61" x14ac:dyDescent="0.25">
      <c r="A3384" s="62" t="s">
        <v>605</v>
      </c>
      <c r="B3384" s="62" t="s">
        <v>605</v>
      </c>
      <c r="C3384" s="63"/>
      <c r="D3384" s="64"/>
      <c r="E3384" s="65"/>
      <c r="F3384" s="66"/>
      <c r="G3384" s="63"/>
      <c r="H3384" s="67"/>
      <c r="I3384" s="68"/>
      <c r="J3384" s="68"/>
      <c r="K3384" s="32"/>
      <c r="L3384" s="75">
        <v>3384</v>
      </c>
      <c r="M3384" s="75"/>
      <c r="N3384" s="70"/>
      <c r="O3384" s="77" t="s">
        <v>179</v>
      </c>
      <c r="P3384" s="79">
        <v>45051.665370370371</v>
      </c>
      <c r="Q3384" s="77" t="s">
        <v>4158</v>
      </c>
      <c r="R3384" s="77">
        <v>0</v>
      </c>
      <c r="S3384" s="77">
        <v>4</v>
      </c>
      <c r="T3384" s="77">
        <v>1</v>
      </c>
      <c r="U3384" s="77">
        <v>0</v>
      </c>
      <c r="V3384" s="77">
        <v>1091</v>
      </c>
      <c r="W3384" s="82" t="s">
        <v>6550</v>
      </c>
      <c r="X3384" s="80" t="str">
        <f>HYPERLINK("https://www.moneytimes.com.br/acoes-da-alpargatas-alpa4-avancam-apesar-de-resultado-fraco/")</f>
        <v>https://www.moneytimes.com.br/acoes-da-alpargatas-alpa4-avancam-apesar-de-resultado-fraco/</v>
      </c>
      <c r="Y3384" s="77" t="s">
        <v>7053</v>
      </c>
      <c r="Z3384" s="77"/>
      <c r="AA3384" s="77"/>
      <c r="AB3384" s="77"/>
      <c r="AC3384" s="82" t="s">
        <v>8255</v>
      </c>
      <c r="AD3384" s="77" t="s">
        <v>8278</v>
      </c>
      <c r="AE3384" s="80" t="str">
        <f>HYPERLINK("https://twitter.com/leiamoneytimes/status/1654515834159595523")</f>
        <v>https://twitter.com/leiamoneytimes/status/1654515834159595523</v>
      </c>
      <c r="AF3384" s="79">
        <v>45051.665370370371</v>
      </c>
      <c r="AG3384" s="85">
        <v>45051</v>
      </c>
      <c r="AH3384" s="82" t="s">
        <v>11387</v>
      </c>
      <c r="AI3384" s="77" t="b">
        <v>0</v>
      </c>
      <c r="AJ3384" s="77"/>
      <c r="AK3384" s="77"/>
      <c r="AL3384" s="77"/>
      <c r="AM3384" s="77"/>
      <c r="AN3384" s="77"/>
      <c r="AO3384" s="77"/>
      <c r="AP3384" s="77"/>
      <c r="AQ3384" s="77"/>
      <c r="AR3384" s="77"/>
      <c r="AS3384" s="77"/>
      <c r="AT3384" s="77"/>
      <c r="AU3384" s="77"/>
      <c r="AV3384" s="80" t="str">
        <f>HYPERLINK("https://pbs.twimg.com/profile_images/1559883556846977024/bXHnQFY0_normal.jpg")</f>
        <v>https://pbs.twimg.com/profile_images/1559883556846977024/bXHnQFY0_normal.jpg</v>
      </c>
      <c r="AW3384" s="82" t="s">
        <v>16468</v>
      </c>
      <c r="AX3384" s="82" t="s">
        <v>16468</v>
      </c>
      <c r="AY3384" s="77"/>
      <c r="AZ3384" s="82" t="s">
        <v>17385</v>
      </c>
      <c r="BA3384" s="82" t="s">
        <v>17385</v>
      </c>
      <c r="BB3384" s="82" t="s">
        <v>17385</v>
      </c>
      <c r="BC3384" s="82" t="s">
        <v>16468</v>
      </c>
      <c r="BD3384" s="77">
        <v>51150679</v>
      </c>
      <c r="BE3384" s="77"/>
      <c r="BF3384" s="77"/>
      <c r="BG3384" s="77"/>
      <c r="BH3384" s="77"/>
      <c r="BI3384" s="77"/>
    </row>
    <row r="3385" spans="1:61" x14ac:dyDescent="0.25">
      <c r="A3385" s="62" t="s">
        <v>605</v>
      </c>
      <c r="B3385" s="62" t="s">
        <v>605</v>
      </c>
      <c r="C3385" s="63"/>
      <c r="D3385" s="64"/>
      <c r="E3385" s="65"/>
      <c r="F3385" s="66"/>
      <c r="G3385" s="63"/>
      <c r="H3385" s="67"/>
      <c r="I3385" s="68"/>
      <c r="J3385" s="68"/>
      <c r="K3385" s="32"/>
      <c r="L3385" s="75">
        <v>3385</v>
      </c>
      <c r="M3385" s="75"/>
      <c r="N3385" s="70"/>
      <c r="O3385" s="77" t="s">
        <v>179</v>
      </c>
      <c r="P3385" s="79">
        <v>45051.457372685189</v>
      </c>
      <c r="Q3385" s="77" t="s">
        <v>4159</v>
      </c>
      <c r="R3385" s="77">
        <v>0</v>
      </c>
      <c r="S3385" s="77">
        <v>1</v>
      </c>
      <c r="T3385" s="77">
        <v>1</v>
      </c>
      <c r="U3385" s="77">
        <v>0</v>
      </c>
      <c r="V3385" s="77">
        <v>1106</v>
      </c>
      <c r="W3385" s="82" t="s">
        <v>6564</v>
      </c>
      <c r="X3385" s="80" t="str">
        <f>HYPERLINK("https://www.moneytimes.com.br/acoes-de-hong-kong-fecham-em-alta-apos-expansao-de-servicos-na-china/")</f>
        <v>https://www.moneytimes.com.br/acoes-de-hong-kong-fecham-em-alta-apos-expansao-de-servicos-na-china/</v>
      </c>
      <c r="Y3385" s="77" t="s">
        <v>7053</v>
      </c>
      <c r="Z3385" s="77"/>
      <c r="AA3385" s="77"/>
      <c r="AB3385" s="77"/>
      <c r="AC3385" s="82" t="s">
        <v>8255</v>
      </c>
      <c r="AD3385" s="77" t="s">
        <v>8278</v>
      </c>
      <c r="AE3385" s="80" t="str">
        <f>HYPERLINK("https://twitter.com/leiamoneytimes/status/1654440456661393413")</f>
        <v>https://twitter.com/leiamoneytimes/status/1654440456661393413</v>
      </c>
      <c r="AF3385" s="79">
        <v>45051.457372685189</v>
      </c>
      <c r="AG3385" s="85">
        <v>45051</v>
      </c>
      <c r="AH3385" s="82" t="s">
        <v>11388</v>
      </c>
      <c r="AI3385" s="77" t="b">
        <v>0</v>
      </c>
      <c r="AJ3385" s="77"/>
      <c r="AK3385" s="77"/>
      <c r="AL3385" s="77"/>
      <c r="AM3385" s="77"/>
      <c r="AN3385" s="77"/>
      <c r="AO3385" s="77"/>
      <c r="AP3385" s="77"/>
      <c r="AQ3385" s="77"/>
      <c r="AR3385" s="77"/>
      <c r="AS3385" s="77"/>
      <c r="AT3385" s="77"/>
      <c r="AU3385" s="77"/>
      <c r="AV3385" s="80" t="str">
        <f>HYPERLINK("https://pbs.twimg.com/profile_images/1559883556846977024/bXHnQFY0_normal.jpg")</f>
        <v>https://pbs.twimg.com/profile_images/1559883556846977024/bXHnQFY0_normal.jpg</v>
      </c>
      <c r="AW3385" s="82" t="s">
        <v>16469</v>
      </c>
      <c r="AX3385" s="82" t="s">
        <v>16469</v>
      </c>
      <c r="AY3385" s="77"/>
      <c r="AZ3385" s="82" t="s">
        <v>17385</v>
      </c>
      <c r="BA3385" s="82" t="s">
        <v>17385</v>
      </c>
      <c r="BB3385" s="82" t="s">
        <v>17385</v>
      </c>
      <c r="BC3385" s="82" t="s">
        <v>16469</v>
      </c>
      <c r="BD3385" s="77">
        <v>51150679</v>
      </c>
      <c r="BE3385" s="77"/>
      <c r="BF3385" s="77"/>
      <c r="BG3385" s="77"/>
      <c r="BH3385" s="77"/>
      <c r="BI3385" s="77"/>
    </row>
    <row r="3386" spans="1:61" x14ac:dyDescent="0.25">
      <c r="A3386" s="62" t="s">
        <v>605</v>
      </c>
      <c r="B3386" s="62" t="s">
        <v>605</v>
      </c>
      <c r="C3386" s="63"/>
      <c r="D3386" s="64"/>
      <c r="E3386" s="65"/>
      <c r="F3386" s="66"/>
      <c r="G3386" s="63"/>
      <c r="H3386" s="67"/>
      <c r="I3386" s="68"/>
      <c r="J3386" s="68"/>
      <c r="K3386" s="32"/>
      <c r="L3386" s="75">
        <v>3386</v>
      </c>
      <c r="M3386" s="75"/>
      <c r="N3386" s="70"/>
      <c r="O3386" s="77" t="s">
        <v>179</v>
      </c>
      <c r="P3386" s="79">
        <v>45050.832962962966</v>
      </c>
      <c r="Q3386" s="77" t="s">
        <v>4160</v>
      </c>
      <c r="R3386" s="77">
        <v>2</v>
      </c>
      <c r="S3386" s="77">
        <v>7</v>
      </c>
      <c r="T3386" s="77">
        <v>1</v>
      </c>
      <c r="U3386" s="77">
        <v>0</v>
      </c>
      <c r="V3386" s="77">
        <v>1281</v>
      </c>
      <c r="W3386" s="82" t="s">
        <v>6580</v>
      </c>
      <c r="X3386" s="80" t="str">
        <f>HYPERLINK("https://www.moneytimes.com.br/petrobras-petr4-pode-cortar-dividendos-no-proximo-dia-11-diz-itau-bba-veja-3-possiveis-cenarios/")</f>
        <v>https://www.moneytimes.com.br/petrobras-petr4-pode-cortar-dividendos-no-proximo-dia-11-diz-itau-bba-veja-3-possiveis-cenarios/</v>
      </c>
      <c r="Y3386" s="77" t="s">
        <v>7053</v>
      </c>
      <c r="Z3386" s="77"/>
      <c r="AA3386" s="77"/>
      <c r="AB3386" s="77"/>
      <c r="AC3386" s="82" t="s">
        <v>8255</v>
      </c>
      <c r="AD3386" s="77" t="s">
        <v>8278</v>
      </c>
      <c r="AE3386" s="80" t="str">
        <f>HYPERLINK("https://twitter.com/leiamoneytimes/status/1654214178108760068")</f>
        <v>https://twitter.com/leiamoneytimes/status/1654214178108760068</v>
      </c>
      <c r="AF3386" s="79">
        <v>45050.832962962966</v>
      </c>
      <c r="AG3386" s="85">
        <v>45050</v>
      </c>
      <c r="AH3386" s="82" t="s">
        <v>11389</v>
      </c>
      <c r="AI3386" s="77" t="b">
        <v>0</v>
      </c>
      <c r="AJ3386" s="77"/>
      <c r="AK3386" s="77"/>
      <c r="AL3386" s="77"/>
      <c r="AM3386" s="77"/>
      <c r="AN3386" s="77"/>
      <c r="AO3386" s="77"/>
      <c r="AP3386" s="77"/>
      <c r="AQ3386" s="77"/>
      <c r="AR3386" s="77"/>
      <c r="AS3386" s="77"/>
      <c r="AT3386" s="77"/>
      <c r="AU3386" s="77"/>
      <c r="AV3386" s="80" t="str">
        <f>HYPERLINK("https://pbs.twimg.com/profile_images/1559883556846977024/bXHnQFY0_normal.jpg")</f>
        <v>https://pbs.twimg.com/profile_images/1559883556846977024/bXHnQFY0_normal.jpg</v>
      </c>
      <c r="AW3386" s="82" t="s">
        <v>16470</v>
      </c>
      <c r="AX3386" s="82" t="s">
        <v>16470</v>
      </c>
      <c r="AY3386" s="77"/>
      <c r="AZ3386" s="82" t="s">
        <v>17385</v>
      </c>
      <c r="BA3386" s="82" t="s">
        <v>17385</v>
      </c>
      <c r="BB3386" s="82" t="s">
        <v>17385</v>
      </c>
      <c r="BC3386" s="82" t="s">
        <v>16470</v>
      </c>
      <c r="BD3386" s="77">
        <v>51150679</v>
      </c>
      <c r="BE3386" s="77"/>
      <c r="BF3386" s="77"/>
      <c r="BG3386" s="77"/>
      <c r="BH3386" s="77"/>
      <c r="BI3386" s="77"/>
    </row>
    <row r="3387" spans="1:61" x14ac:dyDescent="0.25">
      <c r="A3387" s="62" t="s">
        <v>605</v>
      </c>
      <c r="B3387" s="62" t="s">
        <v>605</v>
      </c>
      <c r="C3387" s="63"/>
      <c r="D3387" s="64"/>
      <c r="E3387" s="65"/>
      <c r="F3387" s="66"/>
      <c r="G3387" s="63"/>
      <c r="H3387" s="67"/>
      <c r="I3387" s="68"/>
      <c r="J3387" s="68"/>
      <c r="K3387" s="32"/>
      <c r="L3387" s="75">
        <v>3387</v>
      </c>
      <c r="M3387" s="75"/>
      <c r="N3387" s="70"/>
      <c r="O3387" s="77" t="s">
        <v>179</v>
      </c>
      <c r="P3387" s="79">
        <v>45050.717557870368</v>
      </c>
      <c r="Q3387" s="77" t="s">
        <v>4161</v>
      </c>
      <c r="R3387" s="77">
        <v>0</v>
      </c>
      <c r="S3387" s="77">
        <v>0</v>
      </c>
      <c r="T3387" s="77">
        <v>1</v>
      </c>
      <c r="U3387" s="77">
        <v>0</v>
      </c>
      <c r="V3387" s="77">
        <v>1115</v>
      </c>
      <c r="W3387" s="82" t="s">
        <v>6625</v>
      </c>
      <c r="X3387" s="80" t="str">
        <f>HYPERLINK("https://www.moneytimes.com.br/acoes-europeias-fecham-em-baixa-apos-bce-desacelerar-alta-de-juros-mas-sinalizar-mais-a-frente/")</f>
        <v>https://www.moneytimes.com.br/acoes-europeias-fecham-em-baixa-apos-bce-desacelerar-alta-de-juros-mas-sinalizar-mais-a-frente/</v>
      </c>
      <c r="Y3387" s="77" t="s">
        <v>7053</v>
      </c>
      <c r="Z3387" s="77"/>
      <c r="AA3387" s="77"/>
      <c r="AB3387" s="77"/>
      <c r="AC3387" s="82" t="s">
        <v>8255</v>
      </c>
      <c r="AD3387" s="77" t="s">
        <v>8278</v>
      </c>
      <c r="AE3387" s="80" t="str">
        <f>HYPERLINK("https://twitter.com/leiamoneytimes/status/1654172355977936910")</f>
        <v>https://twitter.com/leiamoneytimes/status/1654172355977936910</v>
      </c>
      <c r="AF3387" s="79">
        <v>45050.717557870368</v>
      </c>
      <c r="AG3387" s="85">
        <v>45050</v>
      </c>
      <c r="AH3387" s="82" t="s">
        <v>11390</v>
      </c>
      <c r="AI3387" s="77" t="b">
        <v>0</v>
      </c>
      <c r="AJ3387" s="77"/>
      <c r="AK3387" s="77"/>
      <c r="AL3387" s="77"/>
      <c r="AM3387" s="77"/>
      <c r="AN3387" s="77"/>
      <c r="AO3387" s="77"/>
      <c r="AP3387" s="77"/>
      <c r="AQ3387" s="77"/>
      <c r="AR3387" s="77"/>
      <c r="AS3387" s="77"/>
      <c r="AT3387" s="77"/>
      <c r="AU3387" s="77"/>
      <c r="AV3387" s="80" t="str">
        <f>HYPERLINK("https://pbs.twimg.com/profile_images/1559883556846977024/bXHnQFY0_normal.jpg")</f>
        <v>https://pbs.twimg.com/profile_images/1559883556846977024/bXHnQFY0_normal.jpg</v>
      </c>
      <c r="AW3387" s="82" t="s">
        <v>16471</v>
      </c>
      <c r="AX3387" s="82" t="s">
        <v>16471</v>
      </c>
      <c r="AY3387" s="77"/>
      <c r="AZ3387" s="82" t="s">
        <v>17385</v>
      </c>
      <c r="BA3387" s="82" t="s">
        <v>17385</v>
      </c>
      <c r="BB3387" s="82" t="s">
        <v>17385</v>
      </c>
      <c r="BC3387" s="82" t="s">
        <v>16471</v>
      </c>
      <c r="BD3387" s="77">
        <v>51150679</v>
      </c>
      <c r="BE3387" s="77"/>
      <c r="BF3387" s="77"/>
      <c r="BG3387" s="77"/>
      <c r="BH3387" s="77"/>
      <c r="BI3387" s="77"/>
    </row>
    <row r="3388" spans="1:61" x14ac:dyDescent="0.25">
      <c r="A3388" s="62" t="s">
        <v>605</v>
      </c>
      <c r="B3388" s="62" t="s">
        <v>605</v>
      </c>
      <c r="C3388" s="63"/>
      <c r="D3388" s="64"/>
      <c r="E3388" s="65"/>
      <c r="F3388" s="66"/>
      <c r="G3388" s="63"/>
      <c r="H3388" s="67"/>
      <c r="I3388" s="68"/>
      <c r="J3388" s="68"/>
      <c r="K3388" s="32"/>
      <c r="L3388" s="75">
        <v>3388</v>
      </c>
      <c r="M3388" s="75"/>
      <c r="N3388" s="70"/>
      <c r="O3388" s="77" t="s">
        <v>179</v>
      </c>
      <c r="P3388" s="79">
        <v>45050.689050925925</v>
      </c>
      <c r="Q3388" s="77" t="s">
        <v>4162</v>
      </c>
      <c r="R3388" s="77">
        <v>0</v>
      </c>
      <c r="S3388" s="77">
        <v>1</v>
      </c>
      <c r="T3388" s="77">
        <v>1</v>
      </c>
      <c r="U3388" s="77">
        <v>0</v>
      </c>
      <c r="V3388" s="77">
        <v>46</v>
      </c>
      <c r="W3388" s="82" t="s">
        <v>6649</v>
      </c>
      <c r="X3388" s="80" t="str">
        <f>HYPERLINK("https://www.moneytimes.com.br/ibovespa-mglu3-dispara-5-e-vale3-recua-3-nesta-quinta-4-entenda/")</f>
        <v>https://www.moneytimes.com.br/ibovespa-mglu3-dispara-5-e-vale3-recua-3-nesta-quinta-4-entenda/</v>
      </c>
      <c r="Y3388" s="77" t="s">
        <v>7053</v>
      </c>
      <c r="Z3388" s="77"/>
      <c r="AA3388" s="77"/>
      <c r="AB3388" s="77"/>
      <c r="AC3388" s="82" t="s">
        <v>8255</v>
      </c>
      <c r="AD3388" s="77" t="s">
        <v>8281</v>
      </c>
      <c r="AE3388" s="80" t="str">
        <f>HYPERLINK("https://twitter.com/leiamoneytimes/status/1654162024253751306")</f>
        <v>https://twitter.com/leiamoneytimes/status/1654162024253751306</v>
      </c>
      <c r="AF3388" s="79">
        <v>45050.689050925925</v>
      </c>
      <c r="AG3388" s="85">
        <v>45050</v>
      </c>
      <c r="AH3388" s="82" t="s">
        <v>11391</v>
      </c>
      <c r="AI3388" s="77" t="b">
        <v>0</v>
      </c>
      <c r="AJ3388" s="77"/>
      <c r="AK3388" s="77"/>
      <c r="AL3388" s="77"/>
      <c r="AM3388" s="77"/>
      <c r="AN3388" s="77"/>
      <c r="AO3388" s="77"/>
      <c r="AP3388" s="77"/>
      <c r="AQ3388" s="77"/>
      <c r="AR3388" s="77"/>
      <c r="AS3388" s="77"/>
      <c r="AT3388" s="77"/>
      <c r="AU3388" s="77"/>
      <c r="AV3388" s="80" t="str">
        <f>HYPERLINK("https://pbs.twimg.com/profile_images/1559883556846977024/bXHnQFY0_normal.jpg")</f>
        <v>https://pbs.twimg.com/profile_images/1559883556846977024/bXHnQFY0_normal.jpg</v>
      </c>
      <c r="AW3388" s="82" t="s">
        <v>16472</v>
      </c>
      <c r="AX3388" s="82" t="s">
        <v>16472</v>
      </c>
      <c r="AY3388" s="77"/>
      <c r="AZ3388" s="82" t="s">
        <v>17385</v>
      </c>
      <c r="BA3388" s="82" t="s">
        <v>17385</v>
      </c>
      <c r="BB3388" s="82" t="s">
        <v>17385</v>
      </c>
      <c r="BC3388" s="82" t="s">
        <v>16472</v>
      </c>
      <c r="BD3388" s="77">
        <v>51150679</v>
      </c>
      <c r="BE3388" s="77"/>
      <c r="BF3388" s="77"/>
      <c r="BG3388" s="77"/>
      <c r="BH3388" s="77"/>
      <c r="BI3388" s="77"/>
    </row>
    <row r="3389" spans="1:61" x14ac:dyDescent="0.25">
      <c r="A3389" s="62" t="s">
        <v>605</v>
      </c>
      <c r="B3389" s="62" t="s">
        <v>605</v>
      </c>
      <c r="C3389" s="63"/>
      <c r="D3389" s="64"/>
      <c r="E3389" s="65"/>
      <c r="F3389" s="66"/>
      <c r="G3389" s="63"/>
      <c r="H3389" s="67"/>
      <c r="I3389" s="68"/>
      <c r="J3389" s="68"/>
      <c r="K3389" s="32"/>
      <c r="L3389" s="75">
        <v>3389</v>
      </c>
      <c r="M3389" s="75"/>
      <c r="N3389" s="70"/>
      <c r="O3389" s="77" t="s">
        <v>179</v>
      </c>
      <c r="P3389" s="79">
        <v>45050.614583333336</v>
      </c>
      <c r="Q3389" s="77" t="s">
        <v>4163</v>
      </c>
      <c r="R3389" s="77">
        <v>0</v>
      </c>
      <c r="S3389" s="77">
        <v>4</v>
      </c>
      <c r="T3389" s="77">
        <v>2</v>
      </c>
      <c r="U3389" s="77">
        <v>0</v>
      </c>
      <c r="V3389" s="77">
        <v>2553</v>
      </c>
      <c r="W3389" s="82" t="s">
        <v>6650</v>
      </c>
      <c r="X3389" s="80" t="str">
        <f>HYPERLINK("https://www.moneytimes.com.br/o-recado-do-presidente-do-conselho-do-bradesco-bbdc4-apos-encontro-com-lula/")</f>
        <v>https://www.moneytimes.com.br/o-recado-do-presidente-do-conselho-do-bradesco-bbdc4-apos-encontro-com-lula/</v>
      </c>
      <c r="Y3389" s="77" t="s">
        <v>7053</v>
      </c>
      <c r="Z3389" s="77"/>
      <c r="AA3389" s="77"/>
      <c r="AB3389" s="77"/>
      <c r="AC3389" s="82" t="s">
        <v>8255</v>
      </c>
      <c r="AD3389" s="77" t="s">
        <v>8278</v>
      </c>
      <c r="AE3389" s="80" t="str">
        <f>HYPERLINK("https://twitter.com/leiamoneytimes/status/1654135040555581441")</f>
        <v>https://twitter.com/leiamoneytimes/status/1654135040555581441</v>
      </c>
      <c r="AF3389" s="79">
        <v>45050.614583333336</v>
      </c>
      <c r="AG3389" s="85">
        <v>45050</v>
      </c>
      <c r="AH3389" s="82" t="s">
        <v>9070</v>
      </c>
      <c r="AI3389" s="77" t="b">
        <v>0</v>
      </c>
      <c r="AJ3389" s="77"/>
      <c r="AK3389" s="77"/>
      <c r="AL3389" s="77"/>
      <c r="AM3389" s="77"/>
      <c r="AN3389" s="77"/>
      <c r="AO3389" s="77"/>
      <c r="AP3389" s="77"/>
      <c r="AQ3389" s="77"/>
      <c r="AR3389" s="77"/>
      <c r="AS3389" s="77"/>
      <c r="AT3389" s="77"/>
      <c r="AU3389" s="77"/>
      <c r="AV3389" s="80" t="str">
        <f>HYPERLINK("https://pbs.twimg.com/profile_images/1559883556846977024/bXHnQFY0_normal.jpg")</f>
        <v>https://pbs.twimg.com/profile_images/1559883556846977024/bXHnQFY0_normal.jpg</v>
      </c>
      <c r="AW3389" s="82" t="s">
        <v>16473</v>
      </c>
      <c r="AX3389" s="82" t="s">
        <v>16473</v>
      </c>
      <c r="AY3389" s="77"/>
      <c r="AZ3389" s="82" t="s">
        <v>17385</v>
      </c>
      <c r="BA3389" s="82" t="s">
        <v>17385</v>
      </c>
      <c r="BB3389" s="82" t="s">
        <v>17385</v>
      </c>
      <c r="BC3389" s="82" t="s">
        <v>16473</v>
      </c>
      <c r="BD3389" s="77">
        <v>51150679</v>
      </c>
      <c r="BE3389" s="77"/>
      <c r="BF3389" s="77"/>
      <c r="BG3389" s="77"/>
      <c r="BH3389" s="77"/>
      <c r="BI3389" s="77"/>
    </row>
    <row r="3390" spans="1:61" x14ac:dyDescent="0.25">
      <c r="A3390" s="62" t="s">
        <v>605</v>
      </c>
      <c r="B3390" s="62" t="s">
        <v>605</v>
      </c>
      <c r="C3390" s="63"/>
      <c r="D3390" s="64"/>
      <c r="E3390" s="65"/>
      <c r="F3390" s="66"/>
      <c r="G3390" s="63"/>
      <c r="H3390" s="67"/>
      <c r="I3390" s="68"/>
      <c r="J3390" s="68"/>
      <c r="K3390" s="32"/>
      <c r="L3390" s="75">
        <v>3390</v>
      </c>
      <c r="M3390" s="75"/>
      <c r="N3390" s="70"/>
      <c r="O3390" s="77" t="s">
        <v>179</v>
      </c>
      <c r="P3390" s="79">
        <v>45050.599189814813</v>
      </c>
      <c r="Q3390" s="77" t="s">
        <v>4164</v>
      </c>
      <c r="R3390" s="77">
        <v>0</v>
      </c>
      <c r="S3390" s="77">
        <v>4</v>
      </c>
      <c r="T3390" s="77">
        <v>1</v>
      </c>
      <c r="U3390" s="77">
        <v>0</v>
      </c>
      <c r="V3390" s="77">
        <v>1289</v>
      </c>
      <c r="W3390" s="82" t="s">
        <v>6644</v>
      </c>
      <c r="X3390" s="80" t="str">
        <f>HYPERLINK("https://www.moneytimes.com.br/por-que-acoes-da-vale3-usim5-e-csna3-recuam-nesta-quinta-4-apesar-da-alta-do-ibovespa/")</f>
        <v>https://www.moneytimes.com.br/por-que-acoes-da-vale3-usim5-e-csna3-recuam-nesta-quinta-4-apesar-da-alta-do-ibovespa/</v>
      </c>
      <c r="Y3390" s="77" t="s">
        <v>7053</v>
      </c>
      <c r="Z3390" s="77"/>
      <c r="AA3390" s="77"/>
      <c r="AB3390" s="77"/>
      <c r="AC3390" s="82" t="s">
        <v>8255</v>
      </c>
      <c r="AD3390" s="77" t="s">
        <v>8278</v>
      </c>
      <c r="AE3390" s="80" t="str">
        <f>HYPERLINK("https://twitter.com/leiamoneytimes/status/1654129460395003905")</f>
        <v>https://twitter.com/leiamoneytimes/status/1654129460395003905</v>
      </c>
      <c r="AF3390" s="79">
        <v>45050.599189814813</v>
      </c>
      <c r="AG3390" s="85">
        <v>45050</v>
      </c>
      <c r="AH3390" s="82" t="s">
        <v>11233</v>
      </c>
      <c r="AI3390" s="77" t="b">
        <v>0</v>
      </c>
      <c r="AJ3390" s="77"/>
      <c r="AK3390" s="77"/>
      <c r="AL3390" s="77"/>
      <c r="AM3390" s="77"/>
      <c r="AN3390" s="77"/>
      <c r="AO3390" s="77"/>
      <c r="AP3390" s="77"/>
      <c r="AQ3390" s="77"/>
      <c r="AR3390" s="77"/>
      <c r="AS3390" s="77"/>
      <c r="AT3390" s="77"/>
      <c r="AU3390" s="77"/>
      <c r="AV3390" s="80" t="str">
        <f>HYPERLINK("https://pbs.twimg.com/profile_images/1559883556846977024/bXHnQFY0_normal.jpg")</f>
        <v>https://pbs.twimg.com/profile_images/1559883556846977024/bXHnQFY0_normal.jpg</v>
      </c>
      <c r="AW3390" s="82" t="s">
        <v>16474</v>
      </c>
      <c r="AX3390" s="82" t="s">
        <v>16474</v>
      </c>
      <c r="AY3390" s="77"/>
      <c r="AZ3390" s="82" t="s">
        <v>17385</v>
      </c>
      <c r="BA3390" s="82" t="s">
        <v>17385</v>
      </c>
      <c r="BB3390" s="82" t="s">
        <v>17385</v>
      </c>
      <c r="BC3390" s="82" t="s">
        <v>16474</v>
      </c>
      <c r="BD3390" s="77">
        <v>51150679</v>
      </c>
      <c r="BE3390" s="77"/>
      <c r="BF3390" s="77"/>
      <c r="BG3390" s="77"/>
      <c r="BH3390" s="77"/>
      <c r="BI3390" s="77"/>
    </row>
    <row r="3391" spans="1:61" x14ac:dyDescent="0.25">
      <c r="A3391" s="62" t="s">
        <v>605</v>
      </c>
      <c r="B3391" s="62" t="s">
        <v>605</v>
      </c>
      <c r="C3391" s="63"/>
      <c r="D3391" s="64"/>
      <c r="E3391" s="65"/>
      <c r="F3391" s="66"/>
      <c r="G3391" s="63"/>
      <c r="H3391" s="67"/>
      <c r="I3391" s="68"/>
      <c r="J3391" s="68"/>
      <c r="K3391" s="32"/>
      <c r="L3391" s="75">
        <v>3391</v>
      </c>
      <c r="M3391" s="75"/>
      <c r="N3391" s="70"/>
      <c r="O3391" s="77" t="s">
        <v>179</v>
      </c>
      <c r="P3391" s="79">
        <v>45050.582962962966</v>
      </c>
      <c r="Q3391" s="77" t="s">
        <v>4165</v>
      </c>
      <c r="R3391" s="77">
        <v>0</v>
      </c>
      <c r="S3391" s="77">
        <v>5</v>
      </c>
      <c r="T3391" s="77">
        <v>1</v>
      </c>
      <c r="U3391" s="77">
        <v>0</v>
      </c>
      <c r="V3391" s="77">
        <v>1164</v>
      </c>
      <c r="W3391" s="82" t="s">
        <v>6562</v>
      </c>
      <c r="X3391" s="80" t="str">
        <f>HYPERLINK("https://www.moneytimes.com.br/wall-street-abre-em-baixa-com-temores-sobre-pacwest-superando-otimismo-pelo-fed/")</f>
        <v>https://www.moneytimes.com.br/wall-street-abre-em-baixa-com-temores-sobre-pacwest-superando-otimismo-pelo-fed/</v>
      </c>
      <c r="Y3391" s="77" t="s">
        <v>7053</v>
      </c>
      <c r="Z3391" s="77"/>
      <c r="AA3391" s="77"/>
      <c r="AB3391" s="77"/>
      <c r="AC3391" s="82" t="s">
        <v>8255</v>
      </c>
      <c r="AD3391" s="77" t="s">
        <v>8278</v>
      </c>
      <c r="AE3391" s="80" t="str">
        <f>HYPERLINK("https://twitter.com/leiamoneytimes/status/1654123579192274944")</f>
        <v>https://twitter.com/leiamoneytimes/status/1654123579192274944</v>
      </c>
      <c r="AF3391" s="79">
        <v>45050.582962962966</v>
      </c>
      <c r="AG3391" s="85">
        <v>45050</v>
      </c>
      <c r="AH3391" s="82" t="s">
        <v>11392</v>
      </c>
      <c r="AI3391" s="77" t="b">
        <v>0</v>
      </c>
      <c r="AJ3391" s="77"/>
      <c r="AK3391" s="77"/>
      <c r="AL3391" s="77"/>
      <c r="AM3391" s="77"/>
      <c r="AN3391" s="77"/>
      <c r="AO3391" s="77"/>
      <c r="AP3391" s="77"/>
      <c r="AQ3391" s="77"/>
      <c r="AR3391" s="77"/>
      <c r="AS3391" s="77"/>
      <c r="AT3391" s="77"/>
      <c r="AU3391" s="77"/>
      <c r="AV3391" s="80" t="str">
        <f>HYPERLINK("https://pbs.twimg.com/profile_images/1559883556846977024/bXHnQFY0_normal.jpg")</f>
        <v>https://pbs.twimg.com/profile_images/1559883556846977024/bXHnQFY0_normal.jpg</v>
      </c>
      <c r="AW3391" s="82" t="s">
        <v>16475</v>
      </c>
      <c r="AX3391" s="82" t="s">
        <v>16475</v>
      </c>
      <c r="AY3391" s="77"/>
      <c r="AZ3391" s="82" t="s">
        <v>17385</v>
      </c>
      <c r="BA3391" s="82" t="s">
        <v>17385</v>
      </c>
      <c r="BB3391" s="82" t="s">
        <v>17385</v>
      </c>
      <c r="BC3391" s="82" t="s">
        <v>16475</v>
      </c>
      <c r="BD3391" s="77">
        <v>51150679</v>
      </c>
      <c r="BE3391" s="77"/>
      <c r="BF3391" s="77"/>
      <c r="BG3391" s="77"/>
      <c r="BH3391" s="77"/>
      <c r="BI3391" s="77"/>
    </row>
    <row r="3392" spans="1:61" x14ac:dyDescent="0.25">
      <c r="A3392" s="62" t="s">
        <v>605</v>
      </c>
      <c r="B3392" s="62" t="s">
        <v>605</v>
      </c>
      <c r="C3392" s="63"/>
      <c r="D3392" s="64"/>
      <c r="E3392" s="65"/>
      <c r="F3392" s="66"/>
      <c r="G3392" s="63"/>
      <c r="H3392" s="67"/>
      <c r="I3392" s="68"/>
      <c r="J3392" s="68"/>
      <c r="K3392" s="32"/>
      <c r="L3392" s="75">
        <v>3392</v>
      </c>
      <c r="M3392" s="75"/>
      <c r="N3392" s="70"/>
      <c r="O3392" s="77" t="s">
        <v>179</v>
      </c>
      <c r="P3392" s="79">
        <v>45050.442372685182</v>
      </c>
      <c r="Q3392" s="77" t="s">
        <v>4166</v>
      </c>
      <c r="R3392" s="77">
        <v>0</v>
      </c>
      <c r="S3392" s="77">
        <v>6</v>
      </c>
      <c r="T3392" s="77">
        <v>1</v>
      </c>
      <c r="U3392" s="77">
        <v>0</v>
      </c>
      <c r="V3392" s="77">
        <v>1980</v>
      </c>
      <c r="W3392" s="82" t="s">
        <v>6597</v>
      </c>
      <c r="X3392" s="80" t="str">
        <f>HYPERLINK("https://www.moneytimes.com.br/por-que-ibovespa-e-acoes-brasileiras-podem-surpreender-nesta-quinta-feira-4/")</f>
        <v>https://www.moneytimes.com.br/por-que-ibovespa-e-acoes-brasileiras-podem-surpreender-nesta-quinta-feira-4/</v>
      </c>
      <c r="Y3392" s="77" t="s">
        <v>7053</v>
      </c>
      <c r="Z3392" s="77"/>
      <c r="AA3392" s="77"/>
      <c r="AB3392" s="77"/>
      <c r="AC3392" s="82" t="s">
        <v>8255</v>
      </c>
      <c r="AD3392" s="77" t="s">
        <v>8278</v>
      </c>
      <c r="AE3392" s="80" t="str">
        <f>HYPERLINK("https://twitter.com/leiamoneytimes/status/1654072630842884099")</f>
        <v>https://twitter.com/leiamoneytimes/status/1654072630842884099</v>
      </c>
      <c r="AF3392" s="79">
        <v>45050.442372685182</v>
      </c>
      <c r="AG3392" s="85">
        <v>45050</v>
      </c>
      <c r="AH3392" s="82" t="s">
        <v>11393</v>
      </c>
      <c r="AI3392" s="77" t="b">
        <v>0</v>
      </c>
      <c r="AJ3392" s="77"/>
      <c r="AK3392" s="77"/>
      <c r="AL3392" s="77"/>
      <c r="AM3392" s="77"/>
      <c r="AN3392" s="77"/>
      <c r="AO3392" s="77"/>
      <c r="AP3392" s="77"/>
      <c r="AQ3392" s="77"/>
      <c r="AR3392" s="77"/>
      <c r="AS3392" s="77"/>
      <c r="AT3392" s="77"/>
      <c r="AU3392" s="77"/>
      <c r="AV3392" s="80" t="str">
        <f>HYPERLINK("https://pbs.twimg.com/profile_images/1559883556846977024/bXHnQFY0_normal.jpg")</f>
        <v>https://pbs.twimg.com/profile_images/1559883556846977024/bXHnQFY0_normal.jpg</v>
      </c>
      <c r="AW3392" s="82" t="s">
        <v>16476</v>
      </c>
      <c r="AX3392" s="82" t="s">
        <v>16476</v>
      </c>
      <c r="AY3392" s="77"/>
      <c r="AZ3392" s="82" t="s">
        <v>17385</v>
      </c>
      <c r="BA3392" s="82" t="s">
        <v>17385</v>
      </c>
      <c r="BB3392" s="82" t="s">
        <v>17385</v>
      </c>
      <c r="BC3392" s="82" t="s">
        <v>16476</v>
      </c>
      <c r="BD3392" s="77">
        <v>51150679</v>
      </c>
      <c r="BE3392" s="77"/>
      <c r="BF3392" s="77"/>
      <c r="BG3392" s="77"/>
      <c r="BH3392" s="77"/>
      <c r="BI3392" s="77"/>
    </row>
    <row r="3393" spans="1:61" x14ac:dyDescent="0.25">
      <c r="A3393" s="62" t="s">
        <v>605</v>
      </c>
      <c r="B3393" s="62" t="s">
        <v>605</v>
      </c>
      <c r="C3393" s="63"/>
      <c r="D3393" s="64"/>
      <c r="E3393" s="65"/>
      <c r="F3393" s="66"/>
      <c r="G3393" s="63"/>
      <c r="H3393" s="67"/>
      <c r="I3393" s="68"/>
      <c r="J3393" s="68"/>
      <c r="K3393" s="32"/>
      <c r="L3393" s="75">
        <v>3393</v>
      </c>
      <c r="M3393" s="75"/>
      <c r="N3393" s="70"/>
      <c r="O3393" s="77" t="s">
        <v>179</v>
      </c>
      <c r="P3393" s="79">
        <v>45049.912743055553</v>
      </c>
      <c r="Q3393" s="77" t="s">
        <v>4167</v>
      </c>
      <c r="R3393" s="77">
        <v>0</v>
      </c>
      <c r="S3393" s="77">
        <v>3</v>
      </c>
      <c r="T3393" s="77">
        <v>2</v>
      </c>
      <c r="U3393" s="77">
        <v>0</v>
      </c>
      <c r="V3393" s="77">
        <v>1608</v>
      </c>
      <c r="W3393" s="82" t="s">
        <v>6651</v>
      </c>
      <c r="X3393" s="80" t="str">
        <f>HYPERLINK("https://www.moneytimes.com.br/dividendos-de-ate-73-petr4-e-mais-5-acoes-pagam-mais-que-a-selic-de-1375/")</f>
        <v>https://www.moneytimes.com.br/dividendos-de-ate-73-petr4-e-mais-5-acoes-pagam-mais-que-a-selic-de-1375/</v>
      </c>
      <c r="Y3393" s="77" t="s">
        <v>7053</v>
      </c>
      <c r="Z3393" s="77"/>
      <c r="AA3393" s="77"/>
      <c r="AB3393" s="77"/>
      <c r="AC3393" s="82" t="s">
        <v>8255</v>
      </c>
      <c r="AD3393" s="77" t="s">
        <v>8278</v>
      </c>
      <c r="AE3393" s="80" t="str">
        <f>HYPERLINK("https://twitter.com/leiamoneytimes/status/1653880701488443394")</f>
        <v>https://twitter.com/leiamoneytimes/status/1653880701488443394</v>
      </c>
      <c r="AF3393" s="79">
        <v>45049.912743055553</v>
      </c>
      <c r="AG3393" s="85">
        <v>45049</v>
      </c>
      <c r="AH3393" s="82" t="s">
        <v>11394</v>
      </c>
      <c r="AI3393" s="77" t="b">
        <v>0</v>
      </c>
      <c r="AJ3393" s="77"/>
      <c r="AK3393" s="77"/>
      <c r="AL3393" s="77"/>
      <c r="AM3393" s="77"/>
      <c r="AN3393" s="77"/>
      <c r="AO3393" s="77"/>
      <c r="AP3393" s="77"/>
      <c r="AQ3393" s="77"/>
      <c r="AR3393" s="77"/>
      <c r="AS3393" s="77"/>
      <c r="AT3393" s="77"/>
      <c r="AU3393" s="77"/>
      <c r="AV3393" s="80" t="str">
        <f>HYPERLINK("https://pbs.twimg.com/profile_images/1559883556846977024/bXHnQFY0_normal.jpg")</f>
        <v>https://pbs.twimg.com/profile_images/1559883556846977024/bXHnQFY0_normal.jpg</v>
      </c>
      <c r="AW3393" s="82" t="s">
        <v>16477</v>
      </c>
      <c r="AX3393" s="82" t="s">
        <v>16477</v>
      </c>
      <c r="AY3393" s="77"/>
      <c r="AZ3393" s="82" t="s">
        <v>17385</v>
      </c>
      <c r="BA3393" s="82" t="s">
        <v>17385</v>
      </c>
      <c r="BB3393" s="82" t="s">
        <v>17385</v>
      </c>
      <c r="BC3393" s="82" t="s">
        <v>16477</v>
      </c>
      <c r="BD3393" s="77">
        <v>51150679</v>
      </c>
      <c r="BE3393" s="77"/>
      <c r="BF3393" s="77"/>
      <c r="BG3393" s="77"/>
      <c r="BH3393" s="77"/>
      <c r="BI3393" s="77"/>
    </row>
    <row r="3394" spans="1:61" x14ac:dyDescent="0.25">
      <c r="A3394" s="62" t="s">
        <v>605</v>
      </c>
      <c r="B3394" s="62" t="s">
        <v>605</v>
      </c>
      <c r="C3394" s="63"/>
      <c r="D3394" s="64"/>
      <c r="E3394" s="65"/>
      <c r="F3394" s="66"/>
      <c r="G3394" s="63"/>
      <c r="H3394" s="67"/>
      <c r="I3394" s="68"/>
      <c r="J3394" s="68"/>
      <c r="K3394" s="32"/>
      <c r="L3394" s="75">
        <v>3394</v>
      </c>
      <c r="M3394" s="75"/>
      <c r="N3394" s="70"/>
      <c r="O3394" s="77" t="s">
        <v>179</v>
      </c>
      <c r="P3394" s="79">
        <v>45049.845486111109</v>
      </c>
      <c r="Q3394" s="77" t="s">
        <v>4168</v>
      </c>
      <c r="R3394" s="77">
        <v>0</v>
      </c>
      <c r="S3394" s="77">
        <v>1</v>
      </c>
      <c r="T3394" s="77">
        <v>1</v>
      </c>
      <c r="U3394" s="77">
        <v>0</v>
      </c>
      <c r="V3394" s="77">
        <v>1166</v>
      </c>
      <c r="W3394" s="82" t="s">
        <v>5209</v>
      </c>
      <c r="X3394" s="80" t="str">
        <f>HYPERLINK("https://www.moneytimes.com.br/ibovespa-discurso-duro-de-powell-joga-balde-de-agua-fria-preambulo-para-campos-neto/")</f>
        <v>https://www.moneytimes.com.br/ibovespa-discurso-duro-de-powell-joga-balde-de-agua-fria-preambulo-para-campos-neto/</v>
      </c>
      <c r="Y3394" s="77" t="s">
        <v>7053</v>
      </c>
      <c r="Z3394" s="77"/>
      <c r="AA3394" s="77"/>
      <c r="AB3394" s="77"/>
      <c r="AC3394" s="82" t="s">
        <v>8255</v>
      </c>
      <c r="AD3394" s="77" t="s">
        <v>8278</v>
      </c>
      <c r="AE3394" s="80" t="str">
        <f>HYPERLINK("https://twitter.com/leiamoneytimes/status/1653856326831726592")</f>
        <v>https://twitter.com/leiamoneytimes/status/1653856326831726592</v>
      </c>
      <c r="AF3394" s="79">
        <v>45049.845486111109</v>
      </c>
      <c r="AG3394" s="85">
        <v>45049</v>
      </c>
      <c r="AH3394" s="82" t="s">
        <v>11395</v>
      </c>
      <c r="AI3394" s="77" t="b">
        <v>0</v>
      </c>
      <c r="AJ3394" s="77"/>
      <c r="AK3394" s="77"/>
      <c r="AL3394" s="77"/>
      <c r="AM3394" s="77"/>
      <c r="AN3394" s="77"/>
      <c r="AO3394" s="77"/>
      <c r="AP3394" s="77"/>
      <c r="AQ3394" s="77"/>
      <c r="AR3394" s="77"/>
      <c r="AS3394" s="77"/>
      <c r="AT3394" s="77"/>
      <c r="AU3394" s="77"/>
      <c r="AV3394" s="80" t="str">
        <f>HYPERLINK("https://pbs.twimg.com/profile_images/1559883556846977024/bXHnQFY0_normal.jpg")</f>
        <v>https://pbs.twimg.com/profile_images/1559883556846977024/bXHnQFY0_normal.jpg</v>
      </c>
      <c r="AW3394" s="82" t="s">
        <v>16478</v>
      </c>
      <c r="AX3394" s="82" t="s">
        <v>16478</v>
      </c>
      <c r="AY3394" s="77"/>
      <c r="AZ3394" s="82" t="s">
        <v>17385</v>
      </c>
      <c r="BA3394" s="82" t="s">
        <v>17385</v>
      </c>
      <c r="BB3394" s="82" t="s">
        <v>17385</v>
      </c>
      <c r="BC3394" s="82" t="s">
        <v>16478</v>
      </c>
      <c r="BD3394" s="77">
        <v>51150679</v>
      </c>
      <c r="BE3394" s="77"/>
      <c r="BF3394" s="77"/>
      <c r="BG3394" s="77"/>
      <c r="BH3394" s="77"/>
      <c r="BI3394" s="77"/>
    </row>
    <row r="3395" spans="1:61" x14ac:dyDescent="0.25">
      <c r="A3395" s="62" t="s">
        <v>605</v>
      </c>
      <c r="B3395" s="62" t="s">
        <v>605</v>
      </c>
      <c r="C3395" s="63"/>
      <c r="D3395" s="64"/>
      <c r="E3395" s="65"/>
      <c r="F3395" s="66"/>
      <c r="G3395" s="63"/>
      <c r="H3395" s="67"/>
      <c r="I3395" s="68"/>
      <c r="J3395" s="68"/>
      <c r="K3395" s="32"/>
      <c r="L3395" s="75">
        <v>3395</v>
      </c>
      <c r="M3395" s="75"/>
      <c r="N3395" s="70"/>
      <c r="O3395" s="77" t="s">
        <v>179</v>
      </c>
      <c r="P3395" s="79">
        <v>45049.797372685185</v>
      </c>
      <c r="Q3395" s="77" t="s">
        <v>4169</v>
      </c>
      <c r="R3395" s="77">
        <v>0</v>
      </c>
      <c r="S3395" s="77">
        <v>4</v>
      </c>
      <c r="T3395" s="77">
        <v>1</v>
      </c>
      <c r="U3395" s="77">
        <v>0</v>
      </c>
      <c r="V3395" s="77">
        <v>1169</v>
      </c>
      <c r="W3395" s="82" t="s">
        <v>6559</v>
      </c>
      <c r="X3395" s="80" t="str">
        <f>HYPERLINK("https://www.moneytimes.com.br/gringos-vendem-acoes-na-b3-em-abril-e-empatam-em-pregoes-com-compras-veja-como-fechou-a-conta-no-mes/")</f>
        <v>https://www.moneytimes.com.br/gringos-vendem-acoes-na-b3-em-abril-e-empatam-em-pregoes-com-compras-veja-como-fechou-a-conta-no-mes/</v>
      </c>
      <c r="Y3395" s="77" t="s">
        <v>7053</v>
      </c>
      <c r="Z3395" s="77"/>
      <c r="AA3395" s="77"/>
      <c r="AB3395" s="77"/>
      <c r="AC3395" s="82" t="s">
        <v>8255</v>
      </c>
      <c r="AD3395" s="77" t="s">
        <v>8278</v>
      </c>
      <c r="AE3395" s="80" t="str">
        <f>HYPERLINK("https://twitter.com/leiamoneytimes/status/1653838890975764485")</f>
        <v>https://twitter.com/leiamoneytimes/status/1653838890975764485</v>
      </c>
      <c r="AF3395" s="79">
        <v>45049.797372685185</v>
      </c>
      <c r="AG3395" s="85">
        <v>45049</v>
      </c>
      <c r="AH3395" s="82" t="s">
        <v>11396</v>
      </c>
      <c r="AI3395" s="77" t="b">
        <v>0</v>
      </c>
      <c r="AJ3395" s="77"/>
      <c r="AK3395" s="77"/>
      <c r="AL3395" s="77"/>
      <c r="AM3395" s="77"/>
      <c r="AN3395" s="77"/>
      <c r="AO3395" s="77"/>
      <c r="AP3395" s="77"/>
      <c r="AQ3395" s="77"/>
      <c r="AR3395" s="77"/>
      <c r="AS3395" s="77"/>
      <c r="AT3395" s="77"/>
      <c r="AU3395" s="77"/>
      <c r="AV3395" s="80" t="str">
        <f>HYPERLINK("https://pbs.twimg.com/profile_images/1559883556846977024/bXHnQFY0_normal.jpg")</f>
        <v>https://pbs.twimg.com/profile_images/1559883556846977024/bXHnQFY0_normal.jpg</v>
      </c>
      <c r="AW3395" s="82" t="s">
        <v>16479</v>
      </c>
      <c r="AX3395" s="82" t="s">
        <v>16479</v>
      </c>
      <c r="AY3395" s="77"/>
      <c r="AZ3395" s="82" t="s">
        <v>17385</v>
      </c>
      <c r="BA3395" s="82" t="s">
        <v>17385</v>
      </c>
      <c r="BB3395" s="82" t="s">
        <v>17385</v>
      </c>
      <c r="BC3395" s="82" t="s">
        <v>16479</v>
      </c>
      <c r="BD3395" s="77">
        <v>51150679</v>
      </c>
      <c r="BE3395" s="77"/>
      <c r="BF3395" s="77"/>
      <c r="BG3395" s="77"/>
      <c r="BH3395" s="77"/>
      <c r="BI3395" s="77"/>
    </row>
    <row r="3396" spans="1:61" x14ac:dyDescent="0.25">
      <c r="A3396" s="62" t="s">
        <v>605</v>
      </c>
      <c r="B3396" s="62" t="s">
        <v>605</v>
      </c>
      <c r="C3396" s="63"/>
      <c r="D3396" s="64"/>
      <c r="E3396" s="65"/>
      <c r="F3396" s="66"/>
      <c r="G3396" s="63"/>
      <c r="H3396" s="67"/>
      <c r="I3396" s="68"/>
      <c r="J3396" s="68"/>
      <c r="K3396" s="32"/>
      <c r="L3396" s="75">
        <v>3396</v>
      </c>
      <c r="M3396" s="75"/>
      <c r="N3396" s="70"/>
      <c r="O3396" s="77" t="s">
        <v>179</v>
      </c>
      <c r="P3396" s="79">
        <v>45049.777615740742</v>
      </c>
      <c r="Q3396" s="77" t="s">
        <v>4170</v>
      </c>
      <c r="R3396" s="77">
        <v>0</v>
      </c>
      <c r="S3396" s="77">
        <v>0</v>
      </c>
      <c r="T3396" s="77">
        <v>1</v>
      </c>
      <c r="U3396" s="77">
        <v>0</v>
      </c>
      <c r="V3396" s="77">
        <v>1060</v>
      </c>
      <c r="W3396" s="82" t="s">
        <v>6652</v>
      </c>
      <c r="X3396" s="80" t="str">
        <f>HYPERLINK("https://www.moneytimes.com.br/luz-no-fim-do-tunel-o-que-explica-o-salto-de-70-das-acoes-da-light-ligt3-em-6-dias/")</f>
        <v>https://www.moneytimes.com.br/luz-no-fim-do-tunel-o-que-explica-o-salto-de-70-das-acoes-da-light-ligt3-em-6-dias/</v>
      </c>
      <c r="Y3396" s="77" t="s">
        <v>7053</v>
      </c>
      <c r="Z3396" s="77"/>
      <c r="AA3396" s="77"/>
      <c r="AB3396" s="77"/>
      <c r="AC3396" s="82" t="s">
        <v>8255</v>
      </c>
      <c r="AD3396" s="77" t="s">
        <v>8278</v>
      </c>
      <c r="AE3396" s="80" t="str">
        <f>HYPERLINK("https://twitter.com/leiamoneytimes/status/1653831733731532837")</f>
        <v>https://twitter.com/leiamoneytimes/status/1653831733731532837</v>
      </c>
      <c r="AF3396" s="79">
        <v>45049.777615740742</v>
      </c>
      <c r="AG3396" s="85">
        <v>45049</v>
      </c>
      <c r="AH3396" s="82" t="s">
        <v>11397</v>
      </c>
      <c r="AI3396" s="77" t="b">
        <v>0</v>
      </c>
      <c r="AJ3396" s="77"/>
      <c r="AK3396" s="77"/>
      <c r="AL3396" s="77"/>
      <c r="AM3396" s="77"/>
      <c r="AN3396" s="77"/>
      <c r="AO3396" s="77"/>
      <c r="AP3396" s="77"/>
      <c r="AQ3396" s="77"/>
      <c r="AR3396" s="77"/>
      <c r="AS3396" s="77"/>
      <c r="AT3396" s="77"/>
      <c r="AU3396" s="77"/>
      <c r="AV3396" s="80" t="str">
        <f>HYPERLINK("https://pbs.twimg.com/profile_images/1559883556846977024/bXHnQFY0_normal.jpg")</f>
        <v>https://pbs.twimg.com/profile_images/1559883556846977024/bXHnQFY0_normal.jpg</v>
      </c>
      <c r="AW3396" s="82" t="s">
        <v>16480</v>
      </c>
      <c r="AX3396" s="82" t="s">
        <v>16480</v>
      </c>
      <c r="AY3396" s="77"/>
      <c r="AZ3396" s="82" t="s">
        <v>17385</v>
      </c>
      <c r="BA3396" s="82" t="s">
        <v>17385</v>
      </c>
      <c r="BB3396" s="82" t="s">
        <v>17385</v>
      </c>
      <c r="BC3396" s="82" t="s">
        <v>16480</v>
      </c>
      <c r="BD3396" s="77">
        <v>51150679</v>
      </c>
      <c r="BE3396" s="77"/>
      <c r="BF3396" s="77"/>
      <c r="BG3396" s="77"/>
      <c r="BH3396" s="77"/>
      <c r="BI3396" s="77"/>
    </row>
    <row r="3397" spans="1:61" x14ac:dyDescent="0.25">
      <c r="A3397" s="62" t="s">
        <v>605</v>
      </c>
      <c r="B3397" s="62" t="s">
        <v>605</v>
      </c>
      <c r="C3397" s="63"/>
      <c r="D3397" s="64"/>
      <c r="E3397" s="65"/>
      <c r="F3397" s="66"/>
      <c r="G3397" s="63"/>
      <c r="H3397" s="67"/>
      <c r="I3397" s="68"/>
      <c r="J3397" s="68"/>
      <c r="K3397" s="32"/>
      <c r="L3397" s="75">
        <v>3397</v>
      </c>
      <c r="M3397" s="75"/>
      <c r="N3397" s="70"/>
      <c r="O3397" s="77" t="s">
        <v>179</v>
      </c>
      <c r="P3397" s="79">
        <v>45049.695104166669</v>
      </c>
      <c r="Q3397" s="77" t="s">
        <v>4171</v>
      </c>
      <c r="R3397" s="77">
        <v>0</v>
      </c>
      <c r="S3397" s="77">
        <v>0</v>
      </c>
      <c r="T3397" s="77">
        <v>1</v>
      </c>
      <c r="U3397" s="77">
        <v>0</v>
      </c>
      <c r="V3397" s="77">
        <v>1104</v>
      </c>
      <c r="W3397" s="82" t="s">
        <v>6653</v>
      </c>
      <c r="X3397" s="80" t="str">
        <f>HYPERLINK("https://www.moneytimes.com.br/ibovespa-por-que-carrefour-crfb3-despenca-e-klabin-klbn3-avanca-nesta-quarta-3/")</f>
        <v>https://www.moneytimes.com.br/ibovespa-por-que-carrefour-crfb3-despenca-e-klabin-klbn3-avanca-nesta-quarta-3/</v>
      </c>
      <c r="Y3397" s="77" t="s">
        <v>7053</v>
      </c>
      <c r="Z3397" s="77"/>
      <c r="AA3397" s="77"/>
      <c r="AB3397" s="77"/>
      <c r="AC3397" s="82" t="s">
        <v>8255</v>
      </c>
      <c r="AD3397" s="77" t="s">
        <v>8278</v>
      </c>
      <c r="AE3397" s="80" t="str">
        <f>HYPERLINK("https://twitter.com/leiamoneytimes/status/1653801833566011392")</f>
        <v>https://twitter.com/leiamoneytimes/status/1653801833566011392</v>
      </c>
      <c r="AF3397" s="79">
        <v>45049.695104166669</v>
      </c>
      <c r="AG3397" s="85">
        <v>45049</v>
      </c>
      <c r="AH3397" s="82" t="s">
        <v>11398</v>
      </c>
      <c r="AI3397" s="77" t="b">
        <v>0</v>
      </c>
      <c r="AJ3397" s="77"/>
      <c r="AK3397" s="77"/>
      <c r="AL3397" s="77"/>
      <c r="AM3397" s="77"/>
      <c r="AN3397" s="77"/>
      <c r="AO3397" s="77"/>
      <c r="AP3397" s="77"/>
      <c r="AQ3397" s="77"/>
      <c r="AR3397" s="77"/>
      <c r="AS3397" s="77"/>
      <c r="AT3397" s="77"/>
      <c r="AU3397" s="77"/>
      <c r="AV3397" s="80" t="str">
        <f>HYPERLINK("https://pbs.twimg.com/profile_images/1559883556846977024/bXHnQFY0_normal.jpg")</f>
        <v>https://pbs.twimg.com/profile_images/1559883556846977024/bXHnQFY0_normal.jpg</v>
      </c>
      <c r="AW3397" s="82" t="s">
        <v>16481</v>
      </c>
      <c r="AX3397" s="82" t="s">
        <v>16481</v>
      </c>
      <c r="AY3397" s="77"/>
      <c r="AZ3397" s="82" t="s">
        <v>17385</v>
      </c>
      <c r="BA3397" s="82" t="s">
        <v>17385</v>
      </c>
      <c r="BB3397" s="82" t="s">
        <v>17385</v>
      </c>
      <c r="BC3397" s="82" t="s">
        <v>16481</v>
      </c>
      <c r="BD3397" s="77">
        <v>51150679</v>
      </c>
      <c r="BE3397" s="77"/>
      <c r="BF3397" s="77"/>
      <c r="BG3397" s="77"/>
      <c r="BH3397" s="77"/>
      <c r="BI3397" s="77"/>
    </row>
    <row r="3398" spans="1:61" x14ac:dyDescent="0.25">
      <c r="A3398" s="62" t="s">
        <v>605</v>
      </c>
      <c r="B3398" s="62" t="s">
        <v>605</v>
      </c>
      <c r="C3398" s="63"/>
      <c r="D3398" s="64"/>
      <c r="E3398" s="65"/>
      <c r="F3398" s="66"/>
      <c r="G3398" s="63"/>
      <c r="H3398" s="67"/>
      <c r="I3398" s="68"/>
      <c r="J3398" s="68"/>
      <c r="K3398" s="32"/>
      <c r="L3398" s="75">
        <v>3398</v>
      </c>
      <c r="M3398" s="75"/>
      <c r="N3398" s="70"/>
      <c r="O3398" s="77" t="s">
        <v>179</v>
      </c>
      <c r="P3398" s="79">
        <v>45049.616273148145</v>
      </c>
      <c r="Q3398" s="77" t="s">
        <v>4172</v>
      </c>
      <c r="R3398" s="77">
        <v>0</v>
      </c>
      <c r="S3398" s="77">
        <v>2</v>
      </c>
      <c r="T3398" s="77">
        <v>1</v>
      </c>
      <c r="U3398" s="77">
        <v>0</v>
      </c>
      <c r="V3398" s="77">
        <v>1253</v>
      </c>
      <c r="W3398" s="82" t="s">
        <v>6654</v>
      </c>
      <c r="X3398" s="80" t="str">
        <f>HYPERLINK("https://www.moneytimes.com.br/por-que-mglu3-viia3-e-alpa4-sobem-nesta-quarta-3/")</f>
        <v>https://www.moneytimes.com.br/por-que-mglu3-viia3-e-alpa4-sobem-nesta-quarta-3/</v>
      </c>
      <c r="Y3398" s="77" t="s">
        <v>7053</v>
      </c>
      <c r="Z3398" s="77"/>
      <c r="AA3398" s="77"/>
      <c r="AB3398" s="77"/>
      <c r="AC3398" s="82" t="s">
        <v>8255</v>
      </c>
      <c r="AD3398" s="77" t="s">
        <v>8278</v>
      </c>
      <c r="AE3398" s="80" t="str">
        <f>HYPERLINK("https://twitter.com/leiamoneytimes/status/1653773264802521094")</f>
        <v>https://twitter.com/leiamoneytimes/status/1653773264802521094</v>
      </c>
      <c r="AF3398" s="79">
        <v>45049.616273148145</v>
      </c>
      <c r="AG3398" s="85">
        <v>45049</v>
      </c>
      <c r="AH3398" s="82" t="s">
        <v>11399</v>
      </c>
      <c r="AI3398" s="77" t="b">
        <v>0</v>
      </c>
      <c r="AJ3398" s="77"/>
      <c r="AK3398" s="77"/>
      <c r="AL3398" s="77"/>
      <c r="AM3398" s="77"/>
      <c r="AN3398" s="77"/>
      <c r="AO3398" s="77"/>
      <c r="AP3398" s="77"/>
      <c r="AQ3398" s="77"/>
      <c r="AR3398" s="77"/>
      <c r="AS3398" s="77"/>
      <c r="AT3398" s="77"/>
      <c r="AU3398" s="77"/>
      <c r="AV3398" s="80" t="str">
        <f>HYPERLINK("https://pbs.twimg.com/profile_images/1559883556846977024/bXHnQFY0_normal.jpg")</f>
        <v>https://pbs.twimg.com/profile_images/1559883556846977024/bXHnQFY0_normal.jpg</v>
      </c>
      <c r="AW3398" s="82" t="s">
        <v>16482</v>
      </c>
      <c r="AX3398" s="82" t="s">
        <v>16482</v>
      </c>
      <c r="AY3398" s="77"/>
      <c r="AZ3398" s="82" t="s">
        <v>17385</v>
      </c>
      <c r="BA3398" s="82" t="s">
        <v>17385</v>
      </c>
      <c r="BB3398" s="82" t="s">
        <v>17385</v>
      </c>
      <c r="BC3398" s="82" t="s">
        <v>16482</v>
      </c>
      <c r="BD3398" s="77">
        <v>51150679</v>
      </c>
      <c r="BE3398" s="77"/>
      <c r="BF3398" s="77"/>
      <c r="BG3398" s="77"/>
      <c r="BH3398" s="77"/>
      <c r="BI3398" s="77"/>
    </row>
    <row r="3399" spans="1:61" x14ac:dyDescent="0.25">
      <c r="A3399" s="62" t="s">
        <v>605</v>
      </c>
      <c r="B3399" s="62" t="s">
        <v>605</v>
      </c>
      <c r="C3399" s="63"/>
      <c r="D3399" s="64"/>
      <c r="E3399" s="65"/>
      <c r="F3399" s="66"/>
      <c r="G3399" s="63"/>
      <c r="H3399" s="67"/>
      <c r="I3399" s="68"/>
      <c r="J3399" s="68"/>
      <c r="K3399" s="32"/>
      <c r="L3399" s="75">
        <v>3399</v>
      </c>
      <c r="M3399" s="75"/>
      <c r="N3399" s="70"/>
      <c r="O3399" s="77" t="s">
        <v>179</v>
      </c>
      <c r="P3399" s="79">
        <v>45049.580300925925</v>
      </c>
      <c r="Q3399" s="77" t="s">
        <v>4173</v>
      </c>
      <c r="R3399" s="77">
        <v>0</v>
      </c>
      <c r="S3399" s="77">
        <v>1</v>
      </c>
      <c r="T3399" s="77">
        <v>1</v>
      </c>
      <c r="U3399" s="77">
        <v>0</v>
      </c>
      <c r="V3399" s="77">
        <v>1022</v>
      </c>
      <c r="W3399" s="82" t="s">
        <v>6655</v>
      </c>
      <c r="X3399" s="80" t="str">
        <f>HYPERLINK("https://www.moneytimes.com.br/empiricus-investimentos-escala-4-novas-acoes-para-comprar-em-maio-confira/")</f>
        <v>https://www.moneytimes.com.br/empiricus-investimentos-escala-4-novas-acoes-para-comprar-em-maio-confira/</v>
      </c>
      <c r="Y3399" s="77" t="s">
        <v>7053</v>
      </c>
      <c r="Z3399" s="77"/>
      <c r="AA3399" s="77"/>
      <c r="AB3399" s="77"/>
      <c r="AC3399" s="82" t="s">
        <v>8255</v>
      </c>
      <c r="AD3399" s="77" t="s">
        <v>8278</v>
      </c>
      <c r="AE3399" s="80" t="str">
        <f>HYPERLINK("https://twitter.com/leiamoneytimes/status/1653760227664175109")</f>
        <v>https://twitter.com/leiamoneytimes/status/1653760227664175109</v>
      </c>
      <c r="AF3399" s="79">
        <v>45049.580300925925</v>
      </c>
      <c r="AG3399" s="85">
        <v>45049</v>
      </c>
      <c r="AH3399" s="82" t="s">
        <v>11400</v>
      </c>
      <c r="AI3399" s="77" t="b">
        <v>0</v>
      </c>
      <c r="AJ3399" s="77"/>
      <c r="AK3399" s="77"/>
      <c r="AL3399" s="77"/>
      <c r="AM3399" s="77"/>
      <c r="AN3399" s="77"/>
      <c r="AO3399" s="77"/>
      <c r="AP3399" s="77"/>
      <c r="AQ3399" s="77"/>
      <c r="AR3399" s="77"/>
      <c r="AS3399" s="77"/>
      <c r="AT3399" s="77"/>
      <c r="AU3399" s="77"/>
      <c r="AV3399" s="80" t="str">
        <f>HYPERLINK("https://pbs.twimg.com/profile_images/1559883556846977024/bXHnQFY0_normal.jpg")</f>
        <v>https://pbs.twimg.com/profile_images/1559883556846977024/bXHnQFY0_normal.jpg</v>
      </c>
      <c r="AW3399" s="82" t="s">
        <v>16483</v>
      </c>
      <c r="AX3399" s="82" t="s">
        <v>16483</v>
      </c>
      <c r="AY3399" s="77"/>
      <c r="AZ3399" s="82" t="s">
        <v>17385</v>
      </c>
      <c r="BA3399" s="82" t="s">
        <v>17385</v>
      </c>
      <c r="BB3399" s="82" t="s">
        <v>17385</v>
      </c>
      <c r="BC3399" s="82" t="s">
        <v>16483</v>
      </c>
      <c r="BD3399" s="77">
        <v>51150679</v>
      </c>
      <c r="BE3399" s="77"/>
      <c r="BF3399" s="77"/>
      <c r="BG3399" s="77"/>
      <c r="BH3399" s="77"/>
      <c r="BI3399" s="77"/>
    </row>
    <row r="3400" spans="1:61" x14ac:dyDescent="0.25">
      <c r="A3400" s="62" t="s">
        <v>605</v>
      </c>
      <c r="B3400" s="62" t="s">
        <v>605</v>
      </c>
      <c r="C3400" s="63"/>
      <c r="D3400" s="64"/>
      <c r="E3400" s="65"/>
      <c r="F3400" s="66"/>
      <c r="G3400" s="63"/>
      <c r="H3400" s="67"/>
      <c r="I3400" s="68"/>
      <c r="J3400" s="68"/>
      <c r="K3400" s="32"/>
      <c r="L3400" s="75">
        <v>3400</v>
      </c>
      <c r="M3400" s="75"/>
      <c r="N3400" s="70"/>
      <c r="O3400" s="77" t="s">
        <v>179</v>
      </c>
      <c r="P3400" s="79">
        <v>45049.576736111114</v>
      </c>
      <c r="Q3400" s="77" t="s">
        <v>4174</v>
      </c>
      <c r="R3400" s="77">
        <v>0</v>
      </c>
      <c r="S3400" s="77">
        <v>1</v>
      </c>
      <c r="T3400" s="77">
        <v>1</v>
      </c>
      <c r="U3400" s="77">
        <v>0</v>
      </c>
      <c r="V3400" s="77">
        <v>953</v>
      </c>
      <c r="W3400" s="82" t="s">
        <v>6562</v>
      </c>
      <c r="X3400" s="80" t="str">
        <f>HYPERLINK("https://www.moneytimes.com.br/wall-street-abre-em-alta-antes-de-decisao-de-politica-monetaria-do-fed/")</f>
        <v>https://www.moneytimes.com.br/wall-street-abre-em-alta-antes-de-decisao-de-politica-monetaria-do-fed/</v>
      </c>
      <c r="Y3400" s="77" t="s">
        <v>7053</v>
      </c>
      <c r="Z3400" s="77"/>
      <c r="AA3400" s="77"/>
      <c r="AB3400" s="77"/>
      <c r="AC3400" s="82" t="s">
        <v>8255</v>
      </c>
      <c r="AD3400" s="77" t="s">
        <v>8278</v>
      </c>
      <c r="AE3400" s="80" t="str">
        <f>HYPERLINK("https://twitter.com/leiamoneytimes/status/1653758936116346883")</f>
        <v>https://twitter.com/leiamoneytimes/status/1653758936116346883</v>
      </c>
      <c r="AF3400" s="79">
        <v>45049.576736111114</v>
      </c>
      <c r="AG3400" s="85">
        <v>45049</v>
      </c>
      <c r="AH3400" s="82" t="s">
        <v>11401</v>
      </c>
      <c r="AI3400" s="77" t="b">
        <v>0</v>
      </c>
      <c r="AJ3400" s="77"/>
      <c r="AK3400" s="77"/>
      <c r="AL3400" s="77"/>
      <c r="AM3400" s="77"/>
      <c r="AN3400" s="77"/>
      <c r="AO3400" s="77"/>
      <c r="AP3400" s="77"/>
      <c r="AQ3400" s="77"/>
      <c r="AR3400" s="77"/>
      <c r="AS3400" s="77"/>
      <c r="AT3400" s="77"/>
      <c r="AU3400" s="77"/>
      <c r="AV3400" s="80" t="str">
        <f>HYPERLINK("https://pbs.twimg.com/profile_images/1559883556846977024/bXHnQFY0_normal.jpg")</f>
        <v>https://pbs.twimg.com/profile_images/1559883556846977024/bXHnQFY0_normal.jpg</v>
      </c>
      <c r="AW3400" s="82" t="s">
        <v>16484</v>
      </c>
      <c r="AX3400" s="82" t="s">
        <v>16484</v>
      </c>
      <c r="AY3400" s="77"/>
      <c r="AZ3400" s="82" t="s">
        <v>17385</v>
      </c>
      <c r="BA3400" s="82" t="s">
        <v>17385</v>
      </c>
      <c r="BB3400" s="82" t="s">
        <v>17385</v>
      </c>
      <c r="BC3400" s="82" t="s">
        <v>16484</v>
      </c>
      <c r="BD3400" s="77">
        <v>51150679</v>
      </c>
      <c r="BE3400" s="77"/>
      <c r="BF3400" s="77"/>
      <c r="BG3400" s="77"/>
      <c r="BH3400" s="77"/>
      <c r="BI3400" s="77"/>
    </row>
    <row r="3401" spans="1:61" x14ac:dyDescent="0.25">
      <c r="A3401" s="62" t="s">
        <v>605</v>
      </c>
      <c r="B3401" s="62" t="s">
        <v>605</v>
      </c>
      <c r="C3401" s="63"/>
      <c r="D3401" s="64"/>
      <c r="E3401" s="65"/>
      <c r="F3401" s="66"/>
      <c r="G3401" s="63"/>
      <c r="H3401" s="67"/>
      <c r="I3401" s="68"/>
      <c r="J3401" s="68"/>
      <c r="K3401" s="32"/>
      <c r="L3401" s="75">
        <v>3401</v>
      </c>
      <c r="M3401" s="75"/>
      <c r="N3401" s="70"/>
      <c r="O3401" s="77" t="s">
        <v>179</v>
      </c>
      <c r="P3401" s="79">
        <v>45049.465277777781</v>
      </c>
      <c r="Q3401" s="77" t="s">
        <v>4175</v>
      </c>
      <c r="R3401" s="77">
        <v>0</v>
      </c>
      <c r="S3401" s="77">
        <v>2</v>
      </c>
      <c r="T3401" s="77">
        <v>1</v>
      </c>
      <c r="U3401" s="77">
        <v>0</v>
      </c>
      <c r="V3401" s="77">
        <v>1287</v>
      </c>
      <c r="W3401" s="82" t="s">
        <v>6656</v>
      </c>
      <c r="X3401" s="80" t="str">
        <f>HYPERLINK("https://www.moneytimes.com.br/compra-da-vale-vale3-e-lucro-recorde-no-1t23-sao-destaques-nesta-quarta-3/")</f>
        <v>https://www.moneytimes.com.br/compra-da-vale-vale3-e-lucro-recorde-no-1t23-sao-destaques-nesta-quarta-3/</v>
      </c>
      <c r="Y3401" s="77" t="s">
        <v>7053</v>
      </c>
      <c r="Z3401" s="77"/>
      <c r="AA3401" s="77"/>
      <c r="AB3401" s="77"/>
      <c r="AC3401" s="82" t="s">
        <v>8255</v>
      </c>
      <c r="AD3401" s="77" t="s">
        <v>8278</v>
      </c>
      <c r="AE3401" s="80" t="str">
        <f>HYPERLINK("https://twitter.com/leiamoneytimes/status/1653718545363005442")</f>
        <v>https://twitter.com/leiamoneytimes/status/1653718545363005442</v>
      </c>
      <c r="AF3401" s="79">
        <v>45049.465277777781</v>
      </c>
      <c r="AG3401" s="85">
        <v>45049</v>
      </c>
      <c r="AH3401" s="82" t="s">
        <v>11402</v>
      </c>
      <c r="AI3401" s="77" t="b">
        <v>0</v>
      </c>
      <c r="AJ3401" s="77"/>
      <c r="AK3401" s="77"/>
      <c r="AL3401" s="77"/>
      <c r="AM3401" s="77"/>
      <c r="AN3401" s="77"/>
      <c r="AO3401" s="77"/>
      <c r="AP3401" s="77"/>
      <c r="AQ3401" s="77"/>
      <c r="AR3401" s="77"/>
      <c r="AS3401" s="77"/>
      <c r="AT3401" s="77"/>
      <c r="AU3401" s="77"/>
      <c r="AV3401" s="80" t="str">
        <f>HYPERLINK("https://pbs.twimg.com/profile_images/1559883556846977024/bXHnQFY0_normal.jpg")</f>
        <v>https://pbs.twimg.com/profile_images/1559883556846977024/bXHnQFY0_normal.jpg</v>
      </c>
      <c r="AW3401" s="82" t="s">
        <v>16485</v>
      </c>
      <c r="AX3401" s="82" t="s">
        <v>16485</v>
      </c>
      <c r="AY3401" s="77"/>
      <c r="AZ3401" s="82" t="s">
        <v>17385</v>
      </c>
      <c r="BA3401" s="82" t="s">
        <v>17385</v>
      </c>
      <c r="BB3401" s="82" t="s">
        <v>17385</v>
      </c>
      <c r="BC3401" s="82" t="s">
        <v>16485</v>
      </c>
      <c r="BD3401" s="77">
        <v>51150679</v>
      </c>
      <c r="BE3401" s="77"/>
      <c r="BF3401" s="77"/>
      <c r="BG3401" s="77"/>
      <c r="BH3401" s="77"/>
      <c r="BI3401" s="77"/>
    </row>
    <row r="3402" spans="1:61" x14ac:dyDescent="0.25">
      <c r="A3402" s="62" t="s">
        <v>605</v>
      </c>
      <c r="B3402" s="62" t="s">
        <v>605</v>
      </c>
      <c r="C3402" s="63"/>
      <c r="D3402" s="64"/>
      <c r="E3402" s="65"/>
      <c r="F3402" s="66"/>
      <c r="G3402" s="63"/>
      <c r="H3402" s="67"/>
      <c r="I3402" s="68"/>
      <c r="J3402" s="68"/>
      <c r="K3402" s="32"/>
      <c r="L3402" s="75">
        <v>3402</v>
      </c>
      <c r="M3402" s="75"/>
      <c r="N3402" s="70"/>
      <c r="O3402" s="77" t="s">
        <v>179</v>
      </c>
      <c r="P3402" s="79">
        <v>45049.459328703706</v>
      </c>
      <c r="Q3402" s="77" t="s">
        <v>4176</v>
      </c>
      <c r="R3402" s="77">
        <v>0</v>
      </c>
      <c r="S3402" s="77">
        <v>1</v>
      </c>
      <c r="T3402" s="77">
        <v>1</v>
      </c>
      <c r="U3402" s="77">
        <v>0</v>
      </c>
      <c r="V3402" s="77">
        <v>1085</v>
      </c>
      <c r="W3402" s="82" t="s">
        <v>6598</v>
      </c>
      <c r="X3402" s="80" t="str">
        <f>HYPERLINK("https://www.moneytimes.com.br/acoes-de-hong-kong-interrompem-4-dias-de-ganhos-com-decisao-do-fed-em-foco/")</f>
        <v>https://www.moneytimes.com.br/acoes-de-hong-kong-interrompem-4-dias-de-ganhos-com-decisao-do-fed-em-foco/</v>
      </c>
      <c r="Y3402" s="77" t="s">
        <v>7053</v>
      </c>
      <c r="Z3402" s="77"/>
      <c r="AA3402" s="77"/>
      <c r="AB3402" s="77"/>
      <c r="AC3402" s="82" t="s">
        <v>8255</v>
      </c>
      <c r="AD3402" s="77" t="s">
        <v>8278</v>
      </c>
      <c r="AE3402" s="80" t="str">
        <f>HYPERLINK("https://twitter.com/leiamoneytimes/status/1653716389494939648")</f>
        <v>https://twitter.com/leiamoneytimes/status/1653716389494939648</v>
      </c>
      <c r="AF3402" s="79">
        <v>45049.459328703706</v>
      </c>
      <c r="AG3402" s="85">
        <v>45049</v>
      </c>
      <c r="AH3402" s="82" t="s">
        <v>11403</v>
      </c>
      <c r="AI3402" s="77" t="b">
        <v>0</v>
      </c>
      <c r="AJ3402" s="77"/>
      <c r="AK3402" s="77"/>
      <c r="AL3402" s="77"/>
      <c r="AM3402" s="77"/>
      <c r="AN3402" s="77"/>
      <c r="AO3402" s="77"/>
      <c r="AP3402" s="77"/>
      <c r="AQ3402" s="77"/>
      <c r="AR3402" s="77"/>
      <c r="AS3402" s="77"/>
      <c r="AT3402" s="77"/>
      <c r="AU3402" s="77"/>
      <c r="AV3402" s="80" t="str">
        <f>HYPERLINK("https://pbs.twimg.com/profile_images/1559883556846977024/bXHnQFY0_normal.jpg")</f>
        <v>https://pbs.twimg.com/profile_images/1559883556846977024/bXHnQFY0_normal.jpg</v>
      </c>
      <c r="AW3402" s="82" t="s">
        <v>16486</v>
      </c>
      <c r="AX3402" s="82" t="s">
        <v>16486</v>
      </c>
      <c r="AY3402" s="77"/>
      <c r="AZ3402" s="82" t="s">
        <v>17385</v>
      </c>
      <c r="BA3402" s="82" t="s">
        <v>17385</v>
      </c>
      <c r="BB3402" s="82" t="s">
        <v>17385</v>
      </c>
      <c r="BC3402" s="82" t="s">
        <v>16486</v>
      </c>
      <c r="BD3402" s="77">
        <v>51150679</v>
      </c>
      <c r="BE3402" s="77"/>
      <c r="BF3402" s="77"/>
      <c r="BG3402" s="77"/>
      <c r="BH3402" s="77"/>
      <c r="BI3402" s="77"/>
    </row>
    <row r="3403" spans="1:61" x14ac:dyDescent="0.25">
      <c r="A3403" s="62" t="s">
        <v>605</v>
      </c>
      <c r="B3403" s="62" t="s">
        <v>605</v>
      </c>
      <c r="C3403" s="63"/>
      <c r="D3403" s="64"/>
      <c r="E3403" s="65"/>
      <c r="F3403" s="66"/>
      <c r="G3403" s="63"/>
      <c r="H3403" s="67"/>
      <c r="I3403" s="68"/>
      <c r="J3403" s="68"/>
      <c r="K3403" s="32"/>
      <c r="L3403" s="75">
        <v>3403</v>
      </c>
      <c r="M3403" s="75"/>
      <c r="N3403" s="70"/>
      <c r="O3403" s="77" t="s">
        <v>179</v>
      </c>
      <c r="P3403" s="79">
        <v>45181.899097222224</v>
      </c>
      <c r="Q3403" s="77" t="s">
        <v>4177</v>
      </c>
      <c r="R3403" s="77">
        <v>0</v>
      </c>
      <c r="S3403" s="77">
        <v>2</v>
      </c>
      <c r="T3403" s="77">
        <v>1</v>
      </c>
      <c r="U3403" s="77">
        <v>0</v>
      </c>
      <c r="V3403" s="77">
        <v>1041</v>
      </c>
      <c r="W3403" s="82" t="s">
        <v>6657</v>
      </c>
      <c r="X3403" s="80" t="str">
        <f>HYPERLINK("https://www.moneytimes.com.br/via-agora-e-grupo-casas-bahia-acao-tera-novo-ticker/")</f>
        <v>https://www.moneytimes.com.br/via-agora-e-grupo-casas-bahia-acao-tera-novo-ticker/</v>
      </c>
      <c r="Y3403" s="77" t="s">
        <v>7053</v>
      </c>
      <c r="Z3403" s="77"/>
      <c r="AA3403" s="77"/>
      <c r="AB3403" s="77"/>
      <c r="AC3403" s="82" t="s">
        <v>8255</v>
      </c>
      <c r="AD3403" s="77" t="s">
        <v>8278</v>
      </c>
      <c r="AE3403" s="80" t="str">
        <f>HYPERLINK("https://twitter.com/leiamoneytimes/status/1701710955929895207")</f>
        <v>https://twitter.com/leiamoneytimes/status/1701710955929895207</v>
      </c>
      <c r="AF3403" s="79">
        <v>45181.899097222224</v>
      </c>
      <c r="AG3403" s="85">
        <v>45181</v>
      </c>
      <c r="AH3403" s="82" t="s">
        <v>11404</v>
      </c>
      <c r="AI3403" s="77" t="b">
        <v>0</v>
      </c>
      <c r="AJ3403" s="77"/>
      <c r="AK3403" s="77"/>
      <c r="AL3403" s="77"/>
      <c r="AM3403" s="77"/>
      <c r="AN3403" s="77"/>
      <c r="AO3403" s="77"/>
      <c r="AP3403" s="77"/>
      <c r="AQ3403" s="77"/>
      <c r="AR3403" s="77"/>
      <c r="AS3403" s="77"/>
      <c r="AT3403" s="77"/>
      <c r="AU3403" s="77"/>
      <c r="AV3403" s="80" t="str">
        <f>HYPERLINK("https://pbs.twimg.com/profile_images/1559883556846977024/bXHnQFY0_normal.jpg")</f>
        <v>https://pbs.twimg.com/profile_images/1559883556846977024/bXHnQFY0_normal.jpg</v>
      </c>
      <c r="AW3403" s="82" t="s">
        <v>16487</v>
      </c>
      <c r="AX3403" s="82" t="s">
        <v>16487</v>
      </c>
      <c r="AY3403" s="77"/>
      <c r="AZ3403" s="82" t="s">
        <v>17385</v>
      </c>
      <c r="BA3403" s="82" t="s">
        <v>17385</v>
      </c>
      <c r="BB3403" s="82" t="s">
        <v>17385</v>
      </c>
      <c r="BC3403" s="82" t="s">
        <v>16487</v>
      </c>
      <c r="BD3403" s="77">
        <v>51150679</v>
      </c>
      <c r="BE3403" s="77"/>
      <c r="BF3403" s="77"/>
      <c r="BG3403" s="77"/>
      <c r="BH3403" s="77"/>
      <c r="BI3403" s="77"/>
    </row>
    <row r="3404" spans="1:61" x14ac:dyDescent="0.25">
      <c r="A3404" s="62" t="s">
        <v>605</v>
      </c>
      <c r="B3404" s="62" t="s">
        <v>605</v>
      </c>
      <c r="C3404" s="63"/>
      <c r="D3404" s="64"/>
      <c r="E3404" s="65"/>
      <c r="F3404" s="66"/>
      <c r="G3404" s="63"/>
      <c r="H3404" s="67"/>
      <c r="I3404" s="68"/>
      <c r="J3404" s="68"/>
      <c r="K3404" s="32"/>
      <c r="L3404" s="75">
        <v>3404</v>
      </c>
      <c r="M3404" s="75"/>
      <c r="N3404" s="70"/>
      <c r="O3404" s="77" t="s">
        <v>179</v>
      </c>
      <c r="P3404" s="79">
        <v>45180.676261574074</v>
      </c>
      <c r="Q3404" s="77" t="s">
        <v>4178</v>
      </c>
      <c r="R3404" s="77">
        <v>0</v>
      </c>
      <c r="S3404" s="77">
        <v>3</v>
      </c>
      <c r="T3404" s="77">
        <v>1</v>
      </c>
      <c r="U3404" s="77">
        <v>0</v>
      </c>
      <c r="V3404" s="77">
        <v>1096</v>
      </c>
      <c r="W3404" s="82" t="s">
        <v>6555</v>
      </c>
      <c r="X3404" s="80" t="str">
        <f>HYPERLINK("https://www.moneytimes.com.br/ibovespa-hoje-agora-pao-de-acucar-pcar3-lidera-as-altas-enquanto-petz-petz3-e-o-destaque-negativo-11-09-2023/")</f>
        <v>https://www.moneytimes.com.br/ibovespa-hoje-agora-pao-de-acucar-pcar3-lidera-as-altas-enquanto-petz-petz3-e-o-destaque-negativo-11-09-2023/</v>
      </c>
      <c r="Y3404" s="77" t="s">
        <v>7053</v>
      </c>
      <c r="Z3404" s="77"/>
      <c r="AA3404" s="77"/>
      <c r="AB3404" s="77"/>
      <c r="AC3404" s="82" t="s">
        <v>8255</v>
      </c>
      <c r="AD3404" s="77" t="s">
        <v>8278</v>
      </c>
      <c r="AE3404" s="80" t="str">
        <f>HYPERLINK("https://twitter.com/leiamoneytimes/status/1701267814219239848")</f>
        <v>https://twitter.com/leiamoneytimes/status/1701267814219239848</v>
      </c>
      <c r="AF3404" s="79">
        <v>45180.676261574074</v>
      </c>
      <c r="AG3404" s="85">
        <v>45180</v>
      </c>
      <c r="AH3404" s="82" t="s">
        <v>11405</v>
      </c>
      <c r="AI3404" s="77" t="b">
        <v>0</v>
      </c>
      <c r="AJ3404" s="77"/>
      <c r="AK3404" s="77"/>
      <c r="AL3404" s="77"/>
      <c r="AM3404" s="77"/>
      <c r="AN3404" s="77"/>
      <c r="AO3404" s="77"/>
      <c r="AP3404" s="77"/>
      <c r="AQ3404" s="77"/>
      <c r="AR3404" s="77"/>
      <c r="AS3404" s="77"/>
      <c r="AT3404" s="77"/>
      <c r="AU3404" s="77"/>
      <c r="AV3404" s="80" t="str">
        <f>HYPERLINK("https://pbs.twimg.com/profile_images/1559883556846977024/bXHnQFY0_normal.jpg")</f>
        <v>https://pbs.twimg.com/profile_images/1559883556846977024/bXHnQFY0_normal.jpg</v>
      </c>
      <c r="AW3404" s="82" t="s">
        <v>16488</v>
      </c>
      <c r="AX3404" s="82" t="s">
        <v>16488</v>
      </c>
      <c r="AY3404" s="77"/>
      <c r="AZ3404" s="82" t="s">
        <v>17385</v>
      </c>
      <c r="BA3404" s="82" t="s">
        <v>17385</v>
      </c>
      <c r="BB3404" s="82" t="s">
        <v>17385</v>
      </c>
      <c r="BC3404" s="82" t="s">
        <v>16488</v>
      </c>
      <c r="BD3404" s="77">
        <v>51150679</v>
      </c>
      <c r="BE3404" s="77"/>
      <c r="BF3404" s="77"/>
      <c r="BG3404" s="77"/>
      <c r="BH3404" s="77"/>
      <c r="BI3404" s="77"/>
    </row>
    <row r="3405" spans="1:61" x14ac:dyDescent="0.25">
      <c r="A3405" s="62" t="s">
        <v>605</v>
      </c>
      <c r="B3405" s="62" t="s">
        <v>605</v>
      </c>
      <c r="C3405" s="63"/>
      <c r="D3405" s="64"/>
      <c r="E3405" s="65"/>
      <c r="F3405" s="66"/>
      <c r="G3405" s="63"/>
      <c r="H3405" s="67"/>
      <c r="I3405" s="68"/>
      <c r="J3405" s="68"/>
      <c r="K3405" s="32"/>
      <c r="L3405" s="75">
        <v>3405</v>
      </c>
      <c r="M3405" s="75"/>
      <c r="N3405" s="70"/>
      <c r="O3405" s="77" t="s">
        <v>179</v>
      </c>
      <c r="P3405" s="79">
        <v>45180.558865740742</v>
      </c>
      <c r="Q3405" s="77" t="s">
        <v>4179</v>
      </c>
      <c r="R3405" s="77">
        <v>0</v>
      </c>
      <c r="S3405" s="77">
        <v>2</v>
      </c>
      <c r="T3405" s="77">
        <v>1</v>
      </c>
      <c r="U3405" s="77">
        <v>0</v>
      </c>
      <c r="V3405" s="77">
        <v>828</v>
      </c>
      <c r="W3405" s="82" t="s">
        <v>6559</v>
      </c>
      <c r="X3405" s="80" t="str">
        <f>HYPERLINK("https://www.moneytimes.com.br/ibovespa-sobe-nesta-segunda-11-a-espera-do-ipca-de-agosto-confira/")</f>
        <v>https://www.moneytimes.com.br/ibovespa-sobe-nesta-segunda-11-a-espera-do-ipca-de-agosto-confira/</v>
      </c>
      <c r="Y3405" s="77" t="s">
        <v>7053</v>
      </c>
      <c r="Z3405" s="77"/>
      <c r="AA3405" s="77"/>
      <c r="AB3405" s="77"/>
      <c r="AC3405" s="82" t="s">
        <v>8255</v>
      </c>
      <c r="AD3405" s="77" t="s">
        <v>8278</v>
      </c>
      <c r="AE3405" s="80" t="str">
        <f>HYPERLINK("https://twitter.com/leiamoneytimes/status/1701225272316486121")</f>
        <v>https://twitter.com/leiamoneytimes/status/1701225272316486121</v>
      </c>
      <c r="AF3405" s="79">
        <v>45180.558865740742</v>
      </c>
      <c r="AG3405" s="85">
        <v>45180</v>
      </c>
      <c r="AH3405" s="82" t="s">
        <v>11406</v>
      </c>
      <c r="AI3405" s="77" t="b">
        <v>0</v>
      </c>
      <c r="AJ3405" s="77"/>
      <c r="AK3405" s="77"/>
      <c r="AL3405" s="77"/>
      <c r="AM3405" s="77"/>
      <c r="AN3405" s="77"/>
      <c r="AO3405" s="77"/>
      <c r="AP3405" s="77"/>
      <c r="AQ3405" s="77"/>
      <c r="AR3405" s="77"/>
      <c r="AS3405" s="77"/>
      <c r="AT3405" s="77"/>
      <c r="AU3405" s="77"/>
      <c r="AV3405" s="80" t="str">
        <f>HYPERLINK("https://pbs.twimg.com/profile_images/1559883556846977024/bXHnQFY0_normal.jpg")</f>
        <v>https://pbs.twimg.com/profile_images/1559883556846977024/bXHnQFY0_normal.jpg</v>
      </c>
      <c r="AW3405" s="82" t="s">
        <v>16489</v>
      </c>
      <c r="AX3405" s="82" t="s">
        <v>16489</v>
      </c>
      <c r="AY3405" s="77"/>
      <c r="AZ3405" s="82" t="s">
        <v>17385</v>
      </c>
      <c r="BA3405" s="82" t="s">
        <v>17385</v>
      </c>
      <c r="BB3405" s="82" t="s">
        <v>17385</v>
      </c>
      <c r="BC3405" s="82" t="s">
        <v>16489</v>
      </c>
      <c r="BD3405" s="77">
        <v>51150679</v>
      </c>
      <c r="BE3405" s="77"/>
      <c r="BF3405" s="77"/>
      <c r="BG3405" s="77"/>
      <c r="BH3405" s="77"/>
      <c r="BI3405" s="77"/>
    </row>
    <row r="3406" spans="1:61" x14ac:dyDescent="0.25">
      <c r="A3406" s="62" t="s">
        <v>605</v>
      </c>
      <c r="B3406" s="62" t="s">
        <v>605</v>
      </c>
      <c r="C3406" s="63"/>
      <c r="D3406" s="64"/>
      <c r="E3406" s="65"/>
      <c r="F3406" s="66"/>
      <c r="G3406" s="63"/>
      <c r="H3406" s="67"/>
      <c r="I3406" s="68"/>
      <c r="J3406" s="68"/>
      <c r="K3406" s="32"/>
      <c r="L3406" s="75">
        <v>3406</v>
      </c>
      <c r="M3406" s="75"/>
      <c r="N3406" s="70"/>
      <c r="O3406" s="77" t="s">
        <v>179</v>
      </c>
      <c r="P3406" s="79">
        <v>45180.534155092595</v>
      </c>
      <c r="Q3406" s="77" t="s">
        <v>4180</v>
      </c>
      <c r="R3406" s="77">
        <v>0</v>
      </c>
      <c r="S3406" s="77">
        <v>0</v>
      </c>
      <c r="T3406" s="77">
        <v>1</v>
      </c>
      <c r="U3406" s="77">
        <v>0</v>
      </c>
      <c r="V3406" s="77">
        <v>805</v>
      </c>
      <c r="W3406" s="82" t="s">
        <v>5596</v>
      </c>
      <c r="X3406" s="80" t="str">
        <f>HYPERLINK("https://www.moneytimes.com.br/investimento-estrangeiro-bolsa-fluxo-capital-externo-b3-gringos-vendem-acoes-na-b3-em-semana-de-feriado-confira-historico-11-09-2023/")</f>
        <v>https://www.moneytimes.com.br/investimento-estrangeiro-bolsa-fluxo-capital-externo-b3-gringos-vendem-acoes-na-b3-em-semana-de-feriado-confira-historico-11-09-2023/</v>
      </c>
      <c r="Y3406" s="77" t="s">
        <v>7053</v>
      </c>
      <c r="Z3406" s="77"/>
      <c r="AA3406" s="77"/>
      <c r="AB3406" s="77"/>
      <c r="AC3406" s="82" t="s">
        <v>8255</v>
      </c>
      <c r="AD3406" s="77" t="s">
        <v>8278</v>
      </c>
      <c r="AE3406" s="80" t="str">
        <f>HYPERLINK("https://twitter.com/leiamoneytimes/status/1701216315023720548")</f>
        <v>https://twitter.com/leiamoneytimes/status/1701216315023720548</v>
      </c>
      <c r="AF3406" s="79">
        <v>45180.534155092595</v>
      </c>
      <c r="AG3406" s="85">
        <v>45180</v>
      </c>
      <c r="AH3406" s="82" t="s">
        <v>11407</v>
      </c>
      <c r="AI3406" s="77" t="b">
        <v>0</v>
      </c>
      <c r="AJ3406" s="77"/>
      <c r="AK3406" s="77"/>
      <c r="AL3406" s="77"/>
      <c r="AM3406" s="77"/>
      <c r="AN3406" s="77"/>
      <c r="AO3406" s="77"/>
      <c r="AP3406" s="77"/>
      <c r="AQ3406" s="77"/>
      <c r="AR3406" s="77"/>
      <c r="AS3406" s="77"/>
      <c r="AT3406" s="77"/>
      <c r="AU3406" s="77"/>
      <c r="AV3406" s="80" t="str">
        <f>HYPERLINK("https://pbs.twimg.com/profile_images/1559883556846977024/bXHnQFY0_normal.jpg")</f>
        <v>https://pbs.twimg.com/profile_images/1559883556846977024/bXHnQFY0_normal.jpg</v>
      </c>
      <c r="AW3406" s="82" t="s">
        <v>16490</v>
      </c>
      <c r="AX3406" s="82" t="s">
        <v>16490</v>
      </c>
      <c r="AY3406" s="77"/>
      <c r="AZ3406" s="82" t="s">
        <v>17385</v>
      </c>
      <c r="BA3406" s="82" t="s">
        <v>17385</v>
      </c>
      <c r="BB3406" s="82" t="s">
        <v>17385</v>
      </c>
      <c r="BC3406" s="82" t="s">
        <v>16490</v>
      </c>
      <c r="BD3406" s="77">
        <v>51150679</v>
      </c>
      <c r="BE3406" s="77"/>
      <c r="BF3406" s="77"/>
      <c r="BG3406" s="77"/>
      <c r="BH3406" s="77"/>
      <c r="BI3406" s="77"/>
    </row>
    <row r="3407" spans="1:61" x14ac:dyDescent="0.25">
      <c r="A3407" s="62" t="s">
        <v>605</v>
      </c>
      <c r="B3407" s="62" t="s">
        <v>605</v>
      </c>
      <c r="C3407" s="63"/>
      <c r="D3407" s="64"/>
      <c r="E3407" s="65"/>
      <c r="F3407" s="66"/>
      <c r="G3407" s="63"/>
      <c r="H3407" s="67"/>
      <c r="I3407" s="68"/>
      <c r="J3407" s="68"/>
      <c r="K3407" s="32"/>
      <c r="L3407" s="75">
        <v>3407</v>
      </c>
      <c r="M3407" s="75"/>
      <c r="N3407" s="70"/>
      <c r="O3407" s="77" t="s">
        <v>179</v>
      </c>
      <c r="P3407" s="79">
        <v>45176.626770833333</v>
      </c>
      <c r="Q3407" s="77" t="s">
        <v>4181</v>
      </c>
      <c r="R3407" s="77">
        <v>0</v>
      </c>
      <c r="S3407" s="77">
        <v>0</v>
      </c>
      <c r="T3407" s="77">
        <v>1</v>
      </c>
      <c r="U3407" s="77">
        <v>0</v>
      </c>
      <c r="V3407" s="77">
        <v>894</v>
      </c>
      <c r="W3407" s="82" t="s">
        <v>6658</v>
      </c>
      <c r="X3407" s="80" t="str">
        <f>HYPERLINK("https://www.moneytimes.com.br/light-diz-que-decisoes-seguem-pautadas-no-melhor-interesse-da-empresa-e-de-seus-stakeholders/")</f>
        <v>https://www.moneytimes.com.br/light-diz-que-decisoes-seguem-pautadas-no-melhor-interesse-da-empresa-e-de-seus-stakeholders/</v>
      </c>
      <c r="Y3407" s="77" t="s">
        <v>7053</v>
      </c>
      <c r="Z3407" s="77"/>
      <c r="AA3407" s="77"/>
      <c r="AB3407" s="77"/>
      <c r="AC3407" s="82" t="s">
        <v>8255</v>
      </c>
      <c r="AD3407" s="77" t="s">
        <v>8278</v>
      </c>
      <c r="AE3407" s="80" t="str">
        <f>HYPERLINK("https://twitter.com/leiamoneytimes/status/1699800326105358569")</f>
        <v>https://twitter.com/leiamoneytimes/status/1699800326105358569</v>
      </c>
      <c r="AF3407" s="79">
        <v>45176.626770833333</v>
      </c>
      <c r="AG3407" s="85">
        <v>45176</v>
      </c>
      <c r="AH3407" s="82" t="s">
        <v>11408</v>
      </c>
      <c r="AI3407" s="77" t="b">
        <v>0</v>
      </c>
      <c r="AJ3407" s="77"/>
      <c r="AK3407" s="77"/>
      <c r="AL3407" s="77"/>
      <c r="AM3407" s="77"/>
      <c r="AN3407" s="77"/>
      <c r="AO3407" s="77"/>
      <c r="AP3407" s="77"/>
      <c r="AQ3407" s="77"/>
      <c r="AR3407" s="77"/>
      <c r="AS3407" s="77"/>
      <c r="AT3407" s="77"/>
      <c r="AU3407" s="77"/>
      <c r="AV3407" s="80" t="str">
        <f>HYPERLINK("https://pbs.twimg.com/profile_images/1559883556846977024/bXHnQFY0_normal.jpg")</f>
        <v>https://pbs.twimg.com/profile_images/1559883556846977024/bXHnQFY0_normal.jpg</v>
      </c>
      <c r="AW3407" s="82" t="s">
        <v>16491</v>
      </c>
      <c r="AX3407" s="82" t="s">
        <v>16491</v>
      </c>
      <c r="AY3407" s="77"/>
      <c r="AZ3407" s="82" t="s">
        <v>17385</v>
      </c>
      <c r="BA3407" s="82" t="s">
        <v>17385</v>
      </c>
      <c r="BB3407" s="82" t="s">
        <v>17385</v>
      </c>
      <c r="BC3407" s="82" t="s">
        <v>16491</v>
      </c>
      <c r="BD3407" s="77">
        <v>51150679</v>
      </c>
      <c r="BE3407" s="77"/>
      <c r="BF3407" s="77"/>
      <c r="BG3407" s="77"/>
      <c r="BH3407" s="77"/>
      <c r="BI3407" s="77"/>
    </row>
    <row r="3408" spans="1:61" x14ac:dyDescent="0.25">
      <c r="A3408" s="62" t="s">
        <v>605</v>
      </c>
      <c r="B3408" s="62" t="s">
        <v>605</v>
      </c>
      <c r="C3408" s="63"/>
      <c r="D3408" s="64"/>
      <c r="E3408" s="65"/>
      <c r="F3408" s="66"/>
      <c r="G3408" s="63"/>
      <c r="H3408" s="67"/>
      <c r="I3408" s="68"/>
      <c r="J3408" s="68"/>
      <c r="K3408" s="32"/>
      <c r="L3408" s="75">
        <v>3408</v>
      </c>
      <c r="M3408" s="75"/>
      <c r="N3408" s="70"/>
      <c r="O3408" s="77" t="s">
        <v>179</v>
      </c>
      <c r="P3408" s="79">
        <v>45176.588969907411</v>
      </c>
      <c r="Q3408" s="77" t="s">
        <v>4182</v>
      </c>
      <c r="R3408" s="77">
        <v>1</v>
      </c>
      <c r="S3408" s="77">
        <v>3</v>
      </c>
      <c r="T3408" s="77">
        <v>1</v>
      </c>
      <c r="U3408" s="77">
        <v>0</v>
      </c>
      <c r="V3408" s="77">
        <v>972</v>
      </c>
      <c r="W3408" s="82" t="s">
        <v>6659</v>
      </c>
      <c r="X3408" s="80" t="str">
        <f>HYPERLINK("https://www.moneytimes.com.br/em-dia-de-feriado-no-brasil-como-andam-vale-e-petrobras-em-ny-confira-o-movimento/")</f>
        <v>https://www.moneytimes.com.br/em-dia-de-feriado-no-brasil-como-andam-vale-e-petrobras-em-ny-confira-o-movimento/</v>
      </c>
      <c r="Y3408" s="77" t="s">
        <v>7053</v>
      </c>
      <c r="Z3408" s="77"/>
      <c r="AA3408" s="77"/>
      <c r="AB3408" s="77"/>
      <c r="AC3408" s="82" t="s">
        <v>8255</v>
      </c>
      <c r="AD3408" s="77" t="s">
        <v>8278</v>
      </c>
      <c r="AE3408" s="80" t="str">
        <f>HYPERLINK("https://twitter.com/leiamoneytimes/status/1699786627508531276")</f>
        <v>https://twitter.com/leiamoneytimes/status/1699786627508531276</v>
      </c>
      <c r="AF3408" s="79">
        <v>45176.588969907411</v>
      </c>
      <c r="AG3408" s="85">
        <v>45176</v>
      </c>
      <c r="AH3408" s="82" t="s">
        <v>11409</v>
      </c>
      <c r="AI3408" s="77" t="b">
        <v>0</v>
      </c>
      <c r="AJ3408" s="77"/>
      <c r="AK3408" s="77"/>
      <c r="AL3408" s="77"/>
      <c r="AM3408" s="77"/>
      <c r="AN3408" s="77"/>
      <c r="AO3408" s="77"/>
      <c r="AP3408" s="77"/>
      <c r="AQ3408" s="77"/>
      <c r="AR3408" s="77"/>
      <c r="AS3408" s="77"/>
      <c r="AT3408" s="77"/>
      <c r="AU3408" s="77"/>
      <c r="AV3408" s="80" t="str">
        <f>HYPERLINK("https://pbs.twimg.com/profile_images/1559883556846977024/bXHnQFY0_normal.jpg")</f>
        <v>https://pbs.twimg.com/profile_images/1559883556846977024/bXHnQFY0_normal.jpg</v>
      </c>
      <c r="AW3408" s="82" t="s">
        <v>16492</v>
      </c>
      <c r="AX3408" s="82" t="s">
        <v>16492</v>
      </c>
      <c r="AY3408" s="77"/>
      <c r="AZ3408" s="82" t="s">
        <v>17385</v>
      </c>
      <c r="BA3408" s="82" t="s">
        <v>17385</v>
      </c>
      <c r="BB3408" s="82" t="s">
        <v>17385</v>
      </c>
      <c r="BC3408" s="82" t="s">
        <v>16492</v>
      </c>
      <c r="BD3408" s="77">
        <v>51150679</v>
      </c>
      <c r="BE3408" s="77"/>
      <c r="BF3408" s="77"/>
      <c r="BG3408" s="77"/>
      <c r="BH3408" s="77"/>
      <c r="BI3408" s="77"/>
    </row>
    <row r="3409" spans="1:61" x14ac:dyDescent="0.25">
      <c r="A3409" s="62" t="s">
        <v>605</v>
      </c>
      <c r="B3409" s="62" t="s">
        <v>605</v>
      </c>
      <c r="C3409" s="63"/>
      <c r="D3409" s="64"/>
      <c r="E3409" s="65"/>
      <c r="F3409" s="66"/>
      <c r="G3409" s="63"/>
      <c r="H3409" s="67"/>
      <c r="I3409" s="68"/>
      <c r="J3409" s="68"/>
      <c r="K3409" s="32"/>
      <c r="L3409" s="75">
        <v>3409</v>
      </c>
      <c r="M3409" s="75"/>
      <c r="N3409" s="70"/>
      <c r="O3409" s="77" t="s">
        <v>179</v>
      </c>
      <c r="P3409" s="79">
        <v>45175.901319444441</v>
      </c>
      <c r="Q3409" s="77" t="s">
        <v>4183</v>
      </c>
      <c r="R3409" s="77">
        <v>0</v>
      </c>
      <c r="S3409" s="77">
        <v>5</v>
      </c>
      <c r="T3409" s="77">
        <v>1</v>
      </c>
      <c r="U3409" s="77">
        <v>0</v>
      </c>
      <c r="V3409" s="77">
        <v>1154</v>
      </c>
      <c r="W3409" s="82" t="s">
        <v>6660</v>
      </c>
      <c r="X3409" s="80" t="str">
        <f>HYPERLINK("https://www.moneytimes.com.br/allianca-saude-aalr3-se-associa-a-unimed-para-criar-rede-de-laboratorios/")</f>
        <v>https://www.moneytimes.com.br/allianca-saude-aalr3-se-associa-a-unimed-para-criar-rede-de-laboratorios/</v>
      </c>
      <c r="Y3409" s="77" t="s">
        <v>7053</v>
      </c>
      <c r="Z3409" s="77"/>
      <c r="AA3409" s="77"/>
      <c r="AB3409" s="77"/>
      <c r="AC3409" s="82" t="s">
        <v>8255</v>
      </c>
      <c r="AD3409" s="77" t="s">
        <v>8278</v>
      </c>
      <c r="AE3409" s="80" t="str">
        <f>HYPERLINK("https://twitter.com/leiamoneytimes/status/1699537433170231298")</f>
        <v>https://twitter.com/leiamoneytimes/status/1699537433170231298</v>
      </c>
      <c r="AF3409" s="79">
        <v>45175.901319444441</v>
      </c>
      <c r="AG3409" s="85">
        <v>45175</v>
      </c>
      <c r="AH3409" s="82" t="s">
        <v>11410</v>
      </c>
      <c r="AI3409" s="77" t="b">
        <v>0</v>
      </c>
      <c r="AJ3409" s="77"/>
      <c r="AK3409" s="77"/>
      <c r="AL3409" s="77"/>
      <c r="AM3409" s="77"/>
      <c r="AN3409" s="77"/>
      <c r="AO3409" s="77"/>
      <c r="AP3409" s="77"/>
      <c r="AQ3409" s="77"/>
      <c r="AR3409" s="77"/>
      <c r="AS3409" s="77"/>
      <c r="AT3409" s="77"/>
      <c r="AU3409" s="77"/>
      <c r="AV3409" s="80" t="str">
        <f>HYPERLINK("https://pbs.twimg.com/profile_images/1559883556846977024/bXHnQFY0_normal.jpg")</f>
        <v>https://pbs.twimg.com/profile_images/1559883556846977024/bXHnQFY0_normal.jpg</v>
      </c>
      <c r="AW3409" s="82" t="s">
        <v>16493</v>
      </c>
      <c r="AX3409" s="82" t="s">
        <v>16493</v>
      </c>
      <c r="AY3409" s="77"/>
      <c r="AZ3409" s="82" t="s">
        <v>17385</v>
      </c>
      <c r="BA3409" s="82" t="s">
        <v>17385</v>
      </c>
      <c r="BB3409" s="82" t="s">
        <v>17385</v>
      </c>
      <c r="BC3409" s="82" t="s">
        <v>16493</v>
      </c>
      <c r="BD3409" s="77">
        <v>51150679</v>
      </c>
      <c r="BE3409" s="77"/>
      <c r="BF3409" s="77"/>
      <c r="BG3409" s="77"/>
      <c r="BH3409" s="77"/>
      <c r="BI3409" s="77"/>
    </row>
    <row r="3410" spans="1:61" x14ac:dyDescent="0.25">
      <c r="A3410" s="62" t="s">
        <v>605</v>
      </c>
      <c r="B3410" s="62" t="s">
        <v>605</v>
      </c>
      <c r="C3410" s="63"/>
      <c r="D3410" s="64"/>
      <c r="E3410" s="65"/>
      <c r="F3410" s="66"/>
      <c r="G3410" s="63"/>
      <c r="H3410" s="67"/>
      <c r="I3410" s="68"/>
      <c r="J3410" s="68"/>
      <c r="K3410" s="32"/>
      <c r="L3410" s="75">
        <v>3410</v>
      </c>
      <c r="M3410" s="75"/>
      <c r="N3410" s="70"/>
      <c r="O3410" s="77" t="s">
        <v>179</v>
      </c>
      <c r="P3410" s="79">
        <v>45175.846342592595</v>
      </c>
      <c r="Q3410" s="77" t="s">
        <v>4184</v>
      </c>
      <c r="R3410" s="77">
        <v>0</v>
      </c>
      <c r="S3410" s="77">
        <v>3</v>
      </c>
      <c r="T3410" s="77">
        <v>1</v>
      </c>
      <c r="U3410" s="77">
        <v>0</v>
      </c>
      <c r="V3410" s="77">
        <v>934</v>
      </c>
      <c r="W3410" s="82" t="s">
        <v>6551</v>
      </c>
      <c r="X3410" s="80" t="str">
        <f>HYPERLINK("https://www.moneytimes.com.br/ibovespa-hoje-fecha-queda-116-mil-pontos-vale-vale3-06-09-2023/")</f>
        <v>https://www.moneytimes.com.br/ibovespa-hoje-fecha-queda-116-mil-pontos-vale-vale3-06-09-2023/</v>
      </c>
      <c r="Y3410" s="77" t="s">
        <v>7053</v>
      </c>
      <c r="Z3410" s="77"/>
      <c r="AA3410" s="77"/>
      <c r="AB3410" s="77"/>
      <c r="AC3410" s="82" t="s">
        <v>8255</v>
      </c>
      <c r="AD3410" s="77" t="s">
        <v>8278</v>
      </c>
      <c r="AE3410" s="80" t="str">
        <f>HYPERLINK("https://twitter.com/leiamoneytimes/status/1699517508275818842")</f>
        <v>https://twitter.com/leiamoneytimes/status/1699517508275818842</v>
      </c>
      <c r="AF3410" s="79">
        <v>45175.846342592595</v>
      </c>
      <c r="AG3410" s="85">
        <v>45175</v>
      </c>
      <c r="AH3410" s="82" t="s">
        <v>9062</v>
      </c>
      <c r="AI3410" s="77" t="b">
        <v>0</v>
      </c>
      <c r="AJ3410" s="77"/>
      <c r="AK3410" s="77"/>
      <c r="AL3410" s="77"/>
      <c r="AM3410" s="77"/>
      <c r="AN3410" s="77"/>
      <c r="AO3410" s="77"/>
      <c r="AP3410" s="77"/>
      <c r="AQ3410" s="77"/>
      <c r="AR3410" s="77"/>
      <c r="AS3410" s="77"/>
      <c r="AT3410" s="77"/>
      <c r="AU3410" s="77"/>
      <c r="AV3410" s="80" t="str">
        <f>HYPERLINK("https://pbs.twimg.com/profile_images/1559883556846977024/bXHnQFY0_normal.jpg")</f>
        <v>https://pbs.twimg.com/profile_images/1559883556846977024/bXHnQFY0_normal.jpg</v>
      </c>
      <c r="AW3410" s="82" t="s">
        <v>16494</v>
      </c>
      <c r="AX3410" s="82" t="s">
        <v>16494</v>
      </c>
      <c r="AY3410" s="77"/>
      <c r="AZ3410" s="82" t="s">
        <v>17385</v>
      </c>
      <c r="BA3410" s="82" t="s">
        <v>17385</v>
      </c>
      <c r="BB3410" s="82" t="s">
        <v>17385</v>
      </c>
      <c r="BC3410" s="82" t="s">
        <v>16494</v>
      </c>
      <c r="BD3410" s="77">
        <v>51150679</v>
      </c>
      <c r="BE3410" s="77"/>
      <c r="BF3410" s="77"/>
      <c r="BG3410" s="77"/>
      <c r="BH3410" s="77"/>
      <c r="BI3410" s="77"/>
    </row>
    <row r="3411" spans="1:61" x14ac:dyDescent="0.25">
      <c r="A3411" s="62" t="s">
        <v>605</v>
      </c>
      <c r="B3411" s="62" t="s">
        <v>605</v>
      </c>
      <c r="C3411" s="63"/>
      <c r="D3411" s="64"/>
      <c r="E3411" s="65"/>
      <c r="F3411" s="66"/>
      <c r="G3411" s="63"/>
      <c r="H3411" s="67"/>
      <c r="I3411" s="68"/>
      <c r="J3411" s="68"/>
      <c r="K3411" s="32"/>
      <c r="L3411" s="75">
        <v>3411</v>
      </c>
      <c r="M3411" s="75"/>
      <c r="N3411" s="70"/>
      <c r="O3411" s="77" t="s">
        <v>179</v>
      </c>
      <c r="P3411" s="79">
        <v>45175.792685185188</v>
      </c>
      <c r="Q3411" s="77" t="s">
        <v>4185</v>
      </c>
      <c r="R3411" s="77">
        <v>0</v>
      </c>
      <c r="S3411" s="77">
        <v>1</v>
      </c>
      <c r="T3411" s="77">
        <v>1</v>
      </c>
      <c r="U3411" s="77">
        <v>0</v>
      </c>
      <c r="V3411" s="77">
        <v>665</v>
      </c>
      <c r="W3411" s="82" t="s">
        <v>6551</v>
      </c>
      <c r="X3411" s="80" t="str">
        <f>HYPERLINK("https://www.moneytimes.com.br/sabesp-sbsp3-os-pontos-defendidos-pelo-governo-de-sp-para-a-privatizacao-veja-guia/")</f>
        <v>https://www.moneytimes.com.br/sabesp-sbsp3-os-pontos-defendidos-pelo-governo-de-sp-para-a-privatizacao-veja-guia/</v>
      </c>
      <c r="Y3411" s="77" t="s">
        <v>7053</v>
      </c>
      <c r="Z3411" s="77"/>
      <c r="AA3411" s="77"/>
      <c r="AB3411" s="77"/>
      <c r="AC3411" s="82" t="s">
        <v>8255</v>
      </c>
      <c r="AD3411" s="77" t="s">
        <v>8278</v>
      </c>
      <c r="AE3411" s="80" t="str">
        <f>HYPERLINK("https://twitter.com/leiamoneytimes/status/1699498064422088761")</f>
        <v>https://twitter.com/leiamoneytimes/status/1699498064422088761</v>
      </c>
      <c r="AF3411" s="79">
        <v>45175.792685185188</v>
      </c>
      <c r="AG3411" s="85">
        <v>45175</v>
      </c>
      <c r="AH3411" s="82" t="s">
        <v>11411</v>
      </c>
      <c r="AI3411" s="77" t="b">
        <v>0</v>
      </c>
      <c r="AJ3411" s="77"/>
      <c r="AK3411" s="77"/>
      <c r="AL3411" s="77"/>
      <c r="AM3411" s="77"/>
      <c r="AN3411" s="77"/>
      <c r="AO3411" s="77"/>
      <c r="AP3411" s="77"/>
      <c r="AQ3411" s="77"/>
      <c r="AR3411" s="77"/>
      <c r="AS3411" s="77"/>
      <c r="AT3411" s="77"/>
      <c r="AU3411" s="77"/>
      <c r="AV3411" s="80" t="str">
        <f>HYPERLINK("https://pbs.twimg.com/profile_images/1559883556846977024/bXHnQFY0_normal.jpg")</f>
        <v>https://pbs.twimg.com/profile_images/1559883556846977024/bXHnQFY0_normal.jpg</v>
      </c>
      <c r="AW3411" s="82" t="s">
        <v>16495</v>
      </c>
      <c r="AX3411" s="82" t="s">
        <v>16495</v>
      </c>
      <c r="AY3411" s="77"/>
      <c r="AZ3411" s="82" t="s">
        <v>17385</v>
      </c>
      <c r="BA3411" s="82" t="s">
        <v>17385</v>
      </c>
      <c r="BB3411" s="82" t="s">
        <v>17385</v>
      </c>
      <c r="BC3411" s="82" t="s">
        <v>16495</v>
      </c>
      <c r="BD3411" s="77">
        <v>51150679</v>
      </c>
      <c r="BE3411" s="77"/>
      <c r="BF3411" s="77"/>
      <c r="BG3411" s="77"/>
      <c r="BH3411" s="77"/>
      <c r="BI3411" s="77"/>
    </row>
    <row r="3412" spans="1:61" x14ac:dyDescent="0.25">
      <c r="A3412" s="62" t="s">
        <v>605</v>
      </c>
      <c r="B3412" s="62" t="s">
        <v>605</v>
      </c>
      <c r="C3412" s="63"/>
      <c r="D3412" s="64"/>
      <c r="E3412" s="65"/>
      <c r="F3412" s="66"/>
      <c r="G3412" s="63"/>
      <c r="H3412" s="67"/>
      <c r="I3412" s="68"/>
      <c r="J3412" s="68"/>
      <c r="K3412" s="32"/>
      <c r="L3412" s="75">
        <v>3412</v>
      </c>
      <c r="M3412" s="75"/>
      <c r="N3412" s="70"/>
      <c r="O3412" s="77" t="s">
        <v>179</v>
      </c>
      <c r="P3412" s="79">
        <v>45175.674814814818</v>
      </c>
      <c r="Q3412" s="77" t="s">
        <v>4186</v>
      </c>
      <c r="R3412" s="77">
        <v>0</v>
      </c>
      <c r="S3412" s="77">
        <v>6</v>
      </c>
      <c r="T3412" s="77">
        <v>1</v>
      </c>
      <c r="U3412" s="77">
        <v>0</v>
      </c>
      <c r="V3412" s="77">
        <v>1057</v>
      </c>
      <c r="W3412" s="82" t="s">
        <v>6661</v>
      </c>
      <c r="X3412" s="80" t="str">
        <f>HYPERLINK("https://www.moneytimes.com.br/ibovespa-petrobras-petr3-avanca-enquanto-prio-prio-recua-cvc-cvcb3-lidera-baixas/")</f>
        <v>https://www.moneytimes.com.br/ibovespa-petrobras-petr3-avanca-enquanto-prio-prio-recua-cvc-cvcb3-lidera-baixas/</v>
      </c>
      <c r="Y3412" s="77" t="s">
        <v>7053</v>
      </c>
      <c r="Z3412" s="77"/>
      <c r="AA3412" s="77"/>
      <c r="AB3412" s="77"/>
      <c r="AC3412" s="82" t="s">
        <v>8255</v>
      </c>
      <c r="AD3412" s="77" t="s">
        <v>8278</v>
      </c>
      <c r="AE3412" s="80" t="str">
        <f>HYPERLINK("https://twitter.com/leiamoneytimes/status/1699455350963867891")</f>
        <v>https://twitter.com/leiamoneytimes/status/1699455350963867891</v>
      </c>
      <c r="AF3412" s="79">
        <v>45175.674814814818</v>
      </c>
      <c r="AG3412" s="85">
        <v>45175</v>
      </c>
      <c r="AH3412" s="82" t="s">
        <v>11412</v>
      </c>
      <c r="AI3412" s="77" t="b">
        <v>0</v>
      </c>
      <c r="AJ3412" s="77"/>
      <c r="AK3412" s="77"/>
      <c r="AL3412" s="77"/>
      <c r="AM3412" s="77"/>
      <c r="AN3412" s="77"/>
      <c r="AO3412" s="77"/>
      <c r="AP3412" s="77"/>
      <c r="AQ3412" s="77"/>
      <c r="AR3412" s="77"/>
      <c r="AS3412" s="77"/>
      <c r="AT3412" s="77"/>
      <c r="AU3412" s="77"/>
      <c r="AV3412" s="80" t="str">
        <f>HYPERLINK("https://pbs.twimg.com/profile_images/1559883556846977024/bXHnQFY0_normal.jpg")</f>
        <v>https://pbs.twimg.com/profile_images/1559883556846977024/bXHnQFY0_normal.jpg</v>
      </c>
      <c r="AW3412" s="82" t="s">
        <v>16496</v>
      </c>
      <c r="AX3412" s="82" t="s">
        <v>16496</v>
      </c>
      <c r="AY3412" s="77"/>
      <c r="AZ3412" s="82" t="s">
        <v>17385</v>
      </c>
      <c r="BA3412" s="82" t="s">
        <v>17385</v>
      </c>
      <c r="BB3412" s="82" t="s">
        <v>17385</v>
      </c>
      <c r="BC3412" s="82" t="s">
        <v>16496</v>
      </c>
      <c r="BD3412" s="77">
        <v>51150679</v>
      </c>
      <c r="BE3412" s="77"/>
      <c r="BF3412" s="77"/>
      <c r="BG3412" s="77"/>
      <c r="BH3412" s="77"/>
      <c r="BI3412" s="77"/>
    </row>
    <row r="3413" spans="1:61" x14ac:dyDescent="0.25">
      <c r="A3413" s="62" t="s">
        <v>605</v>
      </c>
      <c r="B3413" s="62" t="s">
        <v>605</v>
      </c>
      <c r="C3413" s="63"/>
      <c r="D3413" s="64"/>
      <c r="E3413" s="65"/>
      <c r="F3413" s="66"/>
      <c r="G3413" s="63"/>
      <c r="H3413" s="67"/>
      <c r="I3413" s="68"/>
      <c r="J3413" s="68"/>
      <c r="K3413" s="32"/>
      <c r="L3413" s="75">
        <v>3413</v>
      </c>
      <c r="M3413" s="75"/>
      <c r="N3413" s="70"/>
      <c r="O3413" s="77" t="s">
        <v>179</v>
      </c>
      <c r="P3413" s="79">
        <v>45175.671932870369</v>
      </c>
      <c r="Q3413" s="77" t="s">
        <v>4187</v>
      </c>
      <c r="R3413" s="77">
        <v>0</v>
      </c>
      <c r="S3413" s="77">
        <v>1</v>
      </c>
      <c r="T3413" s="77">
        <v>1</v>
      </c>
      <c r="U3413" s="77">
        <v>0</v>
      </c>
      <c r="V3413" s="77">
        <v>966</v>
      </c>
      <c r="W3413" s="82" t="s">
        <v>6551</v>
      </c>
      <c r="X3413" s="80" t="str">
        <f>HYPERLINK("https://www.moneytimes.com.br/infracommerce-ifcm3-desaba-11-apos-anuncio-de-potencial-oferta-de-acoes/")</f>
        <v>https://www.moneytimes.com.br/infracommerce-ifcm3-desaba-11-apos-anuncio-de-potencial-oferta-de-acoes/</v>
      </c>
      <c r="Y3413" s="77" t="s">
        <v>7053</v>
      </c>
      <c r="Z3413" s="77"/>
      <c r="AA3413" s="77"/>
      <c r="AB3413" s="77"/>
      <c r="AC3413" s="82" t="s">
        <v>8255</v>
      </c>
      <c r="AD3413" s="77" t="s">
        <v>8278</v>
      </c>
      <c r="AE3413" s="80" t="str">
        <f>HYPERLINK("https://twitter.com/leiamoneytimes/status/1699454307509158376")</f>
        <v>https://twitter.com/leiamoneytimes/status/1699454307509158376</v>
      </c>
      <c r="AF3413" s="79">
        <v>45175.671932870369</v>
      </c>
      <c r="AG3413" s="85">
        <v>45175</v>
      </c>
      <c r="AH3413" s="82" t="s">
        <v>11413</v>
      </c>
      <c r="AI3413" s="77" t="b">
        <v>0</v>
      </c>
      <c r="AJ3413" s="77"/>
      <c r="AK3413" s="77"/>
      <c r="AL3413" s="77"/>
      <c r="AM3413" s="77"/>
      <c r="AN3413" s="77"/>
      <c r="AO3413" s="77"/>
      <c r="AP3413" s="77"/>
      <c r="AQ3413" s="77"/>
      <c r="AR3413" s="77"/>
      <c r="AS3413" s="77"/>
      <c r="AT3413" s="77"/>
      <c r="AU3413" s="77"/>
      <c r="AV3413" s="80" t="str">
        <f>HYPERLINK("https://pbs.twimg.com/profile_images/1559883556846977024/bXHnQFY0_normal.jpg")</f>
        <v>https://pbs.twimg.com/profile_images/1559883556846977024/bXHnQFY0_normal.jpg</v>
      </c>
      <c r="AW3413" s="82" t="s">
        <v>16497</v>
      </c>
      <c r="AX3413" s="82" t="s">
        <v>16497</v>
      </c>
      <c r="AY3413" s="77"/>
      <c r="AZ3413" s="82" t="s">
        <v>17385</v>
      </c>
      <c r="BA3413" s="82" t="s">
        <v>17385</v>
      </c>
      <c r="BB3413" s="82" t="s">
        <v>17385</v>
      </c>
      <c r="BC3413" s="82" t="s">
        <v>16497</v>
      </c>
      <c r="BD3413" s="77">
        <v>51150679</v>
      </c>
      <c r="BE3413" s="77"/>
      <c r="BF3413" s="77"/>
      <c r="BG3413" s="77"/>
      <c r="BH3413" s="77"/>
      <c r="BI3413" s="77"/>
    </row>
    <row r="3414" spans="1:61" x14ac:dyDescent="0.25">
      <c r="A3414" s="62" t="s">
        <v>605</v>
      </c>
      <c r="B3414" s="62" t="s">
        <v>605</v>
      </c>
      <c r="C3414" s="63"/>
      <c r="D3414" s="64"/>
      <c r="E3414" s="65"/>
      <c r="F3414" s="66"/>
      <c r="G3414" s="63"/>
      <c r="H3414" s="67"/>
      <c r="I3414" s="68"/>
      <c r="J3414" s="68"/>
      <c r="K3414" s="32"/>
      <c r="L3414" s="75">
        <v>3414</v>
      </c>
      <c r="M3414" s="75"/>
      <c r="N3414" s="70"/>
      <c r="O3414" s="77" t="s">
        <v>179</v>
      </c>
      <c r="P3414" s="79">
        <v>45175.629560185182</v>
      </c>
      <c r="Q3414" s="77" t="s">
        <v>4188</v>
      </c>
      <c r="R3414" s="77">
        <v>0</v>
      </c>
      <c r="S3414" s="77">
        <v>5</v>
      </c>
      <c r="T3414" s="77">
        <v>1</v>
      </c>
      <c r="U3414" s="77">
        <v>0</v>
      </c>
      <c r="V3414" s="77">
        <v>841</v>
      </c>
      <c r="W3414" s="82" t="s">
        <v>6662</v>
      </c>
      <c r="X3414" s="80" t="str">
        <f>HYPERLINK("https://www.moneytimes.com.br/light-ligt3-despenca-ate-10-com-fim-da-recuperacao-judicial-e-concessao-em-jogo-entenda/")</f>
        <v>https://www.moneytimes.com.br/light-ligt3-despenca-ate-10-com-fim-da-recuperacao-judicial-e-concessao-em-jogo-entenda/</v>
      </c>
      <c r="Y3414" s="77" t="s">
        <v>7053</v>
      </c>
      <c r="Z3414" s="77"/>
      <c r="AA3414" s="77"/>
      <c r="AB3414" s="77"/>
      <c r="AC3414" s="82" t="s">
        <v>8255</v>
      </c>
      <c r="AD3414" s="77" t="s">
        <v>8278</v>
      </c>
      <c r="AE3414" s="80" t="str">
        <f>HYPERLINK("https://twitter.com/leiamoneytimes/status/1699438950786412898")</f>
        <v>https://twitter.com/leiamoneytimes/status/1699438950786412898</v>
      </c>
      <c r="AF3414" s="79">
        <v>45175.629560185182</v>
      </c>
      <c r="AG3414" s="85">
        <v>45175</v>
      </c>
      <c r="AH3414" s="82" t="s">
        <v>11414</v>
      </c>
      <c r="AI3414" s="77" t="b">
        <v>0</v>
      </c>
      <c r="AJ3414" s="77"/>
      <c r="AK3414" s="77"/>
      <c r="AL3414" s="77"/>
      <c r="AM3414" s="77"/>
      <c r="AN3414" s="77"/>
      <c r="AO3414" s="77"/>
      <c r="AP3414" s="77"/>
      <c r="AQ3414" s="77"/>
      <c r="AR3414" s="77"/>
      <c r="AS3414" s="77"/>
      <c r="AT3414" s="77"/>
      <c r="AU3414" s="77"/>
      <c r="AV3414" s="80" t="str">
        <f>HYPERLINK("https://pbs.twimg.com/profile_images/1559883556846977024/bXHnQFY0_normal.jpg")</f>
        <v>https://pbs.twimg.com/profile_images/1559883556846977024/bXHnQFY0_normal.jpg</v>
      </c>
      <c r="AW3414" s="82" t="s">
        <v>16498</v>
      </c>
      <c r="AX3414" s="82" t="s">
        <v>16498</v>
      </c>
      <c r="AY3414" s="77"/>
      <c r="AZ3414" s="82" t="s">
        <v>17385</v>
      </c>
      <c r="BA3414" s="82" t="s">
        <v>17385</v>
      </c>
      <c r="BB3414" s="82" t="s">
        <v>17385</v>
      </c>
      <c r="BC3414" s="82" t="s">
        <v>16498</v>
      </c>
      <c r="BD3414" s="77">
        <v>51150679</v>
      </c>
      <c r="BE3414" s="77"/>
      <c r="BF3414" s="77"/>
      <c r="BG3414" s="77"/>
      <c r="BH3414" s="77"/>
      <c r="BI3414" s="77"/>
    </row>
    <row r="3415" spans="1:61" x14ac:dyDescent="0.25">
      <c r="A3415" s="62" t="s">
        <v>605</v>
      </c>
      <c r="B3415" s="62" t="s">
        <v>605</v>
      </c>
      <c r="C3415" s="63"/>
      <c r="D3415" s="64"/>
      <c r="E3415" s="65"/>
      <c r="F3415" s="66"/>
      <c r="G3415" s="63"/>
      <c r="H3415" s="67"/>
      <c r="I3415" s="68"/>
      <c r="J3415" s="68"/>
      <c r="K3415" s="32"/>
      <c r="L3415" s="75">
        <v>3415</v>
      </c>
      <c r="M3415" s="75"/>
      <c r="N3415" s="70"/>
      <c r="O3415" s="77" t="s">
        <v>179</v>
      </c>
      <c r="P3415" s="79">
        <v>45175.575196759259</v>
      </c>
      <c r="Q3415" s="77" t="s">
        <v>4189</v>
      </c>
      <c r="R3415" s="77">
        <v>0</v>
      </c>
      <c r="S3415" s="77">
        <v>9</v>
      </c>
      <c r="T3415" s="77">
        <v>4</v>
      </c>
      <c r="U3415" s="77">
        <v>0</v>
      </c>
      <c r="V3415" s="77">
        <v>1442</v>
      </c>
      <c r="W3415" s="82" t="s">
        <v>5596</v>
      </c>
      <c r="X3415" s="80" t="str">
        <f>HYPERLINK("https://www.moneytimes.com.br/investimento-estrangeiro-bolsa-fluxo-capital-externo-b3-gringos-desanimam-e-vendem-acoes-na-b3-depois-de-entrada-bilionaria-entenda-06-09-2023/")</f>
        <v>https://www.moneytimes.com.br/investimento-estrangeiro-bolsa-fluxo-capital-externo-b3-gringos-desanimam-e-vendem-acoes-na-b3-depois-de-entrada-bilionaria-entenda-06-09-2023/</v>
      </c>
      <c r="Y3415" s="77" t="s">
        <v>7053</v>
      </c>
      <c r="Z3415" s="77"/>
      <c r="AA3415" s="77"/>
      <c r="AB3415" s="77"/>
      <c r="AC3415" s="82" t="s">
        <v>8255</v>
      </c>
      <c r="AD3415" s="77" t="s">
        <v>8278</v>
      </c>
      <c r="AE3415" s="80" t="str">
        <f>HYPERLINK("https://twitter.com/leiamoneytimes/status/1699419249700229123")</f>
        <v>https://twitter.com/leiamoneytimes/status/1699419249700229123</v>
      </c>
      <c r="AF3415" s="79">
        <v>45175.575196759259</v>
      </c>
      <c r="AG3415" s="85">
        <v>45175</v>
      </c>
      <c r="AH3415" s="82" t="s">
        <v>11415</v>
      </c>
      <c r="AI3415" s="77" t="b">
        <v>0</v>
      </c>
      <c r="AJ3415" s="77"/>
      <c r="AK3415" s="77"/>
      <c r="AL3415" s="77"/>
      <c r="AM3415" s="77"/>
      <c r="AN3415" s="77"/>
      <c r="AO3415" s="77"/>
      <c r="AP3415" s="77"/>
      <c r="AQ3415" s="77"/>
      <c r="AR3415" s="77"/>
      <c r="AS3415" s="77"/>
      <c r="AT3415" s="77"/>
      <c r="AU3415" s="77"/>
      <c r="AV3415" s="80" t="str">
        <f>HYPERLINK("https://pbs.twimg.com/profile_images/1559883556846977024/bXHnQFY0_normal.jpg")</f>
        <v>https://pbs.twimg.com/profile_images/1559883556846977024/bXHnQFY0_normal.jpg</v>
      </c>
      <c r="AW3415" s="82" t="s">
        <v>16499</v>
      </c>
      <c r="AX3415" s="82" t="s">
        <v>16499</v>
      </c>
      <c r="AY3415" s="77"/>
      <c r="AZ3415" s="82" t="s">
        <v>17385</v>
      </c>
      <c r="BA3415" s="82" t="s">
        <v>17385</v>
      </c>
      <c r="BB3415" s="82" t="s">
        <v>17385</v>
      </c>
      <c r="BC3415" s="82" t="s">
        <v>16499</v>
      </c>
      <c r="BD3415" s="77">
        <v>51150679</v>
      </c>
      <c r="BE3415" s="77"/>
      <c r="BF3415" s="77"/>
      <c r="BG3415" s="77"/>
      <c r="BH3415" s="77"/>
      <c r="BI3415" s="77"/>
    </row>
    <row r="3416" spans="1:61" x14ac:dyDescent="0.25">
      <c r="A3416" s="62" t="s">
        <v>605</v>
      </c>
      <c r="B3416" s="62" t="s">
        <v>605</v>
      </c>
      <c r="C3416" s="63"/>
      <c r="D3416" s="64"/>
      <c r="E3416" s="65"/>
      <c r="F3416" s="66"/>
      <c r="G3416" s="63"/>
      <c r="H3416" s="67"/>
      <c r="I3416" s="68"/>
      <c r="J3416" s="68"/>
      <c r="K3416" s="32"/>
      <c r="L3416" s="75">
        <v>3416</v>
      </c>
      <c r="M3416" s="75"/>
      <c r="N3416" s="70"/>
      <c r="O3416" s="77" t="s">
        <v>179</v>
      </c>
      <c r="P3416" s="79">
        <v>45174.453553240739</v>
      </c>
      <c r="Q3416" s="77" t="s">
        <v>4190</v>
      </c>
      <c r="R3416" s="77">
        <v>0</v>
      </c>
      <c r="S3416" s="77">
        <v>2</v>
      </c>
      <c r="T3416" s="77">
        <v>1</v>
      </c>
      <c r="U3416" s="77">
        <v>0</v>
      </c>
      <c r="V3416" s="77">
        <v>945</v>
      </c>
      <c r="W3416" s="82" t="s">
        <v>6663</v>
      </c>
      <c r="X3416" s="80" t="str">
        <f>HYPERLINK("https://www.moneytimes.com.br/confira-as-principais-noticias-dos-jornais-hoje-terca-feira-05-09-2023/")</f>
        <v>https://www.moneytimes.com.br/confira-as-principais-noticias-dos-jornais-hoje-terca-feira-05-09-2023/</v>
      </c>
      <c r="Y3416" s="77" t="s">
        <v>7053</v>
      </c>
      <c r="Z3416" s="77"/>
      <c r="AA3416" s="77"/>
      <c r="AB3416" s="77"/>
      <c r="AC3416" s="82" t="s">
        <v>8255</v>
      </c>
      <c r="AD3416" s="77" t="s">
        <v>8278</v>
      </c>
      <c r="AE3416" s="80" t="str">
        <f>HYPERLINK("https://twitter.com/leiamoneytimes/status/1699012781419237844")</f>
        <v>https://twitter.com/leiamoneytimes/status/1699012781419237844</v>
      </c>
      <c r="AF3416" s="79">
        <v>45174.453553240739</v>
      </c>
      <c r="AG3416" s="85">
        <v>45174</v>
      </c>
      <c r="AH3416" s="82" t="s">
        <v>11416</v>
      </c>
      <c r="AI3416" s="77" t="b">
        <v>0</v>
      </c>
      <c r="AJ3416" s="77"/>
      <c r="AK3416" s="77"/>
      <c r="AL3416" s="77"/>
      <c r="AM3416" s="77"/>
      <c r="AN3416" s="77"/>
      <c r="AO3416" s="77"/>
      <c r="AP3416" s="77"/>
      <c r="AQ3416" s="77"/>
      <c r="AR3416" s="77"/>
      <c r="AS3416" s="77"/>
      <c r="AT3416" s="77"/>
      <c r="AU3416" s="77"/>
      <c r="AV3416" s="80" t="str">
        <f>HYPERLINK("https://pbs.twimg.com/profile_images/1559883556846977024/bXHnQFY0_normal.jpg")</f>
        <v>https://pbs.twimg.com/profile_images/1559883556846977024/bXHnQFY0_normal.jpg</v>
      </c>
      <c r="AW3416" s="82" t="s">
        <v>16500</v>
      </c>
      <c r="AX3416" s="82" t="s">
        <v>16500</v>
      </c>
      <c r="AY3416" s="77"/>
      <c r="AZ3416" s="82" t="s">
        <v>17385</v>
      </c>
      <c r="BA3416" s="82" t="s">
        <v>17385</v>
      </c>
      <c r="BB3416" s="82" t="s">
        <v>17385</v>
      </c>
      <c r="BC3416" s="82" t="s">
        <v>16500</v>
      </c>
      <c r="BD3416" s="77">
        <v>51150679</v>
      </c>
      <c r="BE3416" s="77"/>
      <c r="BF3416" s="77"/>
      <c r="BG3416" s="77"/>
      <c r="BH3416" s="77"/>
      <c r="BI3416" s="77"/>
    </row>
    <row r="3417" spans="1:61" x14ac:dyDescent="0.25">
      <c r="A3417" s="62" t="s">
        <v>605</v>
      </c>
      <c r="B3417" s="62" t="s">
        <v>605</v>
      </c>
      <c r="C3417" s="63"/>
      <c r="D3417" s="64"/>
      <c r="E3417" s="65"/>
      <c r="F3417" s="66"/>
      <c r="G3417" s="63"/>
      <c r="H3417" s="67"/>
      <c r="I3417" s="68"/>
      <c r="J3417" s="68"/>
      <c r="K3417" s="32"/>
      <c r="L3417" s="75">
        <v>3417</v>
      </c>
      <c r="M3417" s="75"/>
      <c r="N3417" s="70"/>
      <c r="O3417" s="77" t="s">
        <v>179</v>
      </c>
      <c r="P3417" s="79">
        <v>45173.775543981479</v>
      </c>
      <c r="Q3417" s="77" t="s">
        <v>4191</v>
      </c>
      <c r="R3417" s="77">
        <v>0</v>
      </c>
      <c r="S3417" s="77">
        <v>3</v>
      </c>
      <c r="T3417" s="77">
        <v>1</v>
      </c>
      <c r="U3417" s="77">
        <v>0</v>
      </c>
      <c r="V3417" s="77">
        <v>1145</v>
      </c>
      <c r="W3417" s="82" t="s">
        <v>6664</v>
      </c>
      <c r="X3417" s="80" t="str">
        <f>HYPERLINK("https://www.moneytimes.com.br/vale-vale3-e-bb-seguridade-bbse3-confira-as-acoes-mais-recomendadas-da-semana/")</f>
        <v>https://www.moneytimes.com.br/vale-vale3-e-bb-seguridade-bbse3-confira-as-acoes-mais-recomendadas-da-semana/</v>
      </c>
      <c r="Y3417" s="77" t="s">
        <v>7053</v>
      </c>
      <c r="Z3417" s="77"/>
      <c r="AA3417" s="77"/>
      <c r="AB3417" s="77"/>
      <c r="AC3417" s="82" t="s">
        <v>8255</v>
      </c>
      <c r="AD3417" s="77" t="s">
        <v>8278</v>
      </c>
      <c r="AE3417" s="80" t="str">
        <f>HYPERLINK("https://twitter.com/leiamoneytimes/status/1698767078797246659")</f>
        <v>https://twitter.com/leiamoneytimes/status/1698767078797246659</v>
      </c>
      <c r="AF3417" s="79">
        <v>45173.775543981479</v>
      </c>
      <c r="AG3417" s="85">
        <v>45173</v>
      </c>
      <c r="AH3417" s="82" t="s">
        <v>11417</v>
      </c>
      <c r="AI3417" s="77" t="b">
        <v>0</v>
      </c>
      <c r="AJ3417" s="77"/>
      <c r="AK3417" s="77"/>
      <c r="AL3417" s="77"/>
      <c r="AM3417" s="77"/>
      <c r="AN3417" s="77"/>
      <c r="AO3417" s="77"/>
      <c r="AP3417" s="77"/>
      <c r="AQ3417" s="77"/>
      <c r="AR3417" s="77"/>
      <c r="AS3417" s="77"/>
      <c r="AT3417" s="77"/>
      <c r="AU3417" s="77"/>
      <c r="AV3417" s="80" t="str">
        <f>HYPERLINK("https://pbs.twimg.com/profile_images/1559883556846977024/bXHnQFY0_normal.jpg")</f>
        <v>https://pbs.twimg.com/profile_images/1559883556846977024/bXHnQFY0_normal.jpg</v>
      </c>
      <c r="AW3417" s="82" t="s">
        <v>16501</v>
      </c>
      <c r="AX3417" s="82" t="s">
        <v>16501</v>
      </c>
      <c r="AY3417" s="77"/>
      <c r="AZ3417" s="82" t="s">
        <v>17385</v>
      </c>
      <c r="BA3417" s="82" t="s">
        <v>17385</v>
      </c>
      <c r="BB3417" s="82" t="s">
        <v>17385</v>
      </c>
      <c r="BC3417" s="82" t="s">
        <v>16501</v>
      </c>
      <c r="BD3417" s="77">
        <v>51150679</v>
      </c>
      <c r="BE3417" s="77"/>
      <c r="BF3417" s="77"/>
      <c r="BG3417" s="77"/>
      <c r="BH3417" s="77"/>
      <c r="BI3417" s="77"/>
    </row>
    <row r="3418" spans="1:61" x14ac:dyDescent="0.25">
      <c r="A3418" s="62" t="s">
        <v>605</v>
      </c>
      <c r="B3418" s="62" t="s">
        <v>605</v>
      </c>
      <c r="C3418" s="63"/>
      <c r="D3418" s="64"/>
      <c r="E3418" s="65"/>
      <c r="F3418" s="66"/>
      <c r="G3418" s="63"/>
      <c r="H3418" s="67"/>
      <c r="I3418" s="68"/>
      <c r="J3418" s="68"/>
      <c r="K3418" s="32"/>
      <c r="L3418" s="75">
        <v>3418</v>
      </c>
      <c r="M3418" s="75"/>
      <c r="N3418" s="70"/>
      <c r="O3418" s="77" t="s">
        <v>179</v>
      </c>
      <c r="P3418" s="79">
        <v>45173.639664351853</v>
      </c>
      <c r="Q3418" s="77" t="s">
        <v>4192</v>
      </c>
      <c r="R3418" s="77">
        <v>0</v>
      </c>
      <c r="S3418" s="77">
        <v>2</v>
      </c>
      <c r="T3418" s="77">
        <v>1</v>
      </c>
      <c r="U3418" s="77">
        <v>0</v>
      </c>
      <c r="V3418" s="77">
        <v>933</v>
      </c>
      <c r="W3418" s="82" t="s">
        <v>6555</v>
      </c>
      <c r="X3418" s="80" t="str">
        <f>HYPERLINK("https://www.moneytimes.com.br/ibovespa-hoje-agora-locaweb-lwsa3-dispara-e-lidera-as-altas-vale-vale3-avanca-e-petrobras-petr4-cai-04-09-2023/")</f>
        <v>https://www.moneytimes.com.br/ibovespa-hoje-agora-locaweb-lwsa3-dispara-e-lidera-as-altas-vale-vale3-avanca-e-petrobras-petr4-cai-04-09-2023/</v>
      </c>
      <c r="Y3418" s="77" t="s">
        <v>7053</v>
      </c>
      <c r="Z3418" s="77"/>
      <c r="AA3418" s="77"/>
      <c r="AB3418" s="77"/>
      <c r="AC3418" s="82" t="s">
        <v>8255</v>
      </c>
      <c r="AD3418" s="77" t="s">
        <v>8278</v>
      </c>
      <c r="AE3418" s="80" t="str">
        <f>HYPERLINK("https://twitter.com/leiamoneytimes/status/1698717836279951522")</f>
        <v>https://twitter.com/leiamoneytimes/status/1698717836279951522</v>
      </c>
      <c r="AF3418" s="79">
        <v>45173.639664351853</v>
      </c>
      <c r="AG3418" s="85">
        <v>45173</v>
      </c>
      <c r="AH3418" s="82" t="s">
        <v>11418</v>
      </c>
      <c r="AI3418" s="77" t="b">
        <v>0</v>
      </c>
      <c r="AJ3418" s="77"/>
      <c r="AK3418" s="77"/>
      <c r="AL3418" s="77"/>
      <c r="AM3418" s="77"/>
      <c r="AN3418" s="77"/>
      <c r="AO3418" s="77"/>
      <c r="AP3418" s="77"/>
      <c r="AQ3418" s="77"/>
      <c r="AR3418" s="77"/>
      <c r="AS3418" s="77"/>
      <c r="AT3418" s="77"/>
      <c r="AU3418" s="77"/>
      <c r="AV3418" s="80" t="str">
        <f>HYPERLINK("https://pbs.twimg.com/profile_images/1559883556846977024/bXHnQFY0_normal.jpg")</f>
        <v>https://pbs.twimg.com/profile_images/1559883556846977024/bXHnQFY0_normal.jpg</v>
      </c>
      <c r="AW3418" s="82" t="s">
        <v>16502</v>
      </c>
      <c r="AX3418" s="82" t="s">
        <v>16502</v>
      </c>
      <c r="AY3418" s="77"/>
      <c r="AZ3418" s="82" t="s">
        <v>17385</v>
      </c>
      <c r="BA3418" s="82" t="s">
        <v>17385</v>
      </c>
      <c r="BB3418" s="82" t="s">
        <v>17385</v>
      </c>
      <c r="BC3418" s="82" t="s">
        <v>16502</v>
      </c>
      <c r="BD3418" s="77">
        <v>51150679</v>
      </c>
      <c r="BE3418" s="77"/>
      <c r="BF3418" s="77"/>
      <c r="BG3418" s="77"/>
      <c r="BH3418" s="77"/>
      <c r="BI3418" s="77"/>
    </row>
    <row r="3419" spans="1:61" x14ac:dyDescent="0.25">
      <c r="A3419" s="62" t="s">
        <v>605</v>
      </c>
      <c r="B3419" s="62" t="s">
        <v>605</v>
      </c>
      <c r="C3419" s="63"/>
      <c r="D3419" s="64"/>
      <c r="E3419" s="65"/>
      <c r="F3419" s="66"/>
      <c r="G3419" s="63"/>
      <c r="H3419" s="67"/>
      <c r="I3419" s="68"/>
      <c r="J3419" s="68"/>
      <c r="K3419" s="32"/>
      <c r="L3419" s="75">
        <v>3419</v>
      </c>
      <c r="M3419" s="75"/>
      <c r="N3419" s="70"/>
      <c r="O3419" s="77" t="s">
        <v>179</v>
      </c>
      <c r="P3419" s="79">
        <v>45173.629780092589</v>
      </c>
      <c r="Q3419" s="77" t="s">
        <v>4193</v>
      </c>
      <c r="R3419" s="77">
        <v>0</v>
      </c>
      <c r="S3419" s="77">
        <v>1</v>
      </c>
      <c r="T3419" s="77">
        <v>1</v>
      </c>
      <c r="U3419" s="77">
        <v>0</v>
      </c>
      <c r="V3419" s="77">
        <v>797</v>
      </c>
      <c r="W3419" s="82" t="s">
        <v>6665</v>
      </c>
      <c r="X3419" s="80" t="str">
        <f>HYPERLINK("https://www.moneytimes.com.br/10-acoes-para-investir-em-setembro-segundo-mirae-asset/")</f>
        <v>https://www.moneytimes.com.br/10-acoes-para-investir-em-setembro-segundo-mirae-asset/</v>
      </c>
      <c r="Y3419" s="77" t="s">
        <v>7053</v>
      </c>
      <c r="Z3419" s="77"/>
      <c r="AA3419" s="77"/>
      <c r="AB3419" s="77"/>
      <c r="AC3419" s="82" t="s">
        <v>8255</v>
      </c>
      <c r="AD3419" s="77" t="s">
        <v>8278</v>
      </c>
      <c r="AE3419" s="80" t="str">
        <f>HYPERLINK("https://twitter.com/leiamoneytimes/status/1698714255497875667")</f>
        <v>https://twitter.com/leiamoneytimes/status/1698714255497875667</v>
      </c>
      <c r="AF3419" s="79">
        <v>45173.629780092589</v>
      </c>
      <c r="AG3419" s="85">
        <v>45173</v>
      </c>
      <c r="AH3419" s="82" t="s">
        <v>11419</v>
      </c>
      <c r="AI3419" s="77" t="b">
        <v>0</v>
      </c>
      <c r="AJ3419" s="77"/>
      <c r="AK3419" s="77"/>
      <c r="AL3419" s="77"/>
      <c r="AM3419" s="77"/>
      <c r="AN3419" s="77"/>
      <c r="AO3419" s="77"/>
      <c r="AP3419" s="77"/>
      <c r="AQ3419" s="77"/>
      <c r="AR3419" s="77"/>
      <c r="AS3419" s="77"/>
      <c r="AT3419" s="77"/>
      <c r="AU3419" s="77"/>
      <c r="AV3419" s="80" t="str">
        <f>HYPERLINK("https://pbs.twimg.com/profile_images/1559883556846977024/bXHnQFY0_normal.jpg")</f>
        <v>https://pbs.twimg.com/profile_images/1559883556846977024/bXHnQFY0_normal.jpg</v>
      </c>
      <c r="AW3419" s="82" t="s">
        <v>16503</v>
      </c>
      <c r="AX3419" s="82" t="s">
        <v>16503</v>
      </c>
      <c r="AY3419" s="77"/>
      <c r="AZ3419" s="82" t="s">
        <v>17385</v>
      </c>
      <c r="BA3419" s="82" t="s">
        <v>17385</v>
      </c>
      <c r="BB3419" s="82" t="s">
        <v>17385</v>
      </c>
      <c r="BC3419" s="82" t="s">
        <v>16503</v>
      </c>
      <c r="BD3419" s="77">
        <v>51150679</v>
      </c>
      <c r="BE3419" s="77"/>
      <c r="BF3419" s="77"/>
      <c r="BG3419" s="77"/>
      <c r="BH3419" s="77"/>
      <c r="BI3419" s="77"/>
    </row>
    <row r="3420" spans="1:61" x14ac:dyDescent="0.25">
      <c r="A3420" s="62" t="s">
        <v>605</v>
      </c>
      <c r="B3420" s="62" t="s">
        <v>605</v>
      </c>
      <c r="C3420" s="63"/>
      <c r="D3420" s="64"/>
      <c r="E3420" s="65"/>
      <c r="F3420" s="66"/>
      <c r="G3420" s="63"/>
      <c r="H3420" s="67"/>
      <c r="I3420" s="68"/>
      <c r="J3420" s="68"/>
      <c r="K3420" s="32"/>
      <c r="L3420" s="75">
        <v>3420</v>
      </c>
      <c r="M3420" s="75"/>
      <c r="N3420" s="70"/>
      <c r="O3420" s="77" t="s">
        <v>179</v>
      </c>
      <c r="P3420" s="79">
        <v>45173.584340277775</v>
      </c>
      <c r="Q3420" s="77" t="s">
        <v>4194</v>
      </c>
      <c r="R3420" s="77">
        <v>0</v>
      </c>
      <c r="S3420" s="77">
        <v>1</v>
      </c>
      <c r="T3420" s="77">
        <v>1</v>
      </c>
      <c r="U3420" s="77">
        <v>0</v>
      </c>
      <c r="V3420" s="77">
        <v>745</v>
      </c>
      <c r="W3420" s="82" t="s">
        <v>6666</v>
      </c>
      <c r="X3420" s="80" t="str">
        <f>HYPERLINK("https://www.moneytimes.com.br/pagbank-troca-acao-de-eletrobras-elet6-por-copel-cple6-confira-as-acoes-recomendadas/")</f>
        <v>https://www.moneytimes.com.br/pagbank-troca-acao-de-eletrobras-elet6-por-copel-cple6-confira-as-acoes-recomendadas/</v>
      </c>
      <c r="Y3420" s="77" t="s">
        <v>7053</v>
      </c>
      <c r="Z3420" s="77"/>
      <c r="AA3420" s="77"/>
      <c r="AB3420" s="77"/>
      <c r="AC3420" s="82" t="s">
        <v>8255</v>
      </c>
      <c r="AD3420" s="77" t="s">
        <v>8278</v>
      </c>
      <c r="AE3420" s="80" t="str">
        <f>HYPERLINK("https://twitter.com/leiamoneytimes/status/1698697787704041515")</f>
        <v>https://twitter.com/leiamoneytimes/status/1698697787704041515</v>
      </c>
      <c r="AF3420" s="79">
        <v>45173.584340277775</v>
      </c>
      <c r="AG3420" s="85">
        <v>45173</v>
      </c>
      <c r="AH3420" s="82" t="s">
        <v>11420</v>
      </c>
      <c r="AI3420" s="77" t="b">
        <v>0</v>
      </c>
      <c r="AJ3420" s="77"/>
      <c r="AK3420" s="77"/>
      <c r="AL3420" s="77"/>
      <c r="AM3420" s="77"/>
      <c r="AN3420" s="77"/>
      <c r="AO3420" s="77"/>
      <c r="AP3420" s="77"/>
      <c r="AQ3420" s="77"/>
      <c r="AR3420" s="77"/>
      <c r="AS3420" s="77"/>
      <c r="AT3420" s="77"/>
      <c r="AU3420" s="77"/>
      <c r="AV3420" s="80" t="str">
        <f>HYPERLINK("https://pbs.twimg.com/profile_images/1559883556846977024/bXHnQFY0_normal.jpg")</f>
        <v>https://pbs.twimg.com/profile_images/1559883556846977024/bXHnQFY0_normal.jpg</v>
      </c>
      <c r="AW3420" s="82" t="s">
        <v>16504</v>
      </c>
      <c r="AX3420" s="82" t="s">
        <v>16504</v>
      </c>
      <c r="AY3420" s="77"/>
      <c r="AZ3420" s="82" t="s">
        <v>17385</v>
      </c>
      <c r="BA3420" s="82" t="s">
        <v>17385</v>
      </c>
      <c r="BB3420" s="82" t="s">
        <v>17385</v>
      </c>
      <c r="BC3420" s="82" t="s">
        <v>16504</v>
      </c>
      <c r="BD3420" s="77">
        <v>51150679</v>
      </c>
      <c r="BE3420" s="77"/>
      <c r="BF3420" s="77"/>
      <c r="BG3420" s="77"/>
      <c r="BH3420" s="77"/>
      <c r="BI3420" s="77"/>
    </row>
    <row r="3421" spans="1:61" x14ac:dyDescent="0.25">
      <c r="A3421" s="62" t="s">
        <v>605</v>
      </c>
      <c r="B3421" s="62" t="s">
        <v>605</v>
      </c>
      <c r="C3421" s="63"/>
      <c r="D3421" s="64"/>
      <c r="E3421" s="65"/>
      <c r="F3421" s="66"/>
      <c r="G3421" s="63"/>
      <c r="H3421" s="67"/>
      <c r="I3421" s="68"/>
      <c r="J3421" s="68"/>
      <c r="K3421" s="32"/>
      <c r="L3421" s="75">
        <v>3421</v>
      </c>
      <c r="M3421" s="75"/>
      <c r="N3421" s="70"/>
      <c r="O3421" s="77" t="s">
        <v>179</v>
      </c>
      <c r="P3421" s="79">
        <v>45173.566192129627</v>
      </c>
      <c r="Q3421" s="77" t="s">
        <v>4195</v>
      </c>
      <c r="R3421" s="77">
        <v>0</v>
      </c>
      <c r="S3421" s="77">
        <v>1</v>
      </c>
      <c r="T3421" s="77">
        <v>1</v>
      </c>
      <c r="U3421" s="77">
        <v>0</v>
      </c>
      <c r="V3421" s="77">
        <v>788</v>
      </c>
      <c r="W3421" s="82" t="s">
        <v>6667</v>
      </c>
      <c r="X3421" s="80" t="str">
        <f>HYPERLINK("https://www.moneytimes.com.br/multiplan-mult3-e-raizen-raiz4-deixam-carteira-semanal-da-mirae-veja-nova-selecao/")</f>
        <v>https://www.moneytimes.com.br/multiplan-mult3-e-raizen-raiz4-deixam-carteira-semanal-da-mirae-veja-nova-selecao/</v>
      </c>
      <c r="Y3421" s="77" t="s">
        <v>7053</v>
      </c>
      <c r="Z3421" s="77"/>
      <c r="AA3421" s="77"/>
      <c r="AB3421" s="77"/>
      <c r="AC3421" s="82" t="s">
        <v>8255</v>
      </c>
      <c r="AD3421" s="77" t="s">
        <v>8278</v>
      </c>
      <c r="AE3421" s="80" t="str">
        <f>HYPERLINK("https://twitter.com/leiamoneytimes/status/1698691210162962493")</f>
        <v>https://twitter.com/leiamoneytimes/status/1698691210162962493</v>
      </c>
      <c r="AF3421" s="79">
        <v>45173.566192129627</v>
      </c>
      <c r="AG3421" s="85">
        <v>45173</v>
      </c>
      <c r="AH3421" s="82" t="s">
        <v>11421</v>
      </c>
      <c r="AI3421" s="77" t="b">
        <v>0</v>
      </c>
      <c r="AJ3421" s="77"/>
      <c r="AK3421" s="77"/>
      <c r="AL3421" s="77"/>
      <c r="AM3421" s="77"/>
      <c r="AN3421" s="77"/>
      <c r="AO3421" s="77"/>
      <c r="AP3421" s="77"/>
      <c r="AQ3421" s="77"/>
      <c r="AR3421" s="77"/>
      <c r="AS3421" s="77"/>
      <c r="AT3421" s="77"/>
      <c r="AU3421" s="77"/>
      <c r="AV3421" s="80" t="str">
        <f>HYPERLINK("https://pbs.twimg.com/profile_images/1559883556846977024/bXHnQFY0_normal.jpg")</f>
        <v>https://pbs.twimg.com/profile_images/1559883556846977024/bXHnQFY0_normal.jpg</v>
      </c>
      <c r="AW3421" s="82" t="s">
        <v>16505</v>
      </c>
      <c r="AX3421" s="82" t="s">
        <v>16505</v>
      </c>
      <c r="AY3421" s="77"/>
      <c r="AZ3421" s="82" t="s">
        <v>17385</v>
      </c>
      <c r="BA3421" s="82" t="s">
        <v>17385</v>
      </c>
      <c r="BB3421" s="82" t="s">
        <v>17385</v>
      </c>
      <c r="BC3421" s="82" t="s">
        <v>16505</v>
      </c>
      <c r="BD3421" s="77">
        <v>51150679</v>
      </c>
      <c r="BE3421" s="77"/>
      <c r="BF3421" s="77"/>
      <c r="BG3421" s="77"/>
      <c r="BH3421" s="77"/>
      <c r="BI3421" s="77"/>
    </row>
    <row r="3422" spans="1:61" x14ac:dyDescent="0.25">
      <c r="A3422" s="62" t="s">
        <v>605</v>
      </c>
      <c r="B3422" s="62" t="s">
        <v>605</v>
      </c>
      <c r="C3422" s="63"/>
      <c r="D3422" s="64"/>
      <c r="E3422" s="65"/>
      <c r="F3422" s="66"/>
      <c r="G3422" s="63"/>
      <c r="H3422" s="67"/>
      <c r="I3422" s="68"/>
      <c r="J3422" s="68"/>
      <c r="K3422" s="32"/>
      <c r="L3422" s="75">
        <v>3422</v>
      </c>
      <c r="M3422" s="75"/>
      <c r="N3422" s="70"/>
      <c r="O3422" s="77" t="s">
        <v>179</v>
      </c>
      <c r="P3422" s="79">
        <v>45173.55128472222</v>
      </c>
      <c r="Q3422" s="77" t="s">
        <v>4196</v>
      </c>
      <c r="R3422" s="77">
        <v>0</v>
      </c>
      <c r="S3422" s="77">
        <v>1</v>
      </c>
      <c r="T3422" s="77">
        <v>1</v>
      </c>
      <c r="U3422" s="77">
        <v>0</v>
      </c>
      <c r="V3422" s="77">
        <v>758</v>
      </c>
      <c r="W3422" s="82" t="s">
        <v>6668</v>
      </c>
      <c r="X3422" s="80" t="str">
        <f>HYPERLINK("https://www.moneytimes.com.br/enauta-enat3-queiroz-galvao-transfere-162-milhoes-de-acoes-da-petrolifera/")</f>
        <v>https://www.moneytimes.com.br/enauta-enat3-queiroz-galvao-transfere-162-milhoes-de-acoes-da-petrolifera/</v>
      </c>
      <c r="Y3422" s="77" t="s">
        <v>7053</v>
      </c>
      <c r="Z3422" s="77"/>
      <c r="AA3422" s="77"/>
      <c r="AB3422" s="77"/>
      <c r="AC3422" s="82" t="s">
        <v>8255</v>
      </c>
      <c r="AD3422" s="77" t="s">
        <v>8278</v>
      </c>
      <c r="AE3422" s="80" t="str">
        <f>HYPERLINK("https://twitter.com/leiamoneytimes/status/1698685807228293553")</f>
        <v>https://twitter.com/leiamoneytimes/status/1698685807228293553</v>
      </c>
      <c r="AF3422" s="79">
        <v>45173.55128472222</v>
      </c>
      <c r="AG3422" s="85">
        <v>45173</v>
      </c>
      <c r="AH3422" s="82" t="s">
        <v>11422</v>
      </c>
      <c r="AI3422" s="77" t="b">
        <v>0</v>
      </c>
      <c r="AJ3422" s="77"/>
      <c r="AK3422" s="77"/>
      <c r="AL3422" s="77"/>
      <c r="AM3422" s="77"/>
      <c r="AN3422" s="77"/>
      <c r="AO3422" s="77"/>
      <c r="AP3422" s="77"/>
      <c r="AQ3422" s="77"/>
      <c r="AR3422" s="77"/>
      <c r="AS3422" s="77"/>
      <c r="AT3422" s="77"/>
      <c r="AU3422" s="77"/>
      <c r="AV3422" s="80" t="str">
        <f>HYPERLINK("https://pbs.twimg.com/profile_images/1559883556846977024/bXHnQFY0_normal.jpg")</f>
        <v>https://pbs.twimg.com/profile_images/1559883556846977024/bXHnQFY0_normal.jpg</v>
      </c>
      <c r="AW3422" s="82" t="s">
        <v>16506</v>
      </c>
      <c r="AX3422" s="82" t="s">
        <v>16506</v>
      </c>
      <c r="AY3422" s="77"/>
      <c r="AZ3422" s="82" t="s">
        <v>17385</v>
      </c>
      <c r="BA3422" s="82" t="s">
        <v>17385</v>
      </c>
      <c r="BB3422" s="82" t="s">
        <v>17385</v>
      </c>
      <c r="BC3422" s="82" t="s">
        <v>16506</v>
      </c>
      <c r="BD3422" s="77">
        <v>51150679</v>
      </c>
      <c r="BE3422" s="77"/>
      <c r="BF3422" s="77"/>
      <c r="BG3422" s="77"/>
      <c r="BH3422" s="77"/>
      <c r="BI3422" s="77"/>
    </row>
    <row r="3423" spans="1:61" x14ac:dyDescent="0.25">
      <c r="A3423" s="62" t="s">
        <v>605</v>
      </c>
      <c r="B3423" s="62" t="s">
        <v>605</v>
      </c>
      <c r="C3423" s="63"/>
      <c r="D3423" s="64"/>
      <c r="E3423" s="65"/>
      <c r="F3423" s="66"/>
      <c r="G3423" s="63"/>
      <c r="H3423" s="67"/>
      <c r="I3423" s="68"/>
      <c r="J3423" s="68"/>
      <c r="K3423" s="32"/>
      <c r="L3423" s="75">
        <v>3423</v>
      </c>
      <c r="M3423" s="75"/>
      <c r="N3423" s="70"/>
      <c r="O3423" s="77" t="s">
        <v>179</v>
      </c>
      <c r="P3423" s="79">
        <v>45165.834016203706</v>
      </c>
      <c r="Q3423" s="77" t="s">
        <v>4197</v>
      </c>
      <c r="R3423" s="77">
        <v>1</v>
      </c>
      <c r="S3423" s="77">
        <v>23</v>
      </c>
      <c r="T3423" s="77">
        <v>2</v>
      </c>
      <c r="U3423" s="77">
        <v>0</v>
      </c>
      <c r="V3423" s="77">
        <v>4276</v>
      </c>
      <c r="W3423" s="82" t="s">
        <v>6669</v>
      </c>
      <c r="X3423" s="80" t="str">
        <f>HYPERLINK("https://www.moneytimes.com.br/dividendos-vale-vale3-banco-do-brasil-bbas3-bb-seguridade-bbse3-acoes-pagam-157-bilhoes-reais-esta-semana-veja-voce-recebe/")</f>
        <v>https://www.moneytimes.com.br/dividendos-vale-vale3-banco-do-brasil-bbas3-bb-seguridade-bbse3-acoes-pagam-157-bilhoes-reais-esta-semana-veja-voce-recebe/</v>
      </c>
      <c r="Y3423" s="77" t="s">
        <v>7053</v>
      </c>
      <c r="Z3423" s="77"/>
      <c r="AA3423" s="77"/>
      <c r="AB3423" s="77"/>
      <c r="AC3423" s="82" t="s">
        <v>8255</v>
      </c>
      <c r="AD3423" s="77" t="s">
        <v>8278</v>
      </c>
      <c r="AE3423" s="80" t="str">
        <f>HYPERLINK("https://twitter.com/leiamoneytimes/status/1695889163508126026")</f>
        <v>https://twitter.com/leiamoneytimes/status/1695889163508126026</v>
      </c>
      <c r="AF3423" s="79">
        <v>45165.834016203706</v>
      </c>
      <c r="AG3423" s="85">
        <v>45165</v>
      </c>
      <c r="AH3423" s="82" t="s">
        <v>11423</v>
      </c>
      <c r="AI3423" s="77" t="b">
        <v>0</v>
      </c>
      <c r="AJ3423" s="77"/>
      <c r="AK3423" s="77"/>
      <c r="AL3423" s="77"/>
      <c r="AM3423" s="77"/>
      <c r="AN3423" s="77"/>
      <c r="AO3423" s="77"/>
      <c r="AP3423" s="77"/>
      <c r="AQ3423" s="77"/>
      <c r="AR3423" s="77"/>
      <c r="AS3423" s="77"/>
      <c r="AT3423" s="77"/>
      <c r="AU3423" s="77"/>
      <c r="AV3423" s="80" t="str">
        <f>HYPERLINK("https://pbs.twimg.com/profile_images/1559883556846977024/bXHnQFY0_normal.jpg")</f>
        <v>https://pbs.twimg.com/profile_images/1559883556846977024/bXHnQFY0_normal.jpg</v>
      </c>
      <c r="AW3423" s="82" t="s">
        <v>16507</v>
      </c>
      <c r="AX3423" s="82" t="s">
        <v>16507</v>
      </c>
      <c r="AY3423" s="77"/>
      <c r="AZ3423" s="82" t="s">
        <v>17385</v>
      </c>
      <c r="BA3423" s="82" t="s">
        <v>17385</v>
      </c>
      <c r="BB3423" s="82" t="s">
        <v>17385</v>
      </c>
      <c r="BC3423" s="82" t="s">
        <v>16507</v>
      </c>
      <c r="BD3423" s="77">
        <v>51150679</v>
      </c>
      <c r="BE3423" s="77"/>
      <c r="BF3423" s="77"/>
      <c r="BG3423" s="77"/>
      <c r="BH3423" s="77"/>
      <c r="BI3423" s="77"/>
    </row>
    <row r="3424" spans="1:61" x14ac:dyDescent="0.25">
      <c r="A3424" s="62" t="s">
        <v>605</v>
      </c>
      <c r="B3424" s="62" t="s">
        <v>605</v>
      </c>
      <c r="C3424" s="63"/>
      <c r="D3424" s="64"/>
      <c r="E3424" s="65"/>
      <c r="F3424" s="66"/>
      <c r="G3424" s="63"/>
      <c r="H3424" s="67"/>
      <c r="I3424" s="68"/>
      <c r="J3424" s="68"/>
      <c r="K3424" s="32"/>
      <c r="L3424" s="75">
        <v>3424</v>
      </c>
      <c r="M3424" s="75"/>
      <c r="N3424" s="70"/>
      <c r="O3424" s="77" t="s">
        <v>179</v>
      </c>
      <c r="P3424" s="79">
        <v>45165.7893287037</v>
      </c>
      <c r="Q3424" s="77" t="s">
        <v>4198</v>
      </c>
      <c r="R3424" s="77">
        <v>0</v>
      </c>
      <c r="S3424" s="77">
        <v>3</v>
      </c>
      <c r="T3424" s="77">
        <v>2</v>
      </c>
      <c r="U3424" s="77">
        <v>0</v>
      </c>
      <c r="V3424" s="77">
        <v>1695</v>
      </c>
      <c r="W3424" s="82" t="s">
        <v>6670</v>
      </c>
      <c r="X3424" s="80" t="str">
        <f>HYPERLINK("https://www.moneytimes.com.br/governo-estuda-lancar-titulos-publicos-para-financiar-programas-sociais/")</f>
        <v>https://www.moneytimes.com.br/governo-estuda-lancar-titulos-publicos-para-financiar-programas-sociais/</v>
      </c>
      <c r="Y3424" s="77" t="s">
        <v>7053</v>
      </c>
      <c r="Z3424" s="77"/>
      <c r="AA3424" s="77"/>
      <c r="AB3424" s="77"/>
      <c r="AC3424" s="82" t="s">
        <v>8255</v>
      </c>
      <c r="AD3424" s="77" t="s">
        <v>8278</v>
      </c>
      <c r="AE3424" s="80" t="str">
        <f>HYPERLINK("https://twitter.com/leiamoneytimes/status/1695872971347247188")</f>
        <v>https://twitter.com/leiamoneytimes/status/1695872971347247188</v>
      </c>
      <c r="AF3424" s="79">
        <v>45165.7893287037</v>
      </c>
      <c r="AG3424" s="85">
        <v>45165</v>
      </c>
      <c r="AH3424" s="82" t="s">
        <v>11424</v>
      </c>
      <c r="AI3424" s="77" t="b">
        <v>0</v>
      </c>
      <c r="AJ3424" s="77"/>
      <c r="AK3424" s="77"/>
      <c r="AL3424" s="77"/>
      <c r="AM3424" s="77"/>
      <c r="AN3424" s="77"/>
      <c r="AO3424" s="77"/>
      <c r="AP3424" s="77"/>
      <c r="AQ3424" s="77"/>
      <c r="AR3424" s="77"/>
      <c r="AS3424" s="77"/>
      <c r="AT3424" s="77"/>
      <c r="AU3424" s="77"/>
      <c r="AV3424" s="80" t="str">
        <f>HYPERLINK("https://pbs.twimg.com/profile_images/1559883556846977024/bXHnQFY0_normal.jpg")</f>
        <v>https://pbs.twimg.com/profile_images/1559883556846977024/bXHnQFY0_normal.jpg</v>
      </c>
      <c r="AW3424" s="82" t="s">
        <v>16508</v>
      </c>
      <c r="AX3424" s="82" t="s">
        <v>16508</v>
      </c>
      <c r="AY3424" s="77"/>
      <c r="AZ3424" s="82" t="s">
        <v>17385</v>
      </c>
      <c r="BA3424" s="82" t="s">
        <v>17385</v>
      </c>
      <c r="BB3424" s="82" t="s">
        <v>17385</v>
      </c>
      <c r="BC3424" s="82" t="s">
        <v>16508</v>
      </c>
      <c r="BD3424" s="77">
        <v>51150679</v>
      </c>
      <c r="BE3424" s="77"/>
      <c r="BF3424" s="77"/>
      <c r="BG3424" s="77"/>
      <c r="BH3424" s="77"/>
      <c r="BI3424" s="77"/>
    </row>
    <row r="3425" spans="1:61" x14ac:dyDescent="0.25">
      <c r="A3425" s="62" t="s">
        <v>605</v>
      </c>
      <c r="B3425" s="62" t="s">
        <v>605</v>
      </c>
      <c r="C3425" s="63"/>
      <c r="D3425" s="64"/>
      <c r="E3425" s="65"/>
      <c r="F3425" s="66"/>
      <c r="G3425" s="63"/>
      <c r="H3425" s="67"/>
      <c r="I3425" s="68"/>
      <c r="J3425" s="68"/>
      <c r="K3425" s="32"/>
      <c r="L3425" s="75">
        <v>3425</v>
      </c>
      <c r="M3425" s="75"/>
      <c r="N3425" s="70"/>
      <c r="O3425" s="77" t="s">
        <v>179</v>
      </c>
      <c r="P3425" s="79">
        <v>45165.692372685182</v>
      </c>
      <c r="Q3425" s="77" t="s">
        <v>4199</v>
      </c>
      <c r="R3425" s="77">
        <v>0</v>
      </c>
      <c r="S3425" s="77">
        <v>8</v>
      </c>
      <c r="T3425" s="77">
        <v>1</v>
      </c>
      <c r="U3425" s="77">
        <v>0</v>
      </c>
      <c r="V3425" s="77">
        <v>1850</v>
      </c>
      <c r="W3425" s="82" t="s">
        <v>6671</v>
      </c>
      <c r="X3425" s="80" t="str">
        <f>HYPERLINK("https://www.moneytimes.com.br/petrobras-petr4-conversa-com-vibra-vbbr3-mas-adia-decisao-sobre-operar-postos-de-novo/")</f>
        <v>https://www.moneytimes.com.br/petrobras-petr4-conversa-com-vibra-vbbr3-mas-adia-decisao-sobre-operar-postos-de-novo/</v>
      </c>
      <c r="Y3425" s="77" t="s">
        <v>7053</v>
      </c>
      <c r="Z3425" s="77"/>
      <c r="AA3425" s="77"/>
      <c r="AB3425" s="77"/>
      <c r="AC3425" s="82" t="s">
        <v>8255</v>
      </c>
      <c r="AD3425" s="77" t="s">
        <v>8278</v>
      </c>
      <c r="AE3425" s="80" t="str">
        <f>HYPERLINK("https://twitter.com/leiamoneytimes/status/1695837836002337159")</f>
        <v>https://twitter.com/leiamoneytimes/status/1695837836002337159</v>
      </c>
      <c r="AF3425" s="79">
        <v>45165.692372685182</v>
      </c>
      <c r="AG3425" s="85">
        <v>45165</v>
      </c>
      <c r="AH3425" s="82" t="s">
        <v>11425</v>
      </c>
      <c r="AI3425" s="77" t="b">
        <v>0</v>
      </c>
      <c r="AJ3425" s="77"/>
      <c r="AK3425" s="77"/>
      <c r="AL3425" s="77"/>
      <c r="AM3425" s="77"/>
      <c r="AN3425" s="77"/>
      <c r="AO3425" s="77"/>
      <c r="AP3425" s="77"/>
      <c r="AQ3425" s="77"/>
      <c r="AR3425" s="77"/>
      <c r="AS3425" s="77"/>
      <c r="AT3425" s="77"/>
      <c r="AU3425" s="77"/>
      <c r="AV3425" s="80" t="str">
        <f>HYPERLINK("https://pbs.twimg.com/profile_images/1559883556846977024/bXHnQFY0_normal.jpg")</f>
        <v>https://pbs.twimg.com/profile_images/1559883556846977024/bXHnQFY0_normal.jpg</v>
      </c>
      <c r="AW3425" s="82" t="s">
        <v>16509</v>
      </c>
      <c r="AX3425" s="82" t="s">
        <v>16509</v>
      </c>
      <c r="AY3425" s="77"/>
      <c r="AZ3425" s="82" t="s">
        <v>17385</v>
      </c>
      <c r="BA3425" s="82" t="s">
        <v>17385</v>
      </c>
      <c r="BB3425" s="82" t="s">
        <v>17385</v>
      </c>
      <c r="BC3425" s="82" t="s">
        <v>16509</v>
      </c>
      <c r="BD3425" s="77">
        <v>51150679</v>
      </c>
      <c r="BE3425" s="77"/>
      <c r="BF3425" s="77"/>
      <c r="BG3425" s="77"/>
      <c r="BH3425" s="77"/>
      <c r="BI3425" s="77"/>
    </row>
    <row r="3426" spans="1:61" x14ac:dyDescent="0.25">
      <c r="A3426" s="62" t="s">
        <v>605</v>
      </c>
      <c r="B3426" s="62" t="s">
        <v>605</v>
      </c>
      <c r="C3426" s="63"/>
      <c r="D3426" s="64"/>
      <c r="E3426" s="65"/>
      <c r="F3426" s="66"/>
      <c r="G3426" s="63"/>
      <c r="H3426" s="67"/>
      <c r="I3426" s="68"/>
      <c r="J3426" s="68"/>
      <c r="K3426" s="32"/>
      <c r="L3426" s="75">
        <v>3426</v>
      </c>
      <c r="M3426" s="75"/>
      <c r="N3426" s="70"/>
      <c r="O3426" s="77" t="s">
        <v>179</v>
      </c>
      <c r="P3426" s="79">
        <v>45165.661932870367</v>
      </c>
      <c r="Q3426" s="77" t="s">
        <v>4200</v>
      </c>
      <c r="R3426" s="77">
        <v>0</v>
      </c>
      <c r="S3426" s="77">
        <v>1</v>
      </c>
      <c r="T3426" s="77">
        <v>1</v>
      </c>
      <c r="U3426" s="77">
        <v>0</v>
      </c>
      <c r="V3426" s="77">
        <v>1598</v>
      </c>
      <c r="W3426" s="82" t="s">
        <v>6672</v>
      </c>
      <c r="X3426" s="80" t="str">
        <f>HYPERLINK("https://www.moneytimes.com.br/eletrobras-elet3-governo-lula-e-grandes-acionistas-podem-se-unir-para-indicar-conselheiros/")</f>
        <v>https://www.moneytimes.com.br/eletrobras-elet3-governo-lula-e-grandes-acionistas-podem-se-unir-para-indicar-conselheiros/</v>
      </c>
      <c r="Y3426" s="77" t="s">
        <v>7053</v>
      </c>
      <c r="Z3426" s="77"/>
      <c r="AA3426" s="77"/>
      <c r="AB3426" s="77"/>
      <c r="AC3426" s="82" t="s">
        <v>8255</v>
      </c>
      <c r="AD3426" s="77" t="s">
        <v>8278</v>
      </c>
      <c r="AE3426" s="80" t="str">
        <f>HYPERLINK("https://twitter.com/leiamoneytimes/status/1695826804940878224")</f>
        <v>https://twitter.com/leiamoneytimes/status/1695826804940878224</v>
      </c>
      <c r="AF3426" s="79">
        <v>45165.661932870367</v>
      </c>
      <c r="AG3426" s="85">
        <v>45165</v>
      </c>
      <c r="AH3426" s="82" t="s">
        <v>11426</v>
      </c>
      <c r="AI3426" s="77" t="b">
        <v>0</v>
      </c>
      <c r="AJ3426" s="77"/>
      <c r="AK3426" s="77"/>
      <c r="AL3426" s="77"/>
      <c r="AM3426" s="77"/>
      <c r="AN3426" s="77"/>
      <c r="AO3426" s="77"/>
      <c r="AP3426" s="77"/>
      <c r="AQ3426" s="77"/>
      <c r="AR3426" s="77"/>
      <c r="AS3426" s="77"/>
      <c r="AT3426" s="77"/>
      <c r="AU3426" s="77"/>
      <c r="AV3426" s="80" t="str">
        <f>HYPERLINK("https://pbs.twimg.com/profile_images/1559883556846977024/bXHnQFY0_normal.jpg")</f>
        <v>https://pbs.twimg.com/profile_images/1559883556846977024/bXHnQFY0_normal.jpg</v>
      </c>
      <c r="AW3426" s="82" t="s">
        <v>16510</v>
      </c>
      <c r="AX3426" s="82" t="s">
        <v>16510</v>
      </c>
      <c r="AY3426" s="77"/>
      <c r="AZ3426" s="82" t="s">
        <v>17385</v>
      </c>
      <c r="BA3426" s="82" t="s">
        <v>17385</v>
      </c>
      <c r="BB3426" s="82" t="s">
        <v>17385</v>
      </c>
      <c r="BC3426" s="82" t="s">
        <v>16510</v>
      </c>
      <c r="BD3426" s="77">
        <v>51150679</v>
      </c>
      <c r="BE3426" s="77"/>
      <c r="BF3426" s="77"/>
      <c r="BG3426" s="77"/>
      <c r="BH3426" s="77"/>
      <c r="BI3426" s="77"/>
    </row>
    <row r="3427" spans="1:61" x14ac:dyDescent="0.25">
      <c r="A3427" s="62" t="s">
        <v>605</v>
      </c>
      <c r="B3427" s="62" t="s">
        <v>605</v>
      </c>
      <c r="C3427" s="63"/>
      <c r="D3427" s="64"/>
      <c r="E3427" s="65"/>
      <c r="F3427" s="66"/>
      <c r="G3427" s="63"/>
      <c r="H3427" s="67"/>
      <c r="I3427" s="68"/>
      <c r="J3427" s="68"/>
      <c r="K3427" s="32"/>
      <c r="L3427" s="75">
        <v>3427</v>
      </c>
      <c r="M3427" s="75"/>
      <c r="N3427" s="70"/>
      <c r="O3427" s="77" t="s">
        <v>179</v>
      </c>
      <c r="P3427" s="79">
        <v>45165.625821759262</v>
      </c>
      <c r="Q3427" s="77" t="s">
        <v>4201</v>
      </c>
      <c r="R3427" s="77">
        <v>1</v>
      </c>
      <c r="S3427" s="77">
        <v>10</v>
      </c>
      <c r="T3427" s="77">
        <v>2</v>
      </c>
      <c r="U3427" s="77">
        <v>1</v>
      </c>
      <c r="V3427" s="77">
        <v>2492</v>
      </c>
      <c r="W3427" s="82" t="s">
        <v>6673</v>
      </c>
      <c r="X3427" s="80" t="str">
        <f>HYPERLINK("https://www.moneytimes.com.br/americana-amer3-ex-ceo-teme-pela-propria-vida-e-aciona-policia-na-espanha/")</f>
        <v>https://www.moneytimes.com.br/americana-amer3-ex-ceo-teme-pela-propria-vida-e-aciona-policia-na-espanha/</v>
      </c>
      <c r="Y3427" s="77" t="s">
        <v>7053</v>
      </c>
      <c r="Z3427" s="77"/>
      <c r="AA3427" s="77"/>
      <c r="AB3427" s="77"/>
      <c r="AC3427" s="82" t="s">
        <v>8255</v>
      </c>
      <c r="AD3427" s="77" t="s">
        <v>8278</v>
      </c>
      <c r="AE3427" s="80" t="str">
        <f>HYPERLINK("https://twitter.com/leiamoneytimes/status/1695813715042468086")</f>
        <v>https://twitter.com/leiamoneytimes/status/1695813715042468086</v>
      </c>
      <c r="AF3427" s="79">
        <v>45165.625821759262</v>
      </c>
      <c r="AG3427" s="85">
        <v>45165</v>
      </c>
      <c r="AH3427" s="82" t="s">
        <v>11427</v>
      </c>
      <c r="AI3427" s="77" t="b">
        <v>0</v>
      </c>
      <c r="AJ3427" s="77"/>
      <c r="AK3427" s="77"/>
      <c r="AL3427" s="77"/>
      <c r="AM3427" s="77"/>
      <c r="AN3427" s="77"/>
      <c r="AO3427" s="77"/>
      <c r="AP3427" s="77"/>
      <c r="AQ3427" s="77"/>
      <c r="AR3427" s="77"/>
      <c r="AS3427" s="77"/>
      <c r="AT3427" s="77"/>
      <c r="AU3427" s="77"/>
      <c r="AV3427" s="80" t="str">
        <f>HYPERLINK("https://pbs.twimg.com/profile_images/1559883556846977024/bXHnQFY0_normal.jpg")</f>
        <v>https://pbs.twimg.com/profile_images/1559883556846977024/bXHnQFY0_normal.jpg</v>
      </c>
      <c r="AW3427" s="82" t="s">
        <v>16511</v>
      </c>
      <c r="AX3427" s="82" t="s">
        <v>16511</v>
      </c>
      <c r="AY3427" s="77"/>
      <c r="AZ3427" s="82" t="s">
        <v>17385</v>
      </c>
      <c r="BA3427" s="82" t="s">
        <v>17385</v>
      </c>
      <c r="BB3427" s="82" t="s">
        <v>17385</v>
      </c>
      <c r="BC3427" s="82" t="s">
        <v>16511</v>
      </c>
      <c r="BD3427" s="77">
        <v>51150679</v>
      </c>
      <c r="BE3427" s="77"/>
      <c r="BF3427" s="77"/>
      <c r="BG3427" s="77"/>
      <c r="BH3427" s="77"/>
      <c r="BI3427" s="77"/>
    </row>
    <row r="3428" spans="1:61" x14ac:dyDescent="0.25">
      <c r="A3428" s="62" t="s">
        <v>605</v>
      </c>
      <c r="B3428" s="62" t="s">
        <v>605</v>
      </c>
      <c r="C3428" s="63"/>
      <c r="D3428" s="64"/>
      <c r="E3428" s="65"/>
      <c r="F3428" s="66"/>
      <c r="G3428" s="63"/>
      <c r="H3428" s="67"/>
      <c r="I3428" s="68"/>
      <c r="J3428" s="68"/>
      <c r="K3428" s="32"/>
      <c r="L3428" s="75">
        <v>3428</v>
      </c>
      <c r="M3428" s="75"/>
      <c r="N3428" s="70"/>
      <c r="O3428" s="77" t="s">
        <v>179</v>
      </c>
      <c r="P3428" s="79">
        <v>45163.890324074076</v>
      </c>
      <c r="Q3428" s="77" t="s">
        <v>4202</v>
      </c>
      <c r="R3428" s="77">
        <v>0</v>
      </c>
      <c r="S3428" s="77">
        <v>5</v>
      </c>
      <c r="T3428" s="77">
        <v>1</v>
      </c>
      <c r="U3428" s="77">
        <v>0</v>
      </c>
      <c r="V3428" s="77">
        <v>1547</v>
      </c>
      <c r="W3428" s="82" t="s">
        <v>6674</v>
      </c>
      <c r="X3428" s="80" t="str">
        <f>HYPERLINK("https://www.moneytimes.com.br/maior-gestora-do-mundo-vende-acoes-de-estatal/")</f>
        <v>https://www.moneytimes.com.br/maior-gestora-do-mundo-vende-acoes-de-estatal/</v>
      </c>
      <c r="Y3428" s="77" t="s">
        <v>7053</v>
      </c>
      <c r="Z3428" s="77"/>
      <c r="AA3428" s="77"/>
      <c r="AB3428" s="77"/>
      <c r="AC3428" s="82" t="s">
        <v>8255</v>
      </c>
      <c r="AD3428" s="77" t="s">
        <v>8278</v>
      </c>
      <c r="AE3428" s="80" t="str">
        <f>HYPERLINK("https://twitter.com/leiamoneytimes/status/1695184792487145828")</f>
        <v>https://twitter.com/leiamoneytimes/status/1695184792487145828</v>
      </c>
      <c r="AF3428" s="79">
        <v>45163.890324074076</v>
      </c>
      <c r="AG3428" s="85">
        <v>45163</v>
      </c>
      <c r="AH3428" s="82" t="s">
        <v>11428</v>
      </c>
      <c r="AI3428" s="77" t="b">
        <v>0</v>
      </c>
      <c r="AJ3428" s="77"/>
      <c r="AK3428" s="77"/>
      <c r="AL3428" s="77"/>
      <c r="AM3428" s="77"/>
      <c r="AN3428" s="77"/>
      <c r="AO3428" s="77"/>
      <c r="AP3428" s="77"/>
      <c r="AQ3428" s="77"/>
      <c r="AR3428" s="77"/>
      <c r="AS3428" s="77"/>
      <c r="AT3428" s="77"/>
      <c r="AU3428" s="77"/>
      <c r="AV3428" s="80" t="str">
        <f>HYPERLINK("https://pbs.twimg.com/profile_images/1559883556846977024/bXHnQFY0_normal.jpg")</f>
        <v>https://pbs.twimg.com/profile_images/1559883556846977024/bXHnQFY0_normal.jpg</v>
      </c>
      <c r="AW3428" s="82" t="s">
        <v>16512</v>
      </c>
      <c r="AX3428" s="82" t="s">
        <v>16512</v>
      </c>
      <c r="AY3428" s="77"/>
      <c r="AZ3428" s="82" t="s">
        <v>17385</v>
      </c>
      <c r="BA3428" s="82" t="s">
        <v>17385</v>
      </c>
      <c r="BB3428" s="82" t="s">
        <v>17385</v>
      </c>
      <c r="BC3428" s="82" t="s">
        <v>16512</v>
      </c>
      <c r="BD3428" s="77">
        <v>51150679</v>
      </c>
      <c r="BE3428" s="77"/>
      <c r="BF3428" s="77"/>
      <c r="BG3428" s="77"/>
      <c r="BH3428" s="77"/>
      <c r="BI3428" s="77"/>
    </row>
    <row r="3429" spans="1:61" x14ac:dyDescent="0.25">
      <c r="A3429" s="62" t="s">
        <v>605</v>
      </c>
      <c r="B3429" s="62" t="s">
        <v>605</v>
      </c>
      <c r="C3429" s="63"/>
      <c r="D3429" s="64"/>
      <c r="E3429" s="65"/>
      <c r="F3429" s="66"/>
      <c r="G3429" s="63"/>
      <c r="H3429" s="67"/>
      <c r="I3429" s="68"/>
      <c r="J3429" s="68"/>
      <c r="K3429" s="32"/>
      <c r="L3429" s="75">
        <v>3429</v>
      </c>
      <c r="M3429" s="75"/>
      <c r="N3429" s="70"/>
      <c r="O3429" s="77" t="s">
        <v>179</v>
      </c>
      <c r="P3429" s="79">
        <v>45163.852476851855</v>
      </c>
      <c r="Q3429" s="77" t="s">
        <v>4203</v>
      </c>
      <c r="R3429" s="77">
        <v>0</v>
      </c>
      <c r="S3429" s="77">
        <v>4</v>
      </c>
      <c r="T3429" s="77">
        <v>1</v>
      </c>
      <c r="U3429" s="77">
        <v>0</v>
      </c>
      <c r="V3429" s="77">
        <v>1259</v>
      </c>
      <c r="W3429" s="82" t="s">
        <v>6551</v>
      </c>
      <c r="X3429" s="80" t="str">
        <f>HYPERLINK("https://www.moneytimes.com.br/ibovespa-hoje-fecha-queda-115-mil-pontos-ipca-jerome-powell-25-08-2023/")</f>
        <v>https://www.moneytimes.com.br/ibovespa-hoje-fecha-queda-115-mil-pontos-ipca-jerome-powell-25-08-2023/</v>
      </c>
      <c r="Y3429" s="77" t="s">
        <v>7053</v>
      </c>
      <c r="Z3429" s="77"/>
      <c r="AA3429" s="77"/>
      <c r="AB3429" s="77"/>
      <c r="AC3429" s="82" t="s">
        <v>8255</v>
      </c>
      <c r="AD3429" s="77" t="s">
        <v>8278</v>
      </c>
      <c r="AE3429" s="80" t="str">
        <f>HYPERLINK("https://twitter.com/leiamoneytimes/status/1695171078249673054")</f>
        <v>https://twitter.com/leiamoneytimes/status/1695171078249673054</v>
      </c>
      <c r="AF3429" s="79">
        <v>45163.852476851855</v>
      </c>
      <c r="AG3429" s="85">
        <v>45163</v>
      </c>
      <c r="AH3429" s="82" t="s">
        <v>10333</v>
      </c>
      <c r="AI3429" s="77" t="b">
        <v>0</v>
      </c>
      <c r="AJ3429" s="77"/>
      <c r="AK3429" s="77"/>
      <c r="AL3429" s="77"/>
      <c r="AM3429" s="77"/>
      <c r="AN3429" s="77"/>
      <c r="AO3429" s="77"/>
      <c r="AP3429" s="77"/>
      <c r="AQ3429" s="77"/>
      <c r="AR3429" s="77"/>
      <c r="AS3429" s="77"/>
      <c r="AT3429" s="77"/>
      <c r="AU3429" s="77"/>
      <c r="AV3429" s="80" t="str">
        <f>HYPERLINK("https://pbs.twimg.com/profile_images/1559883556846977024/bXHnQFY0_normal.jpg")</f>
        <v>https://pbs.twimg.com/profile_images/1559883556846977024/bXHnQFY0_normal.jpg</v>
      </c>
      <c r="AW3429" s="82" t="s">
        <v>16513</v>
      </c>
      <c r="AX3429" s="82" t="s">
        <v>16513</v>
      </c>
      <c r="AY3429" s="77"/>
      <c r="AZ3429" s="82" t="s">
        <v>17385</v>
      </c>
      <c r="BA3429" s="82" t="s">
        <v>17385</v>
      </c>
      <c r="BB3429" s="82" t="s">
        <v>17385</v>
      </c>
      <c r="BC3429" s="82" t="s">
        <v>16513</v>
      </c>
      <c r="BD3429" s="77">
        <v>51150679</v>
      </c>
      <c r="BE3429" s="77"/>
      <c r="BF3429" s="77"/>
      <c r="BG3429" s="77"/>
      <c r="BH3429" s="77"/>
      <c r="BI3429" s="77"/>
    </row>
    <row r="3430" spans="1:61" x14ac:dyDescent="0.25">
      <c r="A3430" s="62" t="s">
        <v>605</v>
      </c>
      <c r="B3430" s="62" t="s">
        <v>605</v>
      </c>
      <c r="C3430" s="63"/>
      <c r="D3430" s="64"/>
      <c r="E3430" s="65"/>
      <c r="F3430" s="66"/>
      <c r="G3430" s="63"/>
      <c r="H3430" s="67"/>
      <c r="I3430" s="68"/>
      <c r="J3430" s="68"/>
      <c r="K3430" s="32"/>
      <c r="L3430" s="75">
        <v>3430</v>
      </c>
      <c r="M3430" s="75"/>
      <c r="N3430" s="70"/>
      <c r="O3430" s="77" t="s">
        <v>179</v>
      </c>
      <c r="P3430" s="79">
        <v>45163.658958333333</v>
      </c>
      <c r="Q3430" s="77" t="s">
        <v>4204</v>
      </c>
      <c r="R3430" s="77">
        <v>0</v>
      </c>
      <c r="S3430" s="77">
        <v>3</v>
      </c>
      <c r="T3430" s="77">
        <v>1</v>
      </c>
      <c r="U3430" s="77">
        <v>0</v>
      </c>
      <c r="V3430" s="77">
        <v>1179</v>
      </c>
      <c r="W3430" s="82" t="s">
        <v>6675</v>
      </c>
      <c r="X3430" s="80" t="str">
        <f>HYPERLINK("https://www.moneytimes.com.br/ibovespa-hoje-agora-cvc-cvcb3-e-yduqs-yduq3-despencam-slc-agricola-slce3-e-o-destaque-positivo-25-08-2023/")</f>
        <v>https://www.moneytimes.com.br/ibovespa-hoje-agora-cvc-cvcb3-e-yduqs-yduq3-despencam-slc-agricola-slce3-e-o-destaque-positivo-25-08-2023/</v>
      </c>
      <c r="Y3430" s="77" t="s">
        <v>7053</v>
      </c>
      <c r="Z3430" s="77"/>
      <c r="AA3430" s="77"/>
      <c r="AB3430" s="77"/>
      <c r="AC3430" s="82" t="s">
        <v>8255</v>
      </c>
      <c r="AD3430" s="77" t="s">
        <v>8278</v>
      </c>
      <c r="AE3430" s="80" t="str">
        <f>HYPERLINK("https://twitter.com/leiamoneytimes/status/1695100950967455913")</f>
        <v>https://twitter.com/leiamoneytimes/status/1695100950967455913</v>
      </c>
      <c r="AF3430" s="79">
        <v>45163.658958333333</v>
      </c>
      <c r="AG3430" s="85">
        <v>45163</v>
      </c>
      <c r="AH3430" s="82" t="s">
        <v>11429</v>
      </c>
      <c r="AI3430" s="77" t="b">
        <v>0</v>
      </c>
      <c r="AJ3430" s="77"/>
      <c r="AK3430" s="77"/>
      <c r="AL3430" s="77"/>
      <c r="AM3430" s="77"/>
      <c r="AN3430" s="77"/>
      <c r="AO3430" s="77"/>
      <c r="AP3430" s="77"/>
      <c r="AQ3430" s="77"/>
      <c r="AR3430" s="77"/>
      <c r="AS3430" s="77"/>
      <c r="AT3430" s="77"/>
      <c r="AU3430" s="77"/>
      <c r="AV3430" s="80" t="str">
        <f>HYPERLINK("https://pbs.twimg.com/profile_images/1559883556846977024/bXHnQFY0_normal.jpg")</f>
        <v>https://pbs.twimg.com/profile_images/1559883556846977024/bXHnQFY0_normal.jpg</v>
      </c>
      <c r="AW3430" s="82" t="s">
        <v>16514</v>
      </c>
      <c r="AX3430" s="82" t="s">
        <v>16514</v>
      </c>
      <c r="AY3430" s="77"/>
      <c r="AZ3430" s="82" t="s">
        <v>17385</v>
      </c>
      <c r="BA3430" s="82" t="s">
        <v>17385</v>
      </c>
      <c r="BB3430" s="82" t="s">
        <v>17385</v>
      </c>
      <c r="BC3430" s="82" t="s">
        <v>16514</v>
      </c>
      <c r="BD3430" s="77">
        <v>51150679</v>
      </c>
      <c r="BE3430" s="77"/>
      <c r="BF3430" s="77"/>
      <c r="BG3430" s="77"/>
      <c r="BH3430" s="77"/>
      <c r="BI3430" s="77"/>
    </row>
    <row r="3431" spans="1:61" x14ac:dyDescent="0.25">
      <c r="A3431" s="62" t="s">
        <v>605</v>
      </c>
      <c r="B3431" s="62" t="s">
        <v>605</v>
      </c>
      <c r="C3431" s="63"/>
      <c r="D3431" s="64"/>
      <c r="E3431" s="65"/>
      <c r="F3431" s="66"/>
      <c r="G3431" s="63"/>
      <c r="H3431" s="67"/>
      <c r="I3431" s="68"/>
      <c r="J3431" s="68"/>
      <c r="K3431" s="32"/>
      <c r="L3431" s="75">
        <v>3431</v>
      </c>
      <c r="M3431" s="75"/>
      <c r="N3431" s="70"/>
      <c r="O3431" s="77" t="s">
        <v>179</v>
      </c>
      <c r="P3431" s="79">
        <v>45163.644895833335</v>
      </c>
      <c r="Q3431" s="77" t="s">
        <v>4205</v>
      </c>
      <c r="R3431" s="77">
        <v>0</v>
      </c>
      <c r="S3431" s="77">
        <v>5</v>
      </c>
      <c r="T3431" s="77">
        <v>1</v>
      </c>
      <c r="U3431" s="77">
        <v>0</v>
      </c>
      <c r="V3431" s="77">
        <v>1206</v>
      </c>
      <c r="W3431" s="82" t="s">
        <v>6676</v>
      </c>
      <c r="X3431" s="80" t="str">
        <f>HYPERLINK("https://www.moneytimes.com.br/ibovespa-hoje-agora-powell-mercados-25-08-2023/")</f>
        <v>https://www.moneytimes.com.br/ibovespa-hoje-agora-powell-mercados-25-08-2023/</v>
      </c>
      <c r="Y3431" s="77" t="s">
        <v>7053</v>
      </c>
      <c r="Z3431" s="77"/>
      <c r="AA3431" s="77"/>
      <c r="AB3431" s="77"/>
      <c r="AC3431" s="82" t="s">
        <v>8255</v>
      </c>
      <c r="AD3431" s="77" t="s">
        <v>8278</v>
      </c>
      <c r="AE3431" s="80" t="str">
        <f>HYPERLINK("https://twitter.com/leiamoneytimes/status/1695095851629051963")</f>
        <v>https://twitter.com/leiamoneytimes/status/1695095851629051963</v>
      </c>
      <c r="AF3431" s="79">
        <v>45163.644895833335</v>
      </c>
      <c r="AG3431" s="85">
        <v>45163</v>
      </c>
      <c r="AH3431" s="82" t="s">
        <v>11430</v>
      </c>
      <c r="AI3431" s="77" t="b">
        <v>0</v>
      </c>
      <c r="AJ3431" s="77"/>
      <c r="AK3431" s="77"/>
      <c r="AL3431" s="77"/>
      <c r="AM3431" s="77"/>
      <c r="AN3431" s="77"/>
      <c r="AO3431" s="77"/>
      <c r="AP3431" s="77"/>
      <c r="AQ3431" s="77"/>
      <c r="AR3431" s="77"/>
      <c r="AS3431" s="77"/>
      <c r="AT3431" s="77"/>
      <c r="AU3431" s="77"/>
      <c r="AV3431" s="80" t="str">
        <f>HYPERLINK("https://pbs.twimg.com/profile_images/1559883556846977024/bXHnQFY0_normal.jpg")</f>
        <v>https://pbs.twimg.com/profile_images/1559883556846977024/bXHnQFY0_normal.jpg</v>
      </c>
      <c r="AW3431" s="82" t="s">
        <v>16515</v>
      </c>
      <c r="AX3431" s="82" t="s">
        <v>16515</v>
      </c>
      <c r="AY3431" s="77"/>
      <c r="AZ3431" s="82" t="s">
        <v>17385</v>
      </c>
      <c r="BA3431" s="82" t="s">
        <v>17385</v>
      </c>
      <c r="BB3431" s="82" t="s">
        <v>17385</v>
      </c>
      <c r="BC3431" s="82" t="s">
        <v>16515</v>
      </c>
      <c r="BD3431" s="77">
        <v>51150679</v>
      </c>
      <c r="BE3431" s="77"/>
      <c r="BF3431" s="77"/>
      <c r="BG3431" s="77"/>
      <c r="BH3431" s="77"/>
      <c r="BI3431" s="77"/>
    </row>
    <row r="3432" spans="1:61" x14ac:dyDescent="0.25">
      <c r="A3432" s="62" t="s">
        <v>605</v>
      </c>
      <c r="B3432" s="62" t="s">
        <v>605</v>
      </c>
      <c r="C3432" s="63"/>
      <c r="D3432" s="64"/>
      <c r="E3432" s="65"/>
      <c r="F3432" s="66"/>
      <c r="G3432" s="63"/>
      <c r="H3432" s="67"/>
      <c r="I3432" s="68"/>
      <c r="J3432" s="68"/>
      <c r="K3432" s="32"/>
      <c r="L3432" s="75">
        <v>3432</v>
      </c>
      <c r="M3432" s="75"/>
      <c r="N3432" s="70"/>
      <c r="O3432" s="77" t="s">
        <v>179</v>
      </c>
      <c r="P3432" s="79">
        <v>45163.559259259258</v>
      </c>
      <c r="Q3432" s="77" t="s">
        <v>4206</v>
      </c>
      <c r="R3432" s="77">
        <v>0</v>
      </c>
      <c r="S3432" s="77">
        <v>0</v>
      </c>
      <c r="T3432" s="77">
        <v>1</v>
      </c>
      <c r="U3432" s="77">
        <v>0</v>
      </c>
      <c r="V3432" s="77">
        <v>1054</v>
      </c>
      <c r="W3432" s="82" t="s">
        <v>6551</v>
      </c>
      <c r="X3432" s="80" t="str">
        <f>HYPERLINK("https://www.moneytimes.com.br/tenda-tend3-lanca-oferta-de-acoes-e-pode-captar-r-280-milhoes/")</f>
        <v>https://www.moneytimes.com.br/tenda-tend3-lanca-oferta-de-acoes-e-pode-captar-r-280-milhoes/</v>
      </c>
      <c r="Y3432" s="77" t="s">
        <v>7053</v>
      </c>
      <c r="Z3432" s="77"/>
      <c r="AA3432" s="77"/>
      <c r="AB3432" s="77"/>
      <c r="AC3432" s="82" t="s">
        <v>8255</v>
      </c>
      <c r="AD3432" s="77" t="s">
        <v>8278</v>
      </c>
      <c r="AE3432" s="80" t="str">
        <f>HYPERLINK("https://twitter.com/leiamoneytimes/status/1695064819240460567")</f>
        <v>https://twitter.com/leiamoneytimes/status/1695064819240460567</v>
      </c>
      <c r="AF3432" s="79">
        <v>45163.559259259258</v>
      </c>
      <c r="AG3432" s="85">
        <v>45163</v>
      </c>
      <c r="AH3432" s="82" t="s">
        <v>11431</v>
      </c>
      <c r="AI3432" s="77" t="b">
        <v>0</v>
      </c>
      <c r="AJ3432" s="77"/>
      <c r="AK3432" s="77"/>
      <c r="AL3432" s="77"/>
      <c r="AM3432" s="77"/>
      <c r="AN3432" s="77"/>
      <c r="AO3432" s="77"/>
      <c r="AP3432" s="77"/>
      <c r="AQ3432" s="77"/>
      <c r="AR3432" s="77"/>
      <c r="AS3432" s="77"/>
      <c r="AT3432" s="77"/>
      <c r="AU3432" s="77"/>
      <c r="AV3432" s="80" t="str">
        <f>HYPERLINK("https://pbs.twimg.com/profile_images/1559883556846977024/bXHnQFY0_normal.jpg")</f>
        <v>https://pbs.twimg.com/profile_images/1559883556846977024/bXHnQFY0_normal.jpg</v>
      </c>
      <c r="AW3432" s="82" t="s">
        <v>16516</v>
      </c>
      <c r="AX3432" s="82" t="s">
        <v>16516</v>
      </c>
      <c r="AY3432" s="77"/>
      <c r="AZ3432" s="82" t="s">
        <v>17385</v>
      </c>
      <c r="BA3432" s="82" t="s">
        <v>17385</v>
      </c>
      <c r="BB3432" s="82" t="s">
        <v>17385</v>
      </c>
      <c r="BC3432" s="82" t="s">
        <v>16516</v>
      </c>
      <c r="BD3432" s="77">
        <v>51150679</v>
      </c>
      <c r="BE3432" s="77"/>
      <c r="BF3432" s="77"/>
      <c r="BG3432" s="77"/>
      <c r="BH3432" s="77"/>
      <c r="BI3432" s="77"/>
    </row>
    <row r="3433" spans="1:61" x14ac:dyDescent="0.25">
      <c r="A3433" s="62" t="s">
        <v>605</v>
      </c>
      <c r="B3433" s="62" t="s">
        <v>605</v>
      </c>
      <c r="C3433" s="63"/>
      <c r="D3433" s="64"/>
      <c r="E3433" s="65"/>
      <c r="F3433" s="66"/>
      <c r="G3433" s="63"/>
      <c r="H3433" s="67"/>
      <c r="I3433" s="68"/>
      <c r="J3433" s="68"/>
      <c r="K3433" s="32"/>
      <c r="L3433" s="75">
        <v>3433</v>
      </c>
      <c r="M3433" s="75"/>
      <c r="N3433" s="70"/>
      <c r="O3433" s="77" t="s">
        <v>179</v>
      </c>
      <c r="P3433" s="79">
        <v>45156.846562500003</v>
      </c>
      <c r="Q3433" s="77" t="s">
        <v>4207</v>
      </c>
      <c r="R3433" s="77">
        <v>0</v>
      </c>
      <c r="S3433" s="77">
        <v>0</v>
      </c>
      <c r="T3433" s="77">
        <v>2</v>
      </c>
      <c r="U3433" s="77">
        <v>0</v>
      </c>
      <c r="V3433" s="77">
        <v>1072</v>
      </c>
      <c r="W3433" s="82" t="s">
        <v>6551</v>
      </c>
      <c r="X3433" s="80" t="str">
        <f>HYPERLINK("https://www.moneytimes.com.br/ibovespa-hoje-fecha-alta-mercados-china-eua-evergrande-18-08-2023/")</f>
        <v>https://www.moneytimes.com.br/ibovespa-hoje-fecha-alta-mercados-china-eua-evergrande-18-08-2023/</v>
      </c>
      <c r="Y3433" s="77" t="s">
        <v>7053</v>
      </c>
      <c r="Z3433" s="77"/>
      <c r="AA3433" s="77"/>
      <c r="AB3433" s="77"/>
      <c r="AC3433" s="82" t="s">
        <v>8255</v>
      </c>
      <c r="AD3433" s="77" t="s">
        <v>8278</v>
      </c>
      <c r="AE3433" s="80" t="str">
        <f>HYPERLINK("https://twitter.com/leiamoneytimes/status/1692632218605117866")</f>
        <v>https://twitter.com/leiamoneytimes/status/1692632218605117866</v>
      </c>
      <c r="AF3433" s="79">
        <v>45156.846562500003</v>
      </c>
      <c r="AG3433" s="85">
        <v>45156</v>
      </c>
      <c r="AH3433" s="82" t="s">
        <v>11432</v>
      </c>
      <c r="AI3433" s="77" t="b">
        <v>0</v>
      </c>
      <c r="AJ3433" s="77"/>
      <c r="AK3433" s="77"/>
      <c r="AL3433" s="77"/>
      <c r="AM3433" s="77"/>
      <c r="AN3433" s="77"/>
      <c r="AO3433" s="77"/>
      <c r="AP3433" s="77"/>
      <c r="AQ3433" s="77"/>
      <c r="AR3433" s="77"/>
      <c r="AS3433" s="77"/>
      <c r="AT3433" s="77"/>
      <c r="AU3433" s="77"/>
      <c r="AV3433" s="80" t="str">
        <f>HYPERLINK("https://pbs.twimg.com/profile_images/1559883556846977024/bXHnQFY0_normal.jpg")</f>
        <v>https://pbs.twimg.com/profile_images/1559883556846977024/bXHnQFY0_normal.jpg</v>
      </c>
      <c r="AW3433" s="82" t="s">
        <v>16517</v>
      </c>
      <c r="AX3433" s="82" t="s">
        <v>16517</v>
      </c>
      <c r="AY3433" s="77"/>
      <c r="AZ3433" s="82" t="s">
        <v>17385</v>
      </c>
      <c r="BA3433" s="82" t="s">
        <v>17385</v>
      </c>
      <c r="BB3433" s="82" t="s">
        <v>17385</v>
      </c>
      <c r="BC3433" s="82" t="s">
        <v>16517</v>
      </c>
      <c r="BD3433" s="77">
        <v>51150679</v>
      </c>
      <c r="BE3433" s="77"/>
      <c r="BF3433" s="77"/>
      <c r="BG3433" s="77"/>
      <c r="BH3433" s="77"/>
      <c r="BI3433" s="77"/>
    </row>
    <row r="3434" spans="1:61" x14ac:dyDescent="0.25">
      <c r="A3434" s="62" t="s">
        <v>605</v>
      </c>
      <c r="B3434" s="62" t="s">
        <v>605</v>
      </c>
      <c r="C3434" s="63"/>
      <c r="D3434" s="64"/>
      <c r="E3434" s="65"/>
      <c r="F3434" s="66"/>
      <c r="G3434" s="63"/>
      <c r="H3434" s="67"/>
      <c r="I3434" s="68"/>
      <c r="J3434" s="68"/>
      <c r="K3434" s="32"/>
      <c r="L3434" s="75">
        <v>3434</v>
      </c>
      <c r="M3434" s="75"/>
      <c r="N3434" s="70"/>
      <c r="O3434" s="77" t="s">
        <v>179</v>
      </c>
      <c r="P3434" s="79">
        <v>45156.673622685186</v>
      </c>
      <c r="Q3434" s="77" t="s">
        <v>4208</v>
      </c>
      <c r="R3434" s="77">
        <v>0</v>
      </c>
      <c r="S3434" s="77">
        <v>4</v>
      </c>
      <c r="T3434" s="77">
        <v>1</v>
      </c>
      <c r="U3434" s="77">
        <v>0</v>
      </c>
      <c r="V3434" s="77">
        <v>1309</v>
      </c>
      <c r="W3434" s="82" t="s">
        <v>6677</v>
      </c>
      <c r="X3434" s="80" t="str">
        <f>HYPERLINK("https://www.moneytimes.com.br/ibovespa-hoje-agora-magalu-mglu3-dispara-e-weg-wege3-lidera-as-baixas-da-sessao-18-08-2023/")</f>
        <v>https://www.moneytimes.com.br/ibovespa-hoje-agora-magalu-mglu3-dispara-e-weg-wege3-lidera-as-baixas-da-sessao-18-08-2023/</v>
      </c>
      <c r="Y3434" s="77" t="s">
        <v>7053</v>
      </c>
      <c r="Z3434" s="77"/>
      <c r="AA3434" s="77"/>
      <c r="AB3434" s="77"/>
      <c r="AC3434" s="82" t="s">
        <v>8255</v>
      </c>
      <c r="AD3434" s="77" t="s">
        <v>8278</v>
      </c>
      <c r="AE3434" s="80" t="str">
        <f>HYPERLINK("https://twitter.com/leiamoneytimes/status/1692569549239910511")</f>
        <v>https://twitter.com/leiamoneytimes/status/1692569549239910511</v>
      </c>
      <c r="AF3434" s="79">
        <v>45156.673622685186</v>
      </c>
      <c r="AG3434" s="85">
        <v>45156</v>
      </c>
      <c r="AH3434" s="82" t="s">
        <v>11433</v>
      </c>
      <c r="AI3434" s="77" t="b">
        <v>0</v>
      </c>
      <c r="AJ3434" s="77"/>
      <c r="AK3434" s="77"/>
      <c r="AL3434" s="77"/>
      <c r="AM3434" s="77"/>
      <c r="AN3434" s="77"/>
      <c r="AO3434" s="77"/>
      <c r="AP3434" s="77"/>
      <c r="AQ3434" s="77"/>
      <c r="AR3434" s="77"/>
      <c r="AS3434" s="77"/>
      <c r="AT3434" s="77"/>
      <c r="AU3434" s="77"/>
      <c r="AV3434" s="80" t="str">
        <f>HYPERLINK("https://pbs.twimg.com/profile_images/1559883556846977024/bXHnQFY0_normal.jpg")</f>
        <v>https://pbs.twimg.com/profile_images/1559883556846977024/bXHnQFY0_normal.jpg</v>
      </c>
      <c r="AW3434" s="82" t="s">
        <v>16518</v>
      </c>
      <c r="AX3434" s="82" t="s">
        <v>16518</v>
      </c>
      <c r="AY3434" s="77"/>
      <c r="AZ3434" s="82" t="s">
        <v>17385</v>
      </c>
      <c r="BA3434" s="82" t="s">
        <v>17385</v>
      </c>
      <c r="BB3434" s="82" t="s">
        <v>17385</v>
      </c>
      <c r="BC3434" s="82" t="s">
        <v>16518</v>
      </c>
      <c r="BD3434" s="77">
        <v>51150679</v>
      </c>
      <c r="BE3434" s="77"/>
      <c r="BF3434" s="77"/>
      <c r="BG3434" s="77"/>
      <c r="BH3434" s="77"/>
      <c r="BI3434" s="77"/>
    </row>
    <row r="3435" spans="1:61" x14ac:dyDescent="0.25">
      <c r="A3435" s="62" t="s">
        <v>605</v>
      </c>
      <c r="B3435" s="62" t="s">
        <v>605</v>
      </c>
      <c r="C3435" s="63"/>
      <c r="D3435" s="64"/>
      <c r="E3435" s="65"/>
      <c r="F3435" s="66"/>
      <c r="G3435" s="63"/>
      <c r="H3435" s="67"/>
      <c r="I3435" s="68"/>
      <c r="J3435" s="68"/>
      <c r="K3435" s="32"/>
      <c r="L3435" s="75">
        <v>3435</v>
      </c>
      <c r="M3435" s="75"/>
      <c r="N3435" s="70"/>
      <c r="O3435" s="77" t="s">
        <v>179</v>
      </c>
      <c r="P3435" s="79">
        <v>45155.849050925928</v>
      </c>
      <c r="Q3435" s="77" t="s">
        <v>4209</v>
      </c>
      <c r="R3435" s="77">
        <v>0</v>
      </c>
      <c r="S3435" s="77">
        <v>2</v>
      </c>
      <c r="T3435" s="77">
        <v>1</v>
      </c>
      <c r="U3435" s="77">
        <v>0</v>
      </c>
      <c r="V3435" s="77">
        <v>1060</v>
      </c>
      <c r="W3435" s="82" t="s">
        <v>6557</v>
      </c>
      <c r="X3435" s="80" t="str">
        <f>HYPERLINK("https://www.moneytimes.com.br/ibovespa-hoje-fecha-queda-114-mil-pontos-recorde-17-08-2023/")</f>
        <v>https://www.moneytimes.com.br/ibovespa-hoje-fecha-queda-114-mil-pontos-recorde-17-08-2023/</v>
      </c>
      <c r="Y3435" s="77" t="s">
        <v>7053</v>
      </c>
      <c r="Z3435" s="77"/>
      <c r="AA3435" s="77"/>
      <c r="AB3435" s="77"/>
      <c r="AC3435" s="82" t="s">
        <v>8255</v>
      </c>
      <c r="AD3435" s="77" t="s">
        <v>8278</v>
      </c>
      <c r="AE3435" s="80" t="str">
        <f>HYPERLINK("https://twitter.com/leiamoneytimes/status/1692270735085957510")</f>
        <v>https://twitter.com/leiamoneytimes/status/1692270735085957510</v>
      </c>
      <c r="AF3435" s="79">
        <v>45155.849050925928</v>
      </c>
      <c r="AG3435" s="85">
        <v>45155</v>
      </c>
      <c r="AH3435" s="82" t="s">
        <v>11434</v>
      </c>
      <c r="AI3435" s="77" t="b">
        <v>0</v>
      </c>
      <c r="AJ3435" s="77"/>
      <c r="AK3435" s="77"/>
      <c r="AL3435" s="77"/>
      <c r="AM3435" s="77"/>
      <c r="AN3435" s="77"/>
      <c r="AO3435" s="77"/>
      <c r="AP3435" s="77"/>
      <c r="AQ3435" s="77"/>
      <c r="AR3435" s="77"/>
      <c r="AS3435" s="77"/>
      <c r="AT3435" s="77"/>
      <c r="AU3435" s="77"/>
      <c r="AV3435" s="80" t="str">
        <f>HYPERLINK("https://pbs.twimg.com/profile_images/1559883556846977024/bXHnQFY0_normal.jpg")</f>
        <v>https://pbs.twimg.com/profile_images/1559883556846977024/bXHnQFY0_normal.jpg</v>
      </c>
      <c r="AW3435" s="82" t="s">
        <v>16519</v>
      </c>
      <c r="AX3435" s="82" t="s">
        <v>16519</v>
      </c>
      <c r="AY3435" s="77"/>
      <c r="AZ3435" s="82" t="s">
        <v>17385</v>
      </c>
      <c r="BA3435" s="82" t="s">
        <v>17385</v>
      </c>
      <c r="BB3435" s="82" t="s">
        <v>17385</v>
      </c>
      <c r="BC3435" s="82" t="s">
        <v>16519</v>
      </c>
      <c r="BD3435" s="77">
        <v>51150679</v>
      </c>
      <c r="BE3435" s="77"/>
      <c r="BF3435" s="77"/>
      <c r="BG3435" s="77"/>
      <c r="BH3435" s="77"/>
      <c r="BI3435" s="77"/>
    </row>
    <row r="3436" spans="1:61" x14ac:dyDescent="0.25">
      <c r="A3436" s="62" t="s">
        <v>605</v>
      </c>
      <c r="B3436" s="62" t="s">
        <v>605</v>
      </c>
      <c r="C3436" s="63"/>
      <c r="D3436" s="64"/>
      <c r="E3436" s="65"/>
      <c r="F3436" s="66"/>
      <c r="G3436" s="63"/>
      <c r="H3436" s="67"/>
      <c r="I3436" s="68"/>
      <c r="J3436" s="68"/>
      <c r="K3436" s="32"/>
      <c r="L3436" s="75">
        <v>3436</v>
      </c>
      <c r="M3436" s="75"/>
      <c r="N3436" s="70"/>
      <c r="O3436" s="77" t="s">
        <v>179</v>
      </c>
      <c r="P3436" s="79">
        <v>45155.744942129626</v>
      </c>
      <c r="Q3436" s="77" t="s">
        <v>4210</v>
      </c>
      <c r="R3436" s="77">
        <v>0</v>
      </c>
      <c r="S3436" s="77">
        <v>4</v>
      </c>
      <c r="T3436" s="77">
        <v>0</v>
      </c>
      <c r="U3436" s="77">
        <v>0</v>
      </c>
      <c r="V3436" s="77">
        <v>1099</v>
      </c>
      <c r="W3436" s="82" t="s">
        <v>6678</v>
      </c>
      <c r="X3436" s="80" t="str">
        <f>HYPERLINK("https://www.moneytimes.com.br/nubank-nuroxo34-por-que-ceo-vendeu-25-milhoes-de-acoes/")</f>
        <v>https://www.moneytimes.com.br/nubank-nuroxo34-por-que-ceo-vendeu-25-milhoes-de-acoes/</v>
      </c>
      <c r="Y3436" s="77" t="s">
        <v>7053</v>
      </c>
      <c r="Z3436" s="77"/>
      <c r="AA3436" s="77"/>
      <c r="AB3436" s="77"/>
      <c r="AC3436" s="82" t="s">
        <v>8255</v>
      </c>
      <c r="AD3436" s="77" t="s">
        <v>8278</v>
      </c>
      <c r="AE3436" s="80" t="str">
        <f>HYPERLINK("https://twitter.com/leiamoneytimes/status/1692233004624585209")</f>
        <v>https://twitter.com/leiamoneytimes/status/1692233004624585209</v>
      </c>
      <c r="AF3436" s="79">
        <v>45155.744942129626</v>
      </c>
      <c r="AG3436" s="85">
        <v>45155</v>
      </c>
      <c r="AH3436" s="82" t="s">
        <v>11435</v>
      </c>
      <c r="AI3436" s="77" t="b">
        <v>0</v>
      </c>
      <c r="AJ3436" s="77"/>
      <c r="AK3436" s="77"/>
      <c r="AL3436" s="77"/>
      <c r="AM3436" s="77"/>
      <c r="AN3436" s="77"/>
      <c r="AO3436" s="77"/>
      <c r="AP3436" s="77"/>
      <c r="AQ3436" s="77"/>
      <c r="AR3436" s="77"/>
      <c r="AS3436" s="77"/>
      <c r="AT3436" s="77"/>
      <c r="AU3436" s="77"/>
      <c r="AV3436" s="80" t="str">
        <f>HYPERLINK("https://pbs.twimg.com/profile_images/1559883556846977024/bXHnQFY0_normal.jpg")</f>
        <v>https://pbs.twimg.com/profile_images/1559883556846977024/bXHnQFY0_normal.jpg</v>
      </c>
      <c r="AW3436" s="82" t="s">
        <v>16520</v>
      </c>
      <c r="AX3436" s="82" t="s">
        <v>16520</v>
      </c>
      <c r="AY3436" s="77"/>
      <c r="AZ3436" s="82" t="s">
        <v>17385</v>
      </c>
      <c r="BA3436" s="82" t="s">
        <v>17385</v>
      </c>
      <c r="BB3436" s="82" t="s">
        <v>17385</v>
      </c>
      <c r="BC3436" s="82" t="s">
        <v>16520</v>
      </c>
      <c r="BD3436" s="77">
        <v>51150679</v>
      </c>
      <c r="BE3436" s="77"/>
      <c r="BF3436" s="77"/>
      <c r="BG3436" s="77"/>
      <c r="BH3436" s="77"/>
      <c r="BI3436" s="77"/>
    </row>
    <row r="3437" spans="1:61" x14ac:dyDescent="0.25">
      <c r="A3437" s="62" t="s">
        <v>605</v>
      </c>
      <c r="B3437" s="62" t="s">
        <v>605</v>
      </c>
      <c r="C3437" s="63"/>
      <c r="D3437" s="64"/>
      <c r="E3437" s="65"/>
      <c r="F3437" s="66"/>
      <c r="G3437" s="63"/>
      <c r="H3437" s="67"/>
      <c r="I3437" s="68"/>
      <c r="J3437" s="68"/>
      <c r="K3437" s="32"/>
      <c r="L3437" s="75">
        <v>3437</v>
      </c>
      <c r="M3437" s="75"/>
      <c r="N3437" s="70"/>
      <c r="O3437" s="77" t="s">
        <v>179</v>
      </c>
      <c r="P3437" s="79">
        <v>45155.669548611113</v>
      </c>
      <c r="Q3437" s="77" t="s">
        <v>4211</v>
      </c>
      <c r="R3437" s="77">
        <v>0</v>
      </c>
      <c r="S3437" s="77">
        <v>3</v>
      </c>
      <c r="T3437" s="77">
        <v>1</v>
      </c>
      <c r="U3437" s="77">
        <v>0</v>
      </c>
      <c r="V3437" s="77">
        <v>1099</v>
      </c>
      <c r="W3437" s="82" t="s">
        <v>6679</v>
      </c>
      <c r="X3437" s="80" t="str">
        <f>HYPERLINK("https://www.moneytimes.com.br/ibovespa-hoje-agora-totvs-tots3-lidera-enquanto-vale-vale3-e-petrobras-per3-avancam-alpargatas-alpa4-recua-17-08-2023/")</f>
        <v>https://www.moneytimes.com.br/ibovespa-hoje-agora-totvs-tots3-lidera-enquanto-vale-vale3-e-petrobras-per3-avancam-alpargatas-alpa4-recua-17-08-2023/</v>
      </c>
      <c r="Y3437" s="77" t="s">
        <v>7053</v>
      </c>
      <c r="Z3437" s="77"/>
      <c r="AA3437" s="77"/>
      <c r="AB3437" s="77"/>
      <c r="AC3437" s="82" t="s">
        <v>8255</v>
      </c>
      <c r="AD3437" s="77" t="s">
        <v>8278</v>
      </c>
      <c r="AE3437" s="80" t="str">
        <f>HYPERLINK("https://twitter.com/leiamoneytimes/status/1692205686095044914")</f>
        <v>https://twitter.com/leiamoneytimes/status/1692205686095044914</v>
      </c>
      <c r="AF3437" s="79">
        <v>45155.669548611113</v>
      </c>
      <c r="AG3437" s="85">
        <v>45155</v>
      </c>
      <c r="AH3437" s="82" t="s">
        <v>11436</v>
      </c>
      <c r="AI3437" s="77" t="b">
        <v>0</v>
      </c>
      <c r="AJ3437" s="77"/>
      <c r="AK3437" s="77"/>
      <c r="AL3437" s="77"/>
      <c r="AM3437" s="77"/>
      <c r="AN3437" s="77"/>
      <c r="AO3437" s="77"/>
      <c r="AP3437" s="77"/>
      <c r="AQ3437" s="77"/>
      <c r="AR3437" s="77"/>
      <c r="AS3437" s="77"/>
      <c r="AT3437" s="77"/>
      <c r="AU3437" s="77"/>
      <c r="AV3437" s="80" t="str">
        <f>HYPERLINK("https://pbs.twimg.com/profile_images/1559883556846977024/bXHnQFY0_normal.jpg")</f>
        <v>https://pbs.twimg.com/profile_images/1559883556846977024/bXHnQFY0_normal.jpg</v>
      </c>
      <c r="AW3437" s="82" t="s">
        <v>16521</v>
      </c>
      <c r="AX3437" s="82" t="s">
        <v>16521</v>
      </c>
      <c r="AY3437" s="77"/>
      <c r="AZ3437" s="82" t="s">
        <v>17385</v>
      </c>
      <c r="BA3437" s="82" t="s">
        <v>17385</v>
      </c>
      <c r="BB3437" s="82" t="s">
        <v>17385</v>
      </c>
      <c r="BC3437" s="82" t="s">
        <v>16521</v>
      </c>
      <c r="BD3437" s="77">
        <v>51150679</v>
      </c>
      <c r="BE3437" s="77"/>
      <c r="BF3437" s="77"/>
      <c r="BG3437" s="77"/>
      <c r="BH3437" s="77"/>
      <c r="BI3437" s="77"/>
    </row>
    <row r="3438" spans="1:61" x14ac:dyDescent="0.25">
      <c r="A3438" s="62" t="s">
        <v>605</v>
      </c>
      <c r="B3438" s="62" t="s">
        <v>605</v>
      </c>
      <c r="C3438" s="63"/>
      <c r="D3438" s="64"/>
      <c r="E3438" s="65"/>
      <c r="F3438" s="66"/>
      <c r="G3438" s="63"/>
      <c r="H3438" s="67"/>
      <c r="I3438" s="68"/>
      <c r="J3438" s="68"/>
      <c r="K3438" s="32"/>
      <c r="L3438" s="75">
        <v>3438</v>
      </c>
      <c r="M3438" s="75"/>
      <c r="N3438" s="70"/>
      <c r="O3438" s="77" t="s">
        <v>179</v>
      </c>
      <c r="P3438" s="79">
        <v>45147.692083333335</v>
      </c>
      <c r="Q3438" s="77" t="s">
        <v>4212</v>
      </c>
      <c r="R3438" s="77">
        <v>0</v>
      </c>
      <c r="S3438" s="77">
        <v>1</v>
      </c>
      <c r="T3438" s="77">
        <v>0</v>
      </c>
      <c r="U3438" s="77">
        <v>0</v>
      </c>
      <c r="V3438" s="77">
        <v>839</v>
      </c>
      <c r="W3438" s="82" t="s">
        <v>6680</v>
      </c>
      <c r="X3438" s="80" t="str">
        <f>HYPERLINK("https://www.moneytimes.com.br/wework-vai-quebrar-acoes-derretem-apos-empresa-afirmar-que-tem-duvidas-sobre-o-futuro/")</f>
        <v>https://www.moneytimes.com.br/wework-vai-quebrar-acoes-derretem-apos-empresa-afirmar-que-tem-duvidas-sobre-o-futuro/</v>
      </c>
      <c r="Y3438" s="77" t="s">
        <v>7053</v>
      </c>
      <c r="Z3438" s="77"/>
      <c r="AA3438" s="77"/>
      <c r="AB3438" s="77"/>
      <c r="AC3438" s="82" t="s">
        <v>8255</v>
      </c>
      <c r="AD3438" s="77" t="s">
        <v>8278</v>
      </c>
      <c r="AE3438" s="80" t="str">
        <f>HYPERLINK("https://twitter.com/leiamoneytimes/status/1689314749077495823")</f>
        <v>https://twitter.com/leiamoneytimes/status/1689314749077495823</v>
      </c>
      <c r="AF3438" s="79">
        <v>45147.692083333335</v>
      </c>
      <c r="AG3438" s="85">
        <v>45147</v>
      </c>
      <c r="AH3438" s="82" t="s">
        <v>11437</v>
      </c>
      <c r="AI3438" s="77" t="b">
        <v>0</v>
      </c>
      <c r="AJ3438" s="77"/>
      <c r="AK3438" s="77"/>
      <c r="AL3438" s="77"/>
      <c r="AM3438" s="77"/>
      <c r="AN3438" s="77"/>
      <c r="AO3438" s="77"/>
      <c r="AP3438" s="77"/>
      <c r="AQ3438" s="77"/>
      <c r="AR3438" s="77"/>
      <c r="AS3438" s="77"/>
      <c r="AT3438" s="77"/>
      <c r="AU3438" s="77"/>
      <c r="AV3438" s="80" t="str">
        <f>HYPERLINK("https://pbs.twimg.com/profile_images/1559883556846977024/bXHnQFY0_normal.jpg")</f>
        <v>https://pbs.twimg.com/profile_images/1559883556846977024/bXHnQFY0_normal.jpg</v>
      </c>
      <c r="AW3438" s="82" t="s">
        <v>16522</v>
      </c>
      <c r="AX3438" s="82" t="s">
        <v>16522</v>
      </c>
      <c r="AY3438" s="77"/>
      <c r="AZ3438" s="82" t="s">
        <v>17385</v>
      </c>
      <c r="BA3438" s="82" t="s">
        <v>17385</v>
      </c>
      <c r="BB3438" s="82" t="s">
        <v>17385</v>
      </c>
      <c r="BC3438" s="82" t="s">
        <v>16522</v>
      </c>
      <c r="BD3438" s="77">
        <v>51150679</v>
      </c>
      <c r="BE3438" s="77"/>
      <c r="BF3438" s="77"/>
      <c r="BG3438" s="77"/>
      <c r="BH3438" s="77"/>
      <c r="BI3438" s="77"/>
    </row>
    <row r="3439" spans="1:61" x14ac:dyDescent="0.25">
      <c r="A3439" s="62" t="s">
        <v>605</v>
      </c>
      <c r="B3439" s="62" t="s">
        <v>605</v>
      </c>
      <c r="C3439" s="63"/>
      <c r="D3439" s="64"/>
      <c r="E3439" s="65"/>
      <c r="F3439" s="66"/>
      <c r="G3439" s="63"/>
      <c r="H3439" s="67"/>
      <c r="I3439" s="68"/>
      <c r="J3439" s="68"/>
      <c r="K3439" s="32"/>
      <c r="L3439" s="75">
        <v>3439</v>
      </c>
      <c r="M3439" s="75"/>
      <c r="N3439" s="70"/>
      <c r="O3439" s="77" t="s">
        <v>179</v>
      </c>
      <c r="P3439" s="79">
        <v>45147.666921296295</v>
      </c>
      <c r="Q3439" s="77" t="s">
        <v>4213</v>
      </c>
      <c r="R3439" s="77">
        <v>0</v>
      </c>
      <c r="S3439" s="77">
        <v>2</v>
      </c>
      <c r="T3439" s="77">
        <v>0</v>
      </c>
      <c r="U3439" s="77">
        <v>0</v>
      </c>
      <c r="V3439" s="77">
        <v>1036</v>
      </c>
      <c r="W3439" s="82" t="s">
        <v>6555</v>
      </c>
      <c r="X3439" s="80" t="str">
        <f>HYPERLINK("https://www.moneytimes.com.br/ibovespa-hoje-agora-petrobras-petr3-lidera-as-altas-enquanto-petz-petz3-despenca-estendendo-as-perdas-09-08-2023/")</f>
        <v>https://www.moneytimes.com.br/ibovespa-hoje-agora-petrobras-petr3-lidera-as-altas-enquanto-petz-petz3-despenca-estendendo-as-perdas-09-08-2023/</v>
      </c>
      <c r="Y3439" s="77" t="s">
        <v>7053</v>
      </c>
      <c r="Z3439" s="77"/>
      <c r="AA3439" s="77"/>
      <c r="AB3439" s="77"/>
      <c r="AC3439" s="82" t="s">
        <v>8255</v>
      </c>
      <c r="AD3439" s="77" t="s">
        <v>8278</v>
      </c>
      <c r="AE3439" s="80" t="str">
        <f>HYPERLINK("https://twitter.com/leiamoneytimes/status/1689305628739559424")</f>
        <v>https://twitter.com/leiamoneytimes/status/1689305628739559424</v>
      </c>
      <c r="AF3439" s="79">
        <v>45147.666921296295</v>
      </c>
      <c r="AG3439" s="85">
        <v>45147</v>
      </c>
      <c r="AH3439" s="82" t="s">
        <v>9479</v>
      </c>
      <c r="AI3439" s="77" t="b">
        <v>0</v>
      </c>
      <c r="AJ3439" s="77"/>
      <c r="AK3439" s="77"/>
      <c r="AL3439" s="77"/>
      <c r="AM3439" s="77"/>
      <c r="AN3439" s="77"/>
      <c r="AO3439" s="77"/>
      <c r="AP3439" s="77"/>
      <c r="AQ3439" s="77"/>
      <c r="AR3439" s="77"/>
      <c r="AS3439" s="77"/>
      <c r="AT3439" s="77"/>
      <c r="AU3439" s="77"/>
      <c r="AV3439" s="80" t="str">
        <f>HYPERLINK("https://pbs.twimg.com/profile_images/1559883556846977024/bXHnQFY0_normal.jpg")</f>
        <v>https://pbs.twimg.com/profile_images/1559883556846977024/bXHnQFY0_normal.jpg</v>
      </c>
      <c r="AW3439" s="82" t="s">
        <v>16523</v>
      </c>
      <c r="AX3439" s="82" t="s">
        <v>16523</v>
      </c>
      <c r="AY3439" s="77"/>
      <c r="AZ3439" s="82" t="s">
        <v>17385</v>
      </c>
      <c r="BA3439" s="82" t="s">
        <v>17385</v>
      </c>
      <c r="BB3439" s="82" t="s">
        <v>17385</v>
      </c>
      <c r="BC3439" s="82" t="s">
        <v>16523</v>
      </c>
      <c r="BD3439" s="77">
        <v>51150679</v>
      </c>
      <c r="BE3439" s="77"/>
      <c r="BF3439" s="77"/>
      <c r="BG3439" s="77"/>
      <c r="BH3439" s="77"/>
      <c r="BI3439" s="77"/>
    </row>
    <row r="3440" spans="1:61" x14ac:dyDescent="0.25">
      <c r="A3440" s="62" t="s">
        <v>605</v>
      </c>
      <c r="B3440" s="62" t="s">
        <v>605</v>
      </c>
      <c r="C3440" s="63"/>
      <c r="D3440" s="64"/>
      <c r="E3440" s="65"/>
      <c r="F3440" s="66"/>
      <c r="G3440" s="63"/>
      <c r="H3440" s="67"/>
      <c r="I3440" s="68"/>
      <c r="J3440" s="68"/>
      <c r="K3440" s="32"/>
      <c r="L3440" s="75">
        <v>3440</v>
      </c>
      <c r="M3440" s="75"/>
      <c r="N3440" s="70"/>
      <c r="O3440" s="77" t="s">
        <v>179</v>
      </c>
      <c r="P3440" s="79">
        <v>45147.5312962963</v>
      </c>
      <c r="Q3440" s="77" t="s">
        <v>4214</v>
      </c>
      <c r="R3440" s="77">
        <v>0</v>
      </c>
      <c r="S3440" s="77">
        <v>6</v>
      </c>
      <c r="T3440" s="77">
        <v>0</v>
      </c>
      <c r="U3440" s="77">
        <v>0</v>
      </c>
      <c r="V3440" s="77">
        <v>876</v>
      </c>
      <c r="W3440" s="82" t="s">
        <v>6551</v>
      </c>
      <c r="X3440" s="80" t="str">
        <f>HYPERLINK("https://www.moneytimes.com.br/gestora-dynamo-vende-acoes-da-siderurgica-gerdau-goau4-veja-o-motivo/")</f>
        <v>https://www.moneytimes.com.br/gestora-dynamo-vende-acoes-da-siderurgica-gerdau-goau4-veja-o-motivo/</v>
      </c>
      <c r="Y3440" s="77" t="s">
        <v>7053</v>
      </c>
      <c r="Z3440" s="77"/>
      <c r="AA3440" s="77"/>
      <c r="AB3440" s="77"/>
      <c r="AC3440" s="82" t="s">
        <v>8255</v>
      </c>
      <c r="AD3440" s="77" t="s">
        <v>8278</v>
      </c>
      <c r="AE3440" s="80" t="str">
        <f>HYPERLINK("https://twitter.com/leiamoneytimes/status/1689256479843323904")</f>
        <v>https://twitter.com/leiamoneytimes/status/1689256479843323904</v>
      </c>
      <c r="AF3440" s="79">
        <v>45147.5312962963</v>
      </c>
      <c r="AG3440" s="85">
        <v>45147</v>
      </c>
      <c r="AH3440" s="82" t="s">
        <v>11438</v>
      </c>
      <c r="AI3440" s="77" t="b">
        <v>0</v>
      </c>
      <c r="AJ3440" s="77"/>
      <c r="AK3440" s="77"/>
      <c r="AL3440" s="77"/>
      <c r="AM3440" s="77"/>
      <c r="AN3440" s="77"/>
      <c r="AO3440" s="77"/>
      <c r="AP3440" s="77"/>
      <c r="AQ3440" s="77"/>
      <c r="AR3440" s="77"/>
      <c r="AS3440" s="77"/>
      <c r="AT3440" s="77"/>
      <c r="AU3440" s="77"/>
      <c r="AV3440" s="80" t="str">
        <f>HYPERLINK("https://pbs.twimg.com/profile_images/1559883556846977024/bXHnQFY0_normal.jpg")</f>
        <v>https://pbs.twimg.com/profile_images/1559883556846977024/bXHnQFY0_normal.jpg</v>
      </c>
      <c r="AW3440" s="82" t="s">
        <v>16524</v>
      </c>
      <c r="AX3440" s="82" t="s">
        <v>16524</v>
      </c>
      <c r="AY3440" s="77"/>
      <c r="AZ3440" s="82" t="s">
        <v>17385</v>
      </c>
      <c r="BA3440" s="82" t="s">
        <v>17385</v>
      </c>
      <c r="BB3440" s="82" t="s">
        <v>17385</v>
      </c>
      <c r="BC3440" s="82" t="s">
        <v>16524</v>
      </c>
      <c r="BD3440" s="77">
        <v>51150679</v>
      </c>
      <c r="BE3440" s="77"/>
      <c r="BF3440" s="77"/>
      <c r="BG3440" s="77"/>
      <c r="BH3440" s="77"/>
      <c r="BI3440" s="77"/>
    </row>
    <row r="3441" spans="1:61" x14ac:dyDescent="0.25">
      <c r="A3441" s="62" t="s">
        <v>605</v>
      </c>
      <c r="B3441" s="62" t="s">
        <v>605</v>
      </c>
      <c r="C3441" s="63"/>
      <c r="D3441" s="64"/>
      <c r="E3441" s="65"/>
      <c r="F3441" s="66"/>
      <c r="G3441" s="63"/>
      <c r="H3441" s="67"/>
      <c r="I3441" s="68"/>
      <c r="J3441" s="68"/>
      <c r="K3441" s="32"/>
      <c r="L3441" s="75">
        <v>3441</v>
      </c>
      <c r="M3441" s="75"/>
      <c r="N3441" s="70"/>
      <c r="O3441" s="77" t="s">
        <v>179</v>
      </c>
      <c r="P3441" s="79">
        <v>45147.527731481481</v>
      </c>
      <c r="Q3441" s="77" t="s">
        <v>4215</v>
      </c>
      <c r="R3441" s="77">
        <v>2</v>
      </c>
      <c r="S3441" s="77">
        <v>12</v>
      </c>
      <c r="T3441" s="77">
        <v>1</v>
      </c>
      <c r="U3441" s="77">
        <v>0</v>
      </c>
      <c r="V3441" s="77">
        <v>1300</v>
      </c>
      <c r="W3441" s="82" t="s">
        <v>5601</v>
      </c>
      <c r="X3441" s="80" t="str">
        <f>HYPERLINK("https://www.moneytimes.com.br/gringos-retiram-cifra-bilionaria-em-acoes-na-b3-desde-a-decisao-de-juros/")</f>
        <v>https://www.moneytimes.com.br/gringos-retiram-cifra-bilionaria-em-acoes-na-b3-desde-a-decisao-de-juros/</v>
      </c>
      <c r="Y3441" s="77" t="s">
        <v>7053</v>
      </c>
      <c r="Z3441" s="77"/>
      <c r="AA3441" s="77"/>
      <c r="AB3441" s="77"/>
      <c r="AC3441" s="82" t="s">
        <v>8255</v>
      </c>
      <c r="AD3441" s="77" t="s">
        <v>8278</v>
      </c>
      <c r="AE3441" s="80" t="str">
        <f>HYPERLINK("https://twitter.com/leiamoneytimes/status/1689255187217530880")</f>
        <v>https://twitter.com/leiamoneytimes/status/1689255187217530880</v>
      </c>
      <c r="AF3441" s="79">
        <v>45147.527731481481</v>
      </c>
      <c r="AG3441" s="85">
        <v>45147</v>
      </c>
      <c r="AH3441" s="82" t="s">
        <v>11439</v>
      </c>
      <c r="AI3441" s="77" t="b">
        <v>0</v>
      </c>
      <c r="AJ3441" s="77"/>
      <c r="AK3441" s="77"/>
      <c r="AL3441" s="77"/>
      <c r="AM3441" s="77"/>
      <c r="AN3441" s="77"/>
      <c r="AO3441" s="77"/>
      <c r="AP3441" s="77"/>
      <c r="AQ3441" s="77"/>
      <c r="AR3441" s="77"/>
      <c r="AS3441" s="77"/>
      <c r="AT3441" s="77"/>
      <c r="AU3441" s="77"/>
      <c r="AV3441" s="80" t="str">
        <f>HYPERLINK("https://pbs.twimg.com/profile_images/1559883556846977024/bXHnQFY0_normal.jpg")</f>
        <v>https://pbs.twimg.com/profile_images/1559883556846977024/bXHnQFY0_normal.jpg</v>
      </c>
      <c r="AW3441" s="82" t="s">
        <v>16525</v>
      </c>
      <c r="AX3441" s="82" t="s">
        <v>16525</v>
      </c>
      <c r="AY3441" s="77"/>
      <c r="AZ3441" s="82" t="s">
        <v>17385</v>
      </c>
      <c r="BA3441" s="82" t="s">
        <v>17385</v>
      </c>
      <c r="BB3441" s="82" t="s">
        <v>17385</v>
      </c>
      <c r="BC3441" s="82" t="s">
        <v>16525</v>
      </c>
      <c r="BD3441" s="77">
        <v>51150679</v>
      </c>
      <c r="BE3441" s="77"/>
      <c r="BF3441" s="77"/>
      <c r="BG3441" s="77"/>
      <c r="BH3441" s="77"/>
      <c r="BI3441" s="77"/>
    </row>
    <row r="3442" spans="1:61" x14ac:dyDescent="0.25">
      <c r="A3442" s="62" t="s">
        <v>605</v>
      </c>
      <c r="B3442" s="62" t="s">
        <v>605</v>
      </c>
      <c r="C3442" s="63"/>
      <c r="D3442" s="64"/>
      <c r="E3442" s="65"/>
      <c r="F3442" s="66"/>
      <c r="G3442" s="63"/>
      <c r="H3442" s="67"/>
      <c r="I3442" s="68"/>
      <c r="J3442" s="68"/>
      <c r="K3442" s="32"/>
      <c r="L3442" s="75">
        <v>3442</v>
      </c>
      <c r="M3442" s="75"/>
      <c r="N3442" s="70"/>
      <c r="O3442" s="77" t="s">
        <v>179</v>
      </c>
      <c r="P3442" s="79">
        <v>45147.496203703704</v>
      </c>
      <c r="Q3442" s="77" t="s">
        <v>4216</v>
      </c>
      <c r="R3442" s="77">
        <v>0</v>
      </c>
      <c r="S3442" s="77">
        <v>2</v>
      </c>
      <c r="T3442" s="77">
        <v>1</v>
      </c>
      <c r="U3442" s="77">
        <v>0</v>
      </c>
      <c r="V3442" s="77">
        <v>877</v>
      </c>
      <c r="W3442" s="82" t="s">
        <v>5596</v>
      </c>
      <c r="X3442" s="80" t="str">
        <f>HYPERLINK("https://www.moneytimes.com.br/ja-esta-dando-saudade-de-ver-a-bolsa-subir-o-que-esperar-do-magalu-e-da-via-no-2t23-lucro-recorde-do-btg-pactual-copel-privatizada-e-outros-destaques/")</f>
        <v>https://www.moneytimes.com.br/ja-esta-dando-saudade-de-ver-a-bolsa-subir-o-que-esperar-do-magalu-e-da-via-no-2t23-lucro-recorde-do-btg-pactual-copel-privatizada-e-outros-destaques/</v>
      </c>
      <c r="Y3442" s="77" t="s">
        <v>7053</v>
      </c>
      <c r="Z3442" s="77"/>
      <c r="AA3442" s="77"/>
      <c r="AB3442" s="77"/>
      <c r="AC3442" s="82" t="s">
        <v>8255</v>
      </c>
      <c r="AD3442" s="77" t="s">
        <v>8278</v>
      </c>
      <c r="AE3442" s="80" t="str">
        <f>HYPERLINK("https://twitter.com/leiamoneytimes/status/1689243761509834752")</f>
        <v>https://twitter.com/leiamoneytimes/status/1689243761509834752</v>
      </c>
      <c r="AF3442" s="79">
        <v>45147.496203703704</v>
      </c>
      <c r="AG3442" s="85">
        <v>45147</v>
      </c>
      <c r="AH3442" s="82" t="s">
        <v>11440</v>
      </c>
      <c r="AI3442" s="77" t="b">
        <v>0</v>
      </c>
      <c r="AJ3442" s="77"/>
      <c r="AK3442" s="77"/>
      <c r="AL3442" s="77"/>
      <c r="AM3442" s="77"/>
      <c r="AN3442" s="77"/>
      <c r="AO3442" s="77"/>
      <c r="AP3442" s="77"/>
      <c r="AQ3442" s="77"/>
      <c r="AR3442" s="77"/>
      <c r="AS3442" s="77"/>
      <c r="AT3442" s="77"/>
      <c r="AU3442" s="77"/>
      <c r="AV3442" s="80" t="str">
        <f>HYPERLINK("https://pbs.twimg.com/profile_images/1559883556846977024/bXHnQFY0_normal.jpg")</f>
        <v>https://pbs.twimg.com/profile_images/1559883556846977024/bXHnQFY0_normal.jpg</v>
      </c>
      <c r="AW3442" s="82" t="s">
        <v>16526</v>
      </c>
      <c r="AX3442" s="82" t="s">
        <v>16526</v>
      </c>
      <c r="AY3442" s="77"/>
      <c r="AZ3442" s="82" t="s">
        <v>17385</v>
      </c>
      <c r="BA3442" s="82" t="s">
        <v>17385</v>
      </c>
      <c r="BB3442" s="82" t="s">
        <v>17385</v>
      </c>
      <c r="BC3442" s="82" t="s">
        <v>16526</v>
      </c>
      <c r="BD3442" s="77">
        <v>51150679</v>
      </c>
      <c r="BE3442" s="77"/>
      <c r="BF3442" s="77"/>
      <c r="BG3442" s="77"/>
      <c r="BH3442" s="77"/>
      <c r="BI3442" s="77"/>
    </row>
    <row r="3443" spans="1:61" x14ac:dyDescent="0.25">
      <c r="A3443" s="62" t="s">
        <v>605</v>
      </c>
      <c r="B3443" s="62" t="s">
        <v>605</v>
      </c>
      <c r="C3443" s="63"/>
      <c r="D3443" s="64"/>
      <c r="E3443" s="65"/>
      <c r="F3443" s="66"/>
      <c r="G3443" s="63"/>
      <c r="H3443" s="67"/>
      <c r="I3443" s="68"/>
      <c r="J3443" s="68"/>
      <c r="K3443" s="32"/>
      <c r="L3443" s="75">
        <v>3443</v>
      </c>
      <c r="M3443" s="75"/>
      <c r="N3443" s="70"/>
      <c r="O3443" s="77" t="s">
        <v>179</v>
      </c>
      <c r="P3443" s="79">
        <v>45147.442118055558</v>
      </c>
      <c r="Q3443" s="77" t="s">
        <v>4217</v>
      </c>
      <c r="R3443" s="77">
        <v>0</v>
      </c>
      <c r="S3443" s="77">
        <v>17</v>
      </c>
      <c r="T3443" s="77">
        <v>1</v>
      </c>
      <c r="U3443" s="77">
        <v>0</v>
      </c>
      <c r="V3443" s="77">
        <v>1868</v>
      </c>
      <c r="W3443" s="82" t="s">
        <v>6678</v>
      </c>
      <c r="X3443" s="80" t="str">
        <f>HYPERLINK("https://www.moneytimes.com.br/btg-pactual-bpac11-tem-lucro-liquido-de-r-26-bilhoes-no-2t23-salto-de-18/")</f>
        <v>https://www.moneytimes.com.br/btg-pactual-bpac11-tem-lucro-liquido-de-r-26-bilhoes-no-2t23-salto-de-18/</v>
      </c>
      <c r="Y3443" s="77" t="s">
        <v>7053</v>
      </c>
      <c r="Z3443" s="77"/>
      <c r="AA3443" s="77"/>
      <c r="AB3443" s="77"/>
      <c r="AC3443" s="82" t="s">
        <v>8255</v>
      </c>
      <c r="AD3443" s="77" t="s">
        <v>8278</v>
      </c>
      <c r="AE3443" s="80" t="str">
        <f>HYPERLINK("https://twitter.com/leiamoneytimes/status/1689224161850195969")</f>
        <v>https://twitter.com/leiamoneytimes/status/1689224161850195969</v>
      </c>
      <c r="AF3443" s="79">
        <v>45147.442118055558</v>
      </c>
      <c r="AG3443" s="85">
        <v>45147</v>
      </c>
      <c r="AH3443" s="82" t="s">
        <v>11441</v>
      </c>
      <c r="AI3443" s="77" t="b">
        <v>0</v>
      </c>
      <c r="AJ3443" s="77"/>
      <c r="AK3443" s="77"/>
      <c r="AL3443" s="77"/>
      <c r="AM3443" s="77"/>
      <c r="AN3443" s="77"/>
      <c r="AO3443" s="77"/>
      <c r="AP3443" s="77"/>
      <c r="AQ3443" s="77"/>
      <c r="AR3443" s="77"/>
      <c r="AS3443" s="77"/>
      <c r="AT3443" s="77"/>
      <c r="AU3443" s="77"/>
      <c r="AV3443" s="80" t="str">
        <f>HYPERLINK("https://pbs.twimg.com/profile_images/1559883556846977024/bXHnQFY0_normal.jpg")</f>
        <v>https://pbs.twimg.com/profile_images/1559883556846977024/bXHnQFY0_normal.jpg</v>
      </c>
      <c r="AW3443" s="82" t="s">
        <v>16527</v>
      </c>
      <c r="AX3443" s="82" t="s">
        <v>16527</v>
      </c>
      <c r="AY3443" s="77"/>
      <c r="AZ3443" s="82" t="s">
        <v>17385</v>
      </c>
      <c r="BA3443" s="82" t="s">
        <v>17385</v>
      </c>
      <c r="BB3443" s="82" t="s">
        <v>17385</v>
      </c>
      <c r="BC3443" s="82" t="s">
        <v>16527</v>
      </c>
      <c r="BD3443" s="77">
        <v>51150679</v>
      </c>
      <c r="BE3443" s="77"/>
      <c r="BF3443" s="77"/>
      <c r="BG3443" s="77"/>
      <c r="BH3443" s="77"/>
      <c r="BI3443" s="77"/>
    </row>
    <row r="3444" spans="1:61" x14ac:dyDescent="0.25">
      <c r="A3444" s="62" t="s">
        <v>605</v>
      </c>
      <c r="B3444" s="62" t="s">
        <v>605</v>
      </c>
      <c r="C3444" s="63"/>
      <c r="D3444" s="64"/>
      <c r="E3444" s="65"/>
      <c r="F3444" s="66"/>
      <c r="G3444" s="63"/>
      <c r="H3444" s="67"/>
      <c r="I3444" s="68"/>
      <c r="J3444" s="68"/>
      <c r="K3444" s="32"/>
      <c r="L3444" s="75">
        <v>3444</v>
      </c>
      <c r="M3444" s="75"/>
      <c r="N3444" s="70"/>
      <c r="O3444" s="77" t="s">
        <v>179</v>
      </c>
      <c r="P3444" s="79">
        <v>45146.846203703702</v>
      </c>
      <c r="Q3444" s="77" t="s">
        <v>4218</v>
      </c>
      <c r="R3444" s="77">
        <v>0</v>
      </c>
      <c r="S3444" s="77">
        <v>7</v>
      </c>
      <c r="T3444" s="77">
        <v>1</v>
      </c>
      <c r="U3444" s="77">
        <v>0</v>
      </c>
      <c r="V3444" s="77">
        <v>1087</v>
      </c>
      <c r="W3444" s="82" t="s">
        <v>6551</v>
      </c>
      <c r="X3444" s="80" t="str">
        <f>HYPERLINK("https://www.moneytimes.com.br/ibovespa-hoje-fecha-queda-119-mil-pontos-gerdau-ggbr4-resultados-2t23-08-08-2023/")</f>
        <v>https://www.moneytimes.com.br/ibovespa-hoje-fecha-queda-119-mil-pontos-gerdau-ggbr4-resultados-2t23-08-08-2023/</v>
      </c>
      <c r="Y3444" s="77" t="s">
        <v>7053</v>
      </c>
      <c r="Z3444" s="77"/>
      <c r="AA3444" s="77"/>
      <c r="AB3444" s="77"/>
      <c r="AC3444" s="82" t="s">
        <v>8255</v>
      </c>
      <c r="AD3444" s="77" t="s">
        <v>8278</v>
      </c>
      <c r="AE3444" s="80" t="str">
        <f>HYPERLINK("https://twitter.com/leiamoneytimes/status/1689008210139590656")</f>
        <v>https://twitter.com/leiamoneytimes/status/1689008210139590656</v>
      </c>
      <c r="AF3444" s="79">
        <v>45146.846203703702</v>
      </c>
      <c r="AG3444" s="85">
        <v>45146</v>
      </c>
      <c r="AH3444" s="82" t="s">
        <v>11442</v>
      </c>
      <c r="AI3444" s="77" t="b">
        <v>0</v>
      </c>
      <c r="AJ3444" s="77"/>
      <c r="AK3444" s="77"/>
      <c r="AL3444" s="77"/>
      <c r="AM3444" s="77"/>
      <c r="AN3444" s="77"/>
      <c r="AO3444" s="77"/>
      <c r="AP3444" s="77"/>
      <c r="AQ3444" s="77"/>
      <c r="AR3444" s="77"/>
      <c r="AS3444" s="77"/>
      <c r="AT3444" s="77"/>
      <c r="AU3444" s="77"/>
      <c r="AV3444" s="80" t="str">
        <f>HYPERLINK("https://pbs.twimg.com/profile_images/1559883556846977024/bXHnQFY0_normal.jpg")</f>
        <v>https://pbs.twimg.com/profile_images/1559883556846977024/bXHnQFY0_normal.jpg</v>
      </c>
      <c r="AW3444" s="82" t="s">
        <v>16528</v>
      </c>
      <c r="AX3444" s="82" t="s">
        <v>16528</v>
      </c>
      <c r="AY3444" s="77"/>
      <c r="AZ3444" s="82" t="s">
        <v>17385</v>
      </c>
      <c r="BA3444" s="82" t="s">
        <v>17385</v>
      </c>
      <c r="BB3444" s="82" t="s">
        <v>17385</v>
      </c>
      <c r="BC3444" s="82" t="s">
        <v>16528</v>
      </c>
      <c r="BD3444" s="77">
        <v>51150679</v>
      </c>
      <c r="BE3444" s="77"/>
      <c r="BF3444" s="77"/>
      <c r="BG3444" s="77"/>
      <c r="BH3444" s="77"/>
      <c r="BI3444" s="77"/>
    </row>
    <row r="3445" spans="1:61" x14ac:dyDescent="0.25">
      <c r="A3445" s="62" t="s">
        <v>605</v>
      </c>
      <c r="B3445" s="62" t="s">
        <v>605</v>
      </c>
      <c r="C3445" s="63"/>
      <c r="D3445" s="64"/>
      <c r="E3445" s="65"/>
      <c r="F3445" s="66"/>
      <c r="G3445" s="63"/>
      <c r="H3445" s="67"/>
      <c r="I3445" s="68"/>
      <c r="J3445" s="68"/>
      <c r="K3445" s="32"/>
      <c r="L3445" s="75">
        <v>3445</v>
      </c>
      <c r="M3445" s="75"/>
      <c r="N3445" s="70"/>
      <c r="O3445" s="77" t="s">
        <v>179</v>
      </c>
      <c r="P3445" s="79">
        <v>45146.738368055558</v>
      </c>
      <c r="Q3445" s="77" t="s">
        <v>4219</v>
      </c>
      <c r="R3445" s="77">
        <v>0</v>
      </c>
      <c r="S3445" s="77">
        <v>0</v>
      </c>
      <c r="T3445" s="77">
        <v>1</v>
      </c>
      <c r="U3445" s="77">
        <v>0</v>
      </c>
      <c r="V3445" s="77">
        <v>863</v>
      </c>
      <c r="W3445" s="82" t="s">
        <v>6681</v>
      </c>
      <c r="X3445" s="80" t="str">
        <f>HYPERLINK("https://www.moneytimes.com.br/a-frase-que-eu-mais-gosto-de-ouvir-na-faria-lima/")</f>
        <v>https://www.moneytimes.com.br/a-frase-que-eu-mais-gosto-de-ouvir-na-faria-lima/</v>
      </c>
      <c r="Y3445" s="77" t="s">
        <v>7053</v>
      </c>
      <c r="Z3445" s="77"/>
      <c r="AA3445" s="77"/>
      <c r="AB3445" s="77"/>
      <c r="AC3445" s="82" t="s">
        <v>8255</v>
      </c>
      <c r="AD3445" s="77" t="s">
        <v>8278</v>
      </c>
      <c r="AE3445" s="80" t="str">
        <f>HYPERLINK("https://twitter.com/leiamoneytimes/status/1688969133583437835")</f>
        <v>https://twitter.com/leiamoneytimes/status/1688969133583437835</v>
      </c>
      <c r="AF3445" s="79">
        <v>45146.738368055558</v>
      </c>
      <c r="AG3445" s="85">
        <v>45146</v>
      </c>
      <c r="AH3445" s="82" t="s">
        <v>11443</v>
      </c>
      <c r="AI3445" s="77" t="b">
        <v>0</v>
      </c>
      <c r="AJ3445" s="77"/>
      <c r="AK3445" s="77"/>
      <c r="AL3445" s="77"/>
      <c r="AM3445" s="77"/>
      <c r="AN3445" s="77"/>
      <c r="AO3445" s="77"/>
      <c r="AP3445" s="77"/>
      <c r="AQ3445" s="77"/>
      <c r="AR3445" s="77"/>
      <c r="AS3445" s="77"/>
      <c r="AT3445" s="77"/>
      <c r="AU3445" s="77"/>
      <c r="AV3445" s="80" t="str">
        <f>HYPERLINK("https://pbs.twimg.com/profile_images/1559883556846977024/bXHnQFY0_normal.jpg")</f>
        <v>https://pbs.twimg.com/profile_images/1559883556846977024/bXHnQFY0_normal.jpg</v>
      </c>
      <c r="AW3445" s="82" t="s">
        <v>16529</v>
      </c>
      <c r="AX3445" s="82" t="s">
        <v>16529</v>
      </c>
      <c r="AY3445" s="77"/>
      <c r="AZ3445" s="82" t="s">
        <v>17385</v>
      </c>
      <c r="BA3445" s="82" t="s">
        <v>17385</v>
      </c>
      <c r="BB3445" s="82" t="s">
        <v>17385</v>
      </c>
      <c r="BC3445" s="82" t="s">
        <v>16529</v>
      </c>
      <c r="BD3445" s="77">
        <v>51150679</v>
      </c>
      <c r="BE3445" s="77"/>
      <c r="BF3445" s="77"/>
      <c r="BG3445" s="77"/>
      <c r="BH3445" s="77"/>
      <c r="BI3445" s="77"/>
    </row>
    <row r="3446" spans="1:61" x14ac:dyDescent="0.25">
      <c r="A3446" s="62" t="s">
        <v>605</v>
      </c>
      <c r="B3446" s="62" t="s">
        <v>605</v>
      </c>
      <c r="C3446" s="63"/>
      <c r="D3446" s="64"/>
      <c r="E3446" s="65"/>
      <c r="F3446" s="66"/>
      <c r="G3446" s="63"/>
      <c r="H3446" s="67"/>
      <c r="I3446" s="68"/>
      <c r="J3446" s="68"/>
      <c r="K3446" s="32"/>
      <c r="L3446" s="75">
        <v>3446</v>
      </c>
      <c r="M3446" s="75"/>
      <c r="N3446" s="70"/>
      <c r="O3446" s="77" t="s">
        <v>179</v>
      </c>
      <c r="P3446" s="79">
        <v>45146.663055555553</v>
      </c>
      <c r="Q3446" s="77" t="s">
        <v>4220</v>
      </c>
      <c r="R3446" s="77">
        <v>0</v>
      </c>
      <c r="S3446" s="77">
        <v>4</v>
      </c>
      <c r="T3446" s="77">
        <v>2</v>
      </c>
      <c r="U3446" s="77">
        <v>0</v>
      </c>
      <c r="V3446" s="77">
        <v>1139</v>
      </c>
      <c r="W3446" s="82" t="s">
        <v>6615</v>
      </c>
      <c r="X3446" s="80" t="str">
        <f>HYPERLINK("https://www.moneytimes.com.br/ibovespa-hoje-agora-eletrobras-petz-08-08-2023/")</f>
        <v>https://www.moneytimes.com.br/ibovespa-hoje-agora-eletrobras-petz-08-08-2023/</v>
      </c>
      <c r="Y3446" s="77" t="s">
        <v>7053</v>
      </c>
      <c r="Z3446" s="77"/>
      <c r="AA3446" s="77"/>
      <c r="AB3446" s="77"/>
      <c r="AC3446" s="82" t="s">
        <v>8255</v>
      </c>
      <c r="AD3446" s="77" t="s">
        <v>8278</v>
      </c>
      <c r="AE3446" s="80" t="str">
        <f>HYPERLINK("https://twitter.com/leiamoneytimes/status/1688941841578680320")</f>
        <v>https://twitter.com/leiamoneytimes/status/1688941841578680320</v>
      </c>
      <c r="AF3446" s="79">
        <v>45146.663055555553</v>
      </c>
      <c r="AG3446" s="85">
        <v>45146</v>
      </c>
      <c r="AH3446" s="82" t="s">
        <v>11444</v>
      </c>
      <c r="AI3446" s="77" t="b">
        <v>0</v>
      </c>
      <c r="AJ3446" s="77"/>
      <c r="AK3446" s="77"/>
      <c r="AL3446" s="77"/>
      <c r="AM3446" s="77"/>
      <c r="AN3446" s="77"/>
      <c r="AO3446" s="77"/>
      <c r="AP3446" s="77"/>
      <c r="AQ3446" s="77"/>
      <c r="AR3446" s="77"/>
      <c r="AS3446" s="77"/>
      <c r="AT3446" s="77"/>
      <c r="AU3446" s="77"/>
      <c r="AV3446" s="80" t="str">
        <f>HYPERLINK("https://pbs.twimg.com/profile_images/1559883556846977024/bXHnQFY0_normal.jpg")</f>
        <v>https://pbs.twimg.com/profile_images/1559883556846977024/bXHnQFY0_normal.jpg</v>
      </c>
      <c r="AW3446" s="82" t="s">
        <v>16530</v>
      </c>
      <c r="AX3446" s="82" t="s">
        <v>16530</v>
      </c>
      <c r="AY3446" s="77"/>
      <c r="AZ3446" s="82" t="s">
        <v>17385</v>
      </c>
      <c r="BA3446" s="82" t="s">
        <v>17385</v>
      </c>
      <c r="BB3446" s="82" t="s">
        <v>17385</v>
      </c>
      <c r="BC3446" s="82" t="s">
        <v>16530</v>
      </c>
      <c r="BD3446" s="77">
        <v>51150679</v>
      </c>
      <c r="BE3446" s="77"/>
      <c r="BF3446" s="77"/>
      <c r="BG3446" s="77"/>
      <c r="BH3446" s="77"/>
      <c r="BI3446" s="77"/>
    </row>
    <row r="3447" spans="1:61" x14ac:dyDescent="0.25">
      <c r="A3447" s="62" t="s">
        <v>605</v>
      </c>
      <c r="B3447" s="62" t="s">
        <v>605</v>
      </c>
      <c r="C3447" s="63"/>
      <c r="D3447" s="64"/>
      <c r="E3447" s="65"/>
      <c r="F3447" s="66"/>
      <c r="G3447" s="63"/>
      <c r="H3447" s="67"/>
      <c r="I3447" s="68"/>
      <c r="J3447" s="68"/>
      <c r="K3447" s="32"/>
      <c r="L3447" s="75">
        <v>3447</v>
      </c>
      <c r="M3447" s="75"/>
      <c r="N3447" s="70"/>
      <c r="O3447" s="77" t="s">
        <v>179</v>
      </c>
      <c r="P3447" s="79">
        <v>45146.625659722224</v>
      </c>
      <c r="Q3447" s="77" t="s">
        <v>4221</v>
      </c>
      <c r="R3447" s="77">
        <v>0</v>
      </c>
      <c r="S3447" s="77">
        <v>1</v>
      </c>
      <c r="T3447" s="77">
        <v>1</v>
      </c>
      <c r="U3447" s="77">
        <v>0</v>
      </c>
      <c r="V3447" s="77">
        <v>1026</v>
      </c>
      <c r="W3447" s="82" t="s">
        <v>6580</v>
      </c>
      <c r="X3447" s="80" t="str">
        <f>HYPERLINK("https://www.moneytimes.com.br/quer-dividendos-faz-sentido-ter-petr4-e-vale3-veja-como-fazer-uma-carteira-lucrativa/")</f>
        <v>https://www.moneytimes.com.br/quer-dividendos-faz-sentido-ter-petr4-e-vale3-veja-como-fazer-uma-carteira-lucrativa/</v>
      </c>
      <c r="Y3447" s="77" t="s">
        <v>7053</v>
      </c>
      <c r="Z3447" s="77"/>
      <c r="AA3447" s="77"/>
      <c r="AB3447" s="77"/>
      <c r="AC3447" s="82" t="s">
        <v>8255</v>
      </c>
      <c r="AD3447" s="77" t="s">
        <v>8278</v>
      </c>
      <c r="AE3447" s="80" t="str">
        <f>HYPERLINK("https://twitter.com/leiamoneytimes/status/1688928288406921216")</f>
        <v>https://twitter.com/leiamoneytimes/status/1688928288406921216</v>
      </c>
      <c r="AF3447" s="79">
        <v>45146.625659722224</v>
      </c>
      <c r="AG3447" s="85">
        <v>45146</v>
      </c>
      <c r="AH3447" s="82" t="s">
        <v>11445</v>
      </c>
      <c r="AI3447" s="77" t="b">
        <v>0</v>
      </c>
      <c r="AJ3447" s="77"/>
      <c r="AK3447" s="77"/>
      <c r="AL3447" s="77"/>
      <c r="AM3447" s="77"/>
      <c r="AN3447" s="77"/>
      <c r="AO3447" s="77"/>
      <c r="AP3447" s="77"/>
      <c r="AQ3447" s="77"/>
      <c r="AR3447" s="77"/>
      <c r="AS3447" s="77"/>
      <c r="AT3447" s="77"/>
      <c r="AU3447" s="77"/>
      <c r="AV3447" s="80" t="str">
        <f>HYPERLINK("https://pbs.twimg.com/profile_images/1559883556846977024/bXHnQFY0_normal.jpg")</f>
        <v>https://pbs.twimg.com/profile_images/1559883556846977024/bXHnQFY0_normal.jpg</v>
      </c>
      <c r="AW3447" s="82" t="s">
        <v>16531</v>
      </c>
      <c r="AX3447" s="82" t="s">
        <v>16531</v>
      </c>
      <c r="AY3447" s="77"/>
      <c r="AZ3447" s="82" t="s">
        <v>17385</v>
      </c>
      <c r="BA3447" s="82" t="s">
        <v>17385</v>
      </c>
      <c r="BB3447" s="82" t="s">
        <v>17385</v>
      </c>
      <c r="BC3447" s="82" t="s">
        <v>16531</v>
      </c>
      <c r="BD3447" s="77">
        <v>51150679</v>
      </c>
      <c r="BE3447" s="77"/>
      <c r="BF3447" s="77"/>
      <c r="BG3447" s="77"/>
      <c r="BH3447" s="77"/>
      <c r="BI3447" s="77"/>
    </row>
    <row r="3448" spans="1:61" x14ac:dyDescent="0.25">
      <c r="A3448" s="62" t="s">
        <v>605</v>
      </c>
      <c r="B3448" s="62" t="s">
        <v>605</v>
      </c>
      <c r="C3448" s="63"/>
      <c r="D3448" s="64"/>
      <c r="E3448" s="65"/>
      <c r="F3448" s="66"/>
      <c r="G3448" s="63"/>
      <c r="H3448" s="67"/>
      <c r="I3448" s="68"/>
      <c r="J3448" s="68"/>
      <c r="K3448" s="32"/>
      <c r="L3448" s="75">
        <v>3448</v>
      </c>
      <c r="M3448" s="75"/>
      <c r="N3448" s="70"/>
      <c r="O3448" s="77" t="s">
        <v>179</v>
      </c>
      <c r="P3448" s="79">
        <v>45145.846018518518</v>
      </c>
      <c r="Q3448" s="77" t="s">
        <v>4222</v>
      </c>
      <c r="R3448" s="77">
        <v>0</v>
      </c>
      <c r="S3448" s="77">
        <v>1</v>
      </c>
      <c r="T3448" s="77">
        <v>1</v>
      </c>
      <c r="U3448" s="77">
        <v>0</v>
      </c>
      <c r="V3448" s="77">
        <v>1102</v>
      </c>
      <c r="W3448" s="82" t="s">
        <v>6551</v>
      </c>
      <c r="X3448" s="80" t="str">
        <f>HYPERLINK("https://www.moneytimes.com.br/ibovespa-hoje-fecha-queda-itau-itub4-resultados-2t23-07-08-2023/")</f>
        <v>https://www.moneytimes.com.br/ibovespa-hoje-fecha-queda-itau-itub4-resultados-2t23-07-08-2023/</v>
      </c>
      <c r="Y3448" s="77" t="s">
        <v>7053</v>
      </c>
      <c r="Z3448" s="77"/>
      <c r="AA3448" s="77"/>
      <c r="AB3448" s="77"/>
      <c r="AC3448" s="82" t="s">
        <v>8255</v>
      </c>
      <c r="AD3448" s="77" t="s">
        <v>8278</v>
      </c>
      <c r="AE3448" s="80" t="str">
        <f>HYPERLINK("https://twitter.com/leiamoneytimes/status/1688645758461886467")</f>
        <v>https://twitter.com/leiamoneytimes/status/1688645758461886467</v>
      </c>
      <c r="AF3448" s="79">
        <v>45145.846018518518</v>
      </c>
      <c r="AG3448" s="85">
        <v>45145</v>
      </c>
      <c r="AH3448" s="82" t="s">
        <v>11446</v>
      </c>
      <c r="AI3448" s="77" t="b">
        <v>0</v>
      </c>
      <c r="AJ3448" s="77"/>
      <c r="AK3448" s="77"/>
      <c r="AL3448" s="77"/>
      <c r="AM3448" s="77"/>
      <c r="AN3448" s="77"/>
      <c r="AO3448" s="77"/>
      <c r="AP3448" s="77"/>
      <c r="AQ3448" s="77"/>
      <c r="AR3448" s="77"/>
      <c r="AS3448" s="77"/>
      <c r="AT3448" s="77"/>
      <c r="AU3448" s="77"/>
      <c r="AV3448" s="80" t="str">
        <f>HYPERLINK("https://pbs.twimg.com/profile_images/1559883556846977024/bXHnQFY0_normal.jpg")</f>
        <v>https://pbs.twimg.com/profile_images/1559883556846977024/bXHnQFY0_normal.jpg</v>
      </c>
      <c r="AW3448" s="82" t="s">
        <v>16532</v>
      </c>
      <c r="AX3448" s="82" t="s">
        <v>16532</v>
      </c>
      <c r="AY3448" s="77"/>
      <c r="AZ3448" s="82" t="s">
        <v>17385</v>
      </c>
      <c r="BA3448" s="82" t="s">
        <v>17385</v>
      </c>
      <c r="BB3448" s="82" t="s">
        <v>17385</v>
      </c>
      <c r="BC3448" s="82" t="s">
        <v>16532</v>
      </c>
      <c r="BD3448" s="77">
        <v>51150679</v>
      </c>
      <c r="BE3448" s="77"/>
      <c r="BF3448" s="77"/>
      <c r="BG3448" s="77"/>
      <c r="BH3448" s="77"/>
      <c r="BI3448" s="77"/>
    </row>
    <row r="3449" spans="1:61" x14ac:dyDescent="0.25">
      <c r="A3449" s="62" t="s">
        <v>605</v>
      </c>
      <c r="B3449" s="62" t="s">
        <v>605</v>
      </c>
      <c r="C3449" s="63"/>
      <c r="D3449" s="64"/>
      <c r="E3449" s="65"/>
      <c r="F3449" s="66"/>
      <c r="G3449" s="63"/>
      <c r="H3449" s="67"/>
      <c r="I3449" s="68"/>
      <c r="J3449" s="68"/>
      <c r="K3449" s="32"/>
      <c r="L3449" s="75">
        <v>3449</v>
      </c>
      <c r="M3449" s="75"/>
      <c r="N3449" s="70"/>
      <c r="O3449" s="77" t="s">
        <v>179</v>
      </c>
      <c r="P3449" s="79">
        <v>45145.821099537039</v>
      </c>
      <c r="Q3449" s="77" t="s">
        <v>4223</v>
      </c>
      <c r="R3449" s="77">
        <v>1</v>
      </c>
      <c r="S3449" s="77">
        <v>1</v>
      </c>
      <c r="T3449" s="77">
        <v>0</v>
      </c>
      <c r="U3449" s="77">
        <v>0</v>
      </c>
      <c r="V3449" s="77">
        <v>941</v>
      </c>
      <c r="W3449" s="82" t="s">
        <v>5596</v>
      </c>
      <c r="X3449" s="80" t="str">
        <f>HYPERLINK("https://www.moneytimes.com.br/como-investir-na-bolsa-de-valores-veja-guia-para-comecar-na-renda-variavel/")</f>
        <v>https://www.moneytimes.com.br/como-investir-na-bolsa-de-valores-veja-guia-para-comecar-na-renda-variavel/</v>
      </c>
      <c r="Y3449" s="77" t="s">
        <v>7053</v>
      </c>
      <c r="Z3449" s="77"/>
      <c r="AA3449" s="77"/>
      <c r="AB3449" s="77"/>
      <c r="AC3449" s="82" t="s">
        <v>8255</v>
      </c>
      <c r="AD3449" s="77" t="s">
        <v>8278</v>
      </c>
      <c r="AE3449" s="80" t="str">
        <f>HYPERLINK("https://twitter.com/leiamoneytimes/status/1688636727009628160")</f>
        <v>https://twitter.com/leiamoneytimes/status/1688636727009628160</v>
      </c>
      <c r="AF3449" s="79">
        <v>45145.821099537039</v>
      </c>
      <c r="AG3449" s="85">
        <v>45145</v>
      </c>
      <c r="AH3449" s="82" t="s">
        <v>11447</v>
      </c>
      <c r="AI3449" s="77" t="b">
        <v>0</v>
      </c>
      <c r="AJ3449" s="77"/>
      <c r="AK3449" s="77"/>
      <c r="AL3449" s="77"/>
      <c r="AM3449" s="77"/>
      <c r="AN3449" s="77"/>
      <c r="AO3449" s="77"/>
      <c r="AP3449" s="77"/>
      <c r="AQ3449" s="77"/>
      <c r="AR3449" s="77"/>
      <c r="AS3449" s="77"/>
      <c r="AT3449" s="77"/>
      <c r="AU3449" s="77"/>
      <c r="AV3449" s="80" t="str">
        <f>HYPERLINK("https://pbs.twimg.com/profile_images/1559883556846977024/bXHnQFY0_normal.jpg")</f>
        <v>https://pbs.twimg.com/profile_images/1559883556846977024/bXHnQFY0_normal.jpg</v>
      </c>
      <c r="AW3449" s="82" t="s">
        <v>16533</v>
      </c>
      <c r="AX3449" s="82" t="s">
        <v>16533</v>
      </c>
      <c r="AY3449" s="77"/>
      <c r="AZ3449" s="82" t="s">
        <v>17385</v>
      </c>
      <c r="BA3449" s="82" t="s">
        <v>17385</v>
      </c>
      <c r="BB3449" s="82" t="s">
        <v>17385</v>
      </c>
      <c r="BC3449" s="82" t="s">
        <v>16533</v>
      </c>
      <c r="BD3449" s="77">
        <v>51150679</v>
      </c>
      <c r="BE3449" s="77"/>
      <c r="BF3449" s="77"/>
      <c r="BG3449" s="77"/>
      <c r="BH3449" s="77"/>
      <c r="BI3449" s="77"/>
    </row>
    <row r="3450" spans="1:61" x14ac:dyDescent="0.25">
      <c r="A3450" s="62" t="s">
        <v>605</v>
      </c>
      <c r="B3450" s="62" t="s">
        <v>605</v>
      </c>
      <c r="C3450" s="63"/>
      <c r="D3450" s="64"/>
      <c r="E3450" s="65"/>
      <c r="F3450" s="66"/>
      <c r="G3450" s="63"/>
      <c r="H3450" s="67"/>
      <c r="I3450" s="68"/>
      <c r="J3450" s="68"/>
      <c r="K3450" s="32"/>
      <c r="L3450" s="75">
        <v>3450</v>
      </c>
      <c r="M3450" s="75"/>
      <c r="N3450" s="70"/>
      <c r="O3450" s="77" t="s">
        <v>179</v>
      </c>
      <c r="P3450" s="79">
        <v>45145.665289351855</v>
      </c>
      <c r="Q3450" s="77" t="s">
        <v>4224</v>
      </c>
      <c r="R3450" s="77">
        <v>0</v>
      </c>
      <c r="S3450" s="77">
        <v>1</v>
      </c>
      <c r="T3450" s="77">
        <v>1</v>
      </c>
      <c r="U3450" s="77">
        <v>0</v>
      </c>
      <c r="V3450" s="77">
        <v>1219</v>
      </c>
      <c r="W3450" s="82" t="s">
        <v>6682</v>
      </c>
      <c r="X3450" s="80" t="str">
        <f>HYPERLINK("https://www.moneytimes.com.br/ibovespa-hoje-agora-meliuz-assai-bb-seguridade-07-08-2023/")</f>
        <v>https://www.moneytimes.com.br/ibovespa-hoje-agora-meliuz-assai-bb-seguridade-07-08-2023/</v>
      </c>
      <c r="Y3450" s="77" t="s">
        <v>7053</v>
      </c>
      <c r="Z3450" s="77"/>
      <c r="AA3450" s="77"/>
      <c r="AB3450" s="77"/>
      <c r="AC3450" s="82" t="s">
        <v>8255</v>
      </c>
      <c r="AD3450" s="77" t="s">
        <v>8278</v>
      </c>
      <c r="AE3450" s="80" t="str">
        <f>HYPERLINK("https://twitter.com/leiamoneytimes/status/1688580263817682944")</f>
        <v>https://twitter.com/leiamoneytimes/status/1688580263817682944</v>
      </c>
      <c r="AF3450" s="79">
        <v>45145.665289351855</v>
      </c>
      <c r="AG3450" s="85">
        <v>45145</v>
      </c>
      <c r="AH3450" s="82" t="s">
        <v>11448</v>
      </c>
      <c r="AI3450" s="77" t="b">
        <v>0</v>
      </c>
      <c r="AJ3450" s="77"/>
      <c r="AK3450" s="77"/>
      <c r="AL3450" s="77"/>
      <c r="AM3450" s="77"/>
      <c r="AN3450" s="77"/>
      <c r="AO3450" s="77"/>
      <c r="AP3450" s="77"/>
      <c r="AQ3450" s="77"/>
      <c r="AR3450" s="77"/>
      <c r="AS3450" s="77"/>
      <c r="AT3450" s="77"/>
      <c r="AU3450" s="77"/>
      <c r="AV3450" s="80" t="str">
        <f>HYPERLINK("https://pbs.twimg.com/profile_images/1559883556846977024/bXHnQFY0_normal.jpg")</f>
        <v>https://pbs.twimg.com/profile_images/1559883556846977024/bXHnQFY0_normal.jpg</v>
      </c>
      <c r="AW3450" s="82" t="s">
        <v>16534</v>
      </c>
      <c r="AX3450" s="82" t="s">
        <v>16534</v>
      </c>
      <c r="AY3450" s="77"/>
      <c r="AZ3450" s="82" t="s">
        <v>17385</v>
      </c>
      <c r="BA3450" s="82" t="s">
        <v>17385</v>
      </c>
      <c r="BB3450" s="82" t="s">
        <v>17385</v>
      </c>
      <c r="BC3450" s="82" t="s">
        <v>16534</v>
      </c>
      <c r="BD3450" s="77">
        <v>51150679</v>
      </c>
      <c r="BE3450" s="77"/>
      <c r="BF3450" s="77"/>
      <c r="BG3450" s="77"/>
      <c r="BH3450" s="77"/>
      <c r="BI3450" s="77"/>
    </row>
    <row r="3451" spans="1:61" x14ac:dyDescent="0.25">
      <c r="A3451" s="62" t="s">
        <v>605</v>
      </c>
      <c r="B3451" s="62" t="s">
        <v>605</v>
      </c>
      <c r="C3451" s="63"/>
      <c r="D3451" s="64"/>
      <c r="E3451" s="65"/>
      <c r="F3451" s="66"/>
      <c r="G3451" s="63"/>
      <c r="H3451" s="67"/>
      <c r="I3451" s="68"/>
      <c r="J3451" s="68"/>
      <c r="K3451" s="32"/>
      <c r="L3451" s="75">
        <v>3451</v>
      </c>
      <c r="M3451" s="75"/>
      <c r="N3451" s="70"/>
      <c r="O3451" s="77" t="s">
        <v>179</v>
      </c>
      <c r="P3451" s="79">
        <v>45145.638935185183</v>
      </c>
      <c r="Q3451" s="77" t="s">
        <v>4225</v>
      </c>
      <c r="R3451" s="77">
        <v>0</v>
      </c>
      <c r="S3451" s="77">
        <v>3</v>
      </c>
      <c r="T3451" s="77">
        <v>1</v>
      </c>
      <c r="U3451" s="77">
        <v>0</v>
      </c>
      <c r="V3451" s="77">
        <v>975</v>
      </c>
      <c r="W3451" s="82" t="s">
        <v>5601</v>
      </c>
      <c r="X3451" s="80" t="str">
        <f>HYPERLINK("https://www.moneytimes.com.br/gringos-sacam-r-1-bilhao-depois-do-copom-saldo-de-agosto-e-negativo/")</f>
        <v>https://www.moneytimes.com.br/gringos-sacam-r-1-bilhao-depois-do-copom-saldo-de-agosto-e-negativo/</v>
      </c>
      <c r="Y3451" s="77" t="s">
        <v>7053</v>
      </c>
      <c r="Z3451" s="77"/>
      <c r="AA3451" s="77"/>
      <c r="AB3451" s="77"/>
      <c r="AC3451" s="82" t="s">
        <v>8255</v>
      </c>
      <c r="AD3451" s="77" t="s">
        <v>8278</v>
      </c>
      <c r="AE3451" s="80" t="str">
        <f>HYPERLINK("https://twitter.com/leiamoneytimes/status/1688570710501838848")</f>
        <v>https://twitter.com/leiamoneytimes/status/1688570710501838848</v>
      </c>
      <c r="AF3451" s="79">
        <v>45145.638935185183</v>
      </c>
      <c r="AG3451" s="85">
        <v>45145</v>
      </c>
      <c r="AH3451" s="82" t="s">
        <v>10211</v>
      </c>
      <c r="AI3451" s="77" t="b">
        <v>0</v>
      </c>
      <c r="AJ3451" s="77"/>
      <c r="AK3451" s="77"/>
      <c r="AL3451" s="77"/>
      <c r="AM3451" s="77"/>
      <c r="AN3451" s="77"/>
      <c r="AO3451" s="77"/>
      <c r="AP3451" s="77"/>
      <c r="AQ3451" s="77"/>
      <c r="AR3451" s="77"/>
      <c r="AS3451" s="77"/>
      <c r="AT3451" s="77"/>
      <c r="AU3451" s="77"/>
      <c r="AV3451" s="80" t="str">
        <f>HYPERLINK("https://pbs.twimg.com/profile_images/1559883556846977024/bXHnQFY0_normal.jpg")</f>
        <v>https://pbs.twimg.com/profile_images/1559883556846977024/bXHnQFY0_normal.jpg</v>
      </c>
      <c r="AW3451" s="82" t="s">
        <v>16535</v>
      </c>
      <c r="AX3451" s="82" t="s">
        <v>16535</v>
      </c>
      <c r="AY3451" s="77"/>
      <c r="AZ3451" s="82" t="s">
        <v>17385</v>
      </c>
      <c r="BA3451" s="82" t="s">
        <v>17385</v>
      </c>
      <c r="BB3451" s="82" t="s">
        <v>17385</v>
      </c>
      <c r="BC3451" s="82" t="s">
        <v>16535</v>
      </c>
      <c r="BD3451" s="77">
        <v>51150679</v>
      </c>
      <c r="BE3451" s="77"/>
      <c r="BF3451" s="77"/>
      <c r="BG3451" s="77"/>
      <c r="BH3451" s="77"/>
      <c r="BI3451" s="77"/>
    </row>
    <row r="3452" spans="1:61" x14ac:dyDescent="0.25">
      <c r="A3452" s="62" t="s">
        <v>605</v>
      </c>
      <c r="B3452" s="62" t="s">
        <v>605</v>
      </c>
      <c r="C3452" s="63"/>
      <c r="D3452" s="64"/>
      <c r="E3452" s="65"/>
      <c r="F3452" s="66"/>
      <c r="G3452" s="63"/>
      <c r="H3452" s="67"/>
      <c r="I3452" s="68"/>
      <c r="J3452" s="68"/>
      <c r="K3452" s="32"/>
      <c r="L3452" s="75">
        <v>3452</v>
      </c>
      <c r="M3452" s="75"/>
      <c r="N3452" s="70"/>
      <c r="O3452" s="77" t="s">
        <v>179</v>
      </c>
      <c r="P3452" s="79">
        <v>45113.849849537037</v>
      </c>
      <c r="Q3452" s="77" t="s">
        <v>4226</v>
      </c>
      <c r="R3452" s="77">
        <v>0</v>
      </c>
      <c r="S3452" s="77">
        <v>1</v>
      </c>
      <c r="T3452" s="77">
        <v>1</v>
      </c>
      <c r="U3452" s="77">
        <v>1</v>
      </c>
      <c r="V3452" s="77">
        <v>1133</v>
      </c>
      <c r="W3452" s="82" t="s">
        <v>6551</v>
      </c>
      <c r="X3452" s="80" t="str">
        <f>HYPERLINK("https://www.moneytimes.com.br/ibovespa-hoje-fecha-queda-reforma-tributaria-petrobras-petr4-vale-vale3-06-07-2023/")</f>
        <v>https://www.moneytimes.com.br/ibovespa-hoje-fecha-queda-reforma-tributaria-petrobras-petr4-vale-vale3-06-07-2023/</v>
      </c>
      <c r="Y3452" s="77" t="s">
        <v>7053</v>
      </c>
      <c r="Z3452" s="77"/>
      <c r="AA3452" s="77"/>
      <c r="AB3452" s="77"/>
      <c r="AC3452" s="82" t="s">
        <v>8255</v>
      </c>
      <c r="AD3452" s="77" t="s">
        <v>8278</v>
      </c>
      <c r="AE3452" s="80" t="str">
        <f>HYPERLINK("https://twitter.com/leiamoneytimes/status/1677050732233588737")</f>
        <v>https://twitter.com/leiamoneytimes/status/1677050732233588737</v>
      </c>
      <c r="AF3452" s="79">
        <v>45113.849849537037</v>
      </c>
      <c r="AG3452" s="85">
        <v>45113</v>
      </c>
      <c r="AH3452" s="82" t="s">
        <v>11449</v>
      </c>
      <c r="AI3452" s="77" t="b">
        <v>0</v>
      </c>
      <c r="AJ3452" s="77"/>
      <c r="AK3452" s="77"/>
      <c r="AL3452" s="77"/>
      <c r="AM3452" s="77"/>
      <c r="AN3452" s="77"/>
      <c r="AO3452" s="77"/>
      <c r="AP3452" s="77"/>
      <c r="AQ3452" s="77"/>
      <c r="AR3452" s="77"/>
      <c r="AS3452" s="77"/>
      <c r="AT3452" s="77"/>
      <c r="AU3452" s="77"/>
      <c r="AV3452" s="80" t="str">
        <f>HYPERLINK("https://pbs.twimg.com/profile_images/1559883556846977024/bXHnQFY0_normal.jpg")</f>
        <v>https://pbs.twimg.com/profile_images/1559883556846977024/bXHnQFY0_normal.jpg</v>
      </c>
      <c r="AW3452" s="82" t="s">
        <v>16536</v>
      </c>
      <c r="AX3452" s="82" t="s">
        <v>16536</v>
      </c>
      <c r="AY3452" s="77"/>
      <c r="AZ3452" s="82" t="s">
        <v>17385</v>
      </c>
      <c r="BA3452" s="82" t="s">
        <v>17385</v>
      </c>
      <c r="BB3452" s="82" t="s">
        <v>17385</v>
      </c>
      <c r="BC3452" s="82" t="s">
        <v>16536</v>
      </c>
      <c r="BD3452" s="77">
        <v>51150679</v>
      </c>
      <c r="BE3452" s="77"/>
      <c r="BF3452" s="77"/>
      <c r="BG3452" s="77"/>
      <c r="BH3452" s="77"/>
      <c r="BI3452" s="77"/>
    </row>
    <row r="3453" spans="1:61" x14ac:dyDescent="0.25">
      <c r="A3453" s="62" t="s">
        <v>605</v>
      </c>
      <c r="B3453" s="62" t="s">
        <v>605</v>
      </c>
      <c r="C3453" s="63"/>
      <c r="D3453" s="64"/>
      <c r="E3453" s="65"/>
      <c r="F3453" s="66"/>
      <c r="G3453" s="63"/>
      <c r="H3453" s="67"/>
      <c r="I3453" s="68"/>
      <c r="J3453" s="68"/>
      <c r="K3453" s="32"/>
      <c r="L3453" s="75">
        <v>3453</v>
      </c>
      <c r="M3453" s="75"/>
      <c r="N3453" s="70"/>
      <c r="O3453" s="77" t="s">
        <v>179</v>
      </c>
      <c r="P3453" s="79">
        <v>45113.810682870368</v>
      </c>
      <c r="Q3453" s="77" t="s">
        <v>4227</v>
      </c>
      <c r="R3453" s="77">
        <v>0</v>
      </c>
      <c r="S3453" s="77">
        <v>5</v>
      </c>
      <c r="T3453" s="77">
        <v>1</v>
      </c>
      <c r="U3453" s="77">
        <v>0</v>
      </c>
      <c r="V3453" s="77">
        <v>1206</v>
      </c>
      <c r="W3453" s="82" t="s">
        <v>6559</v>
      </c>
      <c r="X3453" s="80" t="str">
        <f>HYPERLINK("https://www.moneytimes.com.br/gringos-invertem-a-mao-e-retiram-milhoes-em-recursos-da-b3/")</f>
        <v>https://www.moneytimes.com.br/gringos-invertem-a-mao-e-retiram-milhoes-em-recursos-da-b3/</v>
      </c>
      <c r="Y3453" s="77" t="s">
        <v>7053</v>
      </c>
      <c r="Z3453" s="77"/>
      <c r="AA3453" s="77"/>
      <c r="AB3453" s="77"/>
      <c r="AC3453" s="82" t="s">
        <v>8255</v>
      </c>
      <c r="AD3453" s="77" t="s">
        <v>8278</v>
      </c>
      <c r="AE3453" s="80" t="str">
        <f>HYPERLINK("https://twitter.com/leiamoneytimes/status/1677036538666835968")</f>
        <v>https://twitter.com/leiamoneytimes/status/1677036538666835968</v>
      </c>
      <c r="AF3453" s="79">
        <v>45113.810682870368</v>
      </c>
      <c r="AG3453" s="85">
        <v>45113</v>
      </c>
      <c r="AH3453" s="82" t="s">
        <v>11450</v>
      </c>
      <c r="AI3453" s="77" t="b">
        <v>0</v>
      </c>
      <c r="AJ3453" s="77"/>
      <c r="AK3453" s="77"/>
      <c r="AL3453" s="77"/>
      <c r="AM3453" s="77"/>
      <c r="AN3453" s="77"/>
      <c r="AO3453" s="77"/>
      <c r="AP3453" s="77"/>
      <c r="AQ3453" s="77"/>
      <c r="AR3453" s="77"/>
      <c r="AS3453" s="77"/>
      <c r="AT3453" s="77"/>
      <c r="AU3453" s="77"/>
      <c r="AV3453" s="80" t="str">
        <f>HYPERLINK("https://pbs.twimg.com/profile_images/1559883556846977024/bXHnQFY0_normal.jpg")</f>
        <v>https://pbs.twimg.com/profile_images/1559883556846977024/bXHnQFY0_normal.jpg</v>
      </c>
      <c r="AW3453" s="82" t="s">
        <v>16537</v>
      </c>
      <c r="AX3453" s="82" t="s">
        <v>16537</v>
      </c>
      <c r="AY3453" s="77"/>
      <c r="AZ3453" s="82" t="s">
        <v>17385</v>
      </c>
      <c r="BA3453" s="82" t="s">
        <v>17385</v>
      </c>
      <c r="BB3453" s="82" t="s">
        <v>17385</v>
      </c>
      <c r="BC3453" s="82" t="s">
        <v>16537</v>
      </c>
      <c r="BD3453" s="77">
        <v>51150679</v>
      </c>
      <c r="BE3453" s="77"/>
      <c r="BF3453" s="77"/>
      <c r="BG3453" s="77"/>
      <c r="BH3453" s="77"/>
      <c r="BI3453" s="77"/>
    </row>
    <row r="3454" spans="1:61" x14ac:dyDescent="0.25">
      <c r="A3454" s="62" t="s">
        <v>605</v>
      </c>
      <c r="B3454" s="62" t="s">
        <v>605</v>
      </c>
      <c r="C3454" s="63"/>
      <c r="D3454" s="64"/>
      <c r="E3454" s="65"/>
      <c r="F3454" s="66"/>
      <c r="G3454" s="63"/>
      <c r="H3454" s="67"/>
      <c r="I3454" s="68"/>
      <c r="J3454" s="68"/>
      <c r="K3454" s="32"/>
      <c r="L3454" s="75">
        <v>3454</v>
      </c>
      <c r="M3454" s="75"/>
      <c r="N3454" s="70"/>
      <c r="O3454" s="77" t="s">
        <v>179</v>
      </c>
      <c r="P3454" s="79">
        <v>45113.665231481478</v>
      </c>
      <c r="Q3454" s="77" t="s">
        <v>4228</v>
      </c>
      <c r="R3454" s="77">
        <v>0</v>
      </c>
      <c r="S3454" s="77">
        <v>3</v>
      </c>
      <c r="T3454" s="77">
        <v>1</v>
      </c>
      <c r="U3454" s="77">
        <v>0</v>
      </c>
      <c r="V3454" s="77">
        <v>1122</v>
      </c>
      <c r="W3454" s="82" t="s">
        <v>6683</v>
      </c>
      <c r="X3454" s="80" t="str">
        <f>HYPERLINK("https://www.moneytimes.com.br/ibovespa-ibov-magazine-luiza-mglu3-despenca-irb-irbr3-lidera-as-altas/")</f>
        <v>https://www.moneytimes.com.br/ibovespa-ibov-magazine-luiza-mglu3-despenca-irb-irbr3-lidera-as-altas/</v>
      </c>
      <c r="Y3454" s="77" t="s">
        <v>7053</v>
      </c>
      <c r="Z3454" s="77"/>
      <c r="AA3454" s="77"/>
      <c r="AB3454" s="77"/>
      <c r="AC3454" s="82" t="s">
        <v>8255</v>
      </c>
      <c r="AD3454" s="77" t="s">
        <v>8281</v>
      </c>
      <c r="AE3454" s="80" t="str">
        <f>HYPERLINK("https://twitter.com/leiamoneytimes/status/1676983831042113537")</f>
        <v>https://twitter.com/leiamoneytimes/status/1676983831042113537</v>
      </c>
      <c r="AF3454" s="79">
        <v>45113.665231481478</v>
      </c>
      <c r="AG3454" s="85">
        <v>45113</v>
      </c>
      <c r="AH3454" s="82" t="s">
        <v>11451</v>
      </c>
      <c r="AI3454" s="77" t="b">
        <v>0</v>
      </c>
      <c r="AJ3454" s="77"/>
      <c r="AK3454" s="77"/>
      <c r="AL3454" s="77"/>
      <c r="AM3454" s="77"/>
      <c r="AN3454" s="77"/>
      <c r="AO3454" s="77"/>
      <c r="AP3454" s="77"/>
      <c r="AQ3454" s="77"/>
      <c r="AR3454" s="77"/>
      <c r="AS3454" s="77"/>
      <c r="AT3454" s="77"/>
      <c r="AU3454" s="77"/>
      <c r="AV3454" s="80" t="str">
        <f>HYPERLINK("https://pbs.twimg.com/profile_images/1559883556846977024/bXHnQFY0_normal.jpg")</f>
        <v>https://pbs.twimg.com/profile_images/1559883556846977024/bXHnQFY0_normal.jpg</v>
      </c>
      <c r="AW3454" s="82" t="s">
        <v>16538</v>
      </c>
      <c r="AX3454" s="82" t="s">
        <v>16538</v>
      </c>
      <c r="AY3454" s="77"/>
      <c r="AZ3454" s="82" t="s">
        <v>17385</v>
      </c>
      <c r="BA3454" s="82" t="s">
        <v>17385</v>
      </c>
      <c r="BB3454" s="82" t="s">
        <v>17385</v>
      </c>
      <c r="BC3454" s="82" t="s">
        <v>16538</v>
      </c>
      <c r="BD3454" s="77">
        <v>51150679</v>
      </c>
      <c r="BE3454" s="77"/>
      <c r="BF3454" s="77"/>
      <c r="BG3454" s="77"/>
      <c r="BH3454" s="77"/>
      <c r="BI3454" s="77"/>
    </row>
    <row r="3455" spans="1:61" x14ac:dyDescent="0.25">
      <c r="A3455" s="62" t="s">
        <v>605</v>
      </c>
      <c r="B3455" s="62" t="s">
        <v>605</v>
      </c>
      <c r="C3455" s="63"/>
      <c r="D3455" s="64"/>
      <c r="E3455" s="65"/>
      <c r="F3455" s="66"/>
      <c r="G3455" s="63"/>
      <c r="H3455" s="67"/>
      <c r="I3455" s="68"/>
      <c r="J3455" s="68"/>
      <c r="K3455" s="32"/>
      <c r="L3455" s="75">
        <v>3455</v>
      </c>
      <c r="M3455" s="75"/>
      <c r="N3455" s="70"/>
      <c r="O3455" s="77" t="s">
        <v>179</v>
      </c>
      <c r="P3455" s="79">
        <v>45113.469548611109</v>
      </c>
      <c r="Q3455" s="77" t="s">
        <v>4229</v>
      </c>
      <c r="R3455" s="77">
        <v>0</v>
      </c>
      <c r="S3455" s="77">
        <v>4</v>
      </c>
      <c r="T3455" s="77">
        <v>1</v>
      </c>
      <c r="U3455" s="77">
        <v>0</v>
      </c>
      <c r="V3455" s="77">
        <v>1445</v>
      </c>
      <c r="W3455" s="82" t="s">
        <v>6598</v>
      </c>
      <c r="X3455" s="80" t="str">
        <f>HYPERLINK("https://www.moneytimes.com.br/bolsas-asiaticas-acoes-de-hong-kong-e-da-china-caem-com-o-fed-agressivo-e-tensoes-sino-americanas/")</f>
        <v>https://www.moneytimes.com.br/bolsas-asiaticas-acoes-de-hong-kong-e-da-china-caem-com-o-fed-agressivo-e-tensoes-sino-americanas/</v>
      </c>
      <c r="Y3455" s="77" t="s">
        <v>7053</v>
      </c>
      <c r="Z3455" s="77"/>
      <c r="AA3455" s="77"/>
      <c r="AB3455" s="77"/>
      <c r="AC3455" s="82" t="s">
        <v>8255</v>
      </c>
      <c r="AD3455" s="77" t="s">
        <v>8278</v>
      </c>
      <c r="AE3455" s="80" t="str">
        <f>HYPERLINK("https://twitter.com/leiamoneytimes/status/1676912915343876096")</f>
        <v>https://twitter.com/leiamoneytimes/status/1676912915343876096</v>
      </c>
      <c r="AF3455" s="79">
        <v>45113.469548611109</v>
      </c>
      <c r="AG3455" s="85">
        <v>45113</v>
      </c>
      <c r="AH3455" s="82" t="s">
        <v>11452</v>
      </c>
      <c r="AI3455" s="77" t="b">
        <v>0</v>
      </c>
      <c r="AJ3455" s="77"/>
      <c r="AK3455" s="77"/>
      <c r="AL3455" s="77"/>
      <c r="AM3455" s="77"/>
      <c r="AN3455" s="77"/>
      <c r="AO3455" s="77"/>
      <c r="AP3455" s="77"/>
      <c r="AQ3455" s="77"/>
      <c r="AR3455" s="77"/>
      <c r="AS3455" s="77"/>
      <c r="AT3455" s="77"/>
      <c r="AU3455" s="77"/>
      <c r="AV3455" s="80" t="str">
        <f>HYPERLINK("https://pbs.twimg.com/profile_images/1559883556846977024/bXHnQFY0_normal.jpg")</f>
        <v>https://pbs.twimg.com/profile_images/1559883556846977024/bXHnQFY0_normal.jpg</v>
      </c>
      <c r="AW3455" s="82" t="s">
        <v>16539</v>
      </c>
      <c r="AX3455" s="82" t="s">
        <v>16539</v>
      </c>
      <c r="AY3455" s="77"/>
      <c r="AZ3455" s="82" t="s">
        <v>17385</v>
      </c>
      <c r="BA3455" s="82" t="s">
        <v>17385</v>
      </c>
      <c r="BB3455" s="82" t="s">
        <v>17385</v>
      </c>
      <c r="BC3455" s="82" t="s">
        <v>16539</v>
      </c>
      <c r="BD3455" s="77">
        <v>51150679</v>
      </c>
      <c r="BE3455" s="77"/>
      <c r="BF3455" s="77"/>
      <c r="BG3455" s="77"/>
      <c r="BH3455" s="77"/>
      <c r="BI3455" s="77"/>
    </row>
    <row r="3456" spans="1:61" x14ac:dyDescent="0.25">
      <c r="A3456" s="62" t="s">
        <v>605</v>
      </c>
      <c r="B3456" s="62" t="s">
        <v>605</v>
      </c>
      <c r="C3456" s="63"/>
      <c r="D3456" s="64"/>
      <c r="E3456" s="65"/>
      <c r="F3456" s="66"/>
      <c r="G3456" s="63"/>
      <c r="H3456" s="67"/>
      <c r="I3456" s="68"/>
      <c r="J3456" s="68"/>
      <c r="K3456" s="32"/>
      <c r="L3456" s="75">
        <v>3456</v>
      </c>
      <c r="M3456" s="75"/>
      <c r="N3456" s="70"/>
      <c r="O3456" s="77" t="s">
        <v>179</v>
      </c>
      <c r="P3456" s="79">
        <v>45112.848865740743</v>
      </c>
      <c r="Q3456" s="77" t="s">
        <v>4230</v>
      </c>
      <c r="R3456" s="77">
        <v>0</v>
      </c>
      <c r="S3456" s="77">
        <v>5</v>
      </c>
      <c r="T3456" s="77">
        <v>2</v>
      </c>
      <c r="U3456" s="77">
        <v>0</v>
      </c>
      <c r="V3456" s="77">
        <v>1148</v>
      </c>
      <c r="W3456" s="82" t="s">
        <v>6551</v>
      </c>
      <c r="X3456" s="80" t="str">
        <f>HYPERLINK("https://www.moneytimes.com.br/ibovespa-hoje-fecha-alta-petrobras-petr4-vale-vale3-05-07-2023/")</f>
        <v>https://www.moneytimes.com.br/ibovespa-hoje-fecha-alta-petrobras-petr4-vale-vale3-05-07-2023/</v>
      </c>
      <c r="Y3456" s="77" t="s">
        <v>7053</v>
      </c>
      <c r="Z3456" s="77"/>
      <c r="AA3456" s="77"/>
      <c r="AB3456" s="77"/>
      <c r="AC3456" s="82" t="s">
        <v>8255</v>
      </c>
      <c r="AD3456" s="77" t="s">
        <v>8278</v>
      </c>
      <c r="AE3456" s="80" t="str">
        <f>HYPERLINK("https://twitter.com/leiamoneytimes/status/1676687989714427907")</f>
        <v>https://twitter.com/leiamoneytimes/status/1676687989714427907</v>
      </c>
      <c r="AF3456" s="79">
        <v>45112.848865740743</v>
      </c>
      <c r="AG3456" s="85">
        <v>45112</v>
      </c>
      <c r="AH3456" s="82" t="s">
        <v>9517</v>
      </c>
      <c r="AI3456" s="77" t="b">
        <v>0</v>
      </c>
      <c r="AJ3456" s="77"/>
      <c r="AK3456" s="77"/>
      <c r="AL3456" s="77"/>
      <c r="AM3456" s="77"/>
      <c r="AN3456" s="77"/>
      <c r="AO3456" s="77"/>
      <c r="AP3456" s="77"/>
      <c r="AQ3456" s="77"/>
      <c r="AR3456" s="77"/>
      <c r="AS3456" s="77"/>
      <c r="AT3456" s="77"/>
      <c r="AU3456" s="77"/>
      <c r="AV3456" s="80" t="str">
        <f>HYPERLINK("https://pbs.twimg.com/profile_images/1559883556846977024/bXHnQFY0_normal.jpg")</f>
        <v>https://pbs.twimg.com/profile_images/1559883556846977024/bXHnQFY0_normal.jpg</v>
      </c>
      <c r="AW3456" s="82" t="s">
        <v>16540</v>
      </c>
      <c r="AX3456" s="82" t="s">
        <v>16540</v>
      </c>
      <c r="AY3456" s="77"/>
      <c r="AZ3456" s="82" t="s">
        <v>17385</v>
      </c>
      <c r="BA3456" s="82" t="s">
        <v>17385</v>
      </c>
      <c r="BB3456" s="82" t="s">
        <v>17385</v>
      </c>
      <c r="BC3456" s="82" t="s">
        <v>16540</v>
      </c>
      <c r="BD3456" s="77">
        <v>51150679</v>
      </c>
      <c r="BE3456" s="77"/>
      <c r="BF3456" s="77"/>
      <c r="BG3456" s="77"/>
      <c r="BH3456" s="77"/>
      <c r="BI3456" s="77"/>
    </row>
    <row r="3457" spans="1:61" x14ac:dyDescent="0.25">
      <c r="A3457" s="62" t="s">
        <v>605</v>
      </c>
      <c r="B3457" s="62" t="s">
        <v>605</v>
      </c>
      <c r="C3457" s="63"/>
      <c r="D3457" s="64"/>
      <c r="E3457" s="65"/>
      <c r="F3457" s="66"/>
      <c r="G3457" s="63"/>
      <c r="H3457" s="67"/>
      <c r="I3457" s="68"/>
      <c r="J3457" s="68"/>
      <c r="K3457" s="32"/>
      <c r="L3457" s="75">
        <v>3457</v>
      </c>
      <c r="M3457" s="75"/>
      <c r="N3457" s="70"/>
      <c r="O3457" s="77" t="s">
        <v>179</v>
      </c>
      <c r="P3457" s="79">
        <v>45112.758252314816</v>
      </c>
      <c r="Q3457" s="77" t="s">
        <v>4231</v>
      </c>
      <c r="R3457" s="77">
        <v>0</v>
      </c>
      <c r="S3457" s="77">
        <v>3</v>
      </c>
      <c r="T3457" s="77">
        <v>1</v>
      </c>
      <c r="U3457" s="77">
        <v>0</v>
      </c>
      <c r="V3457" s="77">
        <v>926</v>
      </c>
      <c r="W3457" s="82" t="s">
        <v>6559</v>
      </c>
      <c r="X3457" s="80" t="str">
        <f>HYPERLINK("https://www.moneytimes.com.br/gringos-entram-no-2o-semestre-com-pe-direito-e-compram-milhoes-na-b3/")</f>
        <v>https://www.moneytimes.com.br/gringos-entram-no-2o-semestre-com-pe-direito-e-compram-milhoes-na-b3/</v>
      </c>
      <c r="Y3457" s="77" t="s">
        <v>7053</v>
      </c>
      <c r="Z3457" s="77"/>
      <c r="AA3457" s="77"/>
      <c r="AB3457" s="77"/>
      <c r="AC3457" s="82" t="s">
        <v>8255</v>
      </c>
      <c r="AD3457" s="77" t="s">
        <v>8278</v>
      </c>
      <c r="AE3457" s="80" t="str">
        <f>HYPERLINK("https://twitter.com/leiamoneytimes/status/1676655149970759684")</f>
        <v>https://twitter.com/leiamoneytimes/status/1676655149970759684</v>
      </c>
      <c r="AF3457" s="79">
        <v>45112.758252314816</v>
      </c>
      <c r="AG3457" s="85">
        <v>45112</v>
      </c>
      <c r="AH3457" s="82" t="s">
        <v>11363</v>
      </c>
      <c r="AI3457" s="77" t="b">
        <v>0</v>
      </c>
      <c r="AJ3457" s="77"/>
      <c r="AK3457" s="77"/>
      <c r="AL3457" s="77"/>
      <c r="AM3457" s="77"/>
      <c r="AN3457" s="77"/>
      <c r="AO3457" s="77"/>
      <c r="AP3457" s="77"/>
      <c r="AQ3457" s="77"/>
      <c r="AR3457" s="77"/>
      <c r="AS3457" s="77"/>
      <c r="AT3457" s="77"/>
      <c r="AU3457" s="77"/>
      <c r="AV3457" s="80" t="str">
        <f>HYPERLINK("https://pbs.twimg.com/profile_images/1559883556846977024/bXHnQFY0_normal.jpg")</f>
        <v>https://pbs.twimg.com/profile_images/1559883556846977024/bXHnQFY0_normal.jpg</v>
      </c>
      <c r="AW3457" s="82" t="s">
        <v>16541</v>
      </c>
      <c r="AX3457" s="82" t="s">
        <v>16541</v>
      </c>
      <c r="AY3457" s="77"/>
      <c r="AZ3457" s="82" t="s">
        <v>17385</v>
      </c>
      <c r="BA3457" s="82" t="s">
        <v>17385</v>
      </c>
      <c r="BB3457" s="82" t="s">
        <v>17385</v>
      </c>
      <c r="BC3457" s="82" t="s">
        <v>16541</v>
      </c>
      <c r="BD3457" s="77">
        <v>51150679</v>
      </c>
      <c r="BE3457" s="77"/>
      <c r="BF3457" s="77"/>
      <c r="BG3457" s="77"/>
      <c r="BH3457" s="77"/>
      <c r="BI3457" s="77"/>
    </row>
    <row r="3458" spans="1:61" x14ac:dyDescent="0.25">
      <c r="A3458" s="62" t="s">
        <v>605</v>
      </c>
      <c r="B3458" s="62" t="s">
        <v>605</v>
      </c>
      <c r="C3458" s="63"/>
      <c r="D3458" s="64"/>
      <c r="E3458" s="65"/>
      <c r="F3458" s="66"/>
      <c r="G3458" s="63"/>
      <c r="H3458" s="67"/>
      <c r="I3458" s="68"/>
      <c r="J3458" s="68"/>
      <c r="K3458" s="32"/>
      <c r="L3458" s="75">
        <v>3458</v>
      </c>
      <c r="M3458" s="75"/>
      <c r="N3458" s="70"/>
      <c r="O3458" s="77" t="s">
        <v>179</v>
      </c>
      <c r="P3458" s="79">
        <v>45112.736041666663</v>
      </c>
      <c r="Q3458" s="77" t="s">
        <v>4232</v>
      </c>
      <c r="R3458" s="77">
        <v>0</v>
      </c>
      <c r="S3458" s="77">
        <v>0</v>
      </c>
      <c r="T3458" s="77">
        <v>1</v>
      </c>
      <c r="U3458" s="77">
        <v>0</v>
      </c>
      <c r="V3458" s="77">
        <v>945</v>
      </c>
      <c r="W3458" s="82" t="s">
        <v>6684</v>
      </c>
      <c r="X3458" s="80" t="str">
        <f>HYPERLINK("https://www.moneytimes.com.br/bolsas-europeias-blue-chips-da-zona-do-euro-caem-com-fraqueza-da-china-e-temores-sobre-juros/")</f>
        <v>https://www.moneytimes.com.br/bolsas-europeias-blue-chips-da-zona-do-euro-caem-com-fraqueza-da-china-e-temores-sobre-juros/</v>
      </c>
      <c r="Y3458" s="77" t="s">
        <v>7053</v>
      </c>
      <c r="Z3458" s="77"/>
      <c r="AA3458" s="77"/>
      <c r="AB3458" s="77"/>
      <c r="AC3458" s="82" t="s">
        <v>8255</v>
      </c>
      <c r="AD3458" s="77" t="s">
        <v>8278</v>
      </c>
      <c r="AE3458" s="80" t="str">
        <f>HYPERLINK("https://twitter.com/leiamoneytimes/status/1676647103429222409")</f>
        <v>https://twitter.com/leiamoneytimes/status/1676647103429222409</v>
      </c>
      <c r="AF3458" s="79">
        <v>45112.736041666663</v>
      </c>
      <c r="AG3458" s="85">
        <v>45112</v>
      </c>
      <c r="AH3458" s="82" t="s">
        <v>11453</v>
      </c>
      <c r="AI3458" s="77" t="b">
        <v>0</v>
      </c>
      <c r="AJ3458" s="77"/>
      <c r="AK3458" s="77"/>
      <c r="AL3458" s="77"/>
      <c r="AM3458" s="77"/>
      <c r="AN3458" s="77"/>
      <c r="AO3458" s="77"/>
      <c r="AP3458" s="77"/>
      <c r="AQ3458" s="77"/>
      <c r="AR3458" s="77"/>
      <c r="AS3458" s="77"/>
      <c r="AT3458" s="77"/>
      <c r="AU3458" s="77"/>
      <c r="AV3458" s="80" t="str">
        <f>HYPERLINK("https://pbs.twimg.com/profile_images/1559883556846977024/bXHnQFY0_normal.jpg")</f>
        <v>https://pbs.twimg.com/profile_images/1559883556846977024/bXHnQFY0_normal.jpg</v>
      </c>
      <c r="AW3458" s="82" t="s">
        <v>16542</v>
      </c>
      <c r="AX3458" s="82" t="s">
        <v>16542</v>
      </c>
      <c r="AY3458" s="77"/>
      <c r="AZ3458" s="82" t="s">
        <v>17385</v>
      </c>
      <c r="BA3458" s="82" t="s">
        <v>17385</v>
      </c>
      <c r="BB3458" s="82" t="s">
        <v>17385</v>
      </c>
      <c r="BC3458" s="82" t="s">
        <v>16542</v>
      </c>
      <c r="BD3458" s="77">
        <v>51150679</v>
      </c>
      <c r="BE3458" s="77"/>
      <c r="BF3458" s="77"/>
      <c r="BG3458" s="77"/>
      <c r="BH3458" s="77"/>
      <c r="BI3458" s="77"/>
    </row>
    <row r="3459" spans="1:61" x14ac:dyDescent="0.25">
      <c r="A3459" s="62" t="s">
        <v>605</v>
      </c>
      <c r="B3459" s="62" t="s">
        <v>605</v>
      </c>
      <c r="C3459" s="63"/>
      <c r="D3459" s="64"/>
      <c r="E3459" s="65"/>
      <c r="F3459" s="66"/>
      <c r="G3459" s="63"/>
      <c r="H3459" s="67"/>
      <c r="I3459" s="68"/>
      <c r="J3459" s="68"/>
      <c r="K3459" s="32"/>
      <c r="L3459" s="75">
        <v>3459</v>
      </c>
      <c r="M3459" s="75"/>
      <c r="N3459" s="70"/>
      <c r="O3459" s="77" t="s">
        <v>179</v>
      </c>
      <c r="P3459" s="79">
        <v>45112.65865740741</v>
      </c>
      <c r="Q3459" s="77" t="s">
        <v>4233</v>
      </c>
      <c r="R3459" s="77">
        <v>1</v>
      </c>
      <c r="S3459" s="77">
        <v>4</v>
      </c>
      <c r="T3459" s="77">
        <v>2</v>
      </c>
      <c r="U3459" s="77">
        <v>0</v>
      </c>
      <c r="V3459" s="77">
        <v>1377</v>
      </c>
      <c r="W3459" s="82" t="s">
        <v>6685</v>
      </c>
      <c r="X3459" s="80" t="str">
        <f>HYPERLINK("https://www.moneytimes.com.br/ibovespa-por-que-brf-brfs3-dispara-mais-de-6-e-lidera-as-altas-mineradoras-caem/")</f>
        <v>https://www.moneytimes.com.br/ibovespa-por-que-brf-brfs3-dispara-mais-de-6-e-lidera-as-altas-mineradoras-caem/</v>
      </c>
      <c r="Y3459" s="77" t="s">
        <v>7053</v>
      </c>
      <c r="Z3459" s="77"/>
      <c r="AA3459" s="77"/>
      <c r="AB3459" s="77"/>
      <c r="AC3459" s="82" t="s">
        <v>8255</v>
      </c>
      <c r="AD3459" s="77" t="s">
        <v>8278</v>
      </c>
      <c r="AE3459" s="80" t="str">
        <f>HYPERLINK("https://twitter.com/leiamoneytimes/status/1676619057901060097")</f>
        <v>https://twitter.com/leiamoneytimes/status/1676619057901060097</v>
      </c>
      <c r="AF3459" s="79">
        <v>45112.65865740741</v>
      </c>
      <c r="AG3459" s="85">
        <v>45112</v>
      </c>
      <c r="AH3459" s="82" t="s">
        <v>11454</v>
      </c>
      <c r="AI3459" s="77" t="b">
        <v>0</v>
      </c>
      <c r="AJ3459" s="77"/>
      <c r="AK3459" s="77"/>
      <c r="AL3459" s="77"/>
      <c r="AM3459" s="77"/>
      <c r="AN3459" s="77"/>
      <c r="AO3459" s="77"/>
      <c r="AP3459" s="77"/>
      <c r="AQ3459" s="77"/>
      <c r="AR3459" s="77"/>
      <c r="AS3459" s="77"/>
      <c r="AT3459" s="77"/>
      <c r="AU3459" s="77"/>
      <c r="AV3459" s="80" t="str">
        <f>HYPERLINK("https://pbs.twimg.com/profile_images/1559883556846977024/bXHnQFY0_normal.jpg")</f>
        <v>https://pbs.twimg.com/profile_images/1559883556846977024/bXHnQFY0_normal.jpg</v>
      </c>
      <c r="AW3459" s="82" t="s">
        <v>16543</v>
      </c>
      <c r="AX3459" s="82" t="s">
        <v>16543</v>
      </c>
      <c r="AY3459" s="77"/>
      <c r="AZ3459" s="82" t="s">
        <v>17385</v>
      </c>
      <c r="BA3459" s="82" t="s">
        <v>17385</v>
      </c>
      <c r="BB3459" s="82" t="s">
        <v>17385</v>
      </c>
      <c r="BC3459" s="82" t="s">
        <v>16543</v>
      </c>
      <c r="BD3459" s="77">
        <v>51150679</v>
      </c>
      <c r="BE3459" s="77"/>
      <c r="BF3459" s="77"/>
      <c r="BG3459" s="77"/>
      <c r="BH3459" s="77"/>
      <c r="BI3459" s="77"/>
    </row>
    <row r="3460" spans="1:61" x14ac:dyDescent="0.25">
      <c r="A3460" s="62" t="s">
        <v>605</v>
      </c>
      <c r="B3460" s="62" t="s">
        <v>605</v>
      </c>
      <c r="C3460" s="63"/>
      <c r="D3460" s="64"/>
      <c r="E3460" s="65"/>
      <c r="F3460" s="66"/>
      <c r="G3460" s="63"/>
      <c r="H3460" s="67"/>
      <c r="I3460" s="68"/>
      <c r="J3460" s="68"/>
      <c r="K3460" s="32"/>
      <c r="L3460" s="75">
        <v>3460</v>
      </c>
      <c r="M3460" s="75"/>
      <c r="N3460" s="70"/>
      <c r="O3460" s="77" t="s">
        <v>179</v>
      </c>
      <c r="P3460" s="79">
        <v>45112.488900462966</v>
      </c>
      <c r="Q3460" s="77" t="s">
        <v>4234</v>
      </c>
      <c r="R3460" s="77">
        <v>0</v>
      </c>
      <c r="S3460" s="77">
        <v>1</v>
      </c>
      <c r="T3460" s="77">
        <v>1</v>
      </c>
      <c r="U3460" s="77">
        <v>0</v>
      </c>
      <c r="V3460" s="77">
        <v>1019</v>
      </c>
      <c r="W3460" s="82" t="s">
        <v>6686</v>
      </c>
      <c r="X3460" s="80" t="str">
        <f>HYPERLINK("https://www.moneytimes.com.br/bolsas-asiaticas-acoes-da-china-fecham-em-baixa-com-expansao-fraca-de-servicos-e-tensoes-sino-americanas/")</f>
        <v>https://www.moneytimes.com.br/bolsas-asiaticas-acoes-da-china-fecham-em-baixa-com-expansao-fraca-de-servicos-e-tensoes-sino-americanas/</v>
      </c>
      <c r="Y3460" s="77" t="s">
        <v>7053</v>
      </c>
      <c r="Z3460" s="77"/>
      <c r="AA3460" s="77"/>
      <c r="AB3460" s="77"/>
      <c r="AC3460" s="82" t="s">
        <v>8255</v>
      </c>
      <c r="AD3460" s="77" t="s">
        <v>8278</v>
      </c>
      <c r="AE3460" s="80" t="str">
        <f>HYPERLINK("https://twitter.com/leiamoneytimes/status/1676557542523109377")</f>
        <v>https://twitter.com/leiamoneytimes/status/1676557542523109377</v>
      </c>
      <c r="AF3460" s="79">
        <v>45112.488900462966</v>
      </c>
      <c r="AG3460" s="85">
        <v>45112</v>
      </c>
      <c r="AH3460" s="82" t="s">
        <v>11455</v>
      </c>
      <c r="AI3460" s="77" t="b">
        <v>0</v>
      </c>
      <c r="AJ3460" s="77"/>
      <c r="AK3460" s="77"/>
      <c r="AL3460" s="77"/>
      <c r="AM3460" s="77"/>
      <c r="AN3460" s="77"/>
      <c r="AO3460" s="77"/>
      <c r="AP3460" s="77"/>
      <c r="AQ3460" s="77"/>
      <c r="AR3460" s="77"/>
      <c r="AS3460" s="77"/>
      <c r="AT3460" s="77"/>
      <c r="AU3460" s="77"/>
      <c r="AV3460" s="80" t="str">
        <f>HYPERLINK("https://pbs.twimg.com/profile_images/1559883556846977024/bXHnQFY0_normal.jpg")</f>
        <v>https://pbs.twimg.com/profile_images/1559883556846977024/bXHnQFY0_normal.jpg</v>
      </c>
      <c r="AW3460" s="82" t="s">
        <v>16544</v>
      </c>
      <c r="AX3460" s="82" t="s">
        <v>16544</v>
      </c>
      <c r="AY3460" s="77"/>
      <c r="AZ3460" s="82" t="s">
        <v>17385</v>
      </c>
      <c r="BA3460" s="82" t="s">
        <v>17385</v>
      </c>
      <c r="BB3460" s="82" t="s">
        <v>17385</v>
      </c>
      <c r="BC3460" s="82" t="s">
        <v>16544</v>
      </c>
      <c r="BD3460" s="77">
        <v>51150679</v>
      </c>
      <c r="BE3460" s="77"/>
      <c r="BF3460" s="77"/>
      <c r="BG3460" s="77"/>
      <c r="BH3460" s="77"/>
      <c r="BI3460" s="77"/>
    </row>
    <row r="3461" spans="1:61" x14ac:dyDescent="0.25">
      <c r="A3461" s="62" t="s">
        <v>605</v>
      </c>
      <c r="B3461" s="62" t="s">
        <v>605</v>
      </c>
      <c r="C3461" s="63"/>
      <c r="D3461" s="64"/>
      <c r="E3461" s="65"/>
      <c r="F3461" s="66"/>
      <c r="G3461" s="63"/>
      <c r="H3461" s="67"/>
      <c r="I3461" s="68"/>
      <c r="J3461" s="68"/>
      <c r="K3461" s="32"/>
      <c r="L3461" s="75">
        <v>3461</v>
      </c>
      <c r="M3461" s="75"/>
      <c r="N3461" s="70"/>
      <c r="O3461" s="77" t="s">
        <v>179</v>
      </c>
      <c r="P3461" s="79">
        <v>45112.475069444445</v>
      </c>
      <c r="Q3461" s="77" t="s">
        <v>4235</v>
      </c>
      <c r="R3461" s="77">
        <v>0</v>
      </c>
      <c r="S3461" s="77">
        <v>2</v>
      </c>
      <c r="T3461" s="77">
        <v>1</v>
      </c>
      <c r="U3461" s="77">
        <v>0</v>
      </c>
      <c r="V3461" s="77">
        <v>1290</v>
      </c>
      <c r="W3461" s="82" t="s">
        <v>6687</v>
      </c>
      <c r="X3461" s="80" t="str">
        <f>HYPERLINK("https://www.moneytimes.com.br/de-ressaca-em-plena-quarta-feira-16-acoes-para-lucrar-no-2o-semestre-marfrig-na-brf-turne-da-taylor-swift-e-outros-destaques-do-dia/")</f>
        <v>https://www.moneytimes.com.br/de-ressaca-em-plena-quarta-feira-16-acoes-para-lucrar-no-2o-semestre-marfrig-na-brf-turne-da-taylor-swift-e-outros-destaques-do-dia/</v>
      </c>
      <c r="Y3461" s="77" t="s">
        <v>7053</v>
      </c>
      <c r="Z3461" s="77"/>
      <c r="AA3461" s="77"/>
      <c r="AB3461" s="77"/>
      <c r="AC3461" s="82" t="s">
        <v>8255</v>
      </c>
      <c r="AD3461" s="77" t="s">
        <v>8278</v>
      </c>
      <c r="AE3461" s="80" t="str">
        <f>HYPERLINK("https://twitter.com/leiamoneytimes/status/1676552529990098944")</f>
        <v>https://twitter.com/leiamoneytimes/status/1676552529990098944</v>
      </c>
      <c r="AF3461" s="79">
        <v>45112.475069444445</v>
      </c>
      <c r="AG3461" s="85">
        <v>45112</v>
      </c>
      <c r="AH3461" s="82" t="s">
        <v>11456</v>
      </c>
      <c r="AI3461" s="77" t="b">
        <v>0</v>
      </c>
      <c r="AJ3461" s="77"/>
      <c r="AK3461" s="77"/>
      <c r="AL3461" s="77"/>
      <c r="AM3461" s="77"/>
      <c r="AN3461" s="77"/>
      <c r="AO3461" s="77"/>
      <c r="AP3461" s="77"/>
      <c r="AQ3461" s="77"/>
      <c r="AR3461" s="77"/>
      <c r="AS3461" s="77"/>
      <c r="AT3461" s="77"/>
      <c r="AU3461" s="77"/>
      <c r="AV3461" s="80" t="str">
        <f>HYPERLINK("https://pbs.twimg.com/profile_images/1559883556846977024/bXHnQFY0_normal.jpg")</f>
        <v>https://pbs.twimg.com/profile_images/1559883556846977024/bXHnQFY0_normal.jpg</v>
      </c>
      <c r="AW3461" s="82" t="s">
        <v>16545</v>
      </c>
      <c r="AX3461" s="82" t="s">
        <v>16545</v>
      </c>
      <c r="AY3461" s="77"/>
      <c r="AZ3461" s="82" t="s">
        <v>17385</v>
      </c>
      <c r="BA3461" s="82" t="s">
        <v>17385</v>
      </c>
      <c r="BB3461" s="82" t="s">
        <v>17385</v>
      </c>
      <c r="BC3461" s="82" t="s">
        <v>16545</v>
      </c>
      <c r="BD3461" s="77">
        <v>51150679</v>
      </c>
      <c r="BE3461" s="77"/>
      <c r="BF3461" s="77"/>
      <c r="BG3461" s="77"/>
      <c r="BH3461" s="77"/>
      <c r="BI3461" s="77"/>
    </row>
    <row r="3462" spans="1:61" x14ac:dyDescent="0.25">
      <c r="A3462" s="62" t="s">
        <v>605</v>
      </c>
      <c r="B3462" s="62" t="s">
        <v>605</v>
      </c>
      <c r="C3462" s="63"/>
      <c r="D3462" s="64"/>
      <c r="E3462" s="65"/>
      <c r="F3462" s="66"/>
      <c r="G3462" s="63"/>
      <c r="H3462" s="67"/>
      <c r="I3462" s="68"/>
      <c r="J3462" s="68"/>
      <c r="K3462" s="32"/>
      <c r="L3462" s="75">
        <v>3462</v>
      </c>
      <c r="M3462" s="75"/>
      <c r="N3462" s="70"/>
      <c r="O3462" s="77" t="s">
        <v>179</v>
      </c>
      <c r="P3462" s="79">
        <v>45111.87641203704</v>
      </c>
      <c r="Q3462" s="77" t="s">
        <v>4236</v>
      </c>
      <c r="R3462" s="77">
        <v>0</v>
      </c>
      <c r="S3462" s="77">
        <v>9</v>
      </c>
      <c r="T3462" s="77">
        <v>1</v>
      </c>
      <c r="U3462" s="77">
        <v>0</v>
      </c>
      <c r="V3462" s="77">
        <v>1327</v>
      </c>
      <c r="W3462" s="82" t="s">
        <v>6688</v>
      </c>
      <c r="X3462" s="80" t="str">
        <f>HYPERLINK("https://www.moneytimes.com.br/gringos-compram-r-17-bilhoes-em-ativos-na-b3-no-1o-semestre/")</f>
        <v>https://www.moneytimes.com.br/gringos-compram-r-17-bilhoes-em-ativos-na-b3-no-1o-semestre/</v>
      </c>
      <c r="Y3462" s="77" t="s">
        <v>7053</v>
      </c>
      <c r="Z3462" s="77"/>
      <c r="AA3462" s="77"/>
      <c r="AB3462" s="77"/>
      <c r="AC3462" s="82" t="s">
        <v>8255</v>
      </c>
      <c r="AD3462" s="77" t="s">
        <v>8278</v>
      </c>
      <c r="AE3462" s="80" t="str">
        <f>HYPERLINK("https://twitter.com/leiamoneytimes/status/1676335581238894592")</f>
        <v>https://twitter.com/leiamoneytimes/status/1676335581238894592</v>
      </c>
      <c r="AF3462" s="79">
        <v>45111.87641203704</v>
      </c>
      <c r="AG3462" s="85">
        <v>45111</v>
      </c>
      <c r="AH3462" s="82" t="s">
        <v>11457</v>
      </c>
      <c r="AI3462" s="77" t="b">
        <v>0</v>
      </c>
      <c r="AJ3462" s="77"/>
      <c r="AK3462" s="77"/>
      <c r="AL3462" s="77"/>
      <c r="AM3462" s="77"/>
      <c r="AN3462" s="77"/>
      <c r="AO3462" s="77"/>
      <c r="AP3462" s="77"/>
      <c r="AQ3462" s="77"/>
      <c r="AR3462" s="77"/>
      <c r="AS3462" s="77"/>
      <c r="AT3462" s="77"/>
      <c r="AU3462" s="77"/>
      <c r="AV3462" s="80" t="str">
        <f>HYPERLINK("https://pbs.twimg.com/profile_images/1559883556846977024/bXHnQFY0_normal.jpg")</f>
        <v>https://pbs.twimg.com/profile_images/1559883556846977024/bXHnQFY0_normal.jpg</v>
      </c>
      <c r="AW3462" s="82" t="s">
        <v>16546</v>
      </c>
      <c r="AX3462" s="82" t="s">
        <v>16546</v>
      </c>
      <c r="AY3462" s="77"/>
      <c r="AZ3462" s="82" t="s">
        <v>17385</v>
      </c>
      <c r="BA3462" s="82" t="s">
        <v>17385</v>
      </c>
      <c r="BB3462" s="82" t="s">
        <v>17385</v>
      </c>
      <c r="BC3462" s="82" t="s">
        <v>16546</v>
      </c>
      <c r="BD3462" s="77">
        <v>51150679</v>
      </c>
      <c r="BE3462" s="77"/>
      <c r="BF3462" s="77"/>
      <c r="BG3462" s="77"/>
      <c r="BH3462" s="77"/>
      <c r="BI3462" s="77"/>
    </row>
    <row r="3463" spans="1:61" x14ac:dyDescent="0.25">
      <c r="A3463" s="62" t="s">
        <v>605</v>
      </c>
      <c r="B3463" s="62" t="s">
        <v>605</v>
      </c>
      <c r="C3463" s="63"/>
      <c r="D3463" s="64"/>
      <c r="E3463" s="65"/>
      <c r="F3463" s="66"/>
      <c r="G3463" s="63"/>
      <c r="H3463" s="67"/>
      <c r="I3463" s="68"/>
      <c r="J3463" s="68"/>
      <c r="K3463" s="32"/>
      <c r="L3463" s="75">
        <v>3463</v>
      </c>
      <c r="M3463" s="75"/>
      <c r="N3463" s="70"/>
      <c r="O3463" s="77" t="s">
        <v>179</v>
      </c>
      <c r="P3463" s="79">
        <v>45111.846145833333</v>
      </c>
      <c r="Q3463" s="77" t="s">
        <v>4237</v>
      </c>
      <c r="R3463" s="77">
        <v>0</v>
      </c>
      <c r="S3463" s="77">
        <v>2</v>
      </c>
      <c r="T3463" s="77">
        <v>1</v>
      </c>
      <c r="U3463" s="77">
        <v>0</v>
      </c>
      <c r="V3463" s="77">
        <v>1180</v>
      </c>
      <c r="W3463" s="82" t="s">
        <v>6551</v>
      </c>
      <c r="X3463" s="80" t="str">
        <f>HYPERLINK("https://www.moneytimes.com.br/ibovespa-hoje-fecha-queda-gpa-pcar3-mrv-mrve3-04-07-2023/")</f>
        <v>https://www.moneytimes.com.br/ibovespa-hoje-fecha-queda-gpa-pcar3-mrv-mrve3-04-07-2023/</v>
      </c>
      <c r="Y3463" s="77" t="s">
        <v>7053</v>
      </c>
      <c r="Z3463" s="77"/>
      <c r="AA3463" s="77"/>
      <c r="AB3463" s="77"/>
      <c r="AC3463" s="82" t="s">
        <v>8255</v>
      </c>
      <c r="AD3463" s="77" t="s">
        <v>8278</v>
      </c>
      <c r="AE3463" s="80" t="str">
        <f>HYPERLINK("https://twitter.com/leiamoneytimes/status/1676324613242986496")</f>
        <v>https://twitter.com/leiamoneytimes/status/1676324613242986496</v>
      </c>
      <c r="AF3463" s="79">
        <v>45111.846145833333</v>
      </c>
      <c r="AG3463" s="85">
        <v>45111</v>
      </c>
      <c r="AH3463" s="82" t="s">
        <v>11458</v>
      </c>
      <c r="AI3463" s="77" t="b">
        <v>0</v>
      </c>
      <c r="AJ3463" s="77"/>
      <c r="AK3463" s="77"/>
      <c r="AL3463" s="77"/>
      <c r="AM3463" s="77"/>
      <c r="AN3463" s="77"/>
      <c r="AO3463" s="77"/>
      <c r="AP3463" s="77"/>
      <c r="AQ3463" s="77"/>
      <c r="AR3463" s="77"/>
      <c r="AS3463" s="77"/>
      <c r="AT3463" s="77"/>
      <c r="AU3463" s="77"/>
      <c r="AV3463" s="80" t="str">
        <f>HYPERLINK("https://pbs.twimg.com/profile_images/1559883556846977024/bXHnQFY0_normal.jpg")</f>
        <v>https://pbs.twimg.com/profile_images/1559883556846977024/bXHnQFY0_normal.jpg</v>
      </c>
      <c r="AW3463" s="82" t="s">
        <v>16547</v>
      </c>
      <c r="AX3463" s="82" t="s">
        <v>16547</v>
      </c>
      <c r="AY3463" s="77"/>
      <c r="AZ3463" s="82" t="s">
        <v>17385</v>
      </c>
      <c r="BA3463" s="82" t="s">
        <v>17385</v>
      </c>
      <c r="BB3463" s="82" t="s">
        <v>17385</v>
      </c>
      <c r="BC3463" s="82" t="s">
        <v>16547</v>
      </c>
      <c r="BD3463" s="77">
        <v>51150679</v>
      </c>
      <c r="BE3463" s="77"/>
      <c r="BF3463" s="77"/>
      <c r="BG3463" s="77"/>
      <c r="BH3463" s="77"/>
      <c r="BI3463" s="77"/>
    </row>
    <row r="3464" spans="1:61" x14ac:dyDescent="0.25">
      <c r="A3464" s="62" t="s">
        <v>605</v>
      </c>
      <c r="B3464" s="62" t="s">
        <v>605</v>
      </c>
      <c r="C3464" s="63"/>
      <c r="D3464" s="64"/>
      <c r="E3464" s="65"/>
      <c r="F3464" s="66"/>
      <c r="G3464" s="63"/>
      <c r="H3464" s="67"/>
      <c r="I3464" s="68"/>
      <c r="J3464" s="68"/>
      <c r="K3464" s="32"/>
      <c r="L3464" s="75">
        <v>3464</v>
      </c>
      <c r="M3464" s="75"/>
      <c r="N3464" s="70"/>
      <c r="O3464" s="77" t="s">
        <v>179</v>
      </c>
      <c r="P3464" s="79">
        <v>45090.95103009259</v>
      </c>
      <c r="Q3464" s="77" t="s">
        <v>4238</v>
      </c>
      <c r="R3464" s="77">
        <v>0</v>
      </c>
      <c r="S3464" s="77">
        <v>9</v>
      </c>
      <c r="T3464" s="77">
        <v>1</v>
      </c>
      <c r="U3464" s="77">
        <v>0</v>
      </c>
      <c r="V3464" s="77">
        <v>1684</v>
      </c>
      <c r="W3464" s="82" t="s">
        <v>6551</v>
      </c>
      <c r="X3464" s="80" t="str">
        <f>HYPERLINK("https://www.moneytimes.com.br/ibovespa-hoje-fecha-queda-116-mil-pontos-13-06-2023/")</f>
        <v>https://www.moneytimes.com.br/ibovespa-hoje-fecha-queda-116-mil-pontos-13-06-2023/</v>
      </c>
      <c r="Y3464" s="77" t="s">
        <v>7053</v>
      </c>
      <c r="Z3464" s="77"/>
      <c r="AA3464" s="77"/>
      <c r="AB3464" s="77"/>
      <c r="AC3464" s="82" t="s">
        <v>8255</v>
      </c>
      <c r="AD3464" s="77" t="s">
        <v>8278</v>
      </c>
      <c r="AE3464" s="80" t="str">
        <f>HYPERLINK("https://twitter.com/leiamoneytimes/status/1668752480321126400")</f>
        <v>https://twitter.com/leiamoneytimes/status/1668752480321126400</v>
      </c>
      <c r="AF3464" s="79">
        <v>45090.95103009259</v>
      </c>
      <c r="AG3464" s="85">
        <v>45090</v>
      </c>
      <c r="AH3464" s="82" t="s">
        <v>11459</v>
      </c>
      <c r="AI3464" s="77" t="b">
        <v>0</v>
      </c>
      <c r="AJ3464" s="77"/>
      <c r="AK3464" s="77"/>
      <c r="AL3464" s="77"/>
      <c r="AM3464" s="77"/>
      <c r="AN3464" s="77"/>
      <c r="AO3464" s="77"/>
      <c r="AP3464" s="77"/>
      <c r="AQ3464" s="77"/>
      <c r="AR3464" s="77"/>
      <c r="AS3464" s="77"/>
      <c r="AT3464" s="77"/>
      <c r="AU3464" s="77"/>
      <c r="AV3464" s="80" t="str">
        <f>HYPERLINK("https://pbs.twimg.com/profile_images/1559883556846977024/bXHnQFY0_normal.jpg")</f>
        <v>https://pbs.twimg.com/profile_images/1559883556846977024/bXHnQFY0_normal.jpg</v>
      </c>
      <c r="AW3464" s="82" t="s">
        <v>16548</v>
      </c>
      <c r="AX3464" s="82" t="s">
        <v>16548</v>
      </c>
      <c r="AY3464" s="77"/>
      <c r="AZ3464" s="82" t="s">
        <v>17385</v>
      </c>
      <c r="BA3464" s="82" t="s">
        <v>17385</v>
      </c>
      <c r="BB3464" s="82" t="s">
        <v>17385</v>
      </c>
      <c r="BC3464" s="82" t="s">
        <v>16548</v>
      </c>
      <c r="BD3464" s="77">
        <v>51150679</v>
      </c>
      <c r="BE3464" s="77"/>
      <c r="BF3464" s="77"/>
      <c r="BG3464" s="77"/>
      <c r="BH3464" s="77"/>
      <c r="BI3464" s="77"/>
    </row>
    <row r="3465" spans="1:61" x14ac:dyDescent="0.25">
      <c r="A3465" s="62" t="s">
        <v>605</v>
      </c>
      <c r="B3465" s="62" t="s">
        <v>605</v>
      </c>
      <c r="C3465" s="63"/>
      <c r="D3465" s="64"/>
      <c r="E3465" s="65"/>
      <c r="F3465" s="66"/>
      <c r="G3465" s="63"/>
      <c r="H3465" s="67"/>
      <c r="I3465" s="68"/>
      <c r="J3465" s="68"/>
      <c r="K3465" s="32"/>
      <c r="L3465" s="75">
        <v>3465</v>
      </c>
      <c r="M3465" s="75"/>
      <c r="N3465" s="70"/>
      <c r="O3465" s="77" t="s">
        <v>179</v>
      </c>
      <c r="P3465" s="79">
        <v>45090.706412037034</v>
      </c>
      <c r="Q3465" s="77" t="s">
        <v>4239</v>
      </c>
      <c r="R3465" s="77">
        <v>0</v>
      </c>
      <c r="S3465" s="77">
        <v>4</v>
      </c>
      <c r="T3465" s="77">
        <v>0</v>
      </c>
      <c r="U3465" s="77">
        <v>0</v>
      </c>
      <c r="V3465" s="77">
        <v>1519</v>
      </c>
      <c r="W3465" s="82" t="s">
        <v>6689</v>
      </c>
      <c r="X3465" s="80" t="str">
        <f>HYPERLINK("https://www.moneytimes.com.br/ibovespa-entenda-o-movimento-da-vale-vale3-nesta-terca-feira-13/")</f>
        <v>https://www.moneytimes.com.br/ibovespa-entenda-o-movimento-da-vale-vale3-nesta-terca-feira-13/</v>
      </c>
      <c r="Y3465" s="77" t="s">
        <v>7053</v>
      </c>
      <c r="Z3465" s="77"/>
      <c r="AA3465" s="77"/>
      <c r="AB3465" s="77"/>
      <c r="AC3465" s="82" t="s">
        <v>8255</v>
      </c>
      <c r="AD3465" s="77" t="s">
        <v>8278</v>
      </c>
      <c r="AE3465" s="80" t="str">
        <f>HYPERLINK("https://twitter.com/leiamoneytimes/status/1668663831323717651")</f>
        <v>https://twitter.com/leiamoneytimes/status/1668663831323717651</v>
      </c>
      <c r="AF3465" s="79">
        <v>45090.706412037034</v>
      </c>
      <c r="AG3465" s="85">
        <v>45090</v>
      </c>
      <c r="AH3465" s="82" t="s">
        <v>11460</v>
      </c>
      <c r="AI3465" s="77" t="b">
        <v>0</v>
      </c>
      <c r="AJ3465" s="77"/>
      <c r="AK3465" s="77"/>
      <c r="AL3465" s="77"/>
      <c r="AM3465" s="77"/>
      <c r="AN3465" s="77"/>
      <c r="AO3465" s="77"/>
      <c r="AP3465" s="77"/>
      <c r="AQ3465" s="77"/>
      <c r="AR3465" s="77"/>
      <c r="AS3465" s="77"/>
      <c r="AT3465" s="77"/>
      <c r="AU3465" s="77"/>
      <c r="AV3465" s="80" t="str">
        <f>HYPERLINK("https://pbs.twimg.com/profile_images/1559883556846977024/bXHnQFY0_normal.jpg")</f>
        <v>https://pbs.twimg.com/profile_images/1559883556846977024/bXHnQFY0_normal.jpg</v>
      </c>
      <c r="AW3465" s="82" t="s">
        <v>16549</v>
      </c>
      <c r="AX3465" s="82" t="s">
        <v>16549</v>
      </c>
      <c r="AY3465" s="77"/>
      <c r="AZ3465" s="82" t="s">
        <v>17385</v>
      </c>
      <c r="BA3465" s="82" t="s">
        <v>17385</v>
      </c>
      <c r="BB3465" s="82" t="s">
        <v>17385</v>
      </c>
      <c r="BC3465" s="82" t="s">
        <v>16549</v>
      </c>
      <c r="BD3465" s="77">
        <v>51150679</v>
      </c>
      <c r="BE3465" s="77"/>
      <c r="BF3465" s="77"/>
      <c r="BG3465" s="77"/>
      <c r="BH3465" s="77"/>
      <c r="BI3465" s="77"/>
    </row>
    <row r="3466" spans="1:61" x14ac:dyDescent="0.25">
      <c r="A3466" s="62" t="s">
        <v>605</v>
      </c>
      <c r="B3466" s="62" t="s">
        <v>605</v>
      </c>
      <c r="C3466" s="63"/>
      <c r="D3466" s="64"/>
      <c r="E3466" s="65"/>
      <c r="F3466" s="66"/>
      <c r="G3466" s="63"/>
      <c r="H3466" s="67"/>
      <c r="I3466" s="68"/>
      <c r="J3466" s="68"/>
      <c r="K3466" s="32"/>
      <c r="L3466" s="75">
        <v>3466</v>
      </c>
      <c r="M3466" s="75"/>
      <c r="N3466" s="70"/>
      <c r="O3466" s="77" t="s">
        <v>179</v>
      </c>
      <c r="P3466" s="79">
        <v>45090.655590277776</v>
      </c>
      <c r="Q3466" s="77" t="s">
        <v>4240</v>
      </c>
      <c r="R3466" s="77">
        <v>2</v>
      </c>
      <c r="S3466" s="77">
        <v>16</v>
      </c>
      <c r="T3466" s="77">
        <v>1</v>
      </c>
      <c r="U3466" s="77">
        <v>0</v>
      </c>
      <c r="V3466" s="77">
        <v>2455</v>
      </c>
      <c r="W3466" s="82" t="s">
        <v>6690</v>
      </c>
      <c r="X3466" s="80" t="str">
        <f>HYPERLINK("https://www.moneytimes.com.br/santander-sanb11-anuncia-impacto-negativo-de-r-45-bilhoes-apos-decisao-desfavoravel-do-stf/")</f>
        <v>https://www.moneytimes.com.br/santander-sanb11-anuncia-impacto-negativo-de-r-45-bilhoes-apos-decisao-desfavoravel-do-stf/</v>
      </c>
      <c r="Y3466" s="77" t="s">
        <v>7053</v>
      </c>
      <c r="Z3466" s="77"/>
      <c r="AA3466" s="77"/>
      <c r="AB3466" s="77"/>
      <c r="AC3466" s="82" t="s">
        <v>8255</v>
      </c>
      <c r="AD3466" s="77" t="s">
        <v>8278</v>
      </c>
      <c r="AE3466" s="80" t="str">
        <f>HYPERLINK("https://twitter.com/leiamoneytimes/status/1668645414885572611")</f>
        <v>https://twitter.com/leiamoneytimes/status/1668645414885572611</v>
      </c>
      <c r="AF3466" s="79">
        <v>45090.655590277776</v>
      </c>
      <c r="AG3466" s="85">
        <v>45090</v>
      </c>
      <c r="AH3466" s="82" t="s">
        <v>11461</v>
      </c>
      <c r="AI3466" s="77" t="b">
        <v>0</v>
      </c>
      <c r="AJ3466" s="77"/>
      <c r="AK3466" s="77"/>
      <c r="AL3466" s="77"/>
      <c r="AM3466" s="77"/>
      <c r="AN3466" s="77"/>
      <c r="AO3466" s="77"/>
      <c r="AP3466" s="77"/>
      <c r="AQ3466" s="77"/>
      <c r="AR3466" s="77"/>
      <c r="AS3466" s="77"/>
      <c r="AT3466" s="77"/>
      <c r="AU3466" s="77"/>
      <c r="AV3466" s="80" t="str">
        <f>HYPERLINK("https://pbs.twimg.com/profile_images/1559883556846977024/bXHnQFY0_normal.jpg")</f>
        <v>https://pbs.twimg.com/profile_images/1559883556846977024/bXHnQFY0_normal.jpg</v>
      </c>
      <c r="AW3466" s="82" t="s">
        <v>16550</v>
      </c>
      <c r="AX3466" s="82" t="s">
        <v>16550</v>
      </c>
      <c r="AY3466" s="77"/>
      <c r="AZ3466" s="82" t="s">
        <v>17385</v>
      </c>
      <c r="BA3466" s="82" t="s">
        <v>17385</v>
      </c>
      <c r="BB3466" s="82" t="s">
        <v>17385</v>
      </c>
      <c r="BC3466" s="82" t="s">
        <v>16550</v>
      </c>
      <c r="BD3466" s="77">
        <v>51150679</v>
      </c>
      <c r="BE3466" s="77"/>
      <c r="BF3466" s="77"/>
      <c r="BG3466" s="77"/>
      <c r="BH3466" s="77"/>
      <c r="BI3466" s="77"/>
    </row>
    <row r="3467" spans="1:61" x14ac:dyDescent="0.25">
      <c r="A3467" s="62" t="s">
        <v>605</v>
      </c>
      <c r="B3467" s="62" t="s">
        <v>605</v>
      </c>
      <c r="C3467" s="63"/>
      <c r="D3467" s="64"/>
      <c r="E3467" s="65"/>
      <c r="F3467" s="66"/>
      <c r="G3467" s="63"/>
      <c r="H3467" s="67"/>
      <c r="I3467" s="68"/>
      <c r="J3467" s="68"/>
      <c r="K3467" s="32"/>
      <c r="L3467" s="75">
        <v>3467</v>
      </c>
      <c r="M3467" s="75"/>
      <c r="N3467" s="70"/>
      <c r="O3467" s="77" t="s">
        <v>179</v>
      </c>
      <c r="P3467" s="79">
        <v>45090.637418981481</v>
      </c>
      <c r="Q3467" s="77" t="s">
        <v>4241</v>
      </c>
      <c r="R3467" s="77">
        <v>0</v>
      </c>
      <c r="S3467" s="77">
        <v>4</v>
      </c>
      <c r="T3467" s="77">
        <v>1</v>
      </c>
      <c r="U3467" s="77">
        <v>0</v>
      </c>
      <c r="V3467" s="77">
        <v>1544</v>
      </c>
      <c r="W3467" s="82" t="s">
        <v>6617</v>
      </c>
      <c r="X3467" s="80" t="str">
        <f>HYPERLINK("https://www.moneytimes.com.br/petrobras-petr4-anuncia-pagamento-de-dividendos-nesta-semana/")</f>
        <v>https://www.moneytimes.com.br/petrobras-petr4-anuncia-pagamento-de-dividendos-nesta-semana/</v>
      </c>
      <c r="Y3467" s="77" t="s">
        <v>7053</v>
      </c>
      <c r="Z3467" s="77"/>
      <c r="AA3467" s="77"/>
      <c r="AB3467" s="77"/>
      <c r="AC3467" s="82" t="s">
        <v>8255</v>
      </c>
      <c r="AD3467" s="77" t="s">
        <v>8278</v>
      </c>
      <c r="AE3467" s="80" t="str">
        <f>HYPERLINK("https://twitter.com/leiamoneytimes/status/1668638828582641665")</f>
        <v>https://twitter.com/leiamoneytimes/status/1668638828582641665</v>
      </c>
      <c r="AF3467" s="79">
        <v>45090.637418981481</v>
      </c>
      <c r="AG3467" s="85">
        <v>45090</v>
      </c>
      <c r="AH3467" s="82" t="s">
        <v>11462</v>
      </c>
      <c r="AI3467" s="77" t="b">
        <v>0</v>
      </c>
      <c r="AJ3467" s="77"/>
      <c r="AK3467" s="77"/>
      <c r="AL3467" s="77"/>
      <c r="AM3467" s="77"/>
      <c r="AN3467" s="77"/>
      <c r="AO3467" s="77"/>
      <c r="AP3467" s="77"/>
      <c r="AQ3467" s="77"/>
      <c r="AR3467" s="77"/>
      <c r="AS3467" s="77"/>
      <c r="AT3467" s="77"/>
      <c r="AU3467" s="77"/>
      <c r="AV3467" s="80" t="str">
        <f>HYPERLINK("https://pbs.twimg.com/profile_images/1559883556846977024/bXHnQFY0_normal.jpg")</f>
        <v>https://pbs.twimg.com/profile_images/1559883556846977024/bXHnQFY0_normal.jpg</v>
      </c>
      <c r="AW3467" s="82" t="s">
        <v>16551</v>
      </c>
      <c r="AX3467" s="82" t="s">
        <v>16551</v>
      </c>
      <c r="AY3467" s="77"/>
      <c r="AZ3467" s="82" t="s">
        <v>17385</v>
      </c>
      <c r="BA3467" s="82" t="s">
        <v>17385</v>
      </c>
      <c r="BB3467" s="82" t="s">
        <v>17385</v>
      </c>
      <c r="BC3467" s="82" t="s">
        <v>16551</v>
      </c>
      <c r="BD3467" s="77">
        <v>51150679</v>
      </c>
      <c r="BE3467" s="77"/>
      <c r="BF3467" s="77"/>
      <c r="BG3467" s="77"/>
      <c r="BH3467" s="77"/>
      <c r="BI3467" s="77"/>
    </row>
    <row r="3468" spans="1:61" x14ac:dyDescent="0.25">
      <c r="A3468" s="62" t="s">
        <v>605</v>
      </c>
      <c r="B3468" s="62" t="s">
        <v>605</v>
      </c>
      <c r="C3468" s="63"/>
      <c r="D3468" s="64"/>
      <c r="E3468" s="65"/>
      <c r="F3468" s="66"/>
      <c r="G3468" s="63"/>
      <c r="H3468" s="67"/>
      <c r="I3468" s="68"/>
      <c r="J3468" s="68"/>
      <c r="K3468" s="32"/>
      <c r="L3468" s="75">
        <v>3468</v>
      </c>
      <c r="M3468" s="75"/>
      <c r="N3468" s="70"/>
      <c r="O3468" s="77" t="s">
        <v>179</v>
      </c>
      <c r="P3468" s="79">
        <v>45090.623692129629</v>
      </c>
      <c r="Q3468" s="77" t="s">
        <v>4242</v>
      </c>
      <c r="R3468" s="77">
        <v>0</v>
      </c>
      <c r="S3468" s="77">
        <v>1</v>
      </c>
      <c r="T3468" s="77">
        <v>3</v>
      </c>
      <c r="U3468" s="77">
        <v>0</v>
      </c>
      <c r="V3468" s="77">
        <v>1237</v>
      </c>
      <c r="W3468" s="82" t="s">
        <v>6691</v>
      </c>
      <c r="X3468" s="80" t="str">
        <f>HYPERLINK("https://www.moneytimes.com.br/americanas-amer3-dispara-ate-12-apos-novo-compromisso-de-lemann-telles-e-sicupira-entenda/")</f>
        <v>https://www.moneytimes.com.br/americanas-amer3-dispara-ate-12-apos-novo-compromisso-de-lemann-telles-e-sicupira-entenda/</v>
      </c>
      <c r="Y3468" s="77" t="s">
        <v>7053</v>
      </c>
      <c r="Z3468" s="77"/>
      <c r="AA3468" s="77"/>
      <c r="AB3468" s="77"/>
      <c r="AC3468" s="82" t="s">
        <v>8255</v>
      </c>
      <c r="AD3468" s="77" t="s">
        <v>8278</v>
      </c>
      <c r="AE3468" s="80" t="str">
        <f>HYPERLINK("https://twitter.com/leiamoneytimes/status/1668633856629706759")</f>
        <v>https://twitter.com/leiamoneytimes/status/1668633856629706759</v>
      </c>
      <c r="AF3468" s="79">
        <v>45090.623692129629</v>
      </c>
      <c r="AG3468" s="85">
        <v>45090</v>
      </c>
      <c r="AH3468" s="82" t="s">
        <v>11463</v>
      </c>
      <c r="AI3468" s="77" t="b">
        <v>0</v>
      </c>
      <c r="AJ3468" s="77"/>
      <c r="AK3468" s="77"/>
      <c r="AL3468" s="77"/>
      <c r="AM3468" s="77"/>
      <c r="AN3468" s="77"/>
      <c r="AO3468" s="77"/>
      <c r="AP3468" s="77"/>
      <c r="AQ3468" s="77"/>
      <c r="AR3468" s="77"/>
      <c r="AS3468" s="77"/>
      <c r="AT3468" s="77"/>
      <c r="AU3468" s="77"/>
      <c r="AV3468" s="80" t="str">
        <f>HYPERLINK("https://pbs.twimg.com/profile_images/1559883556846977024/bXHnQFY0_normal.jpg")</f>
        <v>https://pbs.twimg.com/profile_images/1559883556846977024/bXHnQFY0_normal.jpg</v>
      </c>
      <c r="AW3468" s="82" t="s">
        <v>16552</v>
      </c>
      <c r="AX3468" s="82" t="s">
        <v>16552</v>
      </c>
      <c r="AY3468" s="77"/>
      <c r="AZ3468" s="82" t="s">
        <v>17385</v>
      </c>
      <c r="BA3468" s="82" t="s">
        <v>17385</v>
      </c>
      <c r="BB3468" s="82" t="s">
        <v>17385</v>
      </c>
      <c r="BC3468" s="82" t="s">
        <v>16552</v>
      </c>
      <c r="BD3468" s="77">
        <v>51150679</v>
      </c>
      <c r="BE3468" s="77"/>
      <c r="BF3468" s="77"/>
      <c r="BG3468" s="77"/>
      <c r="BH3468" s="77"/>
      <c r="BI3468" s="77"/>
    </row>
    <row r="3469" spans="1:61" x14ac:dyDescent="0.25">
      <c r="A3469" s="62" t="s">
        <v>605</v>
      </c>
      <c r="B3469" s="62" t="s">
        <v>605</v>
      </c>
      <c r="C3469" s="63"/>
      <c r="D3469" s="64"/>
      <c r="E3469" s="65"/>
      <c r="F3469" s="66"/>
      <c r="G3469" s="63"/>
      <c r="H3469" s="67"/>
      <c r="I3469" s="68"/>
      <c r="J3469" s="68"/>
      <c r="K3469" s="32"/>
      <c r="L3469" s="75">
        <v>3469</v>
      </c>
      <c r="M3469" s="75"/>
      <c r="N3469" s="70"/>
      <c r="O3469" s="77" t="s">
        <v>179</v>
      </c>
      <c r="P3469" s="79">
        <v>45090.42391203704</v>
      </c>
      <c r="Q3469" s="77" t="s">
        <v>4243</v>
      </c>
      <c r="R3469" s="77">
        <v>2</v>
      </c>
      <c r="S3469" s="77">
        <v>14</v>
      </c>
      <c r="T3469" s="77">
        <v>4</v>
      </c>
      <c r="U3469" s="77">
        <v>0</v>
      </c>
      <c r="V3469" s="77">
        <v>2803</v>
      </c>
      <c r="W3469" s="82" t="s">
        <v>6692</v>
      </c>
      <c r="X3469" s="80" t="str">
        <f>HYPERLINK("https://www.moneytimes.com.br/tempo-real-ibovespa-pode-arriscar-mais-uma-alta-nesta-terca-feira-13/")</f>
        <v>https://www.moneytimes.com.br/tempo-real-ibovespa-pode-arriscar-mais-uma-alta-nesta-terca-feira-13/</v>
      </c>
      <c r="Y3469" s="77" t="s">
        <v>7053</v>
      </c>
      <c r="Z3469" s="77"/>
      <c r="AA3469" s="77"/>
      <c r="AB3469" s="77"/>
      <c r="AC3469" s="82" t="s">
        <v>8255</v>
      </c>
      <c r="AD3469" s="77" t="s">
        <v>8278</v>
      </c>
      <c r="AE3469" s="80" t="str">
        <f>HYPERLINK("https://twitter.com/leiamoneytimes/status/1668561456894230528")</f>
        <v>https://twitter.com/leiamoneytimes/status/1668561456894230528</v>
      </c>
      <c r="AF3469" s="79">
        <v>45090.42391203704</v>
      </c>
      <c r="AG3469" s="85">
        <v>45090</v>
      </c>
      <c r="AH3469" s="82" t="s">
        <v>11464</v>
      </c>
      <c r="AI3469" s="77" t="b">
        <v>0</v>
      </c>
      <c r="AJ3469" s="77"/>
      <c r="AK3469" s="77"/>
      <c r="AL3469" s="77"/>
      <c r="AM3469" s="77"/>
      <c r="AN3469" s="77"/>
      <c r="AO3469" s="77"/>
      <c r="AP3469" s="77"/>
      <c r="AQ3469" s="77"/>
      <c r="AR3469" s="77"/>
      <c r="AS3469" s="77"/>
      <c r="AT3469" s="77"/>
      <c r="AU3469" s="77"/>
      <c r="AV3469" s="80" t="str">
        <f>HYPERLINK("https://pbs.twimg.com/profile_images/1559883556846977024/bXHnQFY0_normal.jpg")</f>
        <v>https://pbs.twimg.com/profile_images/1559883556846977024/bXHnQFY0_normal.jpg</v>
      </c>
      <c r="AW3469" s="82" t="s">
        <v>16553</v>
      </c>
      <c r="AX3469" s="82" t="s">
        <v>16553</v>
      </c>
      <c r="AY3469" s="77"/>
      <c r="AZ3469" s="82" t="s">
        <v>17385</v>
      </c>
      <c r="BA3469" s="82" t="s">
        <v>17385</v>
      </c>
      <c r="BB3469" s="82" t="s">
        <v>17385</v>
      </c>
      <c r="BC3469" s="82" t="s">
        <v>16553</v>
      </c>
      <c r="BD3469" s="77">
        <v>51150679</v>
      </c>
      <c r="BE3469" s="77"/>
      <c r="BF3469" s="77"/>
      <c r="BG3469" s="77"/>
      <c r="BH3469" s="77"/>
      <c r="BI3469" s="77"/>
    </row>
    <row r="3470" spans="1:61" x14ac:dyDescent="0.25">
      <c r="A3470" s="62" t="s">
        <v>605</v>
      </c>
      <c r="B3470" s="62" t="s">
        <v>605</v>
      </c>
      <c r="C3470" s="63"/>
      <c r="D3470" s="64"/>
      <c r="E3470" s="65"/>
      <c r="F3470" s="66"/>
      <c r="G3470" s="63"/>
      <c r="H3470" s="67"/>
      <c r="I3470" s="68"/>
      <c r="J3470" s="68"/>
      <c r="K3470" s="32"/>
      <c r="L3470" s="75">
        <v>3470</v>
      </c>
      <c r="M3470" s="75"/>
      <c r="N3470" s="70"/>
      <c r="O3470" s="77" t="s">
        <v>179</v>
      </c>
      <c r="P3470" s="79">
        <v>45089.849247685182</v>
      </c>
      <c r="Q3470" s="77" t="s">
        <v>4244</v>
      </c>
      <c r="R3470" s="77">
        <v>0</v>
      </c>
      <c r="S3470" s="77">
        <v>5</v>
      </c>
      <c r="T3470" s="77">
        <v>1</v>
      </c>
      <c r="U3470" s="77">
        <v>0</v>
      </c>
      <c r="V3470" s="77">
        <v>1651</v>
      </c>
      <c r="W3470" s="82" t="s">
        <v>6551</v>
      </c>
      <c r="X3470" s="80" t="str">
        <f>HYPERLINK("https://www.moneytimes.com.br/ibovespa-hoje-fecha-alta-117-mil-pontos-estatais-banco-do-brasil-bbas3-12-06-2023/")</f>
        <v>https://www.moneytimes.com.br/ibovespa-hoje-fecha-alta-117-mil-pontos-estatais-banco-do-brasil-bbas3-12-06-2023/</v>
      </c>
      <c r="Y3470" s="77" t="s">
        <v>7053</v>
      </c>
      <c r="Z3470" s="77"/>
      <c r="AA3470" s="77"/>
      <c r="AB3470" s="77"/>
      <c r="AC3470" s="82" t="s">
        <v>8255</v>
      </c>
      <c r="AD3470" s="77" t="s">
        <v>8278</v>
      </c>
      <c r="AE3470" s="80" t="str">
        <f>HYPERLINK("https://twitter.com/leiamoneytimes/status/1668353206991110144")</f>
        <v>https://twitter.com/leiamoneytimes/status/1668353206991110144</v>
      </c>
      <c r="AF3470" s="79">
        <v>45089.849247685182</v>
      </c>
      <c r="AG3470" s="85">
        <v>45089</v>
      </c>
      <c r="AH3470" s="82" t="s">
        <v>11465</v>
      </c>
      <c r="AI3470" s="77" t="b">
        <v>0</v>
      </c>
      <c r="AJ3470" s="77"/>
      <c r="AK3470" s="77"/>
      <c r="AL3470" s="77"/>
      <c r="AM3470" s="77"/>
      <c r="AN3470" s="77"/>
      <c r="AO3470" s="77"/>
      <c r="AP3470" s="77"/>
      <c r="AQ3470" s="77"/>
      <c r="AR3470" s="77"/>
      <c r="AS3470" s="77"/>
      <c r="AT3470" s="77"/>
      <c r="AU3470" s="77"/>
      <c r="AV3470" s="80" t="str">
        <f>HYPERLINK("https://pbs.twimg.com/profile_images/1559883556846977024/bXHnQFY0_normal.jpg")</f>
        <v>https://pbs.twimg.com/profile_images/1559883556846977024/bXHnQFY0_normal.jpg</v>
      </c>
      <c r="AW3470" s="82" t="s">
        <v>16554</v>
      </c>
      <c r="AX3470" s="82" t="s">
        <v>16554</v>
      </c>
      <c r="AY3470" s="77"/>
      <c r="AZ3470" s="82" t="s">
        <v>17385</v>
      </c>
      <c r="BA3470" s="82" t="s">
        <v>17385</v>
      </c>
      <c r="BB3470" s="82" t="s">
        <v>17385</v>
      </c>
      <c r="BC3470" s="82" t="s">
        <v>16554</v>
      </c>
      <c r="BD3470" s="77">
        <v>51150679</v>
      </c>
      <c r="BE3470" s="77"/>
      <c r="BF3470" s="77"/>
      <c r="BG3470" s="77"/>
      <c r="BH3470" s="77"/>
      <c r="BI3470" s="77"/>
    </row>
    <row r="3471" spans="1:61" x14ac:dyDescent="0.25">
      <c r="A3471" s="62" t="s">
        <v>605</v>
      </c>
      <c r="B3471" s="62" t="s">
        <v>605</v>
      </c>
      <c r="C3471" s="63"/>
      <c r="D3471" s="64"/>
      <c r="E3471" s="65"/>
      <c r="F3471" s="66"/>
      <c r="G3471" s="63"/>
      <c r="H3471" s="67"/>
      <c r="I3471" s="68"/>
      <c r="J3471" s="68"/>
      <c r="K3471" s="32"/>
      <c r="L3471" s="75">
        <v>3471</v>
      </c>
      <c r="M3471" s="75"/>
      <c r="N3471" s="70"/>
      <c r="O3471" s="77" t="s">
        <v>179</v>
      </c>
      <c r="P3471" s="79">
        <v>45089.721956018519</v>
      </c>
      <c r="Q3471" s="77" t="s">
        <v>4245</v>
      </c>
      <c r="R3471" s="77">
        <v>0</v>
      </c>
      <c r="S3471" s="77">
        <v>4</v>
      </c>
      <c r="T3471" s="77">
        <v>1</v>
      </c>
      <c r="U3471" s="77">
        <v>0</v>
      </c>
      <c r="V3471" s="77">
        <v>1497</v>
      </c>
      <c r="W3471" s="82" t="s">
        <v>6693</v>
      </c>
      <c r="X3471" s="80" t="str">
        <f>HYPERLINK("https://www.moneytimes.com.br/bolsas-europeias-indice-alemao-lidera-ganhos-na-europa-com-foco-em-reunioes-de-bcs/")</f>
        <v>https://www.moneytimes.com.br/bolsas-europeias-indice-alemao-lidera-ganhos-na-europa-com-foco-em-reunioes-de-bcs/</v>
      </c>
      <c r="Y3471" s="77" t="s">
        <v>7053</v>
      </c>
      <c r="Z3471" s="77"/>
      <c r="AA3471" s="77"/>
      <c r="AB3471" s="77"/>
      <c r="AC3471" s="82" t="s">
        <v>8255</v>
      </c>
      <c r="AD3471" s="77" t="s">
        <v>8278</v>
      </c>
      <c r="AE3471" s="80" t="str">
        <f>HYPERLINK("https://twitter.com/leiamoneytimes/status/1668307079189213213")</f>
        <v>https://twitter.com/leiamoneytimes/status/1668307079189213213</v>
      </c>
      <c r="AF3471" s="79">
        <v>45089.721956018519</v>
      </c>
      <c r="AG3471" s="85">
        <v>45089</v>
      </c>
      <c r="AH3471" s="82" t="s">
        <v>8695</v>
      </c>
      <c r="AI3471" s="77" t="b">
        <v>0</v>
      </c>
      <c r="AJ3471" s="77"/>
      <c r="AK3471" s="77"/>
      <c r="AL3471" s="77"/>
      <c r="AM3471" s="77"/>
      <c r="AN3471" s="77"/>
      <c r="AO3471" s="77"/>
      <c r="AP3471" s="77"/>
      <c r="AQ3471" s="77"/>
      <c r="AR3471" s="77"/>
      <c r="AS3471" s="77"/>
      <c r="AT3471" s="77"/>
      <c r="AU3471" s="77"/>
      <c r="AV3471" s="80" t="str">
        <f>HYPERLINK("https://pbs.twimg.com/profile_images/1559883556846977024/bXHnQFY0_normal.jpg")</f>
        <v>https://pbs.twimg.com/profile_images/1559883556846977024/bXHnQFY0_normal.jpg</v>
      </c>
      <c r="AW3471" s="82" t="s">
        <v>16555</v>
      </c>
      <c r="AX3471" s="82" t="s">
        <v>16555</v>
      </c>
      <c r="AY3471" s="77"/>
      <c r="AZ3471" s="82" t="s">
        <v>17385</v>
      </c>
      <c r="BA3471" s="82" t="s">
        <v>17385</v>
      </c>
      <c r="BB3471" s="82" t="s">
        <v>17385</v>
      </c>
      <c r="BC3471" s="82" t="s">
        <v>16555</v>
      </c>
      <c r="BD3471" s="77">
        <v>51150679</v>
      </c>
      <c r="BE3471" s="77"/>
      <c r="BF3471" s="77"/>
      <c r="BG3471" s="77"/>
      <c r="BH3471" s="77"/>
      <c r="BI3471" s="77"/>
    </row>
    <row r="3472" spans="1:61" x14ac:dyDescent="0.25">
      <c r="A3472" s="62" t="s">
        <v>605</v>
      </c>
      <c r="B3472" s="62" t="s">
        <v>605</v>
      </c>
      <c r="C3472" s="63"/>
      <c r="D3472" s="64"/>
      <c r="E3472" s="65"/>
      <c r="F3472" s="66"/>
      <c r="G3472" s="63"/>
      <c r="H3472" s="67"/>
      <c r="I3472" s="68"/>
      <c r="J3472" s="68"/>
      <c r="K3472" s="32"/>
      <c r="L3472" s="75">
        <v>3472</v>
      </c>
      <c r="M3472" s="75"/>
      <c r="N3472" s="70"/>
      <c r="O3472" s="77" t="s">
        <v>179</v>
      </c>
      <c r="P3472" s="79">
        <v>45077.85015046296</v>
      </c>
      <c r="Q3472" s="77" t="s">
        <v>4246</v>
      </c>
      <c r="R3472" s="77">
        <v>0</v>
      </c>
      <c r="S3472" s="77">
        <v>2</v>
      </c>
      <c r="T3472" s="77">
        <v>0</v>
      </c>
      <c r="U3472" s="77">
        <v>0</v>
      </c>
      <c r="V3472" s="77">
        <v>1025</v>
      </c>
      <c r="W3472" s="82" t="s">
        <v>6551</v>
      </c>
      <c r="X3472" s="80" t="str">
        <f>HYPERLINK("https://www.moneytimes.com.br/ibovespa-hoje-fecha-queda-eua-maio-31-05-2023/")</f>
        <v>https://www.moneytimes.com.br/ibovespa-hoje-fecha-queda-eua-maio-31-05-2023/</v>
      </c>
      <c r="Y3472" s="77" t="s">
        <v>7053</v>
      </c>
      <c r="Z3472" s="77"/>
      <c r="AA3472" s="77"/>
      <c r="AB3472" s="77"/>
      <c r="AC3472" s="82" t="s">
        <v>8255</v>
      </c>
      <c r="AD3472" s="77" t="s">
        <v>8278</v>
      </c>
      <c r="AE3472" s="80" t="str">
        <f>HYPERLINK("https://twitter.com/leiamoneytimes/status/1664004876886482950")</f>
        <v>https://twitter.com/leiamoneytimes/status/1664004876886482950</v>
      </c>
      <c r="AF3472" s="79">
        <v>45077.85015046296</v>
      </c>
      <c r="AG3472" s="85">
        <v>45077</v>
      </c>
      <c r="AH3472" s="82" t="s">
        <v>11466</v>
      </c>
      <c r="AI3472" s="77" t="b">
        <v>0</v>
      </c>
      <c r="AJ3472" s="77"/>
      <c r="AK3472" s="77"/>
      <c r="AL3472" s="77"/>
      <c r="AM3472" s="77"/>
      <c r="AN3472" s="77"/>
      <c r="AO3472" s="77"/>
      <c r="AP3472" s="77"/>
      <c r="AQ3472" s="77"/>
      <c r="AR3472" s="77"/>
      <c r="AS3472" s="77"/>
      <c r="AT3472" s="77"/>
      <c r="AU3472" s="77"/>
      <c r="AV3472" s="80" t="str">
        <f>HYPERLINK("https://pbs.twimg.com/profile_images/1559883556846977024/bXHnQFY0_normal.jpg")</f>
        <v>https://pbs.twimg.com/profile_images/1559883556846977024/bXHnQFY0_normal.jpg</v>
      </c>
      <c r="AW3472" s="82" t="s">
        <v>16556</v>
      </c>
      <c r="AX3472" s="82" t="s">
        <v>16556</v>
      </c>
      <c r="AY3472" s="77"/>
      <c r="AZ3472" s="82" t="s">
        <v>17385</v>
      </c>
      <c r="BA3472" s="82" t="s">
        <v>17385</v>
      </c>
      <c r="BB3472" s="82" t="s">
        <v>17385</v>
      </c>
      <c r="BC3472" s="82" t="s">
        <v>16556</v>
      </c>
      <c r="BD3472" s="77">
        <v>51150679</v>
      </c>
      <c r="BE3472" s="77"/>
      <c r="BF3472" s="77"/>
      <c r="BG3472" s="77"/>
      <c r="BH3472" s="77"/>
      <c r="BI3472" s="77"/>
    </row>
    <row r="3473" spans="1:61" x14ac:dyDescent="0.25">
      <c r="A3473" s="62" t="s">
        <v>605</v>
      </c>
      <c r="B3473" s="62" t="s">
        <v>605</v>
      </c>
      <c r="C3473" s="63"/>
      <c r="D3473" s="64"/>
      <c r="E3473" s="65"/>
      <c r="F3473" s="66"/>
      <c r="G3473" s="63"/>
      <c r="H3473" s="67"/>
      <c r="I3473" s="68"/>
      <c r="J3473" s="68"/>
      <c r="K3473" s="32"/>
      <c r="L3473" s="75">
        <v>3473</v>
      </c>
      <c r="M3473" s="75"/>
      <c r="N3473" s="70"/>
      <c r="O3473" s="77" t="s">
        <v>179</v>
      </c>
      <c r="P3473" s="79">
        <v>45077.716469907406</v>
      </c>
      <c r="Q3473" s="77" t="s">
        <v>4247</v>
      </c>
      <c r="R3473" s="77">
        <v>0</v>
      </c>
      <c r="S3473" s="77">
        <v>4</v>
      </c>
      <c r="T3473" s="77">
        <v>0</v>
      </c>
      <c r="U3473" s="77">
        <v>1</v>
      </c>
      <c r="V3473" s="77">
        <v>990</v>
      </c>
      <c r="W3473" s="82" t="s">
        <v>6694</v>
      </c>
      <c r="X3473" s="80" t="str">
        <f>HYPERLINK("https://www.moneytimes.com.br/giro-do-mercado-estreia-nesta-quinta-01-no-money-times-com-as-melhores-dicas-de-investimentos-nao-perca/")</f>
        <v>https://www.moneytimes.com.br/giro-do-mercado-estreia-nesta-quinta-01-no-money-times-com-as-melhores-dicas-de-investimentos-nao-perca/</v>
      </c>
      <c r="Y3473" s="77" t="s">
        <v>7053</v>
      </c>
      <c r="Z3473" s="77"/>
      <c r="AA3473" s="77"/>
      <c r="AB3473" s="77"/>
      <c r="AC3473" s="82" t="s">
        <v>8255</v>
      </c>
      <c r="AD3473" s="77" t="s">
        <v>8278</v>
      </c>
      <c r="AE3473" s="80" t="str">
        <f>HYPERLINK("https://twitter.com/leiamoneytimes/status/1663956436139769895")</f>
        <v>https://twitter.com/leiamoneytimes/status/1663956436139769895</v>
      </c>
      <c r="AF3473" s="79">
        <v>45077.716469907406</v>
      </c>
      <c r="AG3473" s="85">
        <v>45077</v>
      </c>
      <c r="AH3473" s="82" t="s">
        <v>11467</v>
      </c>
      <c r="AI3473" s="77" t="b">
        <v>0</v>
      </c>
      <c r="AJ3473" s="77"/>
      <c r="AK3473" s="77"/>
      <c r="AL3473" s="77"/>
      <c r="AM3473" s="77"/>
      <c r="AN3473" s="77"/>
      <c r="AO3473" s="77"/>
      <c r="AP3473" s="77"/>
      <c r="AQ3473" s="77"/>
      <c r="AR3473" s="77"/>
      <c r="AS3473" s="77"/>
      <c r="AT3473" s="77"/>
      <c r="AU3473" s="77"/>
      <c r="AV3473" s="80" t="str">
        <f>HYPERLINK("https://pbs.twimg.com/profile_images/1559883556846977024/bXHnQFY0_normal.jpg")</f>
        <v>https://pbs.twimg.com/profile_images/1559883556846977024/bXHnQFY0_normal.jpg</v>
      </c>
      <c r="AW3473" s="82" t="s">
        <v>16557</v>
      </c>
      <c r="AX3473" s="82" t="s">
        <v>16557</v>
      </c>
      <c r="AY3473" s="77"/>
      <c r="AZ3473" s="82" t="s">
        <v>17385</v>
      </c>
      <c r="BA3473" s="82" t="s">
        <v>17385</v>
      </c>
      <c r="BB3473" s="82" t="s">
        <v>17385</v>
      </c>
      <c r="BC3473" s="82" t="s">
        <v>16557</v>
      </c>
      <c r="BD3473" s="77">
        <v>51150679</v>
      </c>
      <c r="BE3473" s="77"/>
      <c r="BF3473" s="77"/>
      <c r="BG3473" s="77"/>
      <c r="BH3473" s="77"/>
      <c r="BI3473" s="77"/>
    </row>
    <row r="3474" spans="1:61" x14ac:dyDescent="0.25">
      <c r="A3474" s="62" t="s">
        <v>605</v>
      </c>
      <c r="B3474" s="62" t="s">
        <v>605</v>
      </c>
      <c r="C3474" s="63"/>
      <c r="D3474" s="64"/>
      <c r="E3474" s="65"/>
      <c r="F3474" s="66"/>
      <c r="G3474" s="63"/>
      <c r="H3474" s="67"/>
      <c r="I3474" s="68"/>
      <c r="J3474" s="68"/>
      <c r="K3474" s="32"/>
      <c r="L3474" s="75">
        <v>3474</v>
      </c>
      <c r="M3474" s="75"/>
      <c r="N3474" s="70"/>
      <c r="O3474" s="77" t="s">
        <v>179</v>
      </c>
      <c r="P3474" s="79">
        <v>45077.704907407409</v>
      </c>
      <c r="Q3474" s="77" t="s">
        <v>4248</v>
      </c>
      <c r="R3474" s="77">
        <v>0</v>
      </c>
      <c r="S3474" s="77">
        <v>2</v>
      </c>
      <c r="T3474" s="77">
        <v>0</v>
      </c>
      <c r="U3474" s="77">
        <v>0</v>
      </c>
      <c r="V3474" s="77">
        <v>967</v>
      </c>
      <c r="W3474" s="82" t="s">
        <v>6695</v>
      </c>
      <c r="X3474" s="80" t="str">
        <f>HYPERLINK("https://www.moneytimes.com.br/bolsas-europeias-acoes-atingem-minima-em-2-meses-com-dados-fracos-da-china-e-registram-queda-em-maio/")</f>
        <v>https://www.moneytimes.com.br/bolsas-europeias-acoes-atingem-minima-em-2-meses-com-dados-fracos-da-china-e-registram-queda-em-maio/</v>
      </c>
      <c r="Y3474" s="77" t="s">
        <v>7053</v>
      </c>
      <c r="Z3474" s="77"/>
      <c r="AA3474" s="77"/>
      <c r="AB3474" s="77"/>
      <c r="AC3474" s="82" t="s">
        <v>8255</v>
      </c>
      <c r="AD3474" s="77" t="s">
        <v>8278</v>
      </c>
      <c r="AE3474" s="80" t="str">
        <f>HYPERLINK("https://twitter.com/leiamoneytimes/status/1663952243027062784")</f>
        <v>https://twitter.com/leiamoneytimes/status/1663952243027062784</v>
      </c>
      <c r="AF3474" s="79">
        <v>45077.704907407409</v>
      </c>
      <c r="AG3474" s="85">
        <v>45077</v>
      </c>
      <c r="AH3474" s="82" t="s">
        <v>11468</v>
      </c>
      <c r="AI3474" s="77" t="b">
        <v>0</v>
      </c>
      <c r="AJ3474" s="77"/>
      <c r="AK3474" s="77"/>
      <c r="AL3474" s="77"/>
      <c r="AM3474" s="77"/>
      <c r="AN3474" s="77"/>
      <c r="AO3474" s="77"/>
      <c r="AP3474" s="77"/>
      <c r="AQ3474" s="77"/>
      <c r="AR3474" s="77"/>
      <c r="AS3474" s="77"/>
      <c r="AT3474" s="77"/>
      <c r="AU3474" s="77"/>
      <c r="AV3474" s="80" t="str">
        <f>HYPERLINK("https://pbs.twimg.com/profile_images/1559883556846977024/bXHnQFY0_normal.jpg")</f>
        <v>https://pbs.twimg.com/profile_images/1559883556846977024/bXHnQFY0_normal.jpg</v>
      </c>
      <c r="AW3474" s="82" t="s">
        <v>16558</v>
      </c>
      <c r="AX3474" s="82" t="s">
        <v>16558</v>
      </c>
      <c r="AY3474" s="77"/>
      <c r="AZ3474" s="82" t="s">
        <v>17385</v>
      </c>
      <c r="BA3474" s="82" t="s">
        <v>17385</v>
      </c>
      <c r="BB3474" s="82" t="s">
        <v>17385</v>
      </c>
      <c r="BC3474" s="82" t="s">
        <v>16558</v>
      </c>
      <c r="BD3474" s="77">
        <v>51150679</v>
      </c>
      <c r="BE3474" s="77"/>
      <c r="BF3474" s="77"/>
      <c r="BG3474" s="77"/>
      <c r="BH3474" s="77"/>
      <c r="BI3474" s="77"/>
    </row>
    <row r="3475" spans="1:61" x14ac:dyDescent="0.25">
      <c r="A3475" s="62" t="s">
        <v>605</v>
      </c>
      <c r="B3475" s="62" t="s">
        <v>605</v>
      </c>
      <c r="C3475" s="63"/>
      <c r="D3475" s="64"/>
      <c r="E3475" s="65"/>
      <c r="F3475" s="66"/>
      <c r="G3475" s="63"/>
      <c r="H3475" s="67"/>
      <c r="I3475" s="68"/>
      <c r="J3475" s="68"/>
      <c r="K3475" s="32"/>
      <c r="L3475" s="75">
        <v>3475</v>
      </c>
      <c r="M3475" s="75"/>
      <c r="N3475" s="70"/>
      <c r="O3475" s="77" t="s">
        <v>179</v>
      </c>
      <c r="P3475" s="79">
        <v>45077.662418981483</v>
      </c>
      <c r="Q3475" s="77" t="s">
        <v>4249</v>
      </c>
      <c r="R3475" s="77">
        <v>0</v>
      </c>
      <c r="S3475" s="77">
        <v>2</v>
      </c>
      <c r="T3475" s="77">
        <v>0</v>
      </c>
      <c r="U3475" s="77">
        <v>0</v>
      </c>
      <c r="V3475" s="77">
        <v>1105</v>
      </c>
      <c r="W3475" s="82" t="s">
        <v>6566</v>
      </c>
      <c r="X3475" s="80" t="str">
        <f>HYPERLINK("https://www.moneytimes.com.br/ibovespa-por-que-petrobras-petr4-volta-a-cair-brf-brfs3-dispara-nesta-quarta-31/")</f>
        <v>https://www.moneytimes.com.br/ibovespa-por-que-petrobras-petr4-volta-a-cair-brf-brfs3-dispara-nesta-quarta-31/</v>
      </c>
      <c r="Y3475" s="77" t="s">
        <v>7053</v>
      </c>
      <c r="Z3475" s="77"/>
      <c r="AA3475" s="77"/>
      <c r="AB3475" s="77"/>
      <c r="AC3475" s="82" t="s">
        <v>8255</v>
      </c>
      <c r="AD3475" s="77" t="s">
        <v>8278</v>
      </c>
      <c r="AE3475" s="80" t="str">
        <f>HYPERLINK("https://twitter.com/leiamoneytimes/status/1663936845376286720")</f>
        <v>https://twitter.com/leiamoneytimes/status/1663936845376286720</v>
      </c>
      <c r="AF3475" s="79">
        <v>45077.662418981483</v>
      </c>
      <c r="AG3475" s="85">
        <v>45077</v>
      </c>
      <c r="AH3475" s="82" t="s">
        <v>11469</v>
      </c>
      <c r="AI3475" s="77" t="b">
        <v>0</v>
      </c>
      <c r="AJ3475" s="77"/>
      <c r="AK3475" s="77"/>
      <c r="AL3475" s="77"/>
      <c r="AM3475" s="77"/>
      <c r="AN3475" s="77"/>
      <c r="AO3475" s="77"/>
      <c r="AP3475" s="77"/>
      <c r="AQ3475" s="77"/>
      <c r="AR3475" s="77"/>
      <c r="AS3475" s="77"/>
      <c r="AT3475" s="77"/>
      <c r="AU3475" s="77"/>
      <c r="AV3475" s="80" t="str">
        <f>HYPERLINK("https://pbs.twimg.com/profile_images/1559883556846977024/bXHnQFY0_normal.jpg")</f>
        <v>https://pbs.twimg.com/profile_images/1559883556846977024/bXHnQFY0_normal.jpg</v>
      </c>
      <c r="AW3475" s="82" t="s">
        <v>16559</v>
      </c>
      <c r="AX3475" s="82" t="s">
        <v>16559</v>
      </c>
      <c r="AY3475" s="77"/>
      <c r="AZ3475" s="82" t="s">
        <v>17385</v>
      </c>
      <c r="BA3475" s="82" t="s">
        <v>17385</v>
      </c>
      <c r="BB3475" s="82" t="s">
        <v>17385</v>
      </c>
      <c r="BC3475" s="82" t="s">
        <v>16559</v>
      </c>
      <c r="BD3475" s="77">
        <v>51150679</v>
      </c>
      <c r="BE3475" s="77"/>
      <c r="BF3475" s="77"/>
      <c r="BG3475" s="77"/>
      <c r="BH3475" s="77"/>
      <c r="BI3475" s="77"/>
    </row>
    <row r="3476" spans="1:61" x14ac:dyDescent="0.25">
      <c r="A3476" s="62" t="s">
        <v>605</v>
      </c>
      <c r="B3476" s="62" t="s">
        <v>605</v>
      </c>
      <c r="C3476" s="63"/>
      <c r="D3476" s="64"/>
      <c r="E3476" s="65"/>
      <c r="F3476" s="66"/>
      <c r="G3476" s="63"/>
      <c r="H3476" s="67"/>
      <c r="I3476" s="68"/>
      <c r="J3476" s="68"/>
      <c r="K3476" s="32"/>
      <c r="L3476" s="75">
        <v>3476</v>
      </c>
      <c r="M3476" s="75"/>
      <c r="N3476" s="70"/>
      <c r="O3476" s="77" t="s">
        <v>179</v>
      </c>
      <c r="P3476" s="79">
        <v>45077.566701388889</v>
      </c>
      <c r="Q3476" s="77" t="s">
        <v>4250</v>
      </c>
      <c r="R3476" s="77">
        <v>0</v>
      </c>
      <c r="S3476" s="77">
        <v>7</v>
      </c>
      <c r="T3476" s="77">
        <v>2</v>
      </c>
      <c r="U3476" s="77">
        <v>0</v>
      </c>
      <c r="V3476" s="77">
        <v>1218</v>
      </c>
      <c r="W3476" s="82" t="s">
        <v>6696</v>
      </c>
      <c r="X3476" s="80" t="str">
        <f>HYPERLINK("https://www.moneytimes.com.br/vale-vale3-e-siderurgicas-sentem-novo-golpe-do-minerio-de-ferro-com-atividade-fraca-na-china/")</f>
        <v>https://www.moneytimes.com.br/vale-vale3-e-siderurgicas-sentem-novo-golpe-do-minerio-de-ferro-com-atividade-fraca-na-china/</v>
      </c>
      <c r="Y3476" s="77" t="s">
        <v>7053</v>
      </c>
      <c r="Z3476" s="77"/>
      <c r="AA3476" s="77"/>
      <c r="AB3476" s="77"/>
      <c r="AC3476" s="82" t="s">
        <v>8255</v>
      </c>
      <c r="AD3476" s="77" t="s">
        <v>8278</v>
      </c>
      <c r="AE3476" s="80" t="str">
        <f>HYPERLINK("https://twitter.com/leiamoneytimes/status/1663902160214523905")</f>
        <v>https://twitter.com/leiamoneytimes/status/1663902160214523905</v>
      </c>
      <c r="AF3476" s="79">
        <v>45077.566701388889</v>
      </c>
      <c r="AG3476" s="85">
        <v>45077</v>
      </c>
      <c r="AH3476" s="82" t="s">
        <v>11470</v>
      </c>
      <c r="AI3476" s="77" t="b">
        <v>0</v>
      </c>
      <c r="AJ3476" s="77"/>
      <c r="AK3476" s="77"/>
      <c r="AL3476" s="77"/>
      <c r="AM3476" s="77"/>
      <c r="AN3476" s="77"/>
      <c r="AO3476" s="77"/>
      <c r="AP3476" s="77"/>
      <c r="AQ3476" s="77"/>
      <c r="AR3476" s="77"/>
      <c r="AS3476" s="77"/>
      <c r="AT3476" s="77"/>
      <c r="AU3476" s="77"/>
      <c r="AV3476" s="80" t="str">
        <f>HYPERLINK("https://pbs.twimg.com/profile_images/1559883556846977024/bXHnQFY0_normal.jpg")</f>
        <v>https://pbs.twimg.com/profile_images/1559883556846977024/bXHnQFY0_normal.jpg</v>
      </c>
      <c r="AW3476" s="82" t="s">
        <v>16560</v>
      </c>
      <c r="AX3476" s="82" t="s">
        <v>16560</v>
      </c>
      <c r="AY3476" s="77"/>
      <c r="AZ3476" s="82" t="s">
        <v>17385</v>
      </c>
      <c r="BA3476" s="82" t="s">
        <v>17385</v>
      </c>
      <c r="BB3476" s="82" t="s">
        <v>17385</v>
      </c>
      <c r="BC3476" s="82" t="s">
        <v>16560</v>
      </c>
      <c r="BD3476" s="77">
        <v>51150679</v>
      </c>
      <c r="BE3476" s="77"/>
      <c r="BF3476" s="77"/>
      <c r="BG3476" s="77"/>
      <c r="BH3476" s="77"/>
      <c r="BI3476" s="77"/>
    </row>
    <row r="3477" spans="1:61" x14ac:dyDescent="0.25">
      <c r="A3477" s="62" t="s">
        <v>605</v>
      </c>
      <c r="B3477" s="62" t="s">
        <v>605</v>
      </c>
      <c r="C3477" s="63"/>
      <c r="D3477" s="64"/>
      <c r="E3477" s="65"/>
      <c r="F3477" s="66"/>
      <c r="G3477" s="63"/>
      <c r="H3477" s="67"/>
      <c r="I3477" s="68"/>
      <c r="J3477" s="68"/>
      <c r="K3477" s="32"/>
      <c r="L3477" s="75">
        <v>3477</v>
      </c>
      <c r="M3477" s="75"/>
      <c r="N3477" s="70"/>
      <c r="O3477" s="77" t="s">
        <v>179</v>
      </c>
      <c r="P3477" s="79">
        <v>45077.550578703704</v>
      </c>
      <c r="Q3477" s="77" t="s">
        <v>4251</v>
      </c>
      <c r="R3477" s="77">
        <v>1</v>
      </c>
      <c r="S3477" s="77">
        <v>1</v>
      </c>
      <c r="T3477" s="77">
        <v>0</v>
      </c>
      <c r="U3477" s="77">
        <v>0</v>
      </c>
      <c r="V3477" s="77">
        <v>904</v>
      </c>
      <c r="W3477" s="82" t="s">
        <v>6697</v>
      </c>
      <c r="X3477" s="80" t="str">
        <f>HYPERLINK("https://www.moneytimes.com.br/ibovespa-ibov-opera-em-queda-no-ultimo-pregao-do-mes-com-atencao-ao-exterior/")</f>
        <v>https://www.moneytimes.com.br/ibovespa-ibov-opera-em-queda-no-ultimo-pregao-do-mes-com-atencao-ao-exterior/</v>
      </c>
      <c r="Y3477" s="77" t="s">
        <v>7053</v>
      </c>
      <c r="Z3477" s="77"/>
      <c r="AA3477" s="77"/>
      <c r="AB3477" s="77"/>
      <c r="AC3477" s="82" t="s">
        <v>8255</v>
      </c>
      <c r="AD3477" s="77" t="s">
        <v>8278</v>
      </c>
      <c r="AE3477" s="80" t="str">
        <f>HYPERLINK("https://twitter.com/leiamoneytimes/status/1663896318408892417")</f>
        <v>https://twitter.com/leiamoneytimes/status/1663896318408892417</v>
      </c>
      <c r="AF3477" s="79">
        <v>45077.550578703704</v>
      </c>
      <c r="AG3477" s="85">
        <v>45077</v>
      </c>
      <c r="AH3477" s="82" t="s">
        <v>11471</v>
      </c>
      <c r="AI3477" s="77" t="b">
        <v>0</v>
      </c>
      <c r="AJ3477" s="77"/>
      <c r="AK3477" s="77"/>
      <c r="AL3477" s="77"/>
      <c r="AM3477" s="77"/>
      <c r="AN3477" s="77"/>
      <c r="AO3477" s="77"/>
      <c r="AP3477" s="77"/>
      <c r="AQ3477" s="77"/>
      <c r="AR3477" s="77"/>
      <c r="AS3477" s="77"/>
      <c r="AT3477" s="77"/>
      <c r="AU3477" s="77"/>
      <c r="AV3477" s="80" t="str">
        <f>HYPERLINK("https://pbs.twimg.com/profile_images/1559883556846977024/bXHnQFY0_normal.jpg")</f>
        <v>https://pbs.twimg.com/profile_images/1559883556846977024/bXHnQFY0_normal.jpg</v>
      </c>
      <c r="AW3477" s="82" t="s">
        <v>16561</v>
      </c>
      <c r="AX3477" s="82" t="s">
        <v>16561</v>
      </c>
      <c r="AY3477" s="77"/>
      <c r="AZ3477" s="82" t="s">
        <v>17385</v>
      </c>
      <c r="BA3477" s="82" t="s">
        <v>17385</v>
      </c>
      <c r="BB3477" s="82" t="s">
        <v>17385</v>
      </c>
      <c r="BC3477" s="82" t="s">
        <v>16561</v>
      </c>
      <c r="BD3477" s="77">
        <v>51150679</v>
      </c>
      <c r="BE3477" s="77"/>
      <c r="BF3477" s="77"/>
      <c r="BG3477" s="77"/>
      <c r="BH3477" s="77"/>
      <c r="BI3477" s="77"/>
    </row>
    <row r="3478" spans="1:61" x14ac:dyDescent="0.25">
      <c r="A3478" s="62" t="s">
        <v>605</v>
      </c>
      <c r="B3478" s="62" t="s">
        <v>605</v>
      </c>
      <c r="C3478" s="63"/>
      <c r="D3478" s="64"/>
      <c r="E3478" s="65"/>
      <c r="F3478" s="66"/>
      <c r="G3478" s="63"/>
      <c r="H3478" s="67"/>
      <c r="I3478" s="68"/>
      <c r="J3478" s="68"/>
      <c r="K3478" s="32"/>
      <c r="L3478" s="75">
        <v>3478</v>
      </c>
      <c r="M3478" s="75"/>
      <c r="N3478" s="70"/>
      <c r="O3478" s="77" t="s">
        <v>179</v>
      </c>
      <c r="P3478" s="79">
        <v>45077.518854166665</v>
      </c>
      <c r="Q3478" s="77" t="s">
        <v>4252</v>
      </c>
      <c r="R3478" s="77">
        <v>0</v>
      </c>
      <c r="S3478" s="77">
        <v>15</v>
      </c>
      <c r="T3478" s="77">
        <v>0</v>
      </c>
      <c r="U3478" s="77">
        <v>0</v>
      </c>
      <c r="V3478" s="77">
        <v>3375</v>
      </c>
      <c r="W3478" s="82" t="s">
        <v>6559</v>
      </c>
      <c r="X3478" s="80" t="str">
        <f>HYPERLINK("https://www.moneytimes.com.br/gringos-fazem-pequenos-ajustes-de-compra-e-venda-de-acoes-na-b3-mas-saldo-no-mes-segue-negativo/")</f>
        <v>https://www.moneytimes.com.br/gringos-fazem-pequenos-ajustes-de-compra-e-venda-de-acoes-na-b3-mas-saldo-no-mes-segue-negativo/</v>
      </c>
      <c r="Y3478" s="77" t="s">
        <v>7053</v>
      </c>
      <c r="Z3478" s="77"/>
      <c r="AA3478" s="77"/>
      <c r="AB3478" s="77"/>
      <c r="AC3478" s="82" t="s">
        <v>8255</v>
      </c>
      <c r="AD3478" s="77" t="s">
        <v>8278</v>
      </c>
      <c r="AE3478" s="80" t="str">
        <f>HYPERLINK("https://twitter.com/leiamoneytimes/status/1663884819984441345")</f>
        <v>https://twitter.com/leiamoneytimes/status/1663884819984441345</v>
      </c>
      <c r="AF3478" s="79">
        <v>45077.518854166665</v>
      </c>
      <c r="AG3478" s="85">
        <v>45077</v>
      </c>
      <c r="AH3478" s="82" t="s">
        <v>11472</v>
      </c>
      <c r="AI3478" s="77" t="b">
        <v>0</v>
      </c>
      <c r="AJ3478" s="77"/>
      <c r="AK3478" s="77"/>
      <c r="AL3478" s="77"/>
      <c r="AM3478" s="77"/>
      <c r="AN3478" s="77"/>
      <c r="AO3478" s="77"/>
      <c r="AP3478" s="77"/>
      <c r="AQ3478" s="77"/>
      <c r="AR3478" s="77"/>
      <c r="AS3478" s="77"/>
      <c r="AT3478" s="77"/>
      <c r="AU3478" s="77"/>
      <c r="AV3478" s="80" t="str">
        <f>HYPERLINK("https://pbs.twimg.com/profile_images/1559883556846977024/bXHnQFY0_normal.jpg")</f>
        <v>https://pbs.twimg.com/profile_images/1559883556846977024/bXHnQFY0_normal.jpg</v>
      </c>
      <c r="AW3478" s="82" t="s">
        <v>16562</v>
      </c>
      <c r="AX3478" s="82" t="s">
        <v>16562</v>
      </c>
      <c r="AY3478" s="77"/>
      <c r="AZ3478" s="82" t="s">
        <v>17385</v>
      </c>
      <c r="BA3478" s="82" t="s">
        <v>17385</v>
      </c>
      <c r="BB3478" s="82" t="s">
        <v>17385</v>
      </c>
      <c r="BC3478" s="82" t="s">
        <v>16562</v>
      </c>
      <c r="BD3478" s="77">
        <v>51150679</v>
      </c>
      <c r="BE3478" s="77"/>
      <c r="BF3478" s="77"/>
      <c r="BG3478" s="77"/>
      <c r="BH3478" s="77"/>
      <c r="BI3478" s="77"/>
    </row>
    <row r="3479" spans="1:61" x14ac:dyDescent="0.25">
      <c r="A3479" s="62" t="s">
        <v>605</v>
      </c>
      <c r="B3479" s="62" t="s">
        <v>605</v>
      </c>
      <c r="C3479" s="63"/>
      <c r="D3479" s="64"/>
      <c r="E3479" s="65"/>
      <c r="F3479" s="66"/>
      <c r="G3479" s="63"/>
      <c r="H3479" s="67"/>
      <c r="I3479" s="68"/>
      <c r="J3479" s="68"/>
      <c r="K3479" s="32"/>
      <c r="L3479" s="75">
        <v>3479</v>
      </c>
      <c r="M3479" s="75"/>
      <c r="N3479" s="70"/>
      <c r="O3479" s="77" t="s">
        <v>179</v>
      </c>
      <c r="P3479" s="79">
        <v>45077.455138888887</v>
      </c>
      <c r="Q3479" s="77" t="s">
        <v>4253</v>
      </c>
      <c r="R3479" s="77">
        <v>1</v>
      </c>
      <c r="S3479" s="77">
        <v>2</v>
      </c>
      <c r="T3479" s="77">
        <v>0</v>
      </c>
      <c r="U3479" s="77">
        <v>0</v>
      </c>
      <c r="V3479" s="77">
        <v>1275</v>
      </c>
      <c r="W3479" s="82" t="s">
        <v>6698</v>
      </c>
      <c r="X3479" s="80" t="str">
        <f>HYPERLINK("https://www.moneytimes.com.br/petrobras-petr4-e-taesa-taee11-anunciam-novas-frentes-de-operacao-confira-os-destaques-desta-quarta-31/")</f>
        <v>https://www.moneytimes.com.br/petrobras-petr4-e-taesa-taee11-anunciam-novas-frentes-de-operacao-confira-os-destaques-desta-quarta-31/</v>
      </c>
      <c r="Y3479" s="77" t="s">
        <v>7053</v>
      </c>
      <c r="Z3479" s="77"/>
      <c r="AA3479" s="77"/>
      <c r="AB3479" s="77"/>
      <c r="AC3479" s="82" t="s">
        <v>8255</v>
      </c>
      <c r="AD3479" s="77" t="s">
        <v>8278</v>
      </c>
      <c r="AE3479" s="80" t="str">
        <f>HYPERLINK("https://twitter.com/leiamoneytimes/status/1663861732605829121")</f>
        <v>https://twitter.com/leiamoneytimes/status/1663861732605829121</v>
      </c>
      <c r="AF3479" s="79">
        <v>45077.455138888887</v>
      </c>
      <c r="AG3479" s="85">
        <v>45077</v>
      </c>
      <c r="AH3479" s="82" t="s">
        <v>11473</v>
      </c>
      <c r="AI3479" s="77" t="b">
        <v>0</v>
      </c>
      <c r="AJ3479" s="77"/>
      <c r="AK3479" s="77"/>
      <c r="AL3479" s="77"/>
      <c r="AM3479" s="77"/>
      <c r="AN3479" s="77"/>
      <c r="AO3479" s="77"/>
      <c r="AP3479" s="77"/>
      <c r="AQ3479" s="77"/>
      <c r="AR3479" s="77"/>
      <c r="AS3479" s="77"/>
      <c r="AT3479" s="77"/>
      <c r="AU3479" s="77"/>
      <c r="AV3479" s="80" t="str">
        <f>HYPERLINK("https://pbs.twimg.com/profile_images/1559883556846977024/bXHnQFY0_normal.jpg")</f>
        <v>https://pbs.twimg.com/profile_images/1559883556846977024/bXHnQFY0_normal.jpg</v>
      </c>
      <c r="AW3479" s="82" t="s">
        <v>16563</v>
      </c>
      <c r="AX3479" s="82" t="s">
        <v>16563</v>
      </c>
      <c r="AY3479" s="77"/>
      <c r="AZ3479" s="82" t="s">
        <v>17385</v>
      </c>
      <c r="BA3479" s="82" t="s">
        <v>17385</v>
      </c>
      <c r="BB3479" s="82" t="s">
        <v>17385</v>
      </c>
      <c r="BC3479" s="82" t="s">
        <v>16563</v>
      </c>
      <c r="BD3479" s="77">
        <v>51150679</v>
      </c>
      <c r="BE3479" s="77"/>
      <c r="BF3479" s="77"/>
      <c r="BG3479" s="77"/>
      <c r="BH3479" s="77"/>
      <c r="BI3479" s="77"/>
    </row>
    <row r="3480" spans="1:61" x14ac:dyDescent="0.25">
      <c r="A3480" s="62" t="s">
        <v>605</v>
      </c>
      <c r="B3480" s="62" t="s">
        <v>605</v>
      </c>
      <c r="C3480" s="63"/>
      <c r="D3480" s="64"/>
      <c r="E3480" s="65"/>
      <c r="F3480" s="66"/>
      <c r="G3480" s="63"/>
      <c r="H3480" s="67"/>
      <c r="I3480" s="68"/>
      <c r="J3480" s="68"/>
      <c r="K3480" s="32"/>
      <c r="L3480" s="75">
        <v>3480</v>
      </c>
      <c r="M3480" s="75"/>
      <c r="N3480" s="70"/>
      <c r="O3480" s="77" t="s">
        <v>179</v>
      </c>
      <c r="P3480" s="79">
        <v>45077.45239583333</v>
      </c>
      <c r="Q3480" s="77" t="s">
        <v>4254</v>
      </c>
      <c r="R3480" s="77">
        <v>1</v>
      </c>
      <c r="S3480" s="77">
        <v>4</v>
      </c>
      <c r="T3480" s="77">
        <v>1</v>
      </c>
      <c r="U3480" s="77">
        <v>0</v>
      </c>
      <c r="V3480" s="77">
        <v>1565</v>
      </c>
      <c r="W3480" s="82" t="s">
        <v>6564</v>
      </c>
      <c r="X3480" s="80" t="str">
        <f>HYPERLINK("https://www.moneytimes.com.br/bolsas-asiaticas-acoes-de-hong-kong-tem-forte-queda-e-quase-entram-em-bear-market/")</f>
        <v>https://www.moneytimes.com.br/bolsas-asiaticas-acoes-de-hong-kong-tem-forte-queda-e-quase-entram-em-bear-market/</v>
      </c>
      <c r="Y3480" s="77" t="s">
        <v>7053</v>
      </c>
      <c r="Z3480" s="77"/>
      <c r="AA3480" s="77"/>
      <c r="AB3480" s="77"/>
      <c r="AC3480" s="82" t="s">
        <v>8255</v>
      </c>
      <c r="AD3480" s="77" t="s">
        <v>8278</v>
      </c>
      <c r="AE3480" s="80" t="str">
        <f>HYPERLINK("https://twitter.com/leiamoneytimes/status/1663860738429968384")</f>
        <v>https://twitter.com/leiamoneytimes/status/1663860738429968384</v>
      </c>
      <c r="AF3480" s="79">
        <v>45077.45239583333</v>
      </c>
      <c r="AG3480" s="85">
        <v>45077</v>
      </c>
      <c r="AH3480" s="82" t="s">
        <v>11474</v>
      </c>
      <c r="AI3480" s="77" t="b">
        <v>0</v>
      </c>
      <c r="AJ3480" s="77"/>
      <c r="AK3480" s="77"/>
      <c r="AL3480" s="77"/>
      <c r="AM3480" s="77"/>
      <c r="AN3480" s="77"/>
      <c r="AO3480" s="77"/>
      <c r="AP3480" s="77"/>
      <c r="AQ3480" s="77"/>
      <c r="AR3480" s="77"/>
      <c r="AS3480" s="77"/>
      <c r="AT3480" s="77"/>
      <c r="AU3480" s="77"/>
      <c r="AV3480" s="80" t="str">
        <f>HYPERLINK("https://pbs.twimg.com/profile_images/1559883556846977024/bXHnQFY0_normal.jpg")</f>
        <v>https://pbs.twimg.com/profile_images/1559883556846977024/bXHnQFY0_normal.jpg</v>
      </c>
      <c r="AW3480" s="82" t="s">
        <v>16564</v>
      </c>
      <c r="AX3480" s="82" t="s">
        <v>16564</v>
      </c>
      <c r="AY3480" s="77"/>
      <c r="AZ3480" s="82" t="s">
        <v>17385</v>
      </c>
      <c r="BA3480" s="82" t="s">
        <v>17385</v>
      </c>
      <c r="BB3480" s="82" t="s">
        <v>17385</v>
      </c>
      <c r="BC3480" s="82" t="s">
        <v>16564</v>
      </c>
      <c r="BD3480" s="77">
        <v>51150679</v>
      </c>
      <c r="BE3480" s="77"/>
      <c r="BF3480" s="77"/>
      <c r="BG3480" s="77"/>
      <c r="BH3480" s="77"/>
      <c r="BI3480" s="77"/>
    </row>
    <row r="3481" spans="1:61" x14ac:dyDescent="0.25">
      <c r="A3481" s="62" t="s">
        <v>605</v>
      </c>
      <c r="B3481" s="62" t="s">
        <v>605</v>
      </c>
      <c r="C3481" s="63"/>
      <c r="D3481" s="64"/>
      <c r="E3481" s="65"/>
      <c r="F3481" s="66"/>
      <c r="G3481" s="63"/>
      <c r="H3481" s="67"/>
      <c r="I3481" s="68"/>
      <c r="J3481" s="68"/>
      <c r="K3481" s="32"/>
      <c r="L3481" s="75">
        <v>3481</v>
      </c>
      <c r="M3481" s="75"/>
      <c r="N3481" s="70"/>
      <c r="O3481" s="77" t="s">
        <v>179</v>
      </c>
      <c r="P3481" s="79">
        <v>45076.972245370373</v>
      </c>
      <c r="Q3481" s="77" t="s">
        <v>4255</v>
      </c>
      <c r="R3481" s="77">
        <v>0</v>
      </c>
      <c r="S3481" s="77">
        <v>6</v>
      </c>
      <c r="T3481" s="77">
        <v>1</v>
      </c>
      <c r="U3481" s="77">
        <v>0</v>
      </c>
      <c r="V3481" s="77">
        <v>1572</v>
      </c>
      <c r="W3481" s="82" t="s">
        <v>6699</v>
      </c>
      <c r="X3481" s="80" t="str">
        <f>HYPERLINK("https://www.moneytimes.com.br/ccr-ccro3-vai-recomprar-ate-32-milhoes-de-acoes/")</f>
        <v>https://www.moneytimes.com.br/ccr-ccro3-vai-recomprar-ate-32-milhoes-de-acoes/</v>
      </c>
      <c r="Y3481" s="77" t="s">
        <v>7053</v>
      </c>
      <c r="Z3481" s="77"/>
      <c r="AA3481" s="77"/>
      <c r="AB3481" s="77"/>
      <c r="AC3481" s="82" t="s">
        <v>8255</v>
      </c>
      <c r="AD3481" s="77" t="s">
        <v>8278</v>
      </c>
      <c r="AE3481" s="80" t="str">
        <f>HYPERLINK("https://twitter.com/leiamoneytimes/status/1663686737241993220")</f>
        <v>https://twitter.com/leiamoneytimes/status/1663686737241993220</v>
      </c>
      <c r="AF3481" s="79">
        <v>45076.972245370373</v>
      </c>
      <c r="AG3481" s="85">
        <v>45076</v>
      </c>
      <c r="AH3481" s="82" t="s">
        <v>11475</v>
      </c>
      <c r="AI3481" s="77" t="b">
        <v>0</v>
      </c>
      <c r="AJ3481" s="77"/>
      <c r="AK3481" s="77"/>
      <c r="AL3481" s="77"/>
      <c r="AM3481" s="77"/>
      <c r="AN3481" s="77"/>
      <c r="AO3481" s="77"/>
      <c r="AP3481" s="77"/>
      <c r="AQ3481" s="77"/>
      <c r="AR3481" s="77"/>
      <c r="AS3481" s="77"/>
      <c r="AT3481" s="77"/>
      <c r="AU3481" s="77"/>
      <c r="AV3481" s="80" t="str">
        <f>HYPERLINK("https://pbs.twimg.com/profile_images/1559883556846977024/bXHnQFY0_normal.jpg")</f>
        <v>https://pbs.twimg.com/profile_images/1559883556846977024/bXHnQFY0_normal.jpg</v>
      </c>
      <c r="AW3481" s="82" t="s">
        <v>16565</v>
      </c>
      <c r="AX3481" s="82" t="s">
        <v>16565</v>
      </c>
      <c r="AY3481" s="77"/>
      <c r="AZ3481" s="82" t="s">
        <v>17385</v>
      </c>
      <c r="BA3481" s="82" t="s">
        <v>17385</v>
      </c>
      <c r="BB3481" s="82" t="s">
        <v>17385</v>
      </c>
      <c r="BC3481" s="82" t="s">
        <v>16565</v>
      </c>
      <c r="BD3481" s="77">
        <v>51150679</v>
      </c>
      <c r="BE3481" s="77"/>
      <c r="BF3481" s="77"/>
      <c r="BG3481" s="77"/>
      <c r="BH3481" s="77"/>
      <c r="BI3481" s="77"/>
    </row>
    <row r="3482" spans="1:61" x14ac:dyDescent="0.25">
      <c r="A3482" s="62" t="s">
        <v>605</v>
      </c>
      <c r="B3482" s="62" t="s">
        <v>605</v>
      </c>
      <c r="C3482" s="63"/>
      <c r="D3482" s="64"/>
      <c r="E3482" s="65"/>
      <c r="F3482" s="66"/>
      <c r="G3482" s="63"/>
      <c r="H3482" s="67"/>
      <c r="I3482" s="68"/>
      <c r="J3482" s="68"/>
      <c r="K3482" s="32"/>
      <c r="L3482" s="75">
        <v>3482</v>
      </c>
      <c r="M3482" s="75"/>
      <c r="N3482" s="70"/>
      <c r="O3482" s="77" t="s">
        <v>179</v>
      </c>
      <c r="P3482" s="79">
        <v>45076.846585648149</v>
      </c>
      <c r="Q3482" s="77" t="s">
        <v>4256</v>
      </c>
      <c r="R3482" s="77">
        <v>0</v>
      </c>
      <c r="S3482" s="77">
        <v>5</v>
      </c>
      <c r="T3482" s="77">
        <v>0</v>
      </c>
      <c r="U3482" s="77">
        <v>0</v>
      </c>
      <c r="V3482" s="77">
        <v>1382</v>
      </c>
      <c r="W3482" s="82" t="s">
        <v>6551</v>
      </c>
      <c r="X3482" s="80" t="str">
        <f>HYPERLINK("https://www.moneytimes.com.br/ibovespa-hoje-fecha-queda-vale-vale3-petrobras-petr4-bancos-30-05-2023/")</f>
        <v>https://www.moneytimes.com.br/ibovespa-hoje-fecha-queda-vale-vale3-petrobras-petr4-bancos-30-05-2023/</v>
      </c>
      <c r="Y3482" s="77" t="s">
        <v>7053</v>
      </c>
      <c r="Z3482" s="77"/>
      <c r="AA3482" s="77"/>
      <c r="AB3482" s="77"/>
      <c r="AC3482" s="82" t="s">
        <v>8255</v>
      </c>
      <c r="AD3482" s="77" t="s">
        <v>8278</v>
      </c>
      <c r="AE3482" s="80" t="str">
        <f>HYPERLINK("https://twitter.com/leiamoneytimes/status/1663641200883056643")</f>
        <v>https://twitter.com/leiamoneytimes/status/1663641200883056643</v>
      </c>
      <c r="AF3482" s="79">
        <v>45076.846585648149</v>
      </c>
      <c r="AG3482" s="85">
        <v>45076</v>
      </c>
      <c r="AH3482" s="82" t="s">
        <v>11476</v>
      </c>
      <c r="AI3482" s="77" t="b">
        <v>0</v>
      </c>
      <c r="AJ3482" s="77"/>
      <c r="AK3482" s="77"/>
      <c r="AL3482" s="77"/>
      <c r="AM3482" s="77"/>
      <c r="AN3482" s="77"/>
      <c r="AO3482" s="77"/>
      <c r="AP3482" s="77"/>
      <c r="AQ3482" s="77"/>
      <c r="AR3482" s="77"/>
      <c r="AS3482" s="77"/>
      <c r="AT3482" s="77"/>
      <c r="AU3482" s="77"/>
      <c r="AV3482" s="80" t="str">
        <f>HYPERLINK("https://pbs.twimg.com/profile_images/1559883556846977024/bXHnQFY0_normal.jpg")</f>
        <v>https://pbs.twimg.com/profile_images/1559883556846977024/bXHnQFY0_normal.jpg</v>
      </c>
      <c r="AW3482" s="82" t="s">
        <v>16566</v>
      </c>
      <c r="AX3482" s="82" t="s">
        <v>16566</v>
      </c>
      <c r="AY3482" s="77"/>
      <c r="AZ3482" s="82" t="s">
        <v>17385</v>
      </c>
      <c r="BA3482" s="82" t="s">
        <v>17385</v>
      </c>
      <c r="BB3482" s="82" t="s">
        <v>17385</v>
      </c>
      <c r="BC3482" s="82" t="s">
        <v>16566</v>
      </c>
      <c r="BD3482" s="77">
        <v>51150679</v>
      </c>
      <c r="BE3482" s="77"/>
      <c r="BF3482" s="77"/>
      <c r="BG3482" s="77"/>
      <c r="BH3482" s="77"/>
      <c r="BI3482" s="77"/>
    </row>
    <row r="3483" spans="1:61" x14ac:dyDescent="0.25">
      <c r="A3483" s="62" t="s">
        <v>605</v>
      </c>
      <c r="B3483" s="62" t="s">
        <v>605</v>
      </c>
      <c r="C3483" s="63"/>
      <c r="D3483" s="64"/>
      <c r="E3483" s="65"/>
      <c r="F3483" s="66"/>
      <c r="G3483" s="63"/>
      <c r="H3483" s="67"/>
      <c r="I3483" s="68"/>
      <c r="J3483" s="68"/>
      <c r="K3483" s="32"/>
      <c r="L3483" s="75">
        <v>3483</v>
      </c>
      <c r="M3483" s="75"/>
      <c r="N3483" s="70"/>
      <c r="O3483" s="77" t="s">
        <v>179</v>
      </c>
      <c r="P3483" s="79">
        <v>45076.676759259259</v>
      </c>
      <c r="Q3483" s="77" t="s">
        <v>4257</v>
      </c>
      <c r="R3483" s="77">
        <v>0</v>
      </c>
      <c r="S3483" s="77">
        <v>3</v>
      </c>
      <c r="T3483" s="77">
        <v>0</v>
      </c>
      <c r="U3483" s="77">
        <v>0</v>
      </c>
      <c r="V3483" s="77">
        <v>1505</v>
      </c>
      <c r="W3483" s="82" t="s">
        <v>6551</v>
      </c>
      <c r="X3483" s="80" t="str">
        <f>HYPERLINK("https://www.moneytimes.com.br/ibovespa-por-que-itub4-vale3-e-petr4-recuam-nesta-terca-30/")</f>
        <v>https://www.moneytimes.com.br/ibovespa-por-que-itub4-vale3-e-petr4-recuam-nesta-terca-30/</v>
      </c>
      <c r="Y3483" s="77" t="s">
        <v>7053</v>
      </c>
      <c r="Z3483" s="77"/>
      <c r="AA3483" s="77"/>
      <c r="AB3483" s="77"/>
      <c r="AC3483" s="82" t="s">
        <v>8255</v>
      </c>
      <c r="AD3483" s="77" t="s">
        <v>8278</v>
      </c>
      <c r="AE3483" s="80" t="str">
        <f>HYPERLINK("https://twitter.com/leiamoneytimes/status/1663579655033479168")</f>
        <v>https://twitter.com/leiamoneytimes/status/1663579655033479168</v>
      </c>
      <c r="AF3483" s="79">
        <v>45076.676759259259</v>
      </c>
      <c r="AG3483" s="85">
        <v>45076</v>
      </c>
      <c r="AH3483" s="82" t="s">
        <v>11477</v>
      </c>
      <c r="AI3483" s="77" t="b">
        <v>0</v>
      </c>
      <c r="AJ3483" s="77"/>
      <c r="AK3483" s="77"/>
      <c r="AL3483" s="77"/>
      <c r="AM3483" s="77"/>
      <c r="AN3483" s="77"/>
      <c r="AO3483" s="77"/>
      <c r="AP3483" s="77"/>
      <c r="AQ3483" s="77"/>
      <c r="AR3483" s="77"/>
      <c r="AS3483" s="77"/>
      <c r="AT3483" s="77"/>
      <c r="AU3483" s="77"/>
      <c r="AV3483" s="80" t="str">
        <f>HYPERLINK("https://pbs.twimg.com/profile_images/1559883556846977024/bXHnQFY0_normal.jpg")</f>
        <v>https://pbs.twimg.com/profile_images/1559883556846977024/bXHnQFY0_normal.jpg</v>
      </c>
      <c r="AW3483" s="82" t="s">
        <v>16567</v>
      </c>
      <c r="AX3483" s="82" t="s">
        <v>16567</v>
      </c>
      <c r="AY3483" s="77"/>
      <c r="AZ3483" s="82" t="s">
        <v>17385</v>
      </c>
      <c r="BA3483" s="82" t="s">
        <v>17385</v>
      </c>
      <c r="BB3483" s="82" t="s">
        <v>17385</v>
      </c>
      <c r="BC3483" s="82" t="s">
        <v>16567</v>
      </c>
      <c r="BD3483" s="77">
        <v>51150679</v>
      </c>
      <c r="BE3483" s="77"/>
      <c r="BF3483" s="77"/>
      <c r="BG3483" s="77"/>
      <c r="BH3483" s="77"/>
      <c r="BI3483" s="77"/>
    </row>
    <row r="3484" spans="1:61" x14ac:dyDescent="0.25">
      <c r="A3484" s="62" t="s">
        <v>605</v>
      </c>
      <c r="B3484" s="62" t="s">
        <v>605</v>
      </c>
      <c r="C3484" s="63"/>
      <c r="D3484" s="64"/>
      <c r="E3484" s="65"/>
      <c r="F3484" s="66"/>
      <c r="G3484" s="63"/>
      <c r="H3484" s="67"/>
      <c r="I3484" s="68"/>
      <c r="J3484" s="68"/>
      <c r="K3484" s="32"/>
      <c r="L3484" s="75">
        <v>3484</v>
      </c>
      <c r="M3484" s="75"/>
      <c r="N3484" s="70"/>
      <c r="O3484" s="77" t="s">
        <v>179</v>
      </c>
      <c r="P3484" s="79">
        <v>45076.627245370371</v>
      </c>
      <c r="Q3484" s="77" t="s">
        <v>4258</v>
      </c>
      <c r="R3484" s="77">
        <v>0</v>
      </c>
      <c r="S3484" s="77">
        <v>2</v>
      </c>
      <c r="T3484" s="77">
        <v>1</v>
      </c>
      <c r="U3484" s="77">
        <v>0</v>
      </c>
      <c r="V3484" s="77">
        <v>1270</v>
      </c>
      <c r="W3484" s="82" t="s">
        <v>6700</v>
      </c>
      <c r="X3484" s="80" t="str">
        <f>HYPERLINK("https://www.moneytimes.com.br/ibovespa-ibov-vira-para-negativo-com-commodities-pesando-veja-os-indicadores-desta-terca-30/")</f>
        <v>https://www.moneytimes.com.br/ibovespa-ibov-vira-para-negativo-com-commodities-pesando-veja-os-indicadores-desta-terca-30/</v>
      </c>
      <c r="Y3484" s="77" t="s">
        <v>7053</v>
      </c>
      <c r="Z3484" s="77"/>
      <c r="AA3484" s="77"/>
      <c r="AB3484" s="77"/>
      <c r="AC3484" s="82" t="s">
        <v>8255</v>
      </c>
      <c r="AD3484" s="77" t="s">
        <v>8278</v>
      </c>
      <c r="AE3484" s="80" t="str">
        <f>HYPERLINK("https://twitter.com/leiamoneytimes/status/1663561714023972865")</f>
        <v>https://twitter.com/leiamoneytimes/status/1663561714023972865</v>
      </c>
      <c r="AF3484" s="79">
        <v>45076.627245370371</v>
      </c>
      <c r="AG3484" s="85">
        <v>45076</v>
      </c>
      <c r="AH3484" s="82" t="s">
        <v>11478</v>
      </c>
      <c r="AI3484" s="77" t="b">
        <v>0</v>
      </c>
      <c r="AJ3484" s="77"/>
      <c r="AK3484" s="77"/>
      <c r="AL3484" s="77"/>
      <c r="AM3484" s="77"/>
      <c r="AN3484" s="77"/>
      <c r="AO3484" s="77"/>
      <c r="AP3484" s="77"/>
      <c r="AQ3484" s="77"/>
      <c r="AR3484" s="77"/>
      <c r="AS3484" s="77"/>
      <c r="AT3484" s="77"/>
      <c r="AU3484" s="77"/>
      <c r="AV3484" s="80" t="str">
        <f>HYPERLINK("https://pbs.twimg.com/profile_images/1559883556846977024/bXHnQFY0_normal.jpg")</f>
        <v>https://pbs.twimg.com/profile_images/1559883556846977024/bXHnQFY0_normal.jpg</v>
      </c>
      <c r="AW3484" s="82" t="s">
        <v>16568</v>
      </c>
      <c r="AX3484" s="82" t="s">
        <v>16568</v>
      </c>
      <c r="AY3484" s="77"/>
      <c r="AZ3484" s="82" t="s">
        <v>17385</v>
      </c>
      <c r="BA3484" s="82" t="s">
        <v>17385</v>
      </c>
      <c r="BB3484" s="82" t="s">
        <v>17385</v>
      </c>
      <c r="BC3484" s="82" t="s">
        <v>16568</v>
      </c>
      <c r="BD3484" s="77">
        <v>51150679</v>
      </c>
      <c r="BE3484" s="77"/>
      <c r="BF3484" s="77"/>
      <c r="BG3484" s="77"/>
      <c r="BH3484" s="77"/>
      <c r="BI3484" s="77"/>
    </row>
    <row r="3485" spans="1:61" x14ac:dyDescent="0.25">
      <c r="A3485" s="62" t="s">
        <v>605</v>
      </c>
      <c r="B3485" s="62" t="s">
        <v>605</v>
      </c>
      <c r="C3485" s="63"/>
      <c r="D3485" s="64"/>
      <c r="E3485" s="65"/>
      <c r="F3485" s="66"/>
      <c r="G3485" s="63"/>
      <c r="H3485" s="67"/>
      <c r="I3485" s="68"/>
      <c r="J3485" s="68"/>
      <c r="K3485" s="32"/>
      <c r="L3485" s="75">
        <v>3485</v>
      </c>
      <c r="M3485" s="75"/>
      <c r="N3485" s="70"/>
      <c r="O3485" s="77" t="s">
        <v>179</v>
      </c>
      <c r="P3485" s="79">
        <v>45076.622824074075</v>
      </c>
      <c r="Q3485" s="77" t="s">
        <v>4259</v>
      </c>
      <c r="R3485" s="77">
        <v>2</v>
      </c>
      <c r="S3485" s="77">
        <v>4</v>
      </c>
      <c r="T3485" s="77">
        <v>0</v>
      </c>
      <c r="U3485" s="77">
        <v>0</v>
      </c>
      <c r="V3485" s="77">
        <v>1169</v>
      </c>
      <c r="W3485" s="82" t="s">
        <v>6701</v>
      </c>
      <c r="X3485" s="80" t="str">
        <f>HYPERLINK("https://www.moneytimes.com.br/nvidia-impulsiona-nasdaq-acordo-sobre-divida-anima-mercado/")</f>
        <v>https://www.moneytimes.com.br/nvidia-impulsiona-nasdaq-acordo-sobre-divida-anima-mercado/</v>
      </c>
      <c r="Y3485" s="77" t="s">
        <v>7053</v>
      </c>
      <c r="Z3485" s="77"/>
      <c r="AA3485" s="77"/>
      <c r="AB3485" s="77"/>
      <c r="AC3485" s="82" t="s">
        <v>8255</v>
      </c>
      <c r="AD3485" s="77" t="s">
        <v>8278</v>
      </c>
      <c r="AE3485" s="80" t="str">
        <f>HYPERLINK("https://twitter.com/leiamoneytimes/status/1663560112404045824")</f>
        <v>https://twitter.com/leiamoneytimes/status/1663560112404045824</v>
      </c>
      <c r="AF3485" s="79">
        <v>45076.622824074075</v>
      </c>
      <c r="AG3485" s="85">
        <v>45076</v>
      </c>
      <c r="AH3485" s="82" t="s">
        <v>11479</v>
      </c>
      <c r="AI3485" s="77" t="b">
        <v>0</v>
      </c>
      <c r="AJ3485" s="77"/>
      <c r="AK3485" s="77"/>
      <c r="AL3485" s="77"/>
      <c r="AM3485" s="77"/>
      <c r="AN3485" s="77"/>
      <c r="AO3485" s="77"/>
      <c r="AP3485" s="77"/>
      <c r="AQ3485" s="77"/>
      <c r="AR3485" s="77"/>
      <c r="AS3485" s="77"/>
      <c r="AT3485" s="77"/>
      <c r="AU3485" s="77"/>
      <c r="AV3485" s="80" t="str">
        <f>HYPERLINK("https://pbs.twimg.com/profile_images/1559883556846977024/bXHnQFY0_normal.jpg")</f>
        <v>https://pbs.twimg.com/profile_images/1559883556846977024/bXHnQFY0_normal.jpg</v>
      </c>
      <c r="AW3485" s="82" t="s">
        <v>16569</v>
      </c>
      <c r="AX3485" s="82" t="s">
        <v>16569</v>
      </c>
      <c r="AY3485" s="77"/>
      <c r="AZ3485" s="82" t="s">
        <v>17385</v>
      </c>
      <c r="BA3485" s="82" t="s">
        <v>17385</v>
      </c>
      <c r="BB3485" s="82" t="s">
        <v>17385</v>
      </c>
      <c r="BC3485" s="82" t="s">
        <v>16569</v>
      </c>
      <c r="BD3485" s="77">
        <v>51150679</v>
      </c>
      <c r="BE3485" s="77"/>
      <c r="BF3485" s="77"/>
      <c r="BG3485" s="77"/>
      <c r="BH3485" s="77"/>
      <c r="BI3485" s="77"/>
    </row>
    <row r="3486" spans="1:61" x14ac:dyDescent="0.25">
      <c r="A3486" s="62" t="s">
        <v>605</v>
      </c>
      <c r="B3486" s="62" t="s">
        <v>605</v>
      </c>
      <c r="C3486" s="63"/>
      <c r="D3486" s="64"/>
      <c r="E3486" s="65"/>
      <c r="F3486" s="66"/>
      <c r="G3486" s="63"/>
      <c r="H3486" s="67"/>
      <c r="I3486" s="68"/>
      <c r="J3486" s="68"/>
      <c r="K3486" s="32"/>
      <c r="L3486" s="75">
        <v>3486</v>
      </c>
      <c r="M3486" s="75"/>
      <c r="N3486" s="70"/>
      <c r="O3486" s="77" t="s">
        <v>179</v>
      </c>
      <c r="P3486" s="79">
        <v>45076.606076388889</v>
      </c>
      <c r="Q3486" s="77" t="s">
        <v>4260</v>
      </c>
      <c r="R3486" s="77">
        <v>0</v>
      </c>
      <c r="S3486" s="77">
        <v>3</v>
      </c>
      <c r="T3486" s="77">
        <v>1</v>
      </c>
      <c r="U3486" s="77">
        <v>0</v>
      </c>
      <c r="V3486" s="77">
        <v>1243</v>
      </c>
      <c r="W3486" s="82" t="s">
        <v>6637</v>
      </c>
      <c r="X3486" s="80" t="str">
        <f>HYPERLINK("https://www.moneytimes.com.br/copel-cple6-o-otimismo-dos-analistas-com-a-privatizacao-e-a-reacao-das-acoes/")</f>
        <v>https://www.moneytimes.com.br/copel-cple6-o-otimismo-dos-analistas-com-a-privatizacao-e-a-reacao-das-acoes/</v>
      </c>
      <c r="Y3486" s="77" t="s">
        <v>7053</v>
      </c>
      <c r="Z3486" s="77"/>
      <c r="AA3486" s="77"/>
      <c r="AB3486" s="77"/>
      <c r="AC3486" s="82" t="s">
        <v>8255</v>
      </c>
      <c r="AD3486" s="77" t="s">
        <v>8278</v>
      </c>
      <c r="AE3486" s="80" t="str">
        <f>HYPERLINK("https://twitter.com/leiamoneytimes/status/1663554040469544960")</f>
        <v>https://twitter.com/leiamoneytimes/status/1663554040469544960</v>
      </c>
      <c r="AF3486" s="79">
        <v>45076.606076388889</v>
      </c>
      <c r="AG3486" s="85">
        <v>45076</v>
      </c>
      <c r="AH3486" s="82" t="s">
        <v>11480</v>
      </c>
      <c r="AI3486" s="77" t="b">
        <v>0</v>
      </c>
      <c r="AJ3486" s="77"/>
      <c r="AK3486" s="77"/>
      <c r="AL3486" s="77"/>
      <c r="AM3486" s="77"/>
      <c r="AN3486" s="77"/>
      <c r="AO3486" s="77"/>
      <c r="AP3486" s="77"/>
      <c r="AQ3486" s="77"/>
      <c r="AR3486" s="77"/>
      <c r="AS3486" s="77"/>
      <c r="AT3486" s="77"/>
      <c r="AU3486" s="77"/>
      <c r="AV3486" s="80" t="str">
        <f>HYPERLINK("https://pbs.twimg.com/profile_images/1559883556846977024/bXHnQFY0_normal.jpg")</f>
        <v>https://pbs.twimg.com/profile_images/1559883556846977024/bXHnQFY0_normal.jpg</v>
      </c>
      <c r="AW3486" s="82" t="s">
        <v>16570</v>
      </c>
      <c r="AX3486" s="82" t="s">
        <v>16570</v>
      </c>
      <c r="AY3486" s="77"/>
      <c r="AZ3486" s="82" t="s">
        <v>17385</v>
      </c>
      <c r="BA3486" s="82" t="s">
        <v>17385</v>
      </c>
      <c r="BB3486" s="82" t="s">
        <v>17385</v>
      </c>
      <c r="BC3486" s="82" t="s">
        <v>16570</v>
      </c>
      <c r="BD3486" s="77">
        <v>51150679</v>
      </c>
      <c r="BE3486" s="77"/>
      <c r="BF3486" s="77"/>
      <c r="BG3486" s="77"/>
      <c r="BH3486" s="77"/>
      <c r="BI3486" s="77"/>
    </row>
    <row r="3487" spans="1:61" x14ac:dyDescent="0.25">
      <c r="A3487" s="62" t="s">
        <v>605</v>
      </c>
      <c r="B3487" s="62" t="s">
        <v>605</v>
      </c>
      <c r="C3487" s="63"/>
      <c r="D3487" s="64"/>
      <c r="E3487" s="65"/>
      <c r="F3487" s="66"/>
      <c r="G3487" s="63"/>
      <c r="H3487" s="67"/>
      <c r="I3487" s="68"/>
      <c r="J3487" s="68"/>
      <c r="K3487" s="32"/>
      <c r="L3487" s="75">
        <v>3487</v>
      </c>
      <c r="M3487" s="75"/>
      <c r="N3487" s="70"/>
      <c r="O3487" s="77" t="s">
        <v>179</v>
      </c>
      <c r="P3487" s="79">
        <v>45076.549849537034</v>
      </c>
      <c r="Q3487" s="77" t="s">
        <v>4261</v>
      </c>
      <c r="R3487" s="77">
        <v>0</v>
      </c>
      <c r="S3487" s="77">
        <v>1</v>
      </c>
      <c r="T3487" s="77">
        <v>1</v>
      </c>
      <c r="U3487" s="77">
        <v>0</v>
      </c>
      <c r="V3487" s="77">
        <v>950</v>
      </c>
      <c r="W3487" s="82" t="s">
        <v>6702</v>
      </c>
      <c r="X3487" s="80" t="str">
        <f>HYPERLINK("https://www.moneytimes.com.br/ibovespa-ibov-tenta-alta-nesta-terca-30-junto-com-ny/")</f>
        <v>https://www.moneytimes.com.br/ibovespa-ibov-tenta-alta-nesta-terca-30-junto-com-ny/</v>
      </c>
      <c r="Y3487" s="77" t="s">
        <v>7053</v>
      </c>
      <c r="Z3487" s="77"/>
      <c r="AA3487" s="77"/>
      <c r="AB3487" s="77"/>
      <c r="AC3487" s="82" t="s">
        <v>8255</v>
      </c>
      <c r="AD3487" s="77" t="s">
        <v>8278</v>
      </c>
      <c r="AE3487" s="80" t="str">
        <f>HYPERLINK("https://twitter.com/leiamoneytimes/status/1663533666075652096")</f>
        <v>https://twitter.com/leiamoneytimes/status/1663533666075652096</v>
      </c>
      <c r="AF3487" s="79">
        <v>45076.549849537034</v>
      </c>
      <c r="AG3487" s="85">
        <v>45076</v>
      </c>
      <c r="AH3487" s="82" t="s">
        <v>11481</v>
      </c>
      <c r="AI3487" s="77" t="b">
        <v>0</v>
      </c>
      <c r="AJ3487" s="77"/>
      <c r="AK3487" s="77"/>
      <c r="AL3487" s="77"/>
      <c r="AM3487" s="77"/>
      <c r="AN3487" s="77"/>
      <c r="AO3487" s="77"/>
      <c r="AP3487" s="77"/>
      <c r="AQ3487" s="77"/>
      <c r="AR3487" s="77"/>
      <c r="AS3487" s="77"/>
      <c r="AT3487" s="77"/>
      <c r="AU3487" s="77"/>
      <c r="AV3487" s="80" t="str">
        <f>HYPERLINK("https://pbs.twimg.com/profile_images/1559883556846977024/bXHnQFY0_normal.jpg")</f>
        <v>https://pbs.twimg.com/profile_images/1559883556846977024/bXHnQFY0_normal.jpg</v>
      </c>
      <c r="AW3487" s="82" t="s">
        <v>16571</v>
      </c>
      <c r="AX3487" s="82" t="s">
        <v>16571</v>
      </c>
      <c r="AY3487" s="77"/>
      <c r="AZ3487" s="82" t="s">
        <v>17385</v>
      </c>
      <c r="BA3487" s="82" t="s">
        <v>17385</v>
      </c>
      <c r="BB3487" s="82" t="s">
        <v>17385</v>
      </c>
      <c r="BC3487" s="82" t="s">
        <v>16571</v>
      </c>
      <c r="BD3487" s="77">
        <v>51150679</v>
      </c>
      <c r="BE3487" s="77"/>
      <c r="BF3487" s="77"/>
      <c r="BG3487" s="77"/>
      <c r="BH3487" s="77"/>
      <c r="BI3487" s="77"/>
    </row>
    <row r="3488" spans="1:61" x14ac:dyDescent="0.25">
      <c r="A3488" s="62" t="s">
        <v>605</v>
      </c>
      <c r="B3488" s="62" t="s">
        <v>605</v>
      </c>
      <c r="C3488" s="63"/>
      <c r="D3488" s="64"/>
      <c r="E3488" s="65"/>
      <c r="F3488" s="66"/>
      <c r="G3488" s="63"/>
      <c r="H3488" s="67"/>
      <c r="I3488" s="68"/>
      <c r="J3488" s="68"/>
      <c r="K3488" s="32"/>
      <c r="L3488" s="75">
        <v>3488</v>
      </c>
      <c r="M3488" s="75"/>
      <c r="N3488" s="70"/>
      <c r="O3488" s="77" t="s">
        <v>179</v>
      </c>
      <c r="P3488" s="79">
        <v>45076.518935185188</v>
      </c>
      <c r="Q3488" s="77" t="s">
        <v>4262</v>
      </c>
      <c r="R3488" s="77">
        <v>0</v>
      </c>
      <c r="S3488" s="77">
        <v>6</v>
      </c>
      <c r="T3488" s="77">
        <v>1</v>
      </c>
      <c r="U3488" s="77">
        <v>0</v>
      </c>
      <c r="V3488" s="77">
        <v>1449</v>
      </c>
      <c r="W3488" s="82" t="s">
        <v>6696</v>
      </c>
      <c r="X3488" s="80" t="str">
        <f>HYPERLINK("https://www.moneytimes.com.br/vale-vale3-testa-peso-no-ibovespa-ibov-apos-alta-do-minerio-de-ferro-e-antes-de-dados-da-china/")</f>
        <v>https://www.moneytimes.com.br/vale-vale3-testa-peso-no-ibovespa-ibov-apos-alta-do-minerio-de-ferro-e-antes-de-dados-da-china/</v>
      </c>
      <c r="Y3488" s="77" t="s">
        <v>7053</v>
      </c>
      <c r="Z3488" s="77"/>
      <c r="AA3488" s="77"/>
      <c r="AB3488" s="77"/>
      <c r="AC3488" s="82" t="s">
        <v>8255</v>
      </c>
      <c r="AD3488" s="77" t="s">
        <v>8278</v>
      </c>
      <c r="AE3488" s="80" t="str">
        <f>HYPERLINK("https://twitter.com/leiamoneytimes/status/1663522463190335489")</f>
        <v>https://twitter.com/leiamoneytimes/status/1663522463190335489</v>
      </c>
      <c r="AF3488" s="79">
        <v>45076.518935185188</v>
      </c>
      <c r="AG3488" s="85">
        <v>45076</v>
      </c>
      <c r="AH3488" s="82" t="s">
        <v>11482</v>
      </c>
      <c r="AI3488" s="77" t="b">
        <v>0</v>
      </c>
      <c r="AJ3488" s="77"/>
      <c r="AK3488" s="77"/>
      <c r="AL3488" s="77"/>
      <c r="AM3488" s="77"/>
      <c r="AN3488" s="77"/>
      <c r="AO3488" s="77"/>
      <c r="AP3488" s="77"/>
      <c r="AQ3488" s="77"/>
      <c r="AR3488" s="77"/>
      <c r="AS3488" s="77"/>
      <c r="AT3488" s="77"/>
      <c r="AU3488" s="77"/>
      <c r="AV3488" s="80" t="str">
        <f>HYPERLINK("https://pbs.twimg.com/profile_images/1559883556846977024/bXHnQFY0_normal.jpg")</f>
        <v>https://pbs.twimg.com/profile_images/1559883556846977024/bXHnQFY0_normal.jpg</v>
      </c>
      <c r="AW3488" s="82" t="s">
        <v>16572</v>
      </c>
      <c r="AX3488" s="82" t="s">
        <v>16572</v>
      </c>
      <c r="AY3488" s="77"/>
      <c r="AZ3488" s="82" t="s">
        <v>17385</v>
      </c>
      <c r="BA3488" s="82" t="s">
        <v>17385</v>
      </c>
      <c r="BB3488" s="82" t="s">
        <v>17385</v>
      </c>
      <c r="BC3488" s="82" t="s">
        <v>16572</v>
      </c>
      <c r="BD3488" s="77">
        <v>51150679</v>
      </c>
      <c r="BE3488" s="77"/>
      <c r="BF3488" s="77"/>
      <c r="BG3488" s="77"/>
      <c r="BH3488" s="77"/>
      <c r="BI3488" s="77"/>
    </row>
    <row r="3489" spans="1:61" x14ac:dyDescent="0.25">
      <c r="A3489" s="62" t="s">
        <v>605</v>
      </c>
      <c r="B3489" s="62" t="s">
        <v>605</v>
      </c>
      <c r="C3489" s="63"/>
      <c r="D3489" s="64"/>
      <c r="E3489" s="65"/>
      <c r="F3489" s="66"/>
      <c r="G3489" s="63"/>
      <c r="H3489" s="67"/>
      <c r="I3489" s="68"/>
      <c r="J3489" s="68"/>
      <c r="K3489" s="32"/>
      <c r="L3489" s="75">
        <v>3489</v>
      </c>
      <c r="M3489" s="75"/>
      <c r="N3489" s="70"/>
      <c r="O3489" s="77" t="s">
        <v>179</v>
      </c>
      <c r="P3489" s="79">
        <v>45076.459479166668</v>
      </c>
      <c r="Q3489" s="77" t="s">
        <v>4263</v>
      </c>
      <c r="R3489" s="77">
        <v>1</v>
      </c>
      <c r="S3489" s="77">
        <v>3</v>
      </c>
      <c r="T3489" s="77">
        <v>1</v>
      </c>
      <c r="U3489" s="77">
        <v>0</v>
      </c>
      <c r="V3489" s="77">
        <v>1286</v>
      </c>
      <c r="W3489" s="82" t="s">
        <v>6703</v>
      </c>
      <c r="X3489" s="80" t="str">
        <f>HYPERLINK("https://www.moneytimes.com.br/acoes-da-china-e-hong-kong-tem-leve-alta-antes-de-dados-de-industria-de-maio/")</f>
        <v>https://www.moneytimes.com.br/acoes-da-china-e-hong-kong-tem-leve-alta-antes-de-dados-de-industria-de-maio/</v>
      </c>
      <c r="Y3489" s="77" t="s">
        <v>7053</v>
      </c>
      <c r="Z3489" s="77"/>
      <c r="AA3489" s="77"/>
      <c r="AB3489" s="77"/>
      <c r="AC3489" s="82" t="s">
        <v>8255</v>
      </c>
      <c r="AD3489" s="77" t="s">
        <v>8278</v>
      </c>
      <c r="AE3489" s="80" t="str">
        <f>HYPERLINK("https://twitter.com/leiamoneytimes/status/1663500917423865856")</f>
        <v>https://twitter.com/leiamoneytimes/status/1663500917423865856</v>
      </c>
      <c r="AF3489" s="79">
        <v>45076.459479166668</v>
      </c>
      <c r="AG3489" s="85">
        <v>45076</v>
      </c>
      <c r="AH3489" s="82" t="s">
        <v>11483</v>
      </c>
      <c r="AI3489" s="77" t="b">
        <v>0</v>
      </c>
      <c r="AJ3489" s="77"/>
      <c r="AK3489" s="77"/>
      <c r="AL3489" s="77"/>
      <c r="AM3489" s="77"/>
      <c r="AN3489" s="77"/>
      <c r="AO3489" s="77"/>
      <c r="AP3489" s="77"/>
      <c r="AQ3489" s="77"/>
      <c r="AR3489" s="77"/>
      <c r="AS3489" s="77"/>
      <c r="AT3489" s="77"/>
      <c r="AU3489" s="77"/>
      <c r="AV3489" s="80" t="str">
        <f>HYPERLINK("https://pbs.twimg.com/profile_images/1559883556846977024/bXHnQFY0_normal.jpg")</f>
        <v>https://pbs.twimg.com/profile_images/1559883556846977024/bXHnQFY0_normal.jpg</v>
      </c>
      <c r="AW3489" s="82" t="s">
        <v>16573</v>
      </c>
      <c r="AX3489" s="82" t="s">
        <v>16573</v>
      </c>
      <c r="AY3489" s="77"/>
      <c r="AZ3489" s="82" t="s">
        <v>17385</v>
      </c>
      <c r="BA3489" s="82" t="s">
        <v>17385</v>
      </c>
      <c r="BB3489" s="82" t="s">
        <v>17385</v>
      </c>
      <c r="BC3489" s="82" t="s">
        <v>16573</v>
      </c>
      <c r="BD3489" s="77">
        <v>51150679</v>
      </c>
      <c r="BE3489" s="77"/>
      <c r="BF3489" s="77"/>
      <c r="BG3489" s="77"/>
      <c r="BH3489" s="77"/>
      <c r="BI3489" s="77"/>
    </row>
    <row r="3490" spans="1:61" x14ac:dyDescent="0.25">
      <c r="A3490" s="62" t="s">
        <v>605</v>
      </c>
      <c r="B3490" s="62" t="s">
        <v>605</v>
      </c>
      <c r="C3490" s="63"/>
      <c r="D3490" s="64"/>
      <c r="E3490" s="65"/>
      <c r="F3490" s="66"/>
      <c r="G3490" s="63"/>
      <c r="H3490" s="67"/>
      <c r="I3490" s="68"/>
      <c r="J3490" s="68"/>
      <c r="K3490" s="32"/>
      <c r="L3490" s="75">
        <v>3490</v>
      </c>
      <c r="M3490" s="75"/>
      <c r="N3490" s="70"/>
      <c r="O3490" s="77" t="s">
        <v>179</v>
      </c>
      <c r="P3490" s="79">
        <v>45076.455104166664</v>
      </c>
      <c r="Q3490" s="77" t="s">
        <v>4264</v>
      </c>
      <c r="R3490" s="77">
        <v>0</v>
      </c>
      <c r="S3490" s="77">
        <v>4</v>
      </c>
      <c r="T3490" s="77">
        <v>0</v>
      </c>
      <c r="U3490" s="77">
        <v>0</v>
      </c>
      <c r="V3490" s="77">
        <v>1545</v>
      </c>
      <c r="W3490" s="82" t="s">
        <v>6704</v>
      </c>
      <c r="X3490" s="80" t="str">
        <f>HYPERLINK("https://www.moneytimes.com.br/privatizacao-da-copel-cple3-aquisicao-do-itau-itub4-e-outros-destaques-desta-terca-30/")</f>
        <v>https://www.moneytimes.com.br/privatizacao-da-copel-cple3-aquisicao-do-itau-itub4-e-outros-destaques-desta-terca-30/</v>
      </c>
      <c r="Y3490" s="77" t="s">
        <v>7053</v>
      </c>
      <c r="Z3490" s="77"/>
      <c r="AA3490" s="77"/>
      <c r="AB3490" s="77"/>
      <c r="AC3490" s="82" t="s">
        <v>8255</v>
      </c>
      <c r="AD3490" s="77" t="s">
        <v>8278</v>
      </c>
      <c r="AE3490" s="80" t="str">
        <f>HYPERLINK("https://twitter.com/leiamoneytimes/status/1663499329284235267")</f>
        <v>https://twitter.com/leiamoneytimes/status/1663499329284235267</v>
      </c>
      <c r="AF3490" s="79">
        <v>45076.455104166664</v>
      </c>
      <c r="AG3490" s="85">
        <v>45076</v>
      </c>
      <c r="AH3490" s="82" t="s">
        <v>11484</v>
      </c>
      <c r="AI3490" s="77" t="b">
        <v>0</v>
      </c>
      <c r="AJ3490" s="77"/>
      <c r="AK3490" s="77"/>
      <c r="AL3490" s="77"/>
      <c r="AM3490" s="77"/>
      <c r="AN3490" s="77"/>
      <c r="AO3490" s="77"/>
      <c r="AP3490" s="77"/>
      <c r="AQ3490" s="77"/>
      <c r="AR3490" s="77"/>
      <c r="AS3490" s="77"/>
      <c r="AT3490" s="77"/>
      <c r="AU3490" s="77"/>
      <c r="AV3490" s="80" t="str">
        <f>HYPERLINK("https://pbs.twimg.com/profile_images/1559883556846977024/bXHnQFY0_normal.jpg")</f>
        <v>https://pbs.twimg.com/profile_images/1559883556846977024/bXHnQFY0_normal.jpg</v>
      </c>
      <c r="AW3490" s="82" t="s">
        <v>16574</v>
      </c>
      <c r="AX3490" s="82" t="s">
        <v>16574</v>
      </c>
      <c r="AY3490" s="77"/>
      <c r="AZ3490" s="82" t="s">
        <v>17385</v>
      </c>
      <c r="BA3490" s="82" t="s">
        <v>17385</v>
      </c>
      <c r="BB3490" s="82" t="s">
        <v>17385</v>
      </c>
      <c r="BC3490" s="82" t="s">
        <v>16574</v>
      </c>
      <c r="BD3490" s="77">
        <v>51150679</v>
      </c>
      <c r="BE3490" s="77"/>
      <c r="BF3490" s="77"/>
      <c r="BG3490" s="77"/>
      <c r="BH3490" s="77"/>
      <c r="BI3490" s="77"/>
    </row>
    <row r="3491" spans="1:61" x14ac:dyDescent="0.25">
      <c r="A3491" s="62" t="s">
        <v>605</v>
      </c>
      <c r="B3491" s="62" t="s">
        <v>605</v>
      </c>
      <c r="C3491" s="63"/>
      <c r="D3491" s="64"/>
      <c r="E3491" s="65"/>
      <c r="F3491" s="66"/>
      <c r="G3491" s="63"/>
      <c r="H3491" s="67"/>
      <c r="I3491" s="68"/>
      <c r="J3491" s="68"/>
      <c r="K3491" s="32"/>
      <c r="L3491" s="75">
        <v>3491</v>
      </c>
      <c r="M3491" s="75"/>
      <c r="N3491" s="70"/>
      <c r="O3491" s="77" t="s">
        <v>179</v>
      </c>
      <c r="P3491" s="79">
        <v>45076.446527777778</v>
      </c>
      <c r="Q3491" s="77" t="s">
        <v>4265</v>
      </c>
      <c r="R3491" s="77">
        <v>0</v>
      </c>
      <c r="S3491" s="77">
        <v>1</v>
      </c>
      <c r="T3491" s="77">
        <v>1</v>
      </c>
      <c r="U3491" s="77">
        <v>0</v>
      </c>
      <c r="V3491" s="77">
        <v>1200</v>
      </c>
      <c r="W3491" s="82" t="s">
        <v>6705</v>
      </c>
      <c r="X3491" s="80" t="str">
        <f>HYPERLINK("https://www.moneytimes.com.br/ibovespa-ibov-deve-ter-sessao-mais-animada-nesta-terca-feira-30-veja-o-que-esperar-para-o-dia/")</f>
        <v>https://www.moneytimes.com.br/ibovespa-ibov-deve-ter-sessao-mais-animada-nesta-terca-feira-30-veja-o-que-esperar-para-o-dia/</v>
      </c>
      <c r="Y3491" s="77" t="s">
        <v>7053</v>
      </c>
      <c r="Z3491" s="77"/>
      <c r="AA3491" s="77"/>
      <c r="AB3491" s="77"/>
      <c r="AC3491" s="82" t="s">
        <v>8255</v>
      </c>
      <c r="AD3491" s="77" t="s">
        <v>8278</v>
      </c>
      <c r="AE3491" s="80" t="str">
        <f>HYPERLINK("https://twitter.com/leiamoneytimes/status/1663496223163142144")</f>
        <v>https://twitter.com/leiamoneytimes/status/1663496223163142144</v>
      </c>
      <c r="AF3491" s="79">
        <v>45076.446527777778</v>
      </c>
      <c r="AG3491" s="85">
        <v>45076</v>
      </c>
      <c r="AH3491" s="82" t="s">
        <v>8383</v>
      </c>
      <c r="AI3491" s="77" t="b">
        <v>0</v>
      </c>
      <c r="AJ3491" s="77"/>
      <c r="AK3491" s="77"/>
      <c r="AL3491" s="77"/>
      <c r="AM3491" s="77"/>
      <c r="AN3491" s="77"/>
      <c r="AO3491" s="77"/>
      <c r="AP3491" s="77"/>
      <c r="AQ3491" s="77"/>
      <c r="AR3491" s="77"/>
      <c r="AS3491" s="77"/>
      <c r="AT3491" s="77"/>
      <c r="AU3491" s="77"/>
      <c r="AV3491" s="80" t="str">
        <f>HYPERLINK("https://pbs.twimg.com/profile_images/1559883556846977024/bXHnQFY0_normal.jpg")</f>
        <v>https://pbs.twimg.com/profile_images/1559883556846977024/bXHnQFY0_normal.jpg</v>
      </c>
      <c r="AW3491" s="82" t="s">
        <v>16575</v>
      </c>
      <c r="AX3491" s="82" t="s">
        <v>16575</v>
      </c>
      <c r="AY3491" s="77"/>
      <c r="AZ3491" s="82" t="s">
        <v>17385</v>
      </c>
      <c r="BA3491" s="82" t="s">
        <v>17385</v>
      </c>
      <c r="BB3491" s="82" t="s">
        <v>17385</v>
      </c>
      <c r="BC3491" s="82" t="s">
        <v>16575</v>
      </c>
      <c r="BD3491" s="77">
        <v>51150679</v>
      </c>
      <c r="BE3491" s="77"/>
      <c r="BF3491" s="77"/>
      <c r="BG3491" s="77"/>
      <c r="BH3491" s="77"/>
      <c r="BI3491" s="77"/>
    </row>
    <row r="3492" spans="1:61" x14ac:dyDescent="0.25">
      <c r="A3492" s="62" t="s">
        <v>605</v>
      </c>
      <c r="B3492" s="62" t="s">
        <v>605</v>
      </c>
      <c r="C3492" s="63"/>
      <c r="D3492" s="64"/>
      <c r="E3492" s="65"/>
      <c r="F3492" s="66"/>
      <c r="G3492" s="63"/>
      <c r="H3492" s="67"/>
      <c r="I3492" s="68"/>
      <c r="J3492" s="68"/>
      <c r="K3492" s="32"/>
      <c r="L3492" s="75">
        <v>3492</v>
      </c>
      <c r="M3492" s="75"/>
      <c r="N3492" s="70"/>
      <c r="O3492" s="77" t="s">
        <v>179</v>
      </c>
      <c r="P3492" s="79">
        <v>45075.966724537036</v>
      </c>
      <c r="Q3492" s="77" t="s">
        <v>4266</v>
      </c>
      <c r="R3492" s="77">
        <v>0</v>
      </c>
      <c r="S3492" s="77">
        <v>16</v>
      </c>
      <c r="T3492" s="77">
        <v>0</v>
      </c>
      <c r="U3492" s="77">
        <v>0</v>
      </c>
      <c r="V3492" s="77">
        <v>3144</v>
      </c>
      <c r="W3492" s="82" t="s">
        <v>6637</v>
      </c>
      <c r="X3492" s="80" t="str">
        <f>HYPERLINK("https://www.moneytimes.com.br/copel-clpe6-contrata-bancos-para-potencial-oferta-que-selara-sua-privatizacao/")</f>
        <v>https://www.moneytimes.com.br/copel-clpe6-contrata-bancos-para-potencial-oferta-que-selara-sua-privatizacao/</v>
      </c>
      <c r="Y3492" s="77" t="s">
        <v>7053</v>
      </c>
      <c r="Z3492" s="77"/>
      <c r="AA3492" s="77"/>
      <c r="AB3492" s="77"/>
      <c r="AC3492" s="82" t="s">
        <v>8255</v>
      </c>
      <c r="AD3492" s="77" t="s">
        <v>8278</v>
      </c>
      <c r="AE3492" s="80" t="str">
        <f>HYPERLINK("https://twitter.com/leiamoneytimes/status/1663322349846818816")</f>
        <v>https://twitter.com/leiamoneytimes/status/1663322349846818816</v>
      </c>
      <c r="AF3492" s="79">
        <v>45075.966724537036</v>
      </c>
      <c r="AG3492" s="85">
        <v>45075</v>
      </c>
      <c r="AH3492" s="82" t="s">
        <v>11485</v>
      </c>
      <c r="AI3492" s="77" t="b">
        <v>0</v>
      </c>
      <c r="AJ3492" s="77"/>
      <c r="AK3492" s="77"/>
      <c r="AL3492" s="77"/>
      <c r="AM3492" s="77"/>
      <c r="AN3492" s="77"/>
      <c r="AO3492" s="77"/>
      <c r="AP3492" s="77"/>
      <c r="AQ3492" s="77"/>
      <c r="AR3492" s="77"/>
      <c r="AS3492" s="77"/>
      <c r="AT3492" s="77"/>
      <c r="AU3492" s="77"/>
      <c r="AV3492" s="80" t="str">
        <f>HYPERLINK("https://pbs.twimg.com/profile_images/1559883556846977024/bXHnQFY0_normal.jpg")</f>
        <v>https://pbs.twimg.com/profile_images/1559883556846977024/bXHnQFY0_normal.jpg</v>
      </c>
      <c r="AW3492" s="82" t="s">
        <v>16576</v>
      </c>
      <c r="AX3492" s="82" t="s">
        <v>16576</v>
      </c>
      <c r="AY3492" s="77"/>
      <c r="AZ3492" s="82" t="s">
        <v>17385</v>
      </c>
      <c r="BA3492" s="82" t="s">
        <v>17385</v>
      </c>
      <c r="BB3492" s="82" t="s">
        <v>17385</v>
      </c>
      <c r="BC3492" s="82" t="s">
        <v>16576</v>
      </c>
      <c r="BD3492" s="77">
        <v>51150679</v>
      </c>
      <c r="BE3492" s="77"/>
      <c r="BF3492" s="77"/>
      <c r="BG3492" s="77"/>
      <c r="BH3492" s="77"/>
      <c r="BI3492" s="77"/>
    </row>
    <row r="3493" spans="1:61" x14ac:dyDescent="0.25">
      <c r="A3493" s="62" t="s">
        <v>605</v>
      </c>
      <c r="B3493" s="62" t="s">
        <v>605</v>
      </c>
      <c r="C3493" s="63"/>
      <c r="D3493" s="64"/>
      <c r="E3493" s="65"/>
      <c r="F3493" s="66"/>
      <c r="G3493" s="63"/>
      <c r="H3493" s="67"/>
      <c r="I3493" s="68"/>
      <c r="J3493" s="68"/>
      <c r="K3493" s="32"/>
      <c r="L3493" s="75">
        <v>3493</v>
      </c>
      <c r="M3493" s="75"/>
      <c r="N3493" s="70"/>
      <c r="O3493" s="77" t="s">
        <v>179</v>
      </c>
      <c r="P3493" s="79">
        <v>45075.861944444441</v>
      </c>
      <c r="Q3493" s="77" t="s">
        <v>4267</v>
      </c>
      <c r="R3493" s="77">
        <v>0</v>
      </c>
      <c r="S3493" s="77">
        <v>1</v>
      </c>
      <c r="T3493" s="77">
        <v>1</v>
      </c>
      <c r="U3493" s="77">
        <v>0</v>
      </c>
      <c r="V3493" s="77">
        <v>1442</v>
      </c>
      <c r="W3493" s="82" t="s">
        <v>6706</v>
      </c>
      <c r="X3493" s="80" t="str">
        <f>HYPERLINK("https://www.moneytimes.com.br/carro-popular-de-lula-pode-ajudar-esta-acao-de-commodity-veja-qual-e/")</f>
        <v>https://www.moneytimes.com.br/carro-popular-de-lula-pode-ajudar-esta-acao-de-commodity-veja-qual-e/</v>
      </c>
      <c r="Y3493" s="77" t="s">
        <v>7053</v>
      </c>
      <c r="Z3493" s="77"/>
      <c r="AA3493" s="77"/>
      <c r="AB3493" s="77"/>
      <c r="AC3493" s="82" t="s">
        <v>8255</v>
      </c>
      <c r="AD3493" s="77" t="s">
        <v>8278</v>
      </c>
      <c r="AE3493" s="80" t="str">
        <f>HYPERLINK("https://twitter.com/leiamoneytimes/status/1663284378179448838")</f>
        <v>https://twitter.com/leiamoneytimes/status/1663284378179448838</v>
      </c>
      <c r="AF3493" s="79">
        <v>45075.861944444441</v>
      </c>
      <c r="AG3493" s="85">
        <v>45075</v>
      </c>
      <c r="AH3493" s="82" t="s">
        <v>11486</v>
      </c>
      <c r="AI3493" s="77" t="b">
        <v>0</v>
      </c>
      <c r="AJ3493" s="77"/>
      <c r="AK3493" s="77"/>
      <c r="AL3493" s="77"/>
      <c r="AM3493" s="77"/>
      <c r="AN3493" s="77"/>
      <c r="AO3493" s="77"/>
      <c r="AP3493" s="77"/>
      <c r="AQ3493" s="77"/>
      <c r="AR3493" s="77"/>
      <c r="AS3493" s="77"/>
      <c r="AT3493" s="77"/>
      <c r="AU3493" s="77"/>
      <c r="AV3493" s="80" t="str">
        <f>HYPERLINK("https://pbs.twimg.com/profile_images/1559883556846977024/bXHnQFY0_normal.jpg")</f>
        <v>https://pbs.twimg.com/profile_images/1559883556846977024/bXHnQFY0_normal.jpg</v>
      </c>
      <c r="AW3493" s="82" t="s">
        <v>16577</v>
      </c>
      <c r="AX3493" s="82" t="s">
        <v>16577</v>
      </c>
      <c r="AY3493" s="77"/>
      <c r="AZ3493" s="82" t="s">
        <v>17385</v>
      </c>
      <c r="BA3493" s="82" t="s">
        <v>17385</v>
      </c>
      <c r="BB3493" s="82" t="s">
        <v>17385</v>
      </c>
      <c r="BC3493" s="82" t="s">
        <v>16577</v>
      </c>
      <c r="BD3493" s="77">
        <v>51150679</v>
      </c>
      <c r="BE3493" s="77"/>
      <c r="BF3493" s="77"/>
      <c r="BG3493" s="77"/>
      <c r="BH3493" s="77"/>
      <c r="BI3493" s="77"/>
    </row>
    <row r="3494" spans="1:61" x14ac:dyDescent="0.25">
      <c r="A3494" s="62" t="s">
        <v>605</v>
      </c>
      <c r="B3494" s="62" t="s">
        <v>605</v>
      </c>
      <c r="C3494" s="63"/>
      <c r="D3494" s="64"/>
      <c r="E3494" s="65"/>
      <c r="F3494" s="66"/>
      <c r="G3494" s="63"/>
      <c r="H3494" s="67"/>
      <c r="I3494" s="68"/>
      <c r="J3494" s="68"/>
      <c r="K3494" s="32"/>
      <c r="L3494" s="75">
        <v>3494</v>
      </c>
      <c r="M3494" s="75"/>
      <c r="N3494" s="70"/>
      <c r="O3494" s="77" t="s">
        <v>179</v>
      </c>
      <c r="P3494" s="79">
        <v>45075.848252314812</v>
      </c>
      <c r="Q3494" s="77" t="s">
        <v>4268</v>
      </c>
      <c r="R3494" s="77">
        <v>0</v>
      </c>
      <c r="S3494" s="77">
        <v>3</v>
      </c>
      <c r="T3494" s="77">
        <v>0</v>
      </c>
      <c r="U3494" s="77">
        <v>0</v>
      </c>
      <c r="V3494" s="77">
        <v>1515</v>
      </c>
      <c r="W3494" s="82" t="s">
        <v>6551</v>
      </c>
      <c r="X3494" s="80" t="str">
        <f>HYPERLINK("https://www.moneytimes.com.br/ibovespa-hoje-fecha-queda-divida-eua-29-05-2023/")</f>
        <v>https://www.moneytimes.com.br/ibovespa-hoje-fecha-queda-divida-eua-29-05-2023/</v>
      </c>
      <c r="Y3494" s="77" t="s">
        <v>7053</v>
      </c>
      <c r="Z3494" s="77"/>
      <c r="AA3494" s="77"/>
      <c r="AB3494" s="77"/>
      <c r="AC3494" s="82" t="s">
        <v>8255</v>
      </c>
      <c r="AD3494" s="77" t="s">
        <v>8278</v>
      </c>
      <c r="AE3494" s="80" t="str">
        <f>HYPERLINK("https://twitter.com/leiamoneytimes/status/1663279416137469956")</f>
        <v>https://twitter.com/leiamoneytimes/status/1663279416137469956</v>
      </c>
      <c r="AF3494" s="79">
        <v>45075.848252314812</v>
      </c>
      <c r="AG3494" s="85">
        <v>45075</v>
      </c>
      <c r="AH3494" s="82" t="s">
        <v>11487</v>
      </c>
      <c r="AI3494" s="77" t="b">
        <v>0</v>
      </c>
      <c r="AJ3494" s="77"/>
      <c r="AK3494" s="77"/>
      <c r="AL3494" s="77"/>
      <c r="AM3494" s="77"/>
      <c r="AN3494" s="77"/>
      <c r="AO3494" s="77"/>
      <c r="AP3494" s="77"/>
      <c r="AQ3494" s="77"/>
      <c r="AR3494" s="77"/>
      <c r="AS3494" s="77"/>
      <c r="AT3494" s="77"/>
      <c r="AU3494" s="77"/>
      <c r="AV3494" s="80" t="str">
        <f>HYPERLINK("https://pbs.twimg.com/profile_images/1559883556846977024/bXHnQFY0_normal.jpg")</f>
        <v>https://pbs.twimg.com/profile_images/1559883556846977024/bXHnQFY0_normal.jpg</v>
      </c>
      <c r="AW3494" s="82" t="s">
        <v>16578</v>
      </c>
      <c r="AX3494" s="82" t="s">
        <v>16578</v>
      </c>
      <c r="AY3494" s="77"/>
      <c r="AZ3494" s="82" t="s">
        <v>17385</v>
      </c>
      <c r="BA3494" s="82" t="s">
        <v>17385</v>
      </c>
      <c r="BB3494" s="82" t="s">
        <v>17385</v>
      </c>
      <c r="BC3494" s="82" t="s">
        <v>16578</v>
      </c>
      <c r="BD3494" s="77">
        <v>51150679</v>
      </c>
      <c r="BE3494" s="77"/>
      <c r="BF3494" s="77"/>
      <c r="BG3494" s="77"/>
      <c r="BH3494" s="77"/>
      <c r="BI3494" s="77"/>
    </row>
    <row r="3495" spans="1:61" x14ac:dyDescent="0.25">
      <c r="A3495" s="62" t="s">
        <v>605</v>
      </c>
      <c r="B3495" s="62" t="s">
        <v>605</v>
      </c>
      <c r="C3495" s="63"/>
      <c r="D3495" s="64"/>
      <c r="E3495" s="65"/>
      <c r="F3495" s="66"/>
      <c r="G3495" s="63"/>
      <c r="H3495" s="67"/>
      <c r="I3495" s="68"/>
      <c r="J3495" s="68"/>
      <c r="K3495" s="32"/>
      <c r="L3495" s="75">
        <v>3495</v>
      </c>
      <c r="M3495" s="75"/>
      <c r="N3495" s="70"/>
      <c r="O3495" s="77" t="s">
        <v>179</v>
      </c>
      <c r="P3495" s="79">
        <v>45075.747395833336</v>
      </c>
      <c r="Q3495" s="77" t="s">
        <v>4269</v>
      </c>
      <c r="R3495" s="77">
        <v>0</v>
      </c>
      <c r="S3495" s="77">
        <v>2</v>
      </c>
      <c r="T3495" s="77">
        <v>1</v>
      </c>
      <c r="U3495" s="77">
        <v>0</v>
      </c>
      <c r="V3495" s="77">
        <v>1263</v>
      </c>
      <c r="W3495" s="82" t="s">
        <v>6559</v>
      </c>
      <c r="X3495" s="80" t="str">
        <f>HYPERLINK("https://www.moneytimes.com.br/ibovespa-testa-limites-em-busca-de-novas-marcas-veja-o-que-dizem-os-graficos/")</f>
        <v>https://www.moneytimes.com.br/ibovespa-testa-limites-em-busca-de-novas-marcas-veja-o-que-dizem-os-graficos/</v>
      </c>
      <c r="Y3495" s="77" t="s">
        <v>7053</v>
      </c>
      <c r="Z3495" s="77"/>
      <c r="AA3495" s="77"/>
      <c r="AB3495" s="77"/>
      <c r="AC3495" s="82" t="s">
        <v>8255</v>
      </c>
      <c r="AD3495" s="77" t="s">
        <v>8278</v>
      </c>
      <c r="AE3495" s="80" t="str">
        <f>HYPERLINK("https://twitter.com/leiamoneytimes/status/1663242867505070080")</f>
        <v>https://twitter.com/leiamoneytimes/status/1663242867505070080</v>
      </c>
      <c r="AF3495" s="79">
        <v>45075.747395833336</v>
      </c>
      <c r="AG3495" s="85">
        <v>45075</v>
      </c>
      <c r="AH3495" s="82" t="s">
        <v>11488</v>
      </c>
      <c r="AI3495" s="77" t="b">
        <v>0</v>
      </c>
      <c r="AJ3495" s="77"/>
      <c r="AK3495" s="77"/>
      <c r="AL3495" s="77"/>
      <c r="AM3495" s="77"/>
      <c r="AN3495" s="77"/>
      <c r="AO3495" s="77"/>
      <c r="AP3495" s="77"/>
      <c r="AQ3495" s="77"/>
      <c r="AR3495" s="77"/>
      <c r="AS3495" s="77"/>
      <c r="AT3495" s="77"/>
      <c r="AU3495" s="77"/>
      <c r="AV3495" s="80" t="str">
        <f>HYPERLINK("https://pbs.twimg.com/profile_images/1559883556846977024/bXHnQFY0_normal.jpg")</f>
        <v>https://pbs.twimg.com/profile_images/1559883556846977024/bXHnQFY0_normal.jpg</v>
      </c>
      <c r="AW3495" s="82" t="s">
        <v>16579</v>
      </c>
      <c r="AX3495" s="82" t="s">
        <v>16579</v>
      </c>
      <c r="AY3495" s="77"/>
      <c r="AZ3495" s="82" t="s">
        <v>17385</v>
      </c>
      <c r="BA3495" s="82" t="s">
        <v>17385</v>
      </c>
      <c r="BB3495" s="82" t="s">
        <v>17385</v>
      </c>
      <c r="BC3495" s="82" t="s">
        <v>16579</v>
      </c>
      <c r="BD3495" s="77">
        <v>51150679</v>
      </c>
      <c r="BE3495" s="77"/>
      <c r="BF3495" s="77"/>
      <c r="BG3495" s="77"/>
      <c r="BH3495" s="77"/>
      <c r="BI3495" s="77"/>
    </row>
    <row r="3496" spans="1:61" x14ac:dyDescent="0.25">
      <c r="A3496" s="62" t="s">
        <v>605</v>
      </c>
      <c r="B3496" s="62" t="s">
        <v>605</v>
      </c>
      <c r="C3496" s="63"/>
      <c r="D3496" s="64"/>
      <c r="E3496" s="65"/>
      <c r="F3496" s="66"/>
      <c r="G3496" s="63"/>
      <c r="H3496" s="67"/>
      <c r="I3496" s="68"/>
      <c r="J3496" s="68"/>
      <c r="K3496" s="32"/>
      <c r="L3496" s="75">
        <v>3496</v>
      </c>
      <c r="M3496" s="75"/>
      <c r="N3496" s="70"/>
      <c r="O3496" s="77" t="s">
        <v>179</v>
      </c>
      <c r="P3496" s="79">
        <v>45075.703900462962</v>
      </c>
      <c r="Q3496" s="77" t="s">
        <v>4270</v>
      </c>
      <c r="R3496" s="77">
        <v>0</v>
      </c>
      <c r="S3496" s="77">
        <v>6</v>
      </c>
      <c r="T3496" s="77">
        <v>0</v>
      </c>
      <c r="U3496" s="77">
        <v>0</v>
      </c>
      <c r="V3496" s="77">
        <v>1184</v>
      </c>
      <c r="W3496" s="82" t="s">
        <v>6569</v>
      </c>
      <c r="X3496" s="80" t="str">
        <f>HYPERLINK("https://www.moneytimes.com.br/bolsas-europeias-acoes-caem-sob-peso-de-tecnologia-e-bancos-investidores-avaliam-acordo-sobre-divida-dos-eua/")</f>
        <v>https://www.moneytimes.com.br/bolsas-europeias-acoes-caem-sob-peso-de-tecnologia-e-bancos-investidores-avaliam-acordo-sobre-divida-dos-eua/</v>
      </c>
      <c r="Y3496" s="77" t="s">
        <v>7053</v>
      </c>
      <c r="Z3496" s="77"/>
      <c r="AA3496" s="77"/>
      <c r="AB3496" s="77"/>
      <c r="AC3496" s="82" t="s">
        <v>8255</v>
      </c>
      <c r="AD3496" s="77" t="s">
        <v>8278</v>
      </c>
      <c r="AE3496" s="80" t="str">
        <f>HYPERLINK("https://twitter.com/leiamoneytimes/status/1663227103154782217")</f>
        <v>https://twitter.com/leiamoneytimes/status/1663227103154782217</v>
      </c>
      <c r="AF3496" s="79">
        <v>45075.703900462962</v>
      </c>
      <c r="AG3496" s="85">
        <v>45075</v>
      </c>
      <c r="AH3496" s="82" t="s">
        <v>11489</v>
      </c>
      <c r="AI3496" s="77" t="b">
        <v>0</v>
      </c>
      <c r="AJ3496" s="77"/>
      <c r="AK3496" s="77"/>
      <c r="AL3496" s="77"/>
      <c r="AM3496" s="77"/>
      <c r="AN3496" s="77"/>
      <c r="AO3496" s="77"/>
      <c r="AP3496" s="77"/>
      <c r="AQ3496" s="77"/>
      <c r="AR3496" s="77"/>
      <c r="AS3496" s="77"/>
      <c r="AT3496" s="77"/>
      <c r="AU3496" s="77"/>
      <c r="AV3496" s="80" t="str">
        <f>HYPERLINK("https://pbs.twimg.com/profile_images/1559883556846977024/bXHnQFY0_normal.jpg")</f>
        <v>https://pbs.twimg.com/profile_images/1559883556846977024/bXHnQFY0_normal.jpg</v>
      </c>
      <c r="AW3496" s="82" t="s">
        <v>16580</v>
      </c>
      <c r="AX3496" s="82" t="s">
        <v>16580</v>
      </c>
      <c r="AY3496" s="77"/>
      <c r="AZ3496" s="82" t="s">
        <v>17385</v>
      </c>
      <c r="BA3496" s="82" t="s">
        <v>17385</v>
      </c>
      <c r="BB3496" s="82" t="s">
        <v>17385</v>
      </c>
      <c r="BC3496" s="82" t="s">
        <v>16580</v>
      </c>
      <c r="BD3496" s="77">
        <v>51150679</v>
      </c>
      <c r="BE3496" s="77"/>
      <c r="BF3496" s="77"/>
      <c r="BG3496" s="77"/>
      <c r="BH3496" s="77"/>
      <c r="BI3496" s="77"/>
    </row>
    <row r="3497" spans="1:61" x14ac:dyDescent="0.25">
      <c r="A3497" s="62" t="s">
        <v>605</v>
      </c>
      <c r="B3497" s="62" t="s">
        <v>605</v>
      </c>
      <c r="C3497" s="63"/>
      <c r="D3497" s="64"/>
      <c r="E3497" s="65"/>
      <c r="F3497" s="66"/>
      <c r="G3497" s="63"/>
      <c r="H3497" s="67"/>
      <c r="I3497" s="68"/>
      <c r="J3497" s="68"/>
      <c r="K3497" s="32"/>
      <c r="L3497" s="75">
        <v>3497</v>
      </c>
      <c r="M3497" s="75"/>
      <c r="N3497" s="70"/>
      <c r="O3497" s="77" t="s">
        <v>179</v>
      </c>
      <c r="P3497" s="79">
        <v>45075.691990740743</v>
      </c>
      <c r="Q3497" s="77" t="s">
        <v>4271</v>
      </c>
      <c r="R3497" s="77">
        <v>0</v>
      </c>
      <c r="S3497" s="77">
        <v>1</v>
      </c>
      <c r="T3497" s="77">
        <v>1</v>
      </c>
      <c r="U3497" s="77">
        <v>0</v>
      </c>
      <c r="V3497" s="77">
        <v>1179</v>
      </c>
      <c r="W3497" s="82" t="s">
        <v>6707</v>
      </c>
      <c r="X3497" s="80" t="str">
        <f>HYPERLINK("https://www.moneytimes.com.br/ibovespa-por-que-petrobras-petr4-e-vibra-energia-vbbr3-recuam-nesta-segunda-29/")</f>
        <v>https://www.moneytimes.com.br/ibovespa-por-que-petrobras-petr4-e-vibra-energia-vbbr3-recuam-nesta-segunda-29/</v>
      </c>
      <c r="Y3497" s="77" t="s">
        <v>7053</v>
      </c>
      <c r="Z3497" s="77"/>
      <c r="AA3497" s="77"/>
      <c r="AB3497" s="77"/>
      <c r="AC3497" s="82" t="s">
        <v>8255</v>
      </c>
      <c r="AD3497" s="77" t="s">
        <v>8278</v>
      </c>
      <c r="AE3497" s="80" t="str">
        <f>HYPERLINK("https://twitter.com/leiamoneytimes/status/1663222787966746654")</f>
        <v>https://twitter.com/leiamoneytimes/status/1663222787966746654</v>
      </c>
      <c r="AF3497" s="79">
        <v>45075.691990740743</v>
      </c>
      <c r="AG3497" s="85">
        <v>45075</v>
      </c>
      <c r="AH3497" s="82" t="s">
        <v>11490</v>
      </c>
      <c r="AI3497" s="77" t="b">
        <v>0</v>
      </c>
      <c r="AJ3497" s="77"/>
      <c r="AK3497" s="77"/>
      <c r="AL3497" s="77"/>
      <c r="AM3497" s="77"/>
      <c r="AN3497" s="77"/>
      <c r="AO3497" s="77"/>
      <c r="AP3497" s="77"/>
      <c r="AQ3497" s="77"/>
      <c r="AR3497" s="77"/>
      <c r="AS3497" s="77"/>
      <c r="AT3497" s="77"/>
      <c r="AU3497" s="77"/>
      <c r="AV3497" s="80" t="str">
        <f>HYPERLINK("https://pbs.twimg.com/profile_images/1559883556846977024/bXHnQFY0_normal.jpg")</f>
        <v>https://pbs.twimg.com/profile_images/1559883556846977024/bXHnQFY0_normal.jpg</v>
      </c>
      <c r="AW3497" s="82" t="s">
        <v>16581</v>
      </c>
      <c r="AX3497" s="82" t="s">
        <v>16581</v>
      </c>
      <c r="AY3497" s="77"/>
      <c r="AZ3497" s="82" t="s">
        <v>17385</v>
      </c>
      <c r="BA3497" s="82" t="s">
        <v>17385</v>
      </c>
      <c r="BB3497" s="82" t="s">
        <v>17385</v>
      </c>
      <c r="BC3497" s="82" t="s">
        <v>16581</v>
      </c>
      <c r="BD3497" s="77">
        <v>51150679</v>
      </c>
      <c r="BE3497" s="77"/>
      <c r="BF3497" s="77"/>
      <c r="BG3497" s="77"/>
      <c r="BH3497" s="77"/>
      <c r="BI3497" s="77"/>
    </row>
    <row r="3498" spans="1:61" x14ac:dyDescent="0.25">
      <c r="A3498" s="62" t="s">
        <v>605</v>
      </c>
      <c r="B3498" s="62" t="s">
        <v>605</v>
      </c>
      <c r="C3498" s="63"/>
      <c r="D3498" s="64"/>
      <c r="E3498" s="65"/>
      <c r="F3498" s="66"/>
      <c r="G3498" s="63"/>
      <c r="H3498" s="67"/>
      <c r="I3498" s="68"/>
      <c r="J3498" s="68"/>
      <c r="K3498" s="32"/>
      <c r="L3498" s="75">
        <v>3498</v>
      </c>
      <c r="M3498" s="75"/>
      <c r="N3498" s="70"/>
      <c r="O3498" s="77" t="s">
        <v>179</v>
      </c>
      <c r="P3498" s="79">
        <v>45075.612534722219</v>
      </c>
      <c r="Q3498" s="77" t="s">
        <v>4272</v>
      </c>
      <c r="R3498" s="77">
        <v>0</v>
      </c>
      <c r="S3498" s="77">
        <v>5</v>
      </c>
      <c r="T3498" s="77">
        <v>0</v>
      </c>
      <c r="U3498" s="77">
        <v>0</v>
      </c>
      <c r="V3498" s="77">
        <v>1487</v>
      </c>
      <c r="W3498" s="82" t="s">
        <v>6708</v>
      </c>
      <c r="X3498" s="80" t="str">
        <f>HYPERLINK("https://www.moneytimes.com.br/3r-petroleum-rrrp3-retoma-producao-no-polo-papa-terra/")</f>
        <v>https://www.moneytimes.com.br/3r-petroleum-rrrp3-retoma-producao-no-polo-papa-terra/</v>
      </c>
      <c r="Y3498" s="77" t="s">
        <v>7053</v>
      </c>
      <c r="Z3498" s="77"/>
      <c r="AA3498" s="77"/>
      <c r="AB3498" s="77"/>
      <c r="AC3498" s="82" t="s">
        <v>8255</v>
      </c>
      <c r="AD3498" s="77" t="s">
        <v>8278</v>
      </c>
      <c r="AE3498" s="80" t="str">
        <f>HYPERLINK("https://twitter.com/leiamoneytimes/status/1663193994564624384")</f>
        <v>https://twitter.com/leiamoneytimes/status/1663193994564624384</v>
      </c>
      <c r="AF3498" s="79">
        <v>45075.612534722219</v>
      </c>
      <c r="AG3498" s="85">
        <v>45075</v>
      </c>
      <c r="AH3498" s="82" t="s">
        <v>11491</v>
      </c>
      <c r="AI3498" s="77" t="b">
        <v>0</v>
      </c>
      <c r="AJ3498" s="77"/>
      <c r="AK3498" s="77"/>
      <c r="AL3498" s="77"/>
      <c r="AM3498" s="77"/>
      <c r="AN3498" s="77"/>
      <c r="AO3498" s="77"/>
      <c r="AP3498" s="77"/>
      <c r="AQ3498" s="77"/>
      <c r="AR3498" s="77"/>
      <c r="AS3498" s="77"/>
      <c r="AT3498" s="77"/>
      <c r="AU3498" s="77"/>
      <c r="AV3498" s="80" t="str">
        <f>HYPERLINK("https://pbs.twimg.com/profile_images/1559883556846977024/bXHnQFY0_normal.jpg")</f>
        <v>https://pbs.twimg.com/profile_images/1559883556846977024/bXHnQFY0_normal.jpg</v>
      </c>
      <c r="AW3498" s="82" t="s">
        <v>16582</v>
      </c>
      <c r="AX3498" s="82" t="s">
        <v>16582</v>
      </c>
      <c r="AY3498" s="77"/>
      <c r="AZ3498" s="82" t="s">
        <v>17385</v>
      </c>
      <c r="BA3498" s="82" t="s">
        <v>17385</v>
      </c>
      <c r="BB3498" s="82" t="s">
        <v>17385</v>
      </c>
      <c r="BC3498" s="82" t="s">
        <v>16582</v>
      </c>
      <c r="BD3498" s="77">
        <v>51150679</v>
      </c>
      <c r="BE3498" s="77"/>
      <c r="BF3498" s="77"/>
      <c r="BG3498" s="77"/>
      <c r="BH3498" s="77"/>
      <c r="BI3498" s="77"/>
    </row>
    <row r="3499" spans="1:61" x14ac:dyDescent="0.25">
      <c r="A3499" s="62" t="s">
        <v>605</v>
      </c>
      <c r="B3499" s="62" t="s">
        <v>605</v>
      </c>
      <c r="C3499" s="63"/>
      <c r="D3499" s="64"/>
      <c r="E3499" s="65"/>
      <c r="F3499" s="66"/>
      <c r="G3499" s="63"/>
      <c r="H3499" s="67"/>
      <c r="I3499" s="68"/>
      <c r="J3499" s="68"/>
      <c r="K3499" s="32"/>
      <c r="L3499" s="75">
        <v>3499</v>
      </c>
      <c r="M3499" s="75"/>
      <c r="N3499" s="70"/>
      <c r="O3499" s="77" t="s">
        <v>179</v>
      </c>
      <c r="P3499" s="79">
        <v>45075.550173611111</v>
      </c>
      <c r="Q3499" s="77" t="s">
        <v>4273</v>
      </c>
      <c r="R3499" s="77">
        <v>0</v>
      </c>
      <c r="S3499" s="77">
        <v>1</v>
      </c>
      <c r="T3499" s="77">
        <v>0</v>
      </c>
      <c r="U3499" s="77">
        <v>0</v>
      </c>
      <c r="V3499" s="77">
        <v>1132</v>
      </c>
      <c r="W3499" s="82" t="s">
        <v>6645</v>
      </c>
      <c r="X3499" s="80" t="str">
        <f>HYPERLINK("https://www.moneytimes.com.br/ibovespa-ibov-opera-de-lado-com-nova-projecao-para-inflacao-e-sem-ny/")</f>
        <v>https://www.moneytimes.com.br/ibovespa-ibov-opera-de-lado-com-nova-projecao-para-inflacao-e-sem-ny/</v>
      </c>
      <c r="Y3499" s="77" t="s">
        <v>7053</v>
      </c>
      <c r="Z3499" s="77"/>
      <c r="AA3499" s="77"/>
      <c r="AB3499" s="77"/>
      <c r="AC3499" s="82" t="s">
        <v>8255</v>
      </c>
      <c r="AD3499" s="77" t="s">
        <v>8278</v>
      </c>
      <c r="AE3499" s="80" t="str">
        <f>HYPERLINK("https://twitter.com/leiamoneytimes/status/1663171393486192640")</f>
        <v>https://twitter.com/leiamoneytimes/status/1663171393486192640</v>
      </c>
      <c r="AF3499" s="79">
        <v>45075.550173611111</v>
      </c>
      <c r="AG3499" s="85">
        <v>45075</v>
      </c>
      <c r="AH3499" s="82" t="s">
        <v>11492</v>
      </c>
      <c r="AI3499" s="77" t="b">
        <v>0</v>
      </c>
      <c r="AJ3499" s="77"/>
      <c r="AK3499" s="77"/>
      <c r="AL3499" s="77"/>
      <c r="AM3499" s="77"/>
      <c r="AN3499" s="77"/>
      <c r="AO3499" s="77"/>
      <c r="AP3499" s="77"/>
      <c r="AQ3499" s="77"/>
      <c r="AR3499" s="77"/>
      <c r="AS3499" s="77"/>
      <c r="AT3499" s="77"/>
      <c r="AU3499" s="77"/>
      <c r="AV3499" s="80" t="str">
        <f>HYPERLINK("https://pbs.twimg.com/profile_images/1559883556846977024/bXHnQFY0_normal.jpg")</f>
        <v>https://pbs.twimg.com/profile_images/1559883556846977024/bXHnQFY0_normal.jpg</v>
      </c>
      <c r="AW3499" s="82" t="s">
        <v>16583</v>
      </c>
      <c r="AX3499" s="82" t="s">
        <v>16583</v>
      </c>
      <c r="AY3499" s="77"/>
      <c r="AZ3499" s="82" t="s">
        <v>17385</v>
      </c>
      <c r="BA3499" s="82" t="s">
        <v>17385</v>
      </c>
      <c r="BB3499" s="82" t="s">
        <v>17385</v>
      </c>
      <c r="BC3499" s="82" t="s">
        <v>16583</v>
      </c>
      <c r="BD3499" s="77">
        <v>51150679</v>
      </c>
      <c r="BE3499" s="77"/>
      <c r="BF3499" s="77"/>
      <c r="BG3499" s="77"/>
      <c r="BH3499" s="77"/>
      <c r="BI3499" s="77"/>
    </row>
    <row r="3500" spans="1:61" x14ac:dyDescent="0.25">
      <c r="A3500" s="62" t="s">
        <v>605</v>
      </c>
      <c r="B3500" s="62" t="s">
        <v>605</v>
      </c>
      <c r="C3500" s="63"/>
      <c r="D3500" s="64"/>
      <c r="E3500" s="65"/>
      <c r="F3500" s="66"/>
      <c r="G3500" s="63"/>
      <c r="H3500" s="67"/>
      <c r="I3500" s="68"/>
      <c r="J3500" s="68"/>
      <c r="K3500" s="32"/>
      <c r="L3500" s="75">
        <v>3500</v>
      </c>
      <c r="M3500" s="75"/>
      <c r="N3500" s="70"/>
      <c r="O3500" s="77" t="s">
        <v>179</v>
      </c>
      <c r="P3500" s="79">
        <v>45075.548958333333</v>
      </c>
      <c r="Q3500" s="77" t="s">
        <v>4274</v>
      </c>
      <c r="R3500" s="77">
        <v>0</v>
      </c>
      <c r="S3500" s="77">
        <v>1</v>
      </c>
      <c r="T3500" s="77">
        <v>0</v>
      </c>
      <c r="U3500" s="77">
        <v>0</v>
      </c>
      <c r="V3500" s="77">
        <v>1082</v>
      </c>
      <c r="W3500" s="82" t="s">
        <v>6559</v>
      </c>
      <c r="X3500" s="80" t="str">
        <f>HYPERLINK("https://www.moneytimes.com.br/gringos-colocam-centavos-na-b3-apos-venderem-mais-de-r-2-bi-em-acoes-entenda/")</f>
        <v>https://www.moneytimes.com.br/gringos-colocam-centavos-na-b3-apos-venderem-mais-de-r-2-bi-em-acoes-entenda/</v>
      </c>
      <c r="Y3500" s="77" t="s">
        <v>7053</v>
      </c>
      <c r="Z3500" s="77"/>
      <c r="AA3500" s="77"/>
      <c r="AB3500" s="77"/>
      <c r="AC3500" s="82" t="s">
        <v>8255</v>
      </c>
      <c r="AD3500" s="77" t="s">
        <v>8278</v>
      </c>
      <c r="AE3500" s="80" t="str">
        <f>HYPERLINK("https://twitter.com/leiamoneytimes/status/1663170955168849920")</f>
        <v>https://twitter.com/leiamoneytimes/status/1663170955168849920</v>
      </c>
      <c r="AF3500" s="79">
        <v>45075.548958333333</v>
      </c>
      <c r="AG3500" s="85">
        <v>45075</v>
      </c>
      <c r="AH3500" s="82" t="s">
        <v>11493</v>
      </c>
      <c r="AI3500" s="77" t="b">
        <v>0</v>
      </c>
      <c r="AJ3500" s="77"/>
      <c r="AK3500" s="77"/>
      <c r="AL3500" s="77"/>
      <c r="AM3500" s="77"/>
      <c r="AN3500" s="77"/>
      <c r="AO3500" s="77"/>
      <c r="AP3500" s="77"/>
      <c r="AQ3500" s="77"/>
      <c r="AR3500" s="77"/>
      <c r="AS3500" s="77"/>
      <c r="AT3500" s="77"/>
      <c r="AU3500" s="77"/>
      <c r="AV3500" s="80" t="str">
        <f>HYPERLINK("https://pbs.twimg.com/profile_images/1559883556846977024/bXHnQFY0_normal.jpg")</f>
        <v>https://pbs.twimg.com/profile_images/1559883556846977024/bXHnQFY0_normal.jpg</v>
      </c>
      <c r="AW3500" s="82" t="s">
        <v>16584</v>
      </c>
      <c r="AX3500" s="82" t="s">
        <v>16584</v>
      </c>
      <c r="AY3500" s="77"/>
      <c r="AZ3500" s="82" t="s">
        <v>17385</v>
      </c>
      <c r="BA3500" s="82" t="s">
        <v>17385</v>
      </c>
      <c r="BB3500" s="82" t="s">
        <v>17385</v>
      </c>
      <c r="BC3500" s="82" t="s">
        <v>16584</v>
      </c>
      <c r="BD3500" s="77">
        <v>51150679</v>
      </c>
      <c r="BE3500" s="77"/>
      <c r="BF3500" s="77"/>
      <c r="BG3500" s="77"/>
      <c r="BH3500" s="77"/>
      <c r="BI3500" s="77"/>
    </row>
    <row r="3501" spans="1:61" x14ac:dyDescent="0.25">
      <c r="A3501" s="62" t="s">
        <v>605</v>
      </c>
      <c r="B3501" s="62" t="s">
        <v>605</v>
      </c>
      <c r="C3501" s="63"/>
      <c r="D3501" s="64"/>
      <c r="E3501" s="65"/>
      <c r="F3501" s="66"/>
      <c r="G3501" s="63"/>
      <c r="H3501" s="67"/>
      <c r="I3501" s="68"/>
      <c r="J3501" s="68"/>
      <c r="K3501" s="32"/>
      <c r="L3501" s="75">
        <v>3501</v>
      </c>
      <c r="M3501" s="75"/>
      <c r="N3501" s="70"/>
      <c r="O3501" s="77" t="s">
        <v>179</v>
      </c>
      <c r="P3501" s="79">
        <v>45075.450671296298</v>
      </c>
      <c r="Q3501" s="77" t="s">
        <v>4275</v>
      </c>
      <c r="R3501" s="77">
        <v>0</v>
      </c>
      <c r="S3501" s="77">
        <v>4</v>
      </c>
      <c r="T3501" s="77">
        <v>0</v>
      </c>
      <c r="U3501" s="77">
        <v>0</v>
      </c>
      <c r="V3501" s="77">
        <v>1432</v>
      </c>
      <c r="W3501" s="82" t="s">
        <v>6564</v>
      </c>
      <c r="X3501" s="80" t="str">
        <f>HYPERLINK("https://www.moneytimes.com.br/bolsas-asiaticas-acoes-da-china-fecham-em-baixa-apos-dados-indicarem-queda-no-lucro-industrial/")</f>
        <v>https://www.moneytimes.com.br/bolsas-asiaticas-acoes-da-china-fecham-em-baixa-apos-dados-indicarem-queda-no-lucro-industrial/</v>
      </c>
      <c r="Y3501" s="77" t="s">
        <v>7053</v>
      </c>
      <c r="Z3501" s="77"/>
      <c r="AA3501" s="77"/>
      <c r="AB3501" s="77"/>
      <c r="AC3501" s="82" t="s">
        <v>8255</v>
      </c>
      <c r="AD3501" s="77" t="s">
        <v>8278</v>
      </c>
      <c r="AE3501" s="80" t="str">
        <f>HYPERLINK("https://twitter.com/leiamoneytimes/status/1663135336854171648")</f>
        <v>https://twitter.com/leiamoneytimes/status/1663135336854171648</v>
      </c>
      <c r="AF3501" s="79">
        <v>45075.450671296298</v>
      </c>
      <c r="AG3501" s="85">
        <v>45075</v>
      </c>
      <c r="AH3501" s="82" t="s">
        <v>11494</v>
      </c>
      <c r="AI3501" s="77" t="b">
        <v>0</v>
      </c>
      <c r="AJ3501" s="77"/>
      <c r="AK3501" s="77"/>
      <c r="AL3501" s="77"/>
      <c r="AM3501" s="77"/>
      <c r="AN3501" s="77"/>
      <c r="AO3501" s="77"/>
      <c r="AP3501" s="77"/>
      <c r="AQ3501" s="77"/>
      <c r="AR3501" s="77"/>
      <c r="AS3501" s="77"/>
      <c r="AT3501" s="77"/>
      <c r="AU3501" s="77"/>
      <c r="AV3501" s="80" t="str">
        <f>HYPERLINK("https://pbs.twimg.com/profile_images/1559883556846977024/bXHnQFY0_normal.jpg")</f>
        <v>https://pbs.twimg.com/profile_images/1559883556846977024/bXHnQFY0_normal.jpg</v>
      </c>
      <c r="AW3501" s="82" t="s">
        <v>16585</v>
      </c>
      <c r="AX3501" s="82" t="s">
        <v>16585</v>
      </c>
      <c r="AY3501" s="77"/>
      <c r="AZ3501" s="82" t="s">
        <v>17385</v>
      </c>
      <c r="BA3501" s="82" t="s">
        <v>17385</v>
      </c>
      <c r="BB3501" s="82" t="s">
        <v>17385</v>
      </c>
      <c r="BC3501" s="82" t="s">
        <v>16585</v>
      </c>
      <c r="BD3501" s="77">
        <v>51150679</v>
      </c>
      <c r="BE3501" s="77"/>
      <c r="BF3501" s="77"/>
      <c r="BG3501" s="77"/>
      <c r="BH3501" s="77"/>
      <c r="BI3501" s="77"/>
    </row>
    <row r="3502" spans="1:61" x14ac:dyDescent="0.25">
      <c r="A3502" s="62" t="s">
        <v>605</v>
      </c>
      <c r="B3502" s="62" t="s">
        <v>605</v>
      </c>
      <c r="C3502" s="63"/>
      <c r="D3502" s="64"/>
      <c r="E3502" s="65"/>
      <c r="F3502" s="66"/>
      <c r="G3502" s="63"/>
      <c r="H3502" s="67"/>
      <c r="I3502" s="68"/>
      <c r="J3502" s="68"/>
      <c r="K3502" s="32"/>
      <c r="L3502" s="75">
        <v>3502</v>
      </c>
      <c r="M3502" s="75"/>
      <c r="N3502" s="70"/>
      <c r="O3502" s="77" t="s">
        <v>179</v>
      </c>
      <c r="P3502" s="79">
        <v>45075.443229166667</v>
      </c>
      <c r="Q3502" s="77" t="s">
        <v>4276</v>
      </c>
      <c r="R3502" s="77">
        <v>0</v>
      </c>
      <c r="S3502" s="77">
        <v>4</v>
      </c>
      <c r="T3502" s="77">
        <v>0</v>
      </c>
      <c r="U3502" s="77">
        <v>0</v>
      </c>
      <c r="V3502" s="77">
        <v>1359</v>
      </c>
      <c r="W3502" s="82" t="s">
        <v>6709</v>
      </c>
      <c r="X3502" s="80" t="str">
        <f>HYPERLINK("https://www.moneytimes.com.br/mais-de-r-3-bilhoes-em-dividendos-investimento-na-petrobras-petr4-e-outros-destaques-desta-segunda-29/")</f>
        <v>https://www.moneytimes.com.br/mais-de-r-3-bilhoes-em-dividendos-investimento-na-petrobras-petr4-e-outros-destaques-desta-segunda-29/</v>
      </c>
      <c r="Y3502" s="77" t="s">
        <v>7053</v>
      </c>
      <c r="Z3502" s="77"/>
      <c r="AA3502" s="77"/>
      <c r="AB3502" s="77"/>
      <c r="AC3502" s="82" t="s">
        <v>8255</v>
      </c>
      <c r="AD3502" s="77" t="s">
        <v>8278</v>
      </c>
      <c r="AE3502" s="80" t="str">
        <f>HYPERLINK("https://twitter.com/leiamoneytimes/status/1663132641900605440")</f>
        <v>https://twitter.com/leiamoneytimes/status/1663132641900605440</v>
      </c>
      <c r="AF3502" s="79">
        <v>45075.443229166667</v>
      </c>
      <c r="AG3502" s="85">
        <v>45075</v>
      </c>
      <c r="AH3502" s="82" t="s">
        <v>11495</v>
      </c>
      <c r="AI3502" s="77" t="b">
        <v>0</v>
      </c>
      <c r="AJ3502" s="77"/>
      <c r="AK3502" s="77"/>
      <c r="AL3502" s="77"/>
      <c r="AM3502" s="77"/>
      <c r="AN3502" s="77"/>
      <c r="AO3502" s="77"/>
      <c r="AP3502" s="77"/>
      <c r="AQ3502" s="77"/>
      <c r="AR3502" s="77"/>
      <c r="AS3502" s="77"/>
      <c r="AT3502" s="77"/>
      <c r="AU3502" s="77"/>
      <c r="AV3502" s="80" t="str">
        <f>HYPERLINK("https://pbs.twimg.com/profile_images/1559883556846977024/bXHnQFY0_normal.jpg")</f>
        <v>https://pbs.twimg.com/profile_images/1559883556846977024/bXHnQFY0_normal.jpg</v>
      </c>
      <c r="AW3502" s="82" t="s">
        <v>16586</v>
      </c>
      <c r="AX3502" s="82" t="s">
        <v>16586</v>
      </c>
      <c r="AY3502" s="77"/>
      <c r="AZ3502" s="82" t="s">
        <v>17385</v>
      </c>
      <c r="BA3502" s="82" t="s">
        <v>17385</v>
      </c>
      <c r="BB3502" s="82" t="s">
        <v>17385</v>
      </c>
      <c r="BC3502" s="82" t="s">
        <v>16586</v>
      </c>
      <c r="BD3502" s="77">
        <v>51150679</v>
      </c>
      <c r="BE3502" s="77"/>
      <c r="BF3502" s="77"/>
      <c r="BG3502" s="77"/>
      <c r="BH3502" s="77"/>
      <c r="BI3502" s="77"/>
    </row>
    <row r="3503" spans="1:61" x14ac:dyDescent="0.25">
      <c r="A3503" s="62" t="s">
        <v>605</v>
      </c>
      <c r="B3503" s="62" t="s">
        <v>605</v>
      </c>
      <c r="C3503" s="63"/>
      <c r="D3503" s="64"/>
      <c r="E3503" s="65"/>
      <c r="F3503" s="66"/>
      <c r="G3503" s="63"/>
      <c r="H3503" s="67"/>
      <c r="I3503" s="68"/>
      <c r="J3503" s="68"/>
      <c r="K3503" s="32"/>
      <c r="L3503" s="75">
        <v>3503</v>
      </c>
      <c r="M3503" s="75"/>
      <c r="N3503" s="70"/>
      <c r="O3503" s="77" t="s">
        <v>179</v>
      </c>
      <c r="P3503" s="79">
        <v>45047.542939814812</v>
      </c>
      <c r="Q3503" s="77" t="s">
        <v>4277</v>
      </c>
      <c r="R3503" s="77">
        <v>1</v>
      </c>
      <c r="S3503" s="77">
        <v>7</v>
      </c>
      <c r="T3503" s="77">
        <v>1</v>
      </c>
      <c r="U3503" s="77">
        <v>0</v>
      </c>
      <c r="V3503" s="77">
        <v>1695</v>
      </c>
      <c r="W3503" s="82" t="s">
        <v>6710</v>
      </c>
      <c r="X3503" s="80" t="str">
        <f>HYPERLINK("https://www.moneytimes.com.br/ibovespa-em-dolar-ewz-sinaliza-dia-negativo-no-1-de-maio-investidores-aguardam-fed/")</f>
        <v>https://www.moneytimes.com.br/ibovespa-em-dolar-ewz-sinaliza-dia-negativo-no-1-de-maio-investidores-aguardam-fed/</v>
      </c>
      <c r="Y3503" s="77" t="s">
        <v>7053</v>
      </c>
      <c r="Z3503" s="77"/>
      <c r="AA3503" s="77"/>
      <c r="AB3503" s="77"/>
      <c r="AC3503" s="82" t="s">
        <v>8255</v>
      </c>
      <c r="AD3503" s="77" t="s">
        <v>8278</v>
      </c>
      <c r="AE3503" s="80" t="str">
        <f>HYPERLINK("https://twitter.com/leiamoneytimes/status/1653021911822090240")</f>
        <v>https://twitter.com/leiamoneytimes/status/1653021911822090240</v>
      </c>
      <c r="AF3503" s="79">
        <v>45047.542939814812</v>
      </c>
      <c r="AG3503" s="85">
        <v>45047</v>
      </c>
      <c r="AH3503" s="82" t="s">
        <v>11496</v>
      </c>
      <c r="AI3503" s="77" t="b">
        <v>0</v>
      </c>
      <c r="AJ3503" s="77"/>
      <c r="AK3503" s="77"/>
      <c r="AL3503" s="77"/>
      <c r="AM3503" s="77"/>
      <c r="AN3503" s="77"/>
      <c r="AO3503" s="77"/>
      <c r="AP3503" s="77"/>
      <c r="AQ3503" s="77"/>
      <c r="AR3503" s="77"/>
      <c r="AS3503" s="77"/>
      <c r="AT3503" s="77"/>
      <c r="AU3503" s="77"/>
      <c r="AV3503" s="80" t="str">
        <f>HYPERLINK("https://pbs.twimg.com/profile_images/1559883556846977024/bXHnQFY0_normal.jpg")</f>
        <v>https://pbs.twimg.com/profile_images/1559883556846977024/bXHnQFY0_normal.jpg</v>
      </c>
      <c r="AW3503" s="82" t="s">
        <v>16587</v>
      </c>
      <c r="AX3503" s="82" t="s">
        <v>16587</v>
      </c>
      <c r="AY3503" s="77"/>
      <c r="AZ3503" s="82" t="s">
        <v>17385</v>
      </c>
      <c r="BA3503" s="82" t="s">
        <v>17385</v>
      </c>
      <c r="BB3503" s="82" t="s">
        <v>17385</v>
      </c>
      <c r="BC3503" s="82" t="s">
        <v>16587</v>
      </c>
      <c r="BD3503" s="77">
        <v>51150679</v>
      </c>
      <c r="BE3503" s="77"/>
      <c r="BF3503" s="77"/>
      <c r="BG3503" s="77"/>
      <c r="BH3503" s="77"/>
      <c r="BI3503" s="77"/>
    </row>
    <row r="3504" spans="1:61" x14ac:dyDescent="0.25">
      <c r="A3504" s="62" t="s">
        <v>605</v>
      </c>
      <c r="B3504" s="62" t="s">
        <v>605</v>
      </c>
      <c r="C3504" s="63"/>
      <c r="D3504" s="64"/>
      <c r="E3504" s="65"/>
      <c r="F3504" s="66"/>
      <c r="G3504" s="63"/>
      <c r="H3504" s="67"/>
      <c r="I3504" s="68"/>
      <c r="J3504" s="68"/>
      <c r="K3504" s="32"/>
      <c r="L3504" s="75">
        <v>3504</v>
      </c>
      <c r="M3504" s="75"/>
      <c r="N3504" s="70"/>
      <c r="O3504" s="77" t="s">
        <v>179</v>
      </c>
      <c r="P3504" s="79">
        <v>45046.626550925925</v>
      </c>
      <c r="Q3504" s="77" t="s">
        <v>4278</v>
      </c>
      <c r="R3504" s="77">
        <v>0</v>
      </c>
      <c r="S3504" s="77">
        <v>4</v>
      </c>
      <c r="T3504" s="77">
        <v>1</v>
      </c>
      <c r="U3504" s="77">
        <v>0</v>
      </c>
      <c r="V3504" s="77">
        <v>1821</v>
      </c>
      <c r="W3504" s="82" t="s">
        <v>6711</v>
      </c>
      <c r="X3504" s="80" t="str">
        <f>HYPERLINK("https://www.moneytimes.com.br/imposto-de-renda-entra-na-reta-final-veja-guia-completo-para-te-ajudar-na-declaracao-falta-menos-de-1-mes/")</f>
        <v>https://www.moneytimes.com.br/imposto-de-renda-entra-na-reta-final-veja-guia-completo-para-te-ajudar-na-declaracao-falta-menos-de-1-mes/</v>
      </c>
      <c r="Y3504" s="77" t="s">
        <v>7053</v>
      </c>
      <c r="Z3504" s="77"/>
      <c r="AA3504" s="77"/>
      <c r="AB3504" s="77"/>
      <c r="AC3504" s="82" t="s">
        <v>8255</v>
      </c>
      <c r="AD3504" s="77" t="s">
        <v>8278</v>
      </c>
      <c r="AE3504" s="80" t="str">
        <f>HYPERLINK("https://twitter.com/leiamoneytimes/status/1652689825701527553")</f>
        <v>https://twitter.com/leiamoneytimes/status/1652689825701527553</v>
      </c>
      <c r="AF3504" s="79">
        <v>45046.626550925925</v>
      </c>
      <c r="AG3504" s="85">
        <v>45046</v>
      </c>
      <c r="AH3504" s="82" t="s">
        <v>11497</v>
      </c>
      <c r="AI3504" s="77" t="b">
        <v>0</v>
      </c>
      <c r="AJ3504" s="77"/>
      <c r="AK3504" s="77"/>
      <c r="AL3504" s="77"/>
      <c r="AM3504" s="77"/>
      <c r="AN3504" s="77"/>
      <c r="AO3504" s="77"/>
      <c r="AP3504" s="77"/>
      <c r="AQ3504" s="77"/>
      <c r="AR3504" s="77"/>
      <c r="AS3504" s="77"/>
      <c r="AT3504" s="77"/>
      <c r="AU3504" s="77"/>
      <c r="AV3504" s="80" t="str">
        <f>HYPERLINK("https://pbs.twimg.com/profile_images/1559883556846977024/bXHnQFY0_normal.jpg")</f>
        <v>https://pbs.twimg.com/profile_images/1559883556846977024/bXHnQFY0_normal.jpg</v>
      </c>
      <c r="AW3504" s="82" t="s">
        <v>16588</v>
      </c>
      <c r="AX3504" s="82" t="s">
        <v>16588</v>
      </c>
      <c r="AY3504" s="77"/>
      <c r="AZ3504" s="82" t="s">
        <v>17385</v>
      </c>
      <c r="BA3504" s="82" t="s">
        <v>17385</v>
      </c>
      <c r="BB3504" s="82" t="s">
        <v>17385</v>
      </c>
      <c r="BC3504" s="82" t="s">
        <v>16588</v>
      </c>
      <c r="BD3504" s="77">
        <v>51150679</v>
      </c>
      <c r="BE3504" s="77"/>
      <c r="BF3504" s="77"/>
      <c r="BG3504" s="77"/>
      <c r="BH3504" s="77"/>
      <c r="BI3504" s="77"/>
    </row>
    <row r="3505" spans="1:61" x14ac:dyDescent="0.25">
      <c r="A3505" s="62" t="s">
        <v>605</v>
      </c>
      <c r="B3505" s="62" t="s">
        <v>605</v>
      </c>
      <c r="C3505" s="63"/>
      <c r="D3505" s="64"/>
      <c r="E3505" s="65"/>
      <c r="F3505" s="66"/>
      <c r="G3505" s="63"/>
      <c r="H3505" s="67"/>
      <c r="I3505" s="68"/>
      <c r="J3505" s="68"/>
      <c r="K3505" s="32"/>
      <c r="L3505" s="75">
        <v>3505</v>
      </c>
      <c r="M3505" s="75"/>
      <c r="N3505" s="70"/>
      <c r="O3505" s="77" t="s">
        <v>179</v>
      </c>
      <c r="P3505" s="79">
        <v>45045.717442129629</v>
      </c>
      <c r="Q3505" s="77" t="s">
        <v>4279</v>
      </c>
      <c r="R3505" s="77">
        <v>0</v>
      </c>
      <c r="S3505" s="77">
        <v>4</v>
      </c>
      <c r="T3505" s="77">
        <v>1</v>
      </c>
      <c r="U3505" s="77">
        <v>0</v>
      </c>
      <c r="V3505" s="77">
        <v>1869</v>
      </c>
      <c r="W3505" s="82" t="s">
        <v>6712</v>
      </c>
      <c r="X3505" s="80" t="str">
        <f>HYPERLINK("https://www.moneytimes.com.br/veja-como-receber-quase-r-380-milhoes-em-dividendos-de-aliansce-sonae-also3-e-mais-tres-empresas/")</f>
        <v>https://www.moneytimes.com.br/veja-como-receber-quase-r-380-milhoes-em-dividendos-de-aliansce-sonae-also3-e-mais-tres-empresas/</v>
      </c>
      <c r="Y3505" s="77" t="s">
        <v>7053</v>
      </c>
      <c r="Z3505" s="77"/>
      <c r="AA3505" s="77"/>
      <c r="AB3505" s="77"/>
      <c r="AC3505" s="82" t="s">
        <v>8255</v>
      </c>
      <c r="AD3505" s="77" t="s">
        <v>8278</v>
      </c>
      <c r="AE3505" s="80" t="str">
        <f>HYPERLINK("https://twitter.com/leiamoneytimes/status/1652360373817823233")</f>
        <v>https://twitter.com/leiamoneytimes/status/1652360373817823233</v>
      </c>
      <c r="AF3505" s="79">
        <v>45045.717442129629</v>
      </c>
      <c r="AG3505" s="85">
        <v>45045</v>
      </c>
      <c r="AH3505" s="82" t="s">
        <v>11498</v>
      </c>
      <c r="AI3505" s="77" t="b">
        <v>0</v>
      </c>
      <c r="AJ3505" s="77"/>
      <c r="AK3505" s="77"/>
      <c r="AL3505" s="77"/>
      <c r="AM3505" s="77"/>
      <c r="AN3505" s="77"/>
      <c r="AO3505" s="77"/>
      <c r="AP3505" s="77"/>
      <c r="AQ3505" s="77"/>
      <c r="AR3505" s="77"/>
      <c r="AS3505" s="77"/>
      <c r="AT3505" s="77"/>
      <c r="AU3505" s="77"/>
      <c r="AV3505" s="80" t="str">
        <f>HYPERLINK("https://pbs.twimg.com/profile_images/1559883556846977024/bXHnQFY0_normal.jpg")</f>
        <v>https://pbs.twimg.com/profile_images/1559883556846977024/bXHnQFY0_normal.jpg</v>
      </c>
      <c r="AW3505" s="82" t="s">
        <v>16589</v>
      </c>
      <c r="AX3505" s="82" t="s">
        <v>16589</v>
      </c>
      <c r="AY3505" s="77"/>
      <c r="AZ3505" s="82" t="s">
        <v>17385</v>
      </c>
      <c r="BA3505" s="82" t="s">
        <v>17385</v>
      </c>
      <c r="BB3505" s="82" t="s">
        <v>17385</v>
      </c>
      <c r="BC3505" s="82" t="s">
        <v>16589</v>
      </c>
      <c r="BD3505" s="77">
        <v>51150679</v>
      </c>
      <c r="BE3505" s="77"/>
      <c r="BF3505" s="77"/>
      <c r="BG3505" s="77"/>
      <c r="BH3505" s="77"/>
      <c r="BI3505" s="77"/>
    </row>
    <row r="3506" spans="1:61" x14ac:dyDescent="0.25">
      <c r="A3506" s="62" t="s">
        <v>605</v>
      </c>
      <c r="B3506" s="62" t="s">
        <v>605</v>
      </c>
      <c r="C3506" s="63"/>
      <c r="D3506" s="64"/>
      <c r="E3506" s="65"/>
      <c r="F3506" s="66"/>
      <c r="G3506" s="63"/>
      <c r="H3506" s="67"/>
      <c r="I3506" s="68"/>
      <c r="J3506" s="68"/>
      <c r="K3506" s="32"/>
      <c r="L3506" s="75">
        <v>3506</v>
      </c>
      <c r="M3506" s="75"/>
      <c r="N3506" s="70"/>
      <c r="O3506" s="77" t="s">
        <v>179</v>
      </c>
      <c r="P3506" s="79">
        <v>45045.672523148147</v>
      </c>
      <c r="Q3506" s="77" t="s">
        <v>4280</v>
      </c>
      <c r="R3506" s="77">
        <v>0</v>
      </c>
      <c r="S3506" s="77">
        <v>3</v>
      </c>
      <c r="T3506" s="77">
        <v>1</v>
      </c>
      <c r="U3506" s="77">
        <v>0</v>
      </c>
      <c r="V3506" s="77">
        <v>2018</v>
      </c>
      <c r="W3506" s="82" t="s">
        <v>6675</v>
      </c>
      <c r="X3506" s="80" t="str">
        <f>HYPERLINK("https://www.moneytimes.com.br/dividendos-e-jcp-csn-csna3-e-csn-mineracao-cmin3-anunciam-bolada-veja-como-receber/")</f>
        <v>https://www.moneytimes.com.br/dividendos-e-jcp-csn-csna3-e-csn-mineracao-cmin3-anunciam-bolada-veja-como-receber/</v>
      </c>
      <c r="Y3506" s="77" t="s">
        <v>7053</v>
      </c>
      <c r="Z3506" s="77"/>
      <c r="AA3506" s="77"/>
      <c r="AB3506" s="77"/>
      <c r="AC3506" s="82" t="s">
        <v>8255</v>
      </c>
      <c r="AD3506" s="77" t="s">
        <v>8278</v>
      </c>
      <c r="AE3506" s="80" t="str">
        <f>HYPERLINK("https://twitter.com/leiamoneytimes/status/1652344095438667778")</f>
        <v>https://twitter.com/leiamoneytimes/status/1652344095438667778</v>
      </c>
      <c r="AF3506" s="79">
        <v>45045.672523148147</v>
      </c>
      <c r="AG3506" s="85">
        <v>45045</v>
      </c>
      <c r="AH3506" s="82" t="s">
        <v>11499</v>
      </c>
      <c r="AI3506" s="77" t="b">
        <v>0</v>
      </c>
      <c r="AJ3506" s="77"/>
      <c r="AK3506" s="77"/>
      <c r="AL3506" s="77"/>
      <c r="AM3506" s="77"/>
      <c r="AN3506" s="77"/>
      <c r="AO3506" s="77"/>
      <c r="AP3506" s="77"/>
      <c r="AQ3506" s="77"/>
      <c r="AR3506" s="77"/>
      <c r="AS3506" s="77"/>
      <c r="AT3506" s="77"/>
      <c r="AU3506" s="77"/>
      <c r="AV3506" s="80" t="str">
        <f>HYPERLINK("https://pbs.twimg.com/profile_images/1559883556846977024/bXHnQFY0_normal.jpg")</f>
        <v>https://pbs.twimg.com/profile_images/1559883556846977024/bXHnQFY0_normal.jpg</v>
      </c>
      <c r="AW3506" s="82" t="s">
        <v>16590</v>
      </c>
      <c r="AX3506" s="82" t="s">
        <v>16590</v>
      </c>
      <c r="AY3506" s="77"/>
      <c r="AZ3506" s="82" t="s">
        <v>17385</v>
      </c>
      <c r="BA3506" s="82" t="s">
        <v>17385</v>
      </c>
      <c r="BB3506" s="82" t="s">
        <v>17385</v>
      </c>
      <c r="BC3506" s="82" t="s">
        <v>16590</v>
      </c>
      <c r="BD3506" s="77">
        <v>51150679</v>
      </c>
      <c r="BE3506" s="77"/>
      <c r="BF3506" s="77"/>
      <c r="BG3506" s="77"/>
      <c r="BH3506" s="77"/>
      <c r="BI3506" s="77"/>
    </row>
    <row r="3507" spans="1:61" x14ac:dyDescent="0.25">
      <c r="A3507" s="62" t="s">
        <v>605</v>
      </c>
      <c r="B3507" s="62" t="s">
        <v>605</v>
      </c>
      <c r="C3507" s="63"/>
      <c r="D3507" s="64"/>
      <c r="E3507" s="65"/>
      <c r="F3507" s="66"/>
      <c r="G3507" s="63"/>
      <c r="H3507" s="67"/>
      <c r="I3507" s="68"/>
      <c r="J3507" s="68"/>
      <c r="K3507" s="32"/>
      <c r="L3507" s="75">
        <v>3507</v>
      </c>
      <c r="M3507" s="75"/>
      <c r="N3507" s="70"/>
      <c r="O3507" s="77" t="s">
        <v>179</v>
      </c>
      <c r="P3507" s="79">
        <v>45045.668229166666</v>
      </c>
      <c r="Q3507" s="77" t="s">
        <v>4281</v>
      </c>
      <c r="R3507" s="77">
        <v>1</v>
      </c>
      <c r="S3507" s="77">
        <v>5</v>
      </c>
      <c r="T3507" s="77">
        <v>1</v>
      </c>
      <c r="U3507" s="77">
        <v>0</v>
      </c>
      <c r="V3507" s="77">
        <v>1631</v>
      </c>
      <c r="W3507" s="82" t="s">
        <v>6713</v>
      </c>
      <c r="X3507" s="80" t="str">
        <f>HYPERLINK("https://www.moneytimes.com.br/byd-supera-vw-na-china-com-quase-meio-milhao-de-carros-no-1o-tri/")</f>
        <v>https://www.moneytimes.com.br/byd-supera-vw-na-china-com-quase-meio-milhao-de-carros-no-1o-tri/</v>
      </c>
      <c r="Y3507" s="77" t="s">
        <v>7053</v>
      </c>
      <c r="Z3507" s="77"/>
      <c r="AA3507" s="77"/>
      <c r="AB3507" s="77"/>
      <c r="AC3507" s="82" t="s">
        <v>8255</v>
      </c>
      <c r="AD3507" s="77" t="s">
        <v>8278</v>
      </c>
      <c r="AE3507" s="80" t="str">
        <f>HYPERLINK("https://twitter.com/leiamoneytimes/status/1652342539544821761")</f>
        <v>https://twitter.com/leiamoneytimes/status/1652342539544821761</v>
      </c>
      <c r="AF3507" s="79">
        <v>45045.668229166666</v>
      </c>
      <c r="AG3507" s="85">
        <v>45045</v>
      </c>
      <c r="AH3507" s="82" t="s">
        <v>11500</v>
      </c>
      <c r="AI3507" s="77" t="b">
        <v>0</v>
      </c>
      <c r="AJ3507" s="77"/>
      <c r="AK3507" s="77"/>
      <c r="AL3507" s="77"/>
      <c r="AM3507" s="77"/>
      <c r="AN3507" s="77"/>
      <c r="AO3507" s="77"/>
      <c r="AP3507" s="77"/>
      <c r="AQ3507" s="77"/>
      <c r="AR3507" s="77"/>
      <c r="AS3507" s="77"/>
      <c r="AT3507" s="77"/>
      <c r="AU3507" s="77"/>
      <c r="AV3507" s="80" t="str">
        <f>HYPERLINK("https://pbs.twimg.com/profile_images/1559883556846977024/bXHnQFY0_normal.jpg")</f>
        <v>https://pbs.twimg.com/profile_images/1559883556846977024/bXHnQFY0_normal.jpg</v>
      </c>
      <c r="AW3507" s="82" t="s">
        <v>16591</v>
      </c>
      <c r="AX3507" s="82" t="s">
        <v>16591</v>
      </c>
      <c r="AY3507" s="77"/>
      <c r="AZ3507" s="82" t="s">
        <v>17385</v>
      </c>
      <c r="BA3507" s="82" t="s">
        <v>17385</v>
      </c>
      <c r="BB3507" s="82" t="s">
        <v>17385</v>
      </c>
      <c r="BC3507" s="82" t="s">
        <v>16591</v>
      </c>
      <c r="BD3507" s="77">
        <v>51150679</v>
      </c>
      <c r="BE3507" s="77"/>
      <c r="BF3507" s="77"/>
      <c r="BG3507" s="77"/>
      <c r="BH3507" s="77"/>
      <c r="BI3507" s="77"/>
    </row>
    <row r="3508" spans="1:61" x14ac:dyDescent="0.25">
      <c r="A3508" s="62" t="s">
        <v>605</v>
      </c>
      <c r="B3508" s="62" t="s">
        <v>605</v>
      </c>
      <c r="C3508" s="63"/>
      <c r="D3508" s="64"/>
      <c r="E3508" s="65"/>
      <c r="F3508" s="66"/>
      <c r="G3508" s="63"/>
      <c r="H3508" s="67"/>
      <c r="I3508" s="68"/>
      <c r="J3508" s="68"/>
      <c r="K3508" s="32"/>
      <c r="L3508" s="75">
        <v>3508</v>
      </c>
      <c r="M3508" s="75"/>
      <c r="N3508" s="70"/>
      <c r="O3508" s="77" t="s">
        <v>179</v>
      </c>
      <c r="P3508" s="79">
        <v>45045.501747685186</v>
      </c>
      <c r="Q3508" s="77" t="s">
        <v>4282</v>
      </c>
      <c r="R3508" s="77">
        <v>0</v>
      </c>
      <c r="S3508" s="77">
        <v>2</v>
      </c>
      <c r="T3508" s="77">
        <v>1</v>
      </c>
      <c r="U3508" s="77">
        <v>0</v>
      </c>
      <c r="V3508" s="77">
        <v>1816</v>
      </c>
      <c r="W3508" s="82" t="s">
        <v>6714</v>
      </c>
      <c r="X3508" s="80" t="str">
        <f>HYPERLINK("https://www.moneytimes.com.br/como-garantir-r-3-bi-em-dividendos-e-jcp-na-1a-semana-de-maio-bbdc4-ciel3-e-mais-3-tem-data-com/")</f>
        <v>https://www.moneytimes.com.br/como-garantir-r-3-bi-em-dividendos-e-jcp-na-1a-semana-de-maio-bbdc4-ciel3-e-mais-3-tem-data-com/</v>
      </c>
      <c r="Y3508" s="77" t="s">
        <v>7053</v>
      </c>
      <c r="Z3508" s="77"/>
      <c r="AA3508" s="77"/>
      <c r="AB3508" s="77"/>
      <c r="AC3508" s="82" t="s">
        <v>8255</v>
      </c>
      <c r="AD3508" s="77" t="s">
        <v>8278</v>
      </c>
      <c r="AE3508" s="80" t="str">
        <f>HYPERLINK("https://twitter.com/leiamoneytimes/status/1652282208227414016")</f>
        <v>https://twitter.com/leiamoneytimes/status/1652282208227414016</v>
      </c>
      <c r="AF3508" s="79">
        <v>45045.501747685186</v>
      </c>
      <c r="AG3508" s="85">
        <v>45045</v>
      </c>
      <c r="AH3508" s="82" t="s">
        <v>11501</v>
      </c>
      <c r="AI3508" s="77" t="b">
        <v>0</v>
      </c>
      <c r="AJ3508" s="77"/>
      <c r="AK3508" s="77"/>
      <c r="AL3508" s="77"/>
      <c r="AM3508" s="77"/>
      <c r="AN3508" s="77"/>
      <c r="AO3508" s="77"/>
      <c r="AP3508" s="77"/>
      <c r="AQ3508" s="77"/>
      <c r="AR3508" s="77"/>
      <c r="AS3508" s="77"/>
      <c r="AT3508" s="77"/>
      <c r="AU3508" s="77"/>
      <c r="AV3508" s="80" t="str">
        <f>HYPERLINK("https://pbs.twimg.com/profile_images/1559883556846977024/bXHnQFY0_normal.jpg")</f>
        <v>https://pbs.twimg.com/profile_images/1559883556846977024/bXHnQFY0_normal.jpg</v>
      </c>
      <c r="AW3508" s="82" t="s">
        <v>16592</v>
      </c>
      <c r="AX3508" s="82" t="s">
        <v>16592</v>
      </c>
      <c r="AY3508" s="77"/>
      <c r="AZ3508" s="82" t="s">
        <v>17385</v>
      </c>
      <c r="BA3508" s="82" t="s">
        <v>17385</v>
      </c>
      <c r="BB3508" s="82" t="s">
        <v>17385</v>
      </c>
      <c r="BC3508" s="82" t="s">
        <v>16592</v>
      </c>
      <c r="BD3508" s="77">
        <v>51150679</v>
      </c>
      <c r="BE3508" s="77"/>
      <c r="BF3508" s="77"/>
      <c r="BG3508" s="77"/>
      <c r="BH3508" s="77"/>
      <c r="BI3508" s="77"/>
    </row>
    <row r="3509" spans="1:61" x14ac:dyDescent="0.25">
      <c r="A3509" s="62" t="s">
        <v>605</v>
      </c>
      <c r="B3509" s="62" t="s">
        <v>605</v>
      </c>
      <c r="C3509" s="63"/>
      <c r="D3509" s="64"/>
      <c r="E3509" s="65"/>
      <c r="F3509" s="66"/>
      <c r="G3509" s="63"/>
      <c r="H3509" s="67"/>
      <c r="I3509" s="68"/>
      <c r="J3509" s="68"/>
      <c r="K3509" s="32"/>
      <c r="L3509" s="75">
        <v>3509</v>
      </c>
      <c r="M3509" s="75"/>
      <c r="N3509" s="70"/>
      <c r="O3509" s="77" t="s">
        <v>179</v>
      </c>
      <c r="P3509" s="79">
        <v>45044.98269675926</v>
      </c>
      <c r="Q3509" s="77" t="s">
        <v>4283</v>
      </c>
      <c r="R3509" s="77">
        <v>0</v>
      </c>
      <c r="S3509" s="77">
        <v>5</v>
      </c>
      <c r="T3509" s="77">
        <v>1</v>
      </c>
      <c r="U3509" s="77">
        <v>0</v>
      </c>
      <c r="V3509" s="77">
        <v>2140</v>
      </c>
      <c r="W3509" s="82" t="s">
        <v>6580</v>
      </c>
      <c r="X3509" s="80" t="str">
        <f>HYPERLINK("https://www.moneytimes.com.br/auren-aure3-sabesp-sbsp3-copel-cple6-e-mais-10-empresas-vao-pagar-dividendos-e-jcp-confira/")</f>
        <v>https://www.moneytimes.com.br/auren-aure3-sabesp-sbsp3-copel-cple6-e-mais-10-empresas-vao-pagar-dividendos-e-jcp-confira/</v>
      </c>
      <c r="Y3509" s="77" t="s">
        <v>7053</v>
      </c>
      <c r="Z3509" s="77"/>
      <c r="AA3509" s="77"/>
      <c r="AB3509" s="77"/>
      <c r="AC3509" s="82" t="s">
        <v>8255</v>
      </c>
      <c r="AD3509" s="77" t="s">
        <v>8278</v>
      </c>
      <c r="AE3509" s="80" t="str">
        <f>HYPERLINK("https://twitter.com/leiamoneytimes/status/1652094113175445505")</f>
        <v>https://twitter.com/leiamoneytimes/status/1652094113175445505</v>
      </c>
      <c r="AF3509" s="79">
        <v>45044.98269675926</v>
      </c>
      <c r="AG3509" s="85">
        <v>45044</v>
      </c>
      <c r="AH3509" s="82" t="s">
        <v>11502</v>
      </c>
      <c r="AI3509" s="77" t="b">
        <v>0</v>
      </c>
      <c r="AJ3509" s="77"/>
      <c r="AK3509" s="77"/>
      <c r="AL3509" s="77"/>
      <c r="AM3509" s="77"/>
      <c r="AN3509" s="77"/>
      <c r="AO3509" s="77"/>
      <c r="AP3509" s="77"/>
      <c r="AQ3509" s="77"/>
      <c r="AR3509" s="77"/>
      <c r="AS3509" s="77"/>
      <c r="AT3509" s="77"/>
      <c r="AU3509" s="77"/>
      <c r="AV3509" s="80" t="str">
        <f>HYPERLINK("https://pbs.twimg.com/profile_images/1559883556846977024/bXHnQFY0_normal.jpg")</f>
        <v>https://pbs.twimg.com/profile_images/1559883556846977024/bXHnQFY0_normal.jpg</v>
      </c>
      <c r="AW3509" s="82" t="s">
        <v>16593</v>
      </c>
      <c r="AX3509" s="82" t="s">
        <v>16593</v>
      </c>
      <c r="AY3509" s="77"/>
      <c r="AZ3509" s="82" t="s">
        <v>17385</v>
      </c>
      <c r="BA3509" s="82" t="s">
        <v>17385</v>
      </c>
      <c r="BB3509" s="82" t="s">
        <v>17385</v>
      </c>
      <c r="BC3509" s="82" t="s">
        <v>16593</v>
      </c>
      <c r="BD3509" s="77">
        <v>51150679</v>
      </c>
      <c r="BE3509" s="77"/>
      <c r="BF3509" s="77"/>
      <c r="BG3509" s="77"/>
      <c r="BH3509" s="77"/>
      <c r="BI3509" s="77"/>
    </row>
    <row r="3510" spans="1:61" x14ac:dyDescent="0.25">
      <c r="A3510" s="62" t="s">
        <v>605</v>
      </c>
      <c r="B3510" s="62" t="s">
        <v>605</v>
      </c>
      <c r="C3510" s="63"/>
      <c r="D3510" s="64"/>
      <c r="E3510" s="65"/>
      <c r="F3510" s="66"/>
      <c r="G3510" s="63"/>
      <c r="H3510" s="67"/>
      <c r="I3510" s="68"/>
      <c r="J3510" s="68"/>
      <c r="K3510" s="32"/>
      <c r="L3510" s="75">
        <v>3510</v>
      </c>
      <c r="M3510" s="75"/>
      <c r="N3510" s="70"/>
      <c r="O3510" s="77" t="s">
        <v>179</v>
      </c>
      <c r="P3510" s="79">
        <v>45044.85119212963</v>
      </c>
      <c r="Q3510" s="77" t="s">
        <v>4284</v>
      </c>
      <c r="R3510" s="77">
        <v>0</v>
      </c>
      <c r="S3510" s="77">
        <v>0</v>
      </c>
      <c r="T3510" s="77">
        <v>1</v>
      </c>
      <c r="U3510" s="77">
        <v>0</v>
      </c>
      <c r="V3510" s="77">
        <v>1052</v>
      </c>
      <c r="W3510" s="82" t="s">
        <v>6551</v>
      </c>
      <c r="X3510" s="80" t="str">
        <f>HYPERLINK("https://www.moneytimes.com.br/ibovespa-hoje-fecha-alta-petrobras-petr4-abril-28-04-2023/")</f>
        <v>https://www.moneytimes.com.br/ibovespa-hoje-fecha-alta-petrobras-petr4-abril-28-04-2023/</v>
      </c>
      <c r="Y3510" s="77" t="s">
        <v>7053</v>
      </c>
      <c r="Z3510" s="77"/>
      <c r="AA3510" s="77"/>
      <c r="AB3510" s="77"/>
      <c r="AC3510" s="82" t="s">
        <v>8255</v>
      </c>
      <c r="AD3510" s="77" t="s">
        <v>8278</v>
      </c>
      <c r="AE3510" s="80" t="str">
        <f>HYPERLINK("https://twitter.com/leiamoneytimes/status/1652046454876422145")</f>
        <v>https://twitter.com/leiamoneytimes/status/1652046454876422145</v>
      </c>
      <c r="AF3510" s="79">
        <v>45044.85119212963</v>
      </c>
      <c r="AG3510" s="85">
        <v>45044</v>
      </c>
      <c r="AH3510" s="82" t="s">
        <v>11503</v>
      </c>
      <c r="AI3510" s="77" t="b">
        <v>0</v>
      </c>
      <c r="AJ3510" s="77"/>
      <c r="AK3510" s="77"/>
      <c r="AL3510" s="77"/>
      <c r="AM3510" s="77"/>
      <c r="AN3510" s="77"/>
      <c r="AO3510" s="77"/>
      <c r="AP3510" s="77"/>
      <c r="AQ3510" s="77"/>
      <c r="AR3510" s="77"/>
      <c r="AS3510" s="77"/>
      <c r="AT3510" s="77"/>
      <c r="AU3510" s="77"/>
      <c r="AV3510" s="80" t="str">
        <f>HYPERLINK("https://pbs.twimg.com/profile_images/1559883556846977024/bXHnQFY0_normal.jpg")</f>
        <v>https://pbs.twimg.com/profile_images/1559883556846977024/bXHnQFY0_normal.jpg</v>
      </c>
      <c r="AW3510" s="82" t="s">
        <v>16594</v>
      </c>
      <c r="AX3510" s="82" t="s">
        <v>16594</v>
      </c>
      <c r="AY3510" s="77"/>
      <c r="AZ3510" s="82" t="s">
        <v>17385</v>
      </c>
      <c r="BA3510" s="82" t="s">
        <v>17385</v>
      </c>
      <c r="BB3510" s="82" t="s">
        <v>17385</v>
      </c>
      <c r="BC3510" s="82" t="s">
        <v>16594</v>
      </c>
      <c r="BD3510" s="77">
        <v>51150679</v>
      </c>
      <c r="BE3510" s="77"/>
      <c r="BF3510" s="77"/>
      <c r="BG3510" s="77"/>
      <c r="BH3510" s="77"/>
      <c r="BI3510" s="77"/>
    </row>
    <row r="3511" spans="1:61" x14ac:dyDescent="0.25">
      <c r="A3511" s="62" t="s">
        <v>605</v>
      </c>
      <c r="B3511" s="62" t="s">
        <v>605</v>
      </c>
      <c r="C3511" s="63"/>
      <c r="D3511" s="64"/>
      <c r="E3511" s="65"/>
      <c r="F3511" s="66"/>
      <c r="G3511" s="63"/>
      <c r="H3511" s="67"/>
      <c r="I3511" s="68"/>
      <c r="J3511" s="68"/>
      <c r="K3511" s="32"/>
      <c r="L3511" s="75">
        <v>3511</v>
      </c>
      <c r="M3511" s="75"/>
      <c r="N3511" s="70"/>
      <c r="O3511" s="77" t="s">
        <v>179</v>
      </c>
      <c r="P3511" s="79">
        <v>45044.802673611113</v>
      </c>
      <c r="Q3511" s="77" t="s">
        <v>4285</v>
      </c>
      <c r="R3511" s="77">
        <v>0</v>
      </c>
      <c r="S3511" s="77">
        <v>5</v>
      </c>
      <c r="T3511" s="77">
        <v>0</v>
      </c>
      <c r="U3511" s="77">
        <v>0</v>
      </c>
      <c r="V3511" s="77">
        <v>1263</v>
      </c>
      <c r="W3511" s="82" t="s">
        <v>6559</v>
      </c>
      <c r="X3511" s="80" t="str">
        <f>HYPERLINK("https://www.moneytimes.com.br/gringos-vendem-mais-r-1-bi-em-acoes-na-b3-antes-do-fim-do-mes-confira-o-saldo-estrangeiro-em-abril/")</f>
        <v>https://www.moneytimes.com.br/gringos-vendem-mais-r-1-bi-em-acoes-na-b3-antes-do-fim-do-mes-confira-o-saldo-estrangeiro-em-abril/</v>
      </c>
      <c r="Y3511" s="77" t="s">
        <v>7053</v>
      </c>
      <c r="Z3511" s="77"/>
      <c r="AA3511" s="77"/>
      <c r="AB3511" s="77"/>
      <c r="AC3511" s="82" t="s">
        <v>8255</v>
      </c>
      <c r="AD3511" s="77" t="s">
        <v>8278</v>
      </c>
      <c r="AE3511" s="80" t="str">
        <f>HYPERLINK("https://twitter.com/leiamoneytimes/status/1652028874568376325")</f>
        <v>https://twitter.com/leiamoneytimes/status/1652028874568376325</v>
      </c>
      <c r="AF3511" s="79">
        <v>45044.802673611113</v>
      </c>
      <c r="AG3511" s="85">
        <v>45044</v>
      </c>
      <c r="AH3511" s="82" t="s">
        <v>11504</v>
      </c>
      <c r="AI3511" s="77" t="b">
        <v>0</v>
      </c>
      <c r="AJ3511" s="77"/>
      <c r="AK3511" s="77"/>
      <c r="AL3511" s="77"/>
      <c r="AM3511" s="77"/>
      <c r="AN3511" s="77"/>
      <c r="AO3511" s="77"/>
      <c r="AP3511" s="77"/>
      <c r="AQ3511" s="77"/>
      <c r="AR3511" s="77"/>
      <c r="AS3511" s="77"/>
      <c r="AT3511" s="77"/>
      <c r="AU3511" s="77"/>
      <c r="AV3511" s="80" t="str">
        <f>HYPERLINK("https://pbs.twimg.com/profile_images/1559883556846977024/bXHnQFY0_normal.jpg")</f>
        <v>https://pbs.twimg.com/profile_images/1559883556846977024/bXHnQFY0_normal.jpg</v>
      </c>
      <c r="AW3511" s="82" t="s">
        <v>16595</v>
      </c>
      <c r="AX3511" s="82" t="s">
        <v>16595</v>
      </c>
      <c r="AY3511" s="77"/>
      <c r="AZ3511" s="82" t="s">
        <v>17385</v>
      </c>
      <c r="BA3511" s="82" t="s">
        <v>17385</v>
      </c>
      <c r="BB3511" s="82" t="s">
        <v>17385</v>
      </c>
      <c r="BC3511" s="82" t="s">
        <v>16595</v>
      </c>
      <c r="BD3511" s="77">
        <v>51150679</v>
      </c>
      <c r="BE3511" s="77"/>
      <c r="BF3511" s="77"/>
      <c r="BG3511" s="77"/>
      <c r="BH3511" s="77"/>
      <c r="BI3511" s="77"/>
    </row>
    <row r="3512" spans="1:61" x14ac:dyDescent="0.25">
      <c r="A3512" s="62" t="s">
        <v>605</v>
      </c>
      <c r="B3512" s="62" t="s">
        <v>605</v>
      </c>
      <c r="C3512" s="63"/>
      <c r="D3512" s="64"/>
      <c r="E3512" s="65"/>
      <c r="F3512" s="66"/>
      <c r="G3512" s="63"/>
      <c r="H3512" s="67"/>
      <c r="I3512" s="68"/>
      <c r="J3512" s="68"/>
      <c r="K3512" s="32"/>
      <c r="L3512" s="75">
        <v>3512</v>
      </c>
      <c r="M3512" s="75"/>
      <c r="N3512" s="70"/>
      <c r="O3512" s="77" t="s">
        <v>179</v>
      </c>
      <c r="P3512" s="79">
        <v>45044.739664351851</v>
      </c>
      <c r="Q3512" s="77" t="s">
        <v>4286</v>
      </c>
      <c r="R3512" s="77">
        <v>0</v>
      </c>
      <c r="S3512" s="77">
        <v>1</v>
      </c>
      <c r="T3512" s="77">
        <v>1</v>
      </c>
      <c r="U3512" s="77">
        <v>0</v>
      </c>
      <c r="V3512" s="77">
        <v>1000</v>
      </c>
      <c r="W3512" s="82" t="s">
        <v>6715</v>
      </c>
      <c r="X3512" s="80" t="str">
        <f>HYPERLINK("https://www.moneytimes.com.br/acoes-europeias-fecham-abril-com-ganhos-apos-impulso-de-balancos-compensar-queda-de-bancos/")</f>
        <v>https://www.moneytimes.com.br/acoes-europeias-fecham-abril-com-ganhos-apos-impulso-de-balancos-compensar-queda-de-bancos/</v>
      </c>
      <c r="Y3512" s="77" t="s">
        <v>7053</v>
      </c>
      <c r="Z3512" s="77"/>
      <c r="AA3512" s="77"/>
      <c r="AB3512" s="77"/>
      <c r="AC3512" s="82" t="s">
        <v>8255</v>
      </c>
      <c r="AD3512" s="77" t="s">
        <v>8278</v>
      </c>
      <c r="AE3512" s="80" t="str">
        <f>HYPERLINK("https://twitter.com/leiamoneytimes/status/1652006039745617921")</f>
        <v>https://twitter.com/leiamoneytimes/status/1652006039745617921</v>
      </c>
      <c r="AF3512" s="79">
        <v>45044.739664351851</v>
      </c>
      <c r="AG3512" s="85">
        <v>45044</v>
      </c>
      <c r="AH3512" s="82" t="s">
        <v>11505</v>
      </c>
      <c r="AI3512" s="77" t="b">
        <v>0</v>
      </c>
      <c r="AJ3512" s="77"/>
      <c r="AK3512" s="77"/>
      <c r="AL3512" s="77"/>
      <c r="AM3512" s="77"/>
      <c r="AN3512" s="77"/>
      <c r="AO3512" s="77"/>
      <c r="AP3512" s="77"/>
      <c r="AQ3512" s="77"/>
      <c r="AR3512" s="77"/>
      <c r="AS3512" s="77"/>
      <c r="AT3512" s="77"/>
      <c r="AU3512" s="77"/>
      <c r="AV3512" s="80" t="str">
        <f>HYPERLINK("https://pbs.twimg.com/profile_images/1559883556846977024/bXHnQFY0_normal.jpg")</f>
        <v>https://pbs.twimg.com/profile_images/1559883556846977024/bXHnQFY0_normal.jpg</v>
      </c>
      <c r="AW3512" s="82" t="s">
        <v>16596</v>
      </c>
      <c r="AX3512" s="82" t="s">
        <v>16596</v>
      </c>
      <c r="AY3512" s="77"/>
      <c r="AZ3512" s="82" t="s">
        <v>17385</v>
      </c>
      <c r="BA3512" s="82" t="s">
        <v>17385</v>
      </c>
      <c r="BB3512" s="82" t="s">
        <v>17385</v>
      </c>
      <c r="BC3512" s="82" t="s">
        <v>16596</v>
      </c>
      <c r="BD3512" s="77">
        <v>51150679</v>
      </c>
      <c r="BE3512" s="77"/>
      <c r="BF3512" s="77"/>
      <c r="BG3512" s="77"/>
      <c r="BH3512" s="77"/>
      <c r="BI3512" s="77"/>
    </row>
    <row r="3513" spans="1:61" x14ac:dyDescent="0.25">
      <c r="A3513" s="62" t="s">
        <v>605</v>
      </c>
      <c r="B3513" s="62" t="s">
        <v>605</v>
      </c>
      <c r="C3513" s="63"/>
      <c r="D3513" s="64"/>
      <c r="E3513" s="65"/>
      <c r="F3513" s="66"/>
      <c r="G3513" s="63"/>
      <c r="H3513" s="67"/>
      <c r="I3513" s="68"/>
      <c r="J3513" s="68"/>
      <c r="K3513" s="32"/>
      <c r="L3513" s="75">
        <v>3513</v>
      </c>
      <c r="M3513" s="75"/>
      <c r="N3513" s="70"/>
      <c r="O3513" s="77" t="s">
        <v>179</v>
      </c>
      <c r="P3513" s="79">
        <v>45044.671724537038</v>
      </c>
      <c r="Q3513" s="77" t="s">
        <v>4287</v>
      </c>
      <c r="R3513" s="77">
        <v>0</v>
      </c>
      <c r="S3513" s="77">
        <v>4</v>
      </c>
      <c r="T3513" s="77">
        <v>1</v>
      </c>
      <c r="U3513" s="77">
        <v>0</v>
      </c>
      <c r="V3513" s="77">
        <v>1208</v>
      </c>
      <c r="W3513" s="82" t="s">
        <v>6550</v>
      </c>
      <c r="X3513" s="80" t="str">
        <f>HYPERLINK("https://www.moneytimes.com.br/ibovespa-goll4-e-alpa4-disparam-petr4-e-vale3-sustentam-o-indice-entenda/")</f>
        <v>https://www.moneytimes.com.br/ibovespa-goll4-e-alpa4-disparam-petr4-e-vale3-sustentam-o-indice-entenda/</v>
      </c>
      <c r="Y3513" s="77" t="s">
        <v>7053</v>
      </c>
      <c r="Z3513" s="77"/>
      <c r="AA3513" s="77"/>
      <c r="AB3513" s="77"/>
      <c r="AC3513" s="82" t="s">
        <v>8255</v>
      </c>
      <c r="AD3513" s="77" t="s">
        <v>8278</v>
      </c>
      <c r="AE3513" s="80" t="str">
        <f>HYPERLINK("https://twitter.com/leiamoneytimes/status/1651981420271738882")</f>
        <v>https://twitter.com/leiamoneytimes/status/1651981420271738882</v>
      </c>
      <c r="AF3513" s="79">
        <v>45044.671724537038</v>
      </c>
      <c r="AG3513" s="85">
        <v>45044</v>
      </c>
      <c r="AH3513" s="82" t="s">
        <v>11506</v>
      </c>
      <c r="AI3513" s="77" t="b">
        <v>0</v>
      </c>
      <c r="AJ3513" s="77"/>
      <c r="AK3513" s="77"/>
      <c r="AL3513" s="77"/>
      <c r="AM3513" s="77"/>
      <c r="AN3513" s="77"/>
      <c r="AO3513" s="77"/>
      <c r="AP3513" s="77"/>
      <c r="AQ3513" s="77"/>
      <c r="AR3513" s="77"/>
      <c r="AS3513" s="77"/>
      <c r="AT3513" s="77"/>
      <c r="AU3513" s="77"/>
      <c r="AV3513" s="80" t="str">
        <f>HYPERLINK("https://pbs.twimg.com/profile_images/1559883556846977024/bXHnQFY0_normal.jpg")</f>
        <v>https://pbs.twimg.com/profile_images/1559883556846977024/bXHnQFY0_normal.jpg</v>
      </c>
      <c r="AW3513" s="82" t="s">
        <v>16597</v>
      </c>
      <c r="AX3513" s="82" t="s">
        <v>16597</v>
      </c>
      <c r="AY3513" s="77"/>
      <c r="AZ3513" s="82" t="s">
        <v>17385</v>
      </c>
      <c r="BA3513" s="82" t="s">
        <v>17385</v>
      </c>
      <c r="BB3513" s="82" t="s">
        <v>17385</v>
      </c>
      <c r="BC3513" s="82" t="s">
        <v>16597</v>
      </c>
      <c r="BD3513" s="77">
        <v>51150679</v>
      </c>
      <c r="BE3513" s="77"/>
      <c r="BF3513" s="77"/>
      <c r="BG3513" s="77"/>
      <c r="BH3513" s="77"/>
      <c r="BI3513" s="77"/>
    </row>
    <row r="3514" spans="1:61" x14ac:dyDescent="0.25">
      <c r="A3514" s="62" t="s">
        <v>605</v>
      </c>
      <c r="B3514" s="62" t="s">
        <v>605</v>
      </c>
      <c r="C3514" s="63"/>
      <c r="D3514" s="64"/>
      <c r="E3514" s="65"/>
      <c r="F3514" s="66"/>
      <c r="G3514" s="63"/>
      <c r="H3514" s="67"/>
      <c r="I3514" s="68"/>
      <c r="J3514" s="68"/>
      <c r="K3514" s="32"/>
      <c r="L3514" s="75">
        <v>3514</v>
      </c>
      <c r="M3514" s="75"/>
      <c r="N3514" s="70"/>
      <c r="O3514" s="77" t="s">
        <v>179</v>
      </c>
      <c r="P3514" s="79">
        <v>45044.605740740742</v>
      </c>
      <c r="Q3514" s="77" t="s">
        <v>4288</v>
      </c>
      <c r="R3514" s="77">
        <v>0</v>
      </c>
      <c r="S3514" s="77">
        <v>2</v>
      </c>
      <c r="T3514" s="77">
        <v>1</v>
      </c>
      <c r="U3514" s="77">
        <v>0</v>
      </c>
      <c r="V3514" s="77">
        <v>1052</v>
      </c>
      <c r="W3514" s="82" t="s">
        <v>6716</v>
      </c>
      <c r="X3514" s="80" t="str">
        <f>HYPERLINK("https://www.moneytimes.com.br/petrobras-petr4-entenda-os-fatores-por-tras-do-movimento-das-acoes-nesta-sexta-28/")</f>
        <v>https://www.moneytimes.com.br/petrobras-petr4-entenda-os-fatores-por-tras-do-movimento-das-acoes-nesta-sexta-28/</v>
      </c>
      <c r="Y3514" s="77" t="s">
        <v>7053</v>
      </c>
      <c r="Z3514" s="77"/>
      <c r="AA3514" s="77"/>
      <c r="AB3514" s="77"/>
      <c r="AC3514" s="82" t="s">
        <v>8255</v>
      </c>
      <c r="AD3514" s="77" t="s">
        <v>8278</v>
      </c>
      <c r="AE3514" s="80" t="str">
        <f>HYPERLINK("https://twitter.com/leiamoneytimes/status/1651957507282141187")</f>
        <v>https://twitter.com/leiamoneytimes/status/1651957507282141187</v>
      </c>
      <c r="AF3514" s="79">
        <v>45044.605740740742</v>
      </c>
      <c r="AG3514" s="85">
        <v>45044</v>
      </c>
      <c r="AH3514" s="82" t="s">
        <v>11507</v>
      </c>
      <c r="AI3514" s="77" t="b">
        <v>0</v>
      </c>
      <c r="AJ3514" s="77"/>
      <c r="AK3514" s="77"/>
      <c r="AL3514" s="77"/>
      <c r="AM3514" s="77"/>
      <c r="AN3514" s="77"/>
      <c r="AO3514" s="77"/>
      <c r="AP3514" s="77"/>
      <c r="AQ3514" s="77"/>
      <c r="AR3514" s="77"/>
      <c r="AS3514" s="77"/>
      <c r="AT3514" s="77"/>
      <c r="AU3514" s="77"/>
      <c r="AV3514" s="80" t="str">
        <f>HYPERLINK("https://pbs.twimg.com/profile_images/1559883556846977024/bXHnQFY0_normal.jpg")</f>
        <v>https://pbs.twimg.com/profile_images/1559883556846977024/bXHnQFY0_normal.jpg</v>
      </c>
      <c r="AW3514" s="82" t="s">
        <v>16598</v>
      </c>
      <c r="AX3514" s="82" t="s">
        <v>16598</v>
      </c>
      <c r="AY3514" s="77"/>
      <c r="AZ3514" s="82" t="s">
        <v>17385</v>
      </c>
      <c r="BA3514" s="82" t="s">
        <v>17385</v>
      </c>
      <c r="BB3514" s="82" t="s">
        <v>17385</v>
      </c>
      <c r="BC3514" s="82" t="s">
        <v>16598</v>
      </c>
      <c r="BD3514" s="77">
        <v>51150679</v>
      </c>
      <c r="BE3514" s="77"/>
      <c r="BF3514" s="77"/>
      <c r="BG3514" s="77"/>
      <c r="BH3514" s="77"/>
      <c r="BI3514" s="77"/>
    </row>
    <row r="3515" spans="1:61" x14ac:dyDescent="0.25">
      <c r="A3515" s="62" t="s">
        <v>605</v>
      </c>
      <c r="B3515" s="62" t="s">
        <v>605</v>
      </c>
      <c r="C3515" s="63"/>
      <c r="D3515" s="64"/>
      <c r="E3515" s="65"/>
      <c r="F3515" s="66"/>
      <c r="G3515" s="63"/>
      <c r="H3515" s="67"/>
      <c r="I3515" s="68"/>
      <c r="J3515" s="68"/>
      <c r="K3515" s="32"/>
      <c r="L3515" s="75">
        <v>3515</v>
      </c>
      <c r="M3515" s="75"/>
      <c r="N3515" s="70"/>
      <c r="O3515" s="77" t="s">
        <v>179</v>
      </c>
      <c r="P3515" s="79">
        <v>45044.550335648149</v>
      </c>
      <c r="Q3515" s="77" t="s">
        <v>4289</v>
      </c>
      <c r="R3515" s="77">
        <v>0</v>
      </c>
      <c r="S3515" s="77">
        <v>2</v>
      </c>
      <c r="T3515" s="77">
        <v>1</v>
      </c>
      <c r="U3515" s="77">
        <v>0</v>
      </c>
      <c r="V3515" s="77">
        <v>881</v>
      </c>
      <c r="W3515" s="82" t="s">
        <v>6717</v>
      </c>
      <c r="X3515" s="80" t="str">
        <f>HYPERLINK("https://www.moneytimes.com.br/ibovespa-ibov-segue-sensivel-nesta-sexta-28-indice-busca-folego/")</f>
        <v>https://www.moneytimes.com.br/ibovespa-ibov-segue-sensivel-nesta-sexta-28-indice-busca-folego/</v>
      </c>
      <c r="Y3515" s="77" t="s">
        <v>7053</v>
      </c>
      <c r="Z3515" s="77"/>
      <c r="AA3515" s="77"/>
      <c r="AB3515" s="77"/>
      <c r="AC3515" s="82" t="s">
        <v>8255</v>
      </c>
      <c r="AD3515" s="77" t="s">
        <v>8278</v>
      </c>
      <c r="AE3515" s="80" t="str">
        <f>HYPERLINK("https://twitter.com/leiamoneytimes/status/1651937428851007489")</f>
        <v>https://twitter.com/leiamoneytimes/status/1651937428851007489</v>
      </c>
      <c r="AF3515" s="79">
        <v>45044.550335648149</v>
      </c>
      <c r="AG3515" s="85">
        <v>45044</v>
      </c>
      <c r="AH3515" s="82" t="s">
        <v>11508</v>
      </c>
      <c r="AI3515" s="77" t="b">
        <v>0</v>
      </c>
      <c r="AJ3515" s="77"/>
      <c r="AK3515" s="77"/>
      <c r="AL3515" s="77"/>
      <c r="AM3515" s="77"/>
      <c r="AN3515" s="77"/>
      <c r="AO3515" s="77"/>
      <c r="AP3515" s="77"/>
      <c r="AQ3515" s="77"/>
      <c r="AR3515" s="77"/>
      <c r="AS3515" s="77"/>
      <c r="AT3515" s="77"/>
      <c r="AU3515" s="77"/>
      <c r="AV3515" s="80" t="str">
        <f>HYPERLINK("https://pbs.twimg.com/profile_images/1559883556846977024/bXHnQFY0_normal.jpg")</f>
        <v>https://pbs.twimg.com/profile_images/1559883556846977024/bXHnQFY0_normal.jpg</v>
      </c>
      <c r="AW3515" s="82" t="s">
        <v>16599</v>
      </c>
      <c r="AX3515" s="82" t="s">
        <v>16599</v>
      </c>
      <c r="AY3515" s="77"/>
      <c r="AZ3515" s="82" t="s">
        <v>17385</v>
      </c>
      <c r="BA3515" s="82" t="s">
        <v>17385</v>
      </c>
      <c r="BB3515" s="82" t="s">
        <v>17385</v>
      </c>
      <c r="BC3515" s="82" t="s">
        <v>16599</v>
      </c>
      <c r="BD3515" s="77">
        <v>51150679</v>
      </c>
      <c r="BE3515" s="77"/>
      <c r="BF3515" s="77"/>
      <c r="BG3515" s="77"/>
      <c r="BH3515" s="77"/>
      <c r="BI3515" s="77"/>
    </row>
    <row r="3516" spans="1:61" x14ac:dyDescent="0.25">
      <c r="A3516" s="62" t="s">
        <v>605</v>
      </c>
      <c r="B3516" s="62" t="s">
        <v>605</v>
      </c>
      <c r="C3516" s="63"/>
      <c r="D3516" s="64"/>
      <c r="E3516" s="65"/>
      <c r="F3516" s="66"/>
      <c r="G3516" s="63"/>
      <c r="H3516" s="67"/>
      <c r="I3516" s="68"/>
      <c r="J3516" s="68"/>
      <c r="K3516" s="32"/>
      <c r="L3516" s="75">
        <v>3516</v>
      </c>
      <c r="M3516" s="75"/>
      <c r="N3516" s="70"/>
      <c r="O3516" s="77" t="s">
        <v>179</v>
      </c>
      <c r="P3516" s="79">
        <v>45044.48909722222</v>
      </c>
      <c r="Q3516" s="77" t="s">
        <v>4290</v>
      </c>
      <c r="R3516" s="77">
        <v>0</v>
      </c>
      <c r="S3516" s="77">
        <v>1</v>
      </c>
      <c r="T3516" s="77">
        <v>1</v>
      </c>
      <c r="U3516" s="77">
        <v>0</v>
      </c>
      <c r="V3516" s="77">
        <v>1056</v>
      </c>
      <c r="W3516" s="82" t="s">
        <v>6718</v>
      </c>
      <c r="X3516" s="80" t="str">
        <f>HYPERLINK("https://www.moneytimes.com.br/mais-de-r-4-bi-de-dividendos-sao-anunciados-e-empresas-divulgam-1t23-veja-destaques-desta-sexta-28/")</f>
        <v>https://www.moneytimes.com.br/mais-de-r-4-bi-de-dividendos-sao-anunciados-e-empresas-divulgam-1t23-veja-destaques-desta-sexta-28/</v>
      </c>
      <c r="Y3516" s="77" t="s">
        <v>7053</v>
      </c>
      <c r="Z3516" s="77"/>
      <c r="AA3516" s="77"/>
      <c r="AB3516" s="77"/>
      <c r="AC3516" s="82" t="s">
        <v>8255</v>
      </c>
      <c r="AD3516" s="77" t="s">
        <v>8278</v>
      </c>
      <c r="AE3516" s="80" t="str">
        <f>HYPERLINK("https://twitter.com/leiamoneytimes/status/1651915239506472960")</f>
        <v>https://twitter.com/leiamoneytimes/status/1651915239506472960</v>
      </c>
      <c r="AF3516" s="79">
        <v>45044.48909722222</v>
      </c>
      <c r="AG3516" s="85">
        <v>45044</v>
      </c>
      <c r="AH3516" s="82" t="s">
        <v>11509</v>
      </c>
      <c r="AI3516" s="77" t="b">
        <v>0</v>
      </c>
      <c r="AJ3516" s="77"/>
      <c r="AK3516" s="77"/>
      <c r="AL3516" s="77"/>
      <c r="AM3516" s="77"/>
      <c r="AN3516" s="77"/>
      <c r="AO3516" s="77"/>
      <c r="AP3516" s="77"/>
      <c r="AQ3516" s="77"/>
      <c r="AR3516" s="77"/>
      <c r="AS3516" s="77"/>
      <c r="AT3516" s="77"/>
      <c r="AU3516" s="77"/>
      <c r="AV3516" s="80" t="str">
        <f>HYPERLINK("https://pbs.twimg.com/profile_images/1559883556846977024/bXHnQFY0_normal.jpg")</f>
        <v>https://pbs.twimg.com/profile_images/1559883556846977024/bXHnQFY0_normal.jpg</v>
      </c>
      <c r="AW3516" s="82" t="s">
        <v>16600</v>
      </c>
      <c r="AX3516" s="82" t="s">
        <v>16600</v>
      </c>
      <c r="AY3516" s="77"/>
      <c r="AZ3516" s="82" t="s">
        <v>17385</v>
      </c>
      <c r="BA3516" s="82" t="s">
        <v>17385</v>
      </c>
      <c r="BB3516" s="82" t="s">
        <v>17385</v>
      </c>
      <c r="BC3516" s="82" t="s">
        <v>16600</v>
      </c>
      <c r="BD3516" s="77">
        <v>51150679</v>
      </c>
      <c r="BE3516" s="77"/>
      <c r="BF3516" s="77"/>
      <c r="BG3516" s="77"/>
      <c r="BH3516" s="77"/>
      <c r="BI3516" s="77"/>
    </row>
    <row r="3517" spans="1:61" x14ac:dyDescent="0.25">
      <c r="A3517" s="62" t="s">
        <v>605</v>
      </c>
      <c r="B3517" s="62" t="s">
        <v>605</v>
      </c>
      <c r="C3517" s="63"/>
      <c r="D3517" s="64"/>
      <c r="E3517" s="65"/>
      <c r="F3517" s="66"/>
      <c r="G3517" s="63"/>
      <c r="H3517" s="67"/>
      <c r="I3517" s="68"/>
      <c r="J3517" s="68"/>
      <c r="K3517" s="32"/>
      <c r="L3517" s="75">
        <v>3517</v>
      </c>
      <c r="M3517" s="75"/>
      <c r="N3517" s="70"/>
      <c r="O3517" s="77" t="s">
        <v>179</v>
      </c>
      <c r="P3517" s="79">
        <v>45044.452766203707</v>
      </c>
      <c r="Q3517" s="77" t="s">
        <v>4291</v>
      </c>
      <c r="R3517" s="77">
        <v>0</v>
      </c>
      <c r="S3517" s="77">
        <v>1</v>
      </c>
      <c r="T3517" s="77">
        <v>1</v>
      </c>
      <c r="U3517" s="77">
        <v>0</v>
      </c>
      <c r="V3517" s="77">
        <v>1144</v>
      </c>
      <c r="W3517" s="82" t="s">
        <v>6564</v>
      </c>
      <c r="X3517" s="80" t="str">
        <f>HYPERLINK("https://www.moneytimes.com.br/mercado-da-china-fecha-em-alta-antes-de-feriado/")</f>
        <v>https://www.moneytimes.com.br/mercado-da-china-fecha-em-alta-antes-de-feriado/</v>
      </c>
      <c r="Y3517" s="77" t="s">
        <v>7053</v>
      </c>
      <c r="Z3517" s="77"/>
      <c r="AA3517" s="77"/>
      <c r="AB3517" s="77"/>
      <c r="AC3517" s="82" t="s">
        <v>8255</v>
      </c>
      <c r="AD3517" s="77" t="s">
        <v>8278</v>
      </c>
      <c r="AE3517" s="80" t="str">
        <f>HYPERLINK("https://twitter.com/leiamoneytimes/status/1651902070256029697")</f>
        <v>https://twitter.com/leiamoneytimes/status/1651902070256029697</v>
      </c>
      <c r="AF3517" s="79">
        <v>45044.452766203707</v>
      </c>
      <c r="AG3517" s="85">
        <v>45044</v>
      </c>
      <c r="AH3517" s="82" t="s">
        <v>11510</v>
      </c>
      <c r="AI3517" s="77" t="b">
        <v>0</v>
      </c>
      <c r="AJ3517" s="77"/>
      <c r="AK3517" s="77"/>
      <c r="AL3517" s="77"/>
      <c r="AM3517" s="77"/>
      <c r="AN3517" s="77"/>
      <c r="AO3517" s="77"/>
      <c r="AP3517" s="77"/>
      <c r="AQ3517" s="77"/>
      <c r="AR3517" s="77"/>
      <c r="AS3517" s="77"/>
      <c r="AT3517" s="77"/>
      <c r="AU3517" s="77"/>
      <c r="AV3517" s="80" t="str">
        <f>HYPERLINK("https://pbs.twimg.com/profile_images/1559883556846977024/bXHnQFY0_normal.jpg")</f>
        <v>https://pbs.twimg.com/profile_images/1559883556846977024/bXHnQFY0_normal.jpg</v>
      </c>
      <c r="AW3517" s="82" t="s">
        <v>16601</v>
      </c>
      <c r="AX3517" s="82" t="s">
        <v>16601</v>
      </c>
      <c r="AY3517" s="77"/>
      <c r="AZ3517" s="82" t="s">
        <v>17385</v>
      </c>
      <c r="BA3517" s="82" t="s">
        <v>17385</v>
      </c>
      <c r="BB3517" s="82" t="s">
        <v>17385</v>
      </c>
      <c r="BC3517" s="82" t="s">
        <v>16601</v>
      </c>
      <c r="BD3517" s="77">
        <v>51150679</v>
      </c>
      <c r="BE3517" s="77"/>
      <c r="BF3517" s="77"/>
      <c r="BG3517" s="77"/>
      <c r="BH3517" s="77"/>
      <c r="BI3517" s="77"/>
    </row>
    <row r="3518" spans="1:61" x14ac:dyDescent="0.25">
      <c r="A3518" s="62" t="s">
        <v>605</v>
      </c>
      <c r="B3518" s="62" t="s">
        <v>605</v>
      </c>
      <c r="C3518" s="63"/>
      <c r="D3518" s="64"/>
      <c r="E3518" s="65"/>
      <c r="F3518" s="66"/>
      <c r="G3518" s="63"/>
      <c r="H3518" s="67"/>
      <c r="I3518" s="68"/>
      <c r="J3518" s="68"/>
      <c r="K3518" s="32"/>
      <c r="L3518" s="75">
        <v>3518</v>
      </c>
      <c r="M3518" s="75"/>
      <c r="N3518" s="70"/>
      <c r="O3518" s="77" t="s">
        <v>179</v>
      </c>
      <c r="P3518" s="79">
        <v>45044.430254629631</v>
      </c>
      <c r="Q3518" s="77" t="s">
        <v>4292</v>
      </c>
      <c r="R3518" s="77">
        <v>0</v>
      </c>
      <c r="S3518" s="77">
        <v>1</v>
      </c>
      <c r="T3518" s="77">
        <v>1</v>
      </c>
      <c r="U3518" s="77">
        <v>0</v>
      </c>
      <c r="V3518" s="77">
        <v>1396</v>
      </c>
      <c r="W3518" s="82" t="s">
        <v>6719</v>
      </c>
      <c r="X3518" s="80" t="str">
        <f>HYPERLINK("https://www.moneytimes.com.br/acao-de-rede-social-derrete-18-em-ny-apos-resultados-como-investir-nesta-sexta-feira-28/")</f>
        <v>https://www.moneytimes.com.br/acao-de-rede-social-derrete-18-em-ny-apos-resultados-como-investir-nesta-sexta-feira-28/</v>
      </c>
      <c r="Y3518" s="77" t="s">
        <v>7053</v>
      </c>
      <c r="Z3518" s="77"/>
      <c r="AA3518" s="77"/>
      <c r="AB3518" s="77"/>
      <c r="AC3518" s="82" t="s">
        <v>8255</v>
      </c>
      <c r="AD3518" s="77" t="s">
        <v>8278</v>
      </c>
      <c r="AE3518" s="80" t="str">
        <f>HYPERLINK("https://twitter.com/leiamoneytimes/status/1651893914624770049")</f>
        <v>https://twitter.com/leiamoneytimes/status/1651893914624770049</v>
      </c>
      <c r="AF3518" s="79">
        <v>45044.430254629631</v>
      </c>
      <c r="AG3518" s="85">
        <v>45044</v>
      </c>
      <c r="AH3518" s="82" t="s">
        <v>11511</v>
      </c>
      <c r="AI3518" s="77" t="b">
        <v>0</v>
      </c>
      <c r="AJ3518" s="77"/>
      <c r="AK3518" s="77"/>
      <c r="AL3518" s="77"/>
      <c r="AM3518" s="77"/>
      <c r="AN3518" s="77"/>
      <c r="AO3518" s="77"/>
      <c r="AP3518" s="77"/>
      <c r="AQ3518" s="77"/>
      <c r="AR3518" s="77"/>
      <c r="AS3518" s="77"/>
      <c r="AT3518" s="77"/>
      <c r="AU3518" s="77"/>
      <c r="AV3518" s="80" t="str">
        <f>HYPERLINK("https://pbs.twimg.com/profile_images/1559883556846977024/bXHnQFY0_normal.jpg")</f>
        <v>https://pbs.twimg.com/profile_images/1559883556846977024/bXHnQFY0_normal.jpg</v>
      </c>
      <c r="AW3518" s="82" t="s">
        <v>16602</v>
      </c>
      <c r="AX3518" s="82" t="s">
        <v>16602</v>
      </c>
      <c r="AY3518" s="77"/>
      <c r="AZ3518" s="82" t="s">
        <v>17385</v>
      </c>
      <c r="BA3518" s="82" t="s">
        <v>17385</v>
      </c>
      <c r="BB3518" s="82" t="s">
        <v>17385</v>
      </c>
      <c r="BC3518" s="82" t="s">
        <v>16602</v>
      </c>
      <c r="BD3518" s="77">
        <v>51150679</v>
      </c>
      <c r="BE3518" s="77"/>
      <c r="BF3518" s="77"/>
      <c r="BG3518" s="77"/>
      <c r="BH3518" s="77"/>
      <c r="BI3518" s="77"/>
    </row>
    <row r="3519" spans="1:61" x14ac:dyDescent="0.25">
      <c r="A3519" s="62" t="s">
        <v>605</v>
      </c>
      <c r="B3519" s="62" t="s">
        <v>605</v>
      </c>
      <c r="C3519" s="63"/>
      <c r="D3519" s="64"/>
      <c r="E3519" s="65"/>
      <c r="F3519" s="66"/>
      <c r="G3519" s="63"/>
      <c r="H3519" s="67"/>
      <c r="I3519" s="68"/>
      <c r="J3519" s="68"/>
      <c r="K3519" s="32"/>
      <c r="L3519" s="75">
        <v>3519</v>
      </c>
      <c r="M3519" s="75"/>
      <c r="N3519" s="70"/>
      <c r="O3519" s="77" t="s">
        <v>179</v>
      </c>
      <c r="P3519" s="79">
        <v>45043.987812500003</v>
      </c>
      <c r="Q3519" s="77" t="s">
        <v>4293</v>
      </c>
      <c r="R3519" s="77">
        <v>0</v>
      </c>
      <c r="S3519" s="77">
        <v>0</v>
      </c>
      <c r="T3519" s="77">
        <v>0</v>
      </c>
      <c r="U3519" s="77">
        <v>0</v>
      </c>
      <c r="V3519" s="77">
        <v>1588</v>
      </c>
      <c r="W3519" s="82" t="s">
        <v>6580</v>
      </c>
      <c r="X3519" s="80" t="str">
        <f>HYPERLINK("https://www.moneytimes.com.br/estas-15-empresas-pagarao-dividendos-e-jcp-aos-acionistas-confira-a-lista/")</f>
        <v>https://www.moneytimes.com.br/estas-15-empresas-pagarao-dividendos-e-jcp-aos-acionistas-confira-a-lista/</v>
      </c>
      <c r="Y3519" s="77" t="s">
        <v>7053</v>
      </c>
      <c r="Z3519" s="77"/>
      <c r="AA3519" s="77"/>
      <c r="AB3519" s="77"/>
      <c r="AC3519" s="82" t="s">
        <v>8255</v>
      </c>
      <c r="AD3519" s="77" t="s">
        <v>8278</v>
      </c>
      <c r="AE3519" s="80" t="str">
        <f>HYPERLINK("https://twitter.com/leiamoneytimes/status/1651733578525417474")</f>
        <v>https://twitter.com/leiamoneytimes/status/1651733578525417474</v>
      </c>
      <c r="AF3519" s="79">
        <v>45043.987812500003</v>
      </c>
      <c r="AG3519" s="85">
        <v>45043</v>
      </c>
      <c r="AH3519" s="82" t="s">
        <v>11512</v>
      </c>
      <c r="AI3519" s="77" t="b">
        <v>0</v>
      </c>
      <c r="AJ3519" s="77"/>
      <c r="AK3519" s="77"/>
      <c r="AL3519" s="77"/>
      <c r="AM3519" s="77"/>
      <c r="AN3519" s="77"/>
      <c r="AO3519" s="77"/>
      <c r="AP3519" s="77"/>
      <c r="AQ3519" s="77"/>
      <c r="AR3519" s="77"/>
      <c r="AS3519" s="77"/>
      <c r="AT3519" s="77"/>
      <c r="AU3519" s="77"/>
      <c r="AV3519" s="80" t="str">
        <f>HYPERLINK("https://pbs.twimg.com/profile_images/1559883556846977024/bXHnQFY0_normal.jpg")</f>
        <v>https://pbs.twimg.com/profile_images/1559883556846977024/bXHnQFY0_normal.jpg</v>
      </c>
      <c r="AW3519" s="82" t="s">
        <v>16603</v>
      </c>
      <c r="AX3519" s="82" t="s">
        <v>16603</v>
      </c>
      <c r="AY3519" s="77"/>
      <c r="AZ3519" s="82" t="s">
        <v>17385</v>
      </c>
      <c r="BA3519" s="82" t="s">
        <v>17385</v>
      </c>
      <c r="BB3519" s="82" t="s">
        <v>17385</v>
      </c>
      <c r="BC3519" s="82" t="s">
        <v>16603</v>
      </c>
      <c r="BD3519" s="77">
        <v>51150679</v>
      </c>
      <c r="BE3519" s="77"/>
      <c r="BF3519" s="77"/>
      <c r="BG3519" s="77"/>
      <c r="BH3519" s="77"/>
      <c r="BI3519" s="77"/>
    </row>
    <row r="3520" spans="1:61" x14ac:dyDescent="0.25">
      <c r="A3520" s="62" t="s">
        <v>605</v>
      </c>
      <c r="B3520" s="62" t="s">
        <v>605</v>
      </c>
      <c r="C3520" s="63"/>
      <c r="D3520" s="64"/>
      <c r="E3520" s="65"/>
      <c r="F3520" s="66"/>
      <c r="G3520" s="63"/>
      <c r="H3520" s="67"/>
      <c r="I3520" s="68"/>
      <c r="J3520" s="68"/>
      <c r="K3520" s="32"/>
      <c r="L3520" s="75">
        <v>3520</v>
      </c>
      <c r="M3520" s="75"/>
      <c r="N3520" s="70"/>
      <c r="O3520" s="77" t="s">
        <v>179</v>
      </c>
      <c r="P3520" s="79">
        <v>45043.928229166668</v>
      </c>
      <c r="Q3520" s="77" t="s">
        <v>4294</v>
      </c>
      <c r="R3520" s="77">
        <v>1</v>
      </c>
      <c r="S3520" s="77">
        <v>9</v>
      </c>
      <c r="T3520" s="77">
        <v>0</v>
      </c>
      <c r="U3520" s="77">
        <v>0</v>
      </c>
      <c r="V3520" s="77">
        <v>1569</v>
      </c>
      <c r="W3520" s="82" t="s">
        <v>6720</v>
      </c>
      <c r="X3520" s="80" t="str">
        <f>HYPERLINK("https://www.moneytimes.com.br/construtora-favorita-do-mercado-pagara-r-192-milhoes-em-dividendos-veja-como-receber/")</f>
        <v>https://www.moneytimes.com.br/construtora-favorita-do-mercado-pagara-r-192-milhoes-em-dividendos-veja-como-receber/</v>
      </c>
      <c r="Y3520" s="77" t="s">
        <v>7053</v>
      </c>
      <c r="Z3520" s="77"/>
      <c r="AA3520" s="77"/>
      <c r="AB3520" s="77"/>
      <c r="AC3520" s="82" t="s">
        <v>8255</v>
      </c>
      <c r="AD3520" s="77" t="s">
        <v>8278</v>
      </c>
      <c r="AE3520" s="80" t="str">
        <f>HYPERLINK("https://twitter.com/leiamoneytimes/status/1651711986663661574")</f>
        <v>https://twitter.com/leiamoneytimes/status/1651711986663661574</v>
      </c>
      <c r="AF3520" s="79">
        <v>45043.928229166668</v>
      </c>
      <c r="AG3520" s="85">
        <v>45043</v>
      </c>
      <c r="AH3520" s="82" t="s">
        <v>11513</v>
      </c>
      <c r="AI3520" s="77" t="b">
        <v>0</v>
      </c>
      <c r="AJ3520" s="77"/>
      <c r="AK3520" s="77"/>
      <c r="AL3520" s="77"/>
      <c r="AM3520" s="77"/>
      <c r="AN3520" s="77"/>
      <c r="AO3520" s="77"/>
      <c r="AP3520" s="77"/>
      <c r="AQ3520" s="77"/>
      <c r="AR3520" s="77"/>
      <c r="AS3520" s="77"/>
      <c r="AT3520" s="77"/>
      <c r="AU3520" s="77"/>
      <c r="AV3520" s="80" t="str">
        <f>HYPERLINK("https://pbs.twimg.com/profile_images/1559883556846977024/bXHnQFY0_normal.jpg")</f>
        <v>https://pbs.twimg.com/profile_images/1559883556846977024/bXHnQFY0_normal.jpg</v>
      </c>
      <c r="AW3520" s="82" t="s">
        <v>16604</v>
      </c>
      <c r="AX3520" s="82" t="s">
        <v>16604</v>
      </c>
      <c r="AY3520" s="77"/>
      <c r="AZ3520" s="82" t="s">
        <v>17385</v>
      </c>
      <c r="BA3520" s="82" t="s">
        <v>17385</v>
      </c>
      <c r="BB3520" s="82" t="s">
        <v>17385</v>
      </c>
      <c r="BC3520" s="82" t="s">
        <v>16604</v>
      </c>
      <c r="BD3520" s="77">
        <v>51150679</v>
      </c>
      <c r="BE3520" s="77"/>
      <c r="BF3520" s="77"/>
      <c r="BG3520" s="77"/>
      <c r="BH3520" s="77"/>
      <c r="BI3520" s="77"/>
    </row>
    <row r="3521" spans="1:61" x14ac:dyDescent="0.25">
      <c r="A3521" s="62" t="s">
        <v>605</v>
      </c>
      <c r="B3521" s="62" t="s">
        <v>605</v>
      </c>
      <c r="C3521" s="63"/>
      <c r="D3521" s="64"/>
      <c r="E3521" s="65"/>
      <c r="F3521" s="66"/>
      <c r="G3521" s="63"/>
      <c r="H3521" s="67"/>
      <c r="I3521" s="68"/>
      <c r="J3521" s="68"/>
      <c r="K3521" s="32"/>
      <c r="L3521" s="75">
        <v>3521</v>
      </c>
      <c r="M3521" s="75"/>
      <c r="N3521" s="70"/>
      <c r="O3521" s="77" t="s">
        <v>179</v>
      </c>
      <c r="P3521" s="79">
        <v>45043.875474537039</v>
      </c>
      <c r="Q3521" s="77" t="s">
        <v>4295</v>
      </c>
      <c r="R3521" s="77">
        <v>1</v>
      </c>
      <c r="S3521" s="77">
        <v>5</v>
      </c>
      <c r="T3521" s="77">
        <v>0</v>
      </c>
      <c r="U3521" s="77">
        <v>0</v>
      </c>
      <c r="V3521" s="77">
        <v>1146</v>
      </c>
      <c r="W3521" s="82" t="s">
        <v>6721</v>
      </c>
      <c r="X3521" s="80" t="str">
        <f>HYPERLINK("https://www.moneytimes.com.br/amazon-amzn-encerra-semana-das-big-techs-em-grande-estilo-confira-a-analise-dos-resultados-do-1t23/")</f>
        <v>https://www.moneytimes.com.br/amazon-amzn-encerra-semana-das-big-techs-em-grande-estilo-confira-a-analise-dos-resultados-do-1t23/</v>
      </c>
      <c r="Y3521" s="77" t="s">
        <v>7053</v>
      </c>
      <c r="Z3521" s="77"/>
      <c r="AA3521" s="77"/>
      <c r="AB3521" s="77"/>
      <c r="AC3521" s="82" t="s">
        <v>8255</v>
      </c>
      <c r="AD3521" s="77" t="s">
        <v>8278</v>
      </c>
      <c r="AE3521" s="80" t="str">
        <f>HYPERLINK("https://twitter.com/leiamoneytimes/status/1651692866597421061")</f>
        <v>https://twitter.com/leiamoneytimes/status/1651692866597421061</v>
      </c>
      <c r="AF3521" s="79">
        <v>45043.875474537039</v>
      </c>
      <c r="AG3521" s="85">
        <v>45043</v>
      </c>
      <c r="AH3521" s="82" t="s">
        <v>11514</v>
      </c>
      <c r="AI3521" s="77" t="b">
        <v>0</v>
      </c>
      <c r="AJ3521" s="77"/>
      <c r="AK3521" s="77"/>
      <c r="AL3521" s="77"/>
      <c r="AM3521" s="77"/>
      <c r="AN3521" s="77"/>
      <c r="AO3521" s="77"/>
      <c r="AP3521" s="77"/>
      <c r="AQ3521" s="77"/>
      <c r="AR3521" s="77"/>
      <c r="AS3521" s="77"/>
      <c r="AT3521" s="77"/>
      <c r="AU3521" s="77"/>
      <c r="AV3521" s="80" t="str">
        <f>HYPERLINK("https://pbs.twimg.com/profile_images/1559883556846977024/bXHnQFY0_normal.jpg")</f>
        <v>https://pbs.twimg.com/profile_images/1559883556846977024/bXHnQFY0_normal.jpg</v>
      </c>
      <c r="AW3521" s="82" t="s">
        <v>16605</v>
      </c>
      <c r="AX3521" s="82" t="s">
        <v>16605</v>
      </c>
      <c r="AY3521" s="77"/>
      <c r="AZ3521" s="82" t="s">
        <v>17385</v>
      </c>
      <c r="BA3521" s="82" t="s">
        <v>17385</v>
      </c>
      <c r="BB3521" s="82" t="s">
        <v>17385</v>
      </c>
      <c r="BC3521" s="82" t="s">
        <v>16605</v>
      </c>
      <c r="BD3521" s="77">
        <v>51150679</v>
      </c>
      <c r="BE3521" s="77"/>
      <c r="BF3521" s="77"/>
      <c r="BG3521" s="77"/>
      <c r="BH3521" s="77"/>
      <c r="BI3521" s="77"/>
    </row>
    <row r="3522" spans="1:61" x14ac:dyDescent="0.25">
      <c r="A3522" s="62" t="s">
        <v>605</v>
      </c>
      <c r="B3522" s="62" t="s">
        <v>605</v>
      </c>
      <c r="C3522" s="63"/>
      <c r="D3522" s="64"/>
      <c r="E3522" s="65"/>
      <c r="F3522" s="66"/>
      <c r="G3522" s="63"/>
      <c r="H3522" s="67"/>
      <c r="I3522" s="68"/>
      <c r="J3522" s="68"/>
      <c r="K3522" s="32"/>
      <c r="L3522" s="75">
        <v>3522</v>
      </c>
      <c r="M3522" s="75"/>
      <c r="N3522" s="70"/>
      <c r="O3522" s="77" t="s">
        <v>179</v>
      </c>
      <c r="P3522" s="79">
        <v>45043.86614583333</v>
      </c>
      <c r="Q3522" s="77" t="s">
        <v>4296</v>
      </c>
      <c r="R3522" s="77">
        <v>0</v>
      </c>
      <c r="S3522" s="77">
        <v>4</v>
      </c>
      <c r="T3522" s="77">
        <v>1</v>
      </c>
      <c r="U3522" s="77">
        <v>0</v>
      </c>
      <c r="V3522" s="77">
        <v>1296</v>
      </c>
      <c r="W3522" s="82" t="s">
        <v>6580</v>
      </c>
      <c r="X3522" s="80" t="str">
        <f>HYPERLINK("https://www.moneytimes.com.br/usiminas-usim5-paga-r-3836-milhoes-em-dividendos-veja-se-voce-tem-direito/")</f>
        <v>https://www.moneytimes.com.br/usiminas-usim5-paga-r-3836-milhoes-em-dividendos-veja-se-voce-tem-direito/</v>
      </c>
      <c r="Y3522" s="77" t="s">
        <v>7053</v>
      </c>
      <c r="Z3522" s="77"/>
      <c r="AA3522" s="77"/>
      <c r="AB3522" s="77"/>
      <c r="AC3522" s="82" t="s">
        <v>8255</v>
      </c>
      <c r="AD3522" s="77" t="s">
        <v>8278</v>
      </c>
      <c r="AE3522" s="80" t="str">
        <f>HYPERLINK("https://twitter.com/leiamoneytimes/status/1651689486781145088")</f>
        <v>https://twitter.com/leiamoneytimes/status/1651689486781145088</v>
      </c>
      <c r="AF3522" s="79">
        <v>45043.86614583333</v>
      </c>
      <c r="AG3522" s="85">
        <v>45043</v>
      </c>
      <c r="AH3522" s="82" t="s">
        <v>11515</v>
      </c>
      <c r="AI3522" s="77" t="b">
        <v>0</v>
      </c>
      <c r="AJ3522" s="77"/>
      <c r="AK3522" s="77"/>
      <c r="AL3522" s="77"/>
      <c r="AM3522" s="77"/>
      <c r="AN3522" s="77"/>
      <c r="AO3522" s="77"/>
      <c r="AP3522" s="77"/>
      <c r="AQ3522" s="77"/>
      <c r="AR3522" s="77"/>
      <c r="AS3522" s="77"/>
      <c r="AT3522" s="77"/>
      <c r="AU3522" s="77"/>
      <c r="AV3522" s="80" t="str">
        <f>HYPERLINK("https://pbs.twimg.com/profile_images/1559883556846977024/bXHnQFY0_normal.jpg")</f>
        <v>https://pbs.twimg.com/profile_images/1559883556846977024/bXHnQFY0_normal.jpg</v>
      </c>
      <c r="AW3522" s="82" t="s">
        <v>16606</v>
      </c>
      <c r="AX3522" s="82" t="s">
        <v>16606</v>
      </c>
      <c r="AY3522" s="77"/>
      <c r="AZ3522" s="82" t="s">
        <v>17385</v>
      </c>
      <c r="BA3522" s="82" t="s">
        <v>17385</v>
      </c>
      <c r="BB3522" s="82" t="s">
        <v>17385</v>
      </c>
      <c r="BC3522" s="82" t="s">
        <v>16606</v>
      </c>
      <c r="BD3522" s="77">
        <v>51150679</v>
      </c>
      <c r="BE3522" s="77"/>
      <c r="BF3522" s="77"/>
      <c r="BG3522" s="77"/>
      <c r="BH3522" s="77"/>
      <c r="BI3522" s="77"/>
    </row>
    <row r="3523" spans="1:61" x14ac:dyDescent="0.25">
      <c r="A3523" s="62" t="s">
        <v>605</v>
      </c>
      <c r="B3523" s="62" t="s">
        <v>605</v>
      </c>
      <c r="C3523" s="63"/>
      <c r="D3523" s="64"/>
      <c r="E3523" s="65"/>
      <c r="F3523" s="66"/>
      <c r="G3523" s="63"/>
      <c r="H3523" s="67"/>
      <c r="I3523" s="68"/>
      <c r="J3523" s="68"/>
      <c r="K3523" s="32"/>
      <c r="L3523" s="75">
        <v>3523</v>
      </c>
      <c r="M3523" s="75"/>
      <c r="N3523" s="70"/>
      <c r="O3523" s="77" t="s">
        <v>179</v>
      </c>
      <c r="P3523" s="79">
        <v>45043.848402777781</v>
      </c>
      <c r="Q3523" s="77" t="s">
        <v>4297</v>
      </c>
      <c r="R3523" s="77">
        <v>0</v>
      </c>
      <c r="S3523" s="77">
        <v>2</v>
      </c>
      <c r="T3523" s="77">
        <v>0</v>
      </c>
      <c r="U3523" s="77">
        <v>0</v>
      </c>
      <c r="V3523" s="77">
        <v>1021</v>
      </c>
      <c r="W3523" s="82" t="s">
        <v>6551</v>
      </c>
      <c r="X3523" s="80" t="str">
        <f>HYPERLINK("https://www.moneytimes.com.br/ibovespa-hoje-fecha-alta-vale-vale3-27-04-2023/")</f>
        <v>https://www.moneytimes.com.br/ibovespa-hoje-fecha-alta-vale-vale3-27-04-2023/</v>
      </c>
      <c r="Y3523" s="77" t="s">
        <v>7053</v>
      </c>
      <c r="Z3523" s="77"/>
      <c r="AA3523" s="77"/>
      <c r="AB3523" s="77"/>
      <c r="AC3523" s="82" t="s">
        <v>8255</v>
      </c>
      <c r="AD3523" s="77" t="s">
        <v>8278</v>
      </c>
      <c r="AE3523" s="80" t="str">
        <f>HYPERLINK("https://twitter.com/leiamoneytimes/status/1651683059681357842")</f>
        <v>https://twitter.com/leiamoneytimes/status/1651683059681357842</v>
      </c>
      <c r="AF3523" s="79">
        <v>45043.848402777781</v>
      </c>
      <c r="AG3523" s="85">
        <v>45043</v>
      </c>
      <c r="AH3523" s="82" t="s">
        <v>11516</v>
      </c>
      <c r="AI3523" s="77" t="b">
        <v>0</v>
      </c>
      <c r="AJ3523" s="77"/>
      <c r="AK3523" s="77"/>
      <c r="AL3523" s="77"/>
      <c r="AM3523" s="77"/>
      <c r="AN3523" s="77"/>
      <c r="AO3523" s="77"/>
      <c r="AP3523" s="77"/>
      <c r="AQ3523" s="77"/>
      <c r="AR3523" s="77"/>
      <c r="AS3523" s="77"/>
      <c r="AT3523" s="77"/>
      <c r="AU3523" s="77"/>
      <c r="AV3523" s="80" t="str">
        <f>HYPERLINK("https://pbs.twimg.com/profile_images/1559883556846977024/bXHnQFY0_normal.jpg")</f>
        <v>https://pbs.twimg.com/profile_images/1559883556846977024/bXHnQFY0_normal.jpg</v>
      </c>
      <c r="AW3523" s="82" t="s">
        <v>16607</v>
      </c>
      <c r="AX3523" s="82" t="s">
        <v>16607</v>
      </c>
      <c r="AY3523" s="77"/>
      <c r="AZ3523" s="82" t="s">
        <v>17385</v>
      </c>
      <c r="BA3523" s="82" t="s">
        <v>17385</v>
      </c>
      <c r="BB3523" s="82" t="s">
        <v>17385</v>
      </c>
      <c r="BC3523" s="82" t="s">
        <v>16607</v>
      </c>
      <c r="BD3523" s="77">
        <v>51150679</v>
      </c>
      <c r="BE3523" s="77"/>
      <c r="BF3523" s="77"/>
      <c r="BG3523" s="77"/>
      <c r="BH3523" s="77"/>
      <c r="BI3523" s="77"/>
    </row>
    <row r="3524" spans="1:61" x14ac:dyDescent="0.25">
      <c r="A3524" s="62" t="s">
        <v>605</v>
      </c>
      <c r="B3524" s="62" t="s">
        <v>605</v>
      </c>
      <c r="C3524" s="63"/>
      <c r="D3524" s="64"/>
      <c r="E3524" s="65"/>
      <c r="F3524" s="66"/>
      <c r="G3524" s="63"/>
      <c r="H3524" s="67"/>
      <c r="I3524" s="68"/>
      <c r="J3524" s="68"/>
      <c r="K3524" s="32"/>
      <c r="L3524" s="75">
        <v>3524</v>
      </c>
      <c r="M3524" s="75"/>
      <c r="N3524" s="70"/>
      <c r="O3524" s="77" t="s">
        <v>179</v>
      </c>
      <c r="P3524" s="79">
        <v>45194.807743055557</v>
      </c>
      <c r="Q3524" s="77" t="s">
        <v>4298</v>
      </c>
      <c r="R3524" s="77">
        <v>0</v>
      </c>
      <c r="S3524" s="77">
        <v>2</v>
      </c>
      <c r="T3524" s="77">
        <v>2</v>
      </c>
      <c r="U3524" s="77">
        <v>0</v>
      </c>
      <c r="V3524" s="77">
        <v>1014</v>
      </c>
      <c r="W3524" s="82" t="s">
        <v>6722</v>
      </c>
      <c r="X3524" s="80" t="str">
        <f>HYPERLINK("https://www.moneytimes.com.br/ibovespa-ibov-continua-sob-efeito-de-super-quarta-indice-pode-cair-muito-mais/?ttmt")</f>
        <v>https://www.moneytimes.com.br/ibovespa-ibov-continua-sob-efeito-de-super-quarta-indice-pode-cair-muito-mais/?ttmt</v>
      </c>
      <c r="Y3524" s="77" t="s">
        <v>7053</v>
      </c>
      <c r="Z3524" s="77"/>
      <c r="AA3524" s="77"/>
      <c r="AB3524" s="77"/>
      <c r="AC3524" s="82" t="s">
        <v>8232</v>
      </c>
      <c r="AD3524" s="77" t="s">
        <v>8278</v>
      </c>
      <c r="AE3524" s="80" t="str">
        <f>HYPERLINK("https://twitter.com/leiamoneytimes/status/1706388890284605595")</f>
        <v>https://twitter.com/leiamoneytimes/status/1706388890284605595</v>
      </c>
      <c r="AF3524" s="79">
        <v>45194.807743055557</v>
      </c>
      <c r="AG3524" s="85">
        <v>45194</v>
      </c>
      <c r="AH3524" s="82" t="s">
        <v>11517</v>
      </c>
      <c r="AI3524" s="77" t="b">
        <v>0</v>
      </c>
      <c r="AJ3524" s="77"/>
      <c r="AK3524" s="77"/>
      <c r="AL3524" s="77"/>
      <c r="AM3524" s="77"/>
      <c r="AN3524" s="77"/>
      <c r="AO3524" s="77"/>
      <c r="AP3524" s="77"/>
      <c r="AQ3524" s="77"/>
      <c r="AR3524" s="77"/>
      <c r="AS3524" s="77"/>
      <c r="AT3524" s="77"/>
      <c r="AU3524" s="77"/>
      <c r="AV3524" s="80" t="str">
        <f>HYPERLINK("https://pbs.twimg.com/profile_images/1559883556846977024/bXHnQFY0_normal.jpg")</f>
        <v>https://pbs.twimg.com/profile_images/1559883556846977024/bXHnQFY0_normal.jpg</v>
      </c>
      <c r="AW3524" s="82" t="s">
        <v>16608</v>
      </c>
      <c r="AX3524" s="82" t="s">
        <v>16608</v>
      </c>
      <c r="AY3524" s="77"/>
      <c r="AZ3524" s="82" t="s">
        <v>17385</v>
      </c>
      <c r="BA3524" s="82" t="s">
        <v>17385</v>
      </c>
      <c r="BB3524" s="82" t="s">
        <v>17385</v>
      </c>
      <c r="BC3524" s="82" t="s">
        <v>16608</v>
      </c>
      <c r="BD3524" s="77">
        <v>51150679</v>
      </c>
      <c r="BE3524" s="77"/>
      <c r="BF3524" s="77"/>
      <c r="BG3524" s="77"/>
      <c r="BH3524" s="77"/>
      <c r="BI3524" s="77"/>
    </row>
    <row r="3525" spans="1:61" x14ac:dyDescent="0.25">
      <c r="A3525" s="62" t="s">
        <v>605</v>
      </c>
      <c r="B3525" s="62" t="s">
        <v>605</v>
      </c>
      <c r="C3525" s="63"/>
      <c r="D3525" s="64"/>
      <c r="E3525" s="65"/>
      <c r="F3525" s="66"/>
      <c r="G3525" s="63"/>
      <c r="H3525" s="67"/>
      <c r="I3525" s="68"/>
      <c r="J3525" s="68"/>
      <c r="K3525" s="32"/>
      <c r="L3525" s="75">
        <v>3525</v>
      </c>
      <c r="M3525" s="75"/>
      <c r="N3525" s="70"/>
      <c r="O3525" s="77" t="s">
        <v>179</v>
      </c>
      <c r="P3525" s="79">
        <v>45194.70722222222</v>
      </c>
      <c r="Q3525" s="77" t="s">
        <v>4299</v>
      </c>
      <c r="R3525" s="77">
        <v>0</v>
      </c>
      <c r="S3525" s="77">
        <v>2</v>
      </c>
      <c r="T3525" s="77">
        <v>2</v>
      </c>
      <c r="U3525" s="77">
        <v>0</v>
      </c>
      <c r="V3525" s="77">
        <v>995</v>
      </c>
      <c r="W3525" s="82" t="s">
        <v>6723</v>
      </c>
      <c r="X3525" s="80" t="str">
        <f>HYPERLINK("https://www.moneytimes.com.br/vale-vale3-petrobras-petr4-e-outras-acoes-para-investir-segundo-mirae-asset/?ttmt")</f>
        <v>https://www.moneytimes.com.br/vale-vale3-petrobras-petr4-e-outras-acoes-para-investir-segundo-mirae-asset/?ttmt</v>
      </c>
      <c r="Y3525" s="77" t="s">
        <v>7053</v>
      </c>
      <c r="Z3525" s="77"/>
      <c r="AA3525" s="77"/>
      <c r="AB3525" s="77"/>
      <c r="AC3525" s="82" t="s">
        <v>8232</v>
      </c>
      <c r="AD3525" s="77" t="s">
        <v>8278</v>
      </c>
      <c r="AE3525" s="80" t="str">
        <f>HYPERLINK("https://twitter.com/leiamoneytimes/status/1706352463735853484")</f>
        <v>https://twitter.com/leiamoneytimes/status/1706352463735853484</v>
      </c>
      <c r="AF3525" s="79">
        <v>45194.70722222222</v>
      </c>
      <c r="AG3525" s="85">
        <v>45194</v>
      </c>
      <c r="AH3525" s="82" t="s">
        <v>11518</v>
      </c>
      <c r="AI3525" s="77" t="b">
        <v>0</v>
      </c>
      <c r="AJ3525" s="77"/>
      <c r="AK3525" s="77"/>
      <c r="AL3525" s="77"/>
      <c r="AM3525" s="77"/>
      <c r="AN3525" s="77"/>
      <c r="AO3525" s="77"/>
      <c r="AP3525" s="77"/>
      <c r="AQ3525" s="77"/>
      <c r="AR3525" s="77"/>
      <c r="AS3525" s="77"/>
      <c r="AT3525" s="77"/>
      <c r="AU3525" s="77"/>
      <c r="AV3525" s="80" t="str">
        <f>HYPERLINK("https://pbs.twimg.com/profile_images/1559883556846977024/bXHnQFY0_normal.jpg")</f>
        <v>https://pbs.twimg.com/profile_images/1559883556846977024/bXHnQFY0_normal.jpg</v>
      </c>
      <c r="AW3525" s="82" t="s">
        <v>16609</v>
      </c>
      <c r="AX3525" s="82" t="s">
        <v>16609</v>
      </c>
      <c r="AY3525" s="77"/>
      <c r="AZ3525" s="82" t="s">
        <v>17385</v>
      </c>
      <c r="BA3525" s="82" t="s">
        <v>17385</v>
      </c>
      <c r="BB3525" s="82" t="s">
        <v>17385</v>
      </c>
      <c r="BC3525" s="82" t="s">
        <v>16609</v>
      </c>
      <c r="BD3525" s="77">
        <v>51150679</v>
      </c>
      <c r="BE3525" s="77"/>
      <c r="BF3525" s="77"/>
      <c r="BG3525" s="77"/>
      <c r="BH3525" s="77"/>
      <c r="BI3525" s="77"/>
    </row>
    <row r="3526" spans="1:61" x14ac:dyDescent="0.25">
      <c r="A3526" s="62" t="s">
        <v>605</v>
      </c>
      <c r="B3526" s="62" t="s">
        <v>605</v>
      </c>
      <c r="C3526" s="63"/>
      <c r="D3526" s="64"/>
      <c r="E3526" s="65"/>
      <c r="F3526" s="66"/>
      <c r="G3526" s="63"/>
      <c r="H3526" s="67"/>
      <c r="I3526" s="68"/>
      <c r="J3526" s="68"/>
      <c r="K3526" s="32"/>
      <c r="L3526" s="75">
        <v>3526</v>
      </c>
      <c r="M3526" s="75"/>
      <c r="N3526" s="70"/>
      <c r="O3526" s="77" t="s">
        <v>179</v>
      </c>
      <c r="P3526" s="79">
        <v>45191.566666666666</v>
      </c>
      <c r="Q3526" s="77" t="s">
        <v>4300</v>
      </c>
      <c r="R3526" s="77">
        <v>0</v>
      </c>
      <c r="S3526" s="77">
        <v>1</v>
      </c>
      <c r="T3526" s="77">
        <v>1</v>
      </c>
      <c r="U3526" s="77">
        <v>0</v>
      </c>
      <c r="V3526" s="77">
        <v>770</v>
      </c>
      <c r="W3526" s="82" t="s">
        <v>6724</v>
      </c>
      <c r="X3526" s="80" t="str">
        <f>HYPERLINK("https://www.moneytimes.com.br/day-trade-hoje-vender-gol-goll4-eletrobras-elet3-acoes-sexta-feira-22-09-2023/?ttmt")</f>
        <v>https://www.moneytimes.com.br/day-trade-hoje-vender-gol-goll4-eletrobras-elet3-acoes-sexta-feira-22-09-2023/?ttmt</v>
      </c>
      <c r="Y3526" s="77" t="s">
        <v>7053</v>
      </c>
      <c r="Z3526" s="77"/>
      <c r="AA3526" s="77"/>
      <c r="AB3526" s="77"/>
      <c r="AC3526" s="82" t="s">
        <v>8232</v>
      </c>
      <c r="AD3526" s="77" t="s">
        <v>8278</v>
      </c>
      <c r="AE3526" s="80" t="str">
        <f>HYPERLINK("https://twitter.com/leiamoneytimes/status/1705214366381965324")</f>
        <v>https://twitter.com/leiamoneytimes/status/1705214366381965324</v>
      </c>
      <c r="AF3526" s="79">
        <v>45191.566666666666</v>
      </c>
      <c r="AG3526" s="85">
        <v>45191</v>
      </c>
      <c r="AH3526" s="82" t="s">
        <v>11519</v>
      </c>
      <c r="AI3526" s="77" t="b">
        <v>0</v>
      </c>
      <c r="AJ3526" s="77"/>
      <c r="AK3526" s="77"/>
      <c r="AL3526" s="77"/>
      <c r="AM3526" s="77"/>
      <c r="AN3526" s="77"/>
      <c r="AO3526" s="77"/>
      <c r="AP3526" s="77"/>
      <c r="AQ3526" s="77"/>
      <c r="AR3526" s="77"/>
      <c r="AS3526" s="77"/>
      <c r="AT3526" s="77"/>
      <c r="AU3526" s="77"/>
      <c r="AV3526" s="80" t="str">
        <f>HYPERLINK("https://pbs.twimg.com/profile_images/1559883556846977024/bXHnQFY0_normal.jpg")</f>
        <v>https://pbs.twimg.com/profile_images/1559883556846977024/bXHnQFY0_normal.jpg</v>
      </c>
      <c r="AW3526" s="82" t="s">
        <v>16610</v>
      </c>
      <c r="AX3526" s="82" t="s">
        <v>16610</v>
      </c>
      <c r="AY3526" s="77"/>
      <c r="AZ3526" s="82" t="s">
        <v>17385</v>
      </c>
      <c r="BA3526" s="82" t="s">
        <v>17385</v>
      </c>
      <c r="BB3526" s="82" t="s">
        <v>17385</v>
      </c>
      <c r="BC3526" s="82" t="s">
        <v>16610</v>
      </c>
      <c r="BD3526" s="77">
        <v>51150679</v>
      </c>
      <c r="BE3526" s="77"/>
      <c r="BF3526" s="77"/>
      <c r="BG3526" s="77"/>
      <c r="BH3526" s="77"/>
      <c r="BI3526" s="77"/>
    </row>
    <row r="3527" spans="1:61" x14ac:dyDescent="0.25">
      <c r="A3527" s="62" t="s">
        <v>605</v>
      </c>
      <c r="B3527" s="62" t="s">
        <v>605</v>
      </c>
      <c r="C3527" s="63"/>
      <c r="D3527" s="64"/>
      <c r="E3527" s="65"/>
      <c r="F3527" s="66"/>
      <c r="G3527" s="63"/>
      <c r="H3527" s="67"/>
      <c r="I3527" s="68"/>
      <c r="J3527" s="68"/>
      <c r="K3527" s="32"/>
      <c r="L3527" s="75">
        <v>3527</v>
      </c>
      <c r="M3527" s="75"/>
      <c r="N3527" s="70"/>
      <c r="O3527" s="77" t="s">
        <v>179</v>
      </c>
      <c r="P3527" s="79">
        <v>45190.757511574076</v>
      </c>
      <c r="Q3527" s="77" t="s">
        <v>4301</v>
      </c>
      <c r="R3527" s="77">
        <v>0</v>
      </c>
      <c r="S3527" s="77">
        <v>0</v>
      </c>
      <c r="T3527" s="77">
        <v>1</v>
      </c>
      <c r="U3527" s="77">
        <v>0</v>
      </c>
      <c r="V3527" s="77">
        <v>874</v>
      </c>
      <c r="W3527" s="82" t="s">
        <v>6725</v>
      </c>
      <c r="X3527" s="80" t="str">
        <f>HYPERLINK("https://www.moneytimes.com.br/investimento-estrangeiro-bolsa-fluxo-capital-externo-b3-entrada-bilionaria-dos-gringos-em-setembro-fica-para-tras-mais-acoes-sao-vendidas-21-09-2023/?ttmt")</f>
        <v>https://www.moneytimes.com.br/investimento-estrangeiro-bolsa-fluxo-capital-externo-b3-entrada-bilionaria-dos-gringos-em-setembro-fica-para-tras-mais-acoes-sao-vendidas-21-09-2023/?ttmt</v>
      </c>
      <c r="Y3527" s="77" t="s">
        <v>7053</v>
      </c>
      <c r="Z3527" s="77"/>
      <c r="AA3527" s="77"/>
      <c r="AB3527" s="77"/>
      <c r="AC3527" s="82" t="s">
        <v>8232</v>
      </c>
      <c r="AD3527" s="77" t="s">
        <v>8278</v>
      </c>
      <c r="AE3527" s="80" t="str">
        <f>HYPERLINK("https://twitter.com/leiamoneytimes/status/1704921136671154180")</f>
        <v>https://twitter.com/leiamoneytimes/status/1704921136671154180</v>
      </c>
      <c r="AF3527" s="79">
        <v>45190.757511574076</v>
      </c>
      <c r="AG3527" s="85">
        <v>45190</v>
      </c>
      <c r="AH3527" s="82" t="s">
        <v>11520</v>
      </c>
      <c r="AI3527" s="77" t="b">
        <v>0</v>
      </c>
      <c r="AJ3527" s="77"/>
      <c r="AK3527" s="77"/>
      <c r="AL3527" s="77"/>
      <c r="AM3527" s="77"/>
      <c r="AN3527" s="77"/>
      <c r="AO3527" s="77"/>
      <c r="AP3527" s="77"/>
      <c r="AQ3527" s="77"/>
      <c r="AR3527" s="77"/>
      <c r="AS3527" s="77"/>
      <c r="AT3527" s="77"/>
      <c r="AU3527" s="77"/>
      <c r="AV3527" s="80" t="str">
        <f>HYPERLINK("https://pbs.twimg.com/profile_images/1559883556846977024/bXHnQFY0_normal.jpg")</f>
        <v>https://pbs.twimg.com/profile_images/1559883556846977024/bXHnQFY0_normal.jpg</v>
      </c>
      <c r="AW3527" s="82" t="s">
        <v>16611</v>
      </c>
      <c r="AX3527" s="82" t="s">
        <v>16611</v>
      </c>
      <c r="AY3527" s="77"/>
      <c r="AZ3527" s="82" t="s">
        <v>17385</v>
      </c>
      <c r="BA3527" s="82" t="s">
        <v>17385</v>
      </c>
      <c r="BB3527" s="82" t="s">
        <v>17385</v>
      </c>
      <c r="BC3527" s="82" t="s">
        <v>16611</v>
      </c>
      <c r="BD3527" s="77">
        <v>51150679</v>
      </c>
      <c r="BE3527" s="77"/>
      <c r="BF3527" s="77"/>
      <c r="BG3527" s="77"/>
      <c r="BH3527" s="77"/>
      <c r="BI3527" s="77"/>
    </row>
    <row r="3528" spans="1:61" x14ac:dyDescent="0.25">
      <c r="A3528" s="62" t="s">
        <v>605</v>
      </c>
      <c r="B3528" s="62" t="s">
        <v>605</v>
      </c>
      <c r="C3528" s="63"/>
      <c r="D3528" s="64"/>
      <c r="E3528" s="65"/>
      <c r="F3528" s="66"/>
      <c r="G3528" s="63"/>
      <c r="H3528" s="67"/>
      <c r="I3528" s="68"/>
      <c r="J3528" s="68"/>
      <c r="K3528" s="32"/>
      <c r="L3528" s="75">
        <v>3528</v>
      </c>
      <c r="M3528" s="75"/>
      <c r="N3528" s="70"/>
      <c r="O3528" s="77" t="s">
        <v>179</v>
      </c>
      <c r="P3528" s="79">
        <v>45189.80023148148</v>
      </c>
      <c r="Q3528" s="77" t="s">
        <v>4302</v>
      </c>
      <c r="R3528" s="77">
        <v>0</v>
      </c>
      <c r="S3528" s="77">
        <v>2</v>
      </c>
      <c r="T3528" s="77">
        <v>1</v>
      </c>
      <c r="U3528" s="77">
        <v>0</v>
      </c>
      <c r="V3528" s="77">
        <v>719</v>
      </c>
      <c r="W3528" s="82" t="s">
        <v>6726</v>
      </c>
      <c r="X3528" s="80" t="str">
        <f>HYPERLINK("https://www.moneytimes.com.br/azul-azul4-ainda-pode-disparar-121-diz-banco-gringo-acoes-saltam-nesta-quarta-20/?ttmt")</f>
        <v>https://www.moneytimes.com.br/azul-azul4-ainda-pode-disparar-121-diz-banco-gringo-acoes-saltam-nesta-quarta-20/?ttmt</v>
      </c>
      <c r="Y3528" s="77" t="s">
        <v>7053</v>
      </c>
      <c r="Z3528" s="77"/>
      <c r="AA3528" s="77"/>
      <c r="AB3528" s="77"/>
      <c r="AC3528" s="82" t="s">
        <v>8232</v>
      </c>
      <c r="AD3528" s="77" t="s">
        <v>8278</v>
      </c>
      <c r="AE3528" s="80" t="str">
        <f>HYPERLINK("https://twitter.com/leiamoneytimes/status/1704574228681376132")</f>
        <v>https://twitter.com/leiamoneytimes/status/1704574228681376132</v>
      </c>
      <c r="AF3528" s="79">
        <v>45189.80023148148</v>
      </c>
      <c r="AG3528" s="85">
        <v>45189</v>
      </c>
      <c r="AH3528" s="82" t="s">
        <v>11521</v>
      </c>
      <c r="AI3528" s="77" t="b">
        <v>0</v>
      </c>
      <c r="AJ3528" s="77"/>
      <c r="AK3528" s="77"/>
      <c r="AL3528" s="77"/>
      <c r="AM3528" s="77"/>
      <c r="AN3528" s="77"/>
      <c r="AO3528" s="77"/>
      <c r="AP3528" s="77"/>
      <c r="AQ3528" s="77"/>
      <c r="AR3528" s="77"/>
      <c r="AS3528" s="77"/>
      <c r="AT3528" s="77"/>
      <c r="AU3528" s="77"/>
      <c r="AV3528" s="80" t="str">
        <f>HYPERLINK("https://pbs.twimg.com/profile_images/1559883556846977024/bXHnQFY0_normal.jpg")</f>
        <v>https://pbs.twimg.com/profile_images/1559883556846977024/bXHnQFY0_normal.jpg</v>
      </c>
      <c r="AW3528" s="82" t="s">
        <v>16612</v>
      </c>
      <c r="AX3528" s="82" t="s">
        <v>16612</v>
      </c>
      <c r="AY3528" s="77"/>
      <c r="AZ3528" s="82" t="s">
        <v>17385</v>
      </c>
      <c r="BA3528" s="82" t="s">
        <v>17385</v>
      </c>
      <c r="BB3528" s="82" t="s">
        <v>17385</v>
      </c>
      <c r="BC3528" s="82" t="s">
        <v>16612</v>
      </c>
      <c r="BD3528" s="77">
        <v>51150679</v>
      </c>
      <c r="BE3528" s="77"/>
      <c r="BF3528" s="77"/>
      <c r="BG3528" s="77"/>
      <c r="BH3528" s="77"/>
      <c r="BI3528" s="77"/>
    </row>
    <row r="3529" spans="1:61" x14ac:dyDescent="0.25">
      <c r="A3529" s="62" t="s">
        <v>605</v>
      </c>
      <c r="B3529" s="62" t="s">
        <v>605</v>
      </c>
      <c r="C3529" s="63"/>
      <c r="D3529" s="64"/>
      <c r="E3529" s="65"/>
      <c r="F3529" s="66"/>
      <c r="G3529" s="63"/>
      <c r="H3529" s="67"/>
      <c r="I3529" s="68"/>
      <c r="J3529" s="68"/>
      <c r="K3529" s="32"/>
      <c r="L3529" s="75">
        <v>3529</v>
      </c>
      <c r="M3529" s="75"/>
      <c r="N3529" s="70"/>
      <c r="O3529" s="77" t="s">
        <v>179</v>
      </c>
      <c r="P3529" s="79">
        <v>45189.613009259258</v>
      </c>
      <c r="Q3529" s="77" t="s">
        <v>4303</v>
      </c>
      <c r="R3529" s="77">
        <v>0</v>
      </c>
      <c r="S3529" s="77">
        <v>0</v>
      </c>
      <c r="T3529" s="77">
        <v>1</v>
      </c>
      <c r="U3529" s="77">
        <v>0</v>
      </c>
      <c r="V3529" s="77">
        <v>650</v>
      </c>
      <c r="W3529" s="82" t="s">
        <v>6727</v>
      </c>
      <c r="X3529" s="80" t="str">
        <f>HYPERLINK("https://www.moneytimes.com.br/em-semana-de-super-quarta-gringos-vendem-acoes-e-recuam-na-b3-20-09-2023/?ttmt")</f>
        <v>https://www.moneytimes.com.br/em-semana-de-super-quarta-gringos-vendem-acoes-e-recuam-na-b3-20-09-2023/?ttmt</v>
      </c>
      <c r="Y3529" s="77" t="s">
        <v>7053</v>
      </c>
      <c r="Z3529" s="77"/>
      <c r="AA3529" s="77"/>
      <c r="AB3529" s="77"/>
      <c r="AC3529" s="82" t="s">
        <v>8232</v>
      </c>
      <c r="AD3529" s="77" t="s">
        <v>8278</v>
      </c>
      <c r="AE3529" s="80" t="str">
        <f>HYPERLINK("https://twitter.com/leiamoneytimes/status/1704506383196963159")</f>
        <v>https://twitter.com/leiamoneytimes/status/1704506383196963159</v>
      </c>
      <c r="AF3529" s="79">
        <v>45189.613009259258</v>
      </c>
      <c r="AG3529" s="85">
        <v>45189</v>
      </c>
      <c r="AH3529" s="82" t="s">
        <v>11522</v>
      </c>
      <c r="AI3529" s="77" t="b">
        <v>0</v>
      </c>
      <c r="AJ3529" s="77"/>
      <c r="AK3529" s="77"/>
      <c r="AL3529" s="77"/>
      <c r="AM3529" s="77"/>
      <c r="AN3529" s="77"/>
      <c r="AO3529" s="77"/>
      <c r="AP3529" s="77"/>
      <c r="AQ3529" s="77"/>
      <c r="AR3529" s="77"/>
      <c r="AS3529" s="77"/>
      <c r="AT3529" s="77"/>
      <c r="AU3529" s="77"/>
      <c r="AV3529" s="80" t="str">
        <f>HYPERLINK("https://pbs.twimg.com/profile_images/1559883556846977024/bXHnQFY0_normal.jpg")</f>
        <v>https://pbs.twimg.com/profile_images/1559883556846977024/bXHnQFY0_normal.jpg</v>
      </c>
      <c r="AW3529" s="82" t="s">
        <v>16613</v>
      </c>
      <c r="AX3529" s="82" t="s">
        <v>16613</v>
      </c>
      <c r="AY3529" s="77"/>
      <c r="AZ3529" s="82" t="s">
        <v>17385</v>
      </c>
      <c r="BA3529" s="82" t="s">
        <v>17385</v>
      </c>
      <c r="BB3529" s="82" t="s">
        <v>17385</v>
      </c>
      <c r="BC3529" s="82" t="s">
        <v>16613</v>
      </c>
      <c r="BD3529" s="77">
        <v>51150679</v>
      </c>
      <c r="BE3529" s="77"/>
      <c r="BF3529" s="77"/>
      <c r="BG3529" s="77"/>
      <c r="BH3529" s="77"/>
      <c r="BI3529" s="77"/>
    </row>
    <row r="3530" spans="1:61" x14ac:dyDescent="0.25">
      <c r="A3530" s="62" t="s">
        <v>605</v>
      </c>
      <c r="B3530" s="62" t="s">
        <v>605</v>
      </c>
      <c r="C3530" s="63"/>
      <c r="D3530" s="64"/>
      <c r="E3530" s="65"/>
      <c r="F3530" s="66"/>
      <c r="G3530" s="63"/>
      <c r="H3530" s="67"/>
      <c r="I3530" s="68"/>
      <c r="J3530" s="68"/>
      <c r="K3530" s="32"/>
      <c r="L3530" s="75">
        <v>3530</v>
      </c>
      <c r="M3530" s="75"/>
      <c r="N3530" s="70"/>
      <c r="O3530" s="77" t="s">
        <v>179</v>
      </c>
      <c r="P3530" s="79">
        <v>45189.438738425924</v>
      </c>
      <c r="Q3530" s="77" t="s">
        <v>4304</v>
      </c>
      <c r="R3530" s="77">
        <v>0</v>
      </c>
      <c r="S3530" s="77">
        <v>1</v>
      </c>
      <c r="T3530" s="77">
        <v>0</v>
      </c>
      <c r="U3530" s="77">
        <v>0</v>
      </c>
      <c r="V3530" s="77">
        <v>922</v>
      </c>
      <c r="W3530" s="82" t="s">
        <v>6728</v>
      </c>
      <c r="X3530" s="80" t="str">
        <f>HYPERLINK("https://www.moneytimes.com.br/tempo-real-ibovespa-hoje-mercado-ao-vivo-quarta-feira-20-09-2023/?ttmt")</f>
        <v>https://www.moneytimes.com.br/tempo-real-ibovespa-hoje-mercado-ao-vivo-quarta-feira-20-09-2023/?ttmt</v>
      </c>
      <c r="Y3530" s="77" t="s">
        <v>7053</v>
      </c>
      <c r="Z3530" s="77"/>
      <c r="AA3530" s="77"/>
      <c r="AB3530" s="77"/>
      <c r="AC3530" s="82" t="s">
        <v>8232</v>
      </c>
      <c r="AD3530" s="77" t="s">
        <v>8278</v>
      </c>
      <c r="AE3530" s="80" t="str">
        <f>HYPERLINK("https://twitter.com/leiamoneytimes/status/1704443228697636991")</f>
        <v>https://twitter.com/leiamoneytimes/status/1704443228697636991</v>
      </c>
      <c r="AF3530" s="79">
        <v>45189.438738425924</v>
      </c>
      <c r="AG3530" s="85">
        <v>45189</v>
      </c>
      <c r="AH3530" s="82" t="s">
        <v>11523</v>
      </c>
      <c r="AI3530" s="77" t="b">
        <v>0</v>
      </c>
      <c r="AJ3530" s="77"/>
      <c r="AK3530" s="77"/>
      <c r="AL3530" s="77"/>
      <c r="AM3530" s="77"/>
      <c r="AN3530" s="77"/>
      <c r="AO3530" s="77"/>
      <c r="AP3530" s="77"/>
      <c r="AQ3530" s="77"/>
      <c r="AR3530" s="77"/>
      <c r="AS3530" s="77"/>
      <c r="AT3530" s="77"/>
      <c r="AU3530" s="77"/>
      <c r="AV3530" s="80" t="str">
        <f>HYPERLINK("https://pbs.twimg.com/profile_images/1559883556846977024/bXHnQFY0_normal.jpg")</f>
        <v>https://pbs.twimg.com/profile_images/1559883556846977024/bXHnQFY0_normal.jpg</v>
      </c>
      <c r="AW3530" s="82" t="s">
        <v>16614</v>
      </c>
      <c r="AX3530" s="82" t="s">
        <v>16614</v>
      </c>
      <c r="AY3530" s="77"/>
      <c r="AZ3530" s="82" t="s">
        <v>17385</v>
      </c>
      <c r="BA3530" s="82" t="s">
        <v>17385</v>
      </c>
      <c r="BB3530" s="82" t="s">
        <v>17385</v>
      </c>
      <c r="BC3530" s="82" t="s">
        <v>16614</v>
      </c>
      <c r="BD3530" s="77">
        <v>51150679</v>
      </c>
      <c r="BE3530" s="77"/>
      <c r="BF3530" s="77"/>
      <c r="BG3530" s="77"/>
      <c r="BH3530" s="77"/>
      <c r="BI3530" s="77"/>
    </row>
    <row r="3531" spans="1:61" x14ac:dyDescent="0.25">
      <c r="A3531" s="62" t="s">
        <v>605</v>
      </c>
      <c r="B3531" s="62" t="s">
        <v>605</v>
      </c>
      <c r="C3531" s="63"/>
      <c r="D3531" s="64"/>
      <c r="E3531" s="65"/>
      <c r="F3531" s="66"/>
      <c r="G3531" s="63"/>
      <c r="H3531" s="67"/>
      <c r="I3531" s="68"/>
      <c r="J3531" s="68"/>
      <c r="K3531" s="32"/>
      <c r="L3531" s="75">
        <v>3531</v>
      </c>
      <c r="M3531" s="75"/>
      <c r="N3531" s="70"/>
      <c r="O3531" s="77" t="s">
        <v>179</v>
      </c>
      <c r="P3531" s="79">
        <v>45187.511516203704</v>
      </c>
      <c r="Q3531" s="77" t="s">
        <v>4305</v>
      </c>
      <c r="R3531" s="77">
        <v>0</v>
      </c>
      <c r="S3531" s="77">
        <v>0</v>
      </c>
      <c r="T3531" s="77">
        <v>1</v>
      </c>
      <c r="U3531" s="77">
        <v>0</v>
      </c>
      <c r="V3531" s="77">
        <v>1108</v>
      </c>
      <c r="W3531" s="82" t="s">
        <v>6729</v>
      </c>
      <c r="X3531" s="80" t="str">
        <f>HYPERLINK("https://www.moneytimes.com.br/5-acoes-para-investir-no-curto-prazo-segundo-empiricus-investimentos/?ttmt")</f>
        <v>https://www.moneytimes.com.br/5-acoes-para-investir-no-curto-prazo-segundo-empiricus-investimentos/?ttmt</v>
      </c>
      <c r="Y3531" s="77" t="s">
        <v>7053</v>
      </c>
      <c r="Z3531" s="77"/>
      <c r="AA3531" s="77"/>
      <c r="AB3531" s="77"/>
      <c r="AC3531" s="82" t="s">
        <v>8232</v>
      </c>
      <c r="AD3531" s="77" t="s">
        <v>8278</v>
      </c>
      <c r="AE3531" s="80" t="str">
        <f>HYPERLINK("https://twitter.com/leiamoneytimes/status/1703744826871513450")</f>
        <v>https://twitter.com/leiamoneytimes/status/1703744826871513450</v>
      </c>
      <c r="AF3531" s="79">
        <v>45187.511516203704</v>
      </c>
      <c r="AG3531" s="85">
        <v>45187</v>
      </c>
      <c r="AH3531" s="82" t="s">
        <v>10916</v>
      </c>
      <c r="AI3531" s="77" t="b">
        <v>0</v>
      </c>
      <c r="AJ3531" s="77"/>
      <c r="AK3531" s="77"/>
      <c r="AL3531" s="77"/>
      <c r="AM3531" s="77"/>
      <c r="AN3531" s="77"/>
      <c r="AO3531" s="77"/>
      <c r="AP3531" s="77"/>
      <c r="AQ3531" s="77"/>
      <c r="AR3531" s="77"/>
      <c r="AS3531" s="77"/>
      <c r="AT3531" s="77"/>
      <c r="AU3531" s="77"/>
      <c r="AV3531" s="80" t="str">
        <f>HYPERLINK("https://pbs.twimg.com/profile_images/1559883556846977024/bXHnQFY0_normal.jpg")</f>
        <v>https://pbs.twimg.com/profile_images/1559883556846977024/bXHnQFY0_normal.jpg</v>
      </c>
      <c r="AW3531" s="82" t="s">
        <v>16615</v>
      </c>
      <c r="AX3531" s="82" t="s">
        <v>16615</v>
      </c>
      <c r="AY3531" s="77"/>
      <c r="AZ3531" s="82" t="s">
        <v>17385</v>
      </c>
      <c r="BA3531" s="82" t="s">
        <v>17385</v>
      </c>
      <c r="BB3531" s="82" t="s">
        <v>17385</v>
      </c>
      <c r="BC3531" s="82" t="s">
        <v>16615</v>
      </c>
      <c r="BD3531" s="77">
        <v>51150679</v>
      </c>
      <c r="BE3531" s="77"/>
      <c r="BF3531" s="77"/>
      <c r="BG3531" s="77"/>
      <c r="BH3531" s="77"/>
      <c r="BI3531" s="77"/>
    </row>
    <row r="3532" spans="1:61" x14ac:dyDescent="0.25">
      <c r="A3532" s="62" t="s">
        <v>605</v>
      </c>
      <c r="B3532" s="62" t="s">
        <v>605</v>
      </c>
      <c r="C3532" s="63"/>
      <c r="D3532" s="64"/>
      <c r="E3532" s="65"/>
      <c r="F3532" s="66"/>
      <c r="G3532" s="63"/>
      <c r="H3532" s="67"/>
      <c r="I3532" s="68"/>
      <c r="J3532" s="68"/>
      <c r="K3532" s="32"/>
      <c r="L3532" s="75">
        <v>3532</v>
      </c>
      <c r="M3532" s="75"/>
      <c r="N3532" s="70"/>
      <c r="O3532" s="77" t="s">
        <v>179</v>
      </c>
      <c r="P3532" s="79">
        <v>45186.811574074076</v>
      </c>
      <c r="Q3532" s="77" t="s">
        <v>4306</v>
      </c>
      <c r="R3532" s="77">
        <v>1</v>
      </c>
      <c r="S3532" s="77">
        <v>5</v>
      </c>
      <c r="T3532" s="77">
        <v>0</v>
      </c>
      <c r="U3532" s="77">
        <v>0</v>
      </c>
      <c r="V3532" s="77">
        <v>1658</v>
      </c>
      <c r="W3532" s="82" t="s">
        <v>6730</v>
      </c>
      <c r="X3532" s="80" t="str">
        <f>HYPERLINK("https://www.moneytimes.com.br/eletrica-favorita-do-btg-entregou-25-de-ganhos-em-2023-e-segue-atrativa-entenda/?ttmt")</f>
        <v>https://www.moneytimes.com.br/eletrica-favorita-do-btg-entregou-25-de-ganhos-em-2023-e-segue-atrativa-entenda/?ttmt</v>
      </c>
      <c r="Y3532" s="77" t="s">
        <v>7053</v>
      </c>
      <c r="Z3532" s="77"/>
      <c r="AA3532" s="77"/>
      <c r="AB3532" s="77"/>
      <c r="AC3532" s="82" t="s">
        <v>8232</v>
      </c>
      <c r="AD3532" s="77" t="s">
        <v>8278</v>
      </c>
      <c r="AE3532" s="80" t="str">
        <f>HYPERLINK("https://twitter.com/leiamoneytimes/status/1703491176215506968")</f>
        <v>https://twitter.com/leiamoneytimes/status/1703491176215506968</v>
      </c>
      <c r="AF3532" s="79">
        <v>45186.811574074076</v>
      </c>
      <c r="AG3532" s="85">
        <v>45186</v>
      </c>
      <c r="AH3532" s="82" t="s">
        <v>11524</v>
      </c>
      <c r="AI3532" s="77" t="b">
        <v>0</v>
      </c>
      <c r="AJ3532" s="77"/>
      <c r="AK3532" s="77"/>
      <c r="AL3532" s="77"/>
      <c r="AM3532" s="77"/>
      <c r="AN3532" s="77"/>
      <c r="AO3532" s="77"/>
      <c r="AP3532" s="77"/>
      <c r="AQ3532" s="77"/>
      <c r="AR3532" s="77"/>
      <c r="AS3532" s="77"/>
      <c r="AT3532" s="77"/>
      <c r="AU3532" s="77"/>
      <c r="AV3532" s="80" t="str">
        <f>HYPERLINK("https://pbs.twimg.com/profile_images/1559883556846977024/bXHnQFY0_normal.jpg")</f>
        <v>https://pbs.twimg.com/profile_images/1559883556846977024/bXHnQFY0_normal.jpg</v>
      </c>
      <c r="AW3532" s="82" t="s">
        <v>16616</v>
      </c>
      <c r="AX3532" s="82" t="s">
        <v>16616</v>
      </c>
      <c r="AY3532" s="77"/>
      <c r="AZ3532" s="82" t="s">
        <v>17385</v>
      </c>
      <c r="BA3532" s="82" t="s">
        <v>17385</v>
      </c>
      <c r="BB3532" s="82" t="s">
        <v>17385</v>
      </c>
      <c r="BC3532" s="82" t="s">
        <v>16616</v>
      </c>
      <c r="BD3532" s="77">
        <v>51150679</v>
      </c>
      <c r="BE3532" s="77"/>
      <c r="BF3532" s="77"/>
      <c r="BG3532" s="77"/>
      <c r="BH3532" s="77"/>
      <c r="BI3532" s="77"/>
    </row>
    <row r="3533" spans="1:61" x14ac:dyDescent="0.25">
      <c r="A3533" s="62" t="s">
        <v>605</v>
      </c>
      <c r="B3533" s="62" t="s">
        <v>605</v>
      </c>
      <c r="C3533" s="63"/>
      <c r="D3533" s="64"/>
      <c r="E3533" s="65"/>
      <c r="F3533" s="66"/>
      <c r="G3533" s="63"/>
      <c r="H3533" s="67"/>
      <c r="I3533" s="68"/>
      <c r="J3533" s="68"/>
      <c r="K3533" s="32"/>
      <c r="L3533" s="75">
        <v>3533</v>
      </c>
      <c r="M3533" s="75"/>
      <c r="N3533" s="70"/>
      <c r="O3533" s="77" t="s">
        <v>179</v>
      </c>
      <c r="P3533" s="79">
        <v>45186.754282407404</v>
      </c>
      <c r="Q3533" s="77" t="s">
        <v>4307</v>
      </c>
      <c r="R3533" s="77">
        <v>0</v>
      </c>
      <c r="S3533" s="77">
        <v>20</v>
      </c>
      <c r="T3533" s="77">
        <v>1</v>
      </c>
      <c r="U3533" s="77">
        <v>0</v>
      </c>
      <c r="V3533" s="77">
        <v>2993</v>
      </c>
      <c r="W3533" s="82" t="s">
        <v>6731</v>
      </c>
      <c r="X3533" s="80" t="str">
        <f>HYPERLINK("https://www.moneytimes.com.br/vale-vale3-o-risco-que-o-investidor-nao-pode-ignorar-segundo-goldman-sachs/?ttmt")</f>
        <v>https://www.moneytimes.com.br/vale-vale3-o-risco-que-o-investidor-nao-pode-ignorar-segundo-goldman-sachs/?ttmt</v>
      </c>
      <c r="Y3533" s="77" t="s">
        <v>7053</v>
      </c>
      <c r="Z3533" s="77"/>
      <c r="AA3533" s="77"/>
      <c r="AB3533" s="77"/>
      <c r="AC3533" s="82" t="s">
        <v>8232</v>
      </c>
      <c r="AD3533" s="77" t="s">
        <v>8278</v>
      </c>
      <c r="AE3533" s="80" t="str">
        <f>HYPERLINK("https://twitter.com/leiamoneytimes/status/1703470415794884885")</f>
        <v>https://twitter.com/leiamoneytimes/status/1703470415794884885</v>
      </c>
      <c r="AF3533" s="79">
        <v>45186.754282407404</v>
      </c>
      <c r="AG3533" s="85">
        <v>45186</v>
      </c>
      <c r="AH3533" s="82" t="s">
        <v>11525</v>
      </c>
      <c r="AI3533" s="77" t="b">
        <v>0</v>
      </c>
      <c r="AJ3533" s="77"/>
      <c r="AK3533" s="77"/>
      <c r="AL3533" s="77"/>
      <c r="AM3533" s="77"/>
      <c r="AN3533" s="77"/>
      <c r="AO3533" s="77"/>
      <c r="AP3533" s="77"/>
      <c r="AQ3533" s="77"/>
      <c r="AR3533" s="77"/>
      <c r="AS3533" s="77"/>
      <c r="AT3533" s="77"/>
      <c r="AU3533" s="77"/>
      <c r="AV3533" s="80" t="str">
        <f>HYPERLINK("https://pbs.twimg.com/profile_images/1559883556846977024/bXHnQFY0_normal.jpg")</f>
        <v>https://pbs.twimg.com/profile_images/1559883556846977024/bXHnQFY0_normal.jpg</v>
      </c>
      <c r="AW3533" s="82" t="s">
        <v>16617</v>
      </c>
      <c r="AX3533" s="82" t="s">
        <v>16617</v>
      </c>
      <c r="AY3533" s="77"/>
      <c r="AZ3533" s="82" t="s">
        <v>17385</v>
      </c>
      <c r="BA3533" s="82" t="s">
        <v>17385</v>
      </c>
      <c r="BB3533" s="82" t="s">
        <v>17385</v>
      </c>
      <c r="BC3533" s="82" t="s">
        <v>16617</v>
      </c>
      <c r="BD3533" s="77">
        <v>51150679</v>
      </c>
      <c r="BE3533" s="77"/>
      <c r="BF3533" s="77"/>
      <c r="BG3533" s="77"/>
      <c r="BH3533" s="77"/>
      <c r="BI3533" s="77"/>
    </row>
    <row r="3534" spans="1:61" x14ac:dyDescent="0.25">
      <c r="A3534" s="62" t="s">
        <v>605</v>
      </c>
      <c r="B3534" s="62" t="s">
        <v>605</v>
      </c>
      <c r="C3534" s="63"/>
      <c r="D3534" s="64"/>
      <c r="E3534" s="65"/>
      <c r="F3534" s="66"/>
      <c r="G3534" s="63"/>
      <c r="H3534" s="67"/>
      <c r="I3534" s="68"/>
      <c r="J3534" s="68"/>
      <c r="K3534" s="32"/>
      <c r="L3534" s="75">
        <v>3534</v>
      </c>
      <c r="M3534" s="75"/>
      <c r="N3534" s="70"/>
      <c r="O3534" s="77" t="s">
        <v>179</v>
      </c>
      <c r="P3534" s="79">
        <v>45186.698946759258</v>
      </c>
      <c r="Q3534" s="77" t="s">
        <v>4308</v>
      </c>
      <c r="R3534" s="77">
        <v>2</v>
      </c>
      <c r="S3534" s="77">
        <v>1</v>
      </c>
      <c r="T3534" s="77">
        <v>1</v>
      </c>
      <c r="U3534" s="77">
        <v>0</v>
      </c>
      <c r="V3534" s="77">
        <v>1472</v>
      </c>
      <c r="W3534" s="82" t="s">
        <v>6729</v>
      </c>
      <c r="X3534" s="80" t="str">
        <f>HYPERLINK("https://www.moneytimes.com.br/5-acoes-para-buscar-retornos-de-ate-286-na-semana-segundo-orama/?ttmt")</f>
        <v>https://www.moneytimes.com.br/5-acoes-para-buscar-retornos-de-ate-286-na-semana-segundo-orama/?ttmt</v>
      </c>
      <c r="Y3534" s="77" t="s">
        <v>7053</v>
      </c>
      <c r="Z3534" s="77"/>
      <c r="AA3534" s="77"/>
      <c r="AB3534" s="77"/>
      <c r="AC3534" s="82" t="s">
        <v>8232</v>
      </c>
      <c r="AD3534" s="77" t="s">
        <v>8278</v>
      </c>
      <c r="AE3534" s="80" t="str">
        <f>HYPERLINK("https://twitter.com/leiamoneytimes/status/1703450360327667841")</f>
        <v>https://twitter.com/leiamoneytimes/status/1703450360327667841</v>
      </c>
      <c r="AF3534" s="79">
        <v>45186.698946759258</v>
      </c>
      <c r="AG3534" s="85">
        <v>45186</v>
      </c>
      <c r="AH3534" s="82" t="s">
        <v>11526</v>
      </c>
      <c r="AI3534" s="77" t="b">
        <v>0</v>
      </c>
      <c r="AJ3534" s="77"/>
      <c r="AK3534" s="77"/>
      <c r="AL3534" s="77"/>
      <c r="AM3534" s="77"/>
      <c r="AN3534" s="77"/>
      <c r="AO3534" s="77"/>
      <c r="AP3534" s="77"/>
      <c r="AQ3534" s="77"/>
      <c r="AR3534" s="77"/>
      <c r="AS3534" s="77"/>
      <c r="AT3534" s="77"/>
      <c r="AU3534" s="77"/>
      <c r="AV3534" s="80" t="str">
        <f>HYPERLINK("https://pbs.twimg.com/profile_images/1559883556846977024/bXHnQFY0_normal.jpg")</f>
        <v>https://pbs.twimg.com/profile_images/1559883556846977024/bXHnQFY0_normal.jpg</v>
      </c>
      <c r="AW3534" s="82" t="s">
        <v>16618</v>
      </c>
      <c r="AX3534" s="82" t="s">
        <v>16618</v>
      </c>
      <c r="AY3534" s="77"/>
      <c r="AZ3534" s="82" t="s">
        <v>17385</v>
      </c>
      <c r="BA3534" s="82" t="s">
        <v>17385</v>
      </c>
      <c r="BB3534" s="82" t="s">
        <v>17385</v>
      </c>
      <c r="BC3534" s="82" t="s">
        <v>16618</v>
      </c>
      <c r="BD3534" s="77">
        <v>51150679</v>
      </c>
      <c r="BE3534" s="77"/>
      <c r="BF3534" s="77"/>
      <c r="BG3534" s="77"/>
      <c r="BH3534" s="77"/>
      <c r="BI3534" s="77"/>
    </row>
    <row r="3535" spans="1:61" x14ac:dyDescent="0.25">
      <c r="A3535" s="62" t="s">
        <v>605</v>
      </c>
      <c r="B3535" s="62" t="s">
        <v>605</v>
      </c>
      <c r="C3535" s="63"/>
      <c r="D3535" s="64"/>
      <c r="E3535" s="65"/>
      <c r="F3535" s="66"/>
      <c r="G3535" s="63"/>
      <c r="H3535" s="67"/>
      <c r="I3535" s="68"/>
      <c r="J3535" s="68"/>
      <c r="K3535" s="32"/>
      <c r="L3535" s="75">
        <v>3535</v>
      </c>
      <c r="M3535" s="75"/>
      <c r="N3535" s="70"/>
      <c r="O3535" s="77" t="s">
        <v>179</v>
      </c>
      <c r="P3535" s="79">
        <v>45186.562881944446</v>
      </c>
      <c r="Q3535" s="77" t="s">
        <v>4309</v>
      </c>
      <c r="R3535" s="77">
        <v>0</v>
      </c>
      <c r="S3535" s="77">
        <v>4</v>
      </c>
      <c r="T3535" s="77">
        <v>0</v>
      </c>
      <c r="U3535" s="77">
        <v>0</v>
      </c>
      <c r="V3535" s="77">
        <v>1383</v>
      </c>
      <c r="W3535" s="82" t="s">
        <v>6732</v>
      </c>
      <c r="X3535" s="80" t="str">
        <f>HYPERLINK("https://www.moneytimes.com.br/vale-vale3-deixa-carteira-da-terra-para-semana-veja-as-indicacoes/?ttmt")</f>
        <v>https://www.moneytimes.com.br/vale-vale3-deixa-carteira-da-terra-para-semana-veja-as-indicacoes/?ttmt</v>
      </c>
      <c r="Y3535" s="77" t="s">
        <v>7053</v>
      </c>
      <c r="Z3535" s="77"/>
      <c r="AA3535" s="77"/>
      <c r="AB3535" s="77"/>
      <c r="AC3535" s="82" t="s">
        <v>8232</v>
      </c>
      <c r="AD3535" s="77" t="s">
        <v>8278</v>
      </c>
      <c r="AE3535" s="80" t="str">
        <f>HYPERLINK("https://twitter.com/leiamoneytimes/status/1703401052807090290")</f>
        <v>https://twitter.com/leiamoneytimes/status/1703401052807090290</v>
      </c>
      <c r="AF3535" s="79">
        <v>45186.562881944446</v>
      </c>
      <c r="AG3535" s="85">
        <v>45186</v>
      </c>
      <c r="AH3535" s="82" t="s">
        <v>11527</v>
      </c>
      <c r="AI3535" s="77" t="b">
        <v>0</v>
      </c>
      <c r="AJ3535" s="77"/>
      <c r="AK3535" s="77"/>
      <c r="AL3535" s="77"/>
      <c r="AM3535" s="77"/>
      <c r="AN3535" s="77"/>
      <c r="AO3535" s="77"/>
      <c r="AP3535" s="77"/>
      <c r="AQ3535" s="77"/>
      <c r="AR3535" s="77"/>
      <c r="AS3535" s="77"/>
      <c r="AT3535" s="77"/>
      <c r="AU3535" s="77"/>
      <c r="AV3535" s="80" t="str">
        <f>HYPERLINK("https://pbs.twimg.com/profile_images/1559883556846977024/bXHnQFY0_normal.jpg")</f>
        <v>https://pbs.twimg.com/profile_images/1559883556846977024/bXHnQFY0_normal.jpg</v>
      </c>
      <c r="AW3535" s="82" t="s">
        <v>16619</v>
      </c>
      <c r="AX3535" s="82" t="s">
        <v>16619</v>
      </c>
      <c r="AY3535" s="77"/>
      <c r="AZ3535" s="82" t="s">
        <v>17385</v>
      </c>
      <c r="BA3535" s="82" t="s">
        <v>17385</v>
      </c>
      <c r="BB3535" s="82" t="s">
        <v>17385</v>
      </c>
      <c r="BC3535" s="82" t="s">
        <v>16619</v>
      </c>
      <c r="BD3535" s="77">
        <v>51150679</v>
      </c>
      <c r="BE3535" s="77"/>
      <c r="BF3535" s="77"/>
      <c r="BG3535" s="77"/>
      <c r="BH3535" s="77"/>
      <c r="BI3535" s="77"/>
    </row>
    <row r="3536" spans="1:61" x14ac:dyDescent="0.25">
      <c r="A3536" s="62" t="s">
        <v>605</v>
      </c>
      <c r="B3536" s="62" t="s">
        <v>605</v>
      </c>
      <c r="C3536" s="63"/>
      <c r="D3536" s="64"/>
      <c r="E3536" s="65"/>
      <c r="F3536" s="66"/>
      <c r="G3536" s="63"/>
      <c r="H3536" s="67"/>
      <c r="I3536" s="68"/>
      <c r="J3536" s="68"/>
      <c r="K3536" s="32"/>
      <c r="L3536" s="75">
        <v>3536</v>
      </c>
      <c r="M3536" s="75"/>
      <c r="N3536" s="70"/>
      <c r="O3536" s="77" t="s">
        <v>179</v>
      </c>
      <c r="P3536" s="79">
        <v>45185.849398148152</v>
      </c>
      <c r="Q3536" s="77" t="s">
        <v>4310</v>
      </c>
      <c r="R3536" s="77">
        <v>0</v>
      </c>
      <c r="S3536" s="77">
        <v>5</v>
      </c>
      <c r="T3536" s="77">
        <v>1</v>
      </c>
      <c r="U3536" s="77">
        <v>0</v>
      </c>
      <c r="V3536" s="77">
        <v>1737</v>
      </c>
      <c r="W3536" s="82" t="s">
        <v>6733</v>
      </c>
      <c r="X3536" s="80" t="str">
        <f>HYPERLINK("https://www.moneytimes.com.br/o-banco-que-e-uma-opcao-acima-das-demais-atrativa-acao-ainda-pode-subir-30-diz-bbi/?ttmt")</f>
        <v>https://www.moneytimes.com.br/o-banco-que-e-uma-opcao-acima-das-demais-atrativa-acao-ainda-pode-subir-30-diz-bbi/?ttmt</v>
      </c>
      <c r="Y3536" s="77" t="s">
        <v>7053</v>
      </c>
      <c r="Z3536" s="77"/>
      <c r="AA3536" s="77"/>
      <c r="AB3536" s="77"/>
      <c r="AC3536" s="82" t="s">
        <v>8232</v>
      </c>
      <c r="AD3536" s="77" t="s">
        <v>8278</v>
      </c>
      <c r="AE3536" s="80" t="str">
        <f>HYPERLINK("https://twitter.com/leiamoneytimes/status/1703142494769144125")</f>
        <v>https://twitter.com/leiamoneytimes/status/1703142494769144125</v>
      </c>
      <c r="AF3536" s="79">
        <v>45185.849398148152</v>
      </c>
      <c r="AG3536" s="85">
        <v>45185</v>
      </c>
      <c r="AH3536" s="82" t="s">
        <v>11528</v>
      </c>
      <c r="AI3536" s="77" t="b">
        <v>0</v>
      </c>
      <c r="AJ3536" s="77"/>
      <c r="AK3536" s="77"/>
      <c r="AL3536" s="77"/>
      <c r="AM3536" s="77"/>
      <c r="AN3536" s="77"/>
      <c r="AO3536" s="77"/>
      <c r="AP3536" s="77"/>
      <c r="AQ3536" s="77"/>
      <c r="AR3536" s="77"/>
      <c r="AS3536" s="77"/>
      <c r="AT3536" s="77"/>
      <c r="AU3536" s="77"/>
      <c r="AV3536" s="80" t="str">
        <f>HYPERLINK("https://pbs.twimg.com/profile_images/1559883556846977024/bXHnQFY0_normal.jpg")</f>
        <v>https://pbs.twimg.com/profile_images/1559883556846977024/bXHnQFY0_normal.jpg</v>
      </c>
      <c r="AW3536" s="82" t="s">
        <v>16620</v>
      </c>
      <c r="AX3536" s="82" t="s">
        <v>16620</v>
      </c>
      <c r="AY3536" s="77"/>
      <c r="AZ3536" s="82" t="s">
        <v>17385</v>
      </c>
      <c r="BA3536" s="82" t="s">
        <v>17385</v>
      </c>
      <c r="BB3536" s="82" t="s">
        <v>17385</v>
      </c>
      <c r="BC3536" s="82" t="s">
        <v>16620</v>
      </c>
      <c r="BD3536" s="77">
        <v>51150679</v>
      </c>
      <c r="BE3536" s="77"/>
      <c r="BF3536" s="77"/>
      <c r="BG3536" s="77"/>
      <c r="BH3536" s="77"/>
      <c r="BI3536" s="77"/>
    </row>
    <row r="3537" spans="1:61" x14ac:dyDescent="0.25">
      <c r="A3537" s="62" t="s">
        <v>605</v>
      </c>
      <c r="B3537" s="62" t="s">
        <v>605</v>
      </c>
      <c r="C3537" s="63"/>
      <c r="D3537" s="64"/>
      <c r="E3537" s="65"/>
      <c r="F3537" s="66"/>
      <c r="G3537" s="63"/>
      <c r="H3537" s="67"/>
      <c r="I3537" s="68"/>
      <c r="J3537" s="68"/>
      <c r="K3537" s="32"/>
      <c r="L3537" s="75">
        <v>3537</v>
      </c>
      <c r="M3537" s="75"/>
      <c r="N3537" s="70"/>
      <c r="O3537" s="77" t="s">
        <v>179</v>
      </c>
      <c r="P3537" s="79">
        <v>45185.731053240743</v>
      </c>
      <c r="Q3537" s="77" t="s">
        <v>4311</v>
      </c>
      <c r="R3537" s="77">
        <v>0</v>
      </c>
      <c r="S3537" s="77">
        <v>5</v>
      </c>
      <c r="T3537" s="77">
        <v>1</v>
      </c>
      <c r="U3537" s="77">
        <v>0</v>
      </c>
      <c r="V3537" s="77">
        <v>1500</v>
      </c>
      <c r="W3537" s="82" t="s">
        <v>6734</v>
      </c>
      <c r="X3537" s="80" t="str">
        <f>HYPERLINK("https://www.moneytimes.com.br/casas-bahia-viia3-desaba-35-na-bolsa-em-semana-agitada-veja-resumo-e-recomendacao-para-acoes/?ttmt")</f>
        <v>https://www.moneytimes.com.br/casas-bahia-viia3-desaba-35-na-bolsa-em-semana-agitada-veja-resumo-e-recomendacao-para-acoes/?ttmt</v>
      </c>
      <c r="Y3537" s="77" t="s">
        <v>7053</v>
      </c>
      <c r="Z3537" s="77"/>
      <c r="AA3537" s="77"/>
      <c r="AB3537" s="77"/>
      <c r="AC3537" s="82" t="s">
        <v>8232</v>
      </c>
      <c r="AD3537" s="77" t="s">
        <v>8278</v>
      </c>
      <c r="AE3537" s="80" t="str">
        <f>HYPERLINK("https://twitter.com/leiamoneytimes/status/1703099609239724163")</f>
        <v>https://twitter.com/leiamoneytimes/status/1703099609239724163</v>
      </c>
      <c r="AF3537" s="79">
        <v>45185.731053240743</v>
      </c>
      <c r="AG3537" s="85">
        <v>45185</v>
      </c>
      <c r="AH3537" s="82" t="s">
        <v>11529</v>
      </c>
      <c r="AI3537" s="77" t="b">
        <v>0</v>
      </c>
      <c r="AJ3537" s="77"/>
      <c r="AK3537" s="77"/>
      <c r="AL3537" s="77"/>
      <c r="AM3537" s="77"/>
      <c r="AN3537" s="77"/>
      <c r="AO3537" s="77"/>
      <c r="AP3537" s="77"/>
      <c r="AQ3537" s="77"/>
      <c r="AR3537" s="77"/>
      <c r="AS3537" s="77"/>
      <c r="AT3537" s="77"/>
      <c r="AU3537" s="77"/>
      <c r="AV3537" s="80" t="str">
        <f>HYPERLINK("https://pbs.twimg.com/profile_images/1559883556846977024/bXHnQFY0_normal.jpg")</f>
        <v>https://pbs.twimg.com/profile_images/1559883556846977024/bXHnQFY0_normal.jpg</v>
      </c>
      <c r="AW3537" s="82" t="s">
        <v>16621</v>
      </c>
      <c r="AX3537" s="82" t="s">
        <v>16621</v>
      </c>
      <c r="AY3537" s="77"/>
      <c r="AZ3537" s="82" t="s">
        <v>17385</v>
      </c>
      <c r="BA3537" s="82" t="s">
        <v>17385</v>
      </c>
      <c r="BB3537" s="82" t="s">
        <v>17385</v>
      </c>
      <c r="BC3537" s="82" t="s">
        <v>16621</v>
      </c>
      <c r="BD3537" s="77">
        <v>51150679</v>
      </c>
      <c r="BE3537" s="77"/>
      <c r="BF3537" s="77"/>
      <c r="BG3537" s="77"/>
      <c r="BH3537" s="77"/>
      <c r="BI3537" s="77"/>
    </row>
    <row r="3538" spans="1:61" x14ac:dyDescent="0.25">
      <c r="A3538" s="62" t="s">
        <v>605</v>
      </c>
      <c r="B3538" s="62" t="s">
        <v>605</v>
      </c>
      <c r="C3538" s="63"/>
      <c r="D3538" s="64"/>
      <c r="E3538" s="65"/>
      <c r="F3538" s="66"/>
      <c r="G3538" s="63"/>
      <c r="H3538" s="67"/>
      <c r="I3538" s="68"/>
      <c r="J3538" s="68"/>
      <c r="K3538" s="32"/>
      <c r="L3538" s="75">
        <v>3538</v>
      </c>
      <c r="M3538" s="75"/>
      <c r="N3538" s="70"/>
      <c r="O3538" s="77" t="s">
        <v>179</v>
      </c>
      <c r="P3538" s="79">
        <v>45185.676157407404</v>
      </c>
      <c r="Q3538" s="77" t="s">
        <v>4312</v>
      </c>
      <c r="R3538" s="77">
        <v>1</v>
      </c>
      <c r="S3538" s="77">
        <v>4</v>
      </c>
      <c r="T3538" s="77">
        <v>1</v>
      </c>
      <c r="U3538" s="77">
        <v>0</v>
      </c>
      <c r="V3538" s="77">
        <v>1355</v>
      </c>
      <c r="W3538" s="82" t="s">
        <v>6735</v>
      </c>
      <c r="X3538" s="80" t="str">
        <f>HYPERLINK("https://www.moneytimes.com.br/dividendos-e-jcp-itau-itub4-vivo-vivt3-e-mais-2-tem-data-com-na-3a-semana-do-mes-veja/?ttmt")</f>
        <v>https://www.moneytimes.com.br/dividendos-e-jcp-itau-itub4-vivo-vivt3-e-mais-2-tem-data-com-na-3a-semana-do-mes-veja/?ttmt</v>
      </c>
      <c r="Y3538" s="77" t="s">
        <v>7053</v>
      </c>
      <c r="Z3538" s="77"/>
      <c r="AA3538" s="77"/>
      <c r="AB3538" s="77"/>
      <c r="AC3538" s="82" t="s">
        <v>8232</v>
      </c>
      <c r="AD3538" s="77" t="s">
        <v>8278</v>
      </c>
      <c r="AE3538" s="80" t="str">
        <f>HYPERLINK("https://twitter.com/leiamoneytimes/status/1703079717383881049")</f>
        <v>https://twitter.com/leiamoneytimes/status/1703079717383881049</v>
      </c>
      <c r="AF3538" s="79">
        <v>45185.676157407404</v>
      </c>
      <c r="AG3538" s="85">
        <v>45185</v>
      </c>
      <c r="AH3538" s="82" t="s">
        <v>11530</v>
      </c>
      <c r="AI3538" s="77" t="b">
        <v>0</v>
      </c>
      <c r="AJ3538" s="77"/>
      <c r="AK3538" s="77"/>
      <c r="AL3538" s="77"/>
      <c r="AM3538" s="77"/>
      <c r="AN3538" s="77"/>
      <c r="AO3538" s="77"/>
      <c r="AP3538" s="77"/>
      <c r="AQ3538" s="77"/>
      <c r="AR3538" s="77"/>
      <c r="AS3538" s="77"/>
      <c r="AT3538" s="77"/>
      <c r="AU3538" s="77"/>
      <c r="AV3538" s="80" t="str">
        <f>HYPERLINK("https://pbs.twimg.com/profile_images/1559883556846977024/bXHnQFY0_normal.jpg")</f>
        <v>https://pbs.twimg.com/profile_images/1559883556846977024/bXHnQFY0_normal.jpg</v>
      </c>
      <c r="AW3538" s="82" t="s">
        <v>16622</v>
      </c>
      <c r="AX3538" s="82" t="s">
        <v>16622</v>
      </c>
      <c r="AY3538" s="77"/>
      <c r="AZ3538" s="82" t="s">
        <v>17385</v>
      </c>
      <c r="BA3538" s="82" t="s">
        <v>17385</v>
      </c>
      <c r="BB3538" s="82" t="s">
        <v>17385</v>
      </c>
      <c r="BC3538" s="82" t="s">
        <v>16622</v>
      </c>
      <c r="BD3538" s="77">
        <v>51150679</v>
      </c>
      <c r="BE3538" s="77"/>
      <c r="BF3538" s="77"/>
      <c r="BG3538" s="77"/>
      <c r="BH3538" s="77"/>
      <c r="BI3538" s="77"/>
    </row>
    <row r="3539" spans="1:61" x14ac:dyDescent="0.25">
      <c r="A3539" s="62" t="s">
        <v>605</v>
      </c>
      <c r="B3539" s="62" t="s">
        <v>605</v>
      </c>
      <c r="C3539" s="63"/>
      <c r="D3539" s="64"/>
      <c r="E3539" s="65"/>
      <c r="F3539" s="66"/>
      <c r="G3539" s="63"/>
      <c r="H3539" s="67"/>
      <c r="I3539" s="68"/>
      <c r="J3539" s="68"/>
      <c r="K3539" s="32"/>
      <c r="L3539" s="75">
        <v>3539</v>
      </c>
      <c r="M3539" s="75"/>
      <c r="N3539" s="70"/>
      <c r="O3539" s="77" t="s">
        <v>179</v>
      </c>
      <c r="P3539" s="79">
        <v>45185.630173611113</v>
      </c>
      <c r="Q3539" s="77" t="s">
        <v>4313</v>
      </c>
      <c r="R3539" s="77">
        <v>0</v>
      </c>
      <c r="S3539" s="77">
        <v>6</v>
      </c>
      <c r="T3539" s="77">
        <v>0</v>
      </c>
      <c r="U3539" s="77">
        <v>0</v>
      </c>
      <c r="V3539" s="77">
        <v>1239</v>
      </c>
      <c r="W3539" s="82" t="s">
        <v>6736</v>
      </c>
      <c r="X3539" s="80" t="str">
        <f>HYPERLINK("https://www.moneytimes.com.br/carteira-semanal-nenhuma-acao-sobrevive-a-atualizacao-do-bb-veja-as-5-novas-recomendacoes/?ttmt")</f>
        <v>https://www.moneytimes.com.br/carteira-semanal-nenhuma-acao-sobrevive-a-atualizacao-do-bb-veja-as-5-novas-recomendacoes/?ttmt</v>
      </c>
      <c r="Y3539" s="77" t="s">
        <v>7053</v>
      </c>
      <c r="Z3539" s="77"/>
      <c r="AA3539" s="77"/>
      <c r="AB3539" s="77"/>
      <c r="AC3539" s="82" t="s">
        <v>8232</v>
      </c>
      <c r="AD3539" s="77" t="s">
        <v>8278</v>
      </c>
      <c r="AE3539" s="80" t="str">
        <f>HYPERLINK("https://twitter.com/leiamoneytimes/status/1703063053137289218")</f>
        <v>https://twitter.com/leiamoneytimes/status/1703063053137289218</v>
      </c>
      <c r="AF3539" s="79">
        <v>45185.630173611113</v>
      </c>
      <c r="AG3539" s="85">
        <v>45185</v>
      </c>
      <c r="AH3539" s="82" t="s">
        <v>11531</v>
      </c>
      <c r="AI3539" s="77" t="b">
        <v>0</v>
      </c>
      <c r="AJ3539" s="77"/>
      <c r="AK3539" s="77"/>
      <c r="AL3539" s="77"/>
      <c r="AM3539" s="77"/>
      <c r="AN3539" s="77"/>
      <c r="AO3539" s="77"/>
      <c r="AP3539" s="77"/>
      <c r="AQ3539" s="77"/>
      <c r="AR3539" s="77"/>
      <c r="AS3539" s="77"/>
      <c r="AT3539" s="77"/>
      <c r="AU3539" s="77"/>
      <c r="AV3539" s="80" t="str">
        <f>HYPERLINK("https://pbs.twimg.com/profile_images/1559883556846977024/bXHnQFY0_normal.jpg")</f>
        <v>https://pbs.twimg.com/profile_images/1559883556846977024/bXHnQFY0_normal.jpg</v>
      </c>
      <c r="AW3539" s="82" t="s">
        <v>16623</v>
      </c>
      <c r="AX3539" s="82" t="s">
        <v>16623</v>
      </c>
      <c r="AY3539" s="77"/>
      <c r="AZ3539" s="82" t="s">
        <v>17385</v>
      </c>
      <c r="BA3539" s="82" t="s">
        <v>17385</v>
      </c>
      <c r="BB3539" s="82" t="s">
        <v>17385</v>
      </c>
      <c r="BC3539" s="82" t="s">
        <v>16623</v>
      </c>
      <c r="BD3539" s="77">
        <v>51150679</v>
      </c>
      <c r="BE3539" s="77"/>
      <c r="BF3539" s="77"/>
      <c r="BG3539" s="77"/>
      <c r="BH3539" s="77"/>
      <c r="BI3539" s="77"/>
    </row>
    <row r="3540" spans="1:61" x14ac:dyDescent="0.25">
      <c r="A3540" s="62" t="s">
        <v>605</v>
      </c>
      <c r="B3540" s="62" t="s">
        <v>605</v>
      </c>
      <c r="C3540" s="63"/>
      <c r="D3540" s="64"/>
      <c r="E3540" s="65"/>
      <c r="F3540" s="66"/>
      <c r="G3540" s="63"/>
      <c r="H3540" s="67"/>
      <c r="I3540" s="68"/>
      <c r="J3540" s="68"/>
      <c r="K3540" s="32"/>
      <c r="L3540" s="75">
        <v>3540</v>
      </c>
      <c r="M3540" s="75"/>
      <c r="N3540" s="70"/>
      <c r="O3540" s="77" t="s">
        <v>179</v>
      </c>
      <c r="P3540" s="79">
        <v>45185.596666666665</v>
      </c>
      <c r="Q3540" s="77" t="s">
        <v>4314</v>
      </c>
      <c r="R3540" s="77">
        <v>0</v>
      </c>
      <c r="S3540" s="77">
        <v>3</v>
      </c>
      <c r="T3540" s="77">
        <v>1</v>
      </c>
      <c r="U3540" s="77">
        <v>0</v>
      </c>
      <c r="V3540" s="77">
        <v>1300</v>
      </c>
      <c r="W3540" s="82" t="s">
        <v>6737</v>
      </c>
      <c r="X3540" s="80" t="str">
        <f>HYPERLINK("https://www.moneytimes.com.br/nova-pagadora-de-dividendos-na-area-veja-os-destaques-em-comprar-ou-vender/?ttmt")</f>
        <v>https://www.moneytimes.com.br/nova-pagadora-de-dividendos-na-area-veja-os-destaques-em-comprar-ou-vender/?ttmt</v>
      </c>
      <c r="Y3540" s="77" t="s">
        <v>7053</v>
      </c>
      <c r="Z3540" s="77"/>
      <c r="AA3540" s="77"/>
      <c r="AB3540" s="77"/>
      <c r="AC3540" s="82" t="s">
        <v>8232</v>
      </c>
      <c r="AD3540" s="77" t="s">
        <v>8278</v>
      </c>
      <c r="AE3540" s="80" t="str">
        <f>HYPERLINK("https://twitter.com/leiamoneytimes/status/1703050908383281296")</f>
        <v>https://twitter.com/leiamoneytimes/status/1703050908383281296</v>
      </c>
      <c r="AF3540" s="79">
        <v>45185.596666666665</v>
      </c>
      <c r="AG3540" s="85">
        <v>45185</v>
      </c>
      <c r="AH3540" s="82" t="s">
        <v>11532</v>
      </c>
      <c r="AI3540" s="77" t="b">
        <v>0</v>
      </c>
      <c r="AJ3540" s="77"/>
      <c r="AK3540" s="77"/>
      <c r="AL3540" s="77"/>
      <c r="AM3540" s="77"/>
      <c r="AN3540" s="77"/>
      <c r="AO3540" s="77"/>
      <c r="AP3540" s="77"/>
      <c r="AQ3540" s="77"/>
      <c r="AR3540" s="77"/>
      <c r="AS3540" s="77"/>
      <c r="AT3540" s="77"/>
      <c r="AU3540" s="77"/>
      <c r="AV3540" s="80" t="str">
        <f>HYPERLINK("https://pbs.twimg.com/profile_images/1559883556846977024/bXHnQFY0_normal.jpg")</f>
        <v>https://pbs.twimg.com/profile_images/1559883556846977024/bXHnQFY0_normal.jpg</v>
      </c>
      <c r="AW3540" s="82" t="s">
        <v>16624</v>
      </c>
      <c r="AX3540" s="82" t="s">
        <v>16624</v>
      </c>
      <c r="AY3540" s="77"/>
      <c r="AZ3540" s="82" t="s">
        <v>17385</v>
      </c>
      <c r="BA3540" s="82" t="s">
        <v>17385</v>
      </c>
      <c r="BB3540" s="82" t="s">
        <v>17385</v>
      </c>
      <c r="BC3540" s="82" t="s">
        <v>16624</v>
      </c>
      <c r="BD3540" s="77">
        <v>51150679</v>
      </c>
      <c r="BE3540" s="77"/>
      <c r="BF3540" s="77"/>
      <c r="BG3540" s="77"/>
      <c r="BH3540" s="77"/>
      <c r="BI3540" s="77"/>
    </row>
    <row r="3541" spans="1:61" x14ac:dyDescent="0.25">
      <c r="A3541" s="62" t="s">
        <v>605</v>
      </c>
      <c r="B3541" s="62" t="s">
        <v>605</v>
      </c>
      <c r="C3541" s="63"/>
      <c r="D3541" s="64"/>
      <c r="E3541" s="65"/>
      <c r="F3541" s="66"/>
      <c r="G3541" s="63"/>
      <c r="H3541" s="67"/>
      <c r="I3541" s="68"/>
      <c r="J3541" s="68"/>
      <c r="K3541" s="32"/>
      <c r="L3541" s="75">
        <v>3541</v>
      </c>
      <c r="M3541" s="75"/>
      <c r="N3541" s="70"/>
      <c r="O3541" s="77" t="s">
        <v>179</v>
      </c>
      <c r="P3541" s="79">
        <v>45170.594537037039</v>
      </c>
      <c r="Q3541" s="77" t="s">
        <v>4315</v>
      </c>
      <c r="R3541" s="77">
        <v>1</v>
      </c>
      <c r="S3541" s="77">
        <v>0</v>
      </c>
      <c r="T3541" s="77">
        <v>1</v>
      </c>
      <c r="U3541" s="77">
        <v>0</v>
      </c>
      <c r="V3541" s="77">
        <v>1061</v>
      </c>
      <c r="W3541" s="82" t="s">
        <v>6738</v>
      </c>
      <c r="X3541" s="80" t="str">
        <f>HYPERLINK("https://www.moneytimes.com.br/eletrobras-elet3-weg-wege3-e-outras-acoes-para-investir-em-setembro-segundo-mycap/")</f>
        <v>https://www.moneytimes.com.br/eletrobras-elet3-weg-wege3-e-outras-acoes-para-investir-em-setembro-segundo-mycap/</v>
      </c>
      <c r="Y3541" s="77" t="s">
        <v>7053</v>
      </c>
      <c r="Z3541" s="77"/>
      <c r="AA3541" s="77"/>
      <c r="AB3541" s="77"/>
      <c r="AC3541" s="82" t="s">
        <v>8255</v>
      </c>
      <c r="AD3541" s="77" t="s">
        <v>8278</v>
      </c>
      <c r="AE3541" s="80" t="str">
        <f>HYPERLINK("https://twitter.com/leiamoneytimes/status/1697614320492744968")</f>
        <v>https://twitter.com/leiamoneytimes/status/1697614320492744968</v>
      </c>
      <c r="AF3541" s="79">
        <v>45170.594537037039</v>
      </c>
      <c r="AG3541" s="85">
        <v>45170</v>
      </c>
      <c r="AH3541" s="82" t="s">
        <v>11533</v>
      </c>
      <c r="AI3541" s="77" t="b">
        <v>0</v>
      </c>
      <c r="AJ3541" s="77"/>
      <c r="AK3541" s="77"/>
      <c r="AL3541" s="77"/>
      <c r="AM3541" s="77"/>
      <c r="AN3541" s="77"/>
      <c r="AO3541" s="77"/>
      <c r="AP3541" s="77"/>
      <c r="AQ3541" s="77"/>
      <c r="AR3541" s="77"/>
      <c r="AS3541" s="77"/>
      <c r="AT3541" s="77"/>
      <c r="AU3541" s="77"/>
      <c r="AV3541" s="80" t="str">
        <f>HYPERLINK("https://pbs.twimg.com/profile_images/1559883556846977024/bXHnQFY0_normal.jpg")</f>
        <v>https://pbs.twimg.com/profile_images/1559883556846977024/bXHnQFY0_normal.jpg</v>
      </c>
      <c r="AW3541" s="82" t="s">
        <v>16625</v>
      </c>
      <c r="AX3541" s="82" t="s">
        <v>16625</v>
      </c>
      <c r="AY3541" s="77"/>
      <c r="AZ3541" s="82" t="s">
        <v>17385</v>
      </c>
      <c r="BA3541" s="82" t="s">
        <v>17385</v>
      </c>
      <c r="BB3541" s="82" t="s">
        <v>17385</v>
      </c>
      <c r="BC3541" s="82" t="s">
        <v>16625</v>
      </c>
      <c r="BD3541" s="77">
        <v>51150679</v>
      </c>
      <c r="BE3541" s="77"/>
      <c r="BF3541" s="77"/>
      <c r="BG3541" s="77"/>
      <c r="BH3541" s="77"/>
      <c r="BI3541" s="77"/>
    </row>
    <row r="3542" spans="1:61" x14ac:dyDescent="0.25">
      <c r="A3542" s="62" t="s">
        <v>605</v>
      </c>
      <c r="B3542" s="62" t="s">
        <v>605</v>
      </c>
      <c r="C3542" s="63"/>
      <c r="D3542" s="64"/>
      <c r="E3542" s="65"/>
      <c r="F3542" s="66"/>
      <c r="G3542" s="63"/>
      <c r="H3542" s="67"/>
      <c r="I3542" s="68"/>
      <c r="J3542" s="68"/>
      <c r="K3542" s="32"/>
      <c r="L3542" s="75">
        <v>3542</v>
      </c>
      <c r="M3542" s="75"/>
      <c r="N3542" s="70"/>
      <c r="O3542" s="77" t="s">
        <v>179</v>
      </c>
      <c r="P3542" s="79">
        <v>45170.570300925923</v>
      </c>
      <c r="Q3542" s="77" t="s">
        <v>4316</v>
      </c>
      <c r="R3542" s="77">
        <v>0</v>
      </c>
      <c r="S3542" s="77">
        <v>0</v>
      </c>
      <c r="T3542" s="77">
        <v>1</v>
      </c>
      <c r="U3542" s="77">
        <v>0</v>
      </c>
      <c r="V3542" s="77">
        <v>1173</v>
      </c>
      <c r="W3542" s="82" t="s">
        <v>6739</v>
      </c>
      <c r="X3542" s="80" t="str">
        <f>HYPERLINK("https://www.moneytimes.com.br/guide-retira-totvs-tots3-e-vamos-vamo3-da-carteira-mensal-veja-10-indicacoes/")</f>
        <v>https://www.moneytimes.com.br/guide-retira-totvs-tots3-e-vamos-vamo3-da-carteira-mensal-veja-10-indicacoes/</v>
      </c>
      <c r="Y3542" s="77" t="s">
        <v>7053</v>
      </c>
      <c r="Z3542" s="77"/>
      <c r="AA3542" s="77"/>
      <c r="AB3542" s="77"/>
      <c r="AC3542" s="82" t="s">
        <v>8255</v>
      </c>
      <c r="AD3542" s="77" t="s">
        <v>8278</v>
      </c>
      <c r="AE3542" s="80" t="str">
        <f>HYPERLINK("https://twitter.com/leiamoneytimes/status/1697605536324133178")</f>
        <v>https://twitter.com/leiamoneytimes/status/1697605536324133178</v>
      </c>
      <c r="AF3542" s="79">
        <v>45170.570300925923</v>
      </c>
      <c r="AG3542" s="85">
        <v>45170</v>
      </c>
      <c r="AH3542" s="82" t="s">
        <v>11534</v>
      </c>
      <c r="AI3542" s="77" t="b">
        <v>0</v>
      </c>
      <c r="AJ3542" s="77"/>
      <c r="AK3542" s="77"/>
      <c r="AL3542" s="77"/>
      <c r="AM3542" s="77"/>
      <c r="AN3542" s="77"/>
      <c r="AO3542" s="77"/>
      <c r="AP3542" s="77"/>
      <c r="AQ3542" s="77"/>
      <c r="AR3542" s="77"/>
      <c r="AS3542" s="77"/>
      <c r="AT3542" s="77"/>
      <c r="AU3542" s="77"/>
      <c r="AV3542" s="80" t="str">
        <f>HYPERLINK("https://pbs.twimg.com/profile_images/1559883556846977024/bXHnQFY0_normal.jpg")</f>
        <v>https://pbs.twimg.com/profile_images/1559883556846977024/bXHnQFY0_normal.jpg</v>
      </c>
      <c r="AW3542" s="82" t="s">
        <v>16626</v>
      </c>
      <c r="AX3542" s="82" t="s">
        <v>16626</v>
      </c>
      <c r="AY3542" s="77"/>
      <c r="AZ3542" s="82" t="s">
        <v>17385</v>
      </c>
      <c r="BA3542" s="82" t="s">
        <v>17385</v>
      </c>
      <c r="BB3542" s="82" t="s">
        <v>17385</v>
      </c>
      <c r="BC3542" s="82" t="s">
        <v>16626</v>
      </c>
      <c r="BD3542" s="77">
        <v>51150679</v>
      </c>
      <c r="BE3542" s="77"/>
      <c r="BF3542" s="77"/>
      <c r="BG3542" s="77"/>
      <c r="BH3542" s="77"/>
      <c r="BI3542" s="77"/>
    </row>
    <row r="3543" spans="1:61" x14ac:dyDescent="0.25">
      <c r="A3543" s="62" t="s">
        <v>605</v>
      </c>
      <c r="B3543" s="62" t="s">
        <v>605</v>
      </c>
      <c r="C3543" s="63"/>
      <c r="D3543" s="64"/>
      <c r="E3543" s="65"/>
      <c r="F3543" s="66"/>
      <c r="G3543" s="63"/>
      <c r="H3543" s="67"/>
      <c r="I3543" s="68"/>
      <c r="J3543" s="68"/>
      <c r="K3543" s="32"/>
      <c r="L3543" s="75">
        <v>3543</v>
      </c>
      <c r="M3543" s="75"/>
      <c r="N3543" s="70"/>
      <c r="O3543" s="77" t="s">
        <v>179</v>
      </c>
      <c r="P3543" s="79">
        <v>45162.847361111111</v>
      </c>
      <c r="Q3543" s="77" t="s">
        <v>4317</v>
      </c>
      <c r="R3543" s="77">
        <v>0</v>
      </c>
      <c r="S3543" s="77">
        <v>0</v>
      </c>
      <c r="T3543" s="77">
        <v>1</v>
      </c>
      <c r="U3543" s="77">
        <v>0</v>
      </c>
      <c r="V3543" s="77">
        <v>1000</v>
      </c>
      <c r="W3543" s="82" t="s">
        <v>6551</v>
      </c>
      <c r="X3543" s="80" t="str">
        <f>HYPERLINK("https://www.moneytimes.com.br/ibovespa-hoje-fecha-queda-wall-street-vale-vale3-24-08-2023/")</f>
        <v>https://www.moneytimes.com.br/ibovespa-hoje-fecha-queda-wall-street-vale-vale3-24-08-2023/</v>
      </c>
      <c r="Y3543" s="77" t="s">
        <v>7053</v>
      </c>
      <c r="Z3543" s="77"/>
      <c r="AA3543" s="77"/>
      <c r="AB3543" s="77"/>
      <c r="AC3543" s="82" t="s">
        <v>8255</v>
      </c>
      <c r="AD3543" s="77" t="s">
        <v>8278</v>
      </c>
      <c r="AE3543" s="80" t="str">
        <f>HYPERLINK("https://twitter.com/leiamoneytimes/status/1694806837986570376")</f>
        <v>https://twitter.com/leiamoneytimes/status/1694806837986570376</v>
      </c>
      <c r="AF3543" s="79">
        <v>45162.847361111111</v>
      </c>
      <c r="AG3543" s="85">
        <v>45162</v>
      </c>
      <c r="AH3543" s="82" t="s">
        <v>11351</v>
      </c>
      <c r="AI3543" s="77" t="b">
        <v>0</v>
      </c>
      <c r="AJ3543" s="77"/>
      <c r="AK3543" s="77"/>
      <c r="AL3543" s="77"/>
      <c r="AM3543" s="77"/>
      <c r="AN3543" s="77"/>
      <c r="AO3543" s="77"/>
      <c r="AP3543" s="77"/>
      <c r="AQ3543" s="77"/>
      <c r="AR3543" s="77"/>
      <c r="AS3543" s="77"/>
      <c r="AT3543" s="77"/>
      <c r="AU3543" s="77"/>
      <c r="AV3543" s="80" t="str">
        <f>HYPERLINK("https://pbs.twimg.com/profile_images/1559883556846977024/bXHnQFY0_normal.jpg")</f>
        <v>https://pbs.twimg.com/profile_images/1559883556846977024/bXHnQFY0_normal.jpg</v>
      </c>
      <c r="AW3543" s="82" t="s">
        <v>16627</v>
      </c>
      <c r="AX3543" s="82" t="s">
        <v>16627</v>
      </c>
      <c r="AY3543" s="77"/>
      <c r="AZ3543" s="82" t="s">
        <v>17385</v>
      </c>
      <c r="BA3543" s="82" t="s">
        <v>17385</v>
      </c>
      <c r="BB3543" s="82" t="s">
        <v>17385</v>
      </c>
      <c r="BC3543" s="82" t="s">
        <v>16627</v>
      </c>
      <c r="BD3543" s="77">
        <v>51150679</v>
      </c>
      <c r="BE3543" s="77"/>
      <c r="BF3543" s="77"/>
      <c r="BG3543" s="77"/>
      <c r="BH3543" s="77"/>
      <c r="BI3543" s="77"/>
    </row>
    <row r="3544" spans="1:61" x14ac:dyDescent="0.25">
      <c r="A3544" s="62" t="s">
        <v>605</v>
      </c>
      <c r="B3544" s="62" t="s">
        <v>605</v>
      </c>
      <c r="C3544" s="63"/>
      <c r="D3544" s="64"/>
      <c r="E3544" s="65"/>
      <c r="F3544" s="66"/>
      <c r="G3544" s="63"/>
      <c r="H3544" s="67"/>
      <c r="I3544" s="68"/>
      <c r="J3544" s="68"/>
      <c r="K3544" s="32"/>
      <c r="L3544" s="75">
        <v>3544</v>
      </c>
      <c r="M3544" s="75"/>
      <c r="N3544" s="70"/>
      <c r="O3544" s="77" t="s">
        <v>179</v>
      </c>
      <c r="P3544" s="79">
        <v>45162.661539351851</v>
      </c>
      <c r="Q3544" s="77" t="s">
        <v>4318</v>
      </c>
      <c r="R3544" s="77">
        <v>0</v>
      </c>
      <c r="S3544" s="77">
        <v>9</v>
      </c>
      <c r="T3544" s="77">
        <v>1</v>
      </c>
      <c r="U3544" s="77">
        <v>0</v>
      </c>
      <c r="V3544" s="77">
        <v>1527</v>
      </c>
      <c r="W3544" s="82" t="s">
        <v>6740</v>
      </c>
      <c r="X3544" s="80" t="str">
        <f>HYPERLINK("https://www.moneytimes.com.br/ibovespa-hoje-agora-azul-azul4-e-gol-goll4-lideram-as-baixas-alpargatas-alpa4-e-o-destaque-positivo-24-08-2023/")</f>
        <v>https://www.moneytimes.com.br/ibovespa-hoje-agora-azul-azul4-e-gol-goll4-lideram-as-baixas-alpargatas-alpa4-e-o-destaque-positivo-24-08-2023/</v>
      </c>
      <c r="Y3544" s="77" t="s">
        <v>7053</v>
      </c>
      <c r="Z3544" s="77"/>
      <c r="AA3544" s="77"/>
      <c r="AB3544" s="77"/>
      <c r="AC3544" s="82" t="s">
        <v>8255</v>
      </c>
      <c r="AD3544" s="77" t="s">
        <v>8278</v>
      </c>
      <c r="AE3544" s="80" t="str">
        <f>HYPERLINK("https://twitter.com/leiamoneytimes/status/1694739496418344981")</f>
        <v>https://twitter.com/leiamoneytimes/status/1694739496418344981</v>
      </c>
      <c r="AF3544" s="79">
        <v>45162.661539351851</v>
      </c>
      <c r="AG3544" s="85">
        <v>45162</v>
      </c>
      <c r="AH3544" s="82" t="s">
        <v>11535</v>
      </c>
      <c r="AI3544" s="77" t="b">
        <v>0</v>
      </c>
      <c r="AJ3544" s="77"/>
      <c r="AK3544" s="77"/>
      <c r="AL3544" s="77"/>
      <c r="AM3544" s="77"/>
      <c r="AN3544" s="77"/>
      <c r="AO3544" s="77"/>
      <c r="AP3544" s="77"/>
      <c r="AQ3544" s="77"/>
      <c r="AR3544" s="77"/>
      <c r="AS3544" s="77"/>
      <c r="AT3544" s="77"/>
      <c r="AU3544" s="77"/>
      <c r="AV3544" s="80" t="str">
        <f>HYPERLINK("https://pbs.twimg.com/profile_images/1559883556846977024/bXHnQFY0_normal.jpg")</f>
        <v>https://pbs.twimg.com/profile_images/1559883556846977024/bXHnQFY0_normal.jpg</v>
      </c>
      <c r="AW3544" s="82" t="s">
        <v>16628</v>
      </c>
      <c r="AX3544" s="82" t="s">
        <v>16628</v>
      </c>
      <c r="AY3544" s="77"/>
      <c r="AZ3544" s="82" t="s">
        <v>17385</v>
      </c>
      <c r="BA3544" s="82" t="s">
        <v>17385</v>
      </c>
      <c r="BB3544" s="82" t="s">
        <v>17385</v>
      </c>
      <c r="BC3544" s="82" t="s">
        <v>16628</v>
      </c>
      <c r="BD3544" s="77">
        <v>51150679</v>
      </c>
      <c r="BE3544" s="77"/>
      <c r="BF3544" s="77"/>
      <c r="BG3544" s="77"/>
      <c r="BH3544" s="77"/>
      <c r="BI3544" s="77"/>
    </row>
    <row r="3545" spans="1:61" x14ac:dyDescent="0.25">
      <c r="A3545" s="62" t="s">
        <v>605</v>
      </c>
      <c r="B3545" s="62" t="s">
        <v>605</v>
      </c>
      <c r="C3545" s="63"/>
      <c r="D3545" s="64"/>
      <c r="E3545" s="65"/>
      <c r="F3545" s="66"/>
      <c r="G3545" s="63"/>
      <c r="H3545" s="67"/>
      <c r="I3545" s="68"/>
      <c r="J3545" s="68"/>
      <c r="K3545" s="32"/>
      <c r="L3545" s="75">
        <v>3545</v>
      </c>
      <c r="M3545" s="75"/>
      <c r="N3545" s="70"/>
      <c r="O3545" s="77" t="s">
        <v>179</v>
      </c>
      <c r="P3545" s="79">
        <v>45162.659548611111</v>
      </c>
      <c r="Q3545" s="77" t="s">
        <v>4319</v>
      </c>
      <c r="R3545" s="77">
        <v>0</v>
      </c>
      <c r="S3545" s="77">
        <v>6</v>
      </c>
      <c r="T3545" s="77">
        <v>1</v>
      </c>
      <c r="U3545" s="77">
        <v>0</v>
      </c>
      <c r="V3545" s="77">
        <v>1073</v>
      </c>
      <c r="W3545" s="82" t="s">
        <v>6741</v>
      </c>
      <c r="X3545" s="80" t="str">
        <f>HYPERLINK("https://www.moneytimes.com.br/jbs-jbss3-responde-por-21-do-pib-e-273-dos-empregos-criados-no-brasil-diz-estudo/")</f>
        <v>https://www.moneytimes.com.br/jbs-jbss3-responde-por-21-do-pib-e-273-dos-empregos-criados-no-brasil-diz-estudo/</v>
      </c>
      <c r="Y3545" s="77" t="s">
        <v>7053</v>
      </c>
      <c r="Z3545" s="77"/>
      <c r="AA3545" s="77"/>
      <c r="AB3545" s="77"/>
      <c r="AC3545" s="82" t="s">
        <v>8255</v>
      </c>
      <c r="AD3545" s="77" t="s">
        <v>8278</v>
      </c>
      <c r="AE3545" s="80" t="str">
        <f>HYPERLINK("https://twitter.com/leiamoneytimes/status/1694738775417442702")</f>
        <v>https://twitter.com/leiamoneytimes/status/1694738775417442702</v>
      </c>
      <c r="AF3545" s="79">
        <v>45162.659548611111</v>
      </c>
      <c r="AG3545" s="85">
        <v>45162</v>
      </c>
      <c r="AH3545" s="82" t="s">
        <v>11536</v>
      </c>
      <c r="AI3545" s="77" t="b">
        <v>0</v>
      </c>
      <c r="AJ3545" s="77"/>
      <c r="AK3545" s="77"/>
      <c r="AL3545" s="77"/>
      <c r="AM3545" s="77"/>
      <c r="AN3545" s="77"/>
      <c r="AO3545" s="77"/>
      <c r="AP3545" s="77"/>
      <c r="AQ3545" s="77"/>
      <c r="AR3545" s="77"/>
      <c r="AS3545" s="77"/>
      <c r="AT3545" s="77"/>
      <c r="AU3545" s="77"/>
      <c r="AV3545" s="80" t="str">
        <f>HYPERLINK("https://pbs.twimg.com/profile_images/1559883556846977024/bXHnQFY0_normal.jpg")</f>
        <v>https://pbs.twimg.com/profile_images/1559883556846977024/bXHnQFY0_normal.jpg</v>
      </c>
      <c r="AW3545" s="82" t="s">
        <v>16629</v>
      </c>
      <c r="AX3545" s="82" t="s">
        <v>16629</v>
      </c>
      <c r="AY3545" s="77"/>
      <c r="AZ3545" s="82" t="s">
        <v>17385</v>
      </c>
      <c r="BA3545" s="82" t="s">
        <v>17385</v>
      </c>
      <c r="BB3545" s="82" t="s">
        <v>17385</v>
      </c>
      <c r="BC3545" s="82" t="s">
        <v>16629</v>
      </c>
      <c r="BD3545" s="77">
        <v>51150679</v>
      </c>
      <c r="BE3545" s="77"/>
      <c r="BF3545" s="77"/>
      <c r="BG3545" s="77"/>
      <c r="BH3545" s="77"/>
      <c r="BI3545" s="77"/>
    </row>
    <row r="3546" spans="1:61" x14ac:dyDescent="0.25">
      <c r="A3546" s="62" t="s">
        <v>605</v>
      </c>
      <c r="B3546" s="62" t="s">
        <v>605</v>
      </c>
      <c r="C3546" s="63"/>
      <c r="D3546" s="64"/>
      <c r="E3546" s="65"/>
      <c r="F3546" s="66"/>
      <c r="G3546" s="63"/>
      <c r="H3546" s="67"/>
      <c r="I3546" s="68"/>
      <c r="J3546" s="68"/>
      <c r="K3546" s="32"/>
      <c r="L3546" s="75">
        <v>3546</v>
      </c>
      <c r="M3546" s="75"/>
      <c r="N3546" s="70"/>
      <c r="O3546" s="77" t="s">
        <v>179</v>
      </c>
      <c r="P3546" s="79">
        <v>45155.509548611109</v>
      </c>
      <c r="Q3546" s="77" t="s">
        <v>4320</v>
      </c>
      <c r="R3546" s="77">
        <v>0</v>
      </c>
      <c r="S3546" s="77">
        <v>2</v>
      </c>
      <c r="T3546" s="77">
        <v>0</v>
      </c>
      <c r="U3546" s="77">
        <v>0</v>
      </c>
      <c r="V3546" s="77">
        <v>956</v>
      </c>
      <c r="W3546" s="82" t="s">
        <v>6629</v>
      </c>
      <c r="X3546" s="80" t="str">
        <f>HYPERLINK("https://www.moneytimes.com.br/blackrock-maior-gestora-do-mundo-despeja-milhoes-acoes-cogna-cogn3-mercado/")</f>
        <v>https://www.moneytimes.com.br/blackrock-maior-gestora-do-mundo-despeja-milhoes-acoes-cogna-cogn3-mercado/</v>
      </c>
      <c r="Y3546" s="77" t="s">
        <v>7053</v>
      </c>
      <c r="Z3546" s="77"/>
      <c r="AA3546" s="77"/>
      <c r="AB3546" s="77"/>
      <c r="AC3546" s="82" t="s">
        <v>8255</v>
      </c>
      <c r="AD3546" s="77" t="s">
        <v>8278</v>
      </c>
      <c r="AE3546" s="80" t="str">
        <f>HYPERLINK("https://twitter.com/leiamoneytimes/status/1692147702765683081")</f>
        <v>https://twitter.com/leiamoneytimes/status/1692147702765683081</v>
      </c>
      <c r="AF3546" s="79">
        <v>45155.509548611109</v>
      </c>
      <c r="AG3546" s="85">
        <v>45155</v>
      </c>
      <c r="AH3546" s="82" t="s">
        <v>10887</v>
      </c>
      <c r="AI3546" s="77" t="b">
        <v>0</v>
      </c>
      <c r="AJ3546" s="77"/>
      <c r="AK3546" s="77"/>
      <c r="AL3546" s="77"/>
      <c r="AM3546" s="77"/>
      <c r="AN3546" s="77"/>
      <c r="AO3546" s="77"/>
      <c r="AP3546" s="77"/>
      <c r="AQ3546" s="77"/>
      <c r="AR3546" s="77"/>
      <c r="AS3546" s="77"/>
      <c r="AT3546" s="77"/>
      <c r="AU3546" s="77"/>
      <c r="AV3546" s="80" t="str">
        <f>HYPERLINK("https://pbs.twimg.com/profile_images/1559883556846977024/bXHnQFY0_normal.jpg")</f>
        <v>https://pbs.twimg.com/profile_images/1559883556846977024/bXHnQFY0_normal.jpg</v>
      </c>
      <c r="AW3546" s="82" t="s">
        <v>16630</v>
      </c>
      <c r="AX3546" s="82" t="s">
        <v>16630</v>
      </c>
      <c r="AY3546" s="77"/>
      <c r="AZ3546" s="82" t="s">
        <v>17385</v>
      </c>
      <c r="BA3546" s="82" t="s">
        <v>17385</v>
      </c>
      <c r="BB3546" s="82" t="s">
        <v>17385</v>
      </c>
      <c r="BC3546" s="82" t="s">
        <v>16630</v>
      </c>
      <c r="BD3546" s="77">
        <v>51150679</v>
      </c>
      <c r="BE3546" s="77"/>
      <c r="BF3546" s="77"/>
      <c r="BG3546" s="77"/>
      <c r="BH3546" s="77"/>
      <c r="BI3546" s="77"/>
    </row>
    <row r="3547" spans="1:61" x14ac:dyDescent="0.25">
      <c r="A3547" s="62" t="s">
        <v>605</v>
      </c>
      <c r="B3547" s="62" t="s">
        <v>605</v>
      </c>
      <c r="C3547" s="63"/>
      <c r="D3547" s="64"/>
      <c r="E3547" s="65"/>
      <c r="F3547" s="66"/>
      <c r="G3547" s="63"/>
      <c r="H3547" s="67"/>
      <c r="I3547" s="68"/>
      <c r="J3547" s="68"/>
      <c r="K3547" s="32"/>
      <c r="L3547" s="75">
        <v>3547</v>
      </c>
      <c r="M3547" s="75"/>
      <c r="N3547" s="70"/>
      <c r="O3547" s="77" t="s">
        <v>179</v>
      </c>
      <c r="P3547" s="79">
        <v>45154.919976851852</v>
      </c>
      <c r="Q3547" s="77" t="s">
        <v>4321</v>
      </c>
      <c r="R3547" s="77">
        <v>0</v>
      </c>
      <c r="S3547" s="77">
        <v>12</v>
      </c>
      <c r="T3547" s="77">
        <v>1</v>
      </c>
      <c r="U3547" s="77">
        <v>0</v>
      </c>
      <c r="V3547" s="77">
        <v>1744</v>
      </c>
      <c r="W3547" s="82" t="s">
        <v>6707</v>
      </c>
      <c r="X3547" s="80" t="str">
        <f>HYPERLINK("https://www.moneytimes.com.br/pgr-da-parecer-a-favor-de-governo-ter-voto-proporcional-a-participacao-na-eletrobras-elet3/")</f>
        <v>https://www.moneytimes.com.br/pgr-da-parecer-a-favor-de-governo-ter-voto-proporcional-a-participacao-na-eletrobras-elet3/</v>
      </c>
      <c r="Y3547" s="77" t="s">
        <v>7053</v>
      </c>
      <c r="Z3547" s="77"/>
      <c r="AA3547" s="77"/>
      <c r="AB3547" s="77"/>
      <c r="AC3547" s="82" t="s">
        <v>8255</v>
      </c>
      <c r="AD3547" s="77" t="s">
        <v>8278</v>
      </c>
      <c r="AE3547" s="80" t="str">
        <f>HYPERLINK("https://twitter.com/leiamoneytimes/status/1691934048392761406")</f>
        <v>https://twitter.com/leiamoneytimes/status/1691934048392761406</v>
      </c>
      <c r="AF3547" s="79">
        <v>45154.919976851852</v>
      </c>
      <c r="AG3547" s="85">
        <v>45154</v>
      </c>
      <c r="AH3547" s="82" t="s">
        <v>11537</v>
      </c>
      <c r="AI3547" s="77" t="b">
        <v>0</v>
      </c>
      <c r="AJ3547" s="77"/>
      <c r="AK3547" s="77"/>
      <c r="AL3547" s="77"/>
      <c r="AM3547" s="77"/>
      <c r="AN3547" s="77"/>
      <c r="AO3547" s="77"/>
      <c r="AP3547" s="77"/>
      <c r="AQ3547" s="77"/>
      <c r="AR3547" s="77"/>
      <c r="AS3547" s="77"/>
      <c r="AT3547" s="77"/>
      <c r="AU3547" s="77"/>
      <c r="AV3547" s="80" t="str">
        <f>HYPERLINK("https://pbs.twimg.com/profile_images/1559883556846977024/bXHnQFY0_normal.jpg")</f>
        <v>https://pbs.twimg.com/profile_images/1559883556846977024/bXHnQFY0_normal.jpg</v>
      </c>
      <c r="AW3547" s="82" t="s">
        <v>16631</v>
      </c>
      <c r="AX3547" s="82" t="s">
        <v>16631</v>
      </c>
      <c r="AY3547" s="77"/>
      <c r="AZ3547" s="82" t="s">
        <v>17385</v>
      </c>
      <c r="BA3547" s="82" t="s">
        <v>17385</v>
      </c>
      <c r="BB3547" s="82" t="s">
        <v>17385</v>
      </c>
      <c r="BC3547" s="82" t="s">
        <v>16631</v>
      </c>
      <c r="BD3547" s="77">
        <v>51150679</v>
      </c>
      <c r="BE3547" s="77"/>
      <c r="BF3547" s="77"/>
      <c r="BG3547" s="77"/>
      <c r="BH3547" s="77"/>
      <c r="BI3547" s="77"/>
    </row>
    <row r="3548" spans="1:61" x14ac:dyDescent="0.25">
      <c r="A3548" s="62" t="s">
        <v>605</v>
      </c>
      <c r="B3548" s="62" t="s">
        <v>605</v>
      </c>
      <c r="C3548" s="63"/>
      <c r="D3548" s="64"/>
      <c r="E3548" s="65"/>
      <c r="F3548" s="66"/>
      <c r="G3548" s="63"/>
      <c r="H3548" s="67"/>
      <c r="I3548" s="68"/>
      <c r="J3548" s="68"/>
      <c r="K3548" s="32"/>
      <c r="L3548" s="75">
        <v>3548</v>
      </c>
      <c r="M3548" s="75"/>
      <c r="N3548" s="70"/>
      <c r="O3548" s="77" t="s">
        <v>179</v>
      </c>
      <c r="P3548" s="79">
        <v>45154.855428240742</v>
      </c>
      <c r="Q3548" s="77" t="s">
        <v>4322</v>
      </c>
      <c r="R3548" s="77">
        <v>1</v>
      </c>
      <c r="S3548" s="77">
        <v>7</v>
      </c>
      <c r="T3548" s="77">
        <v>1</v>
      </c>
      <c r="U3548" s="77">
        <v>0</v>
      </c>
      <c r="V3548" s="77">
        <v>1265</v>
      </c>
      <c r="W3548" s="82" t="s">
        <v>6551</v>
      </c>
      <c r="X3548" s="80" t="str">
        <f>HYPERLINK("https://www.moneytimes.com.br/ibovespa-hoje-fecha-queda-115-mil-pontos-ata-fed-16-08-2023/")</f>
        <v>https://www.moneytimes.com.br/ibovespa-hoje-fecha-queda-115-mil-pontos-ata-fed-16-08-2023/</v>
      </c>
      <c r="Y3548" s="77" t="s">
        <v>7053</v>
      </c>
      <c r="Z3548" s="77"/>
      <c r="AA3548" s="77"/>
      <c r="AB3548" s="77"/>
      <c r="AC3548" s="82" t="s">
        <v>8255</v>
      </c>
      <c r="AD3548" s="77" t="s">
        <v>8278</v>
      </c>
      <c r="AE3548" s="80" t="str">
        <f>HYPERLINK("https://twitter.com/leiamoneytimes/status/1691910658827116701")</f>
        <v>https://twitter.com/leiamoneytimes/status/1691910658827116701</v>
      </c>
      <c r="AF3548" s="79">
        <v>45154.855428240742</v>
      </c>
      <c r="AG3548" s="85">
        <v>45154</v>
      </c>
      <c r="AH3548" s="82" t="s">
        <v>11538</v>
      </c>
      <c r="AI3548" s="77" t="b">
        <v>0</v>
      </c>
      <c r="AJ3548" s="77"/>
      <c r="AK3548" s="77"/>
      <c r="AL3548" s="77"/>
      <c r="AM3548" s="77"/>
      <c r="AN3548" s="77"/>
      <c r="AO3548" s="77"/>
      <c r="AP3548" s="77"/>
      <c r="AQ3548" s="77"/>
      <c r="AR3548" s="77"/>
      <c r="AS3548" s="77"/>
      <c r="AT3548" s="77"/>
      <c r="AU3548" s="77"/>
      <c r="AV3548" s="80" t="str">
        <f>HYPERLINK("https://pbs.twimg.com/profile_images/1559883556846977024/bXHnQFY0_normal.jpg")</f>
        <v>https://pbs.twimg.com/profile_images/1559883556846977024/bXHnQFY0_normal.jpg</v>
      </c>
      <c r="AW3548" s="82" t="s">
        <v>16632</v>
      </c>
      <c r="AX3548" s="82" t="s">
        <v>16632</v>
      </c>
      <c r="AY3548" s="77"/>
      <c r="AZ3548" s="82" t="s">
        <v>17385</v>
      </c>
      <c r="BA3548" s="82" t="s">
        <v>17385</v>
      </c>
      <c r="BB3548" s="82" t="s">
        <v>17385</v>
      </c>
      <c r="BC3548" s="82" t="s">
        <v>16632</v>
      </c>
      <c r="BD3548" s="77">
        <v>51150679</v>
      </c>
      <c r="BE3548" s="77"/>
      <c r="BF3548" s="77"/>
      <c r="BG3548" s="77"/>
      <c r="BH3548" s="77"/>
      <c r="BI3548" s="77"/>
    </row>
    <row r="3549" spans="1:61" x14ac:dyDescent="0.25">
      <c r="A3549" s="62" t="s">
        <v>605</v>
      </c>
      <c r="B3549" s="62" t="s">
        <v>605</v>
      </c>
      <c r="C3549" s="63"/>
      <c r="D3549" s="64"/>
      <c r="E3549" s="65"/>
      <c r="F3549" s="66"/>
      <c r="G3549" s="63"/>
      <c r="H3549" s="67"/>
      <c r="I3549" s="68"/>
      <c r="J3549" s="68"/>
      <c r="K3549" s="32"/>
      <c r="L3549" s="75">
        <v>3549</v>
      </c>
      <c r="M3549" s="75"/>
      <c r="N3549" s="70"/>
      <c r="O3549" s="77" t="s">
        <v>179</v>
      </c>
      <c r="P3549" s="79">
        <v>45154.819212962961</v>
      </c>
      <c r="Q3549" s="77" t="s">
        <v>4323</v>
      </c>
      <c r="R3549" s="77">
        <v>0</v>
      </c>
      <c r="S3549" s="77">
        <v>8</v>
      </c>
      <c r="T3549" s="77">
        <v>1</v>
      </c>
      <c r="U3549" s="77">
        <v>0</v>
      </c>
      <c r="V3549" s="77">
        <v>1019</v>
      </c>
      <c r="W3549" s="82" t="s">
        <v>6551</v>
      </c>
      <c r="X3549" s="80" t="str">
        <f>HYPERLINK("https://www.moneytimes.com.br/sabesp-sbsp3-sobe-5-com-decreto-do-governo-de-sp-entenda/")</f>
        <v>https://www.moneytimes.com.br/sabesp-sbsp3-sobe-5-com-decreto-do-governo-de-sp-entenda/</v>
      </c>
      <c r="Y3549" s="77" t="s">
        <v>7053</v>
      </c>
      <c r="Z3549" s="77"/>
      <c r="AA3549" s="77"/>
      <c r="AB3549" s="77"/>
      <c r="AC3549" s="82" t="s">
        <v>8255</v>
      </c>
      <c r="AD3549" s="77" t="s">
        <v>8278</v>
      </c>
      <c r="AE3549" s="80" t="str">
        <f>HYPERLINK("https://twitter.com/leiamoneytimes/status/1691897531968418085")</f>
        <v>https://twitter.com/leiamoneytimes/status/1691897531968418085</v>
      </c>
      <c r="AF3549" s="79">
        <v>45154.819212962961</v>
      </c>
      <c r="AG3549" s="85">
        <v>45154</v>
      </c>
      <c r="AH3549" s="82" t="s">
        <v>11539</v>
      </c>
      <c r="AI3549" s="77" t="b">
        <v>0</v>
      </c>
      <c r="AJ3549" s="77"/>
      <c r="AK3549" s="77"/>
      <c r="AL3549" s="77"/>
      <c r="AM3549" s="77"/>
      <c r="AN3549" s="77"/>
      <c r="AO3549" s="77"/>
      <c r="AP3549" s="77"/>
      <c r="AQ3549" s="77"/>
      <c r="AR3549" s="77"/>
      <c r="AS3549" s="77"/>
      <c r="AT3549" s="77"/>
      <c r="AU3549" s="77"/>
      <c r="AV3549" s="80" t="str">
        <f>HYPERLINK("https://pbs.twimg.com/profile_images/1559883556846977024/bXHnQFY0_normal.jpg")</f>
        <v>https://pbs.twimg.com/profile_images/1559883556846977024/bXHnQFY0_normal.jpg</v>
      </c>
      <c r="AW3549" s="82" t="s">
        <v>16633</v>
      </c>
      <c r="AX3549" s="82" t="s">
        <v>16633</v>
      </c>
      <c r="AY3549" s="77"/>
      <c r="AZ3549" s="82" t="s">
        <v>17385</v>
      </c>
      <c r="BA3549" s="82" t="s">
        <v>17385</v>
      </c>
      <c r="BB3549" s="82" t="s">
        <v>17385</v>
      </c>
      <c r="BC3549" s="82" t="s">
        <v>16633</v>
      </c>
      <c r="BD3549" s="77">
        <v>51150679</v>
      </c>
      <c r="BE3549" s="77"/>
      <c r="BF3549" s="77"/>
      <c r="BG3549" s="77"/>
      <c r="BH3549" s="77"/>
      <c r="BI3549" s="77"/>
    </row>
    <row r="3550" spans="1:61" x14ac:dyDescent="0.25">
      <c r="A3550" s="62" t="s">
        <v>605</v>
      </c>
      <c r="B3550" s="62" t="s">
        <v>605</v>
      </c>
      <c r="C3550" s="63"/>
      <c r="D3550" s="64"/>
      <c r="E3550" s="65"/>
      <c r="F3550" s="66"/>
      <c r="G3550" s="63"/>
      <c r="H3550" s="67"/>
      <c r="I3550" s="68"/>
      <c r="J3550" s="68"/>
      <c r="K3550" s="32"/>
      <c r="L3550" s="75">
        <v>3550</v>
      </c>
      <c r="M3550" s="75"/>
      <c r="N3550" s="70"/>
      <c r="O3550" s="77" t="s">
        <v>179</v>
      </c>
      <c r="P3550" s="79">
        <v>45154.804178240738</v>
      </c>
      <c r="Q3550" s="77" t="s">
        <v>4324</v>
      </c>
      <c r="R3550" s="77">
        <v>0</v>
      </c>
      <c r="S3550" s="77">
        <v>3</v>
      </c>
      <c r="T3550" s="77">
        <v>2</v>
      </c>
      <c r="U3550" s="77">
        <v>0</v>
      </c>
      <c r="V3550" s="77">
        <v>1137</v>
      </c>
      <c r="W3550" s="82" t="s">
        <v>6549</v>
      </c>
      <c r="X3550" s="80" t="str">
        <f>HYPERLINK("https://www.moneytimes.com.br/meliuz-cash3-esta-a-um-passo-de-sair-do-ibovespa-entenda/")</f>
        <v>https://www.moneytimes.com.br/meliuz-cash3-esta-a-um-passo-de-sair-do-ibovespa-entenda/</v>
      </c>
      <c r="Y3550" s="77" t="s">
        <v>7053</v>
      </c>
      <c r="Z3550" s="77"/>
      <c r="AA3550" s="77"/>
      <c r="AB3550" s="77"/>
      <c r="AC3550" s="82" t="s">
        <v>8255</v>
      </c>
      <c r="AD3550" s="77" t="s">
        <v>8278</v>
      </c>
      <c r="AE3550" s="80" t="str">
        <f>HYPERLINK("https://twitter.com/leiamoneytimes/status/1691892082766426615")</f>
        <v>https://twitter.com/leiamoneytimes/status/1691892082766426615</v>
      </c>
      <c r="AF3550" s="79">
        <v>45154.804178240738</v>
      </c>
      <c r="AG3550" s="85">
        <v>45154</v>
      </c>
      <c r="AH3550" s="82" t="s">
        <v>11540</v>
      </c>
      <c r="AI3550" s="77" t="b">
        <v>0</v>
      </c>
      <c r="AJ3550" s="77"/>
      <c r="AK3550" s="77"/>
      <c r="AL3550" s="77"/>
      <c r="AM3550" s="77"/>
      <c r="AN3550" s="77"/>
      <c r="AO3550" s="77"/>
      <c r="AP3550" s="77"/>
      <c r="AQ3550" s="77"/>
      <c r="AR3550" s="77"/>
      <c r="AS3550" s="77"/>
      <c r="AT3550" s="77"/>
      <c r="AU3550" s="77"/>
      <c r="AV3550" s="80" t="str">
        <f>HYPERLINK("https://pbs.twimg.com/profile_images/1559883556846977024/bXHnQFY0_normal.jpg")</f>
        <v>https://pbs.twimg.com/profile_images/1559883556846977024/bXHnQFY0_normal.jpg</v>
      </c>
      <c r="AW3550" s="82" t="s">
        <v>16634</v>
      </c>
      <c r="AX3550" s="82" t="s">
        <v>16634</v>
      </c>
      <c r="AY3550" s="77"/>
      <c r="AZ3550" s="82" t="s">
        <v>17385</v>
      </c>
      <c r="BA3550" s="82" t="s">
        <v>17385</v>
      </c>
      <c r="BB3550" s="82" t="s">
        <v>17385</v>
      </c>
      <c r="BC3550" s="82" t="s">
        <v>16634</v>
      </c>
      <c r="BD3550" s="77">
        <v>51150679</v>
      </c>
      <c r="BE3550" s="77"/>
      <c r="BF3550" s="77"/>
      <c r="BG3550" s="77"/>
      <c r="BH3550" s="77"/>
      <c r="BI3550" s="77"/>
    </row>
    <row r="3551" spans="1:61" x14ac:dyDescent="0.25">
      <c r="A3551" s="62" t="s">
        <v>605</v>
      </c>
      <c r="B3551" s="62" t="s">
        <v>605</v>
      </c>
      <c r="C3551" s="63"/>
      <c r="D3551" s="64"/>
      <c r="E3551" s="65"/>
      <c r="F3551" s="66"/>
      <c r="G3551" s="63"/>
      <c r="H3551" s="67"/>
      <c r="I3551" s="68"/>
      <c r="J3551" s="68"/>
      <c r="K3551" s="32"/>
      <c r="L3551" s="75">
        <v>3551</v>
      </c>
      <c r="M3551" s="75"/>
      <c r="N3551" s="70"/>
      <c r="O3551" s="77" t="s">
        <v>179</v>
      </c>
      <c r="P3551" s="79">
        <v>45154.669340277775</v>
      </c>
      <c r="Q3551" s="77" t="s">
        <v>4325</v>
      </c>
      <c r="R3551" s="77">
        <v>0</v>
      </c>
      <c r="S3551" s="77">
        <v>0</v>
      </c>
      <c r="T3551" s="77">
        <v>2</v>
      </c>
      <c r="U3551" s="77">
        <v>0</v>
      </c>
      <c r="V3551" s="77">
        <v>1128</v>
      </c>
      <c r="W3551" s="82" t="s">
        <v>6742</v>
      </c>
      <c r="X3551" s="80" t="str">
        <f>HYPERLINK("https://www.moneytimes.com.br/ibovespa-hoje-agora-por-que-petrobras-petr3-avanca-irb-irbr3-lidera-as-altas-e-natura-ntco3-e-destaque-negativo-16-08-2023/")</f>
        <v>https://www.moneytimes.com.br/ibovespa-hoje-agora-por-que-petrobras-petr3-avanca-irb-irbr3-lidera-as-altas-e-natura-ntco3-e-destaque-negativo-16-08-2023/</v>
      </c>
      <c r="Y3551" s="77" t="s">
        <v>7053</v>
      </c>
      <c r="Z3551" s="77"/>
      <c r="AA3551" s="77"/>
      <c r="AB3551" s="77"/>
      <c r="AC3551" s="82" t="s">
        <v>8255</v>
      </c>
      <c r="AD3551" s="77" t="s">
        <v>8278</v>
      </c>
      <c r="AE3551" s="80" t="str">
        <f>HYPERLINK("https://twitter.com/leiamoneytimes/status/1691843220039234003")</f>
        <v>https://twitter.com/leiamoneytimes/status/1691843220039234003</v>
      </c>
      <c r="AF3551" s="79">
        <v>45154.669340277775</v>
      </c>
      <c r="AG3551" s="85">
        <v>45154</v>
      </c>
      <c r="AH3551" s="82" t="s">
        <v>11541</v>
      </c>
      <c r="AI3551" s="77" t="b">
        <v>0</v>
      </c>
      <c r="AJ3551" s="77"/>
      <c r="AK3551" s="77"/>
      <c r="AL3551" s="77"/>
      <c r="AM3551" s="77"/>
      <c r="AN3551" s="77"/>
      <c r="AO3551" s="77"/>
      <c r="AP3551" s="77"/>
      <c r="AQ3551" s="77"/>
      <c r="AR3551" s="77"/>
      <c r="AS3551" s="77"/>
      <c r="AT3551" s="77"/>
      <c r="AU3551" s="77"/>
      <c r="AV3551" s="80" t="str">
        <f>HYPERLINK("https://pbs.twimg.com/profile_images/1559883556846977024/bXHnQFY0_normal.jpg")</f>
        <v>https://pbs.twimg.com/profile_images/1559883556846977024/bXHnQFY0_normal.jpg</v>
      </c>
      <c r="AW3551" s="82" t="s">
        <v>16635</v>
      </c>
      <c r="AX3551" s="82" t="s">
        <v>16635</v>
      </c>
      <c r="AY3551" s="77"/>
      <c r="AZ3551" s="82" t="s">
        <v>17385</v>
      </c>
      <c r="BA3551" s="82" t="s">
        <v>17385</v>
      </c>
      <c r="BB3551" s="82" t="s">
        <v>17385</v>
      </c>
      <c r="BC3551" s="82" t="s">
        <v>16635</v>
      </c>
      <c r="BD3551" s="77">
        <v>51150679</v>
      </c>
      <c r="BE3551" s="77"/>
      <c r="BF3551" s="77"/>
      <c r="BG3551" s="77"/>
      <c r="BH3551" s="77"/>
      <c r="BI3551" s="77"/>
    </row>
    <row r="3552" spans="1:61" x14ac:dyDescent="0.25">
      <c r="A3552" s="62" t="s">
        <v>605</v>
      </c>
      <c r="B3552" s="62" t="s">
        <v>605</v>
      </c>
      <c r="C3552" s="63"/>
      <c r="D3552" s="64"/>
      <c r="E3552" s="65"/>
      <c r="F3552" s="66"/>
      <c r="G3552" s="63"/>
      <c r="H3552" s="67"/>
      <c r="I3552" s="68"/>
      <c r="J3552" s="68"/>
      <c r="K3552" s="32"/>
      <c r="L3552" s="75">
        <v>3552</v>
      </c>
      <c r="M3552" s="75"/>
      <c r="N3552" s="70"/>
      <c r="O3552" s="77" t="s">
        <v>179</v>
      </c>
      <c r="P3552" s="79">
        <v>45145.570983796293</v>
      </c>
      <c r="Q3552" s="77" t="s">
        <v>4326</v>
      </c>
      <c r="R3552" s="77">
        <v>0</v>
      </c>
      <c r="S3552" s="77">
        <v>1</v>
      </c>
      <c r="T3552" s="77">
        <v>1</v>
      </c>
      <c r="U3552" s="77">
        <v>0</v>
      </c>
      <c r="V3552" s="77">
        <v>1043</v>
      </c>
      <c r="W3552" s="82" t="s">
        <v>6743</v>
      </c>
      <c r="X3552" s="80" t="str">
        <f>HYPERLINK("https://www.moneytimes.com.br/bb-investimentos-retira-petrobras-petr4-e-aliansce-also3-de-sua-carteira-confira-as-acoes/")</f>
        <v>https://www.moneytimes.com.br/bb-investimentos-retira-petrobras-petr4-e-aliansce-also3-de-sua-carteira-confira-as-acoes/</v>
      </c>
      <c r="Y3552" s="77" t="s">
        <v>7053</v>
      </c>
      <c r="Z3552" s="77"/>
      <c r="AA3552" s="77"/>
      <c r="AB3552" s="77"/>
      <c r="AC3552" s="82" t="s">
        <v>8255</v>
      </c>
      <c r="AD3552" s="77" t="s">
        <v>8278</v>
      </c>
      <c r="AE3552" s="80" t="str">
        <f>HYPERLINK("https://twitter.com/leiamoneytimes/status/1688546085357121536")</f>
        <v>https://twitter.com/leiamoneytimes/status/1688546085357121536</v>
      </c>
      <c r="AF3552" s="79">
        <v>45145.570983796293</v>
      </c>
      <c r="AG3552" s="85">
        <v>45145</v>
      </c>
      <c r="AH3552" s="82" t="s">
        <v>11542</v>
      </c>
      <c r="AI3552" s="77" t="b">
        <v>0</v>
      </c>
      <c r="AJ3552" s="77"/>
      <c r="AK3552" s="77"/>
      <c r="AL3552" s="77"/>
      <c r="AM3552" s="77"/>
      <c r="AN3552" s="77"/>
      <c r="AO3552" s="77"/>
      <c r="AP3552" s="77"/>
      <c r="AQ3552" s="77"/>
      <c r="AR3552" s="77"/>
      <c r="AS3552" s="77"/>
      <c r="AT3552" s="77"/>
      <c r="AU3552" s="77"/>
      <c r="AV3552" s="80" t="str">
        <f>HYPERLINK("https://pbs.twimg.com/profile_images/1559883556846977024/bXHnQFY0_normal.jpg")</f>
        <v>https://pbs.twimg.com/profile_images/1559883556846977024/bXHnQFY0_normal.jpg</v>
      </c>
      <c r="AW3552" s="82" t="s">
        <v>16636</v>
      </c>
      <c r="AX3552" s="82" t="s">
        <v>16636</v>
      </c>
      <c r="AY3552" s="77"/>
      <c r="AZ3552" s="82" t="s">
        <v>17385</v>
      </c>
      <c r="BA3552" s="82" t="s">
        <v>17385</v>
      </c>
      <c r="BB3552" s="82" t="s">
        <v>17385</v>
      </c>
      <c r="BC3552" s="82" t="s">
        <v>16636</v>
      </c>
      <c r="BD3552" s="77">
        <v>51150679</v>
      </c>
      <c r="BE3552" s="77"/>
      <c r="BF3552" s="77"/>
      <c r="BG3552" s="77"/>
      <c r="BH3552" s="77"/>
      <c r="BI3552" s="77"/>
    </row>
    <row r="3553" spans="1:61" x14ac:dyDescent="0.25">
      <c r="A3553" s="62" t="s">
        <v>605</v>
      </c>
      <c r="B3553" s="62" t="s">
        <v>605</v>
      </c>
      <c r="C3553" s="63"/>
      <c r="D3553" s="64"/>
      <c r="E3553" s="65"/>
      <c r="F3553" s="66"/>
      <c r="G3553" s="63"/>
      <c r="H3553" s="67"/>
      <c r="I3553" s="68"/>
      <c r="J3553" s="68"/>
      <c r="K3553" s="32"/>
      <c r="L3553" s="75">
        <v>3553</v>
      </c>
      <c r="M3553" s="75"/>
      <c r="N3553" s="70"/>
      <c r="O3553" s="77" t="s">
        <v>179</v>
      </c>
      <c r="P3553" s="79">
        <v>45144.834131944444</v>
      </c>
      <c r="Q3553" s="77" t="s">
        <v>4327</v>
      </c>
      <c r="R3553" s="77">
        <v>2</v>
      </c>
      <c r="S3553" s="77">
        <v>10</v>
      </c>
      <c r="T3553" s="77">
        <v>1</v>
      </c>
      <c r="U3553" s="77">
        <v>0</v>
      </c>
      <c r="V3553" s="77">
        <v>2593</v>
      </c>
      <c r="W3553" s="82" t="s">
        <v>6718</v>
      </c>
      <c r="X3553" s="80" t="str">
        <f>HYPERLINK("https://www.moneytimes.com.br/taesa-taee11-e-cielo-ciel3-tem-data-com-para-dividendos-e-jcp-de-meio-bilhao-esta-semana-banco-pine-pine4-paga-proventos/")</f>
        <v>https://www.moneytimes.com.br/taesa-taee11-e-cielo-ciel3-tem-data-com-para-dividendos-e-jcp-de-meio-bilhao-esta-semana-banco-pine-pine4-paga-proventos/</v>
      </c>
      <c r="Y3553" s="77" t="s">
        <v>7053</v>
      </c>
      <c r="Z3553" s="77"/>
      <c r="AA3553" s="77"/>
      <c r="AB3553" s="77"/>
      <c r="AC3553" s="82" t="s">
        <v>8255</v>
      </c>
      <c r="AD3553" s="77" t="s">
        <v>8278</v>
      </c>
      <c r="AE3553" s="80" t="str">
        <f>HYPERLINK("https://twitter.com/leiamoneytimes/status/1688279060831498240")</f>
        <v>https://twitter.com/leiamoneytimes/status/1688279060831498240</v>
      </c>
      <c r="AF3553" s="79">
        <v>45144.834131944444</v>
      </c>
      <c r="AG3553" s="85">
        <v>45144</v>
      </c>
      <c r="AH3553" s="82" t="s">
        <v>11337</v>
      </c>
      <c r="AI3553" s="77" t="b">
        <v>0</v>
      </c>
      <c r="AJ3553" s="77"/>
      <c r="AK3553" s="77"/>
      <c r="AL3553" s="77"/>
      <c r="AM3553" s="77"/>
      <c r="AN3553" s="77"/>
      <c r="AO3553" s="77"/>
      <c r="AP3553" s="77"/>
      <c r="AQ3553" s="77"/>
      <c r="AR3553" s="77"/>
      <c r="AS3553" s="77"/>
      <c r="AT3553" s="77"/>
      <c r="AU3553" s="77"/>
      <c r="AV3553" s="80" t="str">
        <f>HYPERLINK("https://pbs.twimg.com/profile_images/1559883556846977024/bXHnQFY0_normal.jpg")</f>
        <v>https://pbs.twimg.com/profile_images/1559883556846977024/bXHnQFY0_normal.jpg</v>
      </c>
      <c r="AW3553" s="82" t="s">
        <v>16637</v>
      </c>
      <c r="AX3553" s="82" t="s">
        <v>16637</v>
      </c>
      <c r="AY3553" s="77"/>
      <c r="AZ3553" s="82" t="s">
        <v>17385</v>
      </c>
      <c r="BA3553" s="82" t="s">
        <v>17385</v>
      </c>
      <c r="BB3553" s="82" t="s">
        <v>17385</v>
      </c>
      <c r="BC3553" s="82" t="s">
        <v>16637</v>
      </c>
      <c r="BD3553" s="77">
        <v>51150679</v>
      </c>
      <c r="BE3553" s="77"/>
      <c r="BF3553" s="77"/>
      <c r="BG3553" s="77"/>
      <c r="BH3553" s="77"/>
      <c r="BI3553" s="77"/>
    </row>
    <row r="3554" spans="1:61" x14ac:dyDescent="0.25">
      <c r="A3554" s="62" t="s">
        <v>605</v>
      </c>
      <c r="B3554" s="62" t="s">
        <v>605</v>
      </c>
      <c r="C3554" s="63"/>
      <c r="D3554" s="64"/>
      <c r="E3554" s="65"/>
      <c r="F3554" s="66"/>
      <c r="G3554" s="63"/>
      <c r="H3554" s="67"/>
      <c r="I3554" s="68"/>
      <c r="J3554" s="68"/>
      <c r="K3554" s="32"/>
      <c r="L3554" s="75">
        <v>3554</v>
      </c>
      <c r="M3554" s="75"/>
      <c r="N3554" s="70"/>
      <c r="O3554" s="77" t="s">
        <v>179</v>
      </c>
      <c r="P3554" s="79">
        <v>45143.797476851854</v>
      </c>
      <c r="Q3554" s="77" t="s">
        <v>4328</v>
      </c>
      <c r="R3554" s="77">
        <v>0</v>
      </c>
      <c r="S3554" s="77">
        <v>5</v>
      </c>
      <c r="T3554" s="77">
        <v>3</v>
      </c>
      <c r="U3554" s="77">
        <v>0</v>
      </c>
      <c r="V3554" s="77">
        <v>2160</v>
      </c>
      <c r="W3554" s="82" t="s">
        <v>6744</v>
      </c>
      <c r="X3554" s="80" t="str">
        <f>HYPERLINK("https://www.moneytimes.com.br/vale-vale3-6-motivos-por-que-e-quase-impossivel-lula-eleger-mantega-como-ceo/")</f>
        <v>https://www.moneytimes.com.br/vale-vale3-6-motivos-por-que-e-quase-impossivel-lula-eleger-mantega-como-ceo/</v>
      </c>
      <c r="Y3554" s="77" t="s">
        <v>7053</v>
      </c>
      <c r="Z3554" s="77"/>
      <c r="AA3554" s="77"/>
      <c r="AB3554" s="77"/>
      <c r="AC3554" s="82" t="s">
        <v>8255</v>
      </c>
      <c r="AD3554" s="77" t="s">
        <v>8278</v>
      </c>
      <c r="AE3554" s="80" t="str">
        <f>HYPERLINK("https://twitter.com/leiamoneytimes/status/1687903390586564608")</f>
        <v>https://twitter.com/leiamoneytimes/status/1687903390586564608</v>
      </c>
      <c r="AF3554" s="79">
        <v>45143.797476851854</v>
      </c>
      <c r="AG3554" s="85">
        <v>45143</v>
      </c>
      <c r="AH3554" s="82" t="s">
        <v>11543</v>
      </c>
      <c r="AI3554" s="77" t="b">
        <v>0</v>
      </c>
      <c r="AJ3554" s="77"/>
      <c r="AK3554" s="77"/>
      <c r="AL3554" s="77"/>
      <c r="AM3554" s="77"/>
      <c r="AN3554" s="77"/>
      <c r="AO3554" s="77"/>
      <c r="AP3554" s="77"/>
      <c r="AQ3554" s="77"/>
      <c r="AR3554" s="77"/>
      <c r="AS3554" s="77"/>
      <c r="AT3554" s="77"/>
      <c r="AU3554" s="77"/>
      <c r="AV3554" s="80" t="str">
        <f>HYPERLINK("https://pbs.twimg.com/profile_images/1559883556846977024/bXHnQFY0_normal.jpg")</f>
        <v>https://pbs.twimg.com/profile_images/1559883556846977024/bXHnQFY0_normal.jpg</v>
      </c>
      <c r="AW3554" s="82" t="s">
        <v>16638</v>
      </c>
      <c r="AX3554" s="82" t="s">
        <v>16638</v>
      </c>
      <c r="AY3554" s="77"/>
      <c r="AZ3554" s="82" t="s">
        <v>17385</v>
      </c>
      <c r="BA3554" s="82" t="s">
        <v>17385</v>
      </c>
      <c r="BB3554" s="82" t="s">
        <v>17385</v>
      </c>
      <c r="BC3554" s="82" t="s">
        <v>16638</v>
      </c>
      <c r="BD3554" s="77">
        <v>51150679</v>
      </c>
      <c r="BE3554" s="77"/>
      <c r="BF3554" s="77"/>
      <c r="BG3554" s="77"/>
      <c r="BH3554" s="77"/>
      <c r="BI3554" s="77"/>
    </row>
    <row r="3555" spans="1:61" x14ac:dyDescent="0.25">
      <c r="A3555" s="62" t="s">
        <v>605</v>
      </c>
      <c r="B3555" s="62" t="s">
        <v>605</v>
      </c>
      <c r="C3555" s="63"/>
      <c r="D3555" s="64"/>
      <c r="E3555" s="65"/>
      <c r="F3555" s="66"/>
      <c r="G3555" s="63"/>
      <c r="H3555" s="67"/>
      <c r="I3555" s="68"/>
      <c r="J3555" s="68"/>
      <c r="K3555" s="32"/>
      <c r="L3555" s="75">
        <v>3555</v>
      </c>
      <c r="M3555" s="75"/>
      <c r="N3555" s="70"/>
      <c r="O3555" s="77" t="s">
        <v>179</v>
      </c>
      <c r="P3555" s="79">
        <v>45135.848009259258</v>
      </c>
      <c r="Q3555" s="77" t="s">
        <v>4329</v>
      </c>
      <c r="R3555" s="77">
        <v>0</v>
      </c>
      <c r="S3555" s="77">
        <v>8</v>
      </c>
      <c r="T3555" s="77">
        <v>1</v>
      </c>
      <c r="U3555" s="77">
        <v>0</v>
      </c>
      <c r="V3555" s="77">
        <v>1385</v>
      </c>
      <c r="W3555" s="82" t="s">
        <v>6557</v>
      </c>
      <c r="X3555" s="80" t="str">
        <f>HYPERLINK("https://www.moneytimes.com.br/ibovespa-hoje-fecha-alta-vale-vale3-28-07-2023/")</f>
        <v>https://www.moneytimes.com.br/ibovespa-hoje-fecha-alta-vale-vale3-28-07-2023/</v>
      </c>
      <c r="Y3555" s="77" t="s">
        <v>7053</v>
      </c>
      <c r="Z3555" s="77"/>
      <c r="AA3555" s="77"/>
      <c r="AB3555" s="77"/>
      <c r="AC3555" s="82" t="s">
        <v>8255</v>
      </c>
      <c r="AD3555" s="77" t="s">
        <v>8278</v>
      </c>
      <c r="AE3555" s="80" t="str">
        <f>HYPERLINK("https://twitter.com/leiamoneytimes/status/1685022598801805312")</f>
        <v>https://twitter.com/leiamoneytimes/status/1685022598801805312</v>
      </c>
      <c r="AF3555" s="79">
        <v>45135.848009259258</v>
      </c>
      <c r="AG3555" s="85">
        <v>45135</v>
      </c>
      <c r="AH3555" s="82" t="s">
        <v>11544</v>
      </c>
      <c r="AI3555" s="77" t="b">
        <v>0</v>
      </c>
      <c r="AJ3555" s="77"/>
      <c r="AK3555" s="77"/>
      <c r="AL3555" s="77"/>
      <c r="AM3555" s="77"/>
      <c r="AN3555" s="77"/>
      <c r="AO3555" s="77"/>
      <c r="AP3555" s="77"/>
      <c r="AQ3555" s="77"/>
      <c r="AR3555" s="77"/>
      <c r="AS3555" s="77"/>
      <c r="AT3555" s="77"/>
      <c r="AU3555" s="77"/>
      <c r="AV3555" s="80" t="str">
        <f>HYPERLINK("https://pbs.twimg.com/profile_images/1559883556846977024/bXHnQFY0_normal.jpg")</f>
        <v>https://pbs.twimg.com/profile_images/1559883556846977024/bXHnQFY0_normal.jpg</v>
      </c>
      <c r="AW3555" s="82" t="s">
        <v>16639</v>
      </c>
      <c r="AX3555" s="82" t="s">
        <v>16639</v>
      </c>
      <c r="AY3555" s="77"/>
      <c r="AZ3555" s="82" t="s">
        <v>17385</v>
      </c>
      <c r="BA3555" s="82" t="s">
        <v>17385</v>
      </c>
      <c r="BB3555" s="82" t="s">
        <v>17385</v>
      </c>
      <c r="BC3555" s="82" t="s">
        <v>16639</v>
      </c>
      <c r="BD3555" s="77">
        <v>51150679</v>
      </c>
      <c r="BE3555" s="77"/>
      <c r="BF3555" s="77"/>
      <c r="BG3555" s="77"/>
      <c r="BH3555" s="77"/>
      <c r="BI3555" s="77"/>
    </row>
    <row r="3556" spans="1:61" x14ac:dyDescent="0.25">
      <c r="A3556" s="62" t="s">
        <v>605</v>
      </c>
      <c r="B3556" s="62" t="s">
        <v>605</v>
      </c>
      <c r="C3556" s="63"/>
      <c r="D3556" s="64"/>
      <c r="E3556" s="65"/>
      <c r="F3556" s="66"/>
      <c r="G3556" s="63"/>
      <c r="H3556" s="67"/>
      <c r="I3556" s="68"/>
      <c r="J3556" s="68"/>
      <c r="K3556" s="32"/>
      <c r="L3556" s="75">
        <v>3556</v>
      </c>
      <c r="M3556" s="75"/>
      <c r="N3556" s="70"/>
      <c r="O3556" s="77" t="s">
        <v>179</v>
      </c>
      <c r="P3556" s="79">
        <v>45135.655011574076</v>
      </c>
      <c r="Q3556" s="77" t="s">
        <v>4330</v>
      </c>
      <c r="R3556" s="77">
        <v>0</v>
      </c>
      <c r="S3556" s="77">
        <v>1</v>
      </c>
      <c r="T3556" s="77">
        <v>0</v>
      </c>
      <c r="U3556" s="77">
        <v>0</v>
      </c>
      <c r="V3556" s="77">
        <v>1236</v>
      </c>
      <c r="W3556" s="82" t="s">
        <v>6745</v>
      </c>
      <c r="X3556" s="80" t="str">
        <f>HYPERLINK("https://www.moneytimes.com.br/ibovespa-hoje-agora-usiminas-petrobras-28-07-2023/")</f>
        <v>https://www.moneytimes.com.br/ibovespa-hoje-agora-usiminas-petrobras-28-07-2023/</v>
      </c>
      <c r="Y3556" s="77" t="s">
        <v>7053</v>
      </c>
      <c r="Z3556" s="77"/>
      <c r="AA3556" s="77"/>
      <c r="AB3556" s="77"/>
      <c r="AC3556" s="82" t="s">
        <v>8255</v>
      </c>
      <c r="AD3556" s="77" t="s">
        <v>8278</v>
      </c>
      <c r="AE3556" s="80" t="str">
        <f>HYPERLINK("https://twitter.com/leiamoneytimes/status/1684952657734115328")</f>
        <v>https://twitter.com/leiamoneytimes/status/1684952657734115328</v>
      </c>
      <c r="AF3556" s="79">
        <v>45135.655011574076</v>
      </c>
      <c r="AG3556" s="85">
        <v>45135</v>
      </c>
      <c r="AH3556" s="82" t="s">
        <v>11545</v>
      </c>
      <c r="AI3556" s="77" t="b">
        <v>0</v>
      </c>
      <c r="AJ3556" s="77"/>
      <c r="AK3556" s="77"/>
      <c r="AL3556" s="77"/>
      <c r="AM3556" s="77"/>
      <c r="AN3556" s="77"/>
      <c r="AO3556" s="77"/>
      <c r="AP3556" s="77"/>
      <c r="AQ3556" s="77"/>
      <c r="AR3556" s="77"/>
      <c r="AS3556" s="77"/>
      <c r="AT3556" s="77"/>
      <c r="AU3556" s="77"/>
      <c r="AV3556" s="80" t="str">
        <f>HYPERLINK("https://pbs.twimg.com/profile_images/1559883556846977024/bXHnQFY0_normal.jpg")</f>
        <v>https://pbs.twimg.com/profile_images/1559883556846977024/bXHnQFY0_normal.jpg</v>
      </c>
      <c r="AW3556" s="82" t="s">
        <v>16640</v>
      </c>
      <c r="AX3556" s="82" t="s">
        <v>16640</v>
      </c>
      <c r="AY3556" s="77"/>
      <c r="AZ3556" s="82" t="s">
        <v>17385</v>
      </c>
      <c r="BA3556" s="82" t="s">
        <v>17385</v>
      </c>
      <c r="BB3556" s="82" t="s">
        <v>17385</v>
      </c>
      <c r="BC3556" s="82" t="s">
        <v>16640</v>
      </c>
      <c r="BD3556" s="77">
        <v>51150679</v>
      </c>
      <c r="BE3556" s="77"/>
      <c r="BF3556" s="77"/>
      <c r="BG3556" s="77"/>
      <c r="BH3556" s="77"/>
      <c r="BI3556" s="77"/>
    </row>
    <row r="3557" spans="1:61" x14ac:dyDescent="0.25">
      <c r="A3557" s="62" t="s">
        <v>605</v>
      </c>
      <c r="B3557" s="62" t="s">
        <v>605</v>
      </c>
      <c r="C3557" s="63"/>
      <c r="D3557" s="64"/>
      <c r="E3557" s="65"/>
      <c r="F3557" s="66"/>
      <c r="G3557" s="63"/>
      <c r="H3557" s="67"/>
      <c r="I3557" s="68"/>
      <c r="J3557" s="68"/>
      <c r="K3557" s="32"/>
      <c r="L3557" s="75">
        <v>3557</v>
      </c>
      <c r="M3557" s="75"/>
      <c r="N3557" s="70"/>
      <c r="O3557" s="77" t="s">
        <v>179</v>
      </c>
      <c r="P3557" s="79">
        <v>45135.578773148147</v>
      </c>
      <c r="Q3557" s="77" t="s">
        <v>4331</v>
      </c>
      <c r="R3557" s="77">
        <v>0</v>
      </c>
      <c r="S3557" s="77">
        <v>4</v>
      </c>
      <c r="T3557" s="77">
        <v>1</v>
      </c>
      <c r="U3557" s="77">
        <v>0</v>
      </c>
      <c r="V3557" s="77">
        <v>1145</v>
      </c>
      <c r="W3557" s="82" t="s">
        <v>5482</v>
      </c>
      <c r="X3557" s="80" t="str">
        <f>HYPERLINK("https://www.moneytimes.com.br/vale-vale3-por-que-acao-cai-2-apos-balanco-e-venda-bilionaria/")</f>
        <v>https://www.moneytimes.com.br/vale-vale3-por-que-acao-cai-2-apos-balanco-e-venda-bilionaria/</v>
      </c>
      <c r="Y3557" s="77" t="s">
        <v>7053</v>
      </c>
      <c r="Z3557" s="77"/>
      <c r="AA3557" s="77"/>
      <c r="AB3557" s="77"/>
      <c r="AC3557" s="82" t="s">
        <v>8255</v>
      </c>
      <c r="AD3557" s="77" t="s">
        <v>8278</v>
      </c>
      <c r="AE3557" s="80" t="str">
        <f>HYPERLINK("https://twitter.com/leiamoneytimes/status/1684925029429997568")</f>
        <v>https://twitter.com/leiamoneytimes/status/1684925029429997568</v>
      </c>
      <c r="AF3557" s="79">
        <v>45135.578773148147</v>
      </c>
      <c r="AG3557" s="85">
        <v>45135</v>
      </c>
      <c r="AH3557" s="82" t="s">
        <v>11546</v>
      </c>
      <c r="AI3557" s="77" t="b">
        <v>0</v>
      </c>
      <c r="AJ3557" s="77"/>
      <c r="AK3557" s="77"/>
      <c r="AL3557" s="77"/>
      <c r="AM3557" s="77"/>
      <c r="AN3557" s="77"/>
      <c r="AO3557" s="77"/>
      <c r="AP3557" s="77"/>
      <c r="AQ3557" s="77"/>
      <c r="AR3557" s="77"/>
      <c r="AS3557" s="77"/>
      <c r="AT3557" s="77"/>
      <c r="AU3557" s="77"/>
      <c r="AV3557" s="80" t="str">
        <f>HYPERLINK("https://pbs.twimg.com/profile_images/1559883556846977024/bXHnQFY0_normal.jpg")</f>
        <v>https://pbs.twimg.com/profile_images/1559883556846977024/bXHnQFY0_normal.jpg</v>
      </c>
      <c r="AW3557" s="82" t="s">
        <v>16641</v>
      </c>
      <c r="AX3557" s="82" t="s">
        <v>16641</v>
      </c>
      <c r="AY3557" s="77"/>
      <c r="AZ3557" s="82" t="s">
        <v>17385</v>
      </c>
      <c r="BA3557" s="82" t="s">
        <v>17385</v>
      </c>
      <c r="BB3557" s="82" t="s">
        <v>17385</v>
      </c>
      <c r="BC3557" s="82" t="s">
        <v>16641</v>
      </c>
      <c r="BD3557" s="77">
        <v>51150679</v>
      </c>
      <c r="BE3557" s="77"/>
      <c r="BF3557" s="77"/>
      <c r="BG3557" s="77"/>
      <c r="BH3557" s="77"/>
      <c r="BI3557" s="77"/>
    </row>
    <row r="3558" spans="1:61" x14ac:dyDescent="0.25">
      <c r="A3558" s="62" t="s">
        <v>605</v>
      </c>
      <c r="B3558" s="62" t="s">
        <v>605</v>
      </c>
      <c r="C3558" s="63"/>
      <c r="D3558" s="64"/>
      <c r="E3558" s="65"/>
      <c r="F3558" s="66"/>
      <c r="G3558" s="63"/>
      <c r="H3558" s="67"/>
      <c r="I3558" s="68"/>
      <c r="J3558" s="68"/>
      <c r="K3558" s="32"/>
      <c r="L3558" s="75">
        <v>3558</v>
      </c>
      <c r="M3558" s="75"/>
      <c r="N3558" s="70"/>
      <c r="O3558" s="77" t="s">
        <v>179</v>
      </c>
      <c r="P3558" s="79">
        <v>45134.669803240744</v>
      </c>
      <c r="Q3558" s="77" t="s">
        <v>4332</v>
      </c>
      <c r="R3558" s="77">
        <v>0</v>
      </c>
      <c r="S3558" s="77">
        <v>4</v>
      </c>
      <c r="T3558" s="77">
        <v>1</v>
      </c>
      <c r="U3558" s="77">
        <v>0</v>
      </c>
      <c r="V3558" s="77">
        <v>1263</v>
      </c>
      <c r="W3558" s="82" t="s">
        <v>6746</v>
      </c>
      <c r="X3558" s="80" t="str">
        <f>HYPERLINK("https://www.moneytimes.com.br/ibovespa-hoje-agora-vale-csn-csn-mineracao-assai-27-07-2023/")</f>
        <v>https://www.moneytimes.com.br/ibovespa-hoje-agora-vale-csn-csn-mineracao-assai-27-07-2023/</v>
      </c>
      <c r="Y3558" s="77" t="s">
        <v>7053</v>
      </c>
      <c r="Z3558" s="77"/>
      <c r="AA3558" s="77"/>
      <c r="AB3558" s="77"/>
      <c r="AC3558" s="82" t="s">
        <v>8255</v>
      </c>
      <c r="AD3558" s="77" t="s">
        <v>8278</v>
      </c>
      <c r="AE3558" s="80" t="str">
        <f>HYPERLINK("https://twitter.com/leiamoneytimes/status/1684595629752774656")</f>
        <v>https://twitter.com/leiamoneytimes/status/1684595629752774656</v>
      </c>
      <c r="AF3558" s="79">
        <v>45134.669803240744</v>
      </c>
      <c r="AG3558" s="85">
        <v>45134</v>
      </c>
      <c r="AH3558" s="82" t="s">
        <v>11547</v>
      </c>
      <c r="AI3558" s="77" t="b">
        <v>0</v>
      </c>
      <c r="AJ3558" s="77"/>
      <c r="AK3558" s="77"/>
      <c r="AL3558" s="77"/>
      <c r="AM3558" s="77"/>
      <c r="AN3558" s="77"/>
      <c r="AO3558" s="77"/>
      <c r="AP3558" s="77"/>
      <c r="AQ3558" s="77"/>
      <c r="AR3558" s="77"/>
      <c r="AS3558" s="77"/>
      <c r="AT3558" s="77"/>
      <c r="AU3558" s="77"/>
      <c r="AV3558" s="80" t="str">
        <f>HYPERLINK("https://pbs.twimg.com/profile_images/1559883556846977024/bXHnQFY0_normal.jpg")</f>
        <v>https://pbs.twimg.com/profile_images/1559883556846977024/bXHnQFY0_normal.jpg</v>
      </c>
      <c r="AW3558" s="82" t="s">
        <v>16642</v>
      </c>
      <c r="AX3558" s="82" t="s">
        <v>16642</v>
      </c>
      <c r="AY3558" s="77"/>
      <c r="AZ3558" s="82" t="s">
        <v>17385</v>
      </c>
      <c r="BA3558" s="82" t="s">
        <v>17385</v>
      </c>
      <c r="BB3558" s="82" t="s">
        <v>17385</v>
      </c>
      <c r="BC3558" s="82" t="s">
        <v>16642</v>
      </c>
      <c r="BD3558" s="77">
        <v>51150679</v>
      </c>
      <c r="BE3558" s="77"/>
      <c r="BF3558" s="77"/>
      <c r="BG3558" s="77"/>
      <c r="BH3558" s="77"/>
      <c r="BI3558" s="77"/>
    </row>
    <row r="3559" spans="1:61" x14ac:dyDescent="0.25">
      <c r="A3559" s="62" t="s">
        <v>605</v>
      </c>
      <c r="B3559" s="62" t="s">
        <v>605</v>
      </c>
      <c r="C3559" s="63"/>
      <c r="D3559" s="64"/>
      <c r="E3559" s="65"/>
      <c r="F3559" s="66"/>
      <c r="G3559" s="63"/>
      <c r="H3559" s="67"/>
      <c r="I3559" s="68"/>
      <c r="J3559" s="68"/>
      <c r="K3559" s="32"/>
      <c r="L3559" s="75">
        <v>3559</v>
      </c>
      <c r="M3559" s="75"/>
      <c r="N3559" s="70"/>
      <c r="O3559" s="77" t="s">
        <v>179</v>
      </c>
      <c r="P3559" s="79">
        <v>45133.86509259259</v>
      </c>
      <c r="Q3559" s="77" t="s">
        <v>4333</v>
      </c>
      <c r="R3559" s="77">
        <v>1</v>
      </c>
      <c r="S3559" s="77">
        <v>15</v>
      </c>
      <c r="T3559" s="77">
        <v>2</v>
      </c>
      <c r="U3559" s="77">
        <v>1</v>
      </c>
      <c r="V3559" s="77">
        <v>3043</v>
      </c>
      <c r="W3559" s="82" t="s">
        <v>6747</v>
      </c>
      <c r="X3559" s="80" t="str">
        <f>HYPERLINK("https://www.moneytimes.com.br/buffet-aproveita-queda-do-petroleo-para-investir-veja-empresas-favoritas-do-megainvestidor/")</f>
        <v>https://www.moneytimes.com.br/buffet-aproveita-queda-do-petroleo-para-investir-veja-empresas-favoritas-do-megainvestidor/</v>
      </c>
      <c r="Y3559" s="77" t="s">
        <v>7053</v>
      </c>
      <c r="Z3559" s="77"/>
      <c r="AA3559" s="77"/>
      <c r="AB3559" s="77"/>
      <c r="AC3559" s="82" t="s">
        <v>8255</v>
      </c>
      <c r="AD3559" s="77" t="s">
        <v>8278</v>
      </c>
      <c r="AE3559" s="80" t="str">
        <f>HYPERLINK("https://twitter.com/leiamoneytimes/status/1684304012751806466")</f>
        <v>https://twitter.com/leiamoneytimes/status/1684304012751806466</v>
      </c>
      <c r="AF3559" s="79">
        <v>45133.86509259259</v>
      </c>
      <c r="AG3559" s="85">
        <v>45133</v>
      </c>
      <c r="AH3559" s="82" t="s">
        <v>11548</v>
      </c>
      <c r="AI3559" s="77" t="b">
        <v>0</v>
      </c>
      <c r="AJ3559" s="77"/>
      <c r="AK3559" s="77"/>
      <c r="AL3559" s="77"/>
      <c r="AM3559" s="77"/>
      <c r="AN3559" s="77"/>
      <c r="AO3559" s="77"/>
      <c r="AP3559" s="77"/>
      <c r="AQ3559" s="77"/>
      <c r="AR3559" s="77"/>
      <c r="AS3559" s="77"/>
      <c r="AT3559" s="77"/>
      <c r="AU3559" s="77"/>
      <c r="AV3559" s="80" t="str">
        <f>HYPERLINK("https://pbs.twimg.com/profile_images/1559883556846977024/bXHnQFY0_normal.jpg")</f>
        <v>https://pbs.twimg.com/profile_images/1559883556846977024/bXHnQFY0_normal.jpg</v>
      </c>
      <c r="AW3559" s="82" t="s">
        <v>16643</v>
      </c>
      <c r="AX3559" s="82" t="s">
        <v>16643</v>
      </c>
      <c r="AY3559" s="77"/>
      <c r="AZ3559" s="82" t="s">
        <v>17385</v>
      </c>
      <c r="BA3559" s="82" t="s">
        <v>17385</v>
      </c>
      <c r="BB3559" s="82" t="s">
        <v>17385</v>
      </c>
      <c r="BC3559" s="82" t="s">
        <v>16643</v>
      </c>
      <c r="BD3559" s="77">
        <v>51150679</v>
      </c>
      <c r="BE3559" s="77"/>
      <c r="BF3559" s="77"/>
      <c r="BG3559" s="77"/>
      <c r="BH3559" s="77"/>
      <c r="BI3559" s="77"/>
    </row>
    <row r="3560" spans="1:61" x14ac:dyDescent="0.25">
      <c r="A3560" s="62" t="s">
        <v>605</v>
      </c>
      <c r="B3560" s="62" t="s">
        <v>605</v>
      </c>
      <c r="C3560" s="63"/>
      <c r="D3560" s="64"/>
      <c r="E3560" s="65"/>
      <c r="F3560" s="66"/>
      <c r="G3560" s="63"/>
      <c r="H3560" s="67"/>
      <c r="I3560" s="68"/>
      <c r="J3560" s="68"/>
      <c r="K3560" s="32"/>
      <c r="L3560" s="75">
        <v>3560</v>
      </c>
      <c r="M3560" s="75"/>
      <c r="N3560" s="70"/>
      <c r="O3560" s="77" t="s">
        <v>179</v>
      </c>
      <c r="P3560" s="79">
        <v>45133.674097222225</v>
      </c>
      <c r="Q3560" s="77" t="s">
        <v>4334</v>
      </c>
      <c r="R3560" s="77">
        <v>0</v>
      </c>
      <c r="S3560" s="77">
        <v>2</v>
      </c>
      <c r="T3560" s="77">
        <v>0</v>
      </c>
      <c r="U3560" s="77">
        <v>0</v>
      </c>
      <c r="V3560" s="77">
        <v>1290</v>
      </c>
      <c r="W3560" s="82" t="s">
        <v>6555</v>
      </c>
      <c r="X3560" s="80" t="str">
        <f>HYPERLINK("https://www.moneytimes.com.br/ibovespa-hoje-agora-carrefour-meliuz-copel-mrv-26-07-2023/")</f>
        <v>https://www.moneytimes.com.br/ibovespa-hoje-agora-carrefour-meliuz-copel-mrv-26-07-2023/</v>
      </c>
      <c r="Y3560" s="77" t="s">
        <v>7053</v>
      </c>
      <c r="Z3560" s="77"/>
      <c r="AA3560" s="77"/>
      <c r="AB3560" s="77"/>
      <c r="AC3560" s="82" t="s">
        <v>8255</v>
      </c>
      <c r="AD3560" s="77" t="s">
        <v>8278</v>
      </c>
      <c r="AE3560" s="80" t="str">
        <f>HYPERLINK("https://twitter.com/leiamoneytimes/status/1684234798963781632")</f>
        <v>https://twitter.com/leiamoneytimes/status/1684234798963781632</v>
      </c>
      <c r="AF3560" s="79">
        <v>45133.674097222225</v>
      </c>
      <c r="AG3560" s="85">
        <v>45133</v>
      </c>
      <c r="AH3560" s="82" t="s">
        <v>11549</v>
      </c>
      <c r="AI3560" s="77" t="b">
        <v>0</v>
      </c>
      <c r="AJ3560" s="77"/>
      <c r="AK3560" s="77"/>
      <c r="AL3560" s="77"/>
      <c r="AM3560" s="77"/>
      <c r="AN3560" s="77"/>
      <c r="AO3560" s="77"/>
      <c r="AP3560" s="77"/>
      <c r="AQ3560" s="77"/>
      <c r="AR3560" s="77"/>
      <c r="AS3560" s="77"/>
      <c r="AT3560" s="77"/>
      <c r="AU3560" s="77"/>
      <c r="AV3560" s="80" t="str">
        <f>HYPERLINK("https://pbs.twimg.com/profile_images/1559883556846977024/bXHnQFY0_normal.jpg")</f>
        <v>https://pbs.twimg.com/profile_images/1559883556846977024/bXHnQFY0_normal.jpg</v>
      </c>
      <c r="AW3560" s="82" t="s">
        <v>16644</v>
      </c>
      <c r="AX3560" s="82" t="s">
        <v>16644</v>
      </c>
      <c r="AY3560" s="77"/>
      <c r="AZ3560" s="82" t="s">
        <v>17385</v>
      </c>
      <c r="BA3560" s="82" t="s">
        <v>17385</v>
      </c>
      <c r="BB3560" s="82" t="s">
        <v>17385</v>
      </c>
      <c r="BC3560" s="82" t="s">
        <v>16644</v>
      </c>
      <c r="BD3560" s="77">
        <v>51150679</v>
      </c>
      <c r="BE3560" s="77"/>
      <c r="BF3560" s="77"/>
      <c r="BG3560" s="77"/>
      <c r="BH3560" s="77"/>
      <c r="BI3560" s="77"/>
    </row>
    <row r="3561" spans="1:61" x14ac:dyDescent="0.25">
      <c r="A3561" s="62" t="s">
        <v>605</v>
      </c>
      <c r="B3561" s="62" t="s">
        <v>605</v>
      </c>
      <c r="C3561" s="63"/>
      <c r="D3561" s="64"/>
      <c r="E3561" s="65"/>
      <c r="F3561" s="66"/>
      <c r="G3561" s="63"/>
      <c r="H3561" s="67"/>
      <c r="I3561" s="68"/>
      <c r="J3561" s="68"/>
      <c r="K3561" s="32"/>
      <c r="L3561" s="75">
        <v>3561</v>
      </c>
      <c r="M3561" s="75"/>
      <c r="N3561" s="70"/>
      <c r="O3561" s="77" t="s">
        <v>179</v>
      </c>
      <c r="P3561" s="79">
        <v>45133.621481481481</v>
      </c>
      <c r="Q3561" s="77" t="s">
        <v>4335</v>
      </c>
      <c r="R3561" s="77">
        <v>1</v>
      </c>
      <c r="S3561" s="77">
        <v>1</v>
      </c>
      <c r="T3561" s="77">
        <v>1</v>
      </c>
      <c r="U3561" s="77">
        <v>0</v>
      </c>
      <c r="V3561" s="77">
        <v>977</v>
      </c>
      <c r="W3561" s="82" t="s">
        <v>6637</v>
      </c>
      <c r="X3561" s="80" t="str">
        <f>HYPERLINK("https://www.moneytimes.com.br/copel-cple6-o-risco-envolvendo-a-privatizacao-da-empresa/")</f>
        <v>https://www.moneytimes.com.br/copel-cple6-o-risco-envolvendo-a-privatizacao-da-empresa/</v>
      </c>
      <c r="Y3561" s="77" t="s">
        <v>7053</v>
      </c>
      <c r="Z3561" s="77"/>
      <c r="AA3561" s="77"/>
      <c r="AB3561" s="77"/>
      <c r="AC3561" s="82" t="s">
        <v>8255</v>
      </c>
      <c r="AD3561" s="77" t="s">
        <v>8278</v>
      </c>
      <c r="AE3561" s="80" t="str">
        <f>HYPERLINK("https://twitter.com/leiamoneytimes/status/1684215734526697472")</f>
        <v>https://twitter.com/leiamoneytimes/status/1684215734526697472</v>
      </c>
      <c r="AF3561" s="79">
        <v>45133.621481481481</v>
      </c>
      <c r="AG3561" s="85">
        <v>45133</v>
      </c>
      <c r="AH3561" s="82" t="s">
        <v>11550</v>
      </c>
      <c r="AI3561" s="77" t="b">
        <v>0</v>
      </c>
      <c r="AJ3561" s="77"/>
      <c r="AK3561" s="77"/>
      <c r="AL3561" s="77"/>
      <c r="AM3561" s="77"/>
      <c r="AN3561" s="77"/>
      <c r="AO3561" s="77"/>
      <c r="AP3561" s="77"/>
      <c r="AQ3561" s="77"/>
      <c r="AR3561" s="77"/>
      <c r="AS3561" s="77"/>
      <c r="AT3561" s="77"/>
      <c r="AU3561" s="77"/>
      <c r="AV3561" s="80" t="str">
        <f>HYPERLINK("https://pbs.twimg.com/profile_images/1559883556846977024/bXHnQFY0_normal.jpg")</f>
        <v>https://pbs.twimg.com/profile_images/1559883556846977024/bXHnQFY0_normal.jpg</v>
      </c>
      <c r="AW3561" s="82" t="s">
        <v>16645</v>
      </c>
      <c r="AX3561" s="82" t="s">
        <v>16645</v>
      </c>
      <c r="AY3561" s="77"/>
      <c r="AZ3561" s="82" t="s">
        <v>17385</v>
      </c>
      <c r="BA3561" s="82" t="s">
        <v>17385</v>
      </c>
      <c r="BB3561" s="82" t="s">
        <v>17385</v>
      </c>
      <c r="BC3561" s="82" t="s">
        <v>16645</v>
      </c>
      <c r="BD3561" s="77">
        <v>51150679</v>
      </c>
      <c r="BE3561" s="77"/>
      <c r="BF3561" s="77"/>
      <c r="BG3561" s="77"/>
      <c r="BH3561" s="77"/>
      <c r="BI3561" s="77"/>
    </row>
    <row r="3562" spans="1:61" x14ac:dyDescent="0.25">
      <c r="A3562" s="62" t="s">
        <v>605</v>
      </c>
      <c r="B3562" s="62" t="s">
        <v>605</v>
      </c>
      <c r="C3562" s="63"/>
      <c r="D3562" s="64"/>
      <c r="E3562" s="65"/>
      <c r="F3562" s="66"/>
      <c r="G3562" s="63"/>
      <c r="H3562" s="67"/>
      <c r="I3562" s="68"/>
      <c r="J3562" s="68"/>
      <c r="K3562" s="32"/>
      <c r="L3562" s="75">
        <v>3562</v>
      </c>
      <c r="M3562" s="75"/>
      <c r="N3562" s="70"/>
      <c r="O3562" s="77" t="s">
        <v>179</v>
      </c>
      <c r="P3562" s="79">
        <v>45132.850717592592</v>
      </c>
      <c r="Q3562" s="77" t="s">
        <v>4336</v>
      </c>
      <c r="R3562" s="77">
        <v>0</v>
      </c>
      <c r="S3562" s="77">
        <v>6</v>
      </c>
      <c r="T3562" s="77">
        <v>1</v>
      </c>
      <c r="U3562" s="77">
        <v>0</v>
      </c>
      <c r="V3562" s="77">
        <v>1233</v>
      </c>
      <c r="W3562" s="82" t="s">
        <v>6551</v>
      </c>
      <c r="X3562" s="80" t="str">
        <f>HYPERLINK("https://www.moneytimes.com.br/ibovespa-hoje-fecha-alta-122-mil-pontos-vale-vale3-25-07-2023/")</f>
        <v>https://www.moneytimes.com.br/ibovespa-hoje-fecha-alta-122-mil-pontos-vale-vale3-25-07-2023/</v>
      </c>
      <c r="Y3562" s="77" t="s">
        <v>7053</v>
      </c>
      <c r="Z3562" s="77"/>
      <c r="AA3562" s="77"/>
      <c r="AB3562" s="77"/>
      <c r="AC3562" s="82" t="s">
        <v>8255</v>
      </c>
      <c r="AD3562" s="77" t="s">
        <v>8278</v>
      </c>
      <c r="AE3562" s="80" t="str">
        <f>HYPERLINK("https://twitter.com/leiamoneytimes/status/1683936417792024576")</f>
        <v>https://twitter.com/leiamoneytimes/status/1683936417792024576</v>
      </c>
      <c r="AF3562" s="79">
        <v>45132.850717592592</v>
      </c>
      <c r="AG3562" s="85">
        <v>45132</v>
      </c>
      <c r="AH3562" s="82" t="s">
        <v>11551</v>
      </c>
      <c r="AI3562" s="77" t="b">
        <v>0</v>
      </c>
      <c r="AJ3562" s="77"/>
      <c r="AK3562" s="77"/>
      <c r="AL3562" s="77"/>
      <c r="AM3562" s="77"/>
      <c r="AN3562" s="77"/>
      <c r="AO3562" s="77"/>
      <c r="AP3562" s="77"/>
      <c r="AQ3562" s="77"/>
      <c r="AR3562" s="77"/>
      <c r="AS3562" s="77"/>
      <c r="AT3562" s="77"/>
      <c r="AU3562" s="77"/>
      <c r="AV3562" s="80" t="str">
        <f>HYPERLINK("https://pbs.twimg.com/profile_images/1559883556846977024/bXHnQFY0_normal.jpg")</f>
        <v>https://pbs.twimg.com/profile_images/1559883556846977024/bXHnQFY0_normal.jpg</v>
      </c>
      <c r="AW3562" s="82" t="s">
        <v>16646</v>
      </c>
      <c r="AX3562" s="82" t="s">
        <v>16646</v>
      </c>
      <c r="AY3562" s="77"/>
      <c r="AZ3562" s="82" t="s">
        <v>17385</v>
      </c>
      <c r="BA3562" s="82" t="s">
        <v>17385</v>
      </c>
      <c r="BB3562" s="82" t="s">
        <v>17385</v>
      </c>
      <c r="BC3562" s="82" t="s">
        <v>16646</v>
      </c>
      <c r="BD3562" s="77">
        <v>51150679</v>
      </c>
      <c r="BE3562" s="77"/>
      <c r="BF3562" s="77"/>
      <c r="BG3562" s="77"/>
      <c r="BH3562" s="77"/>
      <c r="BI3562" s="77"/>
    </row>
    <row r="3563" spans="1:61" x14ac:dyDescent="0.25">
      <c r="A3563" s="62" t="s">
        <v>605</v>
      </c>
      <c r="B3563" s="62" t="s">
        <v>605</v>
      </c>
      <c r="C3563" s="63"/>
      <c r="D3563" s="64"/>
      <c r="E3563" s="65"/>
      <c r="F3563" s="66"/>
      <c r="G3563" s="63"/>
      <c r="H3563" s="67"/>
      <c r="I3563" s="68"/>
      <c r="J3563" s="68"/>
      <c r="K3563" s="32"/>
      <c r="L3563" s="75">
        <v>3563</v>
      </c>
      <c r="M3563" s="75"/>
      <c r="N3563" s="70"/>
      <c r="O3563" s="77" t="s">
        <v>179</v>
      </c>
      <c r="P3563" s="79">
        <v>45132.751527777778</v>
      </c>
      <c r="Q3563" s="77" t="s">
        <v>4337</v>
      </c>
      <c r="R3563" s="77">
        <v>0</v>
      </c>
      <c r="S3563" s="77">
        <v>1</v>
      </c>
      <c r="T3563" s="77">
        <v>1</v>
      </c>
      <c r="U3563" s="77">
        <v>0</v>
      </c>
      <c r="V3563" s="77">
        <v>1060</v>
      </c>
      <c r="W3563" s="82" t="s">
        <v>6748</v>
      </c>
      <c r="X3563" s="80" t="str">
        <f>HYPERLINK("https://www.moneytimes.com.br/entenda-por-que-a-alavancagem-e-tao-arriscada-na-bolsa-de-valores/")</f>
        <v>https://www.moneytimes.com.br/entenda-por-que-a-alavancagem-e-tao-arriscada-na-bolsa-de-valores/</v>
      </c>
      <c r="Y3563" s="77" t="s">
        <v>7053</v>
      </c>
      <c r="Z3563" s="77"/>
      <c r="AA3563" s="77"/>
      <c r="AB3563" s="77"/>
      <c r="AC3563" s="82" t="s">
        <v>8255</v>
      </c>
      <c r="AD3563" s="77" t="s">
        <v>8278</v>
      </c>
      <c r="AE3563" s="80" t="str">
        <f>HYPERLINK("https://twitter.com/leiamoneytimes/status/1683900470585065472")</f>
        <v>https://twitter.com/leiamoneytimes/status/1683900470585065472</v>
      </c>
      <c r="AF3563" s="79">
        <v>45132.751527777778</v>
      </c>
      <c r="AG3563" s="85">
        <v>45132</v>
      </c>
      <c r="AH3563" s="82" t="s">
        <v>11552</v>
      </c>
      <c r="AI3563" s="77" t="b">
        <v>0</v>
      </c>
      <c r="AJ3563" s="77"/>
      <c r="AK3563" s="77"/>
      <c r="AL3563" s="77"/>
      <c r="AM3563" s="77"/>
      <c r="AN3563" s="77"/>
      <c r="AO3563" s="77"/>
      <c r="AP3563" s="77"/>
      <c r="AQ3563" s="77"/>
      <c r="AR3563" s="77"/>
      <c r="AS3563" s="77"/>
      <c r="AT3563" s="77"/>
      <c r="AU3563" s="77"/>
      <c r="AV3563" s="80" t="str">
        <f>HYPERLINK("https://pbs.twimg.com/profile_images/1559883556846977024/bXHnQFY0_normal.jpg")</f>
        <v>https://pbs.twimg.com/profile_images/1559883556846977024/bXHnQFY0_normal.jpg</v>
      </c>
      <c r="AW3563" s="82" t="s">
        <v>16647</v>
      </c>
      <c r="AX3563" s="82" t="s">
        <v>16647</v>
      </c>
      <c r="AY3563" s="77"/>
      <c r="AZ3563" s="82" t="s">
        <v>17385</v>
      </c>
      <c r="BA3563" s="82" t="s">
        <v>17385</v>
      </c>
      <c r="BB3563" s="82" t="s">
        <v>17385</v>
      </c>
      <c r="BC3563" s="82" t="s">
        <v>16647</v>
      </c>
      <c r="BD3563" s="77">
        <v>51150679</v>
      </c>
      <c r="BE3563" s="77"/>
      <c r="BF3563" s="77"/>
      <c r="BG3563" s="77"/>
      <c r="BH3563" s="77"/>
      <c r="BI3563" s="77"/>
    </row>
    <row r="3564" spans="1:61" x14ac:dyDescent="0.25">
      <c r="A3564" s="62" t="s">
        <v>605</v>
      </c>
      <c r="B3564" s="62" t="s">
        <v>605</v>
      </c>
      <c r="C3564" s="63"/>
      <c r="D3564" s="64"/>
      <c r="E3564" s="65"/>
      <c r="F3564" s="66"/>
      <c r="G3564" s="63"/>
      <c r="H3564" s="67"/>
      <c r="I3564" s="68"/>
      <c r="J3564" s="68"/>
      <c r="K3564" s="32"/>
      <c r="L3564" s="75">
        <v>3564</v>
      </c>
      <c r="M3564" s="75"/>
      <c r="N3564" s="70"/>
      <c r="O3564" s="77" t="s">
        <v>179</v>
      </c>
      <c r="P3564" s="79">
        <v>45106.479849537034</v>
      </c>
      <c r="Q3564" s="77" t="s">
        <v>4338</v>
      </c>
      <c r="R3564" s="77">
        <v>1</v>
      </c>
      <c r="S3564" s="77">
        <v>3</v>
      </c>
      <c r="T3564" s="77">
        <v>1</v>
      </c>
      <c r="U3564" s="77">
        <v>0</v>
      </c>
      <c r="V3564" s="77">
        <v>1012</v>
      </c>
      <c r="W3564" s="82" t="s">
        <v>6564</v>
      </c>
      <c r="X3564" s="80" t="str">
        <f>HYPERLINK("https://www.moneytimes.com.br/bolsas-asiaticas-acoes-da-china-caem-por-recuperacao-fraca-e-falta-de-estimulo-forte/")</f>
        <v>https://www.moneytimes.com.br/bolsas-asiaticas-acoes-da-china-caem-por-recuperacao-fraca-e-falta-de-estimulo-forte/</v>
      </c>
      <c r="Y3564" s="77" t="s">
        <v>7053</v>
      </c>
      <c r="Z3564" s="77"/>
      <c r="AA3564" s="77"/>
      <c r="AB3564" s="77"/>
      <c r="AC3564" s="82" t="s">
        <v>8255</v>
      </c>
      <c r="AD3564" s="77" t="s">
        <v>8278</v>
      </c>
      <c r="AE3564" s="80" t="str">
        <f>HYPERLINK("https://twitter.com/leiamoneytimes/status/1674379932443475968")</f>
        <v>https://twitter.com/leiamoneytimes/status/1674379932443475968</v>
      </c>
      <c r="AF3564" s="79">
        <v>45106.479849537034</v>
      </c>
      <c r="AG3564" s="85">
        <v>45106</v>
      </c>
      <c r="AH3564" s="82" t="s">
        <v>11553</v>
      </c>
      <c r="AI3564" s="77" t="b">
        <v>0</v>
      </c>
      <c r="AJ3564" s="77"/>
      <c r="AK3564" s="77"/>
      <c r="AL3564" s="77"/>
      <c r="AM3564" s="77"/>
      <c r="AN3564" s="77"/>
      <c r="AO3564" s="77"/>
      <c r="AP3564" s="77"/>
      <c r="AQ3564" s="77"/>
      <c r="AR3564" s="77"/>
      <c r="AS3564" s="77"/>
      <c r="AT3564" s="77"/>
      <c r="AU3564" s="77"/>
      <c r="AV3564" s="80" t="str">
        <f>HYPERLINK("https://pbs.twimg.com/profile_images/1559883556846977024/bXHnQFY0_normal.jpg")</f>
        <v>https://pbs.twimg.com/profile_images/1559883556846977024/bXHnQFY0_normal.jpg</v>
      </c>
      <c r="AW3564" s="82" t="s">
        <v>16648</v>
      </c>
      <c r="AX3564" s="82" t="s">
        <v>16648</v>
      </c>
      <c r="AY3564" s="77"/>
      <c r="AZ3564" s="82" t="s">
        <v>17385</v>
      </c>
      <c r="BA3564" s="82" t="s">
        <v>17385</v>
      </c>
      <c r="BB3564" s="82" t="s">
        <v>17385</v>
      </c>
      <c r="BC3564" s="82" t="s">
        <v>16648</v>
      </c>
      <c r="BD3564" s="77">
        <v>51150679</v>
      </c>
      <c r="BE3564" s="77"/>
      <c r="BF3564" s="77"/>
      <c r="BG3564" s="77"/>
      <c r="BH3564" s="77"/>
      <c r="BI3564" s="77"/>
    </row>
    <row r="3565" spans="1:61" x14ac:dyDescent="0.25">
      <c r="A3565" s="62" t="s">
        <v>605</v>
      </c>
      <c r="B3565" s="62" t="s">
        <v>605</v>
      </c>
      <c r="C3565" s="63"/>
      <c r="D3565" s="64"/>
      <c r="E3565" s="65"/>
      <c r="F3565" s="66"/>
      <c r="G3565" s="63"/>
      <c r="H3565" s="67"/>
      <c r="I3565" s="68"/>
      <c r="J3565" s="68"/>
      <c r="K3565" s="32"/>
      <c r="L3565" s="75">
        <v>3565</v>
      </c>
      <c r="M3565" s="75"/>
      <c r="N3565" s="70"/>
      <c r="O3565" s="77" t="s">
        <v>179</v>
      </c>
      <c r="P3565" s="79">
        <v>45106.459131944444</v>
      </c>
      <c r="Q3565" s="77" t="s">
        <v>4339</v>
      </c>
      <c r="R3565" s="77">
        <v>0</v>
      </c>
      <c r="S3565" s="77">
        <v>2</v>
      </c>
      <c r="T3565" s="77">
        <v>1</v>
      </c>
      <c r="U3565" s="77">
        <v>0</v>
      </c>
      <c r="V3565" s="77">
        <v>1238</v>
      </c>
      <c r="W3565" s="82" t="s">
        <v>6749</v>
      </c>
      <c r="X3565" s="80" t="str">
        <f>HYPERLINK("https://www.moneytimes.com.br/swing-trade-acao-da-ambipar-ambp3-pode-render-quase-7-nesta-quinta-veja-como/")</f>
        <v>https://www.moneytimes.com.br/swing-trade-acao-da-ambipar-ambp3-pode-render-quase-7-nesta-quinta-veja-como/</v>
      </c>
      <c r="Y3565" s="77" t="s">
        <v>7053</v>
      </c>
      <c r="Z3565" s="77"/>
      <c r="AA3565" s="77"/>
      <c r="AB3565" s="77"/>
      <c r="AC3565" s="82" t="s">
        <v>8255</v>
      </c>
      <c r="AD3565" s="77" t="s">
        <v>8278</v>
      </c>
      <c r="AE3565" s="80" t="str">
        <f>HYPERLINK("https://twitter.com/leiamoneytimes/status/1674372426145177600")</f>
        <v>https://twitter.com/leiamoneytimes/status/1674372426145177600</v>
      </c>
      <c r="AF3565" s="79">
        <v>45106.459131944444</v>
      </c>
      <c r="AG3565" s="85">
        <v>45106</v>
      </c>
      <c r="AH3565" s="82" t="s">
        <v>11554</v>
      </c>
      <c r="AI3565" s="77" t="b">
        <v>0</v>
      </c>
      <c r="AJ3565" s="77"/>
      <c r="AK3565" s="77"/>
      <c r="AL3565" s="77"/>
      <c r="AM3565" s="77"/>
      <c r="AN3565" s="77"/>
      <c r="AO3565" s="77"/>
      <c r="AP3565" s="77"/>
      <c r="AQ3565" s="77"/>
      <c r="AR3565" s="77"/>
      <c r="AS3565" s="77"/>
      <c r="AT3565" s="77"/>
      <c r="AU3565" s="77"/>
      <c r="AV3565" s="80" t="str">
        <f>HYPERLINK("https://pbs.twimg.com/profile_images/1559883556846977024/bXHnQFY0_normal.jpg")</f>
        <v>https://pbs.twimg.com/profile_images/1559883556846977024/bXHnQFY0_normal.jpg</v>
      </c>
      <c r="AW3565" s="82" t="s">
        <v>16649</v>
      </c>
      <c r="AX3565" s="82" t="s">
        <v>16649</v>
      </c>
      <c r="AY3565" s="77"/>
      <c r="AZ3565" s="82" t="s">
        <v>17385</v>
      </c>
      <c r="BA3565" s="82" t="s">
        <v>17385</v>
      </c>
      <c r="BB3565" s="82" t="s">
        <v>17385</v>
      </c>
      <c r="BC3565" s="82" t="s">
        <v>16649</v>
      </c>
      <c r="BD3565" s="77">
        <v>51150679</v>
      </c>
      <c r="BE3565" s="77"/>
      <c r="BF3565" s="77"/>
      <c r="BG3565" s="77"/>
      <c r="BH3565" s="77"/>
      <c r="BI3565" s="77"/>
    </row>
    <row r="3566" spans="1:61" x14ac:dyDescent="0.25">
      <c r="A3566" s="62" t="s">
        <v>605</v>
      </c>
      <c r="B3566" s="62" t="s">
        <v>605</v>
      </c>
      <c r="C3566" s="63"/>
      <c r="D3566" s="64"/>
      <c r="E3566" s="65"/>
      <c r="F3566" s="66"/>
      <c r="G3566" s="63"/>
      <c r="H3566" s="67"/>
      <c r="I3566" s="68"/>
      <c r="J3566" s="68"/>
      <c r="K3566" s="32"/>
      <c r="L3566" s="75">
        <v>3566</v>
      </c>
      <c r="M3566" s="75"/>
      <c r="N3566" s="70"/>
      <c r="O3566" s="77" t="s">
        <v>179</v>
      </c>
      <c r="P3566" s="79">
        <v>45105.838321759256</v>
      </c>
      <c r="Q3566" s="77" t="s">
        <v>4340</v>
      </c>
      <c r="R3566" s="77">
        <v>0</v>
      </c>
      <c r="S3566" s="77">
        <v>3</v>
      </c>
      <c r="T3566" s="77">
        <v>1</v>
      </c>
      <c r="U3566" s="77">
        <v>0</v>
      </c>
      <c r="V3566" s="77">
        <v>1192</v>
      </c>
      <c r="W3566" s="82" t="s">
        <v>6551</v>
      </c>
      <c r="X3566" s="80" t="str">
        <f>HYPERLINK("https://www.moneytimes.com.br/ibovespa-hoje-fecha-queda-vale-vale3-28-06-2023/")</f>
        <v>https://www.moneytimes.com.br/ibovespa-hoje-fecha-queda-vale-vale3-28-06-2023/</v>
      </c>
      <c r="Y3566" s="77" t="s">
        <v>7053</v>
      </c>
      <c r="Z3566" s="77"/>
      <c r="AA3566" s="77"/>
      <c r="AB3566" s="77"/>
      <c r="AC3566" s="82" t="s">
        <v>8255</v>
      </c>
      <c r="AD3566" s="77" t="s">
        <v>8278</v>
      </c>
      <c r="AE3566" s="80" t="str">
        <f>HYPERLINK("https://twitter.com/leiamoneytimes/status/1674147450666270725")</f>
        <v>https://twitter.com/leiamoneytimes/status/1674147450666270725</v>
      </c>
      <c r="AF3566" s="79">
        <v>45105.838321759256</v>
      </c>
      <c r="AG3566" s="85">
        <v>45105</v>
      </c>
      <c r="AH3566" s="82" t="s">
        <v>11555</v>
      </c>
      <c r="AI3566" s="77" t="b">
        <v>0</v>
      </c>
      <c r="AJ3566" s="77"/>
      <c r="AK3566" s="77"/>
      <c r="AL3566" s="77"/>
      <c r="AM3566" s="77"/>
      <c r="AN3566" s="77"/>
      <c r="AO3566" s="77"/>
      <c r="AP3566" s="77"/>
      <c r="AQ3566" s="77"/>
      <c r="AR3566" s="77"/>
      <c r="AS3566" s="77"/>
      <c r="AT3566" s="77"/>
      <c r="AU3566" s="77"/>
      <c r="AV3566" s="80" t="str">
        <f>HYPERLINK("https://pbs.twimg.com/profile_images/1559883556846977024/bXHnQFY0_normal.jpg")</f>
        <v>https://pbs.twimg.com/profile_images/1559883556846977024/bXHnQFY0_normal.jpg</v>
      </c>
      <c r="AW3566" s="82" t="s">
        <v>16650</v>
      </c>
      <c r="AX3566" s="82" t="s">
        <v>16650</v>
      </c>
      <c r="AY3566" s="77"/>
      <c r="AZ3566" s="82" t="s">
        <v>17385</v>
      </c>
      <c r="BA3566" s="82" t="s">
        <v>17385</v>
      </c>
      <c r="BB3566" s="82" t="s">
        <v>17385</v>
      </c>
      <c r="BC3566" s="82" t="s">
        <v>16650</v>
      </c>
      <c r="BD3566" s="77">
        <v>51150679</v>
      </c>
      <c r="BE3566" s="77"/>
      <c r="BF3566" s="77"/>
      <c r="BG3566" s="77"/>
      <c r="BH3566" s="77"/>
      <c r="BI3566" s="77"/>
    </row>
    <row r="3567" spans="1:61" x14ac:dyDescent="0.25">
      <c r="A3567" s="62" t="s">
        <v>605</v>
      </c>
      <c r="B3567" s="62" t="s">
        <v>605</v>
      </c>
      <c r="C3567" s="63"/>
      <c r="D3567" s="64"/>
      <c r="E3567" s="65"/>
      <c r="F3567" s="66"/>
      <c r="G3567" s="63"/>
      <c r="H3567" s="67"/>
      <c r="I3567" s="68"/>
      <c r="J3567" s="68"/>
      <c r="K3567" s="32"/>
      <c r="L3567" s="75">
        <v>3567</v>
      </c>
      <c r="M3567" s="75"/>
      <c r="N3567" s="70"/>
      <c r="O3567" s="77" t="s">
        <v>179</v>
      </c>
      <c r="P3567" s="79">
        <v>45105.733368055553</v>
      </c>
      <c r="Q3567" s="77" t="s">
        <v>4341</v>
      </c>
      <c r="R3567" s="77">
        <v>0</v>
      </c>
      <c r="S3567" s="77">
        <v>1</v>
      </c>
      <c r="T3567" s="77">
        <v>1</v>
      </c>
      <c r="U3567" s="77">
        <v>0</v>
      </c>
      <c r="V3567" s="77">
        <v>935</v>
      </c>
      <c r="W3567" s="82" t="s">
        <v>6625</v>
      </c>
      <c r="X3567" s="80" t="str">
        <f>HYPERLINK("https://www.moneytimes.com.br/bolsas-europeias-acoes-sobem-apos-dados-dos-eua-e-com-rali-de-papeis-de-chips/")</f>
        <v>https://www.moneytimes.com.br/bolsas-europeias-acoes-sobem-apos-dados-dos-eua-e-com-rali-de-papeis-de-chips/</v>
      </c>
      <c r="Y3567" s="77" t="s">
        <v>7053</v>
      </c>
      <c r="Z3567" s="77"/>
      <c r="AA3567" s="77"/>
      <c r="AB3567" s="77"/>
      <c r="AC3567" s="82" t="s">
        <v>8255</v>
      </c>
      <c r="AD3567" s="77" t="s">
        <v>8278</v>
      </c>
      <c r="AE3567" s="80" t="str">
        <f>HYPERLINK("https://twitter.com/leiamoneytimes/status/1674109418357796865")</f>
        <v>https://twitter.com/leiamoneytimes/status/1674109418357796865</v>
      </c>
      <c r="AF3567" s="79">
        <v>45105.733368055553</v>
      </c>
      <c r="AG3567" s="85">
        <v>45105</v>
      </c>
      <c r="AH3567" s="82" t="s">
        <v>11556</v>
      </c>
      <c r="AI3567" s="77" t="b">
        <v>0</v>
      </c>
      <c r="AJ3567" s="77"/>
      <c r="AK3567" s="77"/>
      <c r="AL3567" s="77"/>
      <c r="AM3567" s="77"/>
      <c r="AN3567" s="77"/>
      <c r="AO3567" s="77"/>
      <c r="AP3567" s="77"/>
      <c r="AQ3567" s="77"/>
      <c r="AR3567" s="77"/>
      <c r="AS3567" s="77"/>
      <c r="AT3567" s="77"/>
      <c r="AU3567" s="77"/>
      <c r="AV3567" s="80" t="str">
        <f>HYPERLINK("https://pbs.twimg.com/profile_images/1559883556846977024/bXHnQFY0_normal.jpg")</f>
        <v>https://pbs.twimg.com/profile_images/1559883556846977024/bXHnQFY0_normal.jpg</v>
      </c>
      <c r="AW3567" s="82" t="s">
        <v>16651</v>
      </c>
      <c r="AX3567" s="82" t="s">
        <v>16651</v>
      </c>
      <c r="AY3567" s="77"/>
      <c r="AZ3567" s="82" t="s">
        <v>17385</v>
      </c>
      <c r="BA3567" s="82" t="s">
        <v>17385</v>
      </c>
      <c r="BB3567" s="82" t="s">
        <v>17385</v>
      </c>
      <c r="BC3567" s="82" t="s">
        <v>16651</v>
      </c>
      <c r="BD3567" s="77">
        <v>51150679</v>
      </c>
      <c r="BE3567" s="77"/>
      <c r="BF3567" s="77"/>
      <c r="BG3567" s="77"/>
      <c r="BH3567" s="77"/>
      <c r="BI3567" s="77"/>
    </row>
    <row r="3568" spans="1:61" x14ac:dyDescent="0.25">
      <c r="A3568" s="62" t="s">
        <v>605</v>
      </c>
      <c r="B3568" s="62" t="s">
        <v>605</v>
      </c>
      <c r="C3568" s="63"/>
      <c r="D3568" s="64"/>
      <c r="E3568" s="65"/>
      <c r="F3568" s="66"/>
      <c r="G3568" s="63"/>
      <c r="H3568" s="67"/>
      <c r="I3568" s="68"/>
      <c r="J3568" s="68"/>
      <c r="K3568" s="32"/>
      <c r="L3568" s="75">
        <v>3568</v>
      </c>
      <c r="M3568" s="75"/>
      <c r="N3568" s="70"/>
      <c r="O3568" s="77" t="s">
        <v>179</v>
      </c>
      <c r="P3568" s="79">
        <v>45105.700277777774</v>
      </c>
      <c r="Q3568" s="77" t="s">
        <v>4342</v>
      </c>
      <c r="R3568" s="77">
        <v>0</v>
      </c>
      <c r="S3568" s="77">
        <v>1</v>
      </c>
      <c r="T3568" s="77">
        <v>1</v>
      </c>
      <c r="U3568" s="77">
        <v>0</v>
      </c>
      <c r="V3568" s="77">
        <v>1125</v>
      </c>
      <c r="W3568" s="82" t="s">
        <v>6750</v>
      </c>
      <c r="X3568" s="80" t="str">
        <f>HYPERLINK("https://www.moneytimes.com.br/ibovespa-ibov-vale-vale3-e-brf-brfs3-pressionam-indice-mrv-mrve3-lidera-altas/")</f>
        <v>https://www.moneytimes.com.br/ibovespa-ibov-vale-vale3-e-brf-brfs3-pressionam-indice-mrv-mrve3-lidera-altas/</v>
      </c>
      <c r="Y3568" s="77" t="s">
        <v>7053</v>
      </c>
      <c r="Z3568" s="77"/>
      <c r="AA3568" s="77"/>
      <c r="AB3568" s="77"/>
      <c r="AC3568" s="82" t="s">
        <v>8255</v>
      </c>
      <c r="AD3568" s="77" t="s">
        <v>8278</v>
      </c>
      <c r="AE3568" s="80" t="str">
        <f>HYPERLINK("https://twitter.com/leiamoneytimes/status/1674097428117454852")</f>
        <v>https://twitter.com/leiamoneytimes/status/1674097428117454852</v>
      </c>
      <c r="AF3568" s="79">
        <v>45105.700277777774</v>
      </c>
      <c r="AG3568" s="85">
        <v>45105</v>
      </c>
      <c r="AH3568" s="82" t="s">
        <v>11557</v>
      </c>
      <c r="AI3568" s="77" t="b">
        <v>0</v>
      </c>
      <c r="AJ3568" s="77"/>
      <c r="AK3568" s="77"/>
      <c r="AL3568" s="77"/>
      <c r="AM3568" s="77"/>
      <c r="AN3568" s="77"/>
      <c r="AO3568" s="77"/>
      <c r="AP3568" s="77"/>
      <c r="AQ3568" s="77"/>
      <c r="AR3568" s="77"/>
      <c r="AS3568" s="77"/>
      <c r="AT3568" s="77"/>
      <c r="AU3568" s="77"/>
      <c r="AV3568" s="80" t="str">
        <f>HYPERLINK("https://pbs.twimg.com/profile_images/1559883556846977024/bXHnQFY0_normal.jpg")</f>
        <v>https://pbs.twimg.com/profile_images/1559883556846977024/bXHnQFY0_normal.jpg</v>
      </c>
      <c r="AW3568" s="82" t="s">
        <v>16652</v>
      </c>
      <c r="AX3568" s="82" t="s">
        <v>16652</v>
      </c>
      <c r="AY3568" s="77"/>
      <c r="AZ3568" s="82" t="s">
        <v>17385</v>
      </c>
      <c r="BA3568" s="82" t="s">
        <v>17385</v>
      </c>
      <c r="BB3568" s="82" t="s">
        <v>17385</v>
      </c>
      <c r="BC3568" s="82" t="s">
        <v>16652</v>
      </c>
      <c r="BD3568" s="77">
        <v>51150679</v>
      </c>
      <c r="BE3568" s="77"/>
      <c r="BF3568" s="77"/>
      <c r="BG3568" s="77"/>
      <c r="BH3568" s="77"/>
      <c r="BI3568" s="77"/>
    </row>
    <row r="3569" spans="1:61" x14ac:dyDescent="0.25">
      <c r="A3569" s="62" t="s">
        <v>605</v>
      </c>
      <c r="B3569" s="62" t="s">
        <v>605</v>
      </c>
      <c r="C3569" s="63"/>
      <c r="D3569" s="64"/>
      <c r="E3569" s="65"/>
      <c r="F3569" s="66"/>
      <c r="G3569" s="63"/>
      <c r="H3569" s="67"/>
      <c r="I3569" s="68"/>
      <c r="J3569" s="68"/>
      <c r="K3569" s="32"/>
      <c r="L3569" s="75">
        <v>3569</v>
      </c>
      <c r="M3569" s="75"/>
      <c r="N3569" s="70"/>
      <c r="O3569" s="77" t="s">
        <v>179</v>
      </c>
      <c r="P3569" s="79">
        <v>45105.675381944442</v>
      </c>
      <c r="Q3569" s="77" t="s">
        <v>4343</v>
      </c>
      <c r="R3569" s="77">
        <v>1</v>
      </c>
      <c r="S3569" s="77">
        <v>9</v>
      </c>
      <c r="T3569" s="77">
        <v>2</v>
      </c>
      <c r="U3569" s="77">
        <v>0</v>
      </c>
      <c r="V3569" s="77">
        <v>1316</v>
      </c>
      <c r="W3569" s="82" t="s">
        <v>5601</v>
      </c>
      <c r="X3569" s="80" t="str">
        <f>HYPERLINK("https://www.moneytimes.com.br/gringos-compram-milhoes-em-papeis-pelo-2o-dia-consecutivo-na-b3/")</f>
        <v>https://www.moneytimes.com.br/gringos-compram-milhoes-em-papeis-pelo-2o-dia-consecutivo-na-b3/</v>
      </c>
      <c r="Y3569" s="77" t="s">
        <v>7053</v>
      </c>
      <c r="Z3569" s="77"/>
      <c r="AA3569" s="77"/>
      <c r="AB3569" s="77"/>
      <c r="AC3569" s="82" t="s">
        <v>8255</v>
      </c>
      <c r="AD3569" s="77" t="s">
        <v>8278</v>
      </c>
      <c r="AE3569" s="80" t="str">
        <f>HYPERLINK("https://twitter.com/leiamoneytimes/status/1674088405515358211")</f>
        <v>https://twitter.com/leiamoneytimes/status/1674088405515358211</v>
      </c>
      <c r="AF3569" s="79">
        <v>45105.675381944442</v>
      </c>
      <c r="AG3569" s="85">
        <v>45105</v>
      </c>
      <c r="AH3569" s="82" t="s">
        <v>11558</v>
      </c>
      <c r="AI3569" s="77" t="b">
        <v>0</v>
      </c>
      <c r="AJ3569" s="77"/>
      <c r="AK3569" s="77"/>
      <c r="AL3569" s="77"/>
      <c r="AM3569" s="77"/>
      <c r="AN3569" s="77"/>
      <c r="AO3569" s="77"/>
      <c r="AP3569" s="77"/>
      <c r="AQ3569" s="77"/>
      <c r="AR3569" s="77"/>
      <c r="AS3569" s="77"/>
      <c r="AT3569" s="77"/>
      <c r="AU3569" s="77"/>
      <c r="AV3569" s="80" t="str">
        <f>HYPERLINK("https://pbs.twimg.com/profile_images/1559883556846977024/bXHnQFY0_normal.jpg")</f>
        <v>https://pbs.twimg.com/profile_images/1559883556846977024/bXHnQFY0_normal.jpg</v>
      </c>
      <c r="AW3569" s="82" t="s">
        <v>16653</v>
      </c>
      <c r="AX3569" s="82" t="s">
        <v>16653</v>
      </c>
      <c r="AY3569" s="77"/>
      <c r="AZ3569" s="82" t="s">
        <v>17385</v>
      </c>
      <c r="BA3569" s="82" t="s">
        <v>17385</v>
      </c>
      <c r="BB3569" s="82" t="s">
        <v>17385</v>
      </c>
      <c r="BC3569" s="82" t="s">
        <v>16653</v>
      </c>
      <c r="BD3569" s="77">
        <v>51150679</v>
      </c>
      <c r="BE3569" s="77"/>
      <c r="BF3569" s="77"/>
      <c r="BG3569" s="77"/>
      <c r="BH3569" s="77"/>
      <c r="BI3569" s="77"/>
    </row>
    <row r="3570" spans="1:61" x14ac:dyDescent="0.25">
      <c r="A3570" s="62" t="s">
        <v>605</v>
      </c>
      <c r="B3570" s="62" t="s">
        <v>605</v>
      </c>
      <c r="C3570" s="63"/>
      <c r="D3570" s="64"/>
      <c r="E3570" s="65"/>
      <c r="F3570" s="66"/>
      <c r="G3570" s="63"/>
      <c r="H3570" s="67"/>
      <c r="I3570" s="68"/>
      <c r="J3570" s="68"/>
      <c r="K3570" s="32"/>
      <c r="L3570" s="75">
        <v>3570</v>
      </c>
      <c r="M3570" s="75"/>
      <c r="N3570" s="70"/>
      <c r="O3570" s="77" t="s">
        <v>179</v>
      </c>
      <c r="P3570" s="79">
        <v>45105.490381944444</v>
      </c>
      <c r="Q3570" s="77" t="s">
        <v>4344</v>
      </c>
      <c r="R3570" s="77">
        <v>0</v>
      </c>
      <c r="S3570" s="77">
        <v>2</v>
      </c>
      <c r="T3570" s="77">
        <v>1</v>
      </c>
      <c r="U3570" s="77">
        <v>0</v>
      </c>
      <c r="V3570" s="77">
        <v>1079</v>
      </c>
      <c r="W3570" s="82" t="s">
        <v>6564</v>
      </c>
      <c r="X3570" s="80" t="str">
        <f>HYPERLINK("https://www.moneytimes.com.br/bolsas-asiaticas-acoes-da-china-e-de-hong-kong-ficam-estaveis-com-queda-nos-lucros-industriais/")</f>
        <v>https://www.moneytimes.com.br/bolsas-asiaticas-acoes-da-china-e-de-hong-kong-ficam-estaveis-com-queda-nos-lucros-industriais/</v>
      </c>
      <c r="Y3570" s="77" t="s">
        <v>7053</v>
      </c>
      <c r="Z3570" s="77"/>
      <c r="AA3570" s="77"/>
      <c r="AB3570" s="77"/>
      <c r="AC3570" s="82" t="s">
        <v>8255</v>
      </c>
      <c r="AD3570" s="77" t="s">
        <v>8278</v>
      </c>
      <c r="AE3570" s="80" t="str">
        <f>HYPERLINK("https://twitter.com/leiamoneytimes/status/1674021362208329734")</f>
        <v>https://twitter.com/leiamoneytimes/status/1674021362208329734</v>
      </c>
      <c r="AF3570" s="79">
        <v>45105.490381944444</v>
      </c>
      <c r="AG3570" s="85">
        <v>45105</v>
      </c>
      <c r="AH3570" s="82" t="s">
        <v>11559</v>
      </c>
      <c r="AI3570" s="77" t="b">
        <v>0</v>
      </c>
      <c r="AJ3570" s="77"/>
      <c r="AK3570" s="77"/>
      <c r="AL3570" s="77"/>
      <c r="AM3570" s="77"/>
      <c r="AN3570" s="77"/>
      <c r="AO3570" s="77"/>
      <c r="AP3570" s="77"/>
      <c r="AQ3570" s="77"/>
      <c r="AR3570" s="77"/>
      <c r="AS3570" s="77"/>
      <c r="AT3570" s="77"/>
      <c r="AU3570" s="77"/>
      <c r="AV3570" s="80" t="str">
        <f>HYPERLINK("https://pbs.twimg.com/profile_images/1559883556846977024/bXHnQFY0_normal.jpg")</f>
        <v>https://pbs.twimg.com/profile_images/1559883556846977024/bXHnQFY0_normal.jpg</v>
      </c>
      <c r="AW3570" s="82" t="s">
        <v>16654</v>
      </c>
      <c r="AX3570" s="82" t="s">
        <v>16654</v>
      </c>
      <c r="AY3570" s="77"/>
      <c r="AZ3570" s="82" t="s">
        <v>17385</v>
      </c>
      <c r="BA3570" s="82" t="s">
        <v>17385</v>
      </c>
      <c r="BB3570" s="82" t="s">
        <v>17385</v>
      </c>
      <c r="BC3570" s="82" t="s">
        <v>16654</v>
      </c>
      <c r="BD3570" s="77">
        <v>51150679</v>
      </c>
      <c r="BE3570" s="77"/>
      <c r="BF3570" s="77"/>
      <c r="BG3570" s="77"/>
      <c r="BH3570" s="77"/>
      <c r="BI3570" s="77"/>
    </row>
    <row r="3571" spans="1:61" x14ac:dyDescent="0.25">
      <c r="A3571" s="62" t="s">
        <v>605</v>
      </c>
      <c r="B3571" s="62" t="s">
        <v>605</v>
      </c>
      <c r="C3571" s="63"/>
      <c r="D3571" s="64"/>
      <c r="E3571" s="65"/>
      <c r="F3571" s="66"/>
      <c r="G3571" s="63"/>
      <c r="H3571" s="67"/>
      <c r="I3571" s="68"/>
      <c r="J3571" s="68"/>
      <c r="K3571" s="32"/>
      <c r="L3571" s="75">
        <v>3571</v>
      </c>
      <c r="M3571" s="75"/>
      <c r="N3571" s="70"/>
      <c r="O3571" s="77" t="s">
        <v>179</v>
      </c>
      <c r="P3571" s="79">
        <v>45104.916064814817</v>
      </c>
      <c r="Q3571" s="77" t="s">
        <v>4345</v>
      </c>
      <c r="R3571" s="77">
        <v>3</v>
      </c>
      <c r="S3571" s="77">
        <v>17</v>
      </c>
      <c r="T3571" s="77">
        <v>1</v>
      </c>
      <c r="U3571" s="77">
        <v>0</v>
      </c>
      <c r="V3571" s="77">
        <v>7599</v>
      </c>
      <c r="W3571" s="82" t="s">
        <v>6580</v>
      </c>
      <c r="X3571" s="80" t="str">
        <f>HYPERLINK("https://www.moneytimes.com.br/eletrica-aprova-pagamento-de-quase-r-400-milhoes-em-jcp/")</f>
        <v>https://www.moneytimes.com.br/eletrica-aprova-pagamento-de-quase-r-400-milhoes-em-jcp/</v>
      </c>
      <c r="Y3571" s="77" t="s">
        <v>7053</v>
      </c>
      <c r="Z3571" s="77"/>
      <c r="AA3571" s="77"/>
      <c r="AB3571" s="77"/>
      <c r="AC3571" s="82" t="s">
        <v>8255</v>
      </c>
      <c r="AD3571" s="77" t="s">
        <v>8278</v>
      </c>
      <c r="AE3571" s="80" t="str">
        <f>HYPERLINK("https://twitter.com/leiamoneytimes/status/1673813238457180160")</f>
        <v>https://twitter.com/leiamoneytimes/status/1673813238457180160</v>
      </c>
      <c r="AF3571" s="79">
        <v>45104.916064814817</v>
      </c>
      <c r="AG3571" s="85">
        <v>45104</v>
      </c>
      <c r="AH3571" s="82" t="s">
        <v>11560</v>
      </c>
      <c r="AI3571" s="77" t="b">
        <v>0</v>
      </c>
      <c r="AJ3571" s="77"/>
      <c r="AK3571" s="77"/>
      <c r="AL3571" s="77"/>
      <c r="AM3571" s="77"/>
      <c r="AN3571" s="77"/>
      <c r="AO3571" s="77"/>
      <c r="AP3571" s="77"/>
      <c r="AQ3571" s="77"/>
      <c r="AR3571" s="77"/>
      <c r="AS3571" s="77"/>
      <c r="AT3571" s="77"/>
      <c r="AU3571" s="77"/>
      <c r="AV3571" s="80" t="str">
        <f>HYPERLINK("https://pbs.twimg.com/profile_images/1559883556846977024/bXHnQFY0_normal.jpg")</f>
        <v>https://pbs.twimg.com/profile_images/1559883556846977024/bXHnQFY0_normal.jpg</v>
      </c>
      <c r="AW3571" s="82" t="s">
        <v>16655</v>
      </c>
      <c r="AX3571" s="82" t="s">
        <v>16655</v>
      </c>
      <c r="AY3571" s="77"/>
      <c r="AZ3571" s="82" t="s">
        <v>17385</v>
      </c>
      <c r="BA3571" s="82" t="s">
        <v>17385</v>
      </c>
      <c r="BB3571" s="82" t="s">
        <v>17385</v>
      </c>
      <c r="BC3571" s="82" t="s">
        <v>16655</v>
      </c>
      <c r="BD3571" s="77">
        <v>51150679</v>
      </c>
      <c r="BE3571" s="77"/>
      <c r="BF3571" s="77"/>
      <c r="BG3571" s="77"/>
      <c r="BH3571" s="77"/>
      <c r="BI3571" s="77"/>
    </row>
    <row r="3572" spans="1:61" x14ac:dyDescent="0.25">
      <c r="A3572" s="62" t="s">
        <v>605</v>
      </c>
      <c r="B3572" s="62" t="s">
        <v>605</v>
      </c>
      <c r="C3572" s="63"/>
      <c r="D3572" s="64"/>
      <c r="E3572" s="65"/>
      <c r="F3572" s="66"/>
      <c r="G3572" s="63"/>
      <c r="H3572" s="67"/>
      <c r="I3572" s="68"/>
      <c r="J3572" s="68"/>
      <c r="K3572" s="32"/>
      <c r="L3572" s="75">
        <v>3572</v>
      </c>
      <c r="M3572" s="75"/>
      <c r="N3572" s="70"/>
      <c r="O3572" s="77" t="s">
        <v>179</v>
      </c>
      <c r="P3572" s="79">
        <v>45104.847997685189</v>
      </c>
      <c r="Q3572" s="77" t="s">
        <v>4346</v>
      </c>
      <c r="R3572" s="77">
        <v>1</v>
      </c>
      <c r="S3572" s="77">
        <v>4</v>
      </c>
      <c r="T3572" s="77">
        <v>1</v>
      </c>
      <c r="U3572" s="77">
        <v>0</v>
      </c>
      <c r="V3572" s="77">
        <v>1254</v>
      </c>
      <c r="W3572" s="82" t="s">
        <v>6551</v>
      </c>
      <c r="X3572" s="80" t="str">
        <f>HYPERLINK("https://www.moneytimes.com.br/ibovespa-hoje-fecha-queda-petrobras-petr4-inflacao-copom-27-06-2023/")</f>
        <v>https://www.moneytimes.com.br/ibovespa-hoje-fecha-queda-petrobras-petr4-inflacao-copom-27-06-2023/</v>
      </c>
      <c r="Y3572" s="77" t="s">
        <v>7053</v>
      </c>
      <c r="Z3572" s="77"/>
      <c r="AA3572" s="77"/>
      <c r="AB3572" s="77"/>
      <c r="AC3572" s="82" t="s">
        <v>8255</v>
      </c>
      <c r="AD3572" s="77" t="s">
        <v>8278</v>
      </c>
      <c r="AE3572" s="80" t="str">
        <f>HYPERLINK("https://twitter.com/leiamoneytimes/status/1673788569586991105")</f>
        <v>https://twitter.com/leiamoneytimes/status/1673788569586991105</v>
      </c>
      <c r="AF3572" s="79">
        <v>45104.847997685189</v>
      </c>
      <c r="AG3572" s="85">
        <v>45104</v>
      </c>
      <c r="AH3572" s="82" t="s">
        <v>11561</v>
      </c>
      <c r="AI3572" s="77" t="b">
        <v>0</v>
      </c>
      <c r="AJ3572" s="77"/>
      <c r="AK3572" s="77"/>
      <c r="AL3572" s="77"/>
      <c r="AM3572" s="77"/>
      <c r="AN3572" s="77"/>
      <c r="AO3572" s="77"/>
      <c r="AP3572" s="77"/>
      <c r="AQ3572" s="77"/>
      <c r="AR3572" s="77"/>
      <c r="AS3572" s="77"/>
      <c r="AT3572" s="77"/>
      <c r="AU3572" s="77"/>
      <c r="AV3572" s="80" t="str">
        <f>HYPERLINK("https://pbs.twimg.com/profile_images/1559883556846977024/bXHnQFY0_normal.jpg")</f>
        <v>https://pbs.twimg.com/profile_images/1559883556846977024/bXHnQFY0_normal.jpg</v>
      </c>
      <c r="AW3572" s="82" t="s">
        <v>16656</v>
      </c>
      <c r="AX3572" s="82" t="s">
        <v>16656</v>
      </c>
      <c r="AY3572" s="77"/>
      <c r="AZ3572" s="82" t="s">
        <v>17385</v>
      </c>
      <c r="BA3572" s="82" t="s">
        <v>17385</v>
      </c>
      <c r="BB3572" s="82" t="s">
        <v>17385</v>
      </c>
      <c r="BC3572" s="82" t="s">
        <v>16656</v>
      </c>
      <c r="BD3572" s="77">
        <v>51150679</v>
      </c>
      <c r="BE3572" s="77"/>
      <c r="BF3572" s="77"/>
      <c r="BG3572" s="77"/>
      <c r="BH3572" s="77"/>
      <c r="BI3572" s="77"/>
    </row>
    <row r="3573" spans="1:61" x14ac:dyDescent="0.25">
      <c r="A3573" s="62" t="s">
        <v>605</v>
      </c>
      <c r="B3573" s="62" t="s">
        <v>605</v>
      </c>
      <c r="C3573" s="63"/>
      <c r="D3573" s="64"/>
      <c r="E3573" s="65"/>
      <c r="F3573" s="66"/>
      <c r="G3573" s="63"/>
      <c r="H3573" s="67"/>
      <c r="I3573" s="68"/>
      <c r="J3573" s="68"/>
      <c r="K3573" s="32"/>
      <c r="L3573" s="75">
        <v>3573</v>
      </c>
      <c r="M3573" s="75"/>
      <c r="N3573" s="70"/>
      <c r="O3573" s="77" t="s">
        <v>179</v>
      </c>
      <c r="P3573" s="79">
        <v>45104.759120370371</v>
      </c>
      <c r="Q3573" s="77" t="s">
        <v>4347</v>
      </c>
      <c r="R3573" s="77">
        <v>0</v>
      </c>
      <c r="S3573" s="77">
        <v>1</v>
      </c>
      <c r="T3573" s="77">
        <v>3</v>
      </c>
      <c r="U3573" s="77">
        <v>0</v>
      </c>
      <c r="V3573" s="77">
        <v>1442</v>
      </c>
      <c r="W3573" s="82" t="s">
        <v>6688</v>
      </c>
      <c r="X3573" s="80" t="str">
        <f>HYPERLINK("https://www.moneytimes.com.br/gringos-vao-as-compras-e-embolsam-milhoes-em-papeis-na-b3/")</f>
        <v>https://www.moneytimes.com.br/gringos-vao-as-compras-e-embolsam-milhoes-em-papeis-na-b3/</v>
      </c>
      <c r="Y3573" s="77" t="s">
        <v>7053</v>
      </c>
      <c r="Z3573" s="77"/>
      <c r="AA3573" s="77"/>
      <c r="AB3573" s="77"/>
      <c r="AC3573" s="82" t="s">
        <v>8255</v>
      </c>
      <c r="AD3573" s="77" t="s">
        <v>8278</v>
      </c>
      <c r="AE3573" s="80" t="str">
        <f>HYPERLINK("https://twitter.com/leiamoneytimes/status/1673756363313258498")</f>
        <v>https://twitter.com/leiamoneytimes/status/1673756363313258498</v>
      </c>
      <c r="AF3573" s="79">
        <v>45104.759120370371</v>
      </c>
      <c r="AG3573" s="85">
        <v>45104</v>
      </c>
      <c r="AH3573" s="82" t="s">
        <v>11562</v>
      </c>
      <c r="AI3573" s="77" t="b">
        <v>0</v>
      </c>
      <c r="AJ3573" s="77"/>
      <c r="AK3573" s="77"/>
      <c r="AL3573" s="77"/>
      <c r="AM3573" s="77"/>
      <c r="AN3573" s="77"/>
      <c r="AO3573" s="77"/>
      <c r="AP3573" s="77"/>
      <c r="AQ3573" s="77"/>
      <c r="AR3573" s="77"/>
      <c r="AS3573" s="77"/>
      <c r="AT3573" s="77"/>
      <c r="AU3573" s="77"/>
      <c r="AV3573" s="80" t="str">
        <f>HYPERLINK("https://pbs.twimg.com/profile_images/1559883556846977024/bXHnQFY0_normal.jpg")</f>
        <v>https://pbs.twimg.com/profile_images/1559883556846977024/bXHnQFY0_normal.jpg</v>
      </c>
      <c r="AW3573" s="82" t="s">
        <v>16657</v>
      </c>
      <c r="AX3573" s="82" t="s">
        <v>16657</v>
      </c>
      <c r="AY3573" s="77"/>
      <c r="AZ3573" s="82" t="s">
        <v>17385</v>
      </c>
      <c r="BA3573" s="82" t="s">
        <v>17385</v>
      </c>
      <c r="BB3573" s="82" t="s">
        <v>17385</v>
      </c>
      <c r="BC3573" s="82" t="s">
        <v>16657</v>
      </c>
      <c r="BD3573" s="77">
        <v>51150679</v>
      </c>
      <c r="BE3573" s="77"/>
      <c r="BF3573" s="77"/>
      <c r="BG3573" s="77"/>
      <c r="BH3573" s="77"/>
      <c r="BI3573" s="77"/>
    </row>
    <row r="3574" spans="1:61" x14ac:dyDescent="0.25">
      <c r="A3574" s="62" t="s">
        <v>605</v>
      </c>
      <c r="B3574" s="62" t="s">
        <v>605</v>
      </c>
      <c r="C3574" s="63"/>
      <c r="D3574" s="64"/>
      <c r="E3574" s="65"/>
      <c r="F3574" s="66"/>
      <c r="G3574" s="63"/>
      <c r="H3574" s="67"/>
      <c r="I3574" s="68"/>
      <c r="J3574" s="68"/>
      <c r="K3574" s="32"/>
      <c r="L3574" s="75">
        <v>3574</v>
      </c>
      <c r="M3574" s="75"/>
      <c r="N3574" s="70"/>
      <c r="O3574" s="77" t="s">
        <v>179</v>
      </c>
      <c r="P3574" s="79">
        <v>45104.697916666664</v>
      </c>
      <c r="Q3574" s="77" t="s">
        <v>4348</v>
      </c>
      <c r="R3574" s="77">
        <v>1</v>
      </c>
      <c r="S3574" s="77">
        <v>1</v>
      </c>
      <c r="T3574" s="77">
        <v>1</v>
      </c>
      <c r="U3574" s="77">
        <v>0</v>
      </c>
      <c r="V3574" s="77">
        <v>1045</v>
      </c>
      <c r="W3574" s="82" t="s">
        <v>6751</v>
      </c>
      <c r="X3574" s="80" t="str">
        <f>HYPERLINK("https://www.moneytimes.com.br/musk-vs-zuckerberg-quem-leva-melhor-na-bolsa-de-valores/")</f>
        <v>https://www.moneytimes.com.br/musk-vs-zuckerberg-quem-leva-melhor-na-bolsa-de-valores/</v>
      </c>
      <c r="Y3574" s="77" t="s">
        <v>7053</v>
      </c>
      <c r="Z3574" s="77"/>
      <c r="AA3574" s="77"/>
      <c r="AB3574" s="77"/>
      <c r="AC3574" s="82" t="s">
        <v>8255</v>
      </c>
      <c r="AD3574" s="77" t="s">
        <v>8278</v>
      </c>
      <c r="AE3574" s="80" t="str">
        <f>HYPERLINK("https://twitter.com/leiamoneytimes/status/1673734184064413697")</f>
        <v>https://twitter.com/leiamoneytimes/status/1673734184064413697</v>
      </c>
      <c r="AF3574" s="79">
        <v>45104.697916666664</v>
      </c>
      <c r="AG3574" s="85">
        <v>45104</v>
      </c>
      <c r="AH3574" s="82" t="s">
        <v>11563</v>
      </c>
      <c r="AI3574" s="77" t="b">
        <v>0</v>
      </c>
      <c r="AJ3574" s="77"/>
      <c r="AK3574" s="77"/>
      <c r="AL3574" s="77"/>
      <c r="AM3574" s="77"/>
      <c r="AN3574" s="77"/>
      <c r="AO3574" s="77"/>
      <c r="AP3574" s="77"/>
      <c r="AQ3574" s="77"/>
      <c r="AR3574" s="77"/>
      <c r="AS3574" s="77"/>
      <c r="AT3574" s="77"/>
      <c r="AU3574" s="77"/>
      <c r="AV3574" s="80" t="str">
        <f>HYPERLINK("https://pbs.twimg.com/profile_images/1559883556846977024/bXHnQFY0_normal.jpg")</f>
        <v>https://pbs.twimg.com/profile_images/1559883556846977024/bXHnQFY0_normal.jpg</v>
      </c>
      <c r="AW3574" s="82" t="s">
        <v>16658</v>
      </c>
      <c r="AX3574" s="82" t="s">
        <v>16658</v>
      </c>
      <c r="AY3574" s="77"/>
      <c r="AZ3574" s="82" t="s">
        <v>17385</v>
      </c>
      <c r="BA3574" s="82" t="s">
        <v>17385</v>
      </c>
      <c r="BB3574" s="82" t="s">
        <v>17385</v>
      </c>
      <c r="BC3574" s="82" t="s">
        <v>16658</v>
      </c>
      <c r="BD3574" s="77">
        <v>51150679</v>
      </c>
      <c r="BE3574" s="77"/>
      <c r="BF3574" s="77"/>
      <c r="BG3574" s="77"/>
      <c r="BH3574" s="77"/>
      <c r="BI3574" s="77"/>
    </row>
    <row r="3575" spans="1:61" x14ac:dyDescent="0.25">
      <c r="A3575" s="62" t="s">
        <v>605</v>
      </c>
      <c r="B3575" s="62" t="s">
        <v>605</v>
      </c>
      <c r="C3575" s="63"/>
      <c r="D3575" s="64"/>
      <c r="E3575" s="65"/>
      <c r="F3575" s="66"/>
      <c r="G3575" s="63"/>
      <c r="H3575" s="67"/>
      <c r="I3575" s="68"/>
      <c r="J3575" s="68"/>
      <c r="K3575" s="32"/>
      <c r="L3575" s="75">
        <v>3575</v>
      </c>
      <c r="M3575" s="75"/>
      <c r="N3575" s="70"/>
      <c r="O3575" s="77" t="s">
        <v>179</v>
      </c>
      <c r="P3575" s="79">
        <v>45104.674884259257</v>
      </c>
      <c r="Q3575" s="77" t="s">
        <v>4349</v>
      </c>
      <c r="R3575" s="77">
        <v>0</v>
      </c>
      <c r="S3575" s="77">
        <v>8</v>
      </c>
      <c r="T3575" s="77">
        <v>1</v>
      </c>
      <c r="U3575" s="77">
        <v>0</v>
      </c>
      <c r="V3575" s="77">
        <v>1418</v>
      </c>
      <c r="W3575" s="82" t="s">
        <v>6752</v>
      </c>
      <c r="X3575" s="80" t="str">
        <f>HYPERLINK("https://www.moneytimes.com.br/ibovespa-ibov-dexco-dxco3-e-vibra-vbbr3-despencam-vale-vale3-avanca/")</f>
        <v>https://www.moneytimes.com.br/ibovespa-ibov-dexco-dxco3-e-vibra-vbbr3-despencam-vale-vale3-avanca/</v>
      </c>
      <c r="Y3575" s="77" t="s">
        <v>7053</v>
      </c>
      <c r="Z3575" s="77"/>
      <c r="AA3575" s="77"/>
      <c r="AB3575" s="77"/>
      <c r="AC3575" s="82" t="s">
        <v>8255</v>
      </c>
      <c r="AD3575" s="77" t="s">
        <v>8279</v>
      </c>
      <c r="AE3575" s="80" t="str">
        <f>HYPERLINK("https://twitter.com/leiamoneytimes/status/1673725836849979392")</f>
        <v>https://twitter.com/leiamoneytimes/status/1673725836849979392</v>
      </c>
      <c r="AF3575" s="79">
        <v>45104.674884259257</v>
      </c>
      <c r="AG3575" s="85">
        <v>45104</v>
      </c>
      <c r="AH3575" s="82" t="s">
        <v>11564</v>
      </c>
      <c r="AI3575" s="77" t="b">
        <v>0</v>
      </c>
      <c r="AJ3575" s="77"/>
      <c r="AK3575" s="77"/>
      <c r="AL3575" s="77"/>
      <c r="AM3575" s="77"/>
      <c r="AN3575" s="77"/>
      <c r="AO3575" s="77"/>
      <c r="AP3575" s="77"/>
      <c r="AQ3575" s="77"/>
      <c r="AR3575" s="77"/>
      <c r="AS3575" s="77"/>
      <c r="AT3575" s="77"/>
      <c r="AU3575" s="77"/>
      <c r="AV3575" s="80" t="str">
        <f>HYPERLINK("https://pbs.twimg.com/profile_images/1559883556846977024/bXHnQFY0_normal.jpg")</f>
        <v>https://pbs.twimg.com/profile_images/1559883556846977024/bXHnQFY0_normal.jpg</v>
      </c>
      <c r="AW3575" s="82" t="s">
        <v>16659</v>
      </c>
      <c r="AX3575" s="82" t="s">
        <v>16659</v>
      </c>
      <c r="AY3575" s="77"/>
      <c r="AZ3575" s="82" t="s">
        <v>17385</v>
      </c>
      <c r="BA3575" s="82" t="s">
        <v>17385</v>
      </c>
      <c r="BB3575" s="82" t="s">
        <v>17385</v>
      </c>
      <c r="BC3575" s="82" t="s">
        <v>16659</v>
      </c>
      <c r="BD3575" s="77">
        <v>51150679</v>
      </c>
      <c r="BE3575" s="77"/>
      <c r="BF3575" s="77"/>
      <c r="BG3575" s="77"/>
      <c r="BH3575" s="77"/>
      <c r="BI3575" s="77"/>
    </row>
    <row r="3576" spans="1:61" x14ac:dyDescent="0.25">
      <c r="A3576" s="62" t="s">
        <v>605</v>
      </c>
      <c r="B3576" s="62" t="s">
        <v>605</v>
      </c>
      <c r="C3576" s="63"/>
      <c r="D3576" s="64"/>
      <c r="E3576" s="65"/>
      <c r="F3576" s="66"/>
      <c r="G3576" s="63"/>
      <c r="H3576" s="67"/>
      <c r="I3576" s="68"/>
      <c r="J3576" s="68"/>
      <c r="K3576" s="32"/>
      <c r="L3576" s="75">
        <v>3576</v>
      </c>
      <c r="M3576" s="75"/>
      <c r="N3576" s="70"/>
      <c r="O3576" s="77" t="s">
        <v>179</v>
      </c>
      <c r="P3576" s="79">
        <v>45083.88076388889</v>
      </c>
      <c r="Q3576" s="77" t="s">
        <v>4350</v>
      </c>
      <c r="R3576" s="77">
        <v>0</v>
      </c>
      <c r="S3576" s="77">
        <v>4</v>
      </c>
      <c r="T3576" s="77">
        <v>0</v>
      </c>
      <c r="U3576" s="77">
        <v>0</v>
      </c>
      <c r="V3576" s="77">
        <v>1588</v>
      </c>
      <c r="W3576" s="82" t="s">
        <v>6580</v>
      </c>
      <c r="X3576" s="80" t="str">
        <f>HYPERLINK("https://www.moneytimes.com.br/dividendos-positivo-posi3-detecta-inconsistencia-e-corrige-valor-por-acao/")</f>
        <v>https://www.moneytimes.com.br/dividendos-positivo-posi3-detecta-inconsistencia-e-corrige-valor-por-acao/</v>
      </c>
      <c r="Y3576" s="77" t="s">
        <v>7053</v>
      </c>
      <c r="Z3576" s="77"/>
      <c r="AA3576" s="77"/>
      <c r="AB3576" s="77"/>
      <c r="AC3576" s="82" t="s">
        <v>8255</v>
      </c>
      <c r="AD3576" s="77" t="s">
        <v>8278</v>
      </c>
      <c r="AE3576" s="80" t="str">
        <f>HYPERLINK("https://twitter.com/leiamoneytimes/status/1666190298718896129")</f>
        <v>https://twitter.com/leiamoneytimes/status/1666190298718896129</v>
      </c>
      <c r="AF3576" s="79">
        <v>45083.88076388889</v>
      </c>
      <c r="AG3576" s="85">
        <v>45083</v>
      </c>
      <c r="AH3576" s="82" t="s">
        <v>11565</v>
      </c>
      <c r="AI3576" s="77" t="b">
        <v>0</v>
      </c>
      <c r="AJ3576" s="77"/>
      <c r="AK3576" s="77"/>
      <c r="AL3576" s="77"/>
      <c r="AM3576" s="77"/>
      <c r="AN3576" s="77"/>
      <c r="AO3576" s="77"/>
      <c r="AP3576" s="77"/>
      <c r="AQ3576" s="77"/>
      <c r="AR3576" s="77"/>
      <c r="AS3576" s="77"/>
      <c r="AT3576" s="77"/>
      <c r="AU3576" s="77"/>
      <c r="AV3576" s="80" t="str">
        <f>HYPERLINK("https://pbs.twimg.com/profile_images/1559883556846977024/bXHnQFY0_normal.jpg")</f>
        <v>https://pbs.twimg.com/profile_images/1559883556846977024/bXHnQFY0_normal.jpg</v>
      </c>
      <c r="AW3576" s="82" t="s">
        <v>16660</v>
      </c>
      <c r="AX3576" s="82" t="s">
        <v>16660</v>
      </c>
      <c r="AY3576" s="77"/>
      <c r="AZ3576" s="82" t="s">
        <v>17385</v>
      </c>
      <c r="BA3576" s="82" t="s">
        <v>17385</v>
      </c>
      <c r="BB3576" s="82" t="s">
        <v>17385</v>
      </c>
      <c r="BC3576" s="82" t="s">
        <v>16660</v>
      </c>
      <c r="BD3576" s="77">
        <v>51150679</v>
      </c>
      <c r="BE3576" s="77"/>
      <c r="BF3576" s="77"/>
      <c r="BG3576" s="77"/>
      <c r="BH3576" s="77"/>
      <c r="BI3576" s="77"/>
    </row>
    <row r="3577" spans="1:61" x14ac:dyDescent="0.25">
      <c r="A3577" s="62" t="s">
        <v>605</v>
      </c>
      <c r="B3577" s="62" t="s">
        <v>605</v>
      </c>
      <c r="C3577" s="63"/>
      <c r="D3577" s="64"/>
      <c r="E3577" s="65"/>
      <c r="F3577" s="66"/>
      <c r="G3577" s="63"/>
      <c r="H3577" s="67"/>
      <c r="I3577" s="68"/>
      <c r="J3577" s="68"/>
      <c r="K3577" s="32"/>
      <c r="L3577" s="75">
        <v>3577</v>
      </c>
      <c r="M3577" s="75"/>
      <c r="N3577" s="70"/>
      <c r="O3577" s="77" t="s">
        <v>179</v>
      </c>
      <c r="P3577" s="79">
        <v>45083.850138888891</v>
      </c>
      <c r="Q3577" s="77" t="s">
        <v>4351</v>
      </c>
      <c r="R3577" s="77">
        <v>0</v>
      </c>
      <c r="S3577" s="77">
        <v>1</v>
      </c>
      <c r="T3577" s="77">
        <v>0</v>
      </c>
      <c r="U3577" s="77">
        <v>0</v>
      </c>
      <c r="V3577" s="77">
        <v>1146</v>
      </c>
      <c r="W3577" s="82" t="s">
        <v>6551</v>
      </c>
      <c r="X3577" s="80" t="str">
        <f>HYPERLINK("https://www.moneytimes.com.br/ibovespa-hoje-fecha-alta-114-mil-pontos-inflacao-ipca-06-06-2023/")</f>
        <v>https://www.moneytimes.com.br/ibovespa-hoje-fecha-alta-114-mil-pontos-inflacao-ipca-06-06-2023/</v>
      </c>
      <c r="Y3577" s="77" t="s">
        <v>7053</v>
      </c>
      <c r="Z3577" s="77"/>
      <c r="AA3577" s="77"/>
      <c r="AB3577" s="77"/>
      <c r="AC3577" s="82" t="s">
        <v>8255</v>
      </c>
      <c r="AD3577" s="77" t="s">
        <v>8278</v>
      </c>
      <c r="AE3577" s="80" t="str">
        <f>HYPERLINK("https://twitter.com/leiamoneytimes/status/1666179203362955265")</f>
        <v>https://twitter.com/leiamoneytimes/status/1666179203362955265</v>
      </c>
      <c r="AF3577" s="79">
        <v>45083.850138888891</v>
      </c>
      <c r="AG3577" s="85">
        <v>45083</v>
      </c>
      <c r="AH3577" s="82" t="s">
        <v>9595</v>
      </c>
      <c r="AI3577" s="77" t="b">
        <v>0</v>
      </c>
      <c r="AJ3577" s="77"/>
      <c r="AK3577" s="77"/>
      <c r="AL3577" s="77"/>
      <c r="AM3577" s="77"/>
      <c r="AN3577" s="77"/>
      <c r="AO3577" s="77"/>
      <c r="AP3577" s="77"/>
      <c r="AQ3577" s="77"/>
      <c r="AR3577" s="77"/>
      <c r="AS3577" s="77"/>
      <c r="AT3577" s="77"/>
      <c r="AU3577" s="77"/>
      <c r="AV3577" s="80" t="str">
        <f>HYPERLINK("https://pbs.twimg.com/profile_images/1559883556846977024/bXHnQFY0_normal.jpg")</f>
        <v>https://pbs.twimg.com/profile_images/1559883556846977024/bXHnQFY0_normal.jpg</v>
      </c>
      <c r="AW3577" s="82" t="s">
        <v>16661</v>
      </c>
      <c r="AX3577" s="82" t="s">
        <v>16661</v>
      </c>
      <c r="AY3577" s="77"/>
      <c r="AZ3577" s="82" t="s">
        <v>17385</v>
      </c>
      <c r="BA3577" s="82" t="s">
        <v>17385</v>
      </c>
      <c r="BB3577" s="82" t="s">
        <v>17385</v>
      </c>
      <c r="BC3577" s="82" t="s">
        <v>16661</v>
      </c>
      <c r="BD3577" s="77">
        <v>51150679</v>
      </c>
      <c r="BE3577" s="77"/>
      <c r="BF3577" s="77"/>
      <c r="BG3577" s="77"/>
      <c r="BH3577" s="77"/>
      <c r="BI3577" s="77"/>
    </row>
    <row r="3578" spans="1:61" x14ac:dyDescent="0.25">
      <c r="A3578" s="62" t="s">
        <v>605</v>
      </c>
      <c r="B3578" s="62" t="s">
        <v>605</v>
      </c>
      <c r="C3578" s="63"/>
      <c r="D3578" s="64"/>
      <c r="E3578" s="65"/>
      <c r="F3578" s="66"/>
      <c r="G3578" s="63"/>
      <c r="H3578" s="67"/>
      <c r="I3578" s="68"/>
      <c r="J3578" s="68"/>
      <c r="K3578" s="32"/>
      <c r="L3578" s="75">
        <v>3578</v>
      </c>
      <c r="M3578" s="75"/>
      <c r="N3578" s="70"/>
      <c r="O3578" s="77" t="s">
        <v>179</v>
      </c>
      <c r="P3578" s="79">
        <v>45083.823657407411</v>
      </c>
      <c r="Q3578" s="77" t="s">
        <v>4352</v>
      </c>
      <c r="R3578" s="77">
        <v>0</v>
      </c>
      <c r="S3578" s="77">
        <v>1</v>
      </c>
      <c r="T3578" s="77">
        <v>1</v>
      </c>
      <c r="U3578" s="77">
        <v>0</v>
      </c>
      <c r="V3578" s="77">
        <v>1421</v>
      </c>
      <c r="W3578" s="82" t="s">
        <v>6753</v>
      </c>
      <c r="X3578" s="80" t="str">
        <f>HYPERLINK("https://www.moneytimes.com.br/light-ligt3-3-pontos-explicam-a-disparada-de-14-das-acoes-nesta-terca-6/")</f>
        <v>https://www.moneytimes.com.br/light-ligt3-3-pontos-explicam-a-disparada-de-14-das-acoes-nesta-terca-6/</v>
      </c>
      <c r="Y3578" s="77" t="s">
        <v>7053</v>
      </c>
      <c r="Z3578" s="77"/>
      <c r="AA3578" s="77"/>
      <c r="AB3578" s="77"/>
      <c r="AC3578" s="82" t="s">
        <v>8255</v>
      </c>
      <c r="AD3578" s="77" t="s">
        <v>8278</v>
      </c>
      <c r="AE3578" s="80" t="str">
        <f>HYPERLINK("https://twitter.com/leiamoneytimes/status/1666169603343491073")</f>
        <v>https://twitter.com/leiamoneytimes/status/1666169603343491073</v>
      </c>
      <c r="AF3578" s="79">
        <v>45083.823657407411</v>
      </c>
      <c r="AG3578" s="85">
        <v>45083</v>
      </c>
      <c r="AH3578" s="82" t="s">
        <v>11566</v>
      </c>
      <c r="AI3578" s="77" t="b">
        <v>0</v>
      </c>
      <c r="AJ3578" s="77"/>
      <c r="AK3578" s="77"/>
      <c r="AL3578" s="77"/>
      <c r="AM3578" s="77"/>
      <c r="AN3578" s="77"/>
      <c r="AO3578" s="77"/>
      <c r="AP3578" s="77"/>
      <c r="AQ3578" s="77"/>
      <c r="AR3578" s="77"/>
      <c r="AS3578" s="77"/>
      <c r="AT3578" s="77"/>
      <c r="AU3578" s="77"/>
      <c r="AV3578" s="80" t="str">
        <f>HYPERLINK("https://pbs.twimg.com/profile_images/1559883556846977024/bXHnQFY0_normal.jpg")</f>
        <v>https://pbs.twimg.com/profile_images/1559883556846977024/bXHnQFY0_normal.jpg</v>
      </c>
      <c r="AW3578" s="82" t="s">
        <v>16662</v>
      </c>
      <c r="AX3578" s="82" t="s">
        <v>16662</v>
      </c>
      <c r="AY3578" s="77"/>
      <c r="AZ3578" s="82" t="s">
        <v>17385</v>
      </c>
      <c r="BA3578" s="82" t="s">
        <v>17385</v>
      </c>
      <c r="BB3578" s="82" t="s">
        <v>17385</v>
      </c>
      <c r="BC3578" s="82" t="s">
        <v>16662</v>
      </c>
      <c r="BD3578" s="77">
        <v>51150679</v>
      </c>
      <c r="BE3578" s="77"/>
      <c r="BF3578" s="77"/>
      <c r="BG3578" s="77"/>
      <c r="BH3578" s="77"/>
      <c r="BI3578" s="77"/>
    </row>
    <row r="3579" spans="1:61" x14ac:dyDescent="0.25">
      <c r="A3579" s="62" t="s">
        <v>605</v>
      </c>
      <c r="B3579" s="62" t="s">
        <v>605</v>
      </c>
      <c r="C3579" s="63"/>
      <c r="D3579" s="64"/>
      <c r="E3579" s="65"/>
      <c r="F3579" s="66"/>
      <c r="G3579" s="63"/>
      <c r="H3579" s="67"/>
      <c r="I3579" s="68"/>
      <c r="J3579" s="68"/>
      <c r="K3579" s="32"/>
      <c r="L3579" s="75">
        <v>3579</v>
      </c>
      <c r="M3579" s="75"/>
      <c r="N3579" s="70"/>
      <c r="O3579" s="77" t="s">
        <v>179</v>
      </c>
      <c r="P3579" s="79">
        <v>45083.671655092592</v>
      </c>
      <c r="Q3579" s="77" t="s">
        <v>4353</v>
      </c>
      <c r="R3579" s="77">
        <v>0</v>
      </c>
      <c r="S3579" s="77">
        <v>2</v>
      </c>
      <c r="T3579" s="77">
        <v>0</v>
      </c>
      <c r="U3579" s="77">
        <v>0</v>
      </c>
      <c r="V3579" s="77">
        <v>1431</v>
      </c>
      <c r="W3579" s="82" t="s">
        <v>6555</v>
      </c>
      <c r="X3579" s="80" t="str">
        <f>HYPERLINK("https://www.moneytimes.com.br/ibovespa-por-que-azul-azul4-dispara-9-e-goll-goll4-avanca-7-nesta-terca-6/")</f>
        <v>https://www.moneytimes.com.br/ibovespa-por-que-azul-azul4-dispara-9-e-goll-goll4-avanca-7-nesta-terca-6/</v>
      </c>
      <c r="Y3579" s="77" t="s">
        <v>7053</v>
      </c>
      <c r="Z3579" s="77"/>
      <c r="AA3579" s="77"/>
      <c r="AB3579" s="77"/>
      <c r="AC3579" s="82" t="s">
        <v>8255</v>
      </c>
      <c r="AD3579" s="77" t="s">
        <v>8278</v>
      </c>
      <c r="AE3579" s="80" t="str">
        <f>HYPERLINK("https://twitter.com/leiamoneytimes/status/1666114522015309824")</f>
        <v>https://twitter.com/leiamoneytimes/status/1666114522015309824</v>
      </c>
      <c r="AF3579" s="79">
        <v>45083.671655092592</v>
      </c>
      <c r="AG3579" s="85">
        <v>45083</v>
      </c>
      <c r="AH3579" s="82" t="s">
        <v>11567</v>
      </c>
      <c r="AI3579" s="77" t="b">
        <v>0</v>
      </c>
      <c r="AJ3579" s="77"/>
      <c r="AK3579" s="77"/>
      <c r="AL3579" s="77"/>
      <c r="AM3579" s="77"/>
      <c r="AN3579" s="77"/>
      <c r="AO3579" s="77"/>
      <c r="AP3579" s="77"/>
      <c r="AQ3579" s="77"/>
      <c r="AR3579" s="77"/>
      <c r="AS3579" s="77"/>
      <c r="AT3579" s="77"/>
      <c r="AU3579" s="77"/>
      <c r="AV3579" s="80" t="str">
        <f>HYPERLINK("https://pbs.twimg.com/profile_images/1559883556846977024/bXHnQFY0_normal.jpg")</f>
        <v>https://pbs.twimg.com/profile_images/1559883556846977024/bXHnQFY0_normal.jpg</v>
      </c>
      <c r="AW3579" s="82" t="s">
        <v>16663</v>
      </c>
      <c r="AX3579" s="82" t="s">
        <v>16663</v>
      </c>
      <c r="AY3579" s="77"/>
      <c r="AZ3579" s="82" t="s">
        <v>17385</v>
      </c>
      <c r="BA3579" s="82" t="s">
        <v>17385</v>
      </c>
      <c r="BB3579" s="82" t="s">
        <v>17385</v>
      </c>
      <c r="BC3579" s="82" t="s">
        <v>16663</v>
      </c>
      <c r="BD3579" s="77">
        <v>51150679</v>
      </c>
      <c r="BE3579" s="77"/>
      <c r="BF3579" s="77"/>
      <c r="BG3579" s="77"/>
      <c r="BH3579" s="77"/>
      <c r="BI3579" s="77"/>
    </row>
    <row r="3580" spans="1:61" x14ac:dyDescent="0.25">
      <c r="A3580" s="62" t="s">
        <v>605</v>
      </c>
      <c r="B3580" s="62" t="s">
        <v>605</v>
      </c>
      <c r="C3580" s="63"/>
      <c r="D3580" s="64"/>
      <c r="E3580" s="65"/>
      <c r="F3580" s="66"/>
      <c r="G3580" s="63"/>
      <c r="H3580" s="67"/>
      <c r="I3580" s="68"/>
      <c r="J3580" s="68"/>
      <c r="K3580" s="32"/>
      <c r="L3580" s="75">
        <v>3580</v>
      </c>
      <c r="M3580" s="75"/>
      <c r="N3580" s="70"/>
      <c r="O3580" s="77" t="s">
        <v>179</v>
      </c>
      <c r="P3580" s="79">
        <v>45083.606435185182</v>
      </c>
      <c r="Q3580" s="77" t="s">
        <v>4354</v>
      </c>
      <c r="R3580" s="77">
        <v>0</v>
      </c>
      <c r="S3580" s="77">
        <v>1</v>
      </c>
      <c r="T3580" s="77">
        <v>0</v>
      </c>
      <c r="U3580" s="77">
        <v>0</v>
      </c>
      <c r="V3580" s="77">
        <v>1286</v>
      </c>
      <c r="W3580" s="82" t="s">
        <v>6754</v>
      </c>
      <c r="X3580" s="80" t="str">
        <f>HYPERLINK("https://www.moneytimes.com.br/oportunidade-na-bolsa-descubra-a-microcap-que-ja-subiu-de-67-em-2023-e-ainda-continua-barata/")</f>
        <v>https://www.moneytimes.com.br/oportunidade-na-bolsa-descubra-a-microcap-que-ja-subiu-de-67-em-2023-e-ainda-continua-barata/</v>
      </c>
      <c r="Y3580" s="77" t="s">
        <v>7053</v>
      </c>
      <c r="Z3580" s="77"/>
      <c r="AA3580" s="77"/>
      <c r="AB3580" s="77"/>
      <c r="AC3580" s="82" t="s">
        <v>8255</v>
      </c>
      <c r="AD3580" s="77" t="s">
        <v>8278</v>
      </c>
      <c r="AE3580" s="80" t="str">
        <f>HYPERLINK("https://twitter.com/leiamoneytimes/status/1666090886277771265")</f>
        <v>https://twitter.com/leiamoneytimes/status/1666090886277771265</v>
      </c>
      <c r="AF3580" s="79">
        <v>45083.606435185182</v>
      </c>
      <c r="AG3580" s="85">
        <v>45083</v>
      </c>
      <c r="AH3580" s="82" t="s">
        <v>11568</v>
      </c>
      <c r="AI3580" s="77" t="b">
        <v>0</v>
      </c>
      <c r="AJ3580" s="77"/>
      <c r="AK3580" s="77"/>
      <c r="AL3580" s="77"/>
      <c r="AM3580" s="77"/>
      <c r="AN3580" s="77"/>
      <c r="AO3580" s="77"/>
      <c r="AP3580" s="77"/>
      <c r="AQ3580" s="77"/>
      <c r="AR3580" s="77"/>
      <c r="AS3580" s="77"/>
      <c r="AT3580" s="77"/>
      <c r="AU3580" s="77"/>
      <c r="AV3580" s="80" t="str">
        <f>HYPERLINK("https://pbs.twimg.com/profile_images/1559883556846977024/bXHnQFY0_normal.jpg")</f>
        <v>https://pbs.twimg.com/profile_images/1559883556846977024/bXHnQFY0_normal.jpg</v>
      </c>
      <c r="AW3580" s="82" t="s">
        <v>16664</v>
      </c>
      <c r="AX3580" s="82" t="s">
        <v>16664</v>
      </c>
      <c r="AY3580" s="77"/>
      <c r="AZ3580" s="82" t="s">
        <v>17385</v>
      </c>
      <c r="BA3580" s="82" t="s">
        <v>17385</v>
      </c>
      <c r="BB3580" s="82" t="s">
        <v>17385</v>
      </c>
      <c r="BC3580" s="82" t="s">
        <v>16664</v>
      </c>
      <c r="BD3580" s="77">
        <v>51150679</v>
      </c>
      <c r="BE3580" s="77"/>
      <c r="BF3580" s="77"/>
      <c r="BG3580" s="77"/>
      <c r="BH3580" s="77"/>
      <c r="BI3580" s="77"/>
    </row>
    <row r="3581" spans="1:61" x14ac:dyDescent="0.25">
      <c r="A3581" s="62" t="s">
        <v>605</v>
      </c>
      <c r="B3581" s="62" t="s">
        <v>605</v>
      </c>
      <c r="C3581" s="63"/>
      <c r="D3581" s="64"/>
      <c r="E3581" s="65"/>
      <c r="F3581" s="66"/>
      <c r="G3581" s="63"/>
      <c r="H3581" s="67"/>
      <c r="I3581" s="68"/>
      <c r="J3581" s="68"/>
      <c r="K3581" s="32"/>
      <c r="L3581" s="75">
        <v>3581</v>
      </c>
      <c r="M3581" s="75"/>
      <c r="N3581" s="70"/>
      <c r="O3581" s="77" t="s">
        <v>179</v>
      </c>
      <c r="P3581" s="79">
        <v>45083.536874999998</v>
      </c>
      <c r="Q3581" s="77" t="s">
        <v>4355</v>
      </c>
      <c r="R3581" s="77">
        <v>0</v>
      </c>
      <c r="S3581" s="77">
        <v>2</v>
      </c>
      <c r="T3581" s="77">
        <v>0</v>
      </c>
      <c r="U3581" s="77">
        <v>0</v>
      </c>
      <c r="V3581" s="77">
        <v>1131</v>
      </c>
      <c r="W3581" s="82" t="s">
        <v>6755</v>
      </c>
      <c r="X3581" s="80" t="str">
        <f>HYPERLINK("https://www.moneytimes.com.br/gol-goll4-oferta-por-voos-cresce-14-e-demanda-aumenta-em-13-em-maio/")</f>
        <v>https://www.moneytimes.com.br/gol-goll4-oferta-por-voos-cresce-14-e-demanda-aumenta-em-13-em-maio/</v>
      </c>
      <c r="Y3581" s="77" t="s">
        <v>7053</v>
      </c>
      <c r="Z3581" s="77"/>
      <c r="AA3581" s="77"/>
      <c r="AB3581" s="77"/>
      <c r="AC3581" s="82" t="s">
        <v>8255</v>
      </c>
      <c r="AD3581" s="77" t="s">
        <v>8278</v>
      </c>
      <c r="AE3581" s="80" t="str">
        <f>HYPERLINK("https://twitter.com/leiamoneytimes/status/1666065679693369349")</f>
        <v>https://twitter.com/leiamoneytimes/status/1666065679693369349</v>
      </c>
      <c r="AF3581" s="79">
        <v>45083.536874999998</v>
      </c>
      <c r="AG3581" s="85">
        <v>45083</v>
      </c>
      <c r="AH3581" s="82" t="s">
        <v>11569</v>
      </c>
      <c r="AI3581" s="77" t="b">
        <v>0</v>
      </c>
      <c r="AJ3581" s="77"/>
      <c r="AK3581" s="77"/>
      <c r="AL3581" s="77"/>
      <c r="AM3581" s="77"/>
      <c r="AN3581" s="77"/>
      <c r="AO3581" s="77"/>
      <c r="AP3581" s="77"/>
      <c r="AQ3581" s="77"/>
      <c r="AR3581" s="77"/>
      <c r="AS3581" s="77"/>
      <c r="AT3581" s="77"/>
      <c r="AU3581" s="77"/>
      <c r="AV3581" s="80" t="str">
        <f>HYPERLINK("https://pbs.twimg.com/profile_images/1559883556846977024/bXHnQFY0_normal.jpg")</f>
        <v>https://pbs.twimg.com/profile_images/1559883556846977024/bXHnQFY0_normal.jpg</v>
      </c>
      <c r="AW3581" s="82" t="s">
        <v>16665</v>
      </c>
      <c r="AX3581" s="82" t="s">
        <v>16665</v>
      </c>
      <c r="AY3581" s="77"/>
      <c r="AZ3581" s="82" t="s">
        <v>17385</v>
      </c>
      <c r="BA3581" s="82" t="s">
        <v>17385</v>
      </c>
      <c r="BB3581" s="82" t="s">
        <v>17385</v>
      </c>
      <c r="BC3581" s="82" t="s">
        <v>16665</v>
      </c>
      <c r="BD3581" s="77">
        <v>51150679</v>
      </c>
      <c r="BE3581" s="77"/>
      <c r="BF3581" s="77"/>
      <c r="BG3581" s="77"/>
      <c r="BH3581" s="77"/>
      <c r="BI3581" s="77"/>
    </row>
    <row r="3582" spans="1:61" x14ac:dyDescent="0.25">
      <c r="A3582" s="62" t="s">
        <v>605</v>
      </c>
      <c r="B3582" s="62" t="s">
        <v>605</v>
      </c>
      <c r="C3582" s="63"/>
      <c r="D3582" s="64"/>
      <c r="E3582" s="65"/>
      <c r="F3582" s="66"/>
      <c r="G3582" s="63"/>
      <c r="H3582" s="67"/>
      <c r="I3582" s="68"/>
      <c r="J3582" s="68"/>
      <c r="K3582" s="32"/>
      <c r="L3582" s="75">
        <v>3582</v>
      </c>
      <c r="M3582" s="75"/>
      <c r="N3582" s="70"/>
      <c r="O3582" s="77" t="s">
        <v>179</v>
      </c>
      <c r="P3582" s="79">
        <v>45083.500324074077</v>
      </c>
      <c r="Q3582" s="77" t="s">
        <v>4356</v>
      </c>
      <c r="R3582" s="77">
        <v>0</v>
      </c>
      <c r="S3582" s="77">
        <v>4</v>
      </c>
      <c r="T3582" s="77">
        <v>0</v>
      </c>
      <c r="U3582" s="77">
        <v>0</v>
      </c>
      <c r="V3582" s="77">
        <v>1567</v>
      </c>
      <c r="W3582" s="82" t="s">
        <v>6551</v>
      </c>
      <c r="X3582" s="80" t="str">
        <f>HYPERLINK("https://www.moneytimes.com.br/oncoclinicas-onco3-avalia-oferta-publica-primaria-e-secundaria-de-acoes/")</f>
        <v>https://www.moneytimes.com.br/oncoclinicas-onco3-avalia-oferta-publica-primaria-e-secundaria-de-acoes/</v>
      </c>
      <c r="Y3582" s="77" t="s">
        <v>7053</v>
      </c>
      <c r="Z3582" s="77"/>
      <c r="AA3582" s="77"/>
      <c r="AB3582" s="77"/>
      <c r="AC3582" s="82" t="s">
        <v>8255</v>
      </c>
      <c r="AD3582" s="77" t="s">
        <v>8278</v>
      </c>
      <c r="AE3582" s="80" t="str">
        <f>HYPERLINK("https://twitter.com/leiamoneytimes/status/1666052435159154691")</f>
        <v>https://twitter.com/leiamoneytimes/status/1666052435159154691</v>
      </c>
      <c r="AF3582" s="79">
        <v>45083.500324074077</v>
      </c>
      <c r="AG3582" s="85">
        <v>45083</v>
      </c>
      <c r="AH3582" s="82" t="s">
        <v>11570</v>
      </c>
      <c r="AI3582" s="77" t="b">
        <v>0</v>
      </c>
      <c r="AJ3582" s="77"/>
      <c r="AK3582" s="77"/>
      <c r="AL3582" s="77"/>
      <c r="AM3582" s="77"/>
      <c r="AN3582" s="77"/>
      <c r="AO3582" s="77"/>
      <c r="AP3582" s="77"/>
      <c r="AQ3582" s="77"/>
      <c r="AR3582" s="77"/>
      <c r="AS3582" s="77"/>
      <c r="AT3582" s="77"/>
      <c r="AU3582" s="77"/>
      <c r="AV3582" s="80" t="str">
        <f>HYPERLINK("https://pbs.twimg.com/profile_images/1559883556846977024/bXHnQFY0_normal.jpg")</f>
        <v>https://pbs.twimg.com/profile_images/1559883556846977024/bXHnQFY0_normal.jpg</v>
      </c>
      <c r="AW3582" s="82" t="s">
        <v>16666</v>
      </c>
      <c r="AX3582" s="82" t="s">
        <v>16666</v>
      </c>
      <c r="AY3582" s="77"/>
      <c r="AZ3582" s="82" t="s">
        <v>17385</v>
      </c>
      <c r="BA3582" s="82" t="s">
        <v>17385</v>
      </c>
      <c r="BB3582" s="82" t="s">
        <v>17385</v>
      </c>
      <c r="BC3582" s="82" t="s">
        <v>16666</v>
      </c>
      <c r="BD3582" s="77">
        <v>51150679</v>
      </c>
      <c r="BE3582" s="77"/>
      <c r="BF3582" s="77"/>
      <c r="BG3582" s="77"/>
      <c r="BH3582" s="77"/>
      <c r="BI3582" s="77"/>
    </row>
    <row r="3583" spans="1:61" x14ac:dyDescent="0.25">
      <c r="A3583" s="62" t="s">
        <v>605</v>
      </c>
      <c r="B3583" s="62" t="s">
        <v>605</v>
      </c>
      <c r="C3583" s="63"/>
      <c r="D3583" s="64"/>
      <c r="E3583" s="65"/>
      <c r="F3583" s="66"/>
      <c r="G3583" s="63"/>
      <c r="H3583" s="67"/>
      <c r="I3583" s="68"/>
      <c r="J3583" s="68"/>
      <c r="K3583" s="32"/>
      <c r="L3583" s="75">
        <v>3583</v>
      </c>
      <c r="M3583" s="75"/>
      <c r="N3583" s="70"/>
      <c r="O3583" s="77" t="s">
        <v>179</v>
      </c>
      <c r="P3583" s="79">
        <v>45083.481770833336</v>
      </c>
      <c r="Q3583" s="77" t="s">
        <v>4357</v>
      </c>
      <c r="R3583" s="77">
        <v>0</v>
      </c>
      <c r="S3583" s="77">
        <v>2</v>
      </c>
      <c r="T3583" s="77">
        <v>0</v>
      </c>
      <c r="U3583" s="77">
        <v>0</v>
      </c>
      <c r="V3583" s="77">
        <v>1356</v>
      </c>
      <c r="W3583" s="82" t="s">
        <v>6756</v>
      </c>
      <c r="X3583" s="80" t="str">
        <f>HYPERLINK("https://www.moneytimes.com.br/petrobras-petr4-cade-vai-rever-acordo-com-refinarias-estatal-responde/")</f>
        <v>https://www.moneytimes.com.br/petrobras-petr4-cade-vai-rever-acordo-com-refinarias-estatal-responde/</v>
      </c>
      <c r="Y3583" s="77" t="s">
        <v>7053</v>
      </c>
      <c r="Z3583" s="77"/>
      <c r="AA3583" s="77"/>
      <c r="AB3583" s="77"/>
      <c r="AC3583" s="82" t="s">
        <v>8255</v>
      </c>
      <c r="AD3583" s="77" t="s">
        <v>8278</v>
      </c>
      <c r="AE3583" s="80" t="str">
        <f>HYPERLINK("https://twitter.com/leiamoneytimes/status/1666045707709472768")</f>
        <v>https://twitter.com/leiamoneytimes/status/1666045707709472768</v>
      </c>
      <c r="AF3583" s="79">
        <v>45083.481770833336</v>
      </c>
      <c r="AG3583" s="85">
        <v>45083</v>
      </c>
      <c r="AH3583" s="82" t="s">
        <v>11571</v>
      </c>
      <c r="AI3583" s="77" t="b">
        <v>0</v>
      </c>
      <c r="AJ3583" s="77"/>
      <c r="AK3583" s="77"/>
      <c r="AL3583" s="77"/>
      <c r="AM3583" s="77"/>
      <c r="AN3583" s="77"/>
      <c r="AO3583" s="77"/>
      <c r="AP3583" s="77"/>
      <c r="AQ3583" s="77"/>
      <c r="AR3583" s="77"/>
      <c r="AS3583" s="77"/>
      <c r="AT3583" s="77"/>
      <c r="AU3583" s="77"/>
      <c r="AV3583" s="80" t="str">
        <f>HYPERLINK("https://pbs.twimg.com/profile_images/1559883556846977024/bXHnQFY0_normal.jpg")</f>
        <v>https://pbs.twimg.com/profile_images/1559883556846977024/bXHnQFY0_normal.jpg</v>
      </c>
      <c r="AW3583" s="82" t="s">
        <v>16667</v>
      </c>
      <c r="AX3583" s="82" t="s">
        <v>16667</v>
      </c>
      <c r="AY3583" s="77"/>
      <c r="AZ3583" s="82" t="s">
        <v>17385</v>
      </c>
      <c r="BA3583" s="82" t="s">
        <v>17385</v>
      </c>
      <c r="BB3583" s="82" t="s">
        <v>17385</v>
      </c>
      <c r="BC3583" s="82" t="s">
        <v>16667</v>
      </c>
      <c r="BD3583" s="77">
        <v>51150679</v>
      </c>
      <c r="BE3583" s="77"/>
      <c r="BF3583" s="77"/>
      <c r="BG3583" s="77"/>
      <c r="BH3583" s="77"/>
      <c r="BI3583" s="77"/>
    </row>
    <row r="3584" spans="1:61" x14ac:dyDescent="0.25">
      <c r="A3584" s="62" t="s">
        <v>605</v>
      </c>
      <c r="B3584" s="62" t="s">
        <v>605</v>
      </c>
      <c r="C3584" s="63"/>
      <c r="D3584" s="64"/>
      <c r="E3584" s="65"/>
      <c r="F3584" s="66"/>
      <c r="G3584" s="63"/>
      <c r="H3584" s="67"/>
      <c r="I3584" s="68"/>
      <c r="J3584" s="68"/>
      <c r="K3584" s="32"/>
      <c r="L3584" s="75">
        <v>3584</v>
      </c>
      <c r="M3584" s="75"/>
      <c r="N3584" s="70"/>
      <c r="O3584" s="77" t="s">
        <v>179</v>
      </c>
      <c r="P3584" s="79">
        <v>45082.846018518518</v>
      </c>
      <c r="Q3584" s="77" t="s">
        <v>4358</v>
      </c>
      <c r="R3584" s="77">
        <v>0</v>
      </c>
      <c r="S3584" s="77">
        <v>1</v>
      </c>
      <c r="T3584" s="77">
        <v>0</v>
      </c>
      <c r="U3584" s="77">
        <v>0</v>
      </c>
      <c r="V3584" s="77">
        <v>1438</v>
      </c>
      <c r="W3584" s="82" t="s">
        <v>6551</v>
      </c>
      <c r="X3584" s="80" t="str">
        <f>HYPERLINK("https://www.moneytimes.com.br/ibovespa-hoje-fecha-alta-vale-vale3-petrobras-petr4-05-06-2023/")</f>
        <v>https://www.moneytimes.com.br/ibovespa-hoje-fecha-alta-vale-vale3-petrobras-petr4-05-06-2023/</v>
      </c>
      <c r="Y3584" s="77" t="s">
        <v>7053</v>
      </c>
      <c r="Z3584" s="77"/>
      <c r="AA3584" s="77"/>
      <c r="AB3584" s="77"/>
      <c r="AC3584" s="82" t="s">
        <v>8255</v>
      </c>
      <c r="AD3584" s="77" t="s">
        <v>8278</v>
      </c>
      <c r="AE3584" s="80" t="str">
        <f>HYPERLINK("https://twitter.com/leiamoneytimes/status/1665815319925882885")</f>
        <v>https://twitter.com/leiamoneytimes/status/1665815319925882885</v>
      </c>
      <c r="AF3584" s="79">
        <v>45082.846018518518</v>
      </c>
      <c r="AG3584" s="85">
        <v>45082</v>
      </c>
      <c r="AH3584" s="82" t="s">
        <v>11446</v>
      </c>
      <c r="AI3584" s="77" t="b">
        <v>0</v>
      </c>
      <c r="AJ3584" s="77"/>
      <c r="AK3584" s="77"/>
      <c r="AL3584" s="77"/>
      <c r="AM3584" s="77"/>
      <c r="AN3584" s="77"/>
      <c r="AO3584" s="77"/>
      <c r="AP3584" s="77"/>
      <c r="AQ3584" s="77"/>
      <c r="AR3584" s="77"/>
      <c r="AS3584" s="77"/>
      <c r="AT3584" s="77"/>
      <c r="AU3584" s="77"/>
      <c r="AV3584" s="80" t="str">
        <f>HYPERLINK("https://pbs.twimg.com/profile_images/1559883556846977024/bXHnQFY0_normal.jpg")</f>
        <v>https://pbs.twimg.com/profile_images/1559883556846977024/bXHnQFY0_normal.jpg</v>
      </c>
      <c r="AW3584" s="82" t="s">
        <v>16668</v>
      </c>
      <c r="AX3584" s="82" t="s">
        <v>16668</v>
      </c>
      <c r="AY3584" s="77"/>
      <c r="AZ3584" s="82" t="s">
        <v>17385</v>
      </c>
      <c r="BA3584" s="82" t="s">
        <v>17385</v>
      </c>
      <c r="BB3584" s="82" t="s">
        <v>17385</v>
      </c>
      <c r="BC3584" s="82" t="s">
        <v>16668</v>
      </c>
      <c r="BD3584" s="77">
        <v>51150679</v>
      </c>
      <c r="BE3584" s="77"/>
      <c r="BF3584" s="77"/>
      <c r="BG3584" s="77"/>
      <c r="BH3584" s="77"/>
      <c r="BI3584" s="77"/>
    </row>
    <row r="3585" spans="1:61" x14ac:dyDescent="0.25">
      <c r="A3585" s="62" t="s">
        <v>605</v>
      </c>
      <c r="B3585" s="62" t="s">
        <v>605</v>
      </c>
      <c r="C3585" s="63"/>
      <c r="D3585" s="64"/>
      <c r="E3585" s="65"/>
      <c r="F3585" s="66"/>
      <c r="G3585" s="63"/>
      <c r="H3585" s="67"/>
      <c r="I3585" s="68"/>
      <c r="J3585" s="68"/>
      <c r="K3585" s="32"/>
      <c r="L3585" s="75">
        <v>3585</v>
      </c>
      <c r="M3585" s="75"/>
      <c r="N3585" s="70"/>
      <c r="O3585" s="77" t="s">
        <v>179</v>
      </c>
      <c r="P3585" s="79">
        <v>45082.71429398148</v>
      </c>
      <c r="Q3585" s="77" t="s">
        <v>4359</v>
      </c>
      <c r="R3585" s="77">
        <v>0</v>
      </c>
      <c r="S3585" s="77">
        <v>2</v>
      </c>
      <c r="T3585" s="77">
        <v>0</v>
      </c>
      <c r="U3585" s="77">
        <v>0</v>
      </c>
      <c r="V3585" s="77">
        <v>1162</v>
      </c>
      <c r="W3585" s="82" t="s">
        <v>6625</v>
      </c>
      <c r="X3585" s="80" t="str">
        <f>HYPERLINK("https://www.moneytimes.com.br/bolsas-europeias-acoes-recuam-apos-dados-fracos-dos-eua-alimentarem-temores-com-crescimento/")</f>
        <v>https://www.moneytimes.com.br/bolsas-europeias-acoes-recuam-apos-dados-fracos-dos-eua-alimentarem-temores-com-crescimento/</v>
      </c>
      <c r="Y3585" s="77" t="s">
        <v>7053</v>
      </c>
      <c r="Z3585" s="77"/>
      <c r="AA3585" s="77"/>
      <c r="AB3585" s="77"/>
      <c r="AC3585" s="82" t="s">
        <v>8255</v>
      </c>
      <c r="AD3585" s="77" t="s">
        <v>8278</v>
      </c>
      <c r="AE3585" s="80" t="str">
        <f>HYPERLINK("https://twitter.com/leiamoneytimes/status/1665767583998517250")</f>
        <v>https://twitter.com/leiamoneytimes/status/1665767583998517250</v>
      </c>
      <c r="AF3585" s="79">
        <v>45082.71429398148</v>
      </c>
      <c r="AG3585" s="85">
        <v>45082</v>
      </c>
      <c r="AH3585" s="82" t="s">
        <v>11572</v>
      </c>
      <c r="AI3585" s="77" t="b">
        <v>0</v>
      </c>
      <c r="AJ3585" s="77"/>
      <c r="AK3585" s="77"/>
      <c r="AL3585" s="77"/>
      <c r="AM3585" s="77"/>
      <c r="AN3585" s="77"/>
      <c r="AO3585" s="77"/>
      <c r="AP3585" s="77"/>
      <c r="AQ3585" s="77"/>
      <c r="AR3585" s="77"/>
      <c r="AS3585" s="77"/>
      <c r="AT3585" s="77"/>
      <c r="AU3585" s="77"/>
      <c r="AV3585" s="80" t="str">
        <f>HYPERLINK("https://pbs.twimg.com/profile_images/1559883556846977024/bXHnQFY0_normal.jpg")</f>
        <v>https://pbs.twimg.com/profile_images/1559883556846977024/bXHnQFY0_normal.jpg</v>
      </c>
      <c r="AW3585" s="82" t="s">
        <v>16669</v>
      </c>
      <c r="AX3585" s="82" t="s">
        <v>16669</v>
      </c>
      <c r="AY3585" s="77"/>
      <c r="AZ3585" s="82" t="s">
        <v>17385</v>
      </c>
      <c r="BA3585" s="82" t="s">
        <v>17385</v>
      </c>
      <c r="BB3585" s="82" t="s">
        <v>17385</v>
      </c>
      <c r="BC3585" s="82" t="s">
        <v>16669</v>
      </c>
      <c r="BD3585" s="77">
        <v>51150679</v>
      </c>
      <c r="BE3585" s="77"/>
      <c r="BF3585" s="77"/>
      <c r="BG3585" s="77"/>
      <c r="BH3585" s="77"/>
      <c r="BI3585" s="77"/>
    </row>
    <row r="3586" spans="1:61" x14ac:dyDescent="0.25">
      <c r="A3586" s="62" t="s">
        <v>605</v>
      </c>
      <c r="B3586" s="62" t="s">
        <v>605</v>
      </c>
      <c r="C3586" s="63"/>
      <c r="D3586" s="64"/>
      <c r="E3586" s="65"/>
      <c r="F3586" s="66"/>
      <c r="G3586" s="63"/>
      <c r="H3586" s="67"/>
      <c r="I3586" s="68"/>
      <c r="J3586" s="68"/>
      <c r="K3586" s="32"/>
      <c r="L3586" s="75">
        <v>3586</v>
      </c>
      <c r="M3586" s="75"/>
      <c r="N3586" s="70"/>
      <c r="O3586" s="77" t="s">
        <v>179</v>
      </c>
      <c r="P3586" s="79">
        <v>45082.698310185187</v>
      </c>
      <c r="Q3586" s="77" t="s">
        <v>4360</v>
      </c>
      <c r="R3586" s="77">
        <v>0</v>
      </c>
      <c r="S3586" s="77">
        <v>3</v>
      </c>
      <c r="T3586" s="77">
        <v>0</v>
      </c>
      <c r="U3586" s="77">
        <v>0</v>
      </c>
      <c r="V3586" s="77">
        <v>1387</v>
      </c>
      <c r="W3586" s="82" t="s">
        <v>6743</v>
      </c>
      <c r="X3586" s="80" t="str">
        <f>HYPERLINK("https://www.moneytimes.com.br/vale-vale3-ira-retomar-altas-acao-ainda-e-a-campea-de-indicacoes-esta-semana-ao-lado-de-itau-itub4-confira/")</f>
        <v>https://www.moneytimes.com.br/vale-vale3-ira-retomar-altas-acao-ainda-e-a-campea-de-indicacoes-esta-semana-ao-lado-de-itau-itub4-confira/</v>
      </c>
      <c r="Y3586" s="77" t="s">
        <v>7053</v>
      </c>
      <c r="Z3586" s="77"/>
      <c r="AA3586" s="77"/>
      <c r="AB3586" s="77"/>
      <c r="AC3586" s="82" t="s">
        <v>8255</v>
      </c>
      <c r="AD3586" s="77" t="s">
        <v>8278</v>
      </c>
      <c r="AE3586" s="80" t="str">
        <f>HYPERLINK("https://twitter.com/leiamoneytimes/status/1665761794424438788")</f>
        <v>https://twitter.com/leiamoneytimes/status/1665761794424438788</v>
      </c>
      <c r="AF3586" s="79">
        <v>45082.698310185187</v>
      </c>
      <c r="AG3586" s="85">
        <v>45082</v>
      </c>
      <c r="AH3586" s="82" t="s">
        <v>9347</v>
      </c>
      <c r="AI3586" s="77" t="b">
        <v>0</v>
      </c>
      <c r="AJ3586" s="77"/>
      <c r="AK3586" s="77"/>
      <c r="AL3586" s="77"/>
      <c r="AM3586" s="77"/>
      <c r="AN3586" s="77"/>
      <c r="AO3586" s="77"/>
      <c r="AP3586" s="77"/>
      <c r="AQ3586" s="77"/>
      <c r="AR3586" s="77"/>
      <c r="AS3586" s="77"/>
      <c r="AT3586" s="77"/>
      <c r="AU3586" s="77"/>
      <c r="AV3586" s="80" t="str">
        <f>HYPERLINK("https://pbs.twimg.com/profile_images/1559883556846977024/bXHnQFY0_normal.jpg")</f>
        <v>https://pbs.twimg.com/profile_images/1559883556846977024/bXHnQFY0_normal.jpg</v>
      </c>
      <c r="AW3586" s="82" t="s">
        <v>16670</v>
      </c>
      <c r="AX3586" s="82" t="s">
        <v>16670</v>
      </c>
      <c r="AY3586" s="77"/>
      <c r="AZ3586" s="82" t="s">
        <v>17385</v>
      </c>
      <c r="BA3586" s="82" t="s">
        <v>17385</v>
      </c>
      <c r="BB3586" s="82" t="s">
        <v>17385</v>
      </c>
      <c r="BC3586" s="82" t="s">
        <v>16670</v>
      </c>
      <c r="BD3586" s="77">
        <v>51150679</v>
      </c>
      <c r="BE3586" s="77"/>
      <c r="BF3586" s="77"/>
      <c r="BG3586" s="77"/>
      <c r="BH3586" s="77"/>
      <c r="BI3586" s="77"/>
    </row>
    <row r="3587" spans="1:61" x14ac:dyDescent="0.25">
      <c r="A3587" s="62" t="s">
        <v>605</v>
      </c>
      <c r="B3587" s="62" t="s">
        <v>605</v>
      </c>
      <c r="C3587" s="63"/>
      <c r="D3587" s="64"/>
      <c r="E3587" s="65"/>
      <c r="F3587" s="66"/>
      <c r="G3587" s="63"/>
      <c r="H3587" s="67"/>
      <c r="I3587" s="68"/>
      <c r="J3587" s="68"/>
      <c r="K3587" s="32"/>
      <c r="L3587" s="75">
        <v>3587</v>
      </c>
      <c r="M3587" s="75"/>
      <c r="N3587" s="70"/>
      <c r="O3587" s="77" t="s">
        <v>179</v>
      </c>
      <c r="P3587" s="79">
        <v>45082.675555555557</v>
      </c>
      <c r="Q3587" s="77" t="s">
        <v>4361</v>
      </c>
      <c r="R3587" s="77">
        <v>1</v>
      </c>
      <c r="S3587" s="77">
        <v>8</v>
      </c>
      <c r="T3587" s="77">
        <v>1</v>
      </c>
      <c r="U3587" s="77">
        <v>0</v>
      </c>
      <c r="V3587" s="77">
        <v>2226</v>
      </c>
      <c r="W3587" s="82" t="s">
        <v>6757</v>
      </c>
      <c r="X3587" s="80" t="str">
        <f>HYPERLINK("https://www.moneytimes.com.br/por-que-vale-vale3-cai-nesta-segunda-5-apesar-da-alta-do-minerio-de-ferro/")</f>
        <v>https://www.moneytimes.com.br/por-que-vale-vale3-cai-nesta-segunda-5-apesar-da-alta-do-minerio-de-ferro/</v>
      </c>
      <c r="Y3587" s="77" t="s">
        <v>7053</v>
      </c>
      <c r="Z3587" s="77"/>
      <c r="AA3587" s="77"/>
      <c r="AB3587" s="77"/>
      <c r="AC3587" s="82" t="s">
        <v>8255</v>
      </c>
      <c r="AD3587" s="77" t="s">
        <v>8278</v>
      </c>
      <c r="AE3587" s="80" t="str">
        <f>HYPERLINK("https://twitter.com/leiamoneytimes/status/1665753546896048133")</f>
        <v>https://twitter.com/leiamoneytimes/status/1665753546896048133</v>
      </c>
      <c r="AF3587" s="79">
        <v>45082.675555555557</v>
      </c>
      <c r="AG3587" s="85">
        <v>45082</v>
      </c>
      <c r="AH3587" s="82" t="s">
        <v>11573</v>
      </c>
      <c r="AI3587" s="77" t="b">
        <v>0</v>
      </c>
      <c r="AJ3587" s="77"/>
      <c r="AK3587" s="77"/>
      <c r="AL3587" s="77"/>
      <c r="AM3587" s="77"/>
      <c r="AN3587" s="77"/>
      <c r="AO3587" s="77"/>
      <c r="AP3587" s="77"/>
      <c r="AQ3587" s="77"/>
      <c r="AR3587" s="77"/>
      <c r="AS3587" s="77"/>
      <c r="AT3587" s="77"/>
      <c r="AU3587" s="77"/>
      <c r="AV3587" s="80" t="str">
        <f>HYPERLINK("https://pbs.twimg.com/profile_images/1559883556846977024/bXHnQFY0_normal.jpg")</f>
        <v>https://pbs.twimg.com/profile_images/1559883556846977024/bXHnQFY0_normal.jpg</v>
      </c>
      <c r="AW3587" s="82" t="s">
        <v>16671</v>
      </c>
      <c r="AX3587" s="82" t="s">
        <v>16671</v>
      </c>
      <c r="AY3587" s="77"/>
      <c r="AZ3587" s="82" t="s">
        <v>17385</v>
      </c>
      <c r="BA3587" s="82" t="s">
        <v>17385</v>
      </c>
      <c r="BB3587" s="82" t="s">
        <v>17385</v>
      </c>
      <c r="BC3587" s="82" t="s">
        <v>16671</v>
      </c>
      <c r="BD3587" s="77">
        <v>51150679</v>
      </c>
      <c r="BE3587" s="77"/>
      <c r="BF3587" s="77"/>
      <c r="BG3587" s="77"/>
      <c r="BH3587" s="77"/>
      <c r="BI3587" s="77"/>
    </row>
    <row r="3588" spans="1:61" x14ac:dyDescent="0.25">
      <c r="A3588" s="62" t="s">
        <v>605</v>
      </c>
      <c r="B3588" s="62" t="s">
        <v>605</v>
      </c>
      <c r="C3588" s="63"/>
      <c r="D3588" s="64"/>
      <c r="E3588" s="65"/>
      <c r="F3588" s="66"/>
      <c r="G3588" s="63"/>
      <c r="H3588" s="67"/>
      <c r="I3588" s="68"/>
      <c r="J3588" s="68"/>
      <c r="K3588" s="32"/>
      <c r="L3588" s="75">
        <v>3588</v>
      </c>
      <c r="M3588" s="75"/>
      <c r="N3588" s="70"/>
      <c r="O3588" s="77" t="s">
        <v>179</v>
      </c>
      <c r="P3588" s="79">
        <v>45082.643067129633</v>
      </c>
      <c r="Q3588" s="77" t="s">
        <v>4362</v>
      </c>
      <c r="R3588" s="77">
        <v>0</v>
      </c>
      <c r="S3588" s="77">
        <v>3</v>
      </c>
      <c r="T3588" s="77">
        <v>0</v>
      </c>
      <c r="U3588" s="77">
        <v>0</v>
      </c>
      <c r="V3588" s="77">
        <v>1479</v>
      </c>
      <c r="W3588" s="82" t="s">
        <v>6661</v>
      </c>
      <c r="X3588" s="80" t="str">
        <f>HYPERLINK("https://www.moneytimes.com.br/ibovespa-por-que-a-cvc-cvcb3-lidera-altas-do-dia-petrobras-petr4-avanca/")</f>
        <v>https://www.moneytimes.com.br/ibovespa-por-que-a-cvc-cvcb3-lidera-altas-do-dia-petrobras-petr4-avanca/</v>
      </c>
      <c r="Y3588" s="77" t="s">
        <v>7053</v>
      </c>
      <c r="Z3588" s="77"/>
      <c r="AA3588" s="77"/>
      <c r="AB3588" s="77"/>
      <c r="AC3588" s="82" t="s">
        <v>8255</v>
      </c>
      <c r="AD3588" s="77" t="s">
        <v>8278</v>
      </c>
      <c r="AE3588" s="80" t="str">
        <f>HYPERLINK("https://twitter.com/leiamoneytimes/status/1665741771664502785")</f>
        <v>https://twitter.com/leiamoneytimes/status/1665741771664502785</v>
      </c>
      <c r="AF3588" s="79">
        <v>45082.643067129633</v>
      </c>
      <c r="AG3588" s="85">
        <v>45082</v>
      </c>
      <c r="AH3588" s="82" t="s">
        <v>11574</v>
      </c>
      <c r="AI3588" s="77" t="b">
        <v>0</v>
      </c>
      <c r="AJ3588" s="77"/>
      <c r="AK3588" s="77"/>
      <c r="AL3588" s="77"/>
      <c r="AM3588" s="77"/>
      <c r="AN3588" s="77"/>
      <c r="AO3588" s="77"/>
      <c r="AP3588" s="77"/>
      <c r="AQ3588" s="77"/>
      <c r="AR3588" s="77"/>
      <c r="AS3588" s="77"/>
      <c r="AT3588" s="77"/>
      <c r="AU3588" s="77"/>
      <c r="AV3588" s="80" t="str">
        <f>HYPERLINK("https://pbs.twimg.com/profile_images/1559883556846977024/bXHnQFY0_normal.jpg")</f>
        <v>https://pbs.twimg.com/profile_images/1559883556846977024/bXHnQFY0_normal.jpg</v>
      </c>
      <c r="AW3588" s="82" t="s">
        <v>16672</v>
      </c>
      <c r="AX3588" s="82" t="s">
        <v>16672</v>
      </c>
      <c r="AY3588" s="77"/>
      <c r="AZ3588" s="82" t="s">
        <v>17385</v>
      </c>
      <c r="BA3588" s="82" t="s">
        <v>17385</v>
      </c>
      <c r="BB3588" s="82" t="s">
        <v>17385</v>
      </c>
      <c r="BC3588" s="82" t="s">
        <v>16672</v>
      </c>
      <c r="BD3588" s="77">
        <v>51150679</v>
      </c>
      <c r="BE3588" s="77"/>
      <c r="BF3588" s="77"/>
      <c r="BG3588" s="77"/>
      <c r="BH3588" s="77"/>
      <c r="BI3588" s="77"/>
    </row>
    <row r="3589" spans="1:61" x14ac:dyDescent="0.25">
      <c r="A3589" s="62" t="s">
        <v>605</v>
      </c>
      <c r="B3589" s="62" t="s">
        <v>605</v>
      </c>
      <c r="C3589" s="63"/>
      <c r="D3589" s="64"/>
      <c r="E3589" s="65"/>
      <c r="F3589" s="66"/>
      <c r="G3589" s="63"/>
      <c r="H3589" s="67"/>
      <c r="I3589" s="68"/>
      <c r="J3589" s="68"/>
      <c r="K3589" s="32"/>
      <c r="L3589" s="75">
        <v>3589</v>
      </c>
      <c r="M3589" s="75"/>
      <c r="N3589" s="70"/>
      <c r="O3589" s="77" t="s">
        <v>179</v>
      </c>
      <c r="P3589" s="79">
        <v>45068.764745370368</v>
      </c>
      <c r="Q3589" s="77" t="s">
        <v>4363</v>
      </c>
      <c r="R3589" s="77">
        <v>0</v>
      </c>
      <c r="S3589" s="77">
        <v>2</v>
      </c>
      <c r="T3589" s="77">
        <v>1</v>
      </c>
      <c r="U3589" s="77">
        <v>0</v>
      </c>
      <c r="V3589" s="77">
        <v>1220</v>
      </c>
      <c r="W3589" s="82" t="s">
        <v>6758</v>
      </c>
      <c r="X3589" s="80" t="str">
        <f>HYPERLINK("https://www.moneytimes.com.br/passado-para-tras-lemann-perde-posicao-no-ranking-de-bilionarios-apos-crescimento-do-facebook/")</f>
        <v>https://www.moneytimes.com.br/passado-para-tras-lemann-perde-posicao-no-ranking-de-bilionarios-apos-crescimento-do-facebook/</v>
      </c>
      <c r="Y3589" s="77" t="s">
        <v>7053</v>
      </c>
      <c r="Z3589" s="77"/>
      <c r="AA3589" s="77"/>
      <c r="AB3589" s="77"/>
      <c r="AC3589" s="82" t="s">
        <v>8255</v>
      </c>
      <c r="AD3589" s="77" t="s">
        <v>8278</v>
      </c>
      <c r="AE3589" s="80" t="str">
        <f>HYPERLINK("https://twitter.com/leiamoneytimes/status/1660712440206598151")</f>
        <v>https://twitter.com/leiamoneytimes/status/1660712440206598151</v>
      </c>
      <c r="AF3589" s="79">
        <v>45068.764745370368</v>
      </c>
      <c r="AG3589" s="85">
        <v>45068</v>
      </c>
      <c r="AH3589" s="82" t="s">
        <v>11575</v>
      </c>
      <c r="AI3589" s="77" t="b">
        <v>0</v>
      </c>
      <c r="AJ3589" s="77"/>
      <c r="AK3589" s="77"/>
      <c r="AL3589" s="77"/>
      <c r="AM3589" s="77"/>
      <c r="AN3589" s="77"/>
      <c r="AO3589" s="77"/>
      <c r="AP3589" s="77"/>
      <c r="AQ3589" s="77"/>
      <c r="AR3589" s="77"/>
      <c r="AS3589" s="77"/>
      <c r="AT3589" s="77"/>
      <c r="AU3589" s="77"/>
      <c r="AV3589" s="80" t="str">
        <f>HYPERLINK("https://pbs.twimg.com/profile_images/1559883556846977024/bXHnQFY0_normal.jpg")</f>
        <v>https://pbs.twimg.com/profile_images/1559883556846977024/bXHnQFY0_normal.jpg</v>
      </c>
      <c r="AW3589" s="82" t="s">
        <v>16673</v>
      </c>
      <c r="AX3589" s="82" t="s">
        <v>16673</v>
      </c>
      <c r="AY3589" s="77"/>
      <c r="AZ3589" s="82" t="s">
        <v>17385</v>
      </c>
      <c r="BA3589" s="82" t="s">
        <v>17385</v>
      </c>
      <c r="BB3589" s="82" t="s">
        <v>17385</v>
      </c>
      <c r="BC3589" s="82" t="s">
        <v>16673</v>
      </c>
      <c r="BD3589" s="77">
        <v>51150679</v>
      </c>
      <c r="BE3589" s="77"/>
      <c r="BF3589" s="77"/>
      <c r="BG3589" s="77"/>
      <c r="BH3589" s="77"/>
      <c r="BI3589" s="77"/>
    </row>
    <row r="3590" spans="1:61" x14ac:dyDescent="0.25">
      <c r="A3590" s="62" t="s">
        <v>605</v>
      </c>
      <c r="B3590" s="62" t="s">
        <v>605</v>
      </c>
      <c r="C3590" s="63"/>
      <c r="D3590" s="64"/>
      <c r="E3590" s="65"/>
      <c r="F3590" s="66"/>
      <c r="G3590" s="63"/>
      <c r="H3590" s="67"/>
      <c r="I3590" s="68"/>
      <c r="J3590" s="68"/>
      <c r="K3590" s="32"/>
      <c r="L3590" s="75">
        <v>3590</v>
      </c>
      <c r="M3590" s="75"/>
      <c r="N3590" s="70"/>
      <c r="O3590" s="77" t="s">
        <v>179</v>
      </c>
      <c r="P3590" s="79">
        <v>45068.753969907404</v>
      </c>
      <c r="Q3590" s="77" t="s">
        <v>4364</v>
      </c>
      <c r="R3590" s="77">
        <v>0</v>
      </c>
      <c r="S3590" s="77">
        <v>4</v>
      </c>
      <c r="T3590" s="77">
        <v>0</v>
      </c>
      <c r="U3590" s="77">
        <v>0</v>
      </c>
      <c r="V3590" s="77">
        <v>1259</v>
      </c>
      <c r="W3590" s="82" t="s">
        <v>6759</v>
      </c>
      <c r="X3590" s="80" t="str">
        <f>HYPERLINK("https://www.moneytimes.com.br/acoes-europeias-ficam-estaveis-em-meio-a-temores-sobre-teto-da-divida-dos-eua/")</f>
        <v>https://www.moneytimes.com.br/acoes-europeias-ficam-estaveis-em-meio-a-temores-sobre-teto-da-divida-dos-eua/</v>
      </c>
      <c r="Y3590" s="77" t="s">
        <v>7053</v>
      </c>
      <c r="Z3590" s="77"/>
      <c r="AA3590" s="77"/>
      <c r="AB3590" s="77"/>
      <c r="AC3590" s="82" t="s">
        <v>8255</v>
      </c>
      <c r="AD3590" s="77" t="s">
        <v>8278</v>
      </c>
      <c r="AE3590" s="80" t="str">
        <f>HYPERLINK("https://twitter.com/leiamoneytimes/status/1660708535368294412")</f>
        <v>https://twitter.com/leiamoneytimes/status/1660708535368294412</v>
      </c>
      <c r="AF3590" s="79">
        <v>45068.753969907404</v>
      </c>
      <c r="AG3590" s="85">
        <v>45068</v>
      </c>
      <c r="AH3590" s="82" t="s">
        <v>11576</v>
      </c>
      <c r="AI3590" s="77" t="b">
        <v>0</v>
      </c>
      <c r="AJ3590" s="77"/>
      <c r="AK3590" s="77"/>
      <c r="AL3590" s="77"/>
      <c r="AM3590" s="77"/>
      <c r="AN3590" s="77"/>
      <c r="AO3590" s="77"/>
      <c r="AP3590" s="77"/>
      <c r="AQ3590" s="77"/>
      <c r="AR3590" s="77"/>
      <c r="AS3590" s="77"/>
      <c r="AT3590" s="77"/>
      <c r="AU3590" s="77"/>
      <c r="AV3590" s="80" t="str">
        <f>HYPERLINK("https://pbs.twimg.com/profile_images/1559883556846977024/bXHnQFY0_normal.jpg")</f>
        <v>https://pbs.twimg.com/profile_images/1559883556846977024/bXHnQFY0_normal.jpg</v>
      </c>
      <c r="AW3590" s="82" t="s">
        <v>16674</v>
      </c>
      <c r="AX3590" s="82" t="s">
        <v>16674</v>
      </c>
      <c r="AY3590" s="77"/>
      <c r="AZ3590" s="82" t="s">
        <v>17385</v>
      </c>
      <c r="BA3590" s="82" t="s">
        <v>17385</v>
      </c>
      <c r="BB3590" s="82" t="s">
        <v>17385</v>
      </c>
      <c r="BC3590" s="82" t="s">
        <v>16674</v>
      </c>
      <c r="BD3590" s="77">
        <v>51150679</v>
      </c>
      <c r="BE3590" s="77"/>
      <c r="BF3590" s="77"/>
      <c r="BG3590" s="77"/>
      <c r="BH3590" s="77"/>
      <c r="BI3590" s="77"/>
    </row>
    <row r="3591" spans="1:61" x14ac:dyDescent="0.25">
      <c r="A3591" s="62" t="s">
        <v>605</v>
      </c>
      <c r="B3591" s="62" t="s">
        <v>605</v>
      </c>
      <c r="C3591" s="63"/>
      <c r="D3591" s="64"/>
      <c r="E3591" s="65"/>
      <c r="F3591" s="66"/>
      <c r="G3591" s="63"/>
      <c r="H3591" s="67"/>
      <c r="I3591" s="68"/>
      <c r="J3591" s="68"/>
      <c r="K3591" s="32"/>
      <c r="L3591" s="75">
        <v>3591</v>
      </c>
      <c r="M3591" s="75"/>
      <c r="N3591" s="70"/>
      <c r="O3591" s="77" t="s">
        <v>179</v>
      </c>
      <c r="P3591" s="79">
        <v>45068.731377314813</v>
      </c>
      <c r="Q3591" s="77" t="s">
        <v>4365</v>
      </c>
      <c r="R3591" s="77">
        <v>1</v>
      </c>
      <c r="S3591" s="77">
        <v>15</v>
      </c>
      <c r="T3591" s="77">
        <v>0</v>
      </c>
      <c r="U3591" s="77">
        <v>0</v>
      </c>
      <c r="V3591" s="77">
        <v>1830</v>
      </c>
      <c r="W3591" s="82" t="s">
        <v>6559</v>
      </c>
      <c r="X3591" s="80" t="str">
        <f>HYPERLINK("https://www.moneytimes.com.br/gringos-vendem-acoes-na-b3-pela-segunda-vez-em-dez-pregoes/")</f>
        <v>https://www.moneytimes.com.br/gringos-vendem-acoes-na-b3-pela-segunda-vez-em-dez-pregoes/</v>
      </c>
      <c r="Y3591" s="77" t="s">
        <v>7053</v>
      </c>
      <c r="Z3591" s="77"/>
      <c r="AA3591" s="77"/>
      <c r="AB3591" s="77"/>
      <c r="AC3591" s="82" t="s">
        <v>8255</v>
      </c>
      <c r="AD3591" s="77" t="s">
        <v>8278</v>
      </c>
      <c r="AE3591" s="80" t="str">
        <f>HYPERLINK("https://twitter.com/leiamoneytimes/status/1660700345368993792")</f>
        <v>https://twitter.com/leiamoneytimes/status/1660700345368993792</v>
      </c>
      <c r="AF3591" s="79">
        <v>45068.731377314813</v>
      </c>
      <c r="AG3591" s="85">
        <v>45068</v>
      </c>
      <c r="AH3591" s="82" t="s">
        <v>11577</v>
      </c>
      <c r="AI3591" s="77" t="b">
        <v>0</v>
      </c>
      <c r="AJ3591" s="77"/>
      <c r="AK3591" s="77"/>
      <c r="AL3591" s="77"/>
      <c r="AM3591" s="77"/>
      <c r="AN3591" s="77"/>
      <c r="AO3591" s="77"/>
      <c r="AP3591" s="77"/>
      <c r="AQ3591" s="77"/>
      <c r="AR3591" s="77"/>
      <c r="AS3591" s="77"/>
      <c r="AT3591" s="77"/>
      <c r="AU3591" s="77"/>
      <c r="AV3591" s="80" t="str">
        <f>HYPERLINK("https://pbs.twimg.com/profile_images/1559883556846977024/bXHnQFY0_normal.jpg")</f>
        <v>https://pbs.twimg.com/profile_images/1559883556846977024/bXHnQFY0_normal.jpg</v>
      </c>
      <c r="AW3591" s="82" t="s">
        <v>16675</v>
      </c>
      <c r="AX3591" s="82" t="s">
        <v>16675</v>
      </c>
      <c r="AY3591" s="77"/>
      <c r="AZ3591" s="82" t="s">
        <v>17385</v>
      </c>
      <c r="BA3591" s="82" t="s">
        <v>17385</v>
      </c>
      <c r="BB3591" s="82" t="s">
        <v>17385</v>
      </c>
      <c r="BC3591" s="82" t="s">
        <v>16675</v>
      </c>
      <c r="BD3591" s="77">
        <v>51150679</v>
      </c>
      <c r="BE3591" s="77"/>
      <c r="BF3591" s="77"/>
      <c r="BG3591" s="77"/>
      <c r="BH3591" s="77"/>
      <c r="BI3591" s="77"/>
    </row>
    <row r="3592" spans="1:61" x14ac:dyDescent="0.25">
      <c r="A3592" s="62" t="s">
        <v>605</v>
      </c>
      <c r="B3592" s="62" t="s">
        <v>605</v>
      </c>
      <c r="C3592" s="63"/>
      <c r="D3592" s="64"/>
      <c r="E3592" s="65"/>
      <c r="F3592" s="66"/>
      <c r="G3592" s="63"/>
      <c r="H3592" s="67"/>
      <c r="I3592" s="68"/>
      <c r="J3592" s="68"/>
      <c r="K3592" s="32"/>
      <c r="L3592" s="75">
        <v>3592</v>
      </c>
      <c r="M3592" s="75"/>
      <c r="N3592" s="70"/>
      <c r="O3592" s="77" t="s">
        <v>179</v>
      </c>
      <c r="P3592" s="79">
        <v>45068.692256944443</v>
      </c>
      <c r="Q3592" s="77" t="s">
        <v>4366</v>
      </c>
      <c r="R3592" s="77">
        <v>0</v>
      </c>
      <c r="S3592" s="77">
        <v>6</v>
      </c>
      <c r="T3592" s="77">
        <v>1</v>
      </c>
      <c r="U3592" s="77">
        <v>0</v>
      </c>
      <c r="V3592" s="77">
        <v>1506</v>
      </c>
      <c r="W3592" s="82" t="s">
        <v>6760</v>
      </c>
      <c r="X3592" s="80" t="str">
        <f>HYPERLINK("https://www.moneytimes.com.br/ibovespa-por-que-azul-azul4-avanca-11-e-alpargatas-alpa4-sobe-14-nesta-segunda-22/")</f>
        <v>https://www.moneytimes.com.br/ibovespa-por-que-azul-azul4-avanca-11-e-alpargatas-alpa4-sobe-14-nesta-segunda-22/</v>
      </c>
      <c r="Y3592" s="77" t="s">
        <v>7053</v>
      </c>
      <c r="Z3592" s="77"/>
      <c r="AA3592" s="77"/>
      <c r="AB3592" s="77"/>
      <c r="AC3592" s="82" t="s">
        <v>8255</v>
      </c>
      <c r="AD3592" s="77" t="s">
        <v>8278</v>
      </c>
      <c r="AE3592" s="80" t="str">
        <f>HYPERLINK("https://twitter.com/leiamoneytimes/status/1660686171456827392")</f>
        <v>https://twitter.com/leiamoneytimes/status/1660686171456827392</v>
      </c>
      <c r="AF3592" s="79">
        <v>45068.692256944443</v>
      </c>
      <c r="AG3592" s="85">
        <v>45068</v>
      </c>
      <c r="AH3592" s="82" t="s">
        <v>11578</v>
      </c>
      <c r="AI3592" s="77" t="b">
        <v>0</v>
      </c>
      <c r="AJ3592" s="77"/>
      <c r="AK3592" s="77"/>
      <c r="AL3592" s="77"/>
      <c r="AM3592" s="77"/>
      <c r="AN3592" s="77"/>
      <c r="AO3592" s="77"/>
      <c r="AP3592" s="77"/>
      <c r="AQ3592" s="77"/>
      <c r="AR3592" s="77"/>
      <c r="AS3592" s="77"/>
      <c r="AT3592" s="77"/>
      <c r="AU3592" s="77"/>
      <c r="AV3592" s="80" t="str">
        <f>HYPERLINK("https://pbs.twimg.com/profile_images/1559883556846977024/bXHnQFY0_normal.jpg")</f>
        <v>https://pbs.twimg.com/profile_images/1559883556846977024/bXHnQFY0_normal.jpg</v>
      </c>
      <c r="AW3592" s="82" t="s">
        <v>16676</v>
      </c>
      <c r="AX3592" s="82" t="s">
        <v>16676</v>
      </c>
      <c r="AY3592" s="77"/>
      <c r="AZ3592" s="82" t="s">
        <v>17385</v>
      </c>
      <c r="BA3592" s="82" t="s">
        <v>17385</v>
      </c>
      <c r="BB3592" s="82" t="s">
        <v>17385</v>
      </c>
      <c r="BC3592" s="82" t="s">
        <v>16676</v>
      </c>
      <c r="BD3592" s="77">
        <v>51150679</v>
      </c>
      <c r="BE3592" s="77"/>
      <c r="BF3592" s="77"/>
      <c r="BG3592" s="77"/>
      <c r="BH3592" s="77"/>
      <c r="BI3592" s="77"/>
    </row>
    <row r="3593" spans="1:61" x14ac:dyDescent="0.25">
      <c r="A3593" s="62" t="s">
        <v>605</v>
      </c>
      <c r="B3593" s="62" t="s">
        <v>605</v>
      </c>
      <c r="C3593" s="63"/>
      <c r="D3593" s="64"/>
      <c r="E3593" s="65"/>
      <c r="F3593" s="66"/>
      <c r="G3593" s="63"/>
      <c r="H3593" s="67"/>
      <c r="I3593" s="68"/>
      <c r="J3593" s="68"/>
      <c r="K3593" s="32"/>
      <c r="L3593" s="75">
        <v>3593</v>
      </c>
      <c r="M3593" s="75"/>
      <c r="N3593" s="70"/>
      <c r="O3593" s="77" t="s">
        <v>179</v>
      </c>
      <c r="P3593" s="79">
        <v>45068.532326388886</v>
      </c>
      <c r="Q3593" s="77" t="s">
        <v>4367</v>
      </c>
      <c r="R3593" s="77">
        <v>1</v>
      </c>
      <c r="S3593" s="77">
        <v>5</v>
      </c>
      <c r="T3593" s="77">
        <v>0</v>
      </c>
      <c r="U3593" s="77">
        <v>0</v>
      </c>
      <c r="V3593" s="77">
        <v>1360</v>
      </c>
      <c r="W3593" s="82" t="s">
        <v>6761</v>
      </c>
      <c r="X3593" s="80" t="str">
        <f>HYPERLINK("https://www.moneytimes.com.br/bb-investimentos-renova-carteira-de-acoes-para-superar-o-ibovespa-na-semana-confira-o-portfolio/")</f>
        <v>https://www.moneytimes.com.br/bb-investimentos-renova-carteira-de-acoes-para-superar-o-ibovespa-na-semana-confira-o-portfolio/</v>
      </c>
      <c r="Y3593" s="77" t="s">
        <v>7053</v>
      </c>
      <c r="Z3593" s="77"/>
      <c r="AA3593" s="77"/>
      <c r="AB3593" s="77"/>
      <c r="AC3593" s="82" t="s">
        <v>8255</v>
      </c>
      <c r="AD3593" s="77" t="s">
        <v>8278</v>
      </c>
      <c r="AE3593" s="80" t="str">
        <f>HYPERLINK("https://twitter.com/leiamoneytimes/status/1660628210566955010")</f>
        <v>https://twitter.com/leiamoneytimes/status/1660628210566955010</v>
      </c>
      <c r="AF3593" s="79">
        <v>45068.532326388886</v>
      </c>
      <c r="AG3593" s="85">
        <v>45068</v>
      </c>
      <c r="AH3593" s="82" t="s">
        <v>11579</v>
      </c>
      <c r="AI3593" s="77" t="b">
        <v>0</v>
      </c>
      <c r="AJ3593" s="77"/>
      <c r="AK3593" s="77"/>
      <c r="AL3593" s="77"/>
      <c r="AM3593" s="77"/>
      <c r="AN3593" s="77"/>
      <c r="AO3593" s="77"/>
      <c r="AP3593" s="77"/>
      <c r="AQ3593" s="77"/>
      <c r="AR3593" s="77"/>
      <c r="AS3593" s="77"/>
      <c r="AT3593" s="77"/>
      <c r="AU3593" s="77"/>
      <c r="AV3593" s="80" t="str">
        <f>HYPERLINK("https://pbs.twimg.com/profile_images/1559883556846977024/bXHnQFY0_normal.jpg")</f>
        <v>https://pbs.twimg.com/profile_images/1559883556846977024/bXHnQFY0_normal.jpg</v>
      </c>
      <c r="AW3593" s="82" t="s">
        <v>16677</v>
      </c>
      <c r="AX3593" s="82" t="s">
        <v>16677</v>
      </c>
      <c r="AY3593" s="77"/>
      <c r="AZ3593" s="82" t="s">
        <v>17385</v>
      </c>
      <c r="BA3593" s="82" t="s">
        <v>17385</v>
      </c>
      <c r="BB3593" s="82" t="s">
        <v>17385</v>
      </c>
      <c r="BC3593" s="82" t="s">
        <v>16677</v>
      </c>
      <c r="BD3593" s="77">
        <v>51150679</v>
      </c>
      <c r="BE3593" s="77"/>
      <c r="BF3593" s="77"/>
      <c r="BG3593" s="77"/>
      <c r="BH3593" s="77"/>
      <c r="BI3593" s="77"/>
    </row>
    <row r="3594" spans="1:61" x14ac:dyDescent="0.25">
      <c r="A3594" s="62" t="s">
        <v>605</v>
      </c>
      <c r="B3594" s="62" t="s">
        <v>605</v>
      </c>
      <c r="C3594" s="63"/>
      <c r="D3594" s="64"/>
      <c r="E3594" s="65"/>
      <c r="F3594" s="66"/>
      <c r="G3594" s="63"/>
      <c r="H3594" s="67"/>
      <c r="I3594" s="68"/>
      <c r="J3594" s="68"/>
      <c r="K3594" s="32"/>
      <c r="L3594" s="75">
        <v>3594</v>
      </c>
      <c r="M3594" s="75"/>
      <c r="N3594" s="70"/>
      <c r="O3594" s="77" t="s">
        <v>179</v>
      </c>
      <c r="P3594" s="79">
        <v>45068.524560185186</v>
      </c>
      <c r="Q3594" s="77" t="s">
        <v>4368</v>
      </c>
      <c r="R3594" s="77">
        <v>0</v>
      </c>
      <c r="S3594" s="77">
        <v>0</v>
      </c>
      <c r="T3594" s="77">
        <v>0</v>
      </c>
      <c r="U3594" s="77">
        <v>0</v>
      </c>
      <c r="V3594" s="77">
        <v>1179</v>
      </c>
      <c r="W3594" s="82" t="s">
        <v>6551</v>
      </c>
      <c r="X3594" s="80" t="str">
        <f>HYPERLINK("https://www.moneytimes.com.br/alpargatas-alpa4-ms-alpa-propoe-oferta-publica-para-comprar-ate-32-milhoes-de-acoes/")</f>
        <v>https://www.moneytimes.com.br/alpargatas-alpa4-ms-alpa-propoe-oferta-publica-para-comprar-ate-32-milhoes-de-acoes/</v>
      </c>
      <c r="Y3594" s="77" t="s">
        <v>7053</v>
      </c>
      <c r="Z3594" s="77"/>
      <c r="AA3594" s="77"/>
      <c r="AB3594" s="77"/>
      <c r="AC3594" s="82" t="s">
        <v>8255</v>
      </c>
      <c r="AD3594" s="77" t="s">
        <v>8278</v>
      </c>
      <c r="AE3594" s="80" t="str">
        <f>HYPERLINK("https://twitter.com/leiamoneytimes/status/1660625396755230724")</f>
        <v>https://twitter.com/leiamoneytimes/status/1660625396755230724</v>
      </c>
      <c r="AF3594" s="79">
        <v>45068.524560185186</v>
      </c>
      <c r="AG3594" s="85">
        <v>45068</v>
      </c>
      <c r="AH3594" s="82" t="s">
        <v>11580</v>
      </c>
      <c r="AI3594" s="77" t="b">
        <v>0</v>
      </c>
      <c r="AJ3594" s="77"/>
      <c r="AK3594" s="77"/>
      <c r="AL3594" s="77"/>
      <c r="AM3594" s="77"/>
      <c r="AN3594" s="77"/>
      <c r="AO3594" s="77"/>
      <c r="AP3594" s="77"/>
      <c r="AQ3594" s="77"/>
      <c r="AR3594" s="77"/>
      <c r="AS3594" s="77"/>
      <c r="AT3594" s="77"/>
      <c r="AU3594" s="77"/>
      <c r="AV3594" s="80" t="str">
        <f>HYPERLINK("https://pbs.twimg.com/profile_images/1559883556846977024/bXHnQFY0_normal.jpg")</f>
        <v>https://pbs.twimg.com/profile_images/1559883556846977024/bXHnQFY0_normal.jpg</v>
      </c>
      <c r="AW3594" s="82" t="s">
        <v>16678</v>
      </c>
      <c r="AX3594" s="82" t="s">
        <v>16678</v>
      </c>
      <c r="AY3594" s="77"/>
      <c r="AZ3594" s="82" t="s">
        <v>17385</v>
      </c>
      <c r="BA3594" s="82" t="s">
        <v>17385</v>
      </c>
      <c r="BB3594" s="82" t="s">
        <v>17385</v>
      </c>
      <c r="BC3594" s="82" t="s">
        <v>16678</v>
      </c>
      <c r="BD3594" s="77">
        <v>51150679</v>
      </c>
      <c r="BE3594" s="77"/>
      <c r="BF3594" s="77"/>
      <c r="BG3594" s="77"/>
      <c r="BH3594" s="77"/>
      <c r="BI3594" s="77"/>
    </row>
    <row r="3595" spans="1:61" x14ac:dyDescent="0.25">
      <c r="A3595" s="62" t="s">
        <v>605</v>
      </c>
      <c r="B3595" s="62" t="s">
        <v>605</v>
      </c>
      <c r="C3595" s="63"/>
      <c r="D3595" s="64"/>
      <c r="E3595" s="65"/>
      <c r="F3595" s="66"/>
      <c r="G3595" s="63"/>
      <c r="H3595" s="67"/>
      <c r="I3595" s="68"/>
      <c r="J3595" s="68"/>
      <c r="K3595" s="32"/>
      <c r="L3595" s="75">
        <v>3595</v>
      </c>
      <c r="M3595" s="75"/>
      <c r="N3595" s="70"/>
      <c r="O3595" s="77" t="s">
        <v>179</v>
      </c>
      <c r="P3595" s="79">
        <v>45068.45925925926</v>
      </c>
      <c r="Q3595" s="77" t="s">
        <v>4369</v>
      </c>
      <c r="R3595" s="77">
        <v>0</v>
      </c>
      <c r="S3595" s="77">
        <v>4</v>
      </c>
      <c r="T3595" s="77">
        <v>1</v>
      </c>
      <c r="U3595" s="77">
        <v>0</v>
      </c>
      <c r="V3595" s="77">
        <v>1697</v>
      </c>
      <c r="W3595" s="82" t="s">
        <v>6564</v>
      </c>
      <c r="X3595" s="80" t="str">
        <f>HYPERLINK("https://www.moneytimes.com.br/bolsas-asiaticas-acoes-da-china-fecham-em-alta-com-esperanca-de-melhora-nas-relacoes-sino-americanas/")</f>
        <v>https://www.moneytimes.com.br/bolsas-asiaticas-acoes-da-china-fecham-em-alta-com-esperanca-de-melhora-nas-relacoes-sino-americanas/</v>
      </c>
      <c r="Y3595" s="77" t="s">
        <v>7053</v>
      </c>
      <c r="Z3595" s="77"/>
      <c r="AA3595" s="77"/>
      <c r="AB3595" s="77"/>
      <c r="AC3595" s="82" t="s">
        <v>8255</v>
      </c>
      <c r="AD3595" s="77" t="s">
        <v>8278</v>
      </c>
      <c r="AE3595" s="80" t="str">
        <f>HYPERLINK("https://twitter.com/leiamoneytimes/status/1660601733301649410")</f>
        <v>https://twitter.com/leiamoneytimes/status/1660601733301649410</v>
      </c>
      <c r="AF3595" s="79">
        <v>45068.45925925926</v>
      </c>
      <c r="AG3595" s="85">
        <v>45068</v>
      </c>
      <c r="AH3595" s="82" t="s">
        <v>11581</v>
      </c>
      <c r="AI3595" s="77" t="b">
        <v>0</v>
      </c>
      <c r="AJ3595" s="77"/>
      <c r="AK3595" s="77"/>
      <c r="AL3595" s="77"/>
      <c r="AM3595" s="77"/>
      <c r="AN3595" s="77"/>
      <c r="AO3595" s="77"/>
      <c r="AP3595" s="77"/>
      <c r="AQ3595" s="77"/>
      <c r="AR3595" s="77"/>
      <c r="AS3595" s="77"/>
      <c r="AT3595" s="77"/>
      <c r="AU3595" s="77"/>
      <c r="AV3595" s="80" t="str">
        <f>HYPERLINK("https://pbs.twimg.com/profile_images/1559883556846977024/bXHnQFY0_normal.jpg")</f>
        <v>https://pbs.twimg.com/profile_images/1559883556846977024/bXHnQFY0_normal.jpg</v>
      </c>
      <c r="AW3595" s="82" t="s">
        <v>16679</v>
      </c>
      <c r="AX3595" s="82" t="s">
        <v>16679</v>
      </c>
      <c r="AY3595" s="77"/>
      <c r="AZ3595" s="82" t="s">
        <v>17385</v>
      </c>
      <c r="BA3595" s="82" t="s">
        <v>17385</v>
      </c>
      <c r="BB3595" s="82" t="s">
        <v>17385</v>
      </c>
      <c r="BC3595" s="82" t="s">
        <v>16679</v>
      </c>
      <c r="BD3595" s="77">
        <v>51150679</v>
      </c>
      <c r="BE3595" s="77"/>
      <c r="BF3595" s="77"/>
      <c r="BG3595" s="77"/>
      <c r="BH3595" s="77"/>
      <c r="BI3595" s="77"/>
    </row>
    <row r="3596" spans="1:61" x14ac:dyDescent="0.25">
      <c r="A3596" s="62" t="s">
        <v>605</v>
      </c>
      <c r="B3596" s="62" t="s">
        <v>605</v>
      </c>
      <c r="C3596" s="63"/>
      <c r="D3596" s="64"/>
      <c r="E3596" s="65"/>
      <c r="F3596" s="66"/>
      <c r="G3596" s="63"/>
      <c r="H3596" s="67"/>
      <c r="I3596" s="68"/>
      <c r="J3596" s="68"/>
      <c r="K3596" s="32"/>
      <c r="L3596" s="75">
        <v>3596</v>
      </c>
      <c r="M3596" s="75"/>
      <c r="N3596" s="70"/>
      <c r="O3596" s="77" t="s">
        <v>179</v>
      </c>
      <c r="P3596" s="79">
        <v>45068.454965277779</v>
      </c>
      <c r="Q3596" s="77" t="s">
        <v>4370</v>
      </c>
      <c r="R3596" s="77">
        <v>3</v>
      </c>
      <c r="S3596" s="77">
        <v>13</v>
      </c>
      <c r="T3596" s="77">
        <v>0</v>
      </c>
      <c r="U3596" s="77">
        <v>0</v>
      </c>
      <c r="V3596" s="77">
        <v>2562</v>
      </c>
      <c r="W3596" s="82" t="s">
        <v>6762</v>
      </c>
      <c r="X3596" s="80" t="str">
        <f>HYPERLINK("https://www.moneytimes.com.br/vale-vale3-e-petrobras-petr4-somam-r-21-bilhoes-em-isencoes-fiscais-e-outros-destaques-da-segunda-22/")</f>
        <v>https://www.moneytimes.com.br/vale-vale3-e-petrobras-petr4-somam-r-21-bilhoes-em-isencoes-fiscais-e-outros-destaques-da-segunda-22/</v>
      </c>
      <c r="Y3596" s="77" t="s">
        <v>7053</v>
      </c>
      <c r="Z3596" s="77"/>
      <c r="AA3596" s="77"/>
      <c r="AB3596" s="77"/>
      <c r="AC3596" s="82" t="s">
        <v>8255</v>
      </c>
      <c r="AD3596" s="77" t="s">
        <v>8278</v>
      </c>
      <c r="AE3596" s="80" t="str">
        <f>HYPERLINK("https://twitter.com/leiamoneytimes/status/1660600176250355713")</f>
        <v>https://twitter.com/leiamoneytimes/status/1660600176250355713</v>
      </c>
      <c r="AF3596" s="79">
        <v>45068.454965277779</v>
      </c>
      <c r="AG3596" s="85">
        <v>45068</v>
      </c>
      <c r="AH3596" s="82" t="s">
        <v>11582</v>
      </c>
      <c r="AI3596" s="77" t="b">
        <v>0</v>
      </c>
      <c r="AJ3596" s="77"/>
      <c r="AK3596" s="77"/>
      <c r="AL3596" s="77"/>
      <c r="AM3596" s="77"/>
      <c r="AN3596" s="77"/>
      <c r="AO3596" s="77"/>
      <c r="AP3596" s="77"/>
      <c r="AQ3596" s="77"/>
      <c r="AR3596" s="77"/>
      <c r="AS3596" s="77"/>
      <c r="AT3596" s="77"/>
      <c r="AU3596" s="77"/>
      <c r="AV3596" s="80" t="str">
        <f>HYPERLINK("https://pbs.twimg.com/profile_images/1559883556846977024/bXHnQFY0_normal.jpg")</f>
        <v>https://pbs.twimg.com/profile_images/1559883556846977024/bXHnQFY0_normal.jpg</v>
      </c>
      <c r="AW3596" s="82" t="s">
        <v>16680</v>
      </c>
      <c r="AX3596" s="82" t="s">
        <v>16680</v>
      </c>
      <c r="AY3596" s="77"/>
      <c r="AZ3596" s="82" t="s">
        <v>17385</v>
      </c>
      <c r="BA3596" s="82" t="s">
        <v>17385</v>
      </c>
      <c r="BB3596" s="82" t="s">
        <v>17385</v>
      </c>
      <c r="BC3596" s="82" t="s">
        <v>16680</v>
      </c>
      <c r="BD3596" s="77">
        <v>51150679</v>
      </c>
      <c r="BE3596" s="77"/>
      <c r="BF3596" s="77"/>
      <c r="BG3596" s="77"/>
      <c r="BH3596" s="77"/>
      <c r="BI3596" s="77"/>
    </row>
    <row r="3597" spans="1:61" x14ac:dyDescent="0.25">
      <c r="A3597" s="62" t="s">
        <v>605</v>
      </c>
      <c r="B3597" s="62" t="s">
        <v>605</v>
      </c>
      <c r="C3597" s="63"/>
      <c r="D3597" s="64"/>
      <c r="E3597" s="65"/>
      <c r="F3597" s="66"/>
      <c r="G3597" s="63"/>
      <c r="H3597" s="67"/>
      <c r="I3597" s="68"/>
      <c r="J3597" s="68"/>
      <c r="K3597" s="32"/>
      <c r="L3597" s="75">
        <v>3597</v>
      </c>
      <c r="M3597" s="75"/>
      <c r="N3597" s="70"/>
      <c r="O3597" s="77" t="s">
        <v>179</v>
      </c>
      <c r="P3597" s="79">
        <v>45067.834988425922</v>
      </c>
      <c r="Q3597" s="77" t="s">
        <v>4371</v>
      </c>
      <c r="R3597" s="77">
        <v>0</v>
      </c>
      <c r="S3597" s="77">
        <v>11</v>
      </c>
      <c r="T3597" s="77">
        <v>0</v>
      </c>
      <c r="U3597" s="77">
        <v>0</v>
      </c>
      <c r="V3597" s="77">
        <v>2877</v>
      </c>
      <c r="W3597" s="82" t="s">
        <v>6763</v>
      </c>
      <c r="X3597" s="80" t="str">
        <f>HYPERLINK("https://www.moneytimes.com.br/dividendos-e-jcp-leve3-lwsa3-e-mais-9-empresas-pagam-r-376-mi-esta-semana-grnd3-tem-data-com/")</f>
        <v>https://www.moneytimes.com.br/dividendos-e-jcp-leve3-lwsa3-e-mais-9-empresas-pagam-r-376-mi-esta-semana-grnd3-tem-data-com/</v>
      </c>
      <c r="Y3597" s="77" t="s">
        <v>7053</v>
      </c>
      <c r="Z3597" s="77"/>
      <c r="AA3597" s="77"/>
      <c r="AB3597" s="77"/>
      <c r="AC3597" s="82" t="s">
        <v>8255</v>
      </c>
      <c r="AD3597" s="77" t="s">
        <v>8278</v>
      </c>
      <c r="AE3597" s="80" t="str">
        <f>HYPERLINK("https://twitter.com/leiamoneytimes/status/1660375504447324160")</f>
        <v>https://twitter.com/leiamoneytimes/status/1660375504447324160</v>
      </c>
      <c r="AF3597" s="79">
        <v>45067.834988425922</v>
      </c>
      <c r="AG3597" s="85">
        <v>45067</v>
      </c>
      <c r="AH3597" s="82" t="s">
        <v>11583</v>
      </c>
      <c r="AI3597" s="77" t="b">
        <v>0</v>
      </c>
      <c r="AJ3597" s="77"/>
      <c r="AK3597" s="77"/>
      <c r="AL3597" s="77"/>
      <c r="AM3597" s="77"/>
      <c r="AN3597" s="77"/>
      <c r="AO3597" s="77"/>
      <c r="AP3597" s="77"/>
      <c r="AQ3597" s="77"/>
      <c r="AR3597" s="77"/>
      <c r="AS3597" s="77"/>
      <c r="AT3597" s="77"/>
      <c r="AU3597" s="77"/>
      <c r="AV3597" s="80" t="str">
        <f>HYPERLINK("https://pbs.twimg.com/profile_images/1559883556846977024/bXHnQFY0_normal.jpg")</f>
        <v>https://pbs.twimg.com/profile_images/1559883556846977024/bXHnQFY0_normal.jpg</v>
      </c>
      <c r="AW3597" s="82" t="s">
        <v>16681</v>
      </c>
      <c r="AX3597" s="82" t="s">
        <v>16681</v>
      </c>
      <c r="AY3597" s="77"/>
      <c r="AZ3597" s="82" t="s">
        <v>17385</v>
      </c>
      <c r="BA3597" s="82" t="s">
        <v>17385</v>
      </c>
      <c r="BB3597" s="82" t="s">
        <v>17385</v>
      </c>
      <c r="BC3597" s="82" t="s">
        <v>16681</v>
      </c>
      <c r="BD3597" s="77">
        <v>51150679</v>
      </c>
      <c r="BE3597" s="77"/>
      <c r="BF3597" s="77"/>
      <c r="BG3597" s="77"/>
      <c r="BH3597" s="77"/>
      <c r="BI3597" s="77"/>
    </row>
    <row r="3598" spans="1:61" x14ac:dyDescent="0.25">
      <c r="A3598" s="62" t="s">
        <v>605</v>
      </c>
      <c r="B3598" s="62" t="s">
        <v>605</v>
      </c>
      <c r="C3598" s="63"/>
      <c r="D3598" s="64"/>
      <c r="E3598" s="65"/>
      <c r="F3598" s="66"/>
      <c r="G3598" s="63"/>
      <c r="H3598" s="67"/>
      <c r="I3598" s="68"/>
      <c r="J3598" s="68"/>
      <c r="K3598" s="32"/>
      <c r="L3598" s="75">
        <v>3598</v>
      </c>
      <c r="M3598" s="75"/>
      <c r="N3598" s="70"/>
      <c r="O3598" s="77" t="s">
        <v>179</v>
      </c>
      <c r="P3598" s="79">
        <v>45066.631249999999</v>
      </c>
      <c r="Q3598" s="77" t="s">
        <v>4372</v>
      </c>
      <c r="R3598" s="77">
        <v>0</v>
      </c>
      <c r="S3598" s="77">
        <v>5</v>
      </c>
      <c r="T3598" s="77">
        <v>0</v>
      </c>
      <c r="U3598" s="77">
        <v>0</v>
      </c>
      <c r="V3598" s="77">
        <v>1890</v>
      </c>
      <c r="W3598" s="82" t="s">
        <v>6764</v>
      </c>
      <c r="X3598" s="80" t="str">
        <f>HYPERLINK("https://www.moneytimes.com.br/empresa-que-acao-dispara-250-em-2023-encerra-recuperacao-judicial-veja-qual/")</f>
        <v>https://www.moneytimes.com.br/empresa-que-acao-dispara-250-em-2023-encerra-recuperacao-judicial-veja-qual/</v>
      </c>
      <c r="Y3598" s="77" t="s">
        <v>7053</v>
      </c>
      <c r="Z3598" s="77"/>
      <c r="AA3598" s="77"/>
      <c r="AB3598" s="77"/>
      <c r="AC3598" s="82" t="s">
        <v>8255</v>
      </c>
      <c r="AD3598" s="77" t="s">
        <v>8278</v>
      </c>
      <c r="AE3598" s="80" t="str">
        <f>HYPERLINK("https://twitter.com/leiamoneytimes/status/1659939285066301441")</f>
        <v>https://twitter.com/leiamoneytimes/status/1659939285066301441</v>
      </c>
      <c r="AF3598" s="79">
        <v>45066.631249999999</v>
      </c>
      <c r="AG3598" s="85">
        <v>45066</v>
      </c>
      <c r="AH3598" s="82" t="s">
        <v>11584</v>
      </c>
      <c r="AI3598" s="77" t="b">
        <v>0</v>
      </c>
      <c r="AJ3598" s="77"/>
      <c r="AK3598" s="77"/>
      <c r="AL3598" s="77"/>
      <c r="AM3598" s="77"/>
      <c r="AN3598" s="77"/>
      <c r="AO3598" s="77"/>
      <c r="AP3598" s="77"/>
      <c r="AQ3598" s="77"/>
      <c r="AR3598" s="77"/>
      <c r="AS3598" s="77"/>
      <c r="AT3598" s="77"/>
      <c r="AU3598" s="77"/>
      <c r="AV3598" s="80" t="str">
        <f>HYPERLINK("https://pbs.twimg.com/profile_images/1559883556846977024/bXHnQFY0_normal.jpg")</f>
        <v>https://pbs.twimg.com/profile_images/1559883556846977024/bXHnQFY0_normal.jpg</v>
      </c>
      <c r="AW3598" s="82" t="s">
        <v>16682</v>
      </c>
      <c r="AX3598" s="82" t="s">
        <v>16682</v>
      </c>
      <c r="AY3598" s="77"/>
      <c r="AZ3598" s="82" t="s">
        <v>17385</v>
      </c>
      <c r="BA3598" s="82" t="s">
        <v>17385</v>
      </c>
      <c r="BB3598" s="82" t="s">
        <v>17385</v>
      </c>
      <c r="BC3598" s="82" t="s">
        <v>16682</v>
      </c>
      <c r="BD3598" s="77">
        <v>51150679</v>
      </c>
      <c r="BE3598" s="77"/>
      <c r="BF3598" s="77"/>
      <c r="BG3598" s="77"/>
      <c r="BH3598" s="77"/>
      <c r="BI3598" s="77"/>
    </row>
    <row r="3599" spans="1:61" x14ac:dyDescent="0.25">
      <c r="A3599" s="62" t="s">
        <v>605</v>
      </c>
      <c r="B3599" s="62" t="s">
        <v>605</v>
      </c>
      <c r="C3599" s="63"/>
      <c r="D3599" s="64"/>
      <c r="E3599" s="65"/>
      <c r="F3599" s="66"/>
      <c r="G3599" s="63"/>
      <c r="H3599" s="67"/>
      <c r="I3599" s="68"/>
      <c r="J3599" s="68"/>
      <c r="K3599" s="32"/>
      <c r="L3599" s="75">
        <v>3599</v>
      </c>
      <c r="M3599" s="75"/>
      <c r="N3599" s="70"/>
      <c r="O3599" s="77" t="s">
        <v>179</v>
      </c>
      <c r="P3599" s="79">
        <v>45065.602175925924</v>
      </c>
      <c r="Q3599" s="77" t="s">
        <v>4373</v>
      </c>
      <c r="R3599" s="77">
        <v>0</v>
      </c>
      <c r="S3599" s="77">
        <v>0</v>
      </c>
      <c r="T3599" s="77">
        <v>0</v>
      </c>
      <c r="U3599" s="77">
        <v>0</v>
      </c>
      <c r="V3599" s="77">
        <v>1073</v>
      </c>
      <c r="W3599" s="82" t="s">
        <v>6765</v>
      </c>
      <c r="X3599" s="80" t="str">
        <f>HYPERLINK("https://www.moneytimes.com.br/ibovespa-os-fatores-que-movem-a-petr4-e-a-prio3-nesta-sexta-19/")</f>
        <v>https://www.moneytimes.com.br/ibovespa-os-fatores-que-movem-a-petr4-e-a-prio3-nesta-sexta-19/</v>
      </c>
      <c r="Y3599" s="77" t="s">
        <v>7053</v>
      </c>
      <c r="Z3599" s="77"/>
      <c r="AA3599" s="77"/>
      <c r="AB3599" s="77"/>
      <c r="AC3599" s="82" t="s">
        <v>8255</v>
      </c>
      <c r="AD3599" s="77" t="s">
        <v>8278</v>
      </c>
      <c r="AE3599" s="80" t="str">
        <f>HYPERLINK("https://twitter.com/leiamoneytimes/status/1659566360832233478")</f>
        <v>https://twitter.com/leiamoneytimes/status/1659566360832233478</v>
      </c>
      <c r="AF3599" s="79">
        <v>45065.602175925924</v>
      </c>
      <c r="AG3599" s="85">
        <v>45065</v>
      </c>
      <c r="AH3599" s="82" t="s">
        <v>11585</v>
      </c>
      <c r="AI3599" s="77" t="b">
        <v>0</v>
      </c>
      <c r="AJ3599" s="77"/>
      <c r="AK3599" s="77"/>
      <c r="AL3599" s="77"/>
      <c r="AM3599" s="77"/>
      <c r="AN3599" s="77"/>
      <c r="AO3599" s="77"/>
      <c r="AP3599" s="77"/>
      <c r="AQ3599" s="77"/>
      <c r="AR3599" s="77"/>
      <c r="AS3599" s="77"/>
      <c r="AT3599" s="77"/>
      <c r="AU3599" s="77"/>
      <c r="AV3599" s="80" t="str">
        <f>HYPERLINK("https://pbs.twimg.com/profile_images/1559883556846977024/bXHnQFY0_normal.jpg")</f>
        <v>https://pbs.twimg.com/profile_images/1559883556846977024/bXHnQFY0_normal.jpg</v>
      </c>
      <c r="AW3599" s="82" t="s">
        <v>16683</v>
      </c>
      <c r="AX3599" s="82" t="s">
        <v>16683</v>
      </c>
      <c r="AY3599" s="77"/>
      <c r="AZ3599" s="82" t="s">
        <v>17385</v>
      </c>
      <c r="BA3599" s="82" t="s">
        <v>17385</v>
      </c>
      <c r="BB3599" s="82" t="s">
        <v>17385</v>
      </c>
      <c r="BC3599" s="82" t="s">
        <v>16683</v>
      </c>
      <c r="BD3599" s="77">
        <v>51150679</v>
      </c>
      <c r="BE3599" s="77"/>
      <c r="BF3599" s="77"/>
      <c r="BG3599" s="77"/>
      <c r="BH3599" s="77"/>
      <c r="BI3599" s="77"/>
    </row>
    <row r="3600" spans="1:61" x14ac:dyDescent="0.25">
      <c r="A3600" s="62" t="s">
        <v>605</v>
      </c>
      <c r="B3600" s="62" t="s">
        <v>605</v>
      </c>
      <c r="C3600" s="63"/>
      <c r="D3600" s="64"/>
      <c r="E3600" s="65"/>
      <c r="F3600" s="66"/>
      <c r="G3600" s="63"/>
      <c r="H3600" s="67"/>
      <c r="I3600" s="68"/>
      <c r="J3600" s="68"/>
      <c r="K3600" s="32"/>
      <c r="L3600" s="75">
        <v>3600</v>
      </c>
      <c r="M3600" s="75"/>
      <c r="N3600" s="70"/>
      <c r="O3600" s="77" t="s">
        <v>179</v>
      </c>
      <c r="P3600" s="79">
        <v>45065.56322916667</v>
      </c>
      <c r="Q3600" s="77" t="s">
        <v>4374</v>
      </c>
      <c r="R3600" s="77">
        <v>0</v>
      </c>
      <c r="S3600" s="77">
        <v>4</v>
      </c>
      <c r="T3600" s="77">
        <v>0</v>
      </c>
      <c r="U3600" s="77">
        <v>0</v>
      </c>
      <c r="V3600" s="77">
        <v>1066</v>
      </c>
      <c r="W3600" s="82" t="s">
        <v>5596</v>
      </c>
      <c r="X3600" s="80" t="str">
        <f>HYPERLINK("https://www.moneytimes.com.br/gringos-adotam-o-buy-in-may-na-semana-e-saldo-na-b3-no-mes-sai-do-vermelho/")</f>
        <v>https://www.moneytimes.com.br/gringos-adotam-o-buy-in-may-na-semana-e-saldo-na-b3-no-mes-sai-do-vermelho/</v>
      </c>
      <c r="Y3600" s="77" t="s">
        <v>7053</v>
      </c>
      <c r="Z3600" s="77"/>
      <c r="AA3600" s="77"/>
      <c r="AB3600" s="77"/>
      <c r="AC3600" s="82" t="s">
        <v>8255</v>
      </c>
      <c r="AD3600" s="77" t="s">
        <v>8278</v>
      </c>
      <c r="AE3600" s="80" t="str">
        <f>HYPERLINK("https://twitter.com/leiamoneytimes/status/1659552248710537216")</f>
        <v>https://twitter.com/leiamoneytimes/status/1659552248710537216</v>
      </c>
      <c r="AF3600" s="79">
        <v>45065.56322916667</v>
      </c>
      <c r="AG3600" s="85">
        <v>45065</v>
      </c>
      <c r="AH3600" s="82" t="s">
        <v>10634</v>
      </c>
      <c r="AI3600" s="77" t="b">
        <v>0</v>
      </c>
      <c r="AJ3600" s="77"/>
      <c r="AK3600" s="77"/>
      <c r="AL3600" s="77"/>
      <c r="AM3600" s="77"/>
      <c r="AN3600" s="77"/>
      <c r="AO3600" s="77"/>
      <c r="AP3600" s="77"/>
      <c r="AQ3600" s="77"/>
      <c r="AR3600" s="77"/>
      <c r="AS3600" s="77"/>
      <c r="AT3600" s="77"/>
      <c r="AU3600" s="77"/>
      <c r="AV3600" s="80" t="str">
        <f>HYPERLINK("https://pbs.twimg.com/profile_images/1559883556846977024/bXHnQFY0_normal.jpg")</f>
        <v>https://pbs.twimg.com/profile_images/1559883556846977024/bXHnQFY0_normal.jpg</v>
      </c>
      <c r="AW3600" s="82" t="s">
        <v>16684</v>
      </c>
      <c r="AX3600" s="82" t="s">
        <v>16684</v>
      </c>
      <c r="AY3600" s="77"/>
      <c r="AZ3600" s="82" t="s">
        <v>17385</v>
      </c>
      <c r="BA3600" s="82" t="s">
        <v>17385</v>
      </c>
      <c r="BB3600" s="82" t="s">
        <v>17385</v>
      </c>
      <c r="BC3600" s="82" t="s">
        <v>16684</v>
      </c>
      <c r="BD3600" s="77">
        <v>51150679</v>
      </c>
      <c r="BE3600" s="77"/>
      <c r="BF3600" s="77"/>
      <c r="BG3600" s="77"/>
      <c r="BH3600" s="77"/>
      <c r="BI3600" s="77"/>
    </row>
    <row r="3601" spans="1:61" x14ac:dyDescent="0.25">
      <c r="A3601" s="62" t="s">
        <v>605</v>
      </c>
      <c r="B3601" s="62" t="s">
        <v>605</v>
      </c>
      <c r="C3601" s="63"/>
      <c r="D3601" s="64"/>
      <c r="E3601" s="65"/>
      <c r="F3601" s="66"/>
      <c r="G3601" s="63"/>
      <c r="H3601" s="67"/>
      <c r="I3601" s="68"/>
      <c r="J3601" s="68"/>
      <c r="K3601" s="32"/>
      <c r="L3601" s="75">
        <v>3601</v>
      </c>
      <c r="M3601" s="75"/>
      <c r="N3601" s="70"/>
      <c r="O3601" s="77" t="s">
        <v>179</v>
      </c>
      <c r="P3601" s="79">
        <v>45065.467638888891</v>
      </c>
      <c r="Q3601" s="77" t="s">
        <v>4375</v>
      </c>
      <c r="R3601" s="77">
        <v>0</v>
      </c>
      <c r="S3601" s="77">
        <v>7</v>
      </c>
      <c r="T3601" s="77">
        <v>0</v>
      </c>
      <c r="U3601" s="77">
        <v>0</v>
      </c>
      <c r="V3601" s="77">
        <v>1641</v>
      </c>
      <c r="W3601" s="82" t="s">
        <v>6707</v>
      </c>
      <c r="X3601" s="80" t="str">
        <f>HYPERLINK("https://www.moneytimes.com.br/venda-da-vale-vale3-alerta-da-petrobras-petr4-e-outros-destaques-desta-sexta-19/")</f>
        <v>https://www.moneytimes.com.br/venda-da-vale-vale3-alerta-da-petrobras-petr4-e-outros-destaques-desta-sexta-19/</v>
      </c>
      <c r="Y3601" s="77" t="s">
        <v>7053</v>
      </c>
      <c r="Z3601" s="77"/>
      <c r="AA3601" s="77"/>
      <c r="AB3601" s="77"/>
      <c r="AC3601" s="82" t="s">
        <v>8255</v>
      </c>
      <c r="AD3601" s="77" t="s">
        <v>8278</v>
      </c>
      <c r="AE3601" s="80" t="str">
        <f>HYPERLINK("https://twitter.com/leiamoneytimes/status/1659517605680431104")</f>
        <v>https://twitter.com/leiamoneytimes/status/1659517605680431104</v>
      </c>
      <c r="AF3601" s="79">
        <v>45065.467638888891</v>
      </c>
      <c r="AG3601" s="85">
        <v>45065</v>
      </c>
      <c r="AH3601" s="82" t="s">
        <v>11586</v>
      </c>
      <c r="AI3601" s="77" t="b">
        <v>0</v>
      </c>
      <c r="AJ3601" s="77"/>
      <c r="AK3601" s="77"/>
      <c r="AL3601" s="77"/>
      <c r="AM3601" s="77"/>
      <c r="AN3601" s="77"/>
      <c r="AO3601" s="77"/>
      <c r="AP3601" s="77"/>
      <c r="AQ3601" s="77"/>
      <c r="AR3601" s="77"/>
      <c r="AS3601" s="77"/>
      <c r="AT3601" s="77"/>
      <c r="AU3601" s="77"/>
      <c r="AV3601" s="80" t="str">
        <f>HYPERLINK("https://pbs.twimg.com/profile_images/1559883556846977024/bXHnQFY0_normal.jpg")</f>
        <v>https://pbs.twimg.com/profile_images/1559883556846977024/bXHnQFY0_normal.jpg</v>
      </c>
      <c r="AW3601" s="82" t="s">
        <v>16685</v>
      </c>
      <c r="AX3601" s="82" t="s">
        <v>16685</v>
      </c>
      <c r="AY3601" s="77"/>
      <c r="AZ3601" s="82" t="s">
        <v>17385</v>
      </c>
      <c r="BA3601" s="82" t="s">
        <v>17385</v>
      </c>
      <c r="BB3601" s="82" t="s">
        <v>17385</v>
      </c>
      <c r="BC3601" s="82" t="s">
        <v>16685</v>
      </c>
      <c r="BD3601" s="77">
        <v>51150679</v>
      </c>
      <c r="BE3601" s="77"/>
      <c r="BF3601" s="77"/>
      <c r="BG3601" s="77"/>
      <c r="BH3601" s="77"/>
      <c r="BI3601" s="77"/>
    </row>
    <row r="3602" spans="1:61" x14ac:dyDescent="0.25">
      <c r="A3602" s="62" t="s">
        <v>605</v>
      </c>
      <c r="B3602" s="62" t="s">
        <v>605</v>
      </c>
      <c r="C3602" s="63"/>
      <c r="D3602" s="64"/>
      <c r="E3602" s="65"/>
      <c r="F3602" s="66"/>
      <c r="G3602" s="63"/>
      <c r="H3602" s="67"/>
      <c r="I3602" s="68"/>
      <c r="J3602" s="68"/>
      <c r="K3602" s="32"/>
      <c r="L3602" s="75">
        <v>3602</v>
      </c>
      <c r="M3602" s="75"/>
      <c r="N3602" s="70"/>
      <c r="O3602" s="77" t="s">
        <v>179</v>
      </c>
      <c r="P3602" s="79">
        <v>45064.80064814815</v>
      </c>
      <c r="Q3602" s="77" t="s">
        <v>4376</v>
      </c>
      <c r="R3602" s="77">
        <v>0</v>
      </c>
      <c r="S3602" s="77">
        <v>2</v>
      </c>
      <c r="T3602" s="77">
        <v>0</v>
      </c>
      <c r="U3602" s="77">
        <v>0</v>
      </c>
      <c r="V3602" s="77">
        <v>1397</v>
      </c>
      <c r="W3602" s="82" t="s">
        <v>6766</v>
      </c>
      <c r="X3602" s="80" t="str">
        <f>HYPERLINK("https://www.moneytimes.com.br/e-cliente-do-nubank-nubr33-veja-quais-sao-os-planos-da-fintech-nos-proximos-10-anos/")</f>
        <v>https://www.moneytimes.com.br/e-cliente-do-nubank-nubr33-veja-quais-sao-os-planos-da-fintech-nos-proximos-10-anos/</v>
      </c>
      <c r="Y3602" s="77" t="s">
        <v>7053</v>
      </c>
      <c r="Z3602" s="77"/>
      <c r="AA3602" s="77"/>
      <c r="AB3602" s="77"/>
      <c r="AC3602" s="82" t="s">
        <v>8255</v>
      </c>
      <c r="AD3602" s="77" t="s">
        <v>8278</v>
      </c>
      <c r="AE3602" s="80" t="str">
        <f>HYPERLINK("https://twitter.com/leiamoneytimes/status/1659275898258878498")</f>
        <v>https://twitter.com/leiamoneytimes/status/1659275898258878498</v>
      </c>
      <c r="AF3602" s="79">
        <v>45064.80064814815</v>
      </c>
      <c r="AG3602" s="85">
        <v>45064</v>
      </c>
      <c r="AH3602" s="82" t="s">
        <v>10328</v>
      </c>
      <c r="AI3602" s="77" t="b">
        <v>0</v>
      </c>
      <c r="AJ3602" s="77"/>
      <c r="AK3602" s="77"/>
      <c r="AL3602" s="77"/>
      <c r="AM3602" s="77"/>
      <c r="AN3602" s="77"/>
      <c r="AO3602" s="77"/>
      <c r="AP3602" s="77"/>
      <c r="AQ3602" s="77"/>
      <c r="AR3602" s="77"/>
      <c r="AS3602" s="77"/>
      <c r="AT3602" s="77"/>
      <c r="AU3602" s="77"/>
      <c r="AV3602" s="80" t="str">
        <f>HYPERLINK("https://pbs.twimg.com/profile_images/1559883556846977024/bXHnQFY0_normal.jpg")</f>
        <v>https://pbs.twimg.com/profile_images/1559883556846977024/bXHnQFY0_normal.jpg</v>
      </c>
      <c r="AW3602" s="82" t="s">
        <v>16686</v>
      </c>
      <c r="AX3602" s="82" t="s">
        <v>16686</v>
      </c>
      <c r="AY3602" s="77"/>
      <c r="AZ3602" s="82" t="s">
        <v>17385</v>
      </c>
      <c r="BA3602" s="82" t="s">
        <v>17385</v>
      </c>
      <c r="BB3602" s="82" t="s">
        <v>17385</v>
      </c>
      <c r="BC3602" s="82" t="s">
        <v>16686</v>
      </c>
      <c r="BD3602" s="77">
        <v>51150679</v>
      </c>
      <c r="BE3602" s="77"/>
      <c r="BF3602" s="77"/>
      <c r="BG3602" s="77"/>
      <c r="BH3602" s="77"/>
      <c r="BI3602" s="77"/>
    </row>
    <row r="3603" spans="1:61" x14ac:dyDescent="0.25">
      <c r="A3603" s="62" t="s">
        <v>605</v>
      </c>
      <c r="B3603" s="62" t="s">
        <v>605</v>
      </c>
      <c r="C3603" s="63"/>
      <c r="D3603" s="64"/>
      <c r="E3603" s="65"/>
      <c r="F3603" s="66"/>
      <c r="G3603" s="63"/>
      <c r="H3603" s="67"/>
      <c r="I3603" s="68"/>
      <c r="J3603" s="68"/>
      <c r="K3603" s="32"/>
      <c r="L3603" s="75">
        <v>3603</v>
      </c>
      <c r="M3603" s="75"/>
      <c r="N3603" s="70"/>
      <c r="O3603" s="77" t="s">
        <v>179</v>
      </c>
      <c r="P3603" s="79">
        <v>45064.767893518518</v>
      </c>
      <c r="Q3603" s="77" t="s">
        <v>4377</v>
      </c>
      <c r="R3603" s="77">
        <v>0</v>
      </c>
      <c r="S3603" s="77">
        <v>5</v>
      </c>
      <c r="T3603" s="77">
        <v>2</v>
      </c>
      <c r="U3603" s="77">
        <v>0</v>
      </c>
      <c r="V3603" s="77">
        <v>1733</v>
      </c>
      <c r="W3603" s="82" t="s">
        <v>6767</v>
      </c>
      <c r="X3603" s="80" t="str">
        <f>HYPERLINK("https://www.moneytimes.com.br/nubank-nubr33-brasil-pode-nao-ser-a-galinha-dos-ovos-de-ouro-e-sim-outro-pais-latino/")</f>
        <v>https://www.moneytimes.com.br/nubank-nubr33-brasil-pode-nao-ser-a-galinha-dos-ovos-de-ouro-e-sim-outro-pais-latino/</v>
      </c>
      <c r="Y3603" s="77" t="s">
        <v>7053</v>
      </c>
      <c r="Z3603" s="77"/>
      <c r="AA3603" s="77"/>
      <c r="AB3603" s="77"/>
      <c r="AC3603" s="82" t="s">
        <v>8255</v>
      </c>
      <c r="AD3603" s="77" t="s">
        <v>8278</v>
      </c>
      <c r="AE3603" s="80" t="str">
        <f>HYPERLINK("https://twitter.com/leiamoneytimes/status/1659264029435600919")</f>
        <v>https://twitter.com/leiamoneytimes/status/1659264029435600919</v>
      </c>
      <c r="AF3603" s="79">
        <v>45064.767893518518</v>
      </c>
      <c r="AG3603" s="85">
        <v>45064</v>
      </c>
      <c r="AH3603" s="82" t="s">
        <v>11587</v>
      </c>
      <c r="AI3603" s="77" t="b">
        <v>0</v>
      </c>
      <c r="AJ3603" s="77"/>
      <c r="AK3603" s="77"/>
      <c r="AL3603" s="77"/>
      <c r="AM3603" s="77"/>
      <c r="AN3603" s="77"/>
      <c r="AO3603" s="77"/>
      <c r="AP3603" s="77"/>
      <c r="AQ3603" s="77"/>
      <c r="AR3603" s="77"/>
      <c r="AS3603" s="77"/>
      <c r="AT3603" s="77"/>
      <c r="AU3603" s="77"/>
      <c r="AV3603" s="80" t="str">
        <f>HYPERLINK("https://pbs.twimg.com/profile_images/1559883556846977024/bXHnQFY0_normal.jpg")</f>
        <v>https://pbs.twimg.com/profile_images/1559883556846977024/bXHnQFY0_normal.jpg</v>
      </c>
      <c r="AW3603" s="82" t="s">
        <v>16687</v>
      </c>
      <c r="AX3603" s="82" t="s">
        <v>16687</v>
      </c>
      <c r="AY3603" s="77"/>
      <c r="AZ3603" s="82" t="s">
        <v>17385</v>
      </c>
      <c r="BA3603" s="82" t="s">
        <v>17385</v>
      </c>
      <c r="BB3603" s="82" t="s">
        <v>17385</v>
      </c>
      <c r="BC3603" s="82" t="s">
        <v>16687</v>
      </c>
      <c r="BD3603" s="77">
        <v>51150679</v>
      </c>
      <c r="BE3603" s="77"/>
      <c r="BF3603" s="77"/>
      <c r="BG3603" s="77"/>
      <c r="BH3603" s="77"/>
      <c r="BI3603" s="77"/>
    </row>
    <row r="3604" spans="1:61" x14ac:dyDescent="0.25">
      <c r="A3604" s="62" t="s">
        <v>605</v>
      </c>
      <c r="B3604" s="62" t="s">
        <v>605</v>
      </c>
      <c r="C3604" s="63"/>
      <c r="D3604" s="64"/>
      <c r="E3604" s="65"/>
      <c r="F3604" s="66"/>
      <c r="G3604" s="63"/>
      <c r="H3604" s="67"/>
      <c r="I3604" s="68"/>
      <c r="J3604" s="68"/>
      <c r="K3604" s="32"/>
      <c r="L3604" s="75">
        <v>3604</v>
      </c>
      <c r="M3604" s="75"/>
      <c r="N3604" s="70"/>
      <c r="O3604" s="77" t="s">
        <v>179</v>
      </c>
      <c r="P3604" s="79">
        <v>45196.908587962964</v>
      </c>
      <c r="Q3604" s="77" t="s">
        <v>4378</v>
      </c>
      <c r="R3604" s="77">
        <v>0</v>
      </c>
      <c r="S3604" s="77">
        <v>3</v>
      </c>
      <c r="T3604" s="77">
        <v>3</v>
      </c>
      <c r="U3604" s="77">
        <v>0</v>
      </c>
      <c r="V3604" s="77">
        <v>1637</v>
      </c>
      <c r="W3604" s="82" t="s">
        <v>6768</v>
      </c>
      <c r="X3604" s="80" t="str">
        <f>HYPERLINK("https://www.moneytimes.com.br/magazine-luiza-mglu3-esta-nas-minimas-do-ano-entenda-o-que-abala-a-acao-e-veja-recomendacoes/?ttmt")</f>
        <v>https://www.moneytimes.com.br/magazine-luiza-mglu3-esta-nas-minimas-do-ano-entenda-o-que-abala-a-acao-e-veja-recomendacoes/?ttmt</v>
      </c>
      <c r="Y3604" s="77" t="s">
        <v>7053</v>
      </c>
      <c r="Z3604" s="77"/>
      <c r="AA3604" s="77"/>
      <c r="AB3604" s="77"/>
      <c r="AC3604" s="82" t="s">
        <v>8232</v>
      </c>
      <c r="AD3604" s="77" t="s">
        <v>8278</v>
      </c>
      <c r="AE3604" s="80" t="str">
        <f>HYPERLINK("https://twitter.com/leiamoneytimes/status/1707150210344919126")</f>
        <v>https://twitter.com/leiamoneytimes/status/1707150210344919126</v>
      </c>
      <c r="AF3604" s="79">
        <v>45196.908587962964</v>
      </c>
      <c r="AG3604" s="85">
        <v>45196</v>
      </c>
      <c r="AH3604" s="82" t="s">
        <v>11588</v>
      </c>
      <c r="AI3604" s="77" t="b">
        <v>0</v>
      </c>
      <c r="AJ3604" s="77"/>
      <c r="AK3604" s="77"/>
      <c r="AL3604" s="77"/>
      <c r="AM3604" s="77"/>
      <c r="AN3604" s="77"/>
      <c r="AO3604" s="77"/>
      <c r="AP3604" s="77"/>
      <c r="AQ3604" s="77"/>
      <c r="AR3604" s="77"/>
      <c r="AS3604" s="77"/>
      <c r="AT3604" s="77"/>
      <c r="AU3604" s="77"/>
      <c r="AV3604" s="80" t="str">
        <f>HYPERLINK("https://pbs.twimg.com/profile_images/1559883556846977024/bXHnQFY0_normal.jpg")</f>
        <v>https://pbs.twimg.com/profile_images/1559883556846977024/bXHnQFY0_normal.jpg</v>
      </c>
      <c r="AW3604" s="82" t="s">
        <v>16688</v>
      </c>
      <c r="AX3604" s="82" t="s">
        <v>16688</v>
      </c>
      <c r="AY3604" s="77"/>
      <c r="AZ3604" s="82" t="s">
        <v>17385</v>
      </c>
      <c r="BA3604" s="82" t="s">
        <v>17385</v>
      </c>
      <c r="BB3604" s="82" t="s">
        <v>17385</v>
      </c>
      <c r="BC3604" s="82" t="s">
        <v>16688</v>
      </c>
      <c r="BD3604" s="77">
        <v>51150679</v>
      </c>
      <c r="BE3604" s="77"/>
      <c r="BF3604" s="77"/>
      <c r="BG3604" s="77"/>
      <c r="BH3604" s="77"/>
      <c r="BI3604" s="77"/>
    </row>
    <row r="3605" spans="1:61" x14ac:dyDescent="0.25">
      <c r="A3605" s="62" t="s">
        <v>605</v>
      </c>
      <c r="B3605" s="62" t="s">
        <v>605</v>
      </c>
      <c r="C3605" s="63"/>
      <c r="D3605" s="64"/>
      <c r="E3605" s="65"/>
      <c r="F3605" s="66"/>
      <c r="G3605" s="63"/>
      <c r="H3605" s="67"/>
      <c r="I3605" s="68"/>
      <c r="J3605" s="68"/>
      <c r="K3605" s="32"/>
      <c r="L3605" s="75">
        <v>3605</v>
      </c>
      <c r="M3605" s="75"/>
      <c r="N3605" s="70"/>
      <c r="O3605" s="77" t="s">
        <v>179</v>
      </c>
      <c r="P3605" s="79">
        <v>45194.68954861111</v>
      </c>
      <c r="Q3605" s="77" t="s">
        <v>4379</v>
      </c>
      <c r="R3605" s="77">
        <v>0</v>
      </c>
      <c r="S3605" s="77">
        <v>0</v>
      </c>
      <c r="T3605" s="77">
        <v>1</v>
      </c>
      <c r="U3605" s="77">
        <v>0</v>
      </c>
      <c r="V3605" s="77">
        <v>1045</v>
      </c>
      <c r="W3605" s="82" t="s">
        <v>6769</v>
      </c>
      <c r="X3605" s="80" t="str">
        <f>HYPERLINK("https://www.moneytimes.com.br/weg-wege3-e-outras-4-acoes-para-investir-e-superar-o-ibovespa-nesta-semana-segundo-mycap/?ttmt")</f>
        <v>https://www.moneytimes.com.br/weg-wege3-e-outras-4-acoes-para-investir-e-superar-o-ibovespa-nesta-semana-segundo-mycap/?ttmt</v>
      </c>
      <c r="Y3605" s="77" t="s">
        <v>7053</v>
      </c>
      <c r="Z3605" s="77"/>
      <c r="AA3605" s="77"/>
      <c r="AB3605" s="77"/>
      <c r="AC3605" s="82" t="s">
        <v>8232</v>
      </c>
      <c r="AD3605" s="77" t="s">
        <v>8278</v>
      </c>
      <c r="AE3605" s="80" t="str">
        <f>HYPERLINK("https://twitter.com/leiamoneytimes/status/1706346058136121471")</f>
        <v>https://twitter.com/leiamoneytimes/status/1706346058136121471</v>
      </c>
      <c r="AF3605" s="79">
        <v>45194.68954861111</v>
      </c>
      <c r="AG3605" s="85">
        <v>45194</v>
      </c>
      <c r="AH3605" s="82" t="s">
        <v>11589</v>
      </c>
      <c r="AI3605" s="77" t="b">
        <v>0</v>
      </c>
      <c r="AJ3605" s="77"/>
      <c r="AK3605" s="77"/>
      <c r="AL3605" s="77"/>
      <c r="AM3605" s="77"/>
      <c r="AN3605" s="77"/>
      <c r="AO3605" s="77"/>
      <c r="AP3605" s="77"/>
      <c r="AQ3605" s="77"/>
      <c r="AR3605" s="77"/>
      <c r="AS3605" s="77"/>
      <c r="AT3605" s="77"/>
      <c r="AU3605" s="77"/>
      <c r="AV3605" s="80" t="str">
        <f>HYPERLINK("https://pbs.twimg.com/profile_images/1559883556846977024/bXHnQFY0_normal.jpg")</f>
        <v>https://pbs.twimg.com/profile_images/1559883556846977024/bXHnQFY0_normal.jpg</v>
      </c>
      <c r="AW3605" s="82" t="s">
        <v>16689</v>
      </c>
      <c r="AX3605" s="82" t="s">
        <v>16689</v>
      </c>
      <c r="AY3605" s="77"/>
      <c r="AZ3605" s="82" t="s">
        <v>17385</v>
      </c>
      <c r="BA3605" s="82" t="s">
        <v>17385</v>
      </c>
      <c r="BB3605" s="82" t="s">
        <v>17385</v>
      </c>
      <c r="BC3605" s="82" t="s">
        <v>16689</v>
      </c>
      <c r="BD3605" s="77">
        <v>51150679</v>
      </c>
      <c r="BE3605" s="77"/>
      <c r="BF3605" s="77"/>
      <c r="BG3605" s="77"/>
      <c r="BH3605" s="77"/>
      <c r="BI3605" s="77"/>
    </row>
    <row r="3606" spans="1:61" x14ac:dyDescent="0.25">
      <c r="A3606" s="62" t="s">
        <v>605</v>
      </c>
      <c r="B3606" s="62" t="s">
        <v>605</v>
      </c>
      <c r="C3606" s="63"/>
      <c r="D3606" s="64"/>
      <c r="E3606" s="65"/>
      <c r="F3606" s="66"/>
      <c r="G3606" s="63"/>
      <c r="H3606" s="67"/>
      <c r="I3606" s="68"/>
      <c r="J3606" s="68"/>
      <c r="K3606" s="32"/>
      <c r="L3606" s="75">
        <v>3606</v>
      </c>
      <c r="M3606" s="75"/>
      <c r="N3606" s="70"/>
      <c r="O3606" s="77" t="s">
        <v>179</v>
      </c>
      <c r="P3606" s="79">
        <v>45194.589675925927</v>
      </c>
      <c r="Q3606" s="77" t="s">
        <v>4380</v>
      </c>
      <c r="R3606" s="77">
        <v>0</v>
      </c>
      <c r="S3606" s="77">
        <v>1</v>
      </c>
      <c r="T3606" s="77">
        <v>2</v>
      </c>
      <c r="U3606" s="77">
        <v>0</v>
      </c>
      <c r="V3606" s="77">
        <v>1004</v>
      </c>
      <c r="W3606" s="82" t="s">
        <v>6732</v>
      </c>
      <c r="X3606" s="80" t="str">
        <f>HYPERLINK("https://www.moneytimes.com.br/5-acoes-para-investir-e-bater-o-ibovespa-na-semana-segundo-terra/?ttmt")</f>
        <v>https://www.moneytimes.com.br/5-acoes-para-investir-e-bater-o-ibovespa-na-semana-segundo-terra/?ttmt</v>
      </c>
      <c r="Y3606" s="77" t="s">
        <v>7053</v>
      </c>
      <c r="Z3606" s="77"/>
      <c r="AA3606" s="77"/>
      <c r="AB3606" s="77"/>
      <c r="AC3606" s="82" t="s">
        <v>8232</v>
      </c>
      <c r="AD3606" s="77" t="s">
        <v>8278</v>
      </c>
      <c r="AE3606" s="80" t="str">
        <f>HYPERLINK("https://twitter.com/leiamoneytimes/status/1706309866686398815")</f>
        <v>https://twitter.com/leiamoneytimes/status/1706309866686398815</v>
      </c>
      <c r="AF3606" s="79">
        <v>45194.589675925927</v>
      </c>
      <c r="AG3606" s="85">
        <v>45194</v>
      </c>
      <c r="AH3606" s="82" t="s">
        <v>11590</v>
      </c>
      <c r="AI3606" s="77" t="b">
        <v>0</v>
      </c>
      <c r="AJ3606" s="77"/>
      <c r="AK3606" s="77"/>
      <c r="AL3606" s="77"/>
      <c r="AM3606" s="77"/>
      <c r="AN3606" s="77"/>
      <c r="AO3606" s="77"/>
      <c r="AP3606" s="77"/>
      <c r="AQ3606" s="77"/>
      <c r="AR3606" s="77"/>
      <c r="AS3606" s="77"/>
      <c r="AT3606" s="77"/>
      <c r="AU3606" s="77"/>
      <c r="AV3606" s="80" t="str">
        <f>HYPERLINK("https://pbs.twimg.com/profile_images/1559883556846977024/bXHnQFY0_normal.jpg")</f>
        <v>https://pbs.twimg.com/profile_images/1559883556846977024/bXHnQFY0_normal.jpg</v>
      </c>
      <c r="AW3606" s="82" t="s">
        <v>16690</v>
      </c>
      <c r="AX3606" s="82" t="s">
        <v>16690</v>
      </c>
      <c r="AY3606" s="77"/>
      <c r="AZ3606" s="82" t="s">
        <v>17385</v>
      </c>
      <c r="BA3606" s="82" t="s">
        <v>17385</v>
      </c>
      <c r="BB3606" s="82" t="s">
        <v>17385</v>
      </c>
      <c r="BC3606" s="82" t="s">
        <v>16690</v>
      </c>
      <c r="BD3606" s="77">
        <v>51150679</v>
      </c>
      <c r="BE3606" s="77"/>
      <c r="BF3606" s="77"/>
      <c r="BG3606" s="77"/>
      <c r="BH3606" s="77"/>
      <c r="BI3606" s="77"/>
    </row>
    <row r="3607" spans="1:61" x14ac:dyDescent="0.25">
      <c r="A3607" s="62" t="s">
        <v>605</v>
      </c>
      <c r="B3607" s="62" t="s">
        <v>605</v>
      </c>
      <c r="C3607" s="63"/>
      <c r="D3607" s="64"/>
      <c r="E3607" s="65"/>
      <c r="F3607" s="66"/>
      <c r="G3607" s="63"/>
      <c r="H3607" s="67"/>
      <c r="I3607" s="68"/>
      <c r="J3607" s="68"/>
      <c r="K3607" s="32"/>
      <c r="L3607" s="75">
        <v>3607</v>
      </c>
      <c r="M3607" s="75"/>
      <c r="N3607" s="70"/>
      <c r="O3607" s="77" t="s">
        <v>179</v>
      </c>
      <c r="P3607" s="79">
        <v>45194.582094907404</v>
      </c>
      <c r="Q3607" s="77" t="s">
        <v>4381</v>
      </c>
      <c r="R3607" s="77">
        <v>0</v>
      </c>
      <c r="S3607" s="77">
        <v>1</v>
      </c>
      <c r="T3607" s="77">
        <v>2</v>
      </c>
      <c r="U3607" s="77">
        <v>0</v>
      </c>
      <c r="V3607" s="77">
        <v>924</v>
      </c>
      <c r="W3607" s="82" t="s">
        <v>6770</v>
      </c>
      <c r="X3607" s="80" t="str">
        <f>HYPERLINK("https://www.moneytimes.com.br/investimento-estrangeiro-bolsa-fluxo-capital-externo-b3-gringos-vendem-bilhoes-em-acoes-na-b3-veja-25-09-2023/?ttmt")</f>
        <v>https://www.moneytimes.com.br/investimento-estrangeiro-bolsa-fluxo-capital-externo-b3-gringos-vendem-bilhoes-em-acoes-na-b3-veja-25-09-2023/?ttmt</v>
      </c>
      <c r="Y3607" s="77" t="s">
        <v>7053</v>
      </c>
      <c r="Z3607" s="77"/>
      <c r="AA3607" s="77"/>
      <c r="AB3607" s="77"/>
      <c r="AC3607" s="82" t="s">
        <v>8232</v>
      </c>
      <c r="AD3607" s="77" t="s">
        <v>8278</v>
      </c>
      <c r="AE3607" s="80" t="str">
        <f>HYPERLINK("https://twitter.com/leiamoneytimes/status/1706307119803158784")</f>
        <v>https://twitter.com/leiamoneytimes/status/1706307119803158784</v>
      </c>
      <c r="AF3607" s="79">
        <v>45194.582094907404</v>
      </c>
      <c r="AG3607" s="85">
        <v>45194</v>
      </c>
      <c r="AH3607" s="82" t="s">
        <v>11591</v>
      </c>
      <c r="AI3607" s="77" t="b">
        <v>0</v>
      </c>
      <c r="AJ3607" s="77"/>
      <c r="AK3607" s="77"/>
      <c r="AL3607" s="77"/>
      <c r="AM3607" s="77"/>
      <c r="AN3607" s="77"/>
      <c r="AO3607" s="77"/>
      <c r="AP3607" s="77"/>
      <c r="AQ3607" s="77"/>
      <c r="AR3607" s="77"/>
      <c r="AS3607" s="77"/>
      <c r="AT3607" s="77"/>
      <c r="AU3607" s="77"/>
      <c r="AV3607" s="80" t="str">
        <f>HYPERLINK("https://pbs.twimg.com/profile_images/1559883556846977024/bXHnQFY0_normal.jpg")</f>
        <v>https://pbs.twimg.com/profile_images/1559883556846977024/bXHnQFY0_normal.jpg</v>
      </c>
      <c r="AW3607" s="82" t="s">
        <v>16691</v>
      </c>
      <c r="AX3607" s="82" t="s">
        <v>16691</v>
      </c>
      <c r="AY3607" s="77"/>
      <c r="AZ3607" s="82" t="s">
        <v>17385</v>
      </c>
      <c r="BA3607" s="82" t="s">
        <v>17385</v>
      </c>
      <c r="BB3607" s="82" t="s">
        <v>17385</v>
      </c>
      <c r="BC3607" s="82" t="s">
        <v>16691</v>
      </c>
      <c r="BD3607" s="77">
        <v>51150679</v>
      </c>
      <c r="BE3607" s="77"/>
      <c r="BF3607" s="77"/>
      <c r="BG3607" s="77"/>
      <c r="BH3607" s="77"/>
      <c r="BI3607" s="77"/>
    </row>
    <row r="3608" spans="1:61" x14ac:dyDescent="0.25">
      <c r="A3608" s="62" t="s">
        <v>605</v>
      </c>
      <c r="B3608" s="62" t="s">
        <v>605</v>
      </c>
      <c r="C3608" s="63"/>
      <c r="D3608" s="64"/>
      <c r="E3608" s="65"/>
      <c r="F3608" s="66"/>
      <c r="G3608" s="63"/>
      <c r="H3608" s="67"/>
      <c r="I3608" s="68"/>
      <c r="J3608" s="68"/>
      <c r="K3608" s="32"/>
      <c r="L3608" s="75">
        <v>3608</v>
      </c>
      <c r="M3608" s="75"/>
      <c r="N3608" s="70"/>
      <c r="O3608" s="77" t="s">
        <v>179</v>
      </c>
      <c r="P3608" s="79">
        <v>45194.576053240744</v>
      </c>
      <c r="Q3608" s="77" t="s">
        <v>4382</v>
      </c>
      <c r="R3608" s="77">
        <v>0</v>
      </c>
      <c r="S3608" s="77">
        <v>1</v>
      </c>
      <c r="T3608" s="77">
        <v>1</v>
      </c>
      <c r="U3608" s="77">
        <v>0</v>
      </c>
      <c r="V3608" s="77">
        <v>830</v>
      </c>
      <c r="W3608" s="82" t="s">
        <v>6771</v>
      </c>
      <c r="X3608" s="80" t="str">
        <f>HYPERLINK("https://www.moneytimes.com.br/swing-trade-rumo-rail3-suzano-suzb3-terra-recomenda-2-acoes-do-agro-para-ganhar-ate-8-segunda-feira-25-09-2023/?ttmt")</f>
        <v>https://www.moneytimes.com.br/swing-trade-rumo-rail3-suzano-suzb3-terra-recomenda-2-acoes-do-agro-para-ganhar-ate-8-segunda-feira-25-09-2023/?ttmt</v>
      </c>
      <c r="Y3608" s="77" t="s">
        <v>7053</v>
      </c>
      <c r="Z3608" s="77"/>
      <c r="AA3608" s="77"/>
      <c r="AB3608" s="77"/>
      <c r="AC3608" s="82" t="s">
        <v>8232</v>
      </c>
      <c r="AD3608" s="77" t="s">
        <v>8278</v>
      </c>
      <c r="AE3608" s="80" t="str">
        <f>HYPERLINK("https://twitter.com/leiamoneytimes/status/1706304930242249008")</f>
        <v>https://twitter.com/leiamoneytimes/status/1706304930242249008</v>
      </c>
      <c r="AF3608" s="79">
        <v>45194.576053240744</v>
      </c>
      <c r="AG3608" s="85">
        <v>45194</v>
      </c>
      <c r="AH3608" s="82" t="s">
        <v>11592</v>
      </c>
      <c r="AI3608" s="77" t="b">
        <v>0</v>
      </c>
      <c r="AJ3608" s="77"/>
      <c r="AK3608" s="77"/>
      <c r="AL3608" s="77"/>
      <c r="AM3608" s="77"/>
      <c r="AN3608" s="77"/>
      <c r="AO3608" s="77"/>
      <c r="AP3608" s="77"/>
      <c r="AQ3608" s="77"/>
      <c r="AR3608" s="77"/>
      <c r="AS3608" s="77"/>
      <c r="AT3608" s="77"/>
      <c r="AU3608" s="77"/>
      <c r="AV3608" s="80" t="str">
        <f>HYPERLINK("https://pbs.twimg.com/profile_images/1559883556846977024/bXHnQFY0_normal.jpg")</f>
        <v>https://pbs.twimg.com/profile_images/1559883556846977024/bXHnQFY0_normal.jpg</v>
      </c>
      <c r="AW3608" s="82" t="s">
        <v>16692</v>
      </c>
      <c r="AX3608" s="82" t="s">
        <v>16692</v>
      </c>
      <c r="AY3608" s="77"/>
      <c r="AZ3608" s="82" t="s">
        <v>17385</v>
      </c>
      <c r="BA3608" s="82" t="s">
        <v>17385</v>
      </c>
      <c r="BB3608" s="82" t="s">
        <v>17385</v>
      </c>
      <c r="BC3608" s="82" t="s">
        <v>16692</v>
      </c>
      <c r="BD3608" s="77">
        <v>51150679</v>
      </c>
      <c r="BE3608" s="77"/>
      <c r="BF3608" s="77"/>
      <c r="BG3608" s="77"/>
      <c r="BH3608" s="77"/>
      <c r="BI3608" s="77"/>
    </row>
    <row r="3609" spans="1:61" x14ac:dyDescent="0.25">
      <c r="A3609" s="62" t="s">
        <v>605</v>
      </c>
      <c r="B3609" s="62" t="s">
        <v>605</v>
      </c>
      <c r="C3609" s="63"/>
      <c r="D3609" s="64"/>
      <c r="E3609" s="65"/>
      <c r="F3609" s="66"/>
      <c r="G3609" s="63"/>
      <c r="H3609" s="67"/>
      <c r="I3609" s="68"/>
      <c r="J3609" s="68"/>
      <c r="K3609" s="32"/>
      <c r="L3609" s="75">
        <v>3609</v>
      </c>
      <c r="M3609" s="75"/>
      <c r="N3609" s="70"/>
      <c r="O3609" s="77" t="s">
        <v>179</v>
      </c>
      <c r="P3609" s="79">
        <v>45191.913194444445</v>
      </c>
      <c r="Q3609" s="77" t="s">
        <v>4383</v>
      </c>
      <c r="R3609" s="77">
        <v>0</v>
      </c>
      <c r="S3609" s="77">
        <v>6</v>
      </c>
      <c r="T3609" s="77">
        <v>1</v>
      </c>
      <c r="U3609" s="77">
        <v>0</v>
      </c>
      <c r="V3609" s="77">
        <v>1683</v>
      </c>
      <c r="W3609" s="82" t="s">
        <v>6772</v>
      </c>
      <c r="X3609" s="80" t="str">
        <f>HYPERLINK("https://www.moneytimes.com.br/vale-vale3-csn-mineracao-cmin3-e-o-caminho-do-minerio-de-ferro-daqui-para-frente-segundo-analistas/?ttmt")</f>
        <v>https://www.moneytimes.com.br/vale-vale3-csn-mineracao-cmin3-e-o-caminho-do-minerio-de-ferro-daqui-para-frente-segundo-analistas/?ttmt</v>
      </c>
      <c r="Y3609" s="77" t="s">
        <v>7053</v>
      </c>
      <c r="Z3609" s="77"/>
      <c r="AA3609" s="77"/>
      <c r="AB3609" s="77"/>
      <c r="AC3609" s="82" t="s">
        <v>8232</v>
      </c>
      <c r="AD3609" s="77" t="s">
        <v>8278</v>
      </c>
      <c r="AE3609" s="80" t="str">
        <f>HYPERLINK("https://twitter.com/leiamoneytimes/status/1705339943101346223")</f>
        <v>https://twitter.com/leiamoneytimes/status/1705339943101346223</v>
      </c>
      <c r="AF3609" s="79">
        <v>45191.913194444445</v>
      </c>
      <c r="AG3609" s="85">
        <v>45191</v>
      </c>
      <c r="AH3609" s="82" t="s">
        <v>11593</v>
      </c>
      <c r="AI3609" s="77" t="b">
        <v>0</v>
      </c>
      <c r="AJ3609" s="77"/>
      <c r="AK3609" s="77"/>
      <c r="AL3609" s="77"/>
      <c r="AM3609" s="77"/>
      <c r="AN3609" s="77"/>
      <c r="AO3609" s="77"/>
      <c r="AP3609" s="77"/>
      <c r="AQ3609" s="77"/>
      <c r="AR3609" s="77"/>
      <c r="AS3609" s="77"/>
      <c r="AT3609" s="77"/>
      <c r="AU3609" s="77"/>
      <c r="AV3609" s="80" t="str">
        <f>HYPERLINK("https://pbs.twimg.com/profile_images/1559883556846977024/bXHnQFY0_normal.jpg")</f>
        <v>https://pbs.twimg.com/profile_images/1559883556846977024/bXHnQFY0_normal.jpg</v>
      </c>
      <c r="AW3609" s="82" t="s">
        <v>16693</v>
      </c>
      <c r="AX3609" s="82" t="s">
        <v>16693</v>
      </c>
      <c r="AY3609" s="77"/>
      <c r="AZ3609" s="82" t="s">
        <v>17385</v>
      </c>
      <c r="BA3609" s="82" t="s">
        <v>17385</v>
      </c>
      <c r="BB3609" s="82" t="s">
        <v>17385</v>
      </c>
      <c r="BC3609" s="82" t="s">
        <v>16693</v>
      </c>
      <c r="BD3609" s="77">
        <v>51150679</v>
      </c>
      <c r="BE3609" s="77"/>
      <c r="BF3609" s="77"/>
      <c r="BG3609" s="77"/>
      <c r="BH3609" s="77"/>
      <c r="BI3609" s="77"/>
    </row>
    <row r="3610" spans="1:61" x14ac:dyDescent="0.25">
      <c r="A3610" s="62" t="s">
        <v>605</v>
      </c>
      <c r="B3610" s="62" t="s">
        <v>605</v>
      </c>
      <c r="C3610" s="63"/>
      <c r="D3610" s="64"/>
      <c r="E3610" s="65"/>
      <c r="F3610" s="66"/>
      <c r="G3610" s="63"/>
      <c r="H3610" s="67"/>
      <c r="I3610" s="68"/>
      <c r="J3610" s="68"/>
      <c r="K3610" s="32"/>
      <c r="L3610" s="75">
        <v>3610</v>
      </c>
      <c r="M3610" s="75"/>
      <c r="N3610" s="70"/>
      <c r="O3610" s="77" t="s">
        <v>179</v>
      </c>
      <c r="P3610" s="79">
        <v>45191.910196759258</v>
      </c>
      <c r="Q3610" s="77" t="s">
        <v>4384</v>
      </c>
      <c r="R3610" s="77">
        <v>0</v>
      </c>
      <c r="S3610" s="77">
        <v>4</v>
      </c>
      <c r="T3610" s="77">
        <v>1</v>
      </c>
      <c r="U3610" s="77">
        <v>0</v>
      </c>
      <c r="V3610" s="77">
        <v>1298</v>
      </c>
      <c r="W3610" s="82" t="s">
        <v>6773</v>
      </c>
      <c r="X3610" s="80" t="str">
        <f>HYPERLINK("https://www.moneytimes.com.br/localiza-rent3-anuncia-r-4288-milhoes-em-jcp-e-aumento-de-capital-saiba-mais/?ttmt")</f>
        <v>https://www.moneytimes.com.br/localiza-rent3-anuncia-r-4288-milhoes-em-jcp-e-aumento-de-capital-saiba-mais/?ttmt</v>
      </c>
      <c r="Y3610" s="77" t="s">
        <v>7053</v>
      </c>
      <c r="Z3610" s="77"/>
      <c r="AA3610" s="77"/>
      <c r="AB3610" s="77"/>
      <c r="AC3610" s="82" t="s">
        <v>8232</v>
      </c>
      <c r="AD3610" s="77" t="s">
        <v>8278</v>
      </c>
      <c r="AE3610" s="80" t="str">
        <f>HYPERLINK("https://twitter.com/leiamoneytimes/status/1705338856537522599")</f>
        <v>https://twitter.com/leiamoneytimes/status/1705338856537522599</v>
      </c>
      <c r="AF3610" s="79">
        <v>45191.910196759258</v>
      </c>
      <c r="AG3610" s="85">
        <v>45191</v>
      </c>
      <c r="AH3610" s="82" t="s">
        <v>11594</v>
      </c>
      <c r="AI3610" s="77" t="b">
        <v>0</v>
      </c>
      <c r="AJ3610" s="77"/>
      <c r="AK3610" s="77"/>
      <c r="AL3610" s="77"/>
      <c r="AM3610" s="77"/>
      <c r="AN3610" s="77"/>
      <c r="AO3610" s="77"/>
      <c r="AP3610" s="77"/>
      <c r="AQ3610" s="77"/>
      <c r="AR3610" s="77"/>
      <c r="AS3610" s="77"/>
      <c r="AT3610" s="77"/>
      <c r="AU3610" s="77"/>
      <c r="AV3610" s="80" t="str">
        <f>HYPERLINK("https://pbs.twimg.com/profile_images/1559883556846977024/bXHnQFY0_normal.jpg")</f>
        <v>https://pbs.twimg.com/profile_images/1559883556846977024/bXHnQFY0_normal.jpg</v>
      </c>
      <c r="AW3610" s="82" t="s">
        <v>16694</v>
      </c>
      <c r="AX3610" s="82" t="s">
        <v>16694</v>
      </c>
      <c r="AY3610" s="77"/>
      <c r="AZ3610" s="82" t="s">
        <v>17385</v>
      </c>
      <c r="BA3610" s="82" t="s">
        <v>17385</v>
      </c>
      <c r="BB3610" s="82" t="s">
        <v>17385</v>
      </c>
      <c r="BC3610" s="82" t="s">
        <v>16694</v>
      </c>
      <c r="BD3610" s="77">
        <v>51150679</v>
      </c>
      <c r="BE3610" s="77"/>
      <c r="BF3610" s="77"/>
      <c r="BG3610" s="77"/>
      <c r="BH3610" s="77"/>
      <c r="BI3610" s="77"/>
    </row>
    <row r="3611" spans="1:61" x14ac:dyDescent="0.25">
      <c r="A3611" s="62" t="s">
        <v>605</v>
      </c>
      <c r="B3611" s="62" t="s">
        <v>605</v>
      </c>
      <c r="C3611" s="63"/>
      <c r="D3611" s="64"/>
      <c r="E3611" s="65"/>
      <c r="F3611" s="66"/>
      <c r="G3611" s="63"/>
      <c r="H3611" s="67"/>
      <c r="I3611" s="68"/>
      <c r="J3611" s="68"/>
      <c r="K3611" s="32"/>
      <c r="L3611" s="75">
        <v>3611</v>
      </c>
      <c r="M3611" s="75"/>
      <c r="N3611" s="70"/>
      <c r="O3611" s="77" t="s">
        <v>179</v>
      </c>
      <c r="P3611" s="79">
        <v>45188.530925925923</v>
      </c>
      <c r="Q3611" s="77" t="s">
        <v>4385</v>
      </c>
      <c r="R3611" s="77">
        <v>0</v>
      </c>
      <c r="S3611" s="77">
        <v>0</v>
      </c>
      <c r="T3611" s="77">
        <v>0</v>
      </c>
      <c r="U3611" s="77">
        <v>0</v>
      </c>
      <c r="V3611" s="77">
        <v>682</v>
      </c>
      <c r="W3611" s="82" t="s">
        <v>6774</v>
      </c>
      <c r="X3611" s="80" t="str">
        <f>HYPERLINK("https://www.moneytimes.com.br/day-trade-hoje-comprar-taesa-taee11-azul-azul4-acoes-19-09-2023/?ttmt")</f>
        <v>https://www.moneytimes.com.br/day-trade-hoje-comprar-taesa-taee11-azul-azul4-acoes-19-09-2023/?ttmt</v>
      </c>
      <c r="Y3611" s="77" t="s">
        <v>7053</v>
      </c>
      <c r="Z3611" s="77"/>
      <c r="AA3611" s="77"/>
      <c r="AB3611" s="77"/>
      <c r="AC3611" s="82" t="s">
        <v>8232</v>
      </c>
      <c r="AD3611" s="77" t="s">
        <v>8278</v>
      </c>
      <c r="AE3611" s="80" t="str">
        <f>HYPERLINK("https://twitter.com/leiamoneytimes/status/1704114250808000898")</f>
        <v>https://twitter.com/leiamoneytimes/status/1704114250808000898</v>
      </c>
      <c r="AF3611" s="79">
        <v>45188.530925925923</v>
      </c>
      <c r="AG3611" s="85">
        <v>45188</v>
      </c>
      <c r="AH3611" s="82" t="s">
        <v>11595</v>
      </c>
      <c r="AI3611" s="77" t="b">
        <v>0</v>
      </c>
      <c r="AJ3611" s="77"/>
      <c r="AK3611" s="77"/>
      <c r="AL3611" s="77"/>
      <c r="AM3611" s="77"/>
      <c r="AN3611" s="77"/>
      <c r="AO3611" s="77"/>
      <c r="AP3611" s="77"/>
      <c r="AQ3611" s="77"/>
      <c r="AR3611" s="77"/>
      <c r="AS3611" s="77"/>
      <c r="AT3611" s="77"/>
      <c r="AU3611" s="77"/>
      <c r="AV3611" s="80" t="str">
        <f>HYPERLINK("https://pbs.twimg.com/profile_images/1559883556846977024/bXHnQFY0_normal.jpg")</f>
        <v>https://pbs.twimg.com/profile_images/1559883556846977024/bXHnQFY0_normal.jpg</v>
      </c>
      <c r="AW3611" s="82" t="s">
        <v>16695</v>
      </c>
      <c r="AX3611" s="82" t="s">
        <v>16695</v>
      </c>
      <c r="AY3611" s="77"/>
      <c r="AZ3611" s="82" t="s">
        <v>17385</v>
      </c>
      <c r="BA3611" s="82" t="s">
        <v>17385</v>
      </c>
      <c r="BB3611" s="82" t="s">
        <v>17385</v>
      </c>
      <c r="BC3611" s="82" t="s">
        <v>16695</v>
      </c>
      <c r="BD3611" s="77">
        <v>51150679</v>
      </c>
      <c r="BE3611" s="77"/>
      <c r="BF3611" s="77"/>
      <c r="BG3611" s="77"/>
      <c r="BH3611" s="77"/>
      <c r="BI3611" s="77"/>
    </row>
    <row r="3612" spans="1:61" x14ac:dyDescent="0.25">
      <c r="A3612" s="62" t="s">
        <v>605</v>
      </c>
      <c r="B3612" s="62" t="s">
        <v>605</v>
      </c>
      <c r="C3612" s="63"/>
      <c r="D3612" s="64"/>
      <c r="E3612" s="65"/>
      <c r="F3612" s="66"/>
      <c r="G3612" s="63"/>
      <c r="H3612" s="67"/>
      <c r="I3612" s="68"/>
      <c r="J3612" s="68"/>
      <c r="K3612" s="32"/>
      <c r="L3612" s="75">
        <v>3612</v>
      </c>
      <c r="M3612" s="75"/>
      <c r="N3612" s="70"/>
      <c r="O3612" s="77" t="s">
        <v>179</v>
      </c>
      <c r="P3612" s="79">
        <v>45188.441180555557</v>
      </c>
      <c r="Q3612" s="77" t="s">
        <v>4386</v>
      </c>
      <c r="R3612" s="77">
        <v>0</v>
      </c>
      <c r="S3612" s="77">
        <v>2</v>
      </c>
      <c r="T3612" s="77">
        <v>0</v>
      </c>
      <c r="U3612" s="77">
        <v>0</v>
      </c>
      <c r="V3612" s="77">
        <v>1016</v>
      </c>
      <c r="W3612" s="82" t="s">
        <v>6775</v>
      </c>
      <c r="X3612" s="80" t="str">
        <f>HYPERLINK("https://www.moneytimes.com.br/tempo-real-ibovespa-hoje-mercado-ao-vivo-terca-feira-19-09-2023/?ttmt")</f>
        <v>https://www.moneytimes.com.br/tempo-real-ibovespa-hoje-mercado-ao-vivo-terca-feira-19-09-2023/?ttmt</v>
      </c>
      <c r="Y3612" s="77" t="s">
        <v>7053</v>
      </c>
      <c r="Z3612" s="77"/>
      <c r="AA3612" s="77"/>
      <c r="AB3612" s="77"/>
      <c r="AC3612" s="82" t="s">
        <v>8232</v>
      </c>
      <c r="AD3612" s="77" t="s">
        <v>8278</v>
      </c>
      <c r="AE3612" s="80" t="str">
        <f>HYPERLINK("https://twitter.com/leiamoneytimes/status/1704081726064988336")</f>
        <v>https://twitter.com/leiamoneytimes/status/1704081726064988336</v>
      </c>
      <c r="AF3612" s="79">
        <v>45188.441180555557</v>
      </c>
      <c r="AG3612" s="85">
        <v>45188</v>
      </c>
      <c r="AH3612" s="82" t="s">
        <v>11596</v>
      </c>
      <c r="AI3612" s="77" t="b">
        <v>0</v>
      </c>
      <c r="AJ3612" s="77"/>
      <c r="AK3612" s="77"/>
      <c r="AL3612" s="77"/>
      <c r="AM3612" s="77"/>
      <c r="AN3612" s="77"/>
      <c r="AO3612" s="77"/>
      <c r="AP3612" s="77"/>
      <c r="AQ3612" s="77"/>
      <c r="AR3612" s="77"/>
      <c r="AS3612" s="77"/>
      <c r="AT3612" s="77"/>
      <c r="AU3612" s="77"/>
      <c r="AV3612" s="80" t="str">
        <f>HYPERLINK("https://pbs.twimg.com/profile_images/1559883556846977024/bXHnQFY0_normal.jpg")</f>
        <v>https://pbs.twimg.com/profile_images/1559883556846977024/bXHnQFY0_normal.jpg</v>
      </c>
      <c r="AW3612" s="82" t="s">
        <v>16696</v>
      </c>
      <c r="AX3612" s="82" t="s">
        <v>16696</v>
      </c>
      <c r="AY3612" s="77"/>
      <c r="AZ3612" s="82" t="s">
        <v>17385</v>
      </c>
      <c r="BA3612" s="82" t="s">
        <v>17385</v>
      </c>
      <c r="BB3612" s="82" t="s">
        <v>17385</v>
      </c>
      <c r="BC3612" s="82" t="s">
        <v>16696</v>
      </c>
      <c r="BD3612" s="77">
        <v>51150679</v>
      </c>
      <c r="BE3612" s="77"/>
      <c r="BF3612" s="77"/>
      <c r="BG3612" s="77"/>
      <c r="BH3612" s="77"/>
      <c r="BI3612" s="77"/>
    </row>
    <row r="3613" spans="1:61" x14ac:dyDescent="0.25">
      <c r="A3613" s="62" t="s">
        <v>605</v>
      </c>
      <c r="B3613" s="62" t="s">
        <v>605</v>
      </c>
      <c r="C3613" s="63"/>
      <c r="D3613" s="64"/>
      <c r="E3613" s="65"/>
      <c r="F3613" s="66"/>
      <c r="G3613" s="63"/>
      <c r="H3613" s="67"/>
      <c r="I3613" s="68"/>
      <c r="J3613" s="68"/>
      <c r="K3613" s="32"/>
      <c r="L3613" s="75">
        <v>3613</v>
      </c>
      <c r="M3613" s="75"/>
      <c r="N3613" s="70"/>
      <c r="O3613" s="77" t="s">
        <v>179</v>
      </c>
      <c r="P3613" s="79">
        <v>45173.485520833332</v>
      </c>
      <c r="Q3613" s="77" t="s">
        <v>4387</v>
      </c>
      <c r="R3613" s="77">
        <v>0</v>
      </c>
      <c r="S3613" s="77">
        <v>2</v>
      </c>
      <c r="T3613" s="77">
        <v>1</v>
      </c>
      <c r="U3613" s="77">
        <v>0</v>
      </c>
      <c r="V3613" s="77">
        <v>881</v>
      </c>
      <c r="W3613" s="82" t="s">
        <v>5596</v>
      </c>
      <c r="X3613" s="80" t="str">
        <f>HYPERLINK("https://www.moneytimes.com.br/o-funcionario-e-a-dancarina-na-bolsa-a-acao-favorita-para-setembro-lemann-perde-posto-de-pessoa-mais-rica-do-brasil-e-outros-destaques-do-dia/")</f>
        <v>https://www.moneytimes.com.br/o-funcionario-e-a-dancarina-na-bolsa-a-acao-favorita-para-setembro-lemann-perde-posto-de-pessoa-mais-rica-do-brasil-e-outros-destaques-do-dia/</v>
      </c>
      <c r="Y3613" s="77" t="s">
        <v>7053</v>
      </c>
      <c r="Z3613" s="77"/>
      <c r="AA3613" s="77"/>
      <c r="AB3613" s="77"/>
      <c r="AC3613" s="82" t="s">
        <v>8255</v>
      </c>
      <c r="AD3613" s="77" t="s">
        <v>8278</v>
      </c>
      <c r="AE3613" s="80" t="str">
        <f>HYPERLINK("https://twitter.com/leiamoneytimes/status/1698661976740680132")</f>
        <v>https://twitter.com/leiamoneytimes/status/1698661976740680132</v>
      </c>
      <c r="AF3613" s="79">
        <v>45173.485520833332</v>
      </c>
      <c r="AG3613" s="85">
        <v>45173</v>
      </c>
      <c r="AH3613" s="82" t="s">
        <v>11597</v>
      </c>
      <c r="AI3613" s="77" t="b">
        <v>0</v>
      </c>
      <c r="AJ3613" s="77"/>
      <c r="AK3613" s="77"/>
      <c r="AL3613" s="77"/>
      <c r="AM3613" s="77"/>
      <c r="AN3613" s="77"/>
      <c r="AO3613" s="77"/>
      <c r="AP3613" s="77"/>
      <c r="AQ3613" s="77"/>
      <c r="AR3613" s="77"/>
      <c r="AS3613" s="77"/>
      <c r="AT3613" s="77"/>
      <c r="AU3613" s="77"/>
      <c r="AV3613" s="80" t="str">
        <f>HYPERLINK("https://pbs.twimg.com/profile_images/1559883556846977024/bXHnQFY0_normal.jpg")</f>
        <v>https://pbs.twimg.com/profile_images/1559883556846977024/bXHnQFY0_normal.jpg</v>
      </c>
      <c r="AW3613" s="82" t="s">
        <v>16697</v>
      </c>
      <c r="AX3613" s="82" t="s">
        <v>16697</v>
      </c>
      <c r="AY3613" s="77"/>
      <c r="AZ3613" s="82" t="s">
        <v>17385</v>
      </c>
      <c r="BA3613" s="82" t="s">
        <v>17385</v>
      </c>
      <c r="BB3613" s="82" t="s">
        <v>17385</v>
      </c>
      <c r="BC3613" s="82" t="s">
        <v>16697</v>
      </c>
      <c r="BD3613" s="77">
        <v>51150679</v>
      </c>
      <c r="BE3613" s="77"/>
      <c r="BF3613" s="77"/>
      <c r="BG3613" s="77"/>
      <c r="BH3613" s="77"/>
      <c r="BI3613" s="77"/>
    </row>
    <row r="3614" spans="1:61" x14ac:dyDescent="0.25">
      <c r="A3614" s="62" t="s">
        <v>605</v>
      </c>
      <c r="B3614" s="62" t="s">
        <v>605</v>
      </c>
      <c r="C3614" s="63"/>
      <c r="D3614" s="64"/>
      <c r="E3614" s="65"/>
      <c r="F3614" s="66"/>
      <c r="G3614" s="63"/>
      <c r="H3614" s="67"/>
      <c r="I3614" s="68"/>
      <c r="J3614" s="68"/>
      <c r="K3614" s="32"/>
      <c r="L3614" s="75">
        <v>3614</v>
      </c>
      <c r="M3614" s="75"/>
      <c r="N3614" s="70"/>
      <c r="O3614" s="77" t="s">
        <v>179</v>
      </c>
      <c r="P3614" s="79">
        <v>45169.895902777775</v>
      </c>
      <c r="Q3614" s="77" t="s">
        <v>4388</v>
      </c>
      <c r="R3614" s="77">
        <v>0</v>
      </c>
      <c r="S3614" s="77">
        <v>4</v>
      </c>
      <c r="T3614" s="77">
        <v>1</v>
      </c>
      <c r="U3614" s="77">
        <v>0</v>
      </c>
      <c r="V3614" s="77">
        <v>1389</v>
      </c>
      <c r="W3614" s="82" t="s">
        <v>6776</v>
      </c>
      <c r="X3614" s="80" t="str">
        <f>HYPERLINK("https://www.moneytimes.com.br/marisa-amar3-aprova-grupamento-de-acoes-na-proporcao-de-5-a-1-para-atender-regras-da-b3/")</f>
        <v>https://www.moneytimes.com.br/marisa-amar3-aprova-grupamento-de-acoes-na-proporcao-de-5-a-1-para-atender-regras-da-b3/</v>
      </c>
      <c r="Y3614" s="77" t="s">
        <v>7053</v>
      </c>
      <c r="Z3614" s="77"/>
      <c r="AA3614" s="77"/>
      <c r="AB3614" s="77"/>
      <c r="AC3614" s="82" t="s">
        <v>8255</v>
      </c>
      <c r="AD3614" s="77" t="s">
        <v>8278</v>
      </c>
      <c r="AE3614" s="80" t="str">
        <f>HYPERLINK("https://twitter.com/leiamoneytimes/status/1697361141356253207")</f>
        <v>https://twitter.com/leiamoneytimes/status/1697361141356253207</v>
      </c>
      <c r="AF3614" s="79">
        <v>45169.895902777775</v>
      </c>
      <c r="AG3614" s="85">
        <v>45169</v>
      </c>
      <c r="AH3614" s="82" t="s">
        <v>11598</v>
      </c>
      <c r="AI3614" s="77" t="b">
        <v>0</v>
      </c>
      <c r="AJ3614" s="77"/>
      <c r="AK3614" s="77"/>
      <c r="AL3614" s="77"/>
      <c r="AM3614" s="77"/>
      <c r="AN3614" s="77"/>
      <c r="AO3614" s="77"/>
      <c r="AP3614" s="77"/>
      <c r="AQ3614" s="77"/>
      <c r="AR3614" s="77"/>
      <c r="AS3614" s="77"/>
      <c r="AT3614" s="77"/>
      <c r="AU3614" s="77"/>
      <c r="AV3614" s="80" t="str">
        <f>HYPERLINK("https://pbs.twimg.com/profile_images/1559883556846977024/bXHnQFY0_normal.jpg")</f>
        <v>https://pbs.twimg.com/profile_images/1559883556846977024/bXHnQFY0_normal.jpg</v>
      </c>
      <c r="AW3614" s="82" t="s">
        <v>16698</v>
      </c>
      <c r="AX3614" s="82" t="s">
        <v>16698</v>
      </c>
      <c r="AY3614" s="77"/>
      <c r="AZ3614" s="82" t="s">
        <v>17385</v>
      </c>
      <c r="BA3614" s="82" t="s">
        <v>17385</v>
      </c>
      <c r="BB3614" s="82" t="s">
        <v>17385</v>
      </c>
      <c r="BC3614" s="82" t="s">
        <v>16698</v>
      </c>
      <c r="BD3614" s="77">
        <v>51150679</v>
      </c>
      <c r="BE3614" s="77"/>
      <c r="BF3614" s="77"/>
      <c r="BG3614" s="77"/>
      <c r="BH3614" s="77"/>
      <c r="BI3614" s="77"/>
    </row>
    <row r="3615" spans="1:61" x14ac:dyDescent="0.25">
      <c r="A3615" s="62" t="s">
        <v>605</v>
      </c>
      <c r="B3615" s="62" t="s">
        <v>605</v>
      </c>
      <c r="C3615" s="63"/>
      <c r="D3615" s="64"/>
      <c r="E3615" s="65"/>
      <c r="F3615" s="66"/>
      <c r="G3615" s="63"/>
      <c r="H3615" s="67"/>
      <c r="I3615" s="68"/>
      <c r="J3615" s="68"/>
      <c r="K3615" s="32"/>
      <c r="L3615" s="75">
        <v>3615</v>
      </c>
      <c r="M3615" s="75"/>
      <c r="N3615" s="70"/>
      <c r="O3615" s="77" t="s">
        <v>179</v>
      </c>
      <c r="P3615" s="79">
        <v>45169.848564814813</v>
      </c>
      <c r="Q3615" s="77" t="s">
        <v>4389</v>
      </c>
      <c r="R3615" s="77">
        <v>0</v>
      </c>
      <c r="S3615" s="77">
        <v>1</v>
      </c>
      <c r="T3615" s="77">
        <v>1</v>
      </c>
      <c r="U3615" s="77">
        <v>0</v>
      </c>
      <c r="V3615" s="77">
        <v>1413</v>
      </c>
      <c r="W3615" s="82" t="s">
        <v>6551</v>
      </c>
      <c r="X3615" s="80" t="str">
        <f>HYPERLINK("https://www.moneytimes.com.br/ibovespa-hoje-fecha-queda-orcamento-2024-bancos-petrobras-petr4-31-08-2023/")</f>
        <v>https://www.moneytimes.com.br/ibovespa-hoje-fecha-queda-orcamento-2024-bancos-petrobras-petr4-31-08-2023/</v>
      </c>
      <c r="Y3615" s="77" t="s">
        <v>7053</v>
      </c>
      <c r="Z3615" s="77"/>
      <c r="AA3615" s="77"/>
      <c r="AB3615" s="77"/>
      <c r="AC3615" s="82" t="s">
        <v>8255</v>
      </c>
      <c r="AD3615" s="77" t="s">
        <v>8278</v>
      </c>
      <c r="AE3615" s="80" t="str">
        <f>HYPERLINK("https://twitter.com/leiamoneytimes/status/1697343985818251687")</f>
        <v>https://twitter.com/leiamoneytimes/status/1697343985818251687</v>
      </c>
      <c r="AF3615" s="79">
        <v>45169.848564814813</v>
      </c>
      <c r="AG3615" s="85">
        <v>45169</v>
      </c>
      <c r="AH3615" s="82" t="s">
        <v>11599</v>
      </c>
      <c r="AI3615" s="77" t="b">
        <v>0</v>
      </c>
      <c r="AJ3615" s="77"/>
      <c r="AK3615" s="77"/>
      <c r="AL3615" s="77"/>
      <c r="AM3615" s="77"/>
      <c r="AN3615" s="77"/>
      <c r="AO3615" s="77"/>
      <c r="AP3615" s="77"/>
      <c r="AQ3615" s="77"/>
      <c r="AR3615" s="77"/>
      <c r="AS3615" s="77"/>
      <c r="AT3615" s="77"/>
      <c r="AU3615" s="77"/>
      <c r="AV3615" s="80" t="str">
        <f>HYPERLINK("https://pbs.twimg.com/profile_images/1559883556846977024/bXHnQFY0_normal.jpg")</f>
        <v>https://pbs.twimg.com/profile_images/1559883556846977024/bXHnQFY0_normal.jpg</v>
      </c>
      <c r="AW3615" s="82" t="s">
        <v>16699</v>
      </c>
      <c r="AX3615" s="82" t="s">
        <v>16699</v>
      </c>
      <c r="AY3615" s="77"/>
      <c r="AZ3615" s="82" t="s">
        <v>17385</v>
      </c>
      <c r="BA3615" s="82" t="s">
        <v>17385</v>
      </c>
      <c r="BB3615" s="82" t="s">
        <v>17385</v>
      </c>
      <c r="BC3615" s="82" t="s">
        <v>16699</v>
      </c>
      <c r="BD3615" s="77">
        <v>51150679</v>
      </c>
      <c r="BE3615" s="77"/>
      <c r="BF3615" s="77"/>
      <c r="BG3615" s="77"/>
      <c r="BH3615" s="77"/>
      <c r="BI3615" s="77"/>
    </row>
    <row r="3616" spans="1:61" x14ac:dyDescent="0.25">
      <c r="A3616" s="62" t="s">
        <v>605</v>
      </c>
      <c r="B3616" s="62" t="s">
        <v>605</v>
      </c>
      <c r="C3616" s="63"/>
      <c r="D3616" s="64"/>
      <c r="E3616" s="65"/>
      <c r="F3616" s="66"/>
      <c r="G3616" s="63"/>
      <c r="H3616" s="67"/>
      <c r="I3616" s="68"/>
      <c r="J3616" s="68"/>
      <c r="K3616" s="32"/>
      <c r="L3616" s="75">
        <v>3616</v>
      </c>
      <c r="M3616" s="75"/>
      <c r="N3616" s="70"/>
      <c r="O3616" s="77" t="s">
        <v>179</v>
      </c>
      <c r="P3616" s="79">
        <v>45169.681516203702</v>
      </c>
      <c r="Q3616" s="77" t="s">
        <v>4390</v>
      </c>
      <c r="R3616" s="77">
        <v>0</v>
      </c>
      <c r="S3616" s="77">
        <v>5</v>
      </c>
      <c r="T3616" s="77">
        <v>1</v>
      </c>
      <c r="U3616" s="77">
        <v>0</v>
      </c>
      <c r="V3616" s="77">
        <v>1616</v>
      </c>
      <c r="W3616" s="82" t="s">
        <v>5482</v>
      </c>
      <c r="X3616" s="80" t="str">
        <f>HYPERLINK("https://www.moneytimes.com.br/ibovespa-vamos-vamo3-e-petroreconcavo-recv3-entram-meliuz-cash3-sai-confira/")</f>
        <v>https://www.moneytimes.com.br/ibovespa-vamos-vamo3-e-petroreconcavo-recv3-entram-meliuz-cash3-sai-confira/</v>
      </c>
      <c r="Y3616" s="77" t="s">
        <v>7053</v>
      </c>
      <c r="Z3616" s="77"/>
      <c r="AA3616" s="77"/>
      <c r="AB3616" s="77"/>
      <c r="AC3616" s="82" t="s">
        <v>8255</v>
      </c>
      <c r="AD3616" s="77" t="s">
        <v>8278</v>
      </c>
      <c r="AE3616" s="80" t="str">
        <f>HYPERLINK("https://twitter.com/leiamoneytimes/status/1697283453308248303")</f>
        <v>https://twitter.com/leiamoneytimes/status/1697283453308248303</v>
      </c>
      <c r="AF3616" s="79">
        <v>45169.681516203702</v>
      </c>
      <c r="AG3616" s="85">
        <v>45169</v>
      </c>
      <c r="AH3616" s="82" t="s">
        <v>11600</v>
      </c>
      <c r="AI3616" s="77" t="b">
        <v>0</v>
      </c>
      <c r="AJ3616" s="77"/>
      <c r="AK3616" s="77"/>
      <c r="AL3616" s="77"/>
      <c r="AM3616" s="77"/>
      <c r="AN3616" s="77"/>
      <c r="AO3616" s="77"/>
      <c r="AP3616" s="77"/>
      <c r="AQ3616" s="77"/>
      <c r="AR3616" s="77"/>
      <c r="AS3616" s="77"/>
      <c r="AT3616" s="77"/>
      <c r="AU3616" s="77"/>
      <c r="AV3616" s="80" t="str">
        <f>HYPERLINK("https://pbs.twimg.com/profile_images/1559883556846977024/bXHnQFY0_normal.jpg")</f>
        <v>https://pbs.twimg.com/profile_images/1559883556846977024/bXHnQFY0_normal.jpg</v>
      </c>
      <c r="AW3616" s="82" t="s">
        <v>16700</v>
      </c>
      <c r="AX3616" s="82" t="s">
        <v>16700</v>
      </c>
      <c r="AY3616" s="77"/>
      <c r="AZ3616" s="82" t="s">
        <v>17385</v>
      </c>
      <c r="BA3616" s="82" t="s">
        <v>17385</v>
      </c>
      <c r="BB3616" s="82" t="s">
        <v>17385</v>
      </c>
      <c r="BC3616" s="82" t="s">
        <v>16700</v>
      </c>
      <c r="BD3616" s="77">
        <v>51150679</v>
      </c>
      <c r="BE3616" s="77"/>
      <c r="BF3616" s="77"/>
      <c r="BG3616" s="77"/>
      <c r="BH3616" s="77"/>
      <c r="BI3616" s="77"/>
    </row>
    <row r="3617" spans="1:61" x14ac:dyDescent="0.25">
      <c r="A3617" s="62" t="s">
        <v>605</v>
      </c>
      <c r="B3617" s="62" t="s">
        <v>605</v>
      </c>
      <c r="C3617" s="63"/>
      <c r="D3617" s="64"/>
      <c r="E3617" s="65"/>
      <c r="F3617" s="66"/>
      <c r="G3617" s="63"/>
      <c r="H3617" s="67"/>
      <c r="I3617" s="68"/>
      <c r="J3617" s="68"/>
      <c r="K3617" s="32"/>
      <c r="L3617" s="75">
        <v>3617</v>
      </c>
      <c r="M3617" s="75"/>
      <c r="N3617" s="70"/>
      <c r="O3617" s="77" t="s">
        <v>179</v>
      </c>
      <c r="P3617" s="79">
        <v>45169.661990740744</v>
      </c>
      <c r="Q3617" s="77" t="s">
        <v>4391</v>
      </c>
      <c r="R3617" s="77">
        <v>0</v>
      </c>
      <c r="S3617" s="77">
        <v>2</v>
      </c>
      <c r="T3617" s="77">
        <v>1</v>
      </c>
      <c r="U3617" s="77">
        <v>0</v>
      </c>
      <c r="V3617" s="77">
        <v>1517</v>
      </c>
      <c r="W3617" s="82" t="s">
        <v>6777</v>
      </c>
      <c r="X3617" s="80" t="str">
        <f>HYPERLINK("https://www.moneytimes.com.br/ibovespa-hoje-agora-petrobras-petr4-cai-enquanto-prio-rrrp3-e-3r-petroleum-rrrp3-lideram-as-altas-cvc-cvcb3-derrete-31-08-2023/")</f>
        <v>https://www.moneytimes.com.br/ibovespa-hoje-agora-petrobras-petr4-cai-enquanto-prio-rrrp3-e-3r-petroleum-rrrp3-lideram-as-altas-cvc-cvcb3-derrete-31-08-2023/</v>
      </c>
      <c r="Y3617" s="77" t="s">
        <v>7053</v>
      </c>
      <c r="Z3617" s="77"/>
      <c r="AA3617" s="77"/>
      <c r="AB3617" s="77"/>
      <c r="AC3617" s="82" t="s">
        <v>8255</v>
      </c>
      <c r="AD3617" s="77" t="s">
        <v>8278</v>
      </c>
      <c r="AE3617" s="80" t="str">
        <f>HYPERLINK("https://twitter.com/leiamoneytimes/status/1697276376431165656")</f>
        <v>https://twitter.com/leiamoneytimes/status/1697276376431165656</v>
      </c>
      <c r="AF3617" s="79">
        <v>45169.661990740744</v>
      </c>
      <c r="AG3617" s="85">
        <v>45169</v>
      </c>
      <c r="AH3617" s="82" t="s">
        <v>11601</v>
      </c>
      <c r="AI3617" s="77" t="b">
        <v>0</v>
      </c>
      <c r="AJ3617" s="77"/>
      <c r="AK3617" s="77"/>
      <c r="AL3617" s="77"/>
      <c r="AM3617" s="77"/>
      <c r="AN3617" s="77"/>
      <c r="AO3617" s="77"/>
      <c r="AP3617" s="77"/>
      <c r="AQ3617" s="77"/>
      <c r="AR3617" s="77"/>
      <c r="AS3617" s="77"/>
      <c r="AT3617" s="77"/>
      <c r="AU3617" s="77"/>
      <c r="AV3617" s="80" t="str">
        <f>HYPERLINK("https://pbs.twimg.com/profile_images/1559883556846977024/bXHnQFY0_normal.jpg")</f>
        <v>https://pbs.twimg.com/profile_images/1559883556846977024/bXHnQFY0_normal.jpg</v>
      </c>
      <c r="AW3617" s="82" t="s">
        <v>16701</v>
      </c>
      <c r="AX3617" s="82" t="s">
        <v>16701</v>
      </c>
      <c r="AY3617" s="77"/>
      <c r="AZ3617" s="82" t="s">
        <v>17385</v>
      </c>
      <c r="BA3617" s="82" t="s">
        <v>17385</v>
      </c>
      <c r="BB3617" s="82" t="s">
        <v>17385</v>
      </c>
      <c r="BC3617" s="82" t="s">
        <v>16701</v>
      </c>
      <c r="BD3617" s="77">
        <v>51150679</v>
      </c>
      <c r="BE3617" s="77"/>
      <c r="BF3617" s="77"/>
      <c r="BG3617" s="77"/>
      <c r="BH3617" s="77"/>
      <c r="BI3617" s="77"/>
    </row>
    <row r="3618" spans="1:61" x14ac:dyDescent="0.25">
      <c r="A3618" s="62" t="s">
        <v>605</v>
      </c>
      <c r="B3618" s="62" t="s">
        <v>605</v>
      </c>
      <c r="C3618" s="63"/>
      <c r="D3618" s="64"/>
      <c r="E3618" s="65"/>
      <c r="F3618" s="66"/>
      <c r="G3618" s="63"/>
      <c r="H3618" s="67"/>
      <c r="I3618" s="68"/>
      <c r="J3618" s="68"/>
      <c r="K3618" s="32"/>
      <c r="L3618" s="75">
        <v>3618</v>
      </c>
      <c r="M3618" s="75"/>
      <c r="N3618" s="70"/>
      <c r="O3618" s="77" t="s">
        <v>179</v>
      </c>
      <c r="P3618" s="79">
        <v>45161.847951388889</v>
      </c>
      <c r="Q3618" s="77" t="s">
        <v>4392</v>
      </c>
      <c r="R3618" s="77">
        <v>0</v>
      </c>
      <c r="S3618" s="77">
        <v>2</v>
      </c>
      <c r="T3618" s="77">
        <v>1</v>
      </c>
      <c r="U3618" s="77">
        <v>1</v>
      </c>
      <c r="V3618" s="77">
        <v>1210</v>
      </c>
      <c r="W3618" s="82" t="s">
        <v>6551</v>
      </c>
      <c r="X3618" s="80" t="str">
        <f>HYPERLINK("https://www.moneytimes.com.br/ibovespa-hoje-fecha-alta-petrobras-petr3-petr4-23-08-2023/")</f>
        <v>https://www.moneytimes.com.br/ibovespa-hoje-fecha-alta-petrobras-petr3-petr4-23-08-2023/</v>
      </c>
      <c r="Y3618" s="77" t="s">
        <v>7053</v>
      </c>
      <c r="Z3618" s="77"/>
      <c r="AA3618" s="77"/>
      <c r="AB3618" s="77"/>
      <c r="AC3618" s="82" t="s">
        <v>8255</v>
      </c>
      <c r="AD3618" s="77" t="s">
        <v>8278</v>
      </c>
      <c r="AE3618" s="80" t="str">
        <f>HYPERLINK("https://twitter.com/leiamoneytimes/status/1694444661312475321")</f>
        <v>https://twitter.com/leiamoneytimes/status/1694444661312475321</v>
      </c>
      <c r="AF3618" s="79">
        <v>45161.847951388889</v>
      </c>
      <c r="AG3618" s="85">
        <v>45161</v>
      </c>
      <c r="AH3618" s="82" t="s">
        <v>11602</v>
      </c>
      <c r="AI3618" s="77" t="b">
        <v>0</v>
      </c>
      <c r="AJ3618" s="77"/>
      <c r="AK3618" s="77"/>
      <c r="AL3618" s="77"/>
      <c r="AM3618" s="77"/>
      <c r="AN3618" s="77"/>
      <c r="AO3618" s="77"/>
      <c r="AP3618" s="77"/>
      <c r="AQ3618" s="77"/>
      <c r="AR3618" s="77"/>
      <c r="AS3618" s="77"/>
      <c r="AT3618" s="77"/>
      <c r="AU3618" s="77"/>
      <c r="AV3618" s="80" t="str">
        <f>HYPERLINK("https://pbs.twimg.com/profile_images/1559883556846977024/bXHnQFY0_normal.jpg")</f>
        <v>https://pbs.twimg.com/profile_images/1559883556846977024/bXHnQFY0_normal.jpg</v>
      </c>
      <c r="AW3618" s="82" t="s">
        <v>16702</v>
      </c>
      <c r="AX3618" s="82" t="s">
        <v>16702</v>
      </c>
      <c r="AY3618" s="77"/>
      <c r="AZ3618" s="82" t="s">
        <v>17385</v>
      </c>
      <c r="BA3618" s="82" t="s">
        <v>17385</v>
      </c>
      <c r="BB3618" s="82" t="s">
        <v>17385</v>
      </c>
      <c r="BC3618" s="82" t="s">
        <v>16702</v>
      </c>
      <c r="BD3618" s="77">
        <v>51150679</v>
      </c>
      <c r="BE3618" s="77"/>
      <c r="BF3618" s="77"/>
      <c r="BG3618" s="77"/>
      <c r="BH3618" s="77"/>
      <c r="BI3618" s="77"/>
    </row>
    <row r="3619" spans="1:61" x14ac:dyDescent="0.25">
      <c r="A3619" s="62" t="s">
        <v>605</v>
      </c>
      <c r="B3619" s="62" t="s">
        <v>605</v>
      </c>
      <c r="C3619" s="63"/>
      <c r="D3619" s="64"/>
      <c r="E3619" s="65"/>
      <c r="F3619" s="66"/>
      <c r="G3619" s="63"/>
      <c r="H3619" s="67"/>
      <c r="I3619" s="68"/>
      <c r="J3619" s="68"/>
      <c r="K3619" s="32"/>
      <c r="L3619" s="75">
        <v>3619</v>
      </c>
      <c r="M3619" s="75"/>
      <c r="N3619" s="70"/>
      <c r="O3619" s="77" t="s">
        <v>179</v>
      </c>
      <c r="P3619" s="79">
        <v>45161.666655092595</v>
      </c>
      <c r="Q3619" s="77" t="s">
        <v>4393</v>
      </c>
      <c r="R3619" s="77">
        <v>0</v>
      </c>
      <c r="S3619" s="77">
        <v>6</v>
      </c>
      <c r="T3619" s="77">
        <v>1</v>
      </c>
      <c r="U3619" s="77">
        <v>0</v>
      </c>
      <c r="V3619" s="77">
        <v>1071</v>
      </c>
      <c r="W3619" s="82" t="s">
        <v>6679</v>
      </c>
      <c r="X3619" s="80" t="str">
        <f>HYPERLINK("https://www.moneytimes.com.br/ibovespa-hoje-agora-petrobras-petr3-dispara-e-leva-vale-vale3-junto-pao-de-acucar-pcar3-derrete-23-08-2023/")</f>
        <v>https://www.moneytimes.com.br/ibovespa-hoje-agora-petrobras-petr3-dispara-e-leva-vale-vale3-junto-pao-de-acucar-pcar3-derrete-23-08-2023/</v>
      </c>
      <c r="Y3619" s="77" t="s">
        <v>7053</v>
      </c>
      <c r="Z3619" s="77"/>
      <c r="AA3619" s="77"/>
      <c r="AB3619" s="77"/>
      <c r="AC3619" s="82" t="s">
        <v>8255</v>
      </c>
      <c r="AD3619" s="77" t="s">
        <v>8278</v>
      </c>
      <c r="AE3619" s="80" t="str">
        <f>HYPERLINK("https://twitter.com/leiamoneytimes/status/1694378963773133258")</f>
        <v>https://twitter.com/leiamoneytimes/status/1694378963773133258</v>
      </c>
      <c r="AF3619" s="79">
        <v>45161.666655092595</v>
      </c>
      <c r="AG3619" s="85">
        <v>45161</v>
      </c>
      <c r="AH3619" s="82" t="s">
        <v>11603</v>
      </c>
      <c r="AI3619" s="77" t="b">
        <v>0</v>
      </c>
      <c r="AJ3619" s="77"/>
      <c r="AK3619" s="77"/>
      <c r="AL3619" s="77"/>
      <c r="AM3619" s="77"/>
      <c r="AN3619" s="77"/>
      <c r="AO3619" s="77"/>
      <c r="AP3619" s="77"/>
      <c r="AQ3619" s="77"/>
      <c r="AR3619" s="77"/>
      <c r="AS3619" s="77"/>
      <c r="AT3619" s="77"/>
      <c r="AU3619" s="77"/>
      <c r="AV3619" s="80" t="str">
        <f>HYPERLINK("https://pbs.twimg.com/profile_images/1559883556846977024/bXHnQFY0_normal.jpg")</f>
        <v>https://pbs.twimg.com/profile_images/1559883556846977024/bXHnQFY0_normal.jpg</v>
      </c>
      <c r="AW3619" s="82" t="s">
        <v>16703</v>
      </c>
      <c r="AX3619" s="82" t="s">
        <v>16703</v>
      </c>
      <c r="AY3619" s="77"/>
      <c r="AZ3619" s="82" t="s">
        <v>17385</v>
      </c>
      <c r="BA3619" s="82" t="s">
        <v>17385</v>
      </c>
      <c r="BB3619" s="82" t="s">
        <v>17385</v>
      </c>
      <c r="BC3619" s="82" t="s">
        <v>16703</v>
      </c>
      <c r="BD3619" s="77">
        <v>51150679</v>
      </c>
      <c r="BE3619" s="77"/>
      <c r="BF3619" s="77"/>
      <c r="BG3619" s="77"/>
      <c r="BH3619" s="77"/>
      <c r="BI3619" s="77"/>
    </row>
    <row r="3620" spans="1:61" x14ac:dyDescent="0.25">
      <c r="A3620" s="62" t="s">
        <v>605</v>
      </c>
      <c r="B3620" s="62" t="s">
        <v>605</v>
      </c>
      <c r="C3620" s="63"/>
      <c r="D3620" s="64"/>
      <c r="E3620" s="65"/>
      <c r="F3620" s="66"/>
      <c r="G3620" s="63"/>
      <c r="H3620" s="67"/>
      <c r="I3620" s="68"/>
      <c r="J3620" s="68"/>
      <c r="K3620" s="32"/>
      <c r="L3620" s="75">
        <v>3620</v>
      </c>
      <c r="M3620" s="75"/>
      <c r="N3620" s="70"/>
      <c r="O3620" s="77" t="s">
        <v>179</v>
      </c>
      <c r="P3620" s="79">
        <v>45160.95071759259</v>
      </c>
      <c r="Q3620" s="77" t="s">
        <v>4394</v>
      </c>
      <c r="R3620" s="77">
        <v>0</v>
      </c>
      <c r="S3620" s="77">
        <v>4</v>
      </c>
      <c r="T3620" s="77">
        <v>1</v>
      </c>
      <c r="U3620" s="77">
        <v>0</v>
      </c>
      <c r="V3620" s="77">
        <v>1600</v>
      </c>
      <c r="W3620" s="82" t="s">
        <v>6680</v>
      </c>
      <c r="X3620" s="80" t="str">
        <f>HYPERLINK("https://www.moneytimes.com.br/sp-faz-devassa-e-rebaixa-nota-de-multiplos-bancos-nos-eua/")</f>
        <v>https://www.moneytimes.com.br/sp-faz-devassa-e-rebaixa-nota-de-multiplos-bancos-nos-eua/</v>
      </c>
      <c r="Y3620" s="77" t="s">
        <v>7053</v>
      </c>
      <c r="Z3620" s="77"/>
      <c r="AA3620" s="77"/>
      <c r="AB3620" s="77"/>
      <c r="AC3620" s="82" t="s">
        <v>8255</v>
      </c>
      <c r="AD3620" s="77" t="s">
        <v>8278</v>
      </c>
      <c r="AE3620" s="80" t="str">
        <f>HYPERLINK("https://twitter.com/leiamoneytimes/status/1694119515733332152")</f>
        <v>https://twitter.com/leiamoneytimes/status/1694119515733332152</v>
      </c>
      <c r="AF3620" s="79">
        <v>45160.95071759259</v>
      </c>
      <c r="AG3620" s="85">
        <v>45160</v>
      </c>
      <c r="AH3620" s="82" t="s">
        <v>11604</v>
      </c>
      <c r="AI3620" s="77" t="b">
        <v>0</v>
      </c>
      <c r="AJ3620" s="77"/>
      <c r="AK3620" s="77"/>
      <c r="AL3620" s="77"/>
      <c r="AM3620" s="77"/>
      <c r="AN3620" s="77"/>
      <c r="AO3620" s="77"/>
      <c r="AP3620" s="77"/>
      <c r="AQ3620" s="77"/>
      <c r="AR3620" s="77"/>
      <c r="AS3620" s="77"/>
      <c r="AT3620" s="77"/>
      <c r="AU3620" s="77"/>
      <c r="AV3620" s="80" t="str">
        <f>HYPERLINK("https://pbs.twimg.com/profile_images/1559883556846977024/bXHnQFY0_normal.jpg")</f>
        <v>https://pbs.twimg.com/profile_images/1559883556846977024/bXHnQFY0_normal.jpg</v>
      </c>
      <c r="AW3620" s="82" t="s">
        <v>16704</v>
      </c>
      <c r="AX3620" s="82" t="s">
        <v>16704</v>
      </c>
      <c r="AY3620" s="77"/>
      <c r="AZ3620" s="82" t="s">
        <v>17385</v>
      </c>
      <c r="BA3620" s="82" t="s">
        <v>17385</v>
      </c>
      <c r="BB3620" s="82" t="s">
        <v>17385</v>
      </c>
      <c r="BC3620" s="82" t="s">
        <v>16704</v>
      </c>
      <c r="BD3620" s="77">
        <v>51150679</v>
      </c>
      <c r="BE3620" s="77"/>
      <c r="BF3620" s="77"/>
      <c r="BG3620" s="77"/>
      <c r="BH3620" s="77"/>
      <c r="BI3620" s="77"/>
    </row>
    <row r="3621" spans="1:61" x14ac:dyDescent="0.25">
      <c r="A3621" s="62" t="s">
        <v>605</v>
      </c>
      <c r="B3621" s="62" t="s">
        <v>605</v>
      </c>
      <c r="C3621" s="63"/>
      <c r="D3621" s="64"/>
      <c r="E3621" s="65"/>
      <c r="F3621" s="66"/>
      <c r="G3621" s="63"/>
      <c r="H3621" s="67"/>
      <c r="I3621" s="68"/>
      <c r="J3621" s="68"/>
      <c r="K3621" s="32"/>
      <c r="L3621" s="75">
        <v>3621</v>
      </c>
      <c r="M3621" s="75"/>
      <c r="N3621" s="70"/>
      <c r="O3621" s="77" t="s">
        <v>179</v>
      </c>
      <c r="P3621" s="79">
        <v>45160.845902777779</v>
      </c>
      <c r="Q3621" s="77" t="s">
        <v>4395</v>
      </c>
      <c r="R3621" s="77">
        <v>1</v>
      </c>
      <c r="S3621" s="77">
        <v>10</v>
      </c>
      <c r="T3621" s="77">
        <v>1</v>
      </c>
      <c r="U3621" s="77">
        <v>0</v>
      </c>
      <c r="V3621" s="77">
        <v>1520</v>
      </c>
      <c r="W3621" s="82" t="s">
        <v>6551</v>
      </c>
      <c r="X3621" s="80" t="str">
        <f>HYPERLINK("https://www.moneytimes.com.br/ibovespa-hoje-fecha-alta-juros-wall-street/")</f>
        <v>https://www.moneytimes.com.br/ibovespa-hoje-fecha-alta-juros-wall-street/</v>
      </c>
      <c r="Y3621" s="77" t="s">
        <v>7053</v>
      </c>
      <c r="Z3621" s="77"/>
      <c r="AA3621" s="77"/>
      <c r="AB3621" s="77"/>
      <c r="AC3621" s="82" t="s">
        <v>8255</v>
      </c>
      <c r="AD3621" s="77" t="s">
        <v>8278</v>
      </c>
      <c r="AE3621" s="80" t="str">
        <f>HYPERLINK("https://twitter.com/leiamoneytimes/status/1694081531050963046")</f>
        <v>https://twitter.com/leiamoneytimes/status/1694081531050963046</v>
      </c>
      <c r="AF3621" s="79">
        <v>45160.845902777779</v>
      </c>
      <c r="AG3621" s="85">
        <v>45160</v>
      </c>
      <c r="AH3621" s="82" t="s">
        <v>8409</v>
      </c>
      <c r="AI3621" s="77" t="b">
        <v>0</v>
      </c>
      <c r="AJ3621" s="77"/>
      <c r="AK3621" s="77"/>
      <c r="AL3621" s="77"/>
      <c r="AM3621" s="77"/>
      <c r="AN3621" s="77"/>
      <c r="AO3621" s="77"/>
      <c r="AP3621" s="77"/>
      <c r="AQ3621" s="77"/>
      <c r="AR3621" s="77"/>
      <c r="AS3621" s="77"/>
      <c r="AT3621" s="77"/>
      <c r="AU3621" s="77"/>
      <c r="AV3621" s="80" t="str">
        <f>HYPERLINK("https://pbs.twimg.com/profile_images/1559883556846977024/bXHnQFY0_normal.jpg")</f>
        <v>https://pbs.twimg.com/profile_images/1559883556846977024/bXHnQFY0_normal.jpg</v>
      </c>
      <c r="AW3621" s="82" t="s">
        <v>16705</v>
      </c>
      <c r="AX3621" s="82" t="s">
        <v>16705</v>
      </c>
      <c r="AY3621" s="77"/>
      <c r="AZ3621" s="82" t="s">
        <v>17385</v>
      </c>
      <c r="BA3621" s="82" t="s">
        <v>17385</v>
      </c>
      <c r="BB3621" s="82" t="s">
        <v>17385</v>
      </c>
      <c r="BC3621" s="82" t="s">
        <v>16705</v>
      </c>
      <c r="BD3621" s="77">
        <v>51150679</v>
      </c>
      <c r="BE3621" s="77"/>
      <c r="BF3621" s="77"/>
      <c r="BG3621" s="77"/>
      <c r="BH3621" s="77"/>
      <c r="BI3621" s="77"/>
    </row>
    <row r="3622" spans="1:61" x14ac:dyDescent="0.25">
      <c r="A3622" s="62" t="s">
        <v>605</v>
      </c>
      <c r="B3622" s="62" t="s">
        <v>605</v>
      </c>
      <c r="C3622" s="63"/>
      <c r="D3622" s="64"/>
      <c r="E3622" s="65"/>
      <c r="F3622" s="66"/>
      <c r="G3622" s="63"/>
      <c r="H3622" s="67"/>
      <c r="I3622" s="68"/>
      <c r="J3622" s="68"/>
      <c r="K3622" s="32"/>
      <c r="L3622" s="75">
        <v>3622</v>
      </c>
      <c r="M3622" s="75"/>
      <c r="N3622" s="70"/>
      <c r="O3622" s="77" t="s">
        <v>179</v>
      </c>
      <c r="P3622" s="79">
        <v>45153.936620370368</v>
      </c>
      <c r="Q3622" s="77" t="s">
        <v>4396</v>
      </c>
      <c r="R3622" s="77">
        <v>0</v>
      </c>
      <c r="S3622" s="77">
        <v>3</v>
      </c>
      <c r="T3622" s="77">
        <v>1</v>
      </c>
      <c r="U3622" s="77">
        <v>0</v>
      </c>
      <c r="V3622" s="77">
        <v>1463</v>
      </c>
      <c r="W3622" s="82" t="s">
        <v>6611</v>
      </c>
      <c r="X3622" s="80" t="str">
        <f>HYPERLINK("https://www.moneytimes.com.br/o-que-o-preco-lucro-nos-diz-sobre-uma-acao/")</f>
        <v>https://www.moneytimes.com.br/o-que-o-preco-lucro-nos-diz-sobre-uma-acao/</v>
      </c>
      <c r="Y3622" s="77" t="s">
        <v>7053</v>
      </c>
      <c r="Z3622" s="77"/>
      <c r="AA3622" s="77"/>
      <c r="AB3622" s="77"/>
      <c r="AC3622" s="82" t="s">
        <v>8255</v>
      </c>
      <c r="AD3622" s="77" t="s">
        <v>8278</v>
      </c>
      <c r="AE3622" s="80" t="str">
        <f>HYPERLINK("https://twitter.com/leiamoneytimes/status/1691577693702176891")</f>
        <v>https://twitter.com/leiamoneytimes/status/1691577693702176891</v>
      </c>
      <c r="AF3622" s="79">
        <v>45153.936620370368</v>
      </c>
      <c r="AG3622" s="85">
        <v>45153</v>
      </c>
      <c r="AH3622" s="82" t="s">
        <v>11605</v>
      </c>
      <c r="AI3622" s="77" t="b">
        <v>0</v>
      </c>
      <c r="AJ3622" s="77"/>
      <c r="AK3622" s="77"/>
      <c r="AL3622" s="77"/>
      <c r="AM3622" s="77"/>
      <c r="AN3622" s="77"/>
      <c r="AO3622" s="77"/>
      <c r="AP3622" s="77"/>
      <c r="AQ3622" s="77"/>
      <c r="AR3622" s="77"/>
      <c r="AS3622" s="77"/>
      <c r="AT3622" s="77"/>
      <c r="AU3622" s="77"/>
      <c r="AV3622" s="80" t="str">
        <f>HYPERLINK("https://pbs.twimg.com/profile_images/1559883556846977024/bXHnQFY0_normal.jpg")</f>
        <v>https://pbs.twimg.com/profile_images/1559883556846977024/bXHnQFY0_normal.jpg</v>
      </c>
      <c r="AW3622" s="82" t="s">
        <v>16706</v>
      </c>
      <c r="AX3622" s="82" t="s">
        <v>16706</v>
      </c>
      <c r="AY3622" s="77"/>
      <c r="AZ3622" s="82" t="s">
        <v>17385</v>
      </c>
      <c r="BA3622" s="82" t="s">
        <v>17385</v>
      </c>
      <c r="BB3622" s="82" t="s">
        <v>17385</v>
      </c>
      <c r="BC3622" s="82" t="s">
        <v>16706</v>
      </c>
      <c r="BD3622" s="77">
        <v>51150679</v>
      </c>
      <c r="BE3622" s="77"/>
      <c r="BF3622" s="77"/>
      <c r="BG3622" s="77"/>
      <c r="BH3622" s="77"/>
      <c r="BI3622" s="77"/>
    </row>
    <row r="3623" spans="1:61" x14ac:dyDescent="0.25">
      <c r="A3623" s="62" t="s">
        <v>605</v>
      </c>
      <c r="B3623" s="62" t="s">
        <v>605</v>
      </c>
      <c r="C3623" s="63"/>
      <c r="D3623" s="64"/>
      <c r="E3623" s="65"/>
      <c r="F3623" s="66"/>
      <c r="G3623" s="63"/>
      <c r="H3623" s="67"/>
      <c r="I3623" s="68"/>
      <c r="J3623" s="68"/>
      <c r="K3623" s="32"/>
      <c r="L3623" s="75">
        <v>3623</v>
      </c>
      <c r="M3623" s="75"/>
      <c r="N3623" s="70"/>
      <c r="O3623" s="77" t="s">
        <v>179</v>
      </c>
      <c r="P3623" s="79">
        <v>45153.880555555559</v>
      </c>
      <c r="Q3623" s="77" t="s">
        <v>4397</v>
      </c>
      <c r="R3623" s="77">
        <v>1</v>
      </c>
      <c r="S3623" s="77">
        <v>39</v>
      </c>
      <c r="T3623" s="77">
        <v>1</v>
      </c>
      <c r="U3623" s="77">
        <v>1</v>
      </c>
      <c r="V3623" s="77">
        <v>11818</v>
      </c>
      <c r="W3623" s="82" t="s">
        <v>6580</v>
      </c>
      <c r="X3623" s="80" t="str">
        <f>HYPERLINK("https://www.moneytimes.com.br/vivo-vivt3-pagara-r-265-milhoes-em-jcp-aos-acionistas-veja-condicoes/")</f>
        <v>https://www.moneytimes.com.br/vivo-vivt3-pagara-r-265-milhoes-em-jcp-aos-acionistas-veja-condicoes/</v>
      </c>
      <c r="Y3623" s="77" t="s">
        <v>7053</v>
      </c>
      <c r="Z3623" s="77"/>
      <c r="AA3623" s="77"/>
      <c r="AB3623" s="77"/>
      <c r="AC3623" s="82" t="s">
        <v>8255</v>
      </c>
      <c r="AD3623" s="77" t="s">
        <v>8278</v>
      </c>
      <c r="AE3623" s="80" t="str">
        <f>HYPERLINK("https://twitter.com/leiamoneytimes/status/1691557376464183684")</f>
        <v>https://twitter.com/leiamoneytimes/status/1691557376464183684</v>
      </c>
      <c r="AF3623" s="79">
        <v>45153.880555555559</v>
      </c>
      <c r="AG3623" s="85">
        <v>45153</v>
      </c>
      <c r="AH3623" s="82" t="s">
        <v>11606</v>
      </c>
      <c r="AI3623" s="77" t="b">
        <v>0</v>
      </c>
      <c r="AJ3623" s="77"/>
      <c r="AK3623" s="77"/>
      <c r="AL3623" s="77"/>
      <c r="AM3623" s="77"/>
      <c r="AN3623" s="77"/>
      <c r="AO3623" s="77"/>
      <c r="AP3623" s="77"/>
      <c r="AQ3623" s="77"/>
      <c r="AR3623" s="77"/>
      <c r="AS3623" s="77"/>
      <c r="AT3623" s="77"/>
      <c r="AU3623" s="77"/>
      <c r="AV3623" s="80" t="str">
        <f>HYPERLINK("https://pbs.twimg.com/profile_images/1559883556846977024/bXHnQFY0_normal.jpg")</f>
        <v>https://pbs.twimg.com/profile_images/1559883556846977024/bXHnQFY0_normal.jpg</v>
      </c>
      <c r="AW3623" s="82" t="s">
        <v>16707</v>
      </c>
      <c r="AX3623" s="82" t="s">
        <v>16707</v>
      </c>
      <c r="AY3623" s="77"/>
      <c r="AZ3623" s="82" t="s">
        <v>17385</v>
      </c>
      <c r="BA3623" s="82" t="s">
        <v>17385</v>
      </c>
      <c r="BB3623" s="82" t="s">
        <v>17385</v>
      </c>
      <c r="BC3623" s="82" t="s">
        <v>16707</v>
      </c>
      <c r="BD3623" s="77">
        <v>51150679</v>
      </c>
      <c r="BE3623" s="77"/>
      <c r="BF3623" s="77"/>
      <c r="BG3623" s="77"/>
      <c r="BH3623" s="77"/>
      <c r="BI3623" s="77"/>
    </row>
    <row r="3624" spans="1:61" x14ac:dyDescent="0.25">
      <c r="A3624" s="62" t="s">
        <v>605</v>
      </c>
      <c r="B3624" s="62" t="s">
        <v>605</v>
      </c>
      <c r="C3624" s="63"/>
      <c r="D3624" s="64"/>
      <c r="E3624" s="65"/>
      <c r="F3624" s="66"/>
      <c r="G3624" s="63"/>
      <c r="H3624" s="67"/>
      <c r="I3624" s="68"/>
      <c r="J3624" s="68"/>
      <c r="K3624" s="32"/>
      <c r="L3624" s="75">
        <v>3624</v>
      </c>
      <c r="M3624" s="75"/>
      <c r="N3624" s="70"/>
      <c r="O3624" s="77" t="s">
        <v>179</v>
      </c>
      <c r="P3624" s="79">
        <v>45153.847824074073</v>
      </c>
      <c r="Q3624" s="77" t="s">
        <v>4398</v>
      </c>
      <c r="R3624" s="77">
        <v>1</v>
      </c>
      <c r="S3624" s="77">
        <v>5</v>
      </c>
      <c r="T3624" s="77">
        <v>1</v>
      </c>
      <c r="U3624" s="77">
        <v>0</v>
      </c>
      <c r="V3624" s="77">
        <v>1272</v>
      </c>
      <c r="W3624" s="82" t="s">
        <v>6551</v>
      </c>
      <c r="X3624" s="80" t="str">
        <f>HYPERLINK("https://www.moneytimes.com.br/ibovespa-hoje-fecha-queda-11-pregoes-116-mil-pontos-15-08-2023/")</f>
        <v>https://www.moneytimes.com.br/ibovespa-hoje-fecha-queda-11-pregoes-116-mil-pontos-15-08-2023/</v>
      </c>
      <c r="Y3624" s="77" t="s">
        <v>7053</v>
      </c>
      <c r="Z3624" s="77"/>
      <c r="AA3624" s="77"/>
      <c r="AB3624" s="77"/>
      <c r="AC3624" s="82" t="s">
        <v>8255</v>
      </c>
      <c r="AD3624" s="77" t="s">
        <v>8278</v>
      </c>
      <c r="AE3624" s="80" t="str">
        <f>HYPERLINK("https://twitter.com/leiamoneytimes/status/1691545515370926080")</f>
        <v>https://twitter.com/leiamoneytimes/status/1691545515370926080</v>
      </c>
      <c r="AF3624" s="79">
        <v>45153.847824074073</v>
      </c>
      <c r="AG3624" s="85">
        <v>45153</v>
      </c>
      <c r="AH3624" s="82" t="s">
        <v>11607</v>
      </c>
      <c r="AI3624" s="77" t="b">
        <v>0</v>
      </c>
      <c r="AJ3624" s="77"/>
      <c r="AK3624" s="77"/>
      <c r="AL3624" s="77"/>
      <c r="AM3624" s="77"/>
      <c r="AN3624" s="77"/>
      <c r="AO3624" s="77"/>
      <c r="AP3624" s="77"/>
      <c r="AQ3624" s="77"/>
      <c r="AR3624" s="77"/>
      <c r="AS3624" s="77"/>
      <c r="AT3624" s="77"/>
      <c r="AU3624" s="77"/>
      <c r="AV3624" s="80" t="str">
        <f>HYPERLINK("https://pbs.twimg.com/profile_images/1559883556846977024/bXHnQFY0_normal.jpg")</f>
        <v>https://pbs.twimg.com/profile_images/1559883556846977024/bXHnQFY0_normal.jpg</v>
      </c>
      <c r="AW3624" s="82" t="s">
        <v>16708</v>
      </c>
      <c r="AX3624" s="82" t="s">
        <v>16708</v>
      </c>
      <c r="AY3624" s="77"/>
      <c r="AZ3624" s="82" t="s">
        <v>17385</v>
      </c>
      <c r="BA3624" s="82" t="s">
        <v>17385</v>
      </c>
      <c r="BB3624" s="82" t="s">
        <v>17385</v>
      </c>
      <c r="BC3624" s="82" t="s">
        <v>16708</v>
      </c>
      <c r="BD3624" s="77">
        <v>51150679</v>
      </c>
      <c r="BE3624" s="77"/>
      <c r="BF3624" s="77"/>
      <c r="BG3624" s="77"/>
      <c r="BH3624" s="77"/>
      <c r="BI3624" s="77"/>
    </row>
    <row r="3625" spans="1:61" x14ac:dyDescent="0.25">
      <c r="A3625" s="62" t="s">
        <v>605</v>
      </c>
      <c r="B3625" s="62" t="s">
        <v>605</v>
      </c>
      <c r="C3625" s="63"/>
      <c r="D3625" s="64"/>
      <c r="E3625" s="65"/>
      <c r="F3625" s="66"/>
      <c r="G3625" s="63"/>
      <c r="H3625" s="67"/>
      <c r="I3625" s="68"/>
      <c r="J3625" s="68"/>
      <c r="K3625" s="32"/>
      <c r="L3625" s="75">
        <v>3625</v>
      </c>
      <c r="M3625" s="75"/>
      <c r="N3625" s="70"/>
      <c r="O3625" s="77" t="s">
        <v>179</v>
      </c>
      <c r="P3625" s="79">
        <v>45153.808900462966</v>
      </c>
      <c r="Q3625" s="77" t="s">
        <v>4399</v>
      </c>
      <c r="R3625" s="77">
        <v>1</v>
      </c>
      <c r="S3625" s="77">
        <v>2</v>
      </c>
      <c r="T3625" s="77">
        <v>0</v>
      </c>
      <c r="U3625" s="77">
        <v>0</v>
      </c>
      <c r="V3625" s="77">
        <v>997</v>
      </c>
      <c r="W3625" s="82" t="s">
        <v>5581</v>
      </c>
      <c r="X3625" s="80" t="str">
        <f>HYPERLINK("https://www.moneytimes.com.br/conheca-werner-roger-o-pioneiro-das-small-caps-que-tem-estrategia-unica-de-investimento/")</f>
        <v>https://www.moneytimes.com.br/conheca-werner-roger-o-pioneiro-das-small-caps-que-tem-estrategia-unica-de-investimento/</v>
      </c>
      <c r="Y3625" s="77" t="s">
        <v>7053</v>
      </c>
      <c r="Z3625" s="77"/>
      <c r="AA3625" s="77"/>
      <c r="AB3625" s="77"/>
      <c r="AC3625" s="82" t="s">
        <v>8255</v>
      </c>
      <c r="AD3625" s="77" t="s">
        <v>8278</v>
      </c>
      <c r="AE3625" s="80" t="str">
        <f>HYPERLINK("https://twitter.com/leiamoneytimes/status/1691531408831913985")</f>
        <v>https://twitter.com/leiamoneytimes/status/1691531408831913985</v>
      </c>
      <c r="AF3625" s="79">
        <v>45153.808900462966</v>
      </c>
      <c r="AG3625" s="85">
        <v>45153</v>
      </c>
      <c r="AH3625" s="82" t="s">
        <v>11608</v>
      </c>
      <c r="AI3625" s="77" t="b">
        <v>0</v>
      </c>
      <c r="AJ3625" s="77"/>
      <c r="AK3625" s="77"/>
      <c r="AL3625" s="77"/>
      <c r="AM3625" s="77"/>
      <c r="AN3625" s="77"/>
      <c r="AO3625" s="77"/>
      <c r="AP3625" s="77"/>
      <c r="AQ3625" s="77"/>
      <c r="AR3625" s="77"/>
      <c r="AS3625" s="77"/>
      <c r="AT3625" s="77"/>
      <c r="AU3625" s="77"/>
      <c r="AV3625" s="80" t="str">
        <f>HYPERLINK("https://pbs.twimg.com/profile_images/1559883556846977024/bXHnQFY0_normal.jpg")</f>
        <v>https://pbs.twimg.com/profile_images/1559883556846977024/bXHnQFY0_normal.jpg</v>
      </c>
      <c r="AW3625" s="82" t="s">
        <v>16709</v>
      </c>
      <c r="AX3625" s="82" t="s">
        <v>16709</v>
      </c>
      <c r="AY3625" s="77"/>
      <c r="AZ3625" s="82" t="s">
        <v>17385</v>
      </c>
      <c r="BA3625" s="82" t="s">
        <v>17385</v>
      </c>
      <c r="BB3625" s="82" t="s">
        <v>17385</v>
      </c>
      <c r="BC3625" s="82" t="s">
        <v>16709</v>
      </c>
      <c r="BD3625" s="77">
        <v>51150679</v>
      </c>
      <c r="BE3625" s="77"/>
      <c r="BF3625" s="77"/>
      <c r="BG3625" s="77"/>
      <c r="BH3625" s="77"/>
      <c r="BI3625" s="77"/>
    </row>
    <row r="3626" spans="1:61" x14ac:dyDescent="0.25">
      <c r="A3626" s="62" t="s">
        <v>605</v>
      </c>
      <c r="B3626" s="62" t="s">
        <v>605</v>
      </c>
      <c r="C3626" s="63"/>
      <c r="D3626" s="64"/>
      <c r="E3626" s="65"/>
      <c r="F3626" s="66"/>
      <c r="G3626" s="63"/>
      <c r="H3626" s="67"/>
      <c r="I3626" s="68"/>
      <c r="J3626" s="68"/>
      <c r="K3626" s="32"/>
      <c r="L3626" s="75">
        <v>3626</v>
      </c>
      <c r="M3626" s="75"/>
      <c r="N3626" s="70"/>
      <c r="O3626" s="77" t="s">
        <v>179</v>
      </c>
      <c r="P3626" s="79">
        <v>45142.53979166667</v>
      </c>
      <c r="Q3626" s="77" t="s">
        <v>4400</v>
      </c>
      <c r="R3626" s="77">
        <v>0</v>
      </c>
      <c r="S3626" s="77">
        <v>0</v>
      </c>
      <c r="T3626" s="77">
        <v>1</v>
      </c>
      <c r="U3626" s="77">
        <v>0</v>
      </c>
      <c r="V3626" s="77">
        <v>955</v>
      </c>
      <c r="W3626" s="82" t="s">
        <v>6551</v>
      </c>
      <c r="X3626" s="80" t="str">
        <f>HYPERLINK("https://www.moneytimes.com.br/petrobras-petr4-alem-dos-dividendos-a-outra-medida-benefica-anunciada/")</f>
        <v>https://www.moneytimes.com.br/petrobras-petr4-alem-dos-dividendos-a-outra-medida-benefica-anunciada/</v>
      </c>
      <c r="Y3626" s="77" t="s">
        <v>7053</v>
      </c>
      <c r="Z3626" s="77"/>
      <c r="AA3626" s="77"/>
      <c r="AB3626" s="77"/>
      <c r="AC3626" s="82" t="s">
        <v>8255</v>
      </c>
      <c r="AD3626" s="77" t="s">
        <v>8278</v>
      </c>
      <c r="AE3626" s="80" t="str">
        <f>HYPERLINK("https://twitter.com/leiamoneytimes/status/1687447618664710144")</f>
        <v>https://twitter.com/leiamoneytimes/status/1687447618664710144</v>
      </c>
      <c r="AF3626" s="79">
        <v>45142.53979166667</v>
      </c>
      <c r="AG3626" s="85">
        <v>45142</v>
      </c>
      <c r="AH3626" s="82" t="s">
        <v>11609</v>
      </c>
      <c r="AI3626" s="77" t="b">
        <v>0</v>
      </c>
      <c r="AJ3626" s="77"/>
      <c r="AK3626" s="77"/>
      <c r="AL3626" s="77"/>
      <c r="AM3626" s="77"/>
      <c r="AN3626" s="77"/>
      <c r="AO3626" s="77"/>
      <c r="AP3626" s="77"/>
      <c r="AQ3626" s="77"/>
      <c r="AR3626" s="77"/>
      <c r="AS3626" s="77"/>
      <c r="AT3626" s="77"/>
      <c r="AU3626" s="77"/>
      <c r="AV3626" s="80" t="str">
        <f>HYPERLINK("https://pbs.twimg.com/profile_images/1559883556846977024/bXHnQFY0_normal.jpg")</f>
        <v>https://pbs.twimg.com/profile_images/1559883556846977024/bXHnQFY0_normal.jpg</v>
      </c>
      <c r="AW3626" s="82" t="s">
        <v>16710</v>
      </c>
      <c r="AX3626" s="82" t="s">
        <v>16710</v>
      </c>
      <c r="AY3626" s="77"/>
      <c r="AZ3626" s="82" t="s">
        <v>17385</v>
      </c>
      <c r="BA3626" s="82" t="s">
        <v>17385</v>
      </c>
      <c r="BB3626" s="82" t="s">
        <v>17385</v>
      </c>
      <c r="BC3626" s="82" t="s">
        <v>16710</v>
      </c>
      <c r="BD3626" s="77">
        <v>51150679</v>
      </c>
      <c r="BE3626" s="77"/>
      <c r="BF3626" s="77"/>
      <c r="BG3626" s="77"/>
      <c r="BH3626" s="77"/>
      <c r="BI3626" s="77"/>
    </row>
    <row r="3627" spans="1:61" x14ac:dyDescent="0.25">
      <c r="A3627" s="62" t="s">
        <v>605</v>
      </c>
      <c r="B3627" s="62" t="s">
        <v>605</v>
      </c>
      <c r="C3627" s="63"/>
      <c r="D3627" s="64"/>
      <c r="E3627" s="65"/>
      <c r="F3627" s="66"/>
      <c r="G3627" s="63"/>
      <c r="H3627" s="67"/>
      <c r="I3627" s="68"/>
      <c r="J3627" s="68"/>
      <c r="K3627" s="32"/>
      <c r="L3627" s="75">
        <v>3627</v>
      </c>
      <c r="M3627" s="75"/>
      <c r="N3627" s="70"/>
      <c r="O3627" s="77" t="s">
        <v>179</v>
      </c>
      <c r="P3627" s="79">
        <v>45141.922442129631</v>
      </c>
      <c r="Q3627" s="77" t="s">
        <v>4401</v>
      </c>
      <c r="R3627" s="77">
        <v>3</v>
      </c>
      <c r="S3627" s="77">
        <v>29</v>
      </c>
      <c r="T3627" s="77">
        <v>1</v>
      </c>
      <c r="U3627" s="77">
        <v>0</v>
      </c>
      <c r="V3627" s="77">
        <v>6011</v>
      </c>
      <c r="W3627" s="82" t="s">
        <v>6658</v>
      </c>
      <c r="X3627" s="80" t="str">
        <f>HYPERLINK("https://www.moneytimes.com.br/modelo-da-xp-esta-prestes-a-implodir-diz-edwin-dorsey-do-the-bear-cave/")</f>
        <v>https://www.moneytimes.com.br/modelo-da-xp-esta-prestes-a-implodir-diz-edwin-dorsey-do-the-bear-cave/</v>
      </c>
      <c r="Y3627" s="77" t="s">
        <v>7053</v>
      </c>
      <c r="Z3627" s="77"/>
      <c r="AA3627" s="77"/>
      <c r="AB3627" s="77"/>
      <c r="AC3627" s="82" t="s">
        <v>8255</v>
      </c>
      <c r="AD3627" s="77" t="s">
        <v>8281</v>
      </c>
      <c r="AE3627" s="80" t="str">
        <f>HYPERLINK("https://twitter.com/leiamoneytimes/status/1687223898499092480")</f>
        <v>https://twitter.com/leiamoneytimes/status/1687223898499092480</v>
      </c>
      <c r="AF3627" s="79">
        <v>45141.922442129631</v>
      </c>
      <c r="AG3627" s="85">
        <v>45141</v>
      </c>
      <c r="AH3627" s="82" t="s">
        <v>11610</v>
      </c>
      <c r="AI3627" s="77" t="b">
        <v>0</v>
      </c>
      <c r="AJ3627" s="77"/>
      <c r="AK3627" s="77"/>
      <c r="AL3627" s="77"/>
      <c r="AM3627" s="77"/>
      <c r="AN3627" s="77"/>
      <c r="AO3627" s="77"/>
      <c r="AP3627" s="77"/>
      <c r="AQ3627" s="77"/>
      <c r="AR3627" s="77"/>
      <c r="AS3627" s="77"/>
      <c r="AT3627" s="77"/>
      <c r="AU3627" s="77"/>
      <c r="AV3627" s="80" t="str">
        <f>HYPERLINK("https://pbs.twimg.com/profile_images/1559883556846977024/bXHnQFY0_normal.jpg")</f>
        <v>https://pbs.twimg.com/profile_images/1559883556846977024/bXHnQFY0_normal.jpg</v>
      </c>
      <c r="AW3627" s="82" t="s">
        <v>16711</v>
      </c>
      <c r="AX3627" s="82" t="s">
        <v>16711</v>
      </c>
      <c r="AY3627" s="77"/>
      <c r="AZ3627" s="82" t="s">
        <v>17385</v>
      </c>
      <c r="BA3627" s="82" t="s">
        <v>17385</v>
      </c>
      <c r="BB3627" s="82" t="s">
        <v>17385</v>
      </c>
      <c r="BC3627" s="82" t="s">
        <v>16711</v>
      </c>
      <c r="BD3627" s="77">
        <v>51150679</v>
      </c>
      <c r="BE3627" s="77"/>
      <c r="BF3627" s="77"/>
      <c r="BG3627" s="77"/>
      <c r="BH3627" s="77"/>
      <c r="BI3627" s="77"/>
    </row>
    <row r="3628" spans="1:61" x14ac:dyDescent="0.25">
      <c r="A3628" s="62" t="s">
        <v>605</v>
      </c>
      <c r="B3628" s="62" t="s">
        <v>605</v>
      </c>
      <c r="C3628" s="63"/>
      <c r="D3628" s="64"/>
      <c r="E3628" s="65"/>
      <c r="F3628" s="66"/>
      <c r="G3628" s="63"/>
      <c r="H3628" s="67"/>
      <c r="I3628" s="68"/>
      <c r="J3628" s="68"/>
      <c r="K3628" s="32"/>
      <c r="L3628" s="75">
        <v>3628</v>
      </c>
      <c r="M3628" s="75"/>
      <c r="N3628" s="70"/>
      <c r="O3628" s="77" t="s">
        <v>179</v>
      </c>
      <c r="P3628" s="79">
        <v>45141.850370370368</v>
      </c>
      <c r="Q3628" s="77" t="s">
        <v>4402</v>
      </c>
      <c r="R3628" s="77">
        <v>0</v>
      </c>
      <c r="S3628" s="77">
        <v>2</v>
      </c>
      <c r="T3628" s="77">
        <v>0</v>
      </c>
      <c r="U3628" s="77">
        <v>0</v>
      </c>
      <c r="V3628" s="77">
        <v>1035</v>
      </c>
      <c r="W3628" s="82" t="s">
        <v>6551</v>
      </c>
      <c r="X3628" s="80" t="str">
        <f>HYPERLINK("https://www.moneytimes.com.br/ibovespa-hoje-fecha-queda-selic-juros-copom-03-08-2023/")</f>
        <v>https://www.moneytimes.com.br/ibovespa-hoje-fecha-queda-selic-juros-copom-03-08-2023/</v>
      </c>
      <c r="Y3628" s="77" t="s">
        <v>7053</v>
      </c>
      <c r="Z3628" s="77"/>
      <c r="AA3628" s="77"/>
      <c r="AB3628" s="77"/>
      <c r="AC3628" s="82" t="s">
        <v>8255</v>
      </c>
      <c r="AD3628" s="77" t="s">
        <v>8278</v>
      </c>
      <c r="AE3628" s="80" t="str">
        <f>HYPERLINK("https://twitter.com/leiamoneytimes/status/1687197783478943744")</f>
        <v>https://twitter.com/leiamoneytimes/status/1687197783478943744</v>
      </c>
      <c r="AF3628" s="79">
        <v>45141.850370370368</v>
      </c>
      <c r="AG3628" s="85">
        <v>45141</v>
      </c>
      <c r="AH3628" s="82" t="s">
        <v>8546</v>
      </c>
      <c r="AI3628" s="77" t="b">
        <v>0</v>
      </c>
      <c r="AJ3628" s="77"/>
      <c r="AK3628" s="77"/>
      <c r="AL3628" s="77"/>
      <c r="AM3628" s="77"/>
      <c r="AN3628" s="77"/>
      <c r="AO3628" s="77"/>
      <c r="AP3628" s="77"/>
      <c r="AQ3628" s="77"/>
      <c r="AR3628" s="77"/>
      <c r="AS3628" s="77"/>
      <c r="AT3628" s="77"/>
      <c r="AU3628" s="77"/>
      <c r="AV3628" s="80" t="str">
        <f>HYPERLINK("https://pbs.twimg.com/profile_images/1559883556846977024/bXHnQFY0_normal.jpg")</f>
        <v>https://pbs.twimg.com/profile_images/1559883556846977024/bXHnQFY0_normal.jpg</v>
      </c>
      <c r="AW3628" s="82" t="s">
        <v>16712</v>
      </c>
      <c r="AX3628" s="82" t="s">
        <v>16712</v>
      </c>
      <c r="AY3628" s="77"/>
      <c r="AZ3628" s="82" t="s">
        <v>17385</v>
      </c>
      <c r="BA3628" s="82" t="s">
        <v>17385</v>
      </c>
      <c r="BB3628" s="82" t="s">
        <v>17385</v>
      </c>
      <c r="BC3628" s="82" t="s">
        <v>16712</v>
      </c>
      <c r="BD3628" s="77">
        <v>51150679</v>
      </c>
      <c r="BE3628" s="77"/>
      <c r="BF3628" s="77"/>
      <c r="BG3628" s="77"/>
      <c r="BH3628" s="77"/>
      <c r="BI3628" s="77"/>
    </row>
    <row r="3629" spans="1:61" x14ac:dyDescent="0.25">
      <c r="A3629" s="62" t="s">
        <v>605</v>
      </c>
      <c r="B3629" s="62" t="s">
        <v>605</v>
      </c>
      <c r="C3629" s="63"/>
      <c r="D3629" s="64"/>
      <c r="E3629" s="65"/>
      <c r="F3629" s="66"/>
      <c r="G3629" s="63"/>
      <c r="H3629" s="67"/>
      <c r="I3629" s="68"/>
      <c r="J3629" s="68"/>
      <c r="K3629" s="32"/>
      <c r="L3629" s="75">
        <v>3629</v>
      </c>
      <c r="M3629" s="75"/>
      <c r="N3629" s="70"/>
      <c r="O3629" s="77" t="s">
        <v>179</v>
      </c>
      <c r="P3629" s="79">
        <v>45141.702604166669</v>
      </c>
      <c r="Q3629" s="77" t="s">
        <v>4403</v>
      </c>
      <c r="R3629" s="77">
        <v>0</v>
      </c>
      <c r="S3629" s="77">
        <v>2</v>
      </c>
      <c r="T3629" s="77">
        <v>0</v>
      </c>
      <c r="U3629" s="77">
        <v>0</v>
      </c>
      <c r="V3629" s="77">
        <v>911</v>
      </c>
      <c r="W3629" s="82" t="s">
        <v>6694</v>
      </c>
      <c r="X3629" s="80" t="str">
        <f>HYPERLINK("https://www.moneytimes.com.br/premio-ibest-2023-money-times-e-um-dos-10-finalistas-na-categoria-melhor-canal-de-investimentos-vote-e-ajude-a-definir-os-3-melhores/")</f>
        <v>https://www.moneytimes.com.br/premio-ibest-2023-money-times-e-um-dos-10-finalistas-na-categoria-melhor-canal-de-investimentos-vote-e-ajude-a-definir-os-3-melhores/</v>
      </c>
      <c r="Y3629" s="77" t="s">
        <v>7053</v>
      </c>
      <c r="Z3629" s="77"/>
      <c r="AA3629" s="77"/>
      <c r="AB3629" s="77"/>
      <c r="AC3629" s="82" t="s">
        <v>8255</v>
      </c>
      <c r="AD3629" s="77" t="s">
        <v>8278</v>
      </c>
      <c r="AE3629" s="80" t="str">
        <f>HYPERLINK("https://twitter.com/leiamoneytimes/status/1687144235391205376")</f>
        <v>https://twitter.com/leiamoneytimes/status/1687144235391205376</v>
      </c>
      <c r="AF3629" s="79">
        <v>45141.702604166669</v>
      </c>
      <c r="AG3629" s="85">
        <v>45141</v>
      </c>
      <c r="AH3629" s="82" t="s">
        <v>11611</v>
      </c>
      <c r="AI3629" s="77" t="b">
        <v>0</v>
      </c>
      <c r="AJ3629" s="77"/>
      <c r="AK3629" s="77"/>
      <c r="AL3629" s="77"/>
      <c r="AM3629" s="77"/>
      <c r="AN3629" s="77"/>
      <c r="AO3629" s="77"/>
      <c r="AP3629" s="77"/>
      <c r="AQ3629" s="77"/>
      <c r="AR3629" s="77"/>
      <c r="AS3629" s="77"/>
      <c r="AT3629" s="77"/>
      <c r="AU3629" s="77"/>
      <c r="AV3629" s="80" t="str">
        <f>HYPERLINK("https://pbs.twimg.com/profile_images/1559883556846977024/bXHnQFY0_normal.jpg")</f>
        <v>https://pbs.twimg.com/profile_images/1559883556846977024/bXHnQFY0_normal.jpg</v>
      </c>
      <c r="AW3629" s="82" t="s">
        <v>16713</v>
      </c>
      <c r="AX3629" s="82" t="s">
        <v>16713</v>
      </c>
      <c r="AY3629" s="77"/>
      <c r="AZ3629" s="82" t="s">
        <v>17385</v>
      </c>
      <c r="BA3629" s="82" t="s">
        <v>17385</v>
      </c>
      <c r="BB3629" s="82" t="s">
        <v>17385</v>
      </c>
      <c r="BC3629" s="82" t="s">
        <v>16713</v>
      </c>
      <c r="BD3629" s="77">
        <v>51150679</v>
      </c>
      <c r="BE3629" s="77"/>
      <c r="BF3629" s="77"/>
      <c r="BG3629" s="77"/>
      <c r="BH3629" s="77"/>
      <c r="BI3629" s="77"/>
    </row>
    <row r="3630" spans="1:61" x14ac:dyDescent="0.25">
      <c r="A3630" s="62" t="s">
        <v>605</v>
      </c>
      <c r="B3630" s="62" t="s">
        <v>605</v>
      </c>
      <c r="C3630" s="63"/>
      <c r="D3630" s="64"/>
      <c r="E3630" s="65"/>
      <c r="F3630" s="66"/>
      <c r="G3630" s="63"/>
      <c r="H3630" s="67"/>
      <c r="I3630" s="68"/>
      <c r="J3630" s="68"/>
      <c r="K3630" s="32"/>
      <c r="L3630" s="75">
        <v>3630</v>
      </c>
      <c r="M3630" s="75"/>
      <c r="N3630" s="70"/>
      <c r="O3630" s="77" t="s">
        <v>179</v>
      </c>
      <c r="P3630" s="79">
        <v>45141.671863425923</v>
      </c>
      <c r="Q3630" s="77" t="s">
        <v>4404</v>
      </c>
      <c r="R3630" s="77">
        <v>2</v>
      </c>
      <c r="S3630" s="77">
        <v>12</v>
      </c>
      <c r="T3630" s="77">
        <v>0</v>
      </c>
      <c r="U3630" s="77">
        <v>0</v>
      </c>
      <c r="V3630" s="77">
        <v>1607</v>
      </c>
      <c r="W3630" s="82" t="s">
        <v>6557</v>
      </c>
      <c r="X3630" s="80" t="str">
        <f>HYPERLINK("https://www.moneytimes.com.br/ibovespa-hoje-agora-selic-03-08-2023/")</f>
        <v>https://www.moneytimes.com.br/ibovespa-hoje-agora-selic-03-08-2023/</v>
      </c>
      <c r="Y3630" s="77" t="s">
        <v>7053</v>
      </c>
      <c r="Z3630" s="77"/>
      <c r="AA3630" s="77"/>
      <c r="AB3630" s="77"/>
      <c r="AC3630" s="82" t="s">
        <v>8255</v>
      </c>
      <c r="AD3630" s="77" t="s">
        <v>8278</v>
      </c>
      <c r="AE3630" s="80" t="str">
        <f>HYPERLINK("https://twitter.com/leiamoneytimes/status/1687133094682279936")</f>
        <v>https://twitter.com/leiamoneytimes/status/1687133094682279936</v>
      </c>
      <c r="AF3630" s="79">
        <v>45141.671863425923</v>
      </c>
      <c r="AG3630" s="85">
        <v>45141</v>
      </c>
      <c r="AH3630" s="82" t="s">
        <v>11612</v>
      </c>
      <c r="AI3630" s="77" t="b">
        <v>0</v>
      </c>
      <c r="AJ3630" s="77"/>
      <c r="AK3630" s="77"/>
      <c r="AL3630" s="77"/>
      <c r="AM3630" s="77"/>
      <c r="AN3630" s="77"/>
      <c r="AO3630" s="77"/>
      <c r="AP3630" s="77"/>
      <c r="AQ3630" s="77"/>
      <c r="AR3630" s="77"/>
      <c r="AS3630" s="77"/>
      <c r="AT3630" s="77"/>
      <c r="AU3630" s="77"/>
      <c r="AV3630" s="80" t="str">
        <f>HYPERLINK("https://pbs.twimg.com/profile_images/1559883556846977024/bXHnQFY0_normal.jpg")</f>
        <v>https://pbs.twimg.com/profile_images/1559883556846977024/bXHnQFY0_normal.jpg</v>
      </c>
      <c r="AW3630" s="82" t="s">
        <v>16714</v>
      </c>
      <c r="AX3630" s="82" t="s">
        <v>16714</v>
      </c>
      <c r="AY3630" s="77"/>
      <c r="AZ3630" s="82" t="s">
        <v>17385</v>
      </c>
      <c r="BA3630" s="82" t="s">
        <v>17385</v>
      </c>
      <c r="BB3630" s="82" t="s">
        <v>17385</v>
      </c>
      <c r="BC3630" s="82" t="s">
        <v>16714</v>
      </c>
      <c r="BD3630" s="77">
        <v>51150679</v>
      </c>
      <c r="BE3630" s="77"/>
      <c r="BF3630" s="77"/>
      <c r="BG3630" s="77"/>
      <c r="BH3630" s="77"/>
      <c r="BI3630" s="77"/>
    </row>
    <row r="3631" spans="1:61" x14ac:dyDescent="0.25">
      <c r="A3631" s="62" t="s">
        <v>605</v>
      </c>
      <c r="B3631" s="62" t="s">
        <v>605</v>
      </c>
      <c r="C3631" s="63"/>
      <c r="D3631" s="64"/>
      <c r="E3631" s="65"/>
      <c r="F3631" s="66"/>
      <c r="G3631" s="63"/>
      <c r="H3631" s="67"/>
      <c r="I3631" s="68"/>
      <c r="J3631" s="68"/>
      <c r="K3631" s="32"/>
      <c r="L3631" s="75">
        <v>3631</v>
      </c>
      <c r="M3631" s="75"/>
      <c r="N3631" s="70"/>
      <c r="O3631" s="77" t="s">
        <v>179</v>
      </c>
      <c r="P3631" s="79">
        <v>45141.66783564815</v>
      </c>
      <c r="Q3631" s="77" t="s">
        <v>4405</v>
      </c>
      <c r="R3631" s="77">
        <v>0</v>
      </c>
      <c r="S3631" s="77">
        <v>4</v>
      </c>
      <c r="T3631" s="77">
        <v>1</v>
      </c>
      <c r="U3631" s="77">
        <v>0</v>
      </c>
      <c r="V3631" s="77">
        <v>1052</v>
      </c>
      <c r="W3631" s="82" t="s">
        <v>6679</v>
      </c>
      <c r="X3631" s="80" t="str">
        <f>HYPERLINK("https://www.moneytimes.com.br/ibovespa-hoje-agora-suzano-alpargatas-03-08-2023/")</f>
        <v>https://www.moneytimes.com.br/ibovespa-hoje-agora-suzano-alpargatas-03-08-2023/</v>
      </c>
      <c r="Y3631" s="77" t="s">
        <v>7053</v>
      </c>
      <c r="Z3631" s="77"/>
      <c r="AA3631" s="77"/>
      <c r="AB3631" s="77"/>
      <c r="AC3631" s="82" t="s">
        <v>8255</v>
      </c>
      <c r="AD3631" s="77" t="s">
        <v>8278</v>
      </c>
      <c r="AE3631" s="80" t="str">
        <f>HYPERLINK("https://twitter.com/leiamoneytimes/status/1687131633973915648")</f>
        <v>https://twitter.com/leiamoneytimes/status/1687131633973915648</v>
      </c>
      <c r="AF3631" s="79">
        <v>45141.66783564815</v>
      </c>
      <c r="AG3631" s="85">
        <v>45141</v>
      </c>
      <c r="AH3631" s="82" t="s">
        <v>11613</v>
      </c>
      <c r="AI3631" s="77" t="b">
        <v>0</v>
      </c>
      <c r="AJ3631" s="77"/>
      <c r="AK3631" s="77"/>
      <c r="AL3631" s="77"/>
      <c r="AM3631" s="77"/>
      <c r="AN3631" s="77"/>
      <c r="AO3631" s="77"/>
      <c r="AP3631" s="77"/>
      <c r="AQ3631" s="77"/>
      <c r="AR3631" s="77"/>
      <c r="AS3631" s="77"/>
      <c r="AT3631" s="77"/>
      <c r="AU3631" s="77"/>
      <c r="AV3631" s="80" t="str">
        <f>HYPERLINK("https://pbs.twimg.com/profile_images/1559883556846977024/bXHnQFY0_normal.jpg")</f>
        <v>https://pbs.twimg.com/profile_images/1559883556846977024/bXHnQFY0_normal.jpg</v>
      </c>
      <c r="AW3631" s="82" t="s">
        <v>16715</v>
      </c>
      <c r="AX3631" s="82" t="s">
        <v>16715</v>
      </c>
      <c r="AY3631" s="77"/>
      <c r="AZ3631" s="82" t="s">
        <v>17385</v>
      </c>
      <c r="BA3631" s="82" t="s">
        <v>17385</v>
      </c>
      <c r="BB3631" s="82" t="s">
        <v>17385</v>
      </c>
      <c r="BC3631" s="82" t="s">
        <v>16715</v>
      </c>
      <c r="BD3631" s="77">
        <v>51150679</v>
      </c>
      <c r="BE3631" s="77"/>
      <c r="BF3631" s="77"/>
      <c r="BG3631" s="77"/>
      <c r="BH3631" s="77"/>
      <c r="BI3631" s="77"/>
    </row>
    <row r="3632" spans="1:61" x14ac:dyDescent="0.25">
      <c r="A3632" s="62" t="s">
        <v>605</v>
      </c>
      <c r="B3632" s="62" t="s">
        <v>605</v>
      </c>
      <c r="C3632" s="63"/>
      <c r="D3632" s="64"/>
      <c r="E3632" s="65"/>
      <c r="F3632" s="66"/>
      <c r="G3632" s="63"/>
      <c r="H3632" s="67"/>
      <c r="I3632" s="68"/>
      <c r="J3632" s="68"/>
      <c r="K3632" s="32"/>
      <c r="L3632" s="75">
        <v>3632</v>
      </c>
      <c r="M3632" s="75"/>
      <c r="N3632" s="70"/>
      <c r="O3632" s="77" t="s">
        <v>179</v>
      </c>
      <c r="P3632" s="79">
        <v>45132.664004629631</v>
      </c>
      <c r="Q3632" s="77" t="s">
        <v>4406</v>
      </c>
      <c r="R3632" s="77">
        <v>0</v>
      </c>
      <c r="S3632" s="77">
        <v>2</v>
      </c>
      <c r="T3632" s="77">
        <v>1</v>
      </c>
      <c r="U3632" s="77">
        <v>0</v>
      </c>
      <c r="V3632" s="77">
        <v>1371</v>
      </c>
      <c r="W3632" s="82" t="s">
        <v>6555</v>
      </c>
      <c r="X3632" s="80" t="str">
        <f>HYPERLINK("https://www.moneytimes.com.br/ibovespa-hoje-agora-magalu-gol-azul-25-07-2023/")</f>
        <v>https://www.moneytimes.com.br/ibovespa-hoje-agora-magalu-gol-azul-25-07-2023/</v>
      </c>
      <c r="Y3632" s="77" t="s">
        <v>7053</v>
      </c>
      <c r="Z3632" s="77"/>
      <c r="AA3632" s="77"/>
      <c r="AB3632" s="77"/>
      <c r="AC3632" s="82" t="s">
        <v>8255</v>
      </c>
      <c r="AD3632" s="77" t="s">
        <v>8278</v>
      </c>
      <c r="AE3632" s="80" t="str">
        <f>HYPERLINK("https://twitter.com/leiamoneytimes/status/1683868753430208517")</f>
        <v>https://twitter.com/leiamoneytimes/status/1683868753430208517</v>
      </c>
      <c r="AF3632" s="79">
        <v>45132.664004629631</v>
      </c>
      <c r="AG3632" s="85">
        <v>45132</v>
      </c>
      <c r="AH3632" s="82" t="s">
        <v>11614</v>
      </c>
      <c r="AI3632" s="77" t="b">
        <v>0</v>
      </c>
      <c r="AJ3632" s="77"/>
      <c r="AK3632" s="77"/>
      <c r="AL3632" s="77"/>
      <c r="AM3632" s="77"/>
      <c r="AN3632" s="77"/>
      <c r="AO3632" s="77"/>
      <c r="AP3632" s="77"/>
      <c r="AQ3632" s="77"/>
      <c r="AR3632" s="77"/>
      <c r="AS3632" s="77"/>
      <c r="AT3632" s="77"/>
      <c r="AU3632" s="77"/>
      <c r="AV3632" s="80" t="str">
        <f>HYPERLINK("https://pbs.twimg.com/profile_images/1559883556846977024/bXHnQFY0_normal.jpg")</f>
        <v>https://pbs.twimg.com/profile_images/1559883556846977024/bXHnQFY0_normal.jpg</v>
      </c>
      <c r="AW3632" s="82" t="s">
        <v>16716</v>
      </c>
      <c r="AX3632" s="82" t="s">
        <v>16716</v>
      </c>
      <c r="AY3632" s="77"/>
      <c r="AZ3632" s="82" t="s">
        <v>17385</v>
      </c>
      <c r="BA3632" s="82" t="s">
        <v>17385</v>
      </c>
      <c r="BB3632" s="82" t="s">
        <v>17385</v>
      </c>
      <c r="BC3632" s="82" t="s">
        <v>16716</v>
      </c>
      <c r="BD3632" s="77">
        <v>51150679</v>
      </c>
      <c r="BE3632" s="77"/>
      <c r="BF3632" s="77"/>
      <c r="BG3632" s="77"/>
      <c r="BH3632" s="77"/>
      <c r="BI3632" s="77"/>
    </row>
    <row r="3633" spans="1:61" x14ac:dyDescent="0.25">
      <c r="A3633" s="62" t="s">
        <v>605</v>
      </c>
      <c r="B3633" s="62" t="s">
        <v>605</v>
      </c>
      <c r="C3633" s="63"/>
      <c r="D3633" s="64"/>
      <c r="E3633" s="65"/>
      <c r="F3633" s="66"/>
      <c r="G3633" s="63"/>
      <c r="H3633" s="67"/>
      <c r="I3633" s="68"/>
      <c r="J3633" s="68"/>
      <c r="K3633" s="32"/>
      <c r="L3633" s="75">
        <v>3633</v>
      </c>
      <c r="M3633" s="75"/>
      <c r="N3633" s="70"/>
      <c r="O3633" s="77" t="s">
        <v>179</v>
      </c>
      <c r="P3633" s="79">
        <v>45131.85083333333</v>
      </c>
      <c r="Q3633" s="77" t="s">
        <v>4407</v>
      </c>
      <c r="R3633" s="77">
        <v>0</v>
      </c>
      <c r="S3633" s="77">
        <v>7</v>
      </c>
      <c r="T3633" s="77">
        <v>1</v>
      </c>
      <c r="U3633" s="77">
        <v>0</v>
      </c>
      <c r="V3633" s="77">
        <v>1297</v>
      </c>
      <c r="W3633" s="82" t="s">
        <v>6551</v>
      </c>
      <c r="X3633" s="80" t="str">
        <f>HYPERLINK("https://www.moneytimes.com.br/ibovespa-hoje-fecha-alta-121-mil-pontos-24-07-2023/")</f>
        <v>https://www.moneytimes.com.br/ibovespa-hoje-fecha-alta-121-mil-pontos-24-07-2023/</v>
      </c>
      <c r="Y3633" s="77" t="s">
        <v>7053</v>
      </c>
      <c r="Z3633" s="77"/>
      <c r="AA3633" s="77"/>
      <c r="AB3633" s="77"/>
      <c r="AC3633" s="82" t="s">
        <v>8255</v>
      </c>
      <c r="AD3633" s="77" t="s">
        <v>8278</v>
      </c>
      <c r="AE3633" s="80" t="str">
        <f>HYPERLINK("https://twitter.com/leiamoneytimes/status/1683574070242168833")</f>
        <v>https://twitter.com/leiamoneytimes/status/1683574070242168833</v>
      </c>
      <c r="AF3633" s="79">
        <v>45131.85083333333</v>
      </c>
      <c r="AG3633" s="85">
        <v>45131</v>
      </c>
      <c r="AH3633" s="82" t="s">
        <v>11615</v>
      </c>
      <c r="AI3633" s="77" t="b">
        <v>0</v>
      </c>
      <c r="AJ3633" s="77"/>
      <c r="AK3633" s="77"/>
      <c r="AL3633" s="77"/>
      <c r="AM3633" s="77"/>
      <c r="AN3633" s="77"/>
      <c r="AO3633" s="77"/>
      <c r="AP3633" s="77"/>
      <c r="AQ3633" s="77"/>
      <c r="AR3633" s="77"/>
      <c r="AS3633" s="77"/>
      <c r="AT3633" s="77"/>
      <c r="AU3633" s="77"/>
      <c r="AV3633" s="80" t="str">
        <f>HYPERLINK("https://pbs.twimg.com/profile_images/1559883556846977024/bXHnQFY0_normal.jpg")</f>
        <v>https://pbs.twimg.com/profile_images/1559883556846977024/bXHnQFY0_normal.jpg</v>
      </c>
      <c r="AW3633" s="82" t="s">
        <v>16717</v>
      </c>
      <c r="AX3633" s="82" t="s">
        <v>16717</v>
      </c>
      <c r="AY3633" s="77"/>
      <c r="AZ3633" s="82" t="s">
        <v>17385</v>
      </c>
      <c r="BA3633" s="82" t="s">
        <v>17385</v>
      </c>
      <c r="BB3633" s="82" t="s">
        <v>17385</v>
      </c>
      <c r="BC3633" s="82" t="s">
        <v>16717</v>
      </c>
      <c r="BD3633" s="77">
        <v>51150679</v>
      </c>
      <c r="BE3633" s="77"/>
      <c r="BF3633" s="77"/>
      <c r="BG3633" s="77"/>
      <c r="BH3633" s="77"/>
      <c r="BI3633" s="77"/>
    </row>
    <row r="3634" spans="1:61" x14ac:dyDescent="0.25">
      <c r="A3634" s="62" t="s">
        <v>605</v>
      </c>
      <c r="B3634" s="62" t="s">
        <v>605</v>
      </c>
      <c r="C3634" s="63"/>
      <c r="D3634" s="64"/>
      <c r="E3634" s="65"/>
      <c r="F3634" s="66"/>
      <c r="G3634" s="63"/>
      <c r="H3634" s="67"/>
      <c r="I3634" s="68"/>
      <c r="J3634" s="68"/>
      <c r="K3634" s="32"/>
      <c r="L3634" s="75">
        <v>3634</v>
      </c>
      <c r="M3634" s="75"/>
      <c r="N3634" s="70"/>
      <c r="O3634" s="77" t="s">
        <v>179</v>
      </c>
      <c r="P3634" s="79">
        <v>45131.615081018521</v>
      </c>
      <c r="Q3634" s="77" t="s">
        <v>4408</v>
      </c>
      <c r="R3634" s="77">
        <v>0</v>
      </c>
      <c r="S3634" s="77">
        <v>1</v>
      </c>
      <c r="T3634" s="77">
        <v>0</v>
      </c>
      <c r="U3634" s="77">
        <v>0</v>
      </c>
      <c r="V3634" s="77">
        <v>1550</v>
      </c>
      <c r="W3634" s="82" t="s">
        <v>6646</v>
      </c>
      <c r="X3634" s="80" t="str">
        <f>HYPERLINK("https://www.moneytimes.com.br/mobly-mbly3-despenca-mais-de-10-sob-acusacao-de-manipulacao-por-gestora/")</f>
        <v>https://www.moneytimes.com.br/mobly-mbly3-despenca-mais-de-10-sob-acusacao-de-manipulacao-por-gestora/</v>
      </c>
      <c r="Y3634" s="77" t="s">
        <v>7053</v>
      </c>
      <c r="Z3634" s="77"/>
      <c r="AA3634" s="77"/>
      <c r="AB3634" s="77"/>
      <c r="AC3634" s="82" t="s">
        <v>8255</v>
      </c>
      <c r="AD3634" s="77" t="s">
        <v>8278</v>
      </c>
      <c r="AE3634" s="80" t="str">
        <f>HYPERLINK("https://twitter.com/leiamoneytimes/status/1683488636896002049")</f>
        <v>https://twitter.com/leiamoneytimes/status/1683488636896002049</v>
      </c>
      <c r="AF3634" s="79">
        <v>45131.615081018521</v>
      </c>
      <c r="AG3634" s="85">
        <v>45131</v>
      </c>
      <c r="AH3634" s="82" t="s">
        <v>11616</v>
      </c>
      <c r="AI3634" s="77" t="b">
        <v>0</v>
      </c>
      <c r="AJ3634" s="77"/>
      <c r="AK3634" s="77"/>
      <c r="AL3634" s="77"/>
      <c r="AM3634" s="77"/>
      <c r="AN3634" s="77"/>
      <c r="AO3634" s="77"/>
      <c r="AP3634" s="77"/>
      <c r="AQ3634" s="77"/>
      <c r="AR3634" s="77"/>
      <c r="AS3634" s="77"/>
      <c r="AT3634" s="77"/>
      <c r="AU3634" s="77"/>
      <c r="AV3634" s="80" t="str">
        <f>HYPERLINK("https://pbs.twimg.com/profile_images/1559883556846977024/bXHnQFY0_normal.jpg")</f>
        <v>https://pbs.twimg.com/profile_images/1559883556846977024/bXHnQFY0_normal.jpg</v>
      </c>
      <c r="AW3634" s="82" t="s">
        <v>16718</v>
      </c>
      <c r="AX3634" s="82" t="s">
        <v>16718</v>
      </c>
      <c r="AY3634" s="77"/>
      <c r="AZ3634" s="82" t="s">
        <v>17385</v>
      </c>
      <c r="BA3634" s="82" t="s">
        <v>17385</v>
      </c>
      <c r="BB3634" s="82" t="s">
        <v>17385</v>
      </c>
      <c r="BC3634" s="82" t="s">
        <v>16718</v>
      </c>
      <c r="BD3634" s="77">
        <v>51150679</v>
      </c>
      <c r="BE3634" s="77"/>
      <c r="BF3634" s="77"/>
      <c r="BG3634" s="77"/>
      <c r="BH3634" s="77"/>
      <c r="BI3634" s="77"/>
    </row>
    <row r="3635" spans="1:61" x14ac:dyDescent="0.25">
      <c r="A3635" s="62" t="s">
        <v>605</v>
      </c>
      <c r="B3635" s="62" t="s">
        <v>605</v>
      </c>
      <c r="C3635" s="63"/>
      <c r="D3635" s="64"/>
      <c r="E3635" s="65"/>
      <c r="F3635" s="66"/>
      <c r="G3635" s="63"/>
      <c r="H3635" s="67"/>
      <c r="I3635" s="68"/>
      <c r="J3635" s="68"/>
      <c r="K3635" s="32"/>
      <c r="L3635" s="75">
        <v>3635</v>
      </c>
      <c r="M3635" s="75"/>
      <c r="N3635" s="70"/>
      <c r="O3635" s="77" t="s">
        <v>179</v>
      </c>
      <c r="P3635" s="79">
        <v>45129.779780092591</v>
      </c>
      <c r="Q3635" s="77" t="s">
        <v>4409</v>
      </c>
      <c r="R3635" s="77">
        <v>1</v>
      </c>
      <c r="S3635" s="77">
        <v>0</v>
      </c>
      <c r="T3635" s="77">
        <v>1</v>
      </c>
      <c r="U3635" s="77">
        <v>0</v>
      </c>
      <c r="V3635" s="77">
        <v>2230</v>
      </c>
      <c r="W3635" s="82" t="s">
        <v>6778</v>
      </c>
      <c r="X3635" s="80" t="str">
        <f>HYPERLINK("https://www.moneytimes.com.br/ctm-mobly-mbly3-e-a-cronica-de-uma-tragedia-anunciada-por-vladimir-timerman/")</f>
        <v>https://www.moneytimes.com.br/ctm-mobly-mbly3-e-a-cronica-de-uma-tragedia-anunciada-por-vladimir-timerman/</v>
      </c>
      <c r="Y3635" s="77" t="s">
        <v>7053</v>
      </c>
      <c r="Z3635" s="77"/>
      <c r="AA3635" s="77"/>
      <c r="AB3635" s="77"/>
      <c r="AC3635" s="82" t="s">
        <v>8255</v>
      </c>
      <c r="AD3635" s="77" t="s">
        <v>8278</v>
      </c>
      <c r="AE3635" s="80" t="str">
        <f>HYPERLINK("https://twitter.com/leiamoneytimes/status/1682823547520008192")</f>
        <v>https://twitter.com/leiamoneytimes/status/1682823547520008192</v>
      </c>
      <c r="AF3635" s="79">
        <v>45129.779780092591</v>
      </c>
      <c r="AG3635" s="85">
        <v>45129</v>
      </c>
      <c r="AH3635" s="82" t="s">
        <v>11617</v>
      </c>
      <c r="AI3635" s="77" t="b">
        <v>0</v>
      </c>
      <c r="AJ3635" s="77"/>
      <c r="AK3635" s="77"/>
      <c r="AL3635" s="77"/>
      <c r="AM3635" s="77"/>
      <c r="AN3635" s="77"/>
      <c r="AO3635" s="77"/>
      <c r="AP3635" s="77"/>
      <c r="AQ3635" s="77"/>
      <c r="AR3635" s="77"/>
      <c r="AS3635" s="77"/>
      <c r="AT3635" s="77"/>
      <c r="AU3635" s="77"/>
      <c r="AV3635" s="80" t="str">
        <f>HYPERLINK("https://pbs.twimg.com/profile_images/1559883556846977024/bXHnQFY0_normal.jpg")</f>
        <v>https://pbs.twimg.com/profile_images/1559883556846977024/bXHnQFY0_normal.jpg</v>
      </c>
      <c r="AW3635" s="82" t="s">
        <v>16719</v>
      </c>
      <c r="AX3635" s="82" t="s">
        <v>16719</v>
      </c>
      <c r="AY3635" s="77"/>
      <c r="AZ3635" s="82" t="s">
        <v>17385</v>
      </c>
      <c r="BA3635" s="82" t="s">
        <v>17385</v>
      </c>
      <c r="BB3635" s="82" t="s">
        <v>17385</v>
      </c>
      <c r="BC3635" s="82" t="s">
        <v>16719</v>
      </c>
      <c r="BD3635" s="77">
        <v>51150679</v>
      </c>
      <c r="BE3635" s="77"/>
      <c r="BF3635" s="77"/>
      <c r="BG3635" s="77"/>
      <c r="BH3635" s="77"/>
      <c r="BI3635" s="77"/>
    </row>
    <row r="3636" spans="1:61" x14ac:dyDescent="0.25">
      <c r="A3636" s="62" t="s">
        <v>605</v>
      </c>
      <c r="B3636" s="62" t="s">
        <v>605</v>
      </c>
      <c r="C3636" s="63"/>
      <c r="D3636" s="64"/>
      <c r="E3636" s="65"/>
      <c r="F3636" s="66"/>
      <c r="G3636" s="63"/>
      <c r="H3636" s="67"/>
      <c r="I3636" s="68"/>
      <c r="J3636" s="68"/>
      <c r="K3636" s="32"/>
      <c r="L3636" s="75">
        <v>3636</v>
      </c>
      <c r="M3636" s="75"/>
      <c r="N3636" s="70"/>
      <c r="O3636" s="77" t="s">
        <v>179</v>
      </c>
      <c r="P3636" s="79">
        <v>45129.742129629631</v>
      </c>
      <c r="Q3636" s="77" t="s">
        <v>4410</v>
      </c>
      <c r="R3636" s="77">
        <v>0</v>
      </c>
      <c r="S3636" s="77">
        <v>3</v>
      </c>
      <c r="T3636" s="77">
        <v>1</v>
      </c>
      <c r="U3636" s="77">
        <v>0</v>
      </c>
      <c r="V3636" s="77">
        <v>2244</v>
      </c>
      <c r="W3636" s="82" t="s">
        <v>6779</v>
      </c>
      <c r="X3636" s="80" t="str">
        <f>HYPERLINK("https://www.moneytimes.com.br/investidor-acusa-gestora-ctm-de-manipulacao-de-mercado-e-a-mobly-mbly3-e-a-bola-da-vez/")</f>
        <v>https://www.moneytimes.com.br/investidor-acusa-gestora-ctm-de-manipulacao-de-mercado-e-a-mobly-mbly3-e-a-bola-da-vez/</v>
      </c>
      <c r="Y3636" s="77" t="s">
        <v>7053</v>
      </c>
      <c r="Z3636" s="77"/>
      <c r="AA3636" s="77"/>
      <c r="AB3636" s="77"/>
      <c r="AC3636" s="82" t="s">
        <v>8255</v>
      </c>
      <c r="AD3636" s="77" t="s">
        <v>8278</v>
      </c>
      <c r="AE3636" s="80" t="str">
        <f>HYPERLINK("https://twitter.com/leiamoneytimes/status/1682809903553949696")</f>
        <v>https://twitter.com/leiamoneytimes/status/1682809903553949696</v>
      </c>
      <c r="AF3636" s="79">
        <v>45129.742129629631</v>
      </c>
      <c r="AG3636" s="85">
        <v>45129</v>
      </c>
      <c r="AH3636" s="82" t="s">
        <v>11618</v>
      </c>
      <c r="AI3636" s="77" t="b">
        <v>0</v>
      </c>
      <c r="AJ3636" s="77"/>
      <c r="AK3636" s="77"/>
      <c r="AL3636" s="77"/>
      <c r="AM3636" s="77"/>
      <c r="AN3636" s="77"/>
      <c r="AO3636" s="77"/>
      <c r="AP3636" s="77"/>
      <c r="AQ3636" s="77"/>
      <c r="AR3636" s="77"/>
      <c r="AS3636" s="77"/>
      <c r="AT3636" s="77"/>
      <c r="AU3636" s="77"/>
      <c r="AV3636" s="80" t="str">
        <f>HYPERLINK("https://pbs.twimg.com/profile_images/1559883556846977024/bXHnQFY0_normal.jpg")</f>
        <v>https://pbs.twimg.com/profile_images/1559883556846977024/bXHnQFY0_normal.jpg</v>
      </c>
      <c r="AW3636" s="82" t="s">
        <v>16720</v>
      </c>
      <c r="AX3636" s="82" t="s">
        <v>16720</v>
      </c>
      <c r="AY3636" s="77"/>
      <c r="AZ3636" s="82" t="s">
        <v>17385</v>
      </c>
      <c r="BA3636" s="82" t="s">
        <v>17385</v>
      </c>
      <c r="BB3636" s="82" t="s">
        <v>17385</v>
      </c>
      <c r="BC3636" s="82" t="s">
        <v>16720</v>
      </c>
      <c r="BD3636" s="77">
        <v>51150679</v>
      </c>
      <c r="BE3636" s="77"/>
      <c r="BF3636" s="77"/>
      <c r="BG3636" s="77"/>
      <c r="BH3636" s="77"/>
      <c r="BI3636" s="77"/>
    </row>
    <row r="3637" spans="1:61" x14ac:dyDescent="0.25">
      <c r="A3637" s="62" t="s">
        <v>605</v>
      </c>
      <c r="B3637" s="62" t="s">
        <v>605</v>
      </c>
      <c r="C3637" s="63"/>
      <c r="D3637" s="64"/>
      <c r="E3637" s="65"/>
      <c r="F3637" s="66"/>
      <c r="G3637" s="63"/>
      <c r="H3637" s="67"/>
      <c r="I3637" s="68"/>
      <c r="J3637" s="68"/>
      <c r="K3637" s="32"/>
      <c r="L3637" s="75">
        <v>3637</v>
      </c>
      <c r="M3637" s="75"/>
      <c r="N3637" s="70"/>
      <c r="O3637" s="77" t="s">
        <v>179</v>
      </c>
      <c r="P3637" s="79">
        <v>45128.846550925926</v>
      </c>
      <c r="Q3637" s="77" t="s">
        <v>4411</v>
      </c>
      <c r="R3637" s="77">
        <v>0</v>
      </c>
      <c r="S3637" s="77">
        <v>2</v>
      </c>
      <c r="T3637" s="77">
        <v>0</v>
      </c>
      <c r="U3637" s="77">
        <v>0</v>
      </c>
      <c r="V3637" s="77">
        <v>1169</v>
      </c>
      <c r="W3637" s="82" t="s">
        <v>6551</v>
      </c>
      <c r="X3637" s="80" t="str">
        <f>HYPERLINK("https://www.moneytimes.com.br/ibovespa-hoje-fecha-alta-120-mil-pontos-21-07-2023/")</f>
        <v>https://www.moneytimes.com.br/ibovespa-hoje-fecha-alta-120-mil-pontos-21-07-2023/</v>
      </c>
      <c r="Y3637" s="77" t="s">
        <v>7053</v>
      </c>
      <c r="Z3637" s="77"/>
      <c r="AA3637" s="77"/>
      <c r="AB3637" s="77"/>
      <c r="AC3637" s="82" t="s">
        <v>8255</v>
      </c>
      <c r="AD3637" s="77" t="s">
        <v>8278</v>
      </c>
      <c r="AE3637" s="80" t="str">
        <f>HYPERLINK("https://twitter.com/leiamoneytimes/status/1682485356682174468")</f>
        <v>https://twitter.com/leiamoneytimes/status/1682485356682174468</v>
      </c>
      <c r="AF3637" s="79">
        <v>45128.846550925926</v>
      </c>
      <c r="AG3637" s="85">
        <v>45128</v>
      </c>
      <c r="AH3637" s="82" t="s">
        <v>11619</v>
      </c>
      <c r="AI3637" s="77" t="b">
        <v>0</v>
      </c>
      <c r="AJ3637" s="77"/>
      <c r="AK3637" s="77"/>
      <c r="AL3637" s="77"/>
      <c r="AM3637" s="77"/>
      <c r="AN3637" s="77"/>
      <c r="AO3637" s="77"/>
      <c r="AP3637" s="77"/>
      <c r="AQ3637" s="77"/>
      <c r="AR3637" s="77"/>
      <c r="AS3637" s="77"/>
      <c r="AT3637" s="77"/>
      <c r="AU3637" s="77"/>
      <c r="AV3637" s="80" t="str">
        <f>HYPERLINK("https://pbs.twimg.com/profile_images/1559883556846977024/bXHnQFY0_normal.jpg")</f>
        <v>https://pbs.twimg.com/profile_images/1559883556846977024/bXHnQFY0_normal.jpg</v>
      </c>
      <c r="AW3637" s="82" t="s">
        <v>16721</v>
      </c>
      <c r="AX3637" s="82" t="s">
        <v>16721</v>
      </c>
      <c r="AY3637" s="77"/>
      <c r="AZ3637" s="82" t="s">
        <v>17385</v>
      </c>
      <c r="BA3637" s="82" t="s">
        <v>17385</v>
      </c>
      <c r="BB3637" s="82" t="s">
        <v>17385</v>
      </c>
      <c r="BC3637" s="82" t="s">
        <v>16721</v>
      </c>
      <c r="BD3637" s="77">
        <v>51150679</v>
      </c>
      <c r="BE3637" s="77"/>
      <c r="BF3637" s="77"/>
      <c r="BG3637" s="77"/>
      <c r="BH3637" s="77"/>
      <c r="BI3637" s="77"/>
    </row>
    <row r="3638" spans="1:61" x14ac:dyDescent="0.25">
      <c r="A3638" s="62" t="s">
        <v>605</v>
      </c>
      <c r="B3638" s="62" t="s">
        <v>605</v>
      </c>
      <c r="C3638" s="63"/>
      <c r="D3638" s="64"/>
      <c r="E3638" s="65"/>
      <c r="F3638" s="66"/>
      <c r="G3638" s="63"/>
      <c r="H3638" s="67"/>
      <c r="I3638" s="68"/>
      <c r="J3638" s="68"/>
      <c r="K3638" s="32"/>
      <c r="L3638" s="75">
        <v>3638</v>
      </c>
      <c r="M3638" s="75"/>
      <c r="N3638" s="70"/>
      <c r="O3638" s="77" t="s">
        <v>179</v>
      </c>
      <c r="P3638" s="79">
        <v>45128.665543981479</v>
      </c>
      <c r="Q3638" s="77" t="s">
        <v>4412</v>
      </c>
      <c r="R3638" s="77">
        <v>0</v>
      </c>
      <c r="S3638" s="77">
        <v>2</v>
      </c>
      <c r="T3638" s="77">
        <v>0</v>
      </c>
      <c r="U3638" s="77">
        <v>0</v>
      </c>
      <c r="V3638" s="77">
        <v>1037</v>
      </c>
      <c r="W3638" s="82" t="s">
        <v>6555</v>
      </c>
      <c r="X3638" s="80" t="str">
        <f>HYPERLINK("https://www.moneytimes.com.br/ibovespa-hoje-agora-gol-azul-gerdau-21-07-2023/")</f>
        <v>https://www.moneytimes.com.br/ibovespa-hoje-agora-gol-azul-gerdau-21-07-2023/</v>
      </c>
      <c r="Y3638" s="77" t="s">
        <v>7053</v>
      </c>
      <c r="Z3638" s="77"/>
      <c r="AA3638" s="77"/>
      <c r="AB3638" s="77"/>
      <c r="AC3638" s="82" t="s">
        <v>8255</v>
      </c>
      <c r="AD3638" s="77" t="s">
        <v>8278</v>
      </c>
      <c r="AE3638" s="80" t="str">
        <f>HYPERLINK("https://twitter.com/leiamoneytimes/status/1682419761584517122")</f>
        <v>https://twitter.com/leiamoneytimes/status/1682419761584517122</v>
      </c>
      <c r="AF3638" s="79">
        <v>45128.665543981479</v>
      </c>
      <c r="AG3638" s="85">
        <v>45128</v>
      </c>
      <c r="AH3638" s="82" t="s">
        <v>11620</v>
      </c>
      <c r="AI3638" s="77" t="b">
        <v>0</v>
      </c>
      <c r="AJ3638" s="77"/>
      <c r="AK3638" s="77"/>
      <c r="AL3638" s="77"/>
      <c r="AM3638" s="77"/>
      <c r="AN3638" s="77"/>
      <c r="AO3638" s="77"/>
      <c r="AP3638" s="77"/>
      <c r="AQ3638" s="77"/>
      <c r="AR3638" s="77"/>
      <c r="AS3638" s="77"/>
      <c r="AT3638" s="77"/>
      <c r="AU3638" s="77"/>
      <c r="AV3638" s="80" t="str">
        <f>HYPERLINK("https://pbs.twimg.com/profile_images/1559883556846977024/bXHnQFY0_normal.jpg")</f>
        <v>https://pbs.twimg.com/profile_images/1559883556846977024/bXHnQFY0_normal.jpg</v>
      </c>
      <c r="AW3638" s="82" t="s">
        <v>16722</v>
      </c>
      <c r="AX3638" s="82" t="s">
        <v>16722</v>
      </c>
      <c r="AY3638" s="77"/>
      <c r="AZ3638" s="82" t="s">
        <v>17385</v>
      </c>
      <c r="BA3638" s="82" t="s">
        <v>17385</v>
      </c>
      <c r="BB3638" s="82" t="s">
        <v>17385</v>
      </c>
      <c r="BC3638" s="82" t="s">
        <v>16722</v>
      </c>
      <c r="BD3638" s="77">
        <v>51150679</v>
      </c>
      <c r="BE3638" s="77"/>
      <c r="BF3638" s="77"/>
      <c r="BG3638" s="77"/>
      <c r="BH3638" s="77"/>
      <c r="BI3638" s="77"/>
    </row>
    <row r="3639" spans="1:61" x14ac:dyDescent="0.25">
      <c r="A3639" s="62" t="s">
        <v>605</v>
      </c>
      <c r="B3639" s="62" t="s">
        <v>605</v>
      </c>
      <c r="C3639" s="63"/>
      <c r="D3639" s="64"/>
      <c r="E3639" s="65"/>
      <c r="F3639" s="66"/>
      <c r="G3639" s="63"/>
      <c r="H3639" s="67"/>
      <c r="I3639" s="68"/>
      <c r="J3639" s="68"/>
      <c r="K3639" s="32"/>
      <c r="L3639" s="75">
        <v>3639</v>
      </c>
      <c r="M3639" s="75"/>
      <c r="N3639" s="70"/>
      <c r="O3639" s="77" t="s">
        <v>179</v>
      </c>
      <c r="P3639" s="79">
        <v>45128.53</v>
      </c>
      <c r="Q3639" s="77" t="s">
        <v>4413</v>
      </c>
      <c r="R3639" s="77">
        <v>2</v>
      </c>
      <c r="S3639" s="77">
        <v>1</v>
      </c>
      <c r="T3639" s="77">
        <v>1</v>
      </c>
      <c r="U3639" s="77">
        <v>1</v>
      </c>
      <c r="V3639" s="77">
        <v>1114</v>
      </c>
      <c r="W3639" s="82" t="s">
        <v>6711</v>
      </c>
      <c r="X3639" s="80" t="str">
        <f>HYPERLINK("https://www.moneytimes.com.br/na-mira-de-haddad-entenda-o-que-sao-os-fundos-dos-super-ricos-e-como-deve-ser-a-taxacao/")</f>
        <v>https://www.moneytimes.com.br/na-mira-de-haddad-entenda-o-que-sao-os-fundos-dos-super-ricos-e-como-deve-ser-a-taxacao/</v>
      </c>
      <c r="Y3639" s="77" t="s">
        <v>7053</v>
      </c>
      <c r="Z3639" s="77"/>
      <c r="AA3639" s="77"/>
      <c r="AB3639" s="77"/>
      <c r="AC3639" s="82" t="s">
        <v>8255</v>
      </c>
      <c r="AD3639" s="77" t="s">
        <v>8278</v>
      </c>
      <c r="AE3639" s="80" t="str">
        <f>HYPERLINK("https://twitter.com/leiamoneytimes/status/1682370641612210179")</f>
        <v>https://twitter.com/leiamoneytimes/status/1682370641612210179</v>
      </c>
      <c r="AF3639" s="79">
        <v>45128.53</v>
      </c>
      <c r="AG3639" s="85">
        <v>45128</v>
      </c>
      <c r="AH3639" s="82" t="s">
        <v>11223</v>
      </c>
      <c r="AI3639" s="77" t="b">
        <v>0</v>
      </c>
      <c r="AJ3639" s="77"/>
      <c r="AK3639" s="77"/>
      <c r="AL3639" s="77"/>
      <c r="AM3639" s="77"/>
      <c r="AN3639" s="77"/>
      <c r="AO3639" s="77"/>
      <c r="AP3639" s="77"/>
      <c r="AQ3639" s="77"/>
      <c r="AR3639" s="77"/>
      <c r="AS3639" s="77"/>
      <c r="AT3639" s="77"/>
      <c r="AU3639" s="77"/>
      <c r="AV3639" s="80" t="str">
        <f>HYPERLINK("https://pbs.twimg.com/profile_images/1559883556846977024/bXHnQFY0_normal.jpg")</f>
        <v>https://pbs.twimg.com/profile_images/1559883556846977024/bXHnQFY0_normal.jpg</v>
      </c>
      <c r="AW3639" s="82" t="s">
        <v>16723</v>
      </c>
      <c r="AX3639" s="82" t="s">
        <v>16723</v>
      </c>
      <c r="AY3639" s="77"/>
      <c r="AZ3639" s="82" t="s">
        <v>17385</v>
      </c>
      <c r="BA3639" s="82" t="s">
        <v>17385</v>
      </c>
      <c r="BB3639" s="82" t="s">
        <v>17385</v>
      </c>
      <c r="BC3639" s="82" t="s">
        <v>16723</v>
      </c>
      <c r="BD3639" s="77">
        <v>51150679</v>
      </c>
      <c r="BE3639" s="77"/>
      <c r="BF3639" s="77"/>
      <c r="BG3639" s="77"/>
      <c r="BH3639" s="77"/>
      <c r="BI3639" s="77"/>
    </row>
    <row r="3640" spans="1:61" x14ac:dyDescent="0.25">
      <c r="A3640" s="62" t="s">
        <v>605</v>
      </c>
      <c r="B3640" s="62" t="s">
        <v>605</v>
      </c>
      <c r="C3640" s="63"/>
      <c r="D3640" s="64"/>
      <c r="E3640" s="65"/>
      <c r="F3640" s="66"/>
      <c r="G3640" s="63"/>
      <c r="H3640" s="67"/>
      <c r="I3640" s="68"/>
      <c r="J3640" s="68"/>
      <c r="K3640" s="32"/>
      <c r="L3640" s="75">
        <v>3640</v>
      </c>
      <c r="M3640" s="75"/>
      <c r="N3640" s="70"/>
      <c r="O3640" s="77" t="s">
        <v>179</v>
      </c>
      <c r="P3640" s="79">
        <v>45128.503125000003</v>
      </c>
      <c r="Q3640" s="77" t="s">
        <v>4414</v>
      </c>
      <c r="R3640" s="77">
        <v>0</v>
      </c>
      <c r="S3640" s="77">
        <v>3</v>
      </c>
      <c r="T3640" s="77">
        <v>0</v>
      </c>
      <c r="U3640" s="77">
        <v>0</v>
      </c>
      <c r="V3640" s="77">
        <v>1153</v>
      </c>
      <c r="W3640" s="82" t="s">
        <v>6551</v>
      </c>
      <c r="X3640" s="80" t="str">
        <f>HYPERLINK("https://www.moneytimes.com.br/sinqia-sqia3-paga-r-47-milhoes-em-juros-sobre-capital-proprio-veja-quem-tem-direito/")</f>
        <v>https://www.moneytimes.com.br/sinqia-sqia3-paga-r-47-milhoes-em-juros-sobre-capital-proprio-veja-quem-tem-direito/</v>
      </c>
      <c r="Y3640" s="77" t="s">
        <v>7053</v>
      </c>
      <c r="Z3640" s="77"/>
      <c r="AA3640" s="77"/>
      <c r="AB3640" s="77"/>
      <c r="AC3640" s="82" t="s">
        <v>8255</v>
      </c>
      <c r="AD3640" s="77" t="s">
        <v>8278</v>
      </c>
      <c r="AE3640" s="80" t="str">
        <f>HYPERLINK("https://twitter.com/leiamoneytimes/status/1682360902752825347")</f>
        <v>https://twitter.com/leiamoneytimes/status/1682360902752825347</v>
      </c>
      <c r="AF3640" s="79">
        <v>45128.503125000003</v>
      </c>
      <c r="AG3640" s="85">
        <v>45128</v>
      </c>
      <c r="AH3640" s="82" t="s">
        <v>11621</v>
      </c>
      <c r="AI3640" s="77" t="b">
        <v>0</v>
      </c>
      <c r="AJ3640" s="77"/>
      <c r="AK3640" s="77"/>
      <c r="AL3640" s="77"/>
      <c r="AM3640" s="77"/>
      <c r="AN3640" s="77"/>
      <c r="AO3640" s="77"/>
      <c r="AP3640" s="77"/>
      <c r="AQ3640" s="77"/>
      <c r="AR3640" s="77"/>
      <c r="AS3640" s="77"/>
      <c r="AT3640" s="77"/>
      <c r="AU3640" s="77"/>
      <c r="AV3640" s="80" t="str">
        <f>HYPERLINK("https://pbs.twimg.com/profile_images/1559883556846977024/bXHnQFY0_normal.jpg")</f>
        <v>https://pbs.twimg.com/profile_images/1559883556846977024/bXHnQFY0_normal.jpg</v>
      </c>
      <c r="AW3640" s="82" t="s">
        <v>16724</v>
      </c>
      <c r="AX3640" s="82" t="s">
        <v>16724</v>
      </c>
      <c r="AY3640" s="77"/>
      <c r="AZ3640" s="82" t="s">
        <v>17385</v>
      </c>
      <c r="BA3640" s="82" t="s">
        <v>17385</v>
      </c>
      <c r="BB3640" s="82" t="s">
        <v>17385</v>
      </c>
      <c r="BC3640" s="82" t="s">
        <v>16724</v>
      </c>
      <c r="BD3640" s="77">
        <v>51150679</v>
      </c>
      <c r="BE3640" s="77"/>
      <c r="BF3640" s="77"/>
      <c r="BG3640" s="77"/>
      <c r="BH3640" s="77"/>
      <c r="BI3640" s="77"/>
    </row>
    <row r="3641" spans="1:61" x14ac:dyDescent="0.25">
      <c r="A3641" s="62" t="s">
        <v>605</v>
      </c>
      <c r="B3641" s="62" t="s">
        <v>605</v>
      </c>
      <c r="C3641" s="63"/>
      <c r="D3641" s="64"/>
      <c r="E3641" s="65"/>
      <c r="F3641" s="66"/>
      <c r="G3641" s="63"/>
      <c r="H3641" s="67"/>
      <c r="I3641" s="68"/>
      <c r="J3641" s="68"/>
      <c r="K3641" s="32"/>
      <c r="L3641" s="75">
        <v>3641</v>
      </c>
      <c r="M3641" s="75"/>
      <c r="N3641" s="70"/>
      <c r="O3641" s="77" t="s">
        <v>179</v>
      </c>
      <c r="P3641" s="79">
        <v>45103.924201388887</v>
      </c>
      <c r="Q3641" s="77" t="s">
        <v>4415</v>
      </c>
      <c r="R3641" s="77">
        <v>1</v>
      </c>
      <c r="S3641" s="77">
        <v>4</v>
      </c>
      <c r="T3641" s="77">
        <v>1</v>
      </c>
      <c r="U3641" s="77">
        <v>0</v>
      </c>
      <c r="V3641" s="77">
        <v>1774</v>
      </c>
      <c r="W3641" s="82" t="s">
        <v>6580</v>
      </c>
      <c r="X3641" s="80" t="str">
        <f>HYPERLINK("https://www.moneytimes.com.br/porto-pssa3-anuncia-r-3778-milhoes-em-jcp-aos-acionistas-confira-datas/")</f>
        <v>https://www.moneytimes.com.br/porto-pssa3-anuncia-r-3778-milhoes-em-jcp-aos-acionistas-confira-datas/</v>
      </c>
      <c r="Y3641" s="77" t="s">
        <v>7053</v>
      </c>
      <c r="Z3641" s="77"/>
      <c r="AA3641" s="77"/>
      <c r="AB3641" s="77"/>
      <c r="AC3641" s="82" t="s">
        <v>8255</v>
      </c>
      <c r="AD3641" s="77" t="s">
        <v>8278</v>
      </c>
      <c r="AE3641" s="80" t="str">
        <f>HYPERLINK("https://twitter.com/leiamoneytimes/status/1673453799396999168")</f>
        <v>https://twitter.com/leiamoneytimes/status/1673453799396999168</v>
      </c>
      <c r="AF3641" s="79">
        <v>45103.924201388887</v>
      </c>
      <c r="AG3641" s="85">
        <v>45103</v>
      </c>
      <c r="AH3641" s="82" t="s">
        <v>11622</v>
      </c>
      <c r="AI3641" s="77" t="b">
        <v>0</v>
      </c>
      <c r="AJ3641" s="77"/>
      <c r="AK3641" s="77"/>
      <c r="AL3641" s="77"/>
      <c r="AM3641" s="77"/>
      <c r="AN3641" s="77"/>
      <c r="AO3641" s="77"/>
      <c r="AP3641" s="77"/>
      <c r="AQ3641" s="77"/>
      <c r="AR3641" s="77"/>
      <c r="AS3641" s="77"/>
      <c r="AT3641" s="77"/>
      <c r="AU3641" s="77"/>
      <c r="AV3641" s="80" t="str">
        <f>HYPERLINK("https://pbs.twimg.com/profile_images/1559883556846977024/bXHnQFY0_normal.jpg")</f>
        <v>https://pbs.twimg.com/profile_images/1559883556846977024/bXHnQFY0_normal.jpg</v>
      </c>
      <c r="AW3641" s="82" t="s">
        <v>16725</v>
      </c>
      <c r="AX3641" s="82" t="s">
        <v>16725</v>
      </c>
      <c r="AY3641" s="77"/>
      <c r="AZ3641" s="82" t="s">
        <v>17385</v>
      </c>
      <c r="BA3641" s="82" t="s">
        <v>17385</v>
      </c>
      <c r="BB3641" s="82" t="s">
        <v>17385</v>
      </c>
      <c r="BC3641" s="82" t="s">
        <v>16725</v>
      </c>
      <c r="BD3641" s="77">
        <v>51150679</v>
      </c>
      <c r="BE3641" s="77"/>
      <c r="BF3641" s="77"/>
      <c r="BG3641" s="77"/>
      <c r="BH3641" s="77"/>
      <c r="BI3641" s="77"/>
    </row>
    <row r="3642" spans="1:61" x14ac:dyDescent="0.25">
      <c r="A3642" s="62" t="s">
        <v>605</v>
      </c>
      <c r="B3642" s="62" t="s">
        <v>605</v>
      </c>
      <c r="C3642" s="63"/>
      <c r="D3642" s="64"/>
      <c r="E3642" s="65"/>
      <c r="F3642" s="66"/>
      <c r="G3642" s="63"/>
      <c r="H3642" s="67"/>
      <c r="I3642" s="68"/>
      <c r="J3642" s="68"/>
      <c r="K3642" s="32"/>
      <c r="L3642" s="75">
        <v>3642</v>
      </c>
      <c r="M3642" s="75"/>
      <c r="N3642" s="70"/>
      <c r="O3642" s="77" t="s">
        <v>179</v>
      </c>
      <c r="P3642" s="79">
        <v>45103.920474537037</v>
      </c>
      <c r="Q3642" s="77" t="s">
        <v>4416</v>
      </c>
      <c r="R3642" s="77">
        <v>2</v>
      </c>
      <c r="S3642" s="77">
        <v>3</v>
      </c>
      <c r="T3642" s="77">
        <v>1</v>
      </c>
      <c r="U3642" s="77">
        <v>0</v>
      </c>
      <c r="V3642" s="77">
        <v>1510</v>
      </c>
      <c r="W3642" s="82" t="s">
        <v>6780</v>
      </c>
      <c r="X3642" s="80" t="str">
        <f>HYPERLINK("https://www.moneytimes.com.br/ganha-ganha-empresa-vai-pagar-juros-sobre-o-capital-proprio-e-recomprar-acoes/")</f>
        <v>https://www.moneytimes.com.br/ganha-ganha-empresa-vai-pagar-juros-sobre-o-capital-proprio-e-recomprar-acoes/</v>
      </c>
      <c r="Y3642" s="77" t="s">
        <v>7053</v>
      </c>
      <c r="Z3642" s="77"/>
      <c r="AA3642" s="77"/>
      <c r="AB3642" s="77"/>
      <c r="AC3642" s="82" t="s">
        <v>8255</v>
      </c>
      <c r="AD3642" s="77" t="s">
        <v>8278</v>
      </c>
      <c r="AE3642" s="80" t="str">
        <f>HYPERLINK("https://twitter.com/leiamoneytimes/status/1673452448172634112")</f>
        <v>https://twitter.com/leiamoneytimes/status/1673452448172634112</v>
      </c>
      <c r="AF3642" s="79">
        <v>45103.920474537037</v>
      </c>
      <c r="AG3642" s="85">
        <v>45103</v>
      </c>
      <c r="AH3642" s="82" t="s">
        <v>11623</v>
      </c>
      <c r="AI3642" s="77" t="b">
        <v>0</v>
      </c>
      <c r="AJ3642" s="77"/>
      <c r="AK3642" s="77"/>
      <c r="AL3642" s="77"/>
      <c r="AM3642" s="77"/>
      <c r="AN3642" s="77"/>
      <c r="AO3642" s="77"/>
      <c r="AP3642" s="77"/>
      <c r="AQ3642" s="77"/>
      <c r="AR3642" s="77"/>
      <c r="AS3642" s="77"/>
      <c r="AT3642" s="77"/>
      <c r="AU3642" s="77"/>
      <c r="AV3642" s="80" t="str">
        <f>HYPERLINK("https://pbs.twimg.com/profile_images/1559883556846977024/bXHnQFY0_normal.jpg")</f>
        <v>https://pbs.twimg.com/profile_images/1559883556846977024/bXHnQFY0_normal.jpg</v>
      </c>
      <c r="AW3642" s="82" t="s">
        <v>16726</v>
      </c>
      <c r="AX3642" s="82" t="s">
        <v>16726</v>
      </c>
      <c r="AY3642" s="77"/>
      <c r="AZ3642" s="82" t="s">
        <v>17385</v>
      </c>
      <c r="BA3642" s="82" t="s">
        <v>17385</v>
      </c>
      <c r="BB3642" s="82" t="s">
        <v>17385</v>
      </c>
      <c r="BC3642" s="82" t="s">
        <v>16726</v>
      </c>
      <c r="BD3642" s="77">
        <v>51150679</v>
      </c>
      <c r="BE3642" s="77"/>
      <c r="BF3642" s="77"/>
      <c r="BG3642" s="77"/>
      <c r="BH3642" s="77"/>
      <c r="BI3642" s="77"/>
    </row>
    <row r="3643" spans="1:61" x14ac:dyDescent="0.25">
      <c r="A3643" s="62" t="s">
        <v>605</v>
      </c>
      <c r="B3643" s="62" t="s">
        <v>605</v>
      </c>
      <c r="C3643" s="63"/>
      <c r="D3643" s="64"/>
      <c r="E3643" s="65"/>
      <c r="F3643" s="66"/>
      <c r="G3643" s="63"/>
      <c r="H3643" s="67"/>
      <c r="I3643" s="68"/>
      <c r="J3643" s="68"/>
      <c r="K3643" s="32"/>
      <c r="L3643" s="75">
        <v>3643</v>
      </c>
      <c r="M3643" s="75"/>
      <c r="N3643" s="70"/>
      <c r="O3643" s="77" t="s">
        <v>179</v>
      </c>
      <c r="P3643" s="79">
        <v>45103.848090277781</v>
      </c>
      <c r="Q3643" s="77" t="s">
        <v>4417</v>
      </c>
      <c r="R3643" s="77">
        <v>0</v>
      </c>
      <c r="S3643" s="77">
        <v>3</v>
      </c>
      <c r="T3643" s="77">
        <v>1</v>
      </c>
      <c r="U3643" s="77">
        <v>0</v>
      </c>
      <c r="V3643" s="77">
        <v>1339</v>
      </c>
      <c r="W3643" s="82" t="s">
        <v>6551</v>
      </c>
      <c r="X3643" s="80" t="str">
        <f>HYPERLINK("https://www.moneytimes.com.br/ibovespa-hoje-fecha-queda-petrobras-petr4-26-06-2023/")</f>
        <v>https://www.moneytimes.com.br/ibovespa-hoje-fecha-queda-petrobras-petr4-26-06-2023/</v>
      </c>
      <c r="Y3643" s="77" t="s">
        <v>7053</v>
      </c>
      <c r="Z3643" s="77"/>
      <c r="AA3643" s="77"/>
      <c r="AB3643" s="77"/>
      <c r="AC3643" s="82" t="s">
        <v>8255</v>
      </c>
      <c r="AD3643" s="77" t="s">
        <v>8278</v>
      </c>
      <c r="AE3643" s="80" t="str">
        <f>HYPERLINK("https://twitter.com/leiamoneytimes/status/1673426217523986432")</f>
        <v>https://twitter.com/leiamoneytimes/status/1673426217523986432</v>
      </c>
      <c r="AF3643" s="79">
        <v>45103.848090277781</v>
      </c>
      <c r="AG3643" s="85">
        <v>45103</v>
      </c>
      <c r="AH3643" s="82" t="s">
        <v>11624</v>
      </c>
      <c r="AI3643" s="77" t="b">
        <v>0</v>
      </c>
      <c r="AJ3643" s="77"/>
      <c r="AK3643" s="77"/>
      <c r="AL3643" s="77"/>
      <c r="AM3643" s="77"/>
      <c r="AN3643" s="77"/>
      <c r="AO3643" s="77"/>
      <c r="AP3643" s="77"/>
      <c r="AQ3643" s="77"/>
      <c r="AR3643" s="77"/>
      <c r="AS3643" s="77"/>
      <c r="AT3643" s="77"/>
      <c r="AU3643" s="77"/>
      <c r="AV3643" s="80" t="str">
        <f>HYPERLINK("https://pbs.twimg.com/profile_images/1559883556846977024/bXHnQFY0_normal.jpg")</f>
        <v>https://pbs.twimg.com/profile_images/1559883556846977024/bXHnQFY0_normal.jpg</v>
      </c>
      <c r="AW3643" s="82" t="s">
        <v>16727</v>
      </c>
      <c r="AX3643" s="82" t="s">
        <v>16727</v>
      </c>
      <c r="AY3643" s="77"/>
      <c r="AZ3643" s="82" t="s">
        <v>17385</v>
      </c>
      <c r="BA3643" s="82" t="s">
        <v>17385</v>
      </c>
      <c r="BB3643" s="82" t="s">
        <v>17385</v>
      </c>
      <c r="BC3643" s="82" t="s">
        <v>16727</v>
      </c>
      <c r="BD3643" s="77">
        <v>51150679</v>
      </c>
      <c r="BE3643" s="77"/>
      <c r="BF3643" s="77"/>
      <c r="BG3643" s="77"/>
      <c r="BH3643" s="77"/>
      <c r="BI3643" s="77"/>
    </row>
    <row r="3644" spans="1:61" x14ac:dyDescent="0.25">
      <c r="A3644" s="62" t="s">
        <v>605</v>
      </c>
      <c r="B3644" s="62" t="s">
        <v>605</v>
      </c>
      <c r="C3644" s="63"/>
      <c r="D3644" s="64"/>
      <c r="E3644" s="65"/>
      <c r="F3644" s="66"/>
      <c r="G3644" s="63"/>
      <c r="H3644" s="67"/>
      <c r="I3644" s="68"/>
      <c r="J3644" s="68"/>
      <c r="K3644" s="32"/>
      <c r="L3644" s="75">
        <v>3644</v>
      </c>
      <c r="M3644" s="75"/>
      <c r="N3644" s="70"/>
      <c r="O3644" s="77" t="s">
        <v>179</v>
      </c>
      <c r="P3644" s="79">
        <v>45103.761793981481</v>
      </c>
      <c r="Q3644" s="77" t="s">
        <v>4418</v>
      </c>
      <c r="R3644" s="77">
        <v>0</v>
      </c>
      <c r="S3644" s="77">
        <v>1</v>
      </c>
      <c r="T3644" s="77">
        <v>1</v>
      </c>
      <c r="U3644" s="77">
        <v>0</v>
      </c>
      <c r="V3644" s="77">
        <v>1128</v>
      </c>
      <c r="W3644" s="82" t="s">
        <v>6781</v>
      </c>
      <c r="X3644" s="80" t="str">
        <f>HYPERLINK("https://www.moneytimes.com.br/a-revolucao-black-scholes-na-precificacao-de-derivativos/")</f>
        <v>https://www.moneytimes.com.br/a-revolucao-black-scholes-na-precificacao-de-derivativos/</v>
      </c>
      <c r="Y3644" s="77" t="s">
        <v>7053</v>
      </c>
      <c r="Z3644" s="77"/>
      <c r="AA3644" s="77"/>
      <c r="AB3644" s="77"/>
      <c r="AC3644" s="82" t="s">
        <v>8255</v>
      </c>
      <c r="AD3644" s="77" t="s">
        <v>8278</v>
      </c>
      <c r="AE3644" s="80" t="str">
        <f>HYPERLINK("https://twitter.com/leiamoneytimes/status/1673394942406696969")</f>
        <v>https://twitter.com/leiamoneytimes/status/1673394942406696969</v>
      </c>
      <c r="AF3644" s="79">
        <v>45103.761793981481</v>
      </c>
      <c r="AG3644" s="85">
        <v>45103</v>
      </c>
      <c r="AH3644" s="82" t="s">
        <v>11625</v>
      </c>
      <c r="AI3644" s="77" t="b">
        <v>0</v>
      </c>
      <c r="AJ3644" s="77"/>
      <c r="AK3644" s="77"/>
      <c r="AL3644" s="77"/>
      <c r="AM3644" s="77"/>
      <c r="AN3644" s="77"/>
      <c r="AO3644" s="77"/>
      <c r="AP3644" s="77"/>
      <c r="AQ3644" s="77"/>
      <c r="AR3644" s="77"/>
      <c r="AS3644" s="77"/>
      <c r="AT3644" s="77"/>
      <c r="AU3644" s="77"/>
      <c r="AV3644" s="80" t="str">
        <f>HYPERLINK("https://pbs.twimg.com/profile_images/1559883556846977024/bXHnQFY0_normal.jpg")</f>
        <v>https://pbs.twimg.com/profile_images/1559883556846977024/bXHnQFY0_normal.jpg</v>
      </c>
      <c r="AW3644" s="82" t="s">
        <v>16728</v>
      </c>
      <c r="AX3644" s="82" t="s">
        <v>16728</v>
      </c>
      <c r="AY3644" s="77"/>
      <c r="AZ3644" s="82" t="s">
        <v>17385</v>
      </c>
      <c r="BA3644" s="82" t="s">
        <v>17385</v>
      </c>
      <c r="BB3644" s="82" t="s">
        <v>17385</v>
      </c>
      <c r="BC3644" s="82" t="s">
        <v>16728</v>
      </c>
      <c r="BD3644" s="77">
        <v>51150679</v>
      </c>
      <c r="BE3644" s="77"/>
      <c r="BF3644" s="77"/>
      <c r="BG3644" s="77"/>
      <c r="BH3644" s="77"/>
      <c r="BI3644" s="77"/>
    </row>
    <row r="3645" spans="1:61" x14ac:dyDescent="0.25">
      <c r="A3645" s="62" t="s">
        <v>605</v>
      </c>
      <c r="B3645" s="62" t="s">
        <v>605</v>
      </c>
      <c r="C3645" s="63"/>
      <c r="D3645" s="64"/>
      <c r="E3645" s="65"/>
      <c r="F3645" s="66"/>
      <c r="G3645" s="63"/>
      <c r="H3645" s="67"/>
      <c r="I3645" s="68"/>
      <c r="J3645" s="68"/>
      <c r="K3645" s="32"/>
      <c r="L3645" s="75">
        <v>3645</v>
      </c>
      <c r="M3645" s="75"/>
      <c r="N3645" s="70"/>
      <c r="O3645" s="77" t="s">
        <v>179</v>
      </c>
      <c r="P3645" s="79">
        <v>45103.728576388887</v>
      </c>
      <c r="Q3645" s="77" t="s">
        <v>4419</v>
      </c>
      <c r="R3645" s="77">
        <v>0</v>
      </c>
      <c r="S3645" s="77">
        <v>1</v>
      </c>
      <c r="T3645" s="77">
        <v>1</v>
      </c>
      <c r="U3645" s="77">
        <v>0</v>
      </c>
      <c r="V3645" s="77">
        <v>1019</v>
      </c>
      <c r="W3645" s="82" t="s">
        <v>6640</v>
      </c>
      <c r="X3645" s="80" t="str">
        <f>HYPERLINK("https://www.moneytimes.com.br/bolsas-europeias-acoes-de-saude-pesam-no-stoxx-600-papeis-de-defesa-caem/")</f>
        <v>https://www.moneytimes.com.br/bolsas-europeias-acoes-de-saude-pesam-no-stoxx-600-papeis-de-defesa-caem/</v>
      </c>
      <c r="Y3645" s="77" t="s">
        <v>7053</v>
      </c>
      <c r="Z3645" s="77"/>
      <c r="AA3645" s="77"/>
      <c r="AB3645" s="77"/>
      <c r="AC3645" s="82" t="s">
        <v>8255</v>
      </c>
      <c r="AD3645" s="77" t="s">
        <v>8278</v>
      </c>
      <c r="AE3645" s="80" t="str">
        <f>HYPERLINK("https://twitter.com/leiamoneytimes/status/1673382905878290434")</f>
        <v>https://twitter.com/leiamoneytimes/status/1673382905878290434</v>
      </c>
      <c r="AF3645" s="79">
        <v>45103.728576388887</v>
      </c>
      <c r="AG3645" s="85">
        <v>45103</v>
      </c>
      <c r="AH3645" s="82" t="s">
        <v>11626</v>
      </c>
      <c r="AI3645" s="77" t="b">
        <v>0</v>
      </c>
      <c r="AJ3645" s="77"/>
      <c r="AK3645" s="77"/>
      <c r="AL3645" s="77"/>
      <c r="AM3645" s="77"/>
      <c r="AN3645" s="77"/>
      <c r="AO3645" s="77"/>
      <c r="AP3645" s="77"/>
      <c r="AQ3645" s="77"/>
      <c r="AR3645" s="77"/>
      <c r="AS3645" s="77"/>
      <c r="AT3645" s="77"/>
      <c r="AU3645" s="77"/>
      <c r="AV3645" s="80" t="str">
        <f>HYPERLINK("https://pbs.twimg.com/profile_images/1559883556846977024/bXHnQFY0_normal.jpg")</f>
        <v>https://pbs.twimg.com/profile_images/1559883556846977024/bXHnQFY0_normal.jpg</v>
      </c>
      <c r="AW3645" s="82" t="s">
        <v>16729</v>
      </c>
      <c r="AX3645" s="82" t="s">
        <v>16729</v>
      </c>
      <c r="AY3645" s="77"/>
      <c r="AZ3645" s="82" t="s">
        <v>17385</v>
      </c>
      <c r="BA3645" s="82" t="s">
        <v>17385</v>
      </c>
      <c r="BB3645" s="82" t="s">
        <v>17385</v>
      </c>
      <c r="BC3645" s="82" t="s">
        <v>16729</v>
      </c>
      <c r="BD3645" s="77">
        <v>51150679</v>
      </c>
      <c r="BE3645" s="77"/>
      <c r="BF3645" s="77"/>
      <c r="BG3645" s="77"/>
      <c r="BH3645" s="77"/>
      <c r="BI3645" s="77"/>
    </row>
    <row r="3646" spans="1:61" x14ac:dyDescent="0.25">
      <c r="A3646" s="62" t="s">
        <v>605</v>
      </c>
      <c r="B3646" s="62" t="s">
        <v>605</v>
      </c>
      <c r="C3646" s="63"/>
      <c r="D3646" s="64"/>
      <c r="E3646" s="65"/>
      <c r="F3646" s="66"/>
      <c r="G3646" s="63"/>
      <c r="H3646" s="67"/>
      <c r="I3646" s="68"/>
      <c r="J3646" s="68"/>
      <c r="K3646" s="32"/>
      <c r="L3646" s="75">
        <v>3646</v>
      </c>
      <c r="M3646" s="75"/>
      <c r="N3646" s="70"/>
      <c r="O3646" s="77" t="s">
        <v>179</v>
      </c>
      <c r="P3646" s="79">
        <v>45103.674756944441</v>
      </c>
      <c r="Q3646" s="77" t="s">
        <v>4420</v>
      </c>
      <c r="R3646" s="77">
        <v>0</v>
      </c>
      <c r="S3646" s="77">
        <v>2</v>
      </c>
      <c r="T3646" s="77">
        <v>1</v>
      </c>
      <c r="U3646" s="77">
        <v>0</v>
      </c>
      <c r="V3646" s="77">
        <v>1166</v>
      </c>
      <c r="W3646" s="82" t="s">
        <v>6665</v>
      </c>
      <c r="X3646" s="80" t="str">
        <f>HYPERLINK("https://www.moneytimes.com.br/10-acoes-para-investir-no-curto-prazo-segundo-mirae/")</f>
        <v>https://www.moneytimes.com.br/10-acoes-para-investir-no-curto-prazo-segundo-mirae/</v>
      </c>
      <c r="Y3646" s="77" t="s">
        <v>7053</v>
      </c>
      <c r="Z3646" s="77"/>
      <c r="AA3646" s="77"/>
      <c r="AB3646" s="77"/>
      <c r="AC3646" s="82" t="s">
        <v>8255</v>
      </c>
      <c r="AD3646" s="77" t="s">
        <v>8278</v>
      </c>
      <c r="AE3646" s="80" t="str">
        <f>HYPERLINK("https://twitter.com/leiamoneytimes/status/1673363401739759616")</f>
        <v>https://twitter.com/leiamoneytimes/status/1673363401739759616</v>
      </c>
      <c r="AF3646" s="79">
        <v>45103.674756944441</v>
      </c>
      <c r="AG3646" s="85">
        <v>45103</v>
      </c>
      <c r="AH3646" s="82" t="s">
        <v>11627</v>
      </c>
      <c r="AI3646" s="77" t="b">
        <v>0</v>
      </c>
      <c r="AJ3646" s="77"/>
      <c r="AK3646" s="77"/>
      <c r="AL3646" s="77"/>
      <c r="AM3646" s="77"/>
      <c r="AN3646" s="77"/>
      <c r="AO3646" s="77"/>
      <c r="AP3646" s="77"/>
      <c r="AQ3646" s="77"/>
      <c r="AR3646" s="77"/>
      <c r="AS3646" s="77"/>
      <c r="AT3646" s="77"/>
      <c r="AU3646" s="77"/>
      <c r="AV3646" s="80" t="str">
        <f>HYPERLINK("https://pbs.twimg.com/profile_images/1559883556846977024/bXHnQFY0_normal.jpg")</f>
        <v>https://pbs.twimg.com/profile_images/1559883556846977024/bXHnQFY0_normal.jpg</v>
      </c>
      <c r="AW3646" s="82" t="s">
        <v>16730</v>
      </c>
      <c r="AX3646" s="82" t="s">
        <v>16730</v>
      </c>
      <c r="AY3646" s="77"/>
      <c r="AZ3646" s="82" t="s">
        <v>17385</v>
      </c>
      <c r="BA3646" s="82" t="s">
        <v>17385</v>
      </c>
      <c r="BB3646" s="82" t="s">
        <v>17385</v>
      </c>
      <c r="BC3646" s="82" t="s">
        <v>16730</v>
      </c>
      <c r="BD3646" s="77">
        <v>51150679</v>
      </c>
      <c r="BE3646" s="77"/>
      <c r="BF3646" s="77"/>
      <c r="BG3646" s="77"/>
      <c r="BH3646" s="77"/>
      <c r="BI3646" s="77"/>
    </row>
    <row r="3647" spans="1:61" x14ac:dyDescent="0.25">
      <c r="A3647" s="62" t="s">
        <v>605</v>
      </c>
      <c r="B3647" s="62" t="s">
        <v>605</v>
      </c>
      <c r="C3647" s="63"/>
      <c r="D3647" s="64"/>
      <c r="E3647" s="65"/>
      <c r="F3647" s="66"/>
      <c r="G3647" s="63"/>
      <c r="H3647" s="67"/>
      <c r="I3647" s="68"/>
      <c r="J3647" s="68"/>
      <c r="K3647" s="32"/>
      <c r="L3647" s="75">
        <v>3647</v>
      </c>
      <c r="M3647" s="75"/>
      <c r="N3647" s="70"/>
      <c r="O3647" s="77" t="s">
        <v>179</v>
      </c>
      <c r="P3647" s="79">
        <v>45103.67391203704</v>
      </c>
      <c r="Q3647" s="77" t="s">
        <v>4421</v>
      </c>
      <c r="R3647" s="77">
        <v>0</v>
      </c>
      <c r="S3647" s="77">
        <v>4</v>
      </c>
      <c r="T3647" s="77">
        <v>1</v>
      </c>
      <c r="U3647" s="77">
        <v>0</v>
      </c>
      <c r="V3647" s="77">
        <v>1211</v>
      </c>
      <c r="W3647" s="82" t="s">
        <v>6782</v>
      </c>
      <c r="X3647" s="80" t="str">
        <f>HYPERLINK("https://www.moneytimes.com.br/ibovespa-por-que-locaweb-lwsa3-despenca-quase-10-petrobras-petr3petr4-avanca/")</f>
        <v>https://www.moneytimes.com.br/ibovespa-por-que-locaweb-lwsa3-despenca-quase-10-petrobras-petr3petr4-avanca/</v>
      </c>
      <c r="Y3647" s="77" t="s">
        <v>7053</v>
      </c>
      <c r="Z3647" s="77"/>
      <c r="AA3647" s="77"/>
      <c r="AB3647" s="77"/>
      <c r="AC3647" s="82" t="s">
        <v>8255</v>
      </c>
      <c r="AD3647" s="77" t="s">
        <v>8284</v>
      </c>
      <c r="AE3647" s="80" t="str">
        <f>HYPERLINK("https://twitter.com/leiamoneytimes/status/1673363096310628352")</f>
        <v>https://twitter.com/leiamoneytimes/status/1673363096310628352</v>
      </c>
      <c r="AF3647" s="79">
        <v>45103.67391203704</v>
      </c>
      <c r="AG3647" s="85">
        <v>45103</v>
      </c>
      <c r="AH3647" s="82" t="s">
        <v>9920</v>
      </c>
      <c r="AI3647" s="77" t="b">
        <v>0</v>
      </c>
      <c r="AJ3647" s="77"/>
      <c r="AK3647" s="77"/>
      <c r="AL3647" s="77"/>
      <c r="AM3647" s="77"/>
      <c r="AN3647" s="77"/>
      <c r="AO3647" s="77"/>
      <c r="AP3647" s="77"/>
      <c r="AQ3647" s="77"/>
      <c r="AR3647" s="77"/>
      <c r="AS3647" s="77"/>
      <c r="AT3647" s="77"/>
      <c r="AU3647" s="77"/>
      <c r="AV3647" s="80" t="str">
        <f>HYPERLINK("https://pbs.twimg.com/profile_images/1559883556846977024/bXHnQFY0_normal.jpg")</f>
        <v>https://pbs.twimg.com/profile_images/1559883556846977024/bXHnQFY0_normal.jpg</v>
      </c>
      <c r="AW3647" s="82" t="s">
        <v>16731</v>
      </c>
      <c r="AX3647" s="82" t="s">
        <v>16731</v>
      </c>
      <c r="AY3647" s="77"/>
      <c r="AZ3647" s="82" t="s">
        <v>17385</v>
      </c>
      <c r="BA3647" s="82" t="s">
        <v>17385</v>
      </c>
      <c r="BB3647" s="82" t="s">
        <v>17385</v>
      </c>
      <c r="BC3647" s="82" t="s">
        <v>16731</v>
      </c>
      <c r="BD3647" s="77">
        <v>51150679</v>
      </c>
      <c r="BE3647" s="77"/>
      <c r="BF3647" s="77"/>
      <c r="BG3647" s="77"/>
      <c r="BH3647" s="77"/>
      <c r="BI3647" s="77"/>
    </row>
    <row r="3648" spans="1:61" x14ac:dyDescent="0.25">
      <c r="A3648" s="62" t="s">
        <v>605</v>
      </c>
      <c r="B3648" s="62" t="s">
        <v>605</v>
      </c>
      <c r="C3648" s="63"/>
      <c r="D3648" s="64"/>
      <c r="E3648" s="65"/>
      <c r="F3648" s="66"/>
      <c r="G3648" s="63"/>
      <c r="H3648" s="67"/>
      <c r="I3648" s="68"/>
      <c r="J3648" s="68"/>
      <c r="K3648" s="32"/>
      <c r="L3648" s="75">
        <v>3648</v>
      </c>
      <c r="M3648" s="75"/>
      <c r="N3648" s="70"/>
      <c r="O3648" s="77" t="s">
        <v>179</v>
      </c>
      <c r="P3648" s="79">
        <v>45103.625347222223</v>
      </c>
      <c r="Q3648" s="77" t="s">
        <v>4422</v>
      </c>
      <c r="R3648" s="77">
        <v>0</v>
      </c>
      <c r="S3648" s="77">
        <v>0</v>
      </c>
      <c r="T3648" s="77">
        <v>1</v>
      </c>
      <c r="U3648" s="77">
        <v>0</v>
      </c>
      <c r="V3648" s="77">
        <v>1005</v>
      </c>
      <c r="W3648" s="82" t="s">
        <v>6783</v>
      </c>
      <c r="X3648" s="80" t="str">
        <f>HYPERLINK("https://www.moneytimes.com.br/fila-dos-bilhoes-empresa-100-bi-travados-bolada-voce-ainda-pode-ter-direito-lbrdlc374-tsts/")</f>
        <v>https://www.moneytimes.com.br/fila-dos-bilhoes-empresa-100-bi-travados-bolada-voce-ainda-pode-ter-direito-lbrdlc374-tsts/</v>
      </c>
      <c r="Y3648" s="77" t="s">
        <v>7053</v>
      </c>
      <c r="Z3648" s="77"/>
      <c r="AA3648" s="77"/>
      <c r="AB3648" s="77"/>
      <c r="AC3648" s="82" t="s">
        <v>8255</v>
      </c>
      <c r="AD3648" s="77" t="s">
        <v>8278</v>
      </c>
      <c r="AE3648" s="80" t="str">
        <f>HYPERLINK("https://twitter.com/leiamoneytimes/status/1673345497560502276")</f>
        <v>https://twitter.com/leiamoneytimes/status/1673345497560502276</v>
      </c>
      <c r="AF3648" s="79">
        <v>45103.625347222223</v>
      </c>
      <c r="AG3648" s="85">
        <v>45103</v>
      </c>
      <c r="AH3648" s="82" t="s">
        <v>9540</v>
      </c>
      <c r="AI3648" s="77" t="b">
        <v>0</v>
      </c>
      <c r="AJ3648" s="77"/>
      <c r="AK3648" s="77"/>
      <c r="AL3648" s="77"/>
      <c r="AM3648" s="77"/>
      <c r="AN3648" s="77"/>
      <c r="AO3648" s="77"/>
      <c r="AP3648" s="77"/>
      <c r="AQ3648" s="77"/>
      <c r="AR3648" s="77"/>
      <c r="AS3648" s="77"/>
      <c r="AT3648" s="77"/>
      <c r="AU3648" s="77"/>
      <c r="AV3648" s="80" t="str">
        <f>HYPERLINK("https://pbs.twimg.com/profile_images/1559883556846977024/bXHnQFY0_normal.jpg")</f>
        <v>https://pbs.twimg.com/profile_images/1559883556846977024/bXHnQFY0_normal.jpg</v>
      </c>
      <c r="AW3648" s="82" t="s">
        <v>16732</v>
      </c>
      <c r="AX3648" s="82" t="s">
        <v>16732</v>
      </c>
      <c r="AY3648" s="77"/>
      <c r="AZ3648" s="82" t="s">
        <v>17385</v>
      </c>
      <c r="BA3648" s="82" t="s">
        <v>17385</v>
      </c>
      <c r="BB3648" s="82" t="s">
        <v>17385</v>
      </c>
      <c r="BC3648" s="82" t="s">
        <v>16732</v>
      </c>
      <c r="BD3648" s="77">
        <v>51150679</v>
      </c>
      <c r="BE3648" s="77"/>
      <c r="BF3648" s="77"/>
      <c r="BG3648" s="77"/>
      <c r="BH3648" s="77"/>
      <c r="BI3648" s="77"/>
    </row>
    <row r="3649" spans="1:61" x14ac:dyDescent="0.25">
      <c r="A3649" s="62" t="s">
        <v>605</v>
      </c>
      <c r="B3649" s="62" t="s">
        <v>605</v>
      </c>
      <c r="C3649" s="63"/>
      <c r="D3649" s="64"/>
      <c r="E3649" s="65"/>
      <c r="F3649" s="66"/>
      <c r="G3649" s="63"/>
      <c r="H3649" s="67"/>
      <c r="I3649" s="68"/>
      <c r="J3649" s="68"/>
      <c r="K3649" s="32"/>
      <c r="L3649" s="75">
        <v>3649</v>
      </c>
      <c r="M3649" s="75"/>
      <c r="N3649" s="70"/>
      <c r="O3649" s="77" t="s">
        <v>179</v>
      </c>
      <c r="P3649" s="79">
        <v>45103.599699074075</v>
      </c>
      <c r="Q3649" s="77" t="s">
        <v>4423</v>
      </c>
      <c r="R3649" s="77">
        <v>0</v>
      </c>
      <c r="S3649" s="77">
        <v>3</v>
      </c>
      <c r="T3649" s="77">
        <v>2</v>
      </c>
      <c r="U3649" s="77">
        <v>0</v>
      </c>
      <c r="V3649" s="77">
        <v>1336</v>
      </c>
      <c r="W3649" s="82" t="s">
        <v>6784</v>
      </c>
      <c r="X3649" s="80" t="str">
        <f>HYPERLINK("https://www.moneytimes.com.br/petrobras-petr4-a-nova-emissao-de-titulos-que-pode-chegar-a-us-15-bilhao/")</f>
        <v>https://www.moneytimes.com.br/petrobras-petr4-a-nova-emissao-de-titulos-que-pode-chegar-a-us-15-bilhao/</v>
      </c>
      <c r="Y3649" s="77" t="s">
        <v>7053</v>
      </c>
      <c r="Z3649" s="77"/>
      <c r="AA3649" s="77"/>
      <c r="AB3649" s="77"/>
      <c r="AC3649" s="82" t="s">
        <v>8255</v>
      </c>
      <c r="AD3649" s="77" t="s">
        <v>8278</v>
      </c>
      <c r="AE3649" s="80" t="str">
        <f>HYPERLINK("https://twitter.com/leiamoneytimes/status/1673336204496961536")</f>
        <v>https://twitter.com/leiamoneytimes/status/1673336204496961536</v>
      </c>
      <c r="AF3649" s="79">
        <v>45103.599699074075</v>
      </c>
      <c r="AG3649" s="85">
        <v>45103</v>
      </c>
      <c r="AH3649" s="82" t="s">
        <v>11628</v>
      </c>
      <c r="AI3649" s="77" t="b">
        <v>0</v>
      </c>
      <c r="AJ3649" s="77"/>
      <c r="AK3649" s="77"/>
      <c r="AL3649" s="77"/>
      <c r="AM3649" s="77"/>
      <c r="AN3649" s="77"/>
      <c r="AO3649" s="77"/>
      <c r="AP3649" s="77"/>
      <c r="AQ3649" s="77"/>
      <c r="AR3649" s="77"/>
      <c r="AS3649" s="77"/>
      <c r="AT3649" s="77"/>
      <c r="AU3649" s="77"/>
      <c r="AV3649" s="80" t="str">
        <f>HYPERLINK("https://pbs.twimg.com/profile_images/1559883556846977024/bXHnQFY0_normal.jpg")</f>
        <v>https://pbs.twimg.com/profile_images/1559883556846977024/bXHnQFY0_normal.jpg</v>
      </c>
      <c r="AW3649" s="82" t="s">
        <v>16733</v>
      </c>
      <c r="AX3649" s="82" t="s">
        <v>16733</v>
      </c>
      <c r="AY3649" s="77"/>
      <c r="AZ3649" s="82" t="s">
        <v>17385</v>
      </c>
      <c r="BA3649" s="82" t="s">
        <v>17385</v>
      </c>
      <c r="BB3649" s="82" t="s">
        <v>17385</v>
      </c>
      <c r="BC3649" s="82" t="s">
        <v>16733</v>
      </c>
      <c r="BD3649" s="77">
        <v>51150679</v>
      </c>
      <c r="BE3649" s="77"/>
      <c r="BF3649" s="77"/>
      <c r="BG3649" s="77"/>
      <c r="BH3649" s="77"/>
      <c r="BI3649" s="77"/>
    </row>
    <row r="3650" spans="1:61" x14ac:dyDescent="0.25">
      <c r="A3650" s="62" t="s">
        <v>605</v>
      </c>
      <c r="B3650" s="62" t="s">
        <v>605</v>
      </c>
      <c r="C3650" s="63"/>
      <c r="D3650" s="64"/>
      <c r="E3650" s="65"/>
      <c r="F3650" s="66"/>
      <c r="G3650" s="63"/>
      <c r="H3650" s="67"/>
      <c r="I3650" s="68"/>
      <c r="J3650" s="68"/>
      <c r="K3650" s="32"/>
      <c r="L3650" s="75">
        <v>3650</v>
      </c>
      <c r="M3650" s="75"/>
      <c r="N3650" s="70"/>
      <c r="O3650" s="77" t="s">
        <v>179</v>
      </c>
      <c r="P3650" s="79">
        <v>45103.51866898148</v>
      </c>
      <c r="Q3650" s="77" t="s">
        <v>4424</v>
      </c>
      <c r="R3650" s="77">
        <v>0</v>
      </c>
      <c r="S3650" s="77">
        <v>8</v>
      </c>
      <c r="T3650" s="77">
        <v>2</v>
      </c>
      <c r="U3650" s="77">
        <v>0</v>
      </c>
      <c r="V3650" s="77">
        <v>1479</v>
      </c>
      <c r="W3650" s="82" t="s">
        <v>5596</v>
      </c>
      <c r="X3650" s="80" t="str">
        <f>HYPERLINK("https://www.moneytimes.com.br/gringos-retiram-milhoes-em-recursos-da-b3-pelo-4o-dia-consecutivo/")</f>
        <v>https://www.moneytimes.com.br/gringos-retiram-milhoes-em-recursos-da-b3-pelo-4o-dia-consecutivo/</v>
      </c>
      <c r="Y3650" s="77" t="s">
        <v>7053</v>
      </c>
      <c r="Z3650" s="77"/>
      <c r="AA3650" s="77"/>
      <c r="AB3650" s="77"/>
      <c r="AC3650" s="82" t="s">
        <v>8255</v>
      </c>
      <c r="AD3650" s="77" t="s">
        <v>8278</v>
      </c>
      <c r="AE3650" s="80" t="str">
        <f>HYPERLINK("https://twitter.com/leiamoneytimes/status/1673306838115164161")</f>
        <v>https://twitter.com/leiamoneytimes/status/1673306838115164161</v>
      </c>
      <c r="AF3650" s="79">
        <v>45103.51866898148</v>
      </c>
      <c r="AG3650" s="85">
        <v>45103</v>
      </c>
      <c r="AH3650" s="82" t="s">
        <v>11629</v>
      </c>
      <c r="AI3650" s="77" t="b">
        <v>0</v>
      </c>
      <c r="AJ3650" s="77"/>
      <c r="AK3650" s="77"/>
      <c r="AL3650" s="77"/>
      <c r="AM3650" s="77"/>
      <c r="AN3650" s="77"/>
      <c r="AO3650" s="77"/>
      <c r="AP3650" s="77"/>
      <c r="AQ3650" s="77"/>
      <c r="AR3650" s="77"/>
      <c r="AS3650" s="77"/>
      <c r="AT3650" s="77"/>
      <c r="AU3650" s="77"/>
      <c r="AV3650" s="80" t="str">
        <f>HYPERLINK("https://pbs.twimg.com/profile_images/1559883556846977024/bXHnQFY0_normal.jpg")</f>
        <v>https://pbs.twimg.com/profile_images/1559883556846977024/bXHnQFY0_normal.jpg</v>
      </c>
      <c r="AW3650" s="82" t="s">
        <v>16734</v>
      </c>
      <c r="AX3650" s="82" t="s">
        <v>16734</v>
      </c>
      <c r="AY3650" s="77"/>
      <c r="AZ3650" s="82" t="s">
        <v>17385</v>
      </c>
      <c r="BA3650" s="82" t="s">
        <v>17385</v>
      </c>
      <c r="BB3650" s="82" t="s">
        <v>17385</v>
      </c>
      <c r="BC3650" s="82" t="s">
        <v>16734</v>
      </c>
      <c r="BD3650" s="77">
        <v>51150679</v>
      </c>
      <c r="BE3650" s="77"/>
      <c r="BF3650" s="77"/>
      <c r="BG3650" s="77"/>
      <c r="BH3650" s="77"/>
      <c r="BI3650" s="77"/>
    </row>
    <row r="3651" spans="1:61" x14ac:dyDescent="0.25">
      <c r="A3651" s="62" t="s">
        <v>605</v>
      </c>
      <c r="B3651" s="62" t="s">
        <v>605</v>
      </c>
      <c r="C3651" s="63"/>
      <c r="D3651" s="64"/>
      <c r="E3651" s="65"/>
      <c r="F3651" s="66"/>
      <c r="G3651" s="63"/>
      <c r="H3651" s="67"/>
      <c r="I3651" s="68"/>
      <c r="J3651" s="68"/>
      <c r="K3651" s="32"/>
      <c r="L3651" s="75">
        <v>3651</v>
      </c>
      <c r="M3651" s="75"/>
      <c r="N3651" s="70"/>
      <c r="O3651" s="77" t="s">
        <v>179</v>
      </c>
      <c r="P3651" s="79">
        <v>45103.476319444446</v>
      </c>
      <c r="Q3651" s="77" t="s">
        <v>4425</v>
      </c>
      <c r="R3651" s="77">
        <v>0</v>
      </c>
      <c r="S3651" s="77">
        <v>3</v>
      </c>
      <c r="T3651" s="77">
        <v>1</v>
      </c>
      <c r="U3651" s="77">
        <v>0</v>
      </c>
      <c r="V3651" s="77">
        <v>1117</v>
      </c>
      <c r="W3651" s="82" t="s">
        <v>6564</v>
      </c>
      <c r="X3651" s="80" t="str">
        <f>HYPERLINK("https://www.moneytimes.com.br/bolsas-asiaticas-acoes-da-china-fecham-em-baixa-pela-4a-sessao-com-dados-fracos-do-turismo-no-feriado/")</f>
        <v>https://www.moneytimes.com.br/bolsas-asiaticas-acoes-da-china-fecham-em-baixa-pela-4a-sessao-com-dados-fracos-do-turismo-no-feriado/</v>
      </c>
      <c r="Y3651" s="77" t="s">
        <v>7053</v>
      </c>
      <c r="Z3651" s="77"/>
      <c r="AA3651" s="77"/>
      <c r="AB3651" s="77"/>
      <c r="AC3651" s="82" t="s">
        <v>8255</v>
      </c>
      <c r="AD3651" s="77" t="s">
        <v>8278</v>
      </c>
      <c r="AE3651" s="80" t="str">
        <f>HYPERLINK("https://twitter.com/leiamoneytimes/status/1673291491618312192")</f>
        <v>https://twitter.com/leiamoneytimes/status/1673291491618312192</v>
      </c>
      <c r="AF3651" s="79">
        <v>45103.476319444446</v>
      </c>
      <c r="AG3651" s="85">
        <v>45103</v>
      </c>
      <c r="AH3651" s="82" t="s">
        <v>11630</v>
      </c>
      <c r="AI3651" s="77" t="b">
        <v>0</v>
      </c>
      <c r="AJ3651" s="77"/>
      <c r="AK3651" s="77"/>
      <c r="AL3651" s="77"/>
      <c r="AM3651" s="77"/>
      <c r="AN3651" s="77"/>
      <c r="AO3651" s="77"/>
      <c r="AP3651" s="77"/>
      <c r="AQ3651" s="77"/>
      <c r="AR3651" s="77"/>
      <c r="AS3651" s="77"/>
      <c r="AT3651" s="77"/>
      <c r="AU3651" s="77"/>
      <c r="AV3651" s="80" t="str">
        <f>HYPERLINK("https://pbs.twimg.com/profile_images/1559883556846977024/bXHnQFY0_normal.jpg")</f>
        <v>https://pbs.twimg.com/profile_images/1559883556846977024/bXHnQFY0_normal.jpg</v>
      </c>
      <c r="AW3651" s="82" t="s">
        <v>16735</v>
      </c>
      <c r="AX3651" s="82" t="s">
        <v>16735</v>
      </c>
      <c r="AY3651" s="77"/>
      <c r="AZ3651" s="82" t="s">
        <v>17385</v>
      </c>
      <c r="BA3651" s="82" t="s">
        <v>17385</v>
      </c>
      <c r="BB3651" s="82" t="s">
        <v>17385</v>
      </c>
      <c r="BC3651" s="82" t="s">
        <v>16735</v>
      </c>
      <c r="BD3651" s="77">
        <v>51150679</v>
      </c>
      <c r="BE3651" s="77"/>
      <c r="BF3651" s="77"/>
      <c r="BG3651" s="77"/>
      <c r="BH3651" s="77"/>
      <c r="BI3651" s="77"/>
    </row>
    <row r="3652" spans="1:61" x14ac:dyDescent="0.25">
      <c r="A3652" s="62" t="s">
        <v>605</v>
      </c>
      <c r="B3652" s="62" t="s">
        <v>605</v>
      </c>
      <c r="C3652" s="63"/>
      <c r="D3652" s="64"/>
      <c r="E3652" s="65"/>
      <c r="F3652" s="66"/>
      <c r="G3652" s="63"/>
      <c r="H3652" s="67"/>
      <c r="I3652" s="68"/>
      <c r="J3652" s="68"/>
      <c r="K3652" s="32"/>
      <c r="L3652" s="75">
        <v>3652</v>
      </c>
      <c r="M3652" s="75"/>
      <c r="N3652" s="70"/>
      <c r="O3652" s="77" t="s">
        <v>179</v>
      </c>
      <c r="P3652" s="79">
        <v>45102.785081018519</v>
      </c>
      <c r="Q3652" s="77" t="s">
        <v>4426</v>
      </c>
      <c r="R3652" s="77">
        <v>0</v>
      </c>
      <c r="S3652" s="77">
        <v>2</v>
      </c>
      <c r="T3652" s="77">
        <v>1</v>
      </c>
      <c r="U3652" s="77">
        <v>0</v>
      </c>
      <c r="V3652" s="77">
        <v>1923</v>
      </c>
      <c r="W3652" s="82" t="s">
        <v>6785</v>
      </c>
      <c r="X3652" s="80" t="str">
        <f>HYPERLINK("https://www.moneytimes.com.br/como-garantir-r-79-milhoes-em-dividendos-e-jcp-de-bbdc4-itub4-e-mais-4-empresas-nesta-semana/")</f>
        <v>https://www.moneytimes.com.br/como-garantir-r-79-milhoes-em-dividendos-e-jcp-de-bbdc4-itub4-e-mais-4-empresas-nesta-semana/</v>
      </c>
      <c r="Y3652" s="77" t="s">
        <v>7053</v>
      </c>
      <c r="Z3652" s="77"/>
      <c r="AA3652" s="77"/>
      <c r="AB3652" s="77"/>
      <c r="AC3652" s="82" t="s">
        <v>8255</v>
      </c>
      <c r="AD3652" s="77" t="s">
        <v>8278</v>
      </c>
      <c r="AE3652" s="80" t="str">
        <f>HYPERLINK("https://twitter.com/leiamoneytimes/status/1673040995410116608")</f>
        <v>https://twitter.com/leiamoneytimes/status/1673040995410116608</v>
      </c>
      <c r="AF3652" s="79">
        <v>45102.785081018519</v>
      </c>
      <c r="AG3652" s="85">
        <v>45102</v>
      </c>
      <c r="AH3652" s="82" t="s">
        <v>11631</v>
      </c>
      <c r="AI3652" s="77" t="b">
        <v>0</v>
      </c>
      <c r="AJ3652" s="77"/>
      <c r="AK3652" s="77"/>
      <c r="AL3652" s="77"/>
      <c r="AM3652" s="77"/>
      <c r="AN3652" s="77"/>
      <c r="AO3652" s="77"/>
      <c r="AP3652" s="77"/>
      <c r="AQ3652" s="77"/>
      <c r="AR3652" s="77"/>
      <c r="AS3652" s="77"/>
      <c r="AT3652" s="77"/>
      <c r="AU3652" s="77"/>
      <c r="AV3652" s="80" t="str">
        <f>HYPERLINK("https://pbs.twimg.com/profile_images/1559883556846977024/bXHnQFY0_normal.jpg")</f>
        <v>https://pbs.twimg.com/profile_images/1559883556846977024/bXHnQFY0_normal.jpg</v>
      </c>
      <c r="AW3652" s="82" t="s">
        <v>16736</v>
      </c>
      <c r="AX3652" s="82" t="s">
        <v>16736</v>
      </c>
      <c r="AY3652" s="77"/>
      <c r="AZ3652" s="82" t="s">
        <v>17385</v>
      </c>
      <c r="BA3652" s="82" t="s">
        <v>17385</v>
      </c>
      <c r="BB3652" s="82" t="s">
        <v>17385</v>
      </c>
      <c r="BC3652" s="82" t="s">
        <v>16736</v>
      </c>
      <c r="BD3652" s="77">
        <v>51150679</v>
      </c>
      <c r="BE3652" s="77"/>
      <c r="BF3652" s="77"/>
      <c r="BG3652" s="77"/>
      <c r="BH3652" s="77"/>
      <c r="BI3652" s="77"/>
    </row>
    <row r="3653" spans="1:61" x14ac:dyDescent="0.25">
      <c r="A3653" s="62" t="s">
        <v>605</v>
      </c>
      <c r="B3653" s="62" t="s">
        <v>605</v>
      </c>
      <c r="C3653" s="63"/>
      <c r="D3653" s="64"/>
      <c r="E3653" s="65"/>
      <c r="F3653" s="66"/>
      <c r="G3653" s="63"/>
      <c r="H3653" s="67"/>
      <c r="I3653" s="68"/>
      <c r="J3653" s="68"/>
      <c r="K3653" s="32"/>
      <c r="L3653" s="75">
        <v>3653</v>
      </c>
      <c r="M3653" s="75"/>
      <c r="N3653" s="70"/>
      <c r="O3653" s="77" t="s">
        <v>179</v>
      </c>
      <c r="P3653" s="79">
        <v>45101.625520833331</v>
      </c>
      <c r="Q3653" s="77" t="s">
        <v>4427</v>
      </c>
      <c r="R3653" s="77">
        <v>0</v>
      </c>
      <c r="S3653" s="77">
        <v>15</v>
      </c>
      <c r="T3653" s="77">
        <v>1</v>
      </c>
      <c r="U3653" s="77">
        <v>0</v>
      </c>
      <c r="V3653" s="77">
        <v>2201</v>
      </c>
      <c r="W3653" s="82" t="s">
        <v>6580</v>
      </c>
      <c r="X3653" s="80" t="str">
        <f>HYPERLINK("https://www.moneytimes.com.br/dividendos-banco-do-brasil-bbas3-usiminas-usim5-e-mais-12-pagam-r-8-bilhoes-na-proxima-semana-veja-quem-tem-direito/")</f>
        <v>https://www.moneytimes.com.br/dividendos-banco-do-brasil-bbas3-usiminas-usim5-e-mais-12-pagam-r-8-bilhoes-na-proxima-semana-veja-quem-tem-direito/</v>
      </c>
      <c r="Y3653" s="77" t="s">
        <v>7053</v>
      </c>
      <c r="Z3653" s="77"/>
      <c r="AA3653" s="77"/>
      <c r="AB3653" s="77"/>
      <c r="AC3653" s="82" t="s">
        <v>8255</v>
      </c>
      <c r="AD3653" s="77" t="s">
        <v>8278</v>
      </c>
      <c r="AE3653" s="80" t="str">
        <f>HYPERLINK("https://twitter.com/leiamoneytimes/status/1672620784731189251")</f>
        <v>https://twitter.com/leiamoneytimes/status/1672620784731189251</v>
      </c>
      <c r="AF3653" s="79">
        <v>45101.625520833331</v>
      </c>
      <c r="AG3653" s="85">
        <v>45101</v>
      </c>
      <c r="AH3653" s="82" t="s">
        <v>11632</v>
      </c>
      <c r="AI3653" s="77" t="b">
        <v>0</v>
      </c>
      <c r="AJ3653" s="77"/>
      <c r="AK3653" s="77"/>
      <c r="AL3653" s="77"/>
      <c r="AM3653" s="77"/>
      <c r="AN3653" s="77"/>
      <c r="AO3653" s="77"/>
      <c r="AP3653" s="77"/>
      <c r="AQ3653" s="77"/>
      <c r="AR3653" s="77"/>
      <c r="AS3653" s="77"/>
      <c r="AT3653" s="77"/>
      <c r="AU3653" s="77"/>
      <c r="AV3653" s="80" t="str">
        <f>HYPERLINK("https://pbs.twimg.com/profile_images/1559883556846977024/bXHnQFY0_normal.jpg")</f>
        <v>https://pbs.twimg.com/profile_images/1559883556846977024/bXHnQFY0_normal.jpg</v>
      </c>
      <c r="AW3653" s="82" t="s">
        <v>16737</v>
      </c>
      <c r="AX3653" s="82" t="s">
        <v>16737</v>
      </c>
      <c r="AY3653" s="77"/>
      <c r="AZ3653" s="82" t="s">
        <v>17385</v>
      </c>
      <c r="BA3653" s="82" t="s">
        <v>17385</v>
      </c>
      <c r="BB3653" s="82" t="s">
        <v>17385</v>
      </c>
      <c r="BC3653" s="82" t="s">
        <v>16737</v>
      </c>
      <c r="BD3653" s="77">
        <v>51150679</v>
      </c>
      <c r="BE3653" s="77"/>
      <c r="BF3653" s="77"/>
      <c r="BG3653" s="77"/>
      <c r="BH3653" s="77"/>
      <c r="BI3653" s="77"/>
    </row>
    <row r="3654" spans="1:61" x14ac:dyDescent="0.25">
      <c r="A3654" s="62" t="s">
        <v>605</v>
      </c>
      <c r="B3654" s="62" t="s">
        <v>605</v>
      </c>
      <c r="C3654" s="63"/>
      <c r="D3654" s="64"/>
      <c r="E3654" s="65"/>
      <c r="F3654" s="66"/>
      <c r="G3654" s="63"/>
      <c r="H3654" s="67"/>
      <c r="I3654" s="68"/>
      <c r="J3654" s="68"/>
      <c r="K3654" s="32"/>
      <c r="L3654" s="75">
        <v>3654</v>
      </c>
      <c r="M3654" s="75"/>
      <c r="N3654" s="70"/>
      <c r="O3654" s="77" t="s">
        <v>179</v>
      </c>
      <c r="P3654" s="79">
        <v>45100.853888888887</v>
      </c>
      <c r="Q3654" s="77" t="s">
        <v>4428</v>
      </c>
      <c r="R3654" s="77">
        <v>0</v>
      </c>
      <c r="S3654" s="77">
        <v>4</v>
      </c>
      <c r="T3654" s="77">
        <v>1</v>
      </c>
      <c r="U3654" s="77">
        <v>0</v>
      </c>
      <c r="V3654" s="77">
        <v>1335</v>
      </c>
      <c r="W3654" s="82" t="s">
        <v>6551</v>
      </c>
      <c r="X3654" s="80" t="str">
        <f>HYPERLINK("https://www.moneytimes.com.br/ibovespa-hoje-fecha-alta-petrobras-petr4-selic-copom-23-06-2023/")</f>
        <v>https://www.moneytimes.com.br/ibovespa-hoje-fecha-alta-petrobras-petr4-selic-copom-23-06-2023/</v>
      </c>
      <c r="Y3654" s="77" t="s">
        <v>7053</v>
      </c>
      <c r="Z3654" s="77"/>
      <c r="AA3654" s="77"/>
      <c r="AB3654" s="77"/>
      <c r="AC3654" s="82" t="s">
        <v>8255</v>
      </c>
      <c r="AD3654" s="77" t="s">
        <v>8278</v>
      </c>
      <c r="AE3654" s="80" t="str">
        <f>HYPERLINK("https://twitter.com/leiamoneytimes/status/1672341155114098691")</f>
        <v>https://twitter.com/leiamoneytimes/status/1672341155114098691</v>
      </c>
      <c r="AF3654" s="79">
        <v>45100.853888888887</v>
      </c>
      <c r="AG3654" s="85">
        <v>45100</v>
      </c>
      <c r="AH3654" s="82" t="s">
        <v>11633</v>
      </c>
      <c r="AI3654" s="77" t="b">
        <v>0</v>
      </c>
      <c r="AJ3654" s="77"/>
      <c r="AK3654" s="77"/>
      <c r="AL3654" s="77"/>
      <c r="AM3654" s="77"/>
      <c r="AN3654" s="77"/>
      <c r="AO3654" s="77"/>
      <c r="AP3654" s="77"/>
      <c r="AQ3654" s="77"/>
      <c r="AR3654" s="77"/>
      <c r="AS3654" s="77"/>
      <c r="AT3654" s="77"/>
      <c r="AU3654" s="77"/>
      <c r="AV3654" s="80" t="str">
        <f>HYPERLINK("https://pbs.twimg.com/profile_images/1559883556846977024/bXHnQFY0_normal.jpg")</f>
        <v>https://pbs.twimg.com/profile_images/1559883556846977024/bXHnQFY0_normal.jpg</v>
      </c>
      <c r="AW3654" s="82" t="s">
        <v>16738</v>
      </c>
      <c r="AX3654" s="82" t="s">
        <v>16738</v>
      </c>
      <c r="AY3654" s="77"/>
      <c r="AZ3654" s="82" t="s">
        <v>17385</v>
      </c>
      <c r="BA3654" s="82" t="s">
        <v>17385</v>
      </c>
      <c r="BB3654" s="82" t="s">
        <v>17385</v>
      </c>
      <c r="BC3654" s="82" t="s">
        <v>16738</v>
      </c>
      <c r="BD3654" s="77">
        <v>51150679</v>
      </c>
      <c r="BE3654" s="77"/>
      <c r="BF3654" s="77"/>
      <c r="BG3654" s="77"/>
      <c r="BH3654" s="77"/>
      <c r="BI3654" s="77"/>
    </row>
    <row r="3655" spans="1:61" x14ac:dyDescent="0.25">
      <c r="A3655" s="62" t="s">
        <v>605</v>
      </c>
      <c r="B3655" s="62" t="s">
        <v>605</v>
      </c>
      <c r="C3655" s="63"/>
      <c r="D3655" s="64"/>
      <c r="E3655" s="65"/>
      <c r="F3655" s="66"/>
      <c r="G3655" s="63"/>
      <c r="H3655" s="67"/>
      <c r="I3655" s="68"/>
      <c r="J3655" s="68"/>
      <c r="K3655" s="32"/>
      <c r="L3655" s="75">
        <v>3655</v>
      </c>
      <c r="M3655" s="75"/>
      <c r="N3655" s="70"/>
      <c r="O3655" s="77" t="s">
        <v>179</v>
      </c>
      <c r="P3655" s="79">
        <v>45100.732488425929</v>
      </c>
      <c r="Q3655" s="77" t="s">
        <v>4429</v>
      </c>
      <c r="R3655" s="77">
        <v>0</v>
      </c>
      <c r="S3655" s="77">
        <v>1</v>
      </c>
      <c r="T3655" s="77">
        <v>1</v>
      </c>
      <c r="U3655" s="77">
        <v>0</v>
      </c>
      <c r="V3655" s="77">
        <v>1111</v>
      </c>
      <c r="W3655" s="82" t="s">
        <v>6634</v>
      </c>
      <c r="X3655" s="80" t="str">
        <f>HYPERLINK("https://www.moneytimes.com.br/bolsas-europeias-acoes-registram-pior-semana-em-3-meses-e-siemens-energy-cai/")</f>
        <v>https://www.moneytimes.com.br/bolsas-europeias-acoes-registram-pior-semana-em-3-meses-e-siemens-energy-cai/</v>
      </c>
      <c r="Y3655" s="77" t="s">
        <v>7053</v>
      </c>
      <c r="Z3655" s="77"/>
      <c r="AA3655" s="77"/>
      <c r="AB3655" s="77"/>
      <c r="AC3655" s="82" t="s">
        <v>8255</v>
      </c>
      <c r="AD3655" s="77" t="s">
        <v>8278</v>
      </c>
      <c r="AE3655" s="80" t="str">
        <f>HYPERLINK("https://twitter.com/leiamoneytimes/status/1672297162388979712")</f>
        <v>https://twitter.com/leiamoneytimes/status/1672297162388979712</v>
      </c>
      <c r="AF3655" s="79">
        <v>45100.732488425929</v>
      </c>
      <c r="AG3655" s="85">
        <v>45100</v>
      </c>
      <c r="AH3655" s="82" t="s">
        <v>11634</v>
      </c>
      <c r="AI3655" s="77" t="b">
        <v>0</v>
      </c>
      <c r="AJ3655" s="77"/>
      <c r="AK3655" s="77"/>
      <c r="AL3655" s="77"/>
      <c r="AM3655" s="77"/>
      <c r="AN3655" s="77"/>
      <c r="AO3655" s="77"/>
      <c r="AP3655" s="77"/>
      <c r="AQ3655" s="77"/>
      <c r="AR3655" s="77"/>
      <c r="AS3655" s="77"/>
      <c r="AT3655" s="77"/>
      <c r="AU3655" s="77"/>
      <c r="AV3655" s="80" t="str">
        <f>HYPERLINK("https://pbs.twimg.com/profile_images/1559883556846977024/bXHnQFY0_normal.jpg")</f>
        <v>https://pbs.twimg.com/profile_images/1559883556846977024/bXHnQFY0_normal.jpg</v>
      </c>
      <c r="AW3655" s="82" t="s">
        <v>16739</v>
      </c>
      <c r="AX3655" s="82" t="s">
        <v>16739</v>
      </c>
      <c r="AY3655" s="77"/>
      <c r="AZ3655" s="82" t="s">
        <v>17385</v>
      </c>
      <c r="BA3655" s="82" t="s">
        <v>17385</v>
      </c>
      <c r="BB3655" s="82" t="s">
        <v>17385</v>
      </c>
      <c r="BC3655" s="82" t="s">
        <v>16739</v>
      </c>
      <c r="BD3655" s="77">
        <v>51150679</v>
      </c>
      <c r="BE3655" s="77"/>
      <c r="BF3655" s="77"/>
      <c r="BG3655" s="77"/>
      <c r="BH3655" s="77"/>
      <c r="BI3655" s="77"/>
    </row>
    <row r="3656" spans="1:61" x14ac:dyDescent="0.25">
      <c r="A3656" s="62" t="s">
        <v>605</v>
      </c>
      <c r="B3656" s="62" t="s">
        <v>605</v>
      </c>
      <c r="C3656" s="63"/>
      <c r="D3656" s="64"/>
      <c r="E3656" s="65"/>
      <c r="F3656" s="66"/>
      <c r="G3656" s="63"/>
      <c r="H3656" s="67"/>
      <c r="I3656" s="68"/>
      <c r="J3656" s="68"/>
      <c r="K3656" s="32"/>
      <c r="L3656" s="75">
        <v>3656</v>
      </c>
      <c r="M3656" s="75"/>
      <c r="N3656" s="70"/>
      <c r="O3656" s="77" t="s">
        <v>179</v>
      </c>
      <c r="P3656" s="79">
        <v>45100.681064814817</v>
      </c>
      <c r="Q3656" s="77" t="s">
        <v>4430</v>
      </c>
      <c r="R3656" s="77">
        <v>1</v>
      </c>
      <c r="S3656" s="77">
        <v>11</v>
      </c>
      <c r="T3656" s="77">
        <v>1</v>
      </c>
      <c r="U3656" s="77">
        <v>2</v>
      </c>
      <c r="V3656" s="77">
        <v>1820</v>
      </c>
      <c r="W3656" s="82" t="s">
        <v>6570</v>
      </c>
      <c r="X3656" s="80" t="str">
        <f>HYPERLINK("https://www.moneytimes.com.br/bye-bye-brasil-gringos-sacam-milhoes-em-recursos-da-b3-pelo-3o-dia-consecutivo/")</f>
        <v>https://www.moneytimes.com.br/bye-bye-brasil-gringos-sacam-milhoes-em-recursos-da-b3-pelo-3o-dia-consecutivo/</v>
      </c>
      <c r="Y3656" s="77" t="s">
        <v>7053</v>
      </c>
      <c r="Z3656" s="77"/>
      <c r="AA3656" s="77"/>
      <c r="AB3656" s="77"/>
      <c r="AC3656" s="82" t="s">
        <v>8255</v>
      </c>
      <c r="AD3656" s="77" t="s">
        <v>8278</v>
      </c>
      <c r="AE3656" s="80" t="str">
        <f>HYPERLINK("https://twitter.com/leiamoneytimes/status/1672278523745120265")</f>
        <v>https://twitter.com/leiamoneytimes/status/1672278523745120265</v>
      </c>
      <c r="AF3656" s="79">
        <v>45100.681064814817</v>
      </c>
      <c r="AG3656" s="85">
        <v>45100</v>
      </c>
      <c r="AH3656" s="82" t="s">
        <v>11635</v>
      </c>
      <c r="AI3656" s="77" t="b">
        <v>0</v>
      </c>
      <c r="AJ3656" s="77"/>
      <c r="AK3656" s="77"/>
      <c r="AL3656" s="77"/>
      <c r="AM3656" s="77"/>
      <c r="AN3656" s="77"/>
      <c r="AO3656" s="77"/>
      <c r="AP3656" s="77"/>
      <c r="AQ3656" s="77"/>
      <c r="AR3656" s="77"/>
      <c r="AS3656" s="77"/>
      <c r="AT3656" s="77"/>
      <c r="AU3656" s="77"/>
      <c r="AV3656" s="80" t="str">
        <f>HYPERLINK("https://pbs.twimg.com/profile_images/1559883556846977024/bXHnQFY0_normal.jpg")</f>
        <v>https://pbs.twimg.com/profile_images/1559883556846977024/bXHnQFY0_normal.jpg</v>
      </c>
      <c r="AW3656" s="82" t="s">
        <v>16740</v>
      </c>
      <c r="AX3656" s="82" t="s">
        <v>16740</v>
      </c>
      <c r="AY3656" s="77"/>
      <c r="AZ3656" s="82" t="s">
        <v>17385</v>
      </c>
      <c r="BA3656" s="82" t="s">
        <v>17385</v>
      </c>
      <c r="BB3656" s="82" t="s">
        <v>17385</v>
      </c>
      <c r="BC3656" s="82" t="s">
        <v>16740</v>
      </c>
      <c r="BD3656" s="77">
        <v>51150679</v>
      </c>
      <c r="BE3656" s="77"/>
      <c r="BF3656" s="77"/>
      <c r="BG3656" s="77"/>
      <c r="BH3656" s="77"/>
      <c r="BI3656" s="77"/>
    </row>
    <row r="3657" spans="1:61" x14ac:dyDescent="0.25">
      <c r="A3657" s="62" t="s">
        <v>605</v>
      </c>
      <c r="B3657" s="62" t="s">
        <v>605</v>
      </c>
      <c r="C3657" s="63"/>
      <c r="D3657" s="64"/>
      <c r="E3657" s="65"/>
      <c r="F3657" s="66"/>
      <c r="G3657" s="63"/>
      <c r="H3657" s="67"/>
      <c r="I3657" s="68"/>
      <c r="J3657" s="68"/>
      <c r="K3657" s="32"/>
      <c r="L3657" s="75">
        <v>3657</v>
      </c>
      <c r="M3657" s="75"/>
      <c r="N3657" s="70"/>
      <c r="O3657" s="77" t="s">
        <v>179</v>
      </c>
      <c r="P3657" s="79">
        <v>45082.550810185188</v>
      </c>
      <c r="Q3657" s="77" t="s">
        <v>4431</v>
      </c>
      <c r="R3657" s="77">
        <v>0</v>
      </c>
      <c r="S3657" s="77">
        <v>6</v>
      </c>
      <c r="T3657" s="77">
        <v>0</v>
      </c>
      <c r="U3657" s="77">
        <v>0</v>
      </c>
      <c r="V3657" s="77">
        <v>1356</v>
      </c>
      <c r="W3657" s="82" t="s">
        <v>6702</v>
      </c>
      <c r="X3657" s="80" t="str">
        <f>HYPERLINK("https://www.moneytimes.com.br/ibovespa-ibov-busca-folego-nesta-segunda-5-com-dados-de-inflacao-e-petroleo/")</f>
        <v>https://www.moneytimes.com.br/ibovespa-ibov-busca-folego-nesta-segunda-5-com-dados-de-inflacao-e-petroleo/</v>
      </c>
      <c r="Y3657" s="77" t="s">
        <v>7053</v>
      </c>
      <c r="Z3657" s="77"/>
      <c r="AA3657" s="77"/>
      <c r="AB3657" s="77"/>
      <c r="AC3657" s="82" t="s">
        <v>8255</v>
      </c>
      <c r="AD3657" s="77" t="s">
        <v>8278</v>
      </c>
      <c r="AE3657" s="80" t="str">
        <f>HYPERLINK("https://twitter.com/leiamoneytimes/status/1665708341979406336")</f>
        <v>https://twitter.com/leiamoneytimes/status/1665708341979406336</v>
      </c>
      <c r="AF3657" s="79">
        <v>45082.550810185188</v>
      </c>
      <c r="AG3657" s="85">
        <v>45082</v>
      </c>
      <c r="AH3657" s="82" t="s">
        <v>11636</v>
      </c>
      <c r="AI3657" s="77" t="b">
        <v>0</v>
      </c>
      <c r="AJ3657" s="77"/>
      <c r="AK3657" s="77"/>
      <c r="AL3657" s="77"/>
      <c r="AM3657" s="77"/>
      <c r="AN3657" s="77"/>
      <c r="AO3657" s="77"/>
      <c r="AP3657" s="77"/>
      <c r="AQ3657" s="77"/>
      <c r="AR3657" s="77"/>
      <c r="AS3657" s="77"/>
      <c r="AT3657" s="77"/>
      <c r="AU3657" s="77"/>
      <c r="AV3657" s="80" t="str">
        <f>HYPERLINK("https://pbs.twimg.com/profile_images/1559883556846977024/bXHnQFY0_normal.jpg")</f>
        <v>https://pbs.twimg.com/profile_images/1559883556846977024/bXHnQFY0_normal.jpg</v>
      </c>
      <c r="AW3657" s="82" t="s">
        <v>16741</v>
      </c>
      <c r="AX3657" s="82" t="s">
        <v>16741</v>
      </c>
      <c r="AY3657" s="77"/>
      <c r="AZ3657" s="82" t="s">
        <v>17385</v>
      </c>
      <c r="BA3657" s="82" t="s">
        <v>17385</v>
      </c>
      <c r="BB3657" s="82" t="s">
        <v>17385</v>
      </c>
      <c r="BC3657" s="82" t="s">
        <v>16741</v>
      </c>
      <c r="BD3657" s="77">
        <v>51150679</v>
      </c>
      <c r="BE3657" s="77"/>
      <c r="BF3657" s="77"/>
      <c r="BG3657" s="77"/>
      <c r="BH3657" s="77"/>
      <c r="BI3657" s="77"/>
    </row>
    <row r="3658" spans="1:61" x14ac:dyDescent="0.25">
      <c r="A3658" s="62" t="s">
        <v>605</v>
      </c>
      <c r="B3658" s="62" t="s">
        <v>605</v>
      </c>
      <c r="C3658" s="63"/>
      <c r="D3658" s="64"/>
      <c r="E3658" s="65"/>
      <c r="F3658" s="66"/>
      <c r="G3658" s="63"/>
      <c r="H3658" s="67"/>
      <c r="I3658" s="68"/>
      <c r="J3658" s="68"/>
      <c r="K3658" s="32"/>
      <c r="L3658" s="75">
        <v>3658</v>
      </c>
      <c r="M3658" s="75"/>
      <c r="N3658" s="70"/>
      <c r="O3658" s="77" t="s">
        <v>179</v>
      </c>
      <c r="P3658" s="79">
        <v>45082.461805555555</v>
      </c>
      <c r="Q3658" s="77" t="s">
        <v>4432</v>
      </c>
      <c r="R3658" s="77">
        <v>0</v>
      </c>
      <c r="S3658" s="77">
        <v>2</v>
      </c>
      <c r="T3658" s="77">
        <v>0</v>
      </c>
      <c r="U3658" s="77">
        <v>0</v>
      </c>
      <c r="V3658" s="77">
        <v>1333</v>
      </c>
      <c r="W3658" s="82" t="s">
        <v>6786</v>
      </c>
      <c r="X3658" s="80" t="str">
        <f>HYPERLINK("https://www.moneytimes.com.br/bolsas-asiaticas-indice-de-blue-chips-da-china-cai-e-acoes-de-hong-kong-apos-dados-de-servicos/")</f>
        <v>https://www.moneytimes.com.br/bolsas-asiaticas-indice-de-blue-chips-da-china-cai-e-acoes-de-hong-kong-apos-dados-de-servicos/</v>
      </c>
      <c r="Y3658" s="77" t="s">
        <v>7053</v>
      </c>
      <c r="Z3658" s="77"/>
      <c r="AA3658" s="77"/>
      <c r="AB3658" s="77"/>
      <c r="AC3658" s="82" t="s">
        <v>8255</v>
      </c>
      <c r="AD3658" s="77" t="s">
        <v>8278</v>
      </c>
      <c r="AE3658" s="80" t="str">
        <f>HYPERLINK("https://twitter.com/leiamoneytimes/status/1665676087769137152")</f>
        <v>https://twitter.com/leiamoneytimes/status/1665676087769137152</v>
      </c>
      <c r="AF3658" s="79">
        <v>45082.461805555555</v>
      </c>
      <c r="AG3658" s="85">
        <v>45082</v>
      </c>
      <c r="AH3658" s="82" t="s">
        <v>11637</v>
      </c>
      <c r="AI3658" s="77" t="b">
        <v>0</v>
      </c>
      <c r="AJ3658" s="77"/>
      <c r="AK3658" s="77"/>
      <c r="AL3658" s="77"/>
      <c r="AM3658" s="77"/>
      <c r="AN3658" s="77"/>
      <c r="AO3658" s="77"/>
      <c r="AP3658" s="77"/>
      <c r="AQ3658" s="77"/>
      <c r="AR3658" s="77"/>
      <c r="AS3658" s="77"/>
      <c r="AT3658" s="77"/>
      <c r="AU3658" s="77"/>
      <c r="AV3658" s="80" t="str">
        <f>HYPERLINK("https://pbs.twimg.com/profile_images/1559883556846977024/bXHnQFY0_normal.jpg")</f>
        <v>https://pbs.twimg.com/profile_images/1559883556846977024/bXHnQFY0_normal.jpg</v>
      </c>
      <c r="AW3658" s="82" t="s">
        <v>16742</v>
      </c>
      <c r="AX3658" s="82" t="s">
        <v>16742</v>
      </c>
      <c r="AY3658" s="77"/>
      <c r="AZ3658" s="82" t="s">
        <v>17385</v>
      </c>
      <c r="BA3658" s="82" t="s">
        <v>17385</v>
      </c>
      <c r="BB3658" s="82" t="s">
        <v>17385</v>
      </c>
      <c r="BC3658" s="82" t="s">
        <v>16742</v>
      </c>
      <c r="BD3658" s="77">
        <v>51150679</v>
      </c>
      <c r="BE3658" s="77"/>
      <c r="BF3658" s="77"/>
      <c r="BG3658" s="77"/>
      <c r="BH3658" s="77"/>
      <c r="BI3658" s="77"/>
    </row>
    <row r="3659" spans="1:61" x14ac:dyDescent="0.25">
      <c r="A3659" s="62" t="s">
        <v>605</v>
      </c>
      <c r="B3659" s="62" t="s">
        <v>605</v>
      </c>
      <c r="C3659" s="63"/>
      <c r="D3659" s="64"/>
      <c r="E3659" s="65"/>
      <c r="F3659" s="66"/>
      <c r="G3659" s="63"/>
      <c r="H3659" s="67"/>
      <c r="I3659" s="68"/>
      <c r="J3659" s="68"/>
      <c r="K3659" s="32"/>
      <c r="L3659" s="75">
        <v>3659</v>
      </c>
      <c r="M3659" s="75"/>
      <c r="N3659" s="70"/>
      <c r="O3659" s="77" t="s">
        <v>179</v>
      </c>
      <c r="P3659" s="79">
        <v>45082.440416666665</v>
      </c>
      <c r="Q3659" s="77" t="s">
        <v>4433</v>
      </c>
      <c r="R3659" s="77">
        <v>0</v>
      </c>
      <c r="S3659" s="77">
        <v>4</v>
      </c>
      <c r="T3659" s="77">
        <v>0</v>
      </c>
      <c r="U3659" s="77">
        <v>0</v>
      </c>
      <c r="V3659" s="77">
        <v>1852</v>
      </c>
      <c r="W3659" s="82" t="s">
        <v>6787</v>
      </c>
      <c r="X3659" s="80" t="str">
        <f>HYPERLINK("https://www.moneytimes.com.br/dividendos-para-receber-e-precos-da-shein-no-brasil-confira-os-destaques-desta-segunda-5/")</f>
        <v>https://www.moneytimes.com.br/dividendos-para-receber-e-precos-da-shein-no-brasil-confira-os-destaques-desta-segunda-5/</v>
      </c>
      <c r="Y3659" s="77" t="s">
        <v>7053</v>
      </c>
      <c r="Z3659" s="77"/>
      <c r="AA3659" s="77"/>
      <c r="AB3659" s="77"/>
      <c r="AC3659" s="82" t="s">
        <v>8255</v>
      </c>
      <c r="AD3659" s="77" t="s">
        <v>8278</v>
      </c>
      <c r="AE3659" s="80" t="str">
        <f>HYPERLINK("https://twitter.com/leiamoneytimes/status/1665668334472376321")</f>
        <v>https://twitter.com/leiamoneytimes/status/1665668334472376321</v>
      </c>
      <c r="AF3659" s="79">
        <v>45082.440416666665</v>
      </c>
      <c r="AG3659" s="85">
        <v>45082</v>
      </c>
      <c r="AH3659" s="82" t="s">
        <v>11638</v>
      </c>
      <c r="AI3659" s="77" t="b">
        <v>0</v>
      </c>
      <c r="AJ3659" s="77"/>
      <c r="AK3659" s="77"/>
      <c r="AL3659" s="77"/>
      <c r="AM3659" s="77"/>
      <c r="AN3659" s="77"/>
      <c r="AO3659" s="77"/>
      <c r="AP3659" s="77"/>
      <c r="AQ3659" s="77"/>
      <c r="AR3659" s="77"/>
      <c r="AS3659" s="77"/>
      <c r="AT3659" s="77"/>
      <c r="AU3659" s="77"/>
      <c r="AV3659" s="80" t="str">
        <f>HYPERLINK("https://pbs.twimg.com/profile_images/1559883556846977024/bXHnQFY0_normal.jpg")</f>
        <v>https://pbs.twimg.com/profile_images/1559883556846977024/bXHnQFY0_normal.jpg</v>
      </c>
      <c r="AW3659" s="82" t="s">
        <v>16743</v>
      </c>
      <c r="AX3659" s="82" t="s">
        <v>16743</v>
      </c>
      <c r="AY3659" s="77"/>
      <c r="AZ3659" s="82" t="s">
        <v>17385</v>
      </c>
      <c r="BA3659" s="82" t="s">
        <v>17385</v>
      </c>
      <c r="BB3659" s="82" t="s">
        <v>17385</v>
      </c>
      <c r="BC3659" s="82" t="s">
        <v>16743</v>
      </c>
      <c r="BD3659" s="77">
        <v>51150679</v>
      </c>
      <c r="BE3659" s="77"/>
      <c r="BF3659" s="77"/>
      <c r="BG3659" s="77"/>
      <c r="BH3659" s="77"/>
      <c r="BI3659" s="77"/>
    </row>
    <row r="3660" spans="1:61" x14ac:dyDescent="0.25">
      <c r="A3660" s="62" t="s">
        <v>605</v>
      </c>
      <c r="B3660" s="62" t="s">
        <v>605</v>
      </c>
      <c r="C3660" s="63"/>
      <c r="D3660" s="64"/>
      <c r="E3660" s="65"/>
      <c r="F3660" s="66"/>
      <c r="G3660" s="63"/>
      <c r="H3660" s="67"/>
      <c r="I3660" s="68"/>
      <c r="J3660" s="68"/>
      <c r="K3660" s="32"/>
      <c r="L3660" s="75">
        <v>3660</v>
      </c>
      <c r="M3660" s="75"/>
      <c r="N3660" s="70"/>
      <c r="O3660" s="77" t="s">
        <v>179</v>
      </c>
      <c r="P3660" s="79">
        <v>45081.834131944444</v>
      </c>
      <c r="Q3660" s="77" t="s">
        <v>4434</v>
      </c>
      <c r="R3660" s="77">
        <v>1</v>
      </c>
      <c r="S3660" s="77">
        <v>3</v>
      </c>
      <c r="T3660" s="77">
        <v>0</v>
      </c>
      <c r="U3660" s="77">
        <v>0</v>
      </c>
      <c r="V3660" s="77">
        <v>2097</v>
      </c>
      <c r="W3660" s="82" t="s">
        <v>5566</v>
      </c>
      <c r="X3660" s="80" t="str">
        <f>HYPERLINK("https://www.moneytimes.com.br/dividendos-3-empresas-pagam-meio-bilhao-esta-semana-emae4-tem-data-com/")</f>
        <v>https://www.moneytimes.com.br/dividendos-3-empresas-pagam-meio-bilhao-esta-semana-emae4-tem-data-com/</v>
      </c>
      <c r="Y3660" s="77" t="s">
        <v>7053</v>
      </c>
      <c r="Z3660" s="77"/>
      <c r="AA3660" s="77"/>
      <c r="AB3660" s="77"/>
      <c r="AC3660" s="82" t="s">
        <v>8255</v>
      </c>
      <c r="AD3660" s="77" t="s">
        <v>8278</v>
      </c>
      <c r="AE3660" s="80" t="str">
        <f>HYPERLINK("https://twitter.com/leiamoneytimes/status/1665448624765935616")</f>
        <v>https://twitter.com/leiamoneytimes/status/1665448624765935616</v>
      </c>
      <c r="AF3660" s="79">
        <v>45081.834131944444</v>
      </c>
      <c r="AG3660" s="85">
        <v>45081</v>
      </c>
      <c r="AH3660" s="82" t="s">
        <v>11337</v>
      </c>
      <c r="AI3660" s="77" t="b">
        <v>0</v>
      </c>
      <c r="AJ3660" s="77"/>
      <c r="AK3660" s="77"/>
      <c r="AL3660" s="77"/>
      <c r="AM3660" s="77"/>
      <c r="AN3660" s="77"/>
      <c r="AO3660" s="77"/>
      <c r="AP3660" s="77"/>
      <c r="AQ3660" s="77"/>
      <c r="AR3660" s="77"/>
      <c r="AS3660" s="77"/>
      <c r="AT3660" s="77"/>
      <c r="AU3660" s="77"/>
      <c r="AV3660" s="80" t="str">
        <f>HYPERLINK("https://pbs.twimg.com/profile_images/1559883556846977024/bXHnQFY0_normal.jpg")</f>
        <v>https://pbs.twimg.com/profile_images/1559883556846977024/bXHnQFY0_normal.jpg</v>
      </c>
      <c r="AW3660" s="82" t="s">
        <v>16744</v>
      </c>
      <c r="AX3660" s="82" t="s">
        <v>16744</v>
      </c>
      <c r="AY3660" s="77"/>
      <c r="AZ3660" s="82" t="s">
        <v>17385</v>
      </c>
      <c r="BA3660" s="82" t="s">
        <v>17385</v>
      </c>
      <c r="BB3660" s="82" t="s">
        <v>17385</v>
      </c>
      <c r="BC3660" s="82" t="s">
        <v>16744</v>
      </c>
      <c r="BD3660" s="77">
        <v>51150679</v>
      </c>
      <c r="BE3660" s="77"/>
      <c r="BF3660" s="77"/>
      <c r="BG3660" s="77"/>
      <c r="BH3660" s="77"/>
      <c r="BI3660" s="77"/>
    </row>
    <row r="3661" spans="1:61" x14ac:dyDescent="0.25">
      <c r="A3661" s="62" t="s">
        <v>605</v>
      </c>
      <c r="B3661" s="62" t="s">
        <v>605</v>
      </c>
      <c r="C3661" s="63"/>
      <c r="D3661" s="64"/>
      <c r="E3661" s="65"/>
      <c r="F3661" s="66"/>
      <c r="G3661" s="63"/>
      <c r="H3661" s="67"/>
      <c r="I3661" s="68"/>
      <c r="J3661" s="68"/>
      <c r="K3661" s="32"/>
      <c r="L3661" s="75">
        <v>3661</v>
      </c>
      <c r="M3661" s="75"/>
      <c r="N3661" s="70"/>
      <c r="O3661" s="77" t="s">
        <v>179</v>
      </c>
      <c r="P3661" s="79">
        <v>45081.792187500003</v>
      </c>
      <c r="Q3661" s="77" t="s">
        <v>4435</v>
      </c>
      <c r="R3661" s="77">
        <v>1</v>
      </c>
      <c r="S3661" s="77">
        <v>12</v>
      </c>
      <c r="T3661" s="77">
        <v>0</v>
      </c>
      <c r="U3661" s="77">
        <v>0</v>
      </c>
      <c r="V3661" s="77">
        <v>2820</v>
      </c>
      <c r="W3661" s="82" t="s">
        <v>6788</v>
      </c>
      <c r="X3661" s="80" t="str">
        <f>HYPERLINK("https://www.moneytimes.com.br/ibovespa-ibov-tem-espaco-para-andar-em-junho-e-aguarda-empurraozinho-do-copom-mas-ajuda-pode-vir-antes/")</f>
        <v>https://www.moneytimes.com.br/ibovespa-ibov-tem-espaco-para-andar-em-junho-e-aguarda-empurraozinho-do-copom-mas-ajuda-pode-vir-antes/</v>
      </c>
      <c r="Y3661" s="77" t="s">
        <v>7053</v>
      </c>
      <c r="Z3661" s="77"/>
      <c r="AA3661" s="77"/>
      <c r="AB3661" s="77"/>
      <c r="AC3661" s="82" t="s">
        <v>8255</v>
      </c>
      <c r="AD3661" s="77" t="s">
        <v>8278</v>
      </c>
      <c r="AE3661" s="80" t="str">
        <f>HYPERLINK("https://twitter.com/leiamoneytimes/status/1665433424734167040")</f>
        <v>https://twitter.com/leiamoneytimes/status/1665433424734167040</v>
      </c>
      <c r="AF3661" s="79">
        <v>45081.792187500003</v>
      </c>
      <c r="AG3661" s="85">
        <v>45081</v>
      </c>
      <c r="AH3661" s="82" t="s">
        <v>9538</v>
      </c>
      <c r="AI3661" s="77" t="b">
        <v>0</v>
      </c>
      <c r="AJ3661" s="77"/>
      <c r="AK3661" s="77"/>
      <c r="AL3661" s="77"/>
      <c r="AM3661" s="77"/>
      <c r="AN3661" s="77"/>
      <c r="AO3661" s="77"/>
      <c r="AP3661" s="77"/>
      <c r="AQ3661" s="77"/>
      <c r="AR3661" s="77"/>
      <c r="AS3661" s="77"/>
      <c r="AT3661" s="77"/>
      <c r="AU3661" s="77"/>
      <c r="AV3661" s="80" t="str">
        <f>HYPERLINK("https://pbs.twimg.com/profile_images/1559883556846977024/bXHnQFY0_normal.jpg")</f>
        <v>https://pbs.twimg.com/profile_images/1559883556846977024/bXHnQFY0_normal.jpg</v>
      </c>
      <c r="AW3661" s="82" t="s">
        <v>16745</v>
      </c>
      <c r="AX3661" s="82" t="s">
        <v>16745</v>
      </c>
      <c r="AY3661" s="77"/>
      <c r="AZ3661" s="82" t="s">
        <v>17385</v>
      </c>
      <c r="BA3661" s="82" t="s">
        <v>17385</v>
      </c>
      <c r="BB3661" s="82" t="s">
        <v>17385</v>
      </c>
      <c r="BC3661" s="82" t="s">
        <v>16745</v>
      </c>
      <c r="BD3661" s="77">
        <v>51150679</v>
      </c>
      <c r="BE3661" s="77"/>
      <c r="BF3661" s="77"/>
      <c r="BG3661" s="77"/>
      <c r="BH3661" s="77"/>
      <c r="BI3661" s="77"/>
    </row>
    <row r="3662" spans="1:61" x14ac:dyDescent="0.25">
      <c r="A3662" s="62" t="s">
        <v>605</v>
      </c>
      <c r="B3662" s="62" t="s">
        <v>605</v>
      </c>
      <c r="C3662" s="63"/>
      <c r="D3662" s="64"/>
      <c r="E3662" s="65"/>
      <c r="F3662" s="66"/>
      <c r="G3662" s="63"/>
      <c r="H3662" s="67"/>
      <c r="I3662" s="68"/>
      <c r="J3662" s="68"/>
      <c r="K3662" s="32"/>
      <c r="L3662" s="75">
        <v>3662</v>
      </c>
      <c r="M3662" s="75"/>
      <c r="N3662" s="70"/>
      <c r="O3662" s="77" t="s">
        <v>179</v>
      </c>
      <c r="P3662" s="79">
        <v>45064.740312499998</v>
      </c>
      <c r="Q3662" s="77" t="s">
        <v>4436</v>
      </c>
      <c r="R3662" s="77">
        <v>0</v>
      </c>
      <c r="S3662" s="77">
        <v>2</v>
      </c>
      <c r="T3662" s="77">
        <v>0</v>
      </c>
      <c r="U3662" s="77">
        <v>0</v>
      </c>
      <c r="V3662" s="77">
        <v>1292</v>
      </c>
      <c r="W3662" s="82" t="s">
        <v>6789</v>
      </c>
      <c r="X3662" s="80" t="str">
        <f>HYPERLINK("https://www.moneytimes.com.br/como-americanas-amer3-e-light-ligt3-colocam-em-cheque-a-industria-de-fundos/")</f>
        <v>https://www.moneytimes.com.br/como-americanas-amer3-e-light-ligt3-colocam-em-cheque-a-industria-de-fundos/</v>
      </c>
      <c r="Y3662" s="77" t="s">
        <v>7053</v>
      </c>
      <c r="Z3662" s="77"/>
      <c r="AA3662" s="77"/>
      <c r="AB3662" s="77"/>
      <c r="AC3662" s="82" t="s">
        <v>8255</v>
      </c>
      <c r="AD3662" s="77" t="s">
        <v>8278</v>
      </c>
      <c r="AE3662" s="80" t="str">
        <f>HYPERLINK("https://twitter.com/leiamoneytimes/status/1659254032374931469")</f>
        <v>https://twitter.com/leiamoneytimes/status/1659254032374931469</v>
      </c>
      <c r="AF3662" s="79">
        <v>45064.740312499998</v>
      </c>
      <c r="AG3662" s="85">
        <v>45064</v>
      </c>
      <c r="AH3662" s="82" t="s">
        <v>11639</v>
      </c>
      <c r="AI3662" s="77" t="b">
        <v>0</v>
      </c>
      <c r="AJ3662" s="77"/>
      <c r="AK3662" s="77"/>
      <c r="AL3662" s="77"/>
      <c r="AM3662" s="77"/>
      <c r="AN3662" s="77"/>
      <c r="AO3662" s="77"/>
      <c r="AP3662" s="77"/>
      <c r="AQ3662" s="77"/>
      <c r="AR3662" s="77"/>
      <c r="AS3662" s="77"/>
      <c r="AT3662" s="77"/>
      <c r="AU3662" s="77"/>
      <c r="AV3662" s="80" t="str">
        <f>HYPERLINK("https://pbs.twimg.com/profile_images/1559883556846977024/bXHnQFY0_normal.jpg")</f>
        <v>https://pbs.twimg.com/profile_images/1559883556846977024/bXHnQFY0_normal.jpg</v>
      </c>
      <c r="AW3662" s="82" t="s">
        <v>16746</v>
      </c>
      <c r="AX3662" s="82" t="s">
        <v>16746</v>
      </c>
      <c r="AY3662" s="77"/>
      <c r="AZ3662" s="82" t="s">
        <v>17385</v>
      </c>
      <c r="BA3662" s="82" t="s">
        <v>17385</v>
      </c>
      <c r="BB3662" s="82" t="s">
        <v>17385</v>
      </c>
      <c r="BC3662" s="82" t="s">
        <v>16746</v>
      </c>
      <c r="BD3662" s="77">
        <v>51150679</v>
      </c>
      <c r="BE3662" s="77"/>
      <c r="BF3662" s="77"/>
      <c r="BG3662" s="77"/>
      <c r="BH3662" s="77"/>
      <c r="BI3662" s="77"/>
    </row>
    <row r="3663" spans="1:61" x14ac:dyDescent="0.25">
      <c r="A3663" s="62" t="s">
        <v>605</v>
      </c>
      <c r="B3663" s="62" t="s">
        <v>605</v>
      </c>
      <c r="C3663" s="63"/>
      <c r="D3663" s="64"/>
      <c r="E3663" s="65"/>
      <c r="F3663" s="66"/>
      <c r="G3663" s="63"/>
      <c r="H3663" s="67"/>
      <c r="I3663" s="68"/>
      <c r="J3663" s="68"/>
      <c r="K3663" s="32"/>
      <c r="L3663" s="75">
        <v>3663</v>
      </c>
      <c r="M3663" s="75"/>
      <c r="N3663" s="70"/>
      <c r="O3663" s="77" t="s">
        <v>179</v>
      </c>
      <c r="P3663" s="79">
        <v>45064.732939814814</v>
      </c>
      <c r="Q3663" s="77" t="s">
        <v>4437</v>
      </c>
      <c r="R3663" s="77">
        <v>0</v>
      </c>
      <c r="S3663" s="77">
        <v>2</v>
      </c>
      <c r="T3663" s="77">
        <v>0</v>
      </c>
      <c r="U3663" s="77">
        <v>0</v>
      </c>
      <c r="V3663" s="77">
        <v>1174</v>
      </c>
      <c r="W3663" s="82" t="s">
        <v>6790</v>
      </c>
      <c r="X3663" s="80" t="str">
        <f>HYPERLINK("https://www.moneytimes.com.br/nasdaq-avanca-com-acoes-de-crescimento-e-otimismo-sobre-teto-da-divida/")</f>
        <v>https://www.moneytimes.com.br/nasdaq-avanca-com-acoes-de-crescimento-e-otimismo-sobre-teto-da-divida/</v>
      </c>
      <c r="Y3663" s="77" t="s">
        <v>7053</v>
      </c>
      <c r="Z3663" s="77"/>
      <c r="AA3663" s="77"/>
      <c r="AB3663" s="77"/>
      <c r="AC3663" s="82" t="s">
        <v>8255</v>
      </c>
      <c r="AD3663" s="77" t="s">
        <v>8278</v>
      </c>
      <c r="AE3663" s="80" t="str">
        <f>HYPERLINK("https://twitter.com/leiamoneytimes/status/1659251361202962442")</f>
        <v>https://twitter.com/leiamoneytimes/status/1659251361202962442</v>
      </c>
      <c r="AF3663" s="79">
        <v>45064.732939814814</v>
      </c>
      <c r="AG3663" s="85">
        <v>45064</v>
      </c>
      <c r="AH3663" s="82" t="s">
        <v>11640</v>
      </c>
      <c r="AI3663" s="77" t="b">
        <v>0</v>
      </c>
      <c r="AJ3663" s="77"/>
      <c r="AK3663" s="77"/>
      <c r="AL3663" s="77"/>
      <c r="AM3663" s="77"/>
      <c r="AN3663" s="77"/>
      <c r="AO3663" s="77"/>
      <c r="AP3663" s="77"/>
      <c r="AQ3663" s="77"/>
      <c r="AR3663" s="77"/>
      <c r="AS3663" s="77"/>
      <c r="AT3663" s="77"/>
      <c r="AU3663" s="77"/>
      <c r="AV3663" s="80" t="str">
        <f>HYPERLINK("https://pbs.twimg.com/profile_images/1559883556846977024/bXHnQFY0_normal.jpg")</f>
        <v>https://pbs.twimg.com/profile_images/1559883556846977024/bXHnQFY0_normal.jpg</v>
      </c>
      <c r="AW3663" s="82" t="s">
        <v>16747</v>
      </c>
      <c r="AX3663" s="82" t="s">
        <v>16747</v>
      </c>
      <c r="AY3663" s="77"/>
      <c r="AZ3663" s="82" t="s">
        <v>17385</v>
      </c>
      <c r="BA3663" s="82" t="s">
        <v>17385</v>
      </c>
      <c r="BB3663" s="82" t="s">
        <v>17385</v>
      </c>
      <c r="BC3663" s="82" t="s">
        <v>16747</v>
      </c>
      <c r="BD3663" s="77">
        <v>51150679</v>
      </c>
      <c r="BE3663" s="77"/>
      <c r="BF3663" s="77"/>
      <c r="BG3663" s="77"/>
      <c r="BH3663" s="77"/>
      <c r="BI3663" s="77"/>
    </row>
    <row r="3664" spans="1:61" x14ac:dyDescent="0.25">
      <c r="A3664" s="62" t="s">
        <v>605</v>
      </c>
      <c r="B3664" s="62" t="s">
        <v>605</v>
      </c>
      <c r="C3664" s="63"/>
      <c r="D3664" s="64"/>
      <c r="E3664" s="65"/>
      <c r="F3664" s="66"/>
      <c r="G3664" s="63"/>
      <c r="H3664" s="67"/>
      <c r="I3664" s="68"/>
      <c r="J3664" s="68"/>
      <c r="K3664" s="32"/>
      <c r="L3664" s="75">
        <v>3664</v>
      </c>
      <c r="M3664" s="75"/>
      <c r="N3664" s="70"/>
      <c r="O3664" s="77" t="s">
        <v>179</v>
      </c>
      <c r="P3664" s="79">
        <v>45064.67664351852</v>
      </c>
      <c r="Q3664" s="77" t="s">
        <v>4438</v>
      </c>
      <c r="R3664" s="77">
        <v>0</v>
      </c>
      <c r="S3664" s="77">
        <v>1</v>
      </c>
      <c r="T3664" s="77">
        <v>1</v>
      </c>
      <c r="U3664" s="77">
        <v>0</v>
      </c>
      <c r="V3664" s="77">
        <v>1340</v>
      </c>
      <c r="W3664" s="82" t="s">
        <v>6661</v>
      </c>
      <c r="X3664" s="80" t="str">
        <f>HYPERLINK("https://www.moneytimes.com.br/por-que-petrobras-petr4-recua-e-light-ligt3-avanca-nesta-quinta-18/")</f>
        <v>https://www.moneytimes.com.br/por-que-petrobras-petr4-recua-e-light-ligt3-avanca-nesta-quinta-18/</v>
      </c>
      <c r="Y3664" s="77" t="s">
        <v>7053</v>
      </c>
      <c r="Z3664" s="77"/>
      <c r="AA3664" s="77"/>
      <c r="AB3664" s="77"/>
      <c r="AC3664" s="82" t="s">
        <v>8255</v>
      </c>
      <c r="AD3664" s="77" t="s">
        <v>8278</v>
      </c>
      <c r="AE3664" s="80" t="str">
        <f>HYPERLINK("https://twitter.com/leiamoneytimes/status/1659230959244279813")</f>
        <v>https://twitter.com/leiamoneytimes/status/1659230959244279813</v>
      </c>
      <c r="AF3664" s="79">
        <v>45064.67664351852</v>
      </c>
      <c r="AG3664" s="85">
        <v>45064</v>
      </c>
      <c r="AH3664" s="82" t="s">
        <v>11641</v>
      </c>
      <c r="AI3664" s="77" t="b">
        <v>0</v>
      </c>
      <c r="AJ3664" s="77"/>
      <c r="AK3664" s="77"/>
      <c r="AL3664" s="77"/>
      <c r="AM3664" s="77"/>
      <c r="AN3664" s="77"/>
      <c r="AO3664" s="77"/>
      <c r="AP3664" s="77"/>
      <c r="AQ3664" s="77"/>
      <c r="AR3664" s="77"/>
      <c r="AS3664" s="77"/>
      <c r="AT3664" s="77"/>
      <c r="AU3664" s="77"/>
      <c r="AV3664" s="80" t="str">
        <f>HYPERLINK("https://pbs.twimg.com/profile_images/1559883556846977024/bXHnQFY0_normal.jpg")</f>
        <v>https://pbs.twimg.com/profile_images/1559883556846977024/bXHnQFY0_normal.jpg</v>
      </c>
      <c r="AW3664" s="82" t="s">
        <v>16748</v>
      </c>
      <c r="AX3664" s="82" t="s">
        <v>16748</v>
      </c>
      <c r="AY3664" s="77"/>
      <c r="AZ3664" s="82" t="s">
        <v>17385</v>
      </c>
      <c r="BA3664" s="82" t="s">
        <v>17385</v>
      </c>
      <c r="BB3664" s="82" t="s">
        <v>17385</v>
      </c>
      <c r="BC3664" s="82" t="s">
        <v>16748</v>
      </c>
      <c r="BD3664" s="77">
        <v>51150679</v>
      </c>
      <c r="BE3664" s="77"/>
      <c r="BF3664" s="77"/>
      <c r="BG3664" s="77"/>
      <c r="BH3664" s="77"/>
      <c r="BI3664" s="77"/>
    </row>
    <row r="3665" spans="1:61" x14ac:dyDescent="0.25">
      <c r="A3665" s="62" t="s">
        <v>605</v>
      </c>
      <c r="B3665" s="62" t="s">
        <v>605</v>
      </c>
      <c r="C3665" s="63"/>
      <c r="D3665" s="64"/>
      <c r="E3665" s="65"/>
      <c r="F3665" s="66"/>
      <c r="G3665" s="63"/>
      <c r="H3665" s="67"/>
      <c r="I3665" s="68"/>
      <c r="J3665" s="68"/>
      <c r="K3665" s="32"/>
      <c r="L3665" s="75">
        <v>3665</v>
      </c>
      <c r="M3665" s="75"/>
      <c r="N3665" s="70"/>
      <c r="O3665" s="77" t="s">
        <v>179</v>
      </c>
      <c r="P3665" s="79">
        <v>45064.581608796296</v>
      </c>
      <c r="Q3665" s="77" t="s">
        <v>4439</v>
      </c>
      <c r="R3665" s="77">
        <v>0</v>
      </c>
      <c r="S3665" s="77">
        <v>2</v>
      </c>
      <c r="T3665" s="77">
        <v>0</v>
      </c>
      <c r="U3665" s="77">
        <v>0</v>
      </c>
      <c r="V3665" s="77">
        <v>1157</v>
      </c>
      <c r="W3665" s="82" t="s">
        <v>6791</v>
      </c>
      <c r="X3665" s="80" t="str">
        <f>HYPERLINK("https://www.moneytimes.com.br/wall-street-dow-jones-abre-em-baixa-com-perdas-da-cisco-ofuscando-previsao-otimista-do-walmart/")</f>
        <v>https://www.moneytimes.com.br/wall-street-dow-jones-abre-em-baixa-com-perdas-da-cisco-ofuscando-previsao-otimista-do-walmart/</v>
      </c>
      <c r="Y3665" s="77" t="s">
        <v>7053</v>
      </c>
      <c r="Z3665" s="77"/>
      <c r="AA3665" s="77"/>
      <c r="AB3665" s="77"/>
      <c r="AC3665" s="82" t="s">
        <v>8255</v>
      </c>
      <c r="AD3665" s="77" t="s">
        <v>8278</v>
      </c>
      <c r="AE3665" s="80" t="str">
        <f>HYPERLINK("https://twitter.com/leiamoneytimes/status/1659196518350614530")</f>
        <v>https://twitter.com/leiamoneytimes/status/1659196518350614530</v>
      </c>
      <c r="AF3665" s="79">
        <v>45064.581608796296</v>
      </c>
      <c r="AG3665" s="85">
        <v>45064</v>
      </c>
      <c r="AH3665" s="82" t="s">
        <v>11642</v>
      </c>
      <c r="AI3665" s="77" t="b">
        <v>0</v>
      </c>
      <c r="AJ3665" s="77"/>
      <c r="AK3665" s="77"/>
      <c r="AL3665" s="77"/>
      <c r="AM3665" s="77"/>
      <c r="AN3665" s="77"/>
      <c r="AO3665" s="77"/>
      <c r="AP3665" s="77"/>
      <c r="AQ3665" s="77"/>
      <c r="AR3665" s="77"/>
      <c r="AS3665" s="77"/>
      <c r="AT3665" s="77"/>
      <c r="AU3665" s="77"/>
      <c r="AV3665" s="80" t="str">
        <f>HYPERLINK("https://pbs.twimg.com/profile_images/1559883556846977024/bXHnQFY0_normal.jpg")</f>
        <v>https://pbs.twimg.com/profile_images/1559883556846977024/bXHnQFY0_normal.jpg</v>
      </c>
      <c r="AW3665" s="82" t="s">
        <v>16749</v>
      </c>
      <c r="AX3665" s="82" t="s">
        <v>16749</v>
      </c>
      <c r="AY3665" s="77"/>
      <c r="AZ3665" s="82" t="s">
        <v>17385</v>
      </c>
      <c r="BA3665" s="82" t="s">
        <v>17385</v>
      </c>
      <c r="BB3665" s="82" t="s">
        <v>17385</v>
      </c>
      <c r="BC3665" s="82" t="s">
        <v>16749</v>
      </c>
      <c r="BD3665" s="77">
        <v>51150679</v>
      </c>
      <c r="BE3665" s="77"/>
      <c r="BF3665" s="77"/>
      <c r="BG3665" s="77"/>
      <c r="BH3665" s="77"/>
      <c r="BI3665" s="77"/>
    </row>
    <row r="3666" spans="1:61" x14ac:dyDescent="0.25">
      <c r="A3666" s="62" t="s">
        <v>605</v>
      </c>
      <c r="B3666" s="62" t="s">
        <v>605</v>
      </c>
      <c r="C3666" s="63"/>
      <c r="D3666" s="64"/>
      <c r="E3666" s="65"/>
      <c r="F3666" s="66"/>
      <c r="G3666" s="63"/>
      <c r="H3666" s="67"/>
      <c r="I3666" s="68"/>
      <c r="J3666" s="68"/>
      <c r="K3666" s="32"/>
      <c r="L3666" s="75">
        <v>3666</v>
      </c>
      <c r="M3666" s="75"/>
      <c r="N3666" s="70"/>
      <c r="O3666" s="77" t="s">
        <v>179</v>
      </c>
      <c r="P3666" s="79">
        <v>45064.463090277779</v>
      </c>
      <c r="Q3666" s="77" t="s">
        <v>4440</v>
      </c>
      <c r="R3666" s="77">
        <v>0</v>
      </c>
      <c r="S3666" s="77">
        <v>10</v>
      </c>
      <c r="T3666" s="77">
        <v>0</v>
      </c>
      <c r="U3666" s="77">
        <v>0</v>
      </c>
      <c r="V3666" s="77">
        <v>2125</v>
      </c>
      <c r="W3666" s="82" t="s">
        <v>6792</v>
      </c>
      <c r="X3666" s="80" t="str">
        <f>HYPERLINK("https://www.moneytimes.com.br/lideranca-no-e-commerce-brasileiro-e-dividendos-da-unip6-sao-destaques-nesta-quinta-18/")</f>
        <v>https://www.moneytimes.com.br/lideranca-no-e-commerce-brasileiro-e-dividendos-da-unip6-sao-destaques-nesta-quinta-18/</v>
      </c>
      <c r="Y3666" s="77" t="s">
        <v>7053</v>
      </c>
      <c r="Z3666" s="77"/>
      <c r="AA3666" s="77"/>
      <c r="AB3666" s="77"/>
      <c r="AC3666" s="82" t="s">
        <v>8255</v>
      </c>
      <c r="AD3666" s="77" t="s">
        <v>8278</v>
      </c>
      <c r="AE3666" s="80" t="str">
        <f>HYPERLINK("https://twitter.com/leiamoneytimes/status/1659153568929128448")</f>
        <v>https://twitter.com/leiamoneytimes/status/1659153568929128448</v>
      </c>
      <c r="AF3666" s="79">
        <v>45064.463090277779</v>
      </c>
      <c r="AG3666" s="85">
        <v>45064</v>
      </c>
      <c r="AH3666" s="82" t="s">
        <v>11643</v>
      </c>
      <c r="AI3666" s="77" t="b">
        <v>0</v>
      </c>
      <c r="AJ3666" s="77"/>
      <c r="AK3666" s="77"/>
      <c r="AL3666" s="77"/>
      <c r="AM3666" s="77"/>
      <c r="AN3666" s="77"/>
      <c r="AO3666" s="77"/>
      <c r="AP3666" s="77"/>
      <c r="AQ3666" s="77"/>
      <c r="AR3666" s="77"/>
      <c r="AS3666" s="77"/>
      <c r="AT3666" s="77"/>
      <c r="AU3666" s="77"/>
      <c r="AV3666" s="80" t="str">
        <f>HYPERLINK("https://pbs.twimg.com/profile_images/1559883556846977024/bXHnQFY0_normal.jpg")</f>
        <v>https://pbs.twimg.com/profile_images/1559883556846977024/bXHnQFY0_normal.jpg</v>
      </c>
      <c r="AW3666" s="82" t="s">
        <v>16750</v>
      </c>
      <c r="AX3666" s="82" t="s">
        <v>16750</v>
      </c>
      <c r="AY3666" s="77"/>
      <c r="AZ3666" s="82" t="s">
        <v>17385</v>
      </c>
      <c r="BA3666" s="82" t="s">
        <v>17385</v>
      </c>
      <c r="BB3666" s="82" t="s">
        <v>17385</v>
      </c>
      <c r="BC3666" s="82" t="s">
        <v>16750</v>
      </c>
      <c r="BD3666" s="77">
        <v>51150679</v>
      </c>
      <c r="BE3666" s="77"/>
      <c r="BF3666" s="77"/>
      <c r="BG3666" s="77"/>
      <c r="BH3666" s="77"/>
      <c r="BI3666" s="77"/>
    </row>
    <row r="3667" spans="1:61" x14ac:dyDescent="0.25">
      <c r="A3667" s="62" t="s">
        <v>605</v>
      </c>
      <c r="B3667" s="62" t="s">
        <v>605</v>
      </c>
      <c r="C3667" s="63"/>
      <c r="D3667" s="64"/>
      <c r="E3667" s="65"/>
      <c r="F3667" s="66"/>
      <c r="G3667" s="63"/>
      <c r="H3667" s="67"/>
      <c r="I3667" s="68"/>
      <c r="J3667" s="68"/>
      <c r="K3667" s="32"/>
      <c r="L3667" s="75">
        <v>3667</v>
      </c>
      <c r="M3667" s="75"/>
      <c r="N3667" s="70"/>
      <c r="O3667" s="77" t="s">
        <v>179</v>
      </c>
      <c r="P3667" s="79">
        <v>45064.457719907405</v>
      </c>
      <c r="Q3667" s="77" t="s">
        <v>4441</v>
      </c>
      <c r="R3667" s="77">
        <v>2</v>
      </c>
      <c r="S3667" s="77">
        <v>7</v>
      </c>
      <c r="T3667" s="77">
        <v>0</v>
      </c>
      <c r="U3667" s="77">
        <v>0</v>
      </c>
      <c r="V3667" s="77">
        <v>1800</v>
      </c>
      <c r="W3667" s="82" t="s">
        <v>6577</v>
      </c>
      <c r="X3667" s="80" t="str">
        <f>HYPERLINK("https://www.moneytimes.com.br/swing-trading-acao-da-embraer-embr3-pode-decolar-ate-88-nesta-quinta-18/")</f>
        <v>https://www.moneytimes.com.br/swing-trading-acao-da-embraer-embr3-pode-decolar-ate-88-nesta-quinta-18/</v>
      </c>
      <c r="Y3667" s="77" t="s">
        <v>7053</v>
      </c>
      <c r="Z3667" s="77"/>
      <c r="AA3667" s="77"/>
      <c r="AB3667" s="77"/>
      <c r="AC3667" s="82" t="s">
        <v>8255</v>
      </c>
      <c r="AD3667" s="77" t="s">
        <v>8278</v>
      </c>
      <c r="AE3667" s="80" t="str">
        <f>HYPERLINK("https://twitter.com/leiamoneytimes/status/1659151625133477890")</f>
        <v>https://twitter.com/leiamoneytimes/status/1659151625133477890</v>
      </c>
      <c r="AF3667" s="79">
        <v>45064.457719907405</v>
      </c>
      <c r="AG3667" s="85">
        <v>45064</v>
      </c>
      <c r="AH3667" s="82" t="s">
        <v>11644</v>
      </c>
      <c r="AI3667" s="77" t="b">
        <v>0</v>
      </c>
      <c r="AJ3667" s="77"/>
      <c r="AK3667" s="77"/>
      <c r="AL3667" s="77"/>
      <c r="AM3667" s="77"/>
      <c r="AN3667" s="77"/>
      <c r="AO3667" s="77"/>
      <c r="AP3667" s="77"/>
      <c r="AQ3667" s="77"/>
      <c r="AR3667" s="77"/>
      <c r="AS3667" s="77"/>
      <c r="AT3667" s="77"/>
      <c r="AU3667" s="77"/>
      <c r="AV3667" s="80" t="str">
        <f>HYPERLINK("https://pbs.twimg.com/profile_images/1559883556846977024/bXHnQFY0_normal.jpg")</f>
        <v>https://pbs.twimg.com/profile_images/1559883556846977024/bXHnQFY0_normal.jpg</v>
      </c>
      <c r="AW3667" s="82" t="s">
        <v>16751</v>
      </c>
      <c r="AX3667" s="82" t="s">
        <v>16751</v>
      </c>
      <c r="AY3667" s="77"/>
      <c r="AZ3667" s="82" t="s">
        <v>17385</v>
      </c>
      <c r="BA3667" s="82" t="s">
        <v>17385</v>
      </c>
      <c r="BB3667" s="82" t="s">
        <v>17385</v>
      </c>
      <c r="BC3667" s="82" t="s">
        <v>16751</v>
      </c>
      <c r="BD3667" s="77">
        <v>51150679</v>
      </c>
      <c r="BE3667" s="77"/>
      <c r="BF3667" s="77"/>
      <c r="BG3667" s="77"/>
      <c r="BH3667" s="77"/>
      <c r="BI3667" s="77"/>
    </row>
    <row r="3668" spans="1:61" x14ac:dyDescent="0.25">
      <c r="A3668" s="62" t="s">
        <v>605</v>
      </c>
      <c r="B3668" s="62" t="s">
        <v>605</v>
      </c>
      <c r="C3668" s="63"/>
      <c r="D3668" s="64"/>
      <c r="E3668" s="65"/>
      <c r="F3668" s="66"/>
      <c r="G3668" s="63"/>
      <c r="H3668" s="67"/>
      <c r="I3668" s="68"/>
      <c r="J3668" s="68"/>
      <c r="K3668" s="32"/>
      <c r="L3668" s="75">
        <v>3668</v>
      </c>
      <c r="M3668" s="75"/>
      <c r="N3668" s="70"/>
      <c r="O3668" s="77" t="s">
        <v>179</v>
      </c>
      <c r="P3668" s="79">
        <v>45064.449884259258</v>
      </c>
      <c r="Q3668" s="77" t="s">
        <v>4442</v>
      </c>
      <c r="R3668" s="77">
        <v>1</v>
      </c>
      <c r="S3668" s="77">
        <v>5</v>
      </c>
      <c r="T3668" s="77">
        <v>0</v>
      </c>
      <c r="U3668" s="77">
        <v>0</v>
      </c>
      <c r="V3668" s="77">
        <v>1723</v>
      </c>
      <c r="W3668" s="82" t="s">
        <v>6564</v>
      </c>
      <c r="X3668" s="80" t="str">
        <f>HYPERLINK("https://www.moneytimes.com.br/bolsas-asiaticas-indice-de-blue-chips-da-china-caem-em-meio-a-tropeco-da-recuperacao/")</f>
        <v>https://www.moneytimes.com.br/bolsas-asiaticas-indice-de-blue-chips-da-china-caem-em-meio-a-tropeco-da-recuperacao/</v>
      </c>
      <c r="Y3668" s="77" t="s">
        <v>7053</v>
      </c>
      <c r="Z3668" s="77"/>
      <c r="AA3668" s="77"/>
      <c r="AB3668" s="77"/>
      <c r="AC3668" s="82" t="s">
        <v>8255</v>
      </c>
      <c r="AD3668" s="77" t="s">
        <v>8278</v>
      </c>
      <c r="AE3668" s="80" t="str">
        <f>HYPERLINK("https://twitter.com/leiamoneytimes/status/1659148783698030592")</f>
        <v>https://twitter.com/leiamoneytimes/status/1659148783698030592</v>
      </c>
      <c r="AF3668" s="79">
        <v>45064.449884259258</v>
      </c>
      <c r="AG3668" s="85">
        <v>45064</v>
      </c>
      <c r="AH3668" s="82" t="s">
        <v>11645</v>
      </c>
      <c r="AI3668" s="77" t="b">
        <v>0</v>
      </c>
      <c r="AJ3668" s="77"/>
      <c r="AK3668" s="77"/>
      <c r="AL3668" s="77"/>
      <c r="AM3668" s="77"/>
      <c r="AN3668" s="77"/>
      <c r="AO3668" s="77"/>
      <c r="AP3668" s="77"/>
      <c r="AQ3668" s="77"/>
      <c r="AR3668" s="77"/>
      <c r="AS3668" s="77"/>
      <c r="AT3668" s="77"/>
      <c r="AU3668" s="77"/>
      <c r="AV3668" s="80" t="str">
        <f>HYPERLINK("https://pbs.twimg.com/profile_images/1559883556846977024/bXHnQFY0_normal.jpg")</f>
        <v>https://pbs.twimg.com/profile_images/1559883556846977024/bXHnQFY0_normal.jpg</v>
      </c>
      <c r="AW3668" s="82" t="s">
        <v>16752</v>
      </c>
      <c r="AX3668" s="82" t="s">
        <v>16752</v>
      </c>
      <c r="AY3668" s="77"/>
      <c r="AZ3668" s="82" t="s">
        <v>17385</v>
      </c>
      <c r="BA3668" s="82" t="s">
        <v>17385</v>
      </c>
      <c r="BB3668" s="82" t="s">
        <v>17385</v>
      </c>
      <c r="BC3668" s="82" t="s">
        <v>16752</v>
      </c>
      <c r="BD3668" s="77">
        <v>51150679</v>
      </c>
      <c r="BE3668" s="77"/>
      <c r="BF3668" s="77"/>
      <c r="BG3668" s="77"/>
      <c r="BH3668" s="77"/>
      <c r="BI3668" s="77"/>
    </row>
    <row r="3669" spans="1:61" x14ac:dyDescent="0.25">
      <c r="A3669" s="62" t="s">
        <v>605</v>
      </c>
      <c r="B3669" s="62" t="s">
        <v>605</v>
      </c>
      <c r="C3669" s="63"/>
      <c r="D3669" s="64"/>
      <c r="E3669" s="65"/>
      <c r="F3669" s="66"/>
      <c r="G3669" s="63"/>
      <c r="H3669" s="67"/>
      <c r="I3669" s="68"/>
      <c r="J3669" s="68"/>
      <c r="K3669" s="32"/>
      <c r="L3669" s="75">
        <v>3669</v>
      </c>
      <c r="M3669" s="75"/>
      <c r="N3669" s="70"/>
      <c r="O3669" s="77" t="s">
        <v>179</v>
      </c>
      <c r="P3669" s="79">
        <v>45063.789537037039</v>
      </c>
      <c r="Q3669" s="77" t="s">
        <v>4443</v>
      </c>
      <c r="R3669" s="77">
        <v>0</v>
      </c>
      <c r="S3669" s="77">
        <v>4</v>
      </c>
      <c r="T3669" s="77">
        <v>0</v>
      </c>
      <c r="U3669" s="77">
        <v>0</v>
      </c>
      <c r="V3669" s="77">
        <v>1333</v>
      </c>
      <c r="W3669" s="82" t="s">
        <v>6793</v>
      </c>
      <c r="X3669" s="80" t="str">
        <f>HYPERLINK("https://www.moneytimes.com.br/5-passos-para-declarar-acoes-no-imposto-de-renda-2023-nesta-reta-final-do-calendario/")</f>
        <v>https://www.moneytimes.com.br/5-passos-para-declarar-acoes-no-imposto-de-renda-2023-nesta-reta-final-do-calendario/</v>
      </c>
      <c r="Y3669" s="77" t="s">
        <v>7053</v>
      </c>
      <c r="Z3669" s="77"/>
      <c r="AA3669" s="77"/>
      <c r="AB3669" s="77"/>
      <c r="AC3669" s="82" t="s">
        <v>8255</v>
      </c>
      <c r="AD3669" s="77" t="s">
        <v>8278</v>
      </c>
      <c r="AE3669" s="80" t="str">
        <f>HYPERLINK("https://twitter.com/leiamoneytimes/status/1658909483978956829")</f>
        <v>https://twitter.com/leiamoneytimes/status/1658909483978956829</v>
      </c>
      <c r="AF3669" s="79">
        <v>45063.789537037039</v>
      </c>
      <c r="AG3669" s="85">
        <v>45063</v>
      </c>
      <c r="AH3669" s="82" t="s">
        <v>11646</v>
      </c>
      <c r="AI3669" s="77" t="b">
        <v>0</v>
      </c>
      <c r="AJ3669" s="77"/>
      <c r="AK3669" s="77"/>
      <c r="AL3669" s="77"/>
      <c r="AM3669" s="77"/>
      <c r="AN3669" s="77"/>
      <c r="AO3669" s="77"/>
      <c r="AP3669" s="77"/>
      <c r="AQ3669" s="77"/>
      <c r="AR3669" s="77"/>
      <c r="AS3669" s="77"/>
      <c r="AT3669" s="77"/>
      <c r="AU3669" s="77"/>
      <c r="AV3669" s="80" t="str">
        <f>HYPERLINK("https://pbs.twimg.com/profile_images/1559883556846977024/bXHnQFY0_normal.jpg")</f>
        <v>https://pbs.twimg.com/profile_images/1559883556846977024/bXHnQFY0_normal.jpg</v>
      </c>
      <c r="AW3669" s="82" t="s">
        <v>16753</v>
      </c>
      <c r="AX3669" s="82" t="s">
        <v>16753</v>
      </c>
      <c r="AY3669" s="77"/>
      <c r="AZ3669" s="82" t="s">
        <v>17385</v>
      </c>
      <c r="BA3669" s="82" t="s">
        <v>17385</v>
      </c>
      <c r="BB3669" s="82" t="s">
        <v>17385</v>
      </c>
      <c r="BC3669" s="82" t="s">
        <v>16753</v>
      </c>
      <c r="BD3669" s="77">
        <v>51150679</v>
      </c>
      <c r="BE3669" s="77"/>
      <c r="BF3669" s="77"/>
      <c r="BG3669" s="77"/>
      <c r="BH3669" s="77"/>
      <c r="BI3669" s="77"/>
    </row>
    <row r="3670" spans="1:61" x14ac:dyDescent="0.25">
      <c r="A3670" s="62" t="s">
        <v>605</v>
      </c>
      <c r="B3670" s="62" t="s">
        <v>605</v>
      </c>
      <c r="C3670" s="63"/>
      <c r="D3670" s="64"/>
      <c r="E3670" s="65"/>
      <c r="F3670" s="66"/>
      <c r="G3670" s="63"/>
      <c r="H3670" s="67"/>
      <c r="I3670" s="68"/>
      <c r="J3670" s="68"/>
      <c r="K3670" s="32"/>
      <c r="L3670" s="75">
        <v>3670</v>
      </c>
      <c r="M3670" s="75"/>
      <c r="N3670" s="70"/>
      <c r="O3670" s="77" t="s">
        <v>179</v>
      </c>
      <c r="P3670" s="79">
        <v>45063.719236111108</v>
      </c>
      <c r="Q3670" s="77" t="s">
        <v>4444</v>
      </c>
      <c r="R3670" s="77">
        <v>0</v>
      </c>
      <c r="S3670" s="77">
        <v>4</v>
      </c>
      <c r="T3670" s="77">
        <v>1</v>
      </c>
      <c r="U3670" s="77">
        <v>0</v>
      </c>
      <c r="V3670" s="77">
        <v>1226</v>
      </c>
      <c r="W3670" s="82" t="s">
        <v>6794</v>
      </c>
      <c r="X3670" s="80" t="str">
        <f>HYPERLINK("https://www.moneytimes.com.br/como-a-petrobras-petr4-impulsiona-as-acoes-de-azul-azul4-e-gol-goll4/")</f>
        <v>https://www.moneytimes.com.br/como-a-petrobras-petr4-impulsiona-as-acoes-de-azul-azul4-e-gol-goll4/</v>
      </c>
      <c r="Y3670" s="77" t="s">
        <v>7053</v>
      </c>
      <c r="Z3670" s="77"/>
      <c r="AA3670" s="77"/>
      <c r="AB3670" s="77"/>
      <c r="AC3670" s="82" t="s">
        <v>8255</v>
      </c>
      <c r="AD3670" s="77" t="s">
        <v>8278</v>
      </c>
      <c r="AE3670" s="80" t="str">
        <f>HYPERLINK("https://twitter.com/leiamoneytimes/status/1658884006748864512")</f>
        <v>https://twitter.com/leiamoneytimes/status/1658884006748864512</v>
      </c>
      <c r="AF3670" s="79">
        <v>45063.719236111108</v>
      </c>
      <c r="AG3670" s="85">
        <v>45063</v>
      </c>
      <c r="AH3670" s="82" t="s">
        <v>11647</v>
      </c>
      <c r="AI3670" s="77" t="b">
        <v>0</v>
      </c>
      <c r="AJ3670" s="77"/>
      <c r="AK3670" s="77"/>
      <c r="AL3670" s="77"/>
      <c r="AM3670" s="77"/>
      <c r="AN3670" s="77"/>
      <c r="AO3670" s="77"/>
      <c r="AP3670" s="77"/>
      <c r="AQ3670" s="77"/>
      <c r="AR3670" s="77"/>
      <c r="AS3670" s="77"/>
      <c r="AT3670" s="77"/>
      <c r="AU3670" s="77"/>
      <c r="AV3670" s="80" t="str">
        <f>HYPERLINK("https://pbs.twimg.com/profile_images/1559883556846977024/bXHnQFY0_normal.jpg")</f>
        <v>https://pbs.twimg.com/profile_images/1559883556846977024/bXHnQFY0_normal.jpg</v>
      </c>
      <c r="AW3670" s="82" t="s">
        <v>16754</v>
      </c>
      <c r="AX3670" s="82" t="s">
        <v>16754</v>
      </c>
      <c r="AY3670" s="77"/>
      <c r="AZ3670" s="82" t="s">
        <v>17385</v>
      </c>
      <c r="BA3670" s="82" t="s">
        <v>17385</v>
      </c>
      <c r="BB3670" s="82" t="s">
        <v>17385</v>
      </c>
      <c r="BC3670" s="82" t="s">
        <v>16754</v>
      </c>
      <c r="BD3670" s="77">
        <v>51150679</v>
      </c>
      <c r="BE3670" s="77"/>
      <c r="BF3670" s="77"/>
      <c r="BG3670" s="77"/>
      <c r="BH3670" s="77"/>
      <c r="BI3670" s="77"/>
    </row>
    <row r="3671" spans="1:61" x14ac:dyDescent="0.25">
      <c r="A3671" s="62" t="s">
        <v>605</v>
      </c>
      <c r="B3671" s="62" t="s">
        <v>605</v>
      </c>
      <c r="C3671" s="63"/>
      <c r="D3671" s="64"/>
      <c r="E3671" s="65"/>
      <c r="F3671" s="66"/>
      <c r="G3671" s="63"/>
      <c r="H3671" s="67"/>
      <c r="I3671" s="68"/>
      <c r="J3671" s="68"/>
      <c r="K3671" s="32"/>
      <c r="L3671" s="75">
        <v>3671</v>
      </c>
      <c r="M3671" s="75"/>
      <c r="N3671" s="70"/>
      <c r="O3671" s="77" t="s">
        <v>179</v>
      </c>
      <c r="P3671" s="79">
        <v>45063.707789351851</v>
      </c>
      <c r="Q3671" s="77" t="s">
        <v>4445</v>
      </c>
      <c r="R3671" s="77">
        <v>0</v>
      </c>
      <c r="S3671" s="77">
        <v>1</v>
      </c>
      <c r="T3671" s="77">
        <v>0</v>
      </c>
      <c r="U3671" s="77">
        <v>0</v>
      </c>
      <c r="V3671" s="77">
        <v>998</v>
      </c>
      <c r="W3671" s="82" t="s">
        <v>6569</v>
      </c>
      <c r="X3671" s="80" t="str">
        <f>HYPERLINK("https://www.moneytimes.com.br/bolsas-europeias-acoes-fecham-em-queda-com-temores-sobre-teto-da-divida-dos-eua/")</f>
        <v>https://www.moneytimes.com.br/bolsas-europeias-acoes-fecham-em-queda-com-temores-sobre-teto-da-divida-dos-eua/</v>
      </c>
      <c r="Y3671" s="77" t="s">
        <v>7053</v>
      </c>
      <c r="Z3671" s="77"/>
      <c r="AA3671" s="77"/>
      <c r="AB3671" s="77"/>
      <c r="AC3671" s="82" t="s">
        <v>8255</v>
      </c>
      <c r="AD3671" s="77" t="s">
        <v>8278</v>
      </c>
      <c r="AE3671" s="80" t="str">
        <f>HYPERLINK("https://twitter.com/leiamoneytimes/status/1658879856967286792")</f>
        <v>https://twitter.com/leiamoneytimes/status/1658879856967286792</v>
      </c>
      <c r="AF3671" s="79">
        <v>45063.707789351851</v>
      </c>
      <c r="AG3671" s="85">
        <v>45063</v>
      </c>
      <c r="AH3671" s="82" t="s">
        <v>11648</v>
      </c>
      <c r="AI3671" s="77" t="b">
        <v>0</v>
      </c>
      <c r="AJ3671" s="77"/>
      <c r="AK3671" s="77"/>
      <c r="AL3671" s="77"/>
      <c r="AM3671" s="77"/>
      <c r="AN3671" s="77"/>
      <c r="AO3671" s="77"/>
      <c r="AP3671" s="77"/>
      <c r="AQ3671" s="77"/>
      <c r="AR3671" s="77"/>
      <c r="AS3671" s="77"/>
      <c r="AT3671" s="77"/>
      <c r="AU3671" s="77"/>
      <c r="AV3671" s="80" t="str">
        <f>HYPERLINK("https://pbs.twimg.com/profile_images/1559883556846977024/bXHnQFY0_normal.jpg")</f>
        <v>https://pbs.twimg.com/profile_images/1559883556846977024/bXHnQFY0_normal.jpg</v>
      </c>
      <c r="AW3671" s="82" t="s">
        <v>16755</v>
      </c>
      <c r="AX3671" s="82" t="s">
        <v>16755</v>
      </c>
      <c r="AY3671" s="77"/>
      <c r="AZ3671" s="82" t="s">
        <v>17385</v>
      </c>
      <c r="BA3671" s="82" t="s">
        <v>17385</v>
      </c>
      <c r="BB3671" s="82" t="s">
        <v>17385</v>
      </c>
      <c r="BC3671" s="82" t="s">
        <v>16755</v>
      </c>
      <c r="BD3671" s="77">
        <v>51150679</v>
      </c>
      <c r="BE3671" s="77"/>
      <c r="BF3671" s="77"/>
      <c r="BG3671" s="77"/>
      <c r="BH3671" s="77"/>
      <c r="BI3671" s="77"/>
    </row>
    <row r="3672" spans="1:61" x14ac:dyDescent="0.25">
      <c r="A3672" s="62" t="s">
        <v>605</v>
      </c>
      <c r="B3672" s="62" t="s">
        <v>605</v>
      </c>
      <c r="C3672" s="63"/>
      <c r="D3672" s="64"/>
      <c r="E3672" s="65"/>
      <c r="F3672" s="66"/>
      <c r="G3672" s="63"/>
      <c r="H3672" s="67"/>
      <c r="I3672" s="68"/>
      <c r="J3672" s="68"/>
      <c r="K3672" s="32"/>
      <c r="L3672" s="75">
        <v>3672</v>
      </c>
      <c r="M3672" s="75"/>
      <c r="N3672" s="70"/>
      <c r="O3672" s="77" t="s">
        <v>179</v>
      </c>
      <c r="P3672" s="79">
        <v>45063.674976851849</v>
      </c>
      <c r="Q3672" s="77" t="s">
        <v>4446</v>
      </c>
      <c r="R3672" s="77">
        <v>0</v>
      </c>
      <c r="S3672" s="77">
        <v>4</v>
      </c>
      <c r="T3672" s="77">
        <v>0</v>
      </c>
      <c r="U3672" s="77">
        <v>0</v>
      </c>
      <c r="V3672" s="77">
        <v>1511</v>
      </c>
      <c r="W3672" s="82" t="s">
        <v>6566</v>
      </c>
      <c r="X3672" s="80" t="str">
        <f>HYPERLINK("https://www.moneytimes.com.br/ibovespa-azul4-dispara-12-e-vale3-avanca-3-nesta-quarta-17-entenda/")</f>
        <v>https://www.moneytimes.com.br/ibovespa-azul4-dispara-12-e-vale3-avanca-3-nesta-quarta-17-entenda/</v>
      </c>
      <c r="Y3672" s="77" t="s">
        <v>7053</v>
      </c>
      <c r="Z3672" s="77"/>
      <c r="AA3672" s="77"/>
      <c r="AB3672" s="77"/>
      <c r="AC3672" s="82" t="s">
        <v>8255</v>
      </c>
      <c r="AD3672" s="77" t="s">
        <v>8278</v>
      </c>
      <c r="AE3672" s="80" t="str">
        <f>HYPERLINK("https://twitter.com/leiamoneytimes/status/1658867969466724353")</f>
        <v>https://twitter.com/leiamoneytimes/status/1658867969466724353</v>
      </c>
      <c r="AF3672" s="79">
        <v>45063.674976851849</v>
      </c>
      <c r="AG3672" s="85">
        <v>45063</v>
      </c>
      <c r="AH3672" s="82" t="s">
        <v>11649</v>
      </c>
      <c r="AI3672" s="77" t="b">
        <v>0</v>
      </c>
      <c r="AJ3672" s="77"/>
      <c r="AK3672" s="77"/>
      <c r="AL3672" s="77"/>
      <c r="AM3672" s="77"/>
      <c r="AN3672" s="77"/>
      <c r="AO3672" s="77"/>
      <c r="AP3672" s="77"/>
      <c r="AQ3672" s="77"/>
      <c r="AR3672" s="77"/>
      <c r="AS3672" s="77"/>
      <c r="AT3672" s="77"/>
      <c r="AU3672" s="77"/>
      <c r="AV3672" s="80" t="str">
        <f>HYPERLINK("https://pbs.twimg.com/profile_images/1559883556846977024/bXHnQFY0_normal.jpg")</f>
        <v>https://pbs.twimg.com/profile_images/1559883556846977024/bXHnQFY0_normal.jpg</v>
      </c>
      <c r="AW3672" s="82" t="s">
        <v>16756</v>
      </c>
      <c r="AX3672" s="82" t="s">
        <v>16756</v>
      </c>
      <c r="AY3672" s="77"/>
      <c r="AZ3672" s="82" t="s">
        <v>17385</v>
      </c>
      <c r="BA3672" s="82" t="s">
        <v>17385</v>
      </c>
      <c r="BB3672" s="82" t="s">
        <v>17385</v>
      </c>
      <c r="BC3672" s="82" t="s">
        <v>16756</v>
      </c>
      <c r="BD3672" s="77">
        <v>51150679</v>
      </c>
      <c r="BE3672" s="77"/>
      <c r="BF3672" s="77"/>
      <c r="BG3672" s="77"/>
      <c r="BH3672" s="77"/>
      <c r="BI3672" s="77"/>
    </row>
    <row r="3673" spans="1:61" x14ac:dyDescent="0.25">
      <c r="A3673" s="62" t="s">
        <v>605</v>
      </c>
      <c r="B3673" s="62" t="s">
        <v>605</v>
      </c>
      <c r="C3673" s="63"/>
      <c r="D3673" s="64"/>
      <c r="E3673" s="65"/>
      <c r="F3673" s="66"/>
      <c r="G3673" s="63"/>
      <c r="H3673" s="67"/>
      <c r="I3673" s="68"/>
      <c r="J3673" s="68"/>
      <c r="K3673" s="32"/>
      <c r="L3673" s="75">
        <v>3673</v>
      </c>
      <c r="M3673" s="75"/>
      <c r="N3673" s="70"/>
      <c r="O3673" s="77" t="s">
        <v>179</v>
      </c>
      <c r="P3673" s="79">
        <v>45063.614317129628</v>
      </c>
      <c r="Q3673" s="77" t="s">
        <v>4447</v>
      </c>
      <c r="R3673" s="77">
        <v>0</v>
      </c>
      <c r="S3673" s="77">
        <v>2</v>
      </c>
      <c r="T3673" s="77">
        <v>0</v>
      </c>
      <c r="U3673" s="77">
        <v>0</v>
      </c>
      <c r="V3673" s="77">
        <v>1231</v>
      </c>
      <c r="W3673" s="82" t="s">
        <v>6675</v>
      </c>
      <c r="X3673" s="80" t="str">
        <f>HYPERLINK("https://www.moneytimes.com.br/vale3-csna3-e-usim5-por-que-acoes-avancam-nesta-quarta-17/")</f>
        <v>https://www.moneytimes.com.br/vale3-csna3-e-usim5-por-que-acoes-avancam-nesta-quarta-17/</v>
      </c>
      <c r="Y3673" s="77" t="s">
        <v>7053</v>
      </c>
      <c r="Z3673" s="77"/>
      <c r="AA3673" s="77"/>
      <c r="AB3673" s="77"/>
      <c r="AC3673" s="82" t="s">
        <v>8255</v>
      </c>
      <c r="AD3673" s="77" t="s">
        <v>8278</v>
      </c>
      <c r="AE3673" s="80" t="str">
        <f>HYPERLINK("https://twitter.com/leiamoneytimes/status/1658845987165675525")</f>
        <v>https://twitter.com/leiamoneytimes/status/1658845987165675525</v>
      </c>
      <c r="AF3673" s="79">
        <v>45063.614317129628</v>
      </c>
      <c r="AG3673" s="85">
        <v>45063</v>
      </c>
      <c r="AH3673" s="82" t="s">
        <v>11650</v>
      </c>
      <c r="AI3673" s="77" t="b">
        <v>0</v>
      </c>
      <c r="AJ3673" s="77"/>
      <c r="AK3673" s="77"/>
      <c r="AL3673" s="77"/>
      <c r="AM3673" s="77"/>
      <c r="AN3673" s="77"/>
      <c r="AO3673" s="77"/>
      <c r="AP3673" s="77"/>
      <c r="AQ3673" s="77"/>
      <c r="AR3673" s="77"/>
      <c r="AS3673" s="77"/>
      <c r="AT3673" s="77"/>
      <c r="AU3673" s="77"/>
      <c r="AV3673" s="80" t="str">
        <f>HYPERLINK("https://pbs.twimg.com/profile_images/1559883556846977024/bXHnQFY0_normal.jpg")</f>
        <v>https://pbs.twimg.com/profile_images/1559883556846977024/bXHnQFY0_normal.jpg</v>
      </c>
      <c r="AW3673" s="82" t="s">
        <v>16757</v>
      </c>
      <c r="AX3673" s="82" t="s">
        <v>16757</v>
      </c>
      <c r="AY3673" s="77"/>
      <c r="AZ3673" s="82" t="s">
        <v>17385</v>
      </c>
      <c r="BA3673" s="82" t="s">
        <v>17385</v>
      </c>
      <c r="BB3673" s="82" t="s">
        <v>17385</v>
      </c>
      <c r="BC3673" s="82" t="s">
        <v>16757</v>
      </c>
      <c r="BD3673" s="77">
        <v>51150679</v>
      </c>
      <c r="BE3673" s="77"/>
      <c r="BF3673" s="77"/>
      <c r="BG3673" s="77"/>
      <c r="BH3673" s="77"/>
      <c r="BI3673" s="77"/>
    </row>
    <row r="3674" spans="1:61" x14ac:dyDescent="0.25">
      <c r="A3674" s="62" t="s">
        <v>605</v>
      </c>
      <c r="B3674" s="62" t="s">
        <v>605</v>
      </c>
      <c r="C3674" s="63"/>
      <c r="D3674" s="64"/>
      <c r="E3674" s="65"/>
      <c r="F3674" s="66"/>
      <c r="G3674" s="63"/>
      <c r="H3674" s="67"/>
      <c r="I3674" s="68"/>
      <c r="J3674" s="68"/>
      <c r="K3674" s="32"/>
      <c r="L3674" s="75">
        <v>3674</v>
      </c>
      <c r="M3674" s="75"/>
      <c r="N3674" s="70"/>
      <c r="O3674" s="77" t="s">
        <v>179</v>
      </c>
      <c r="P3674" s="79">
        <v>45063.550891203704</v>
      </c>
      <c r="Q3674" s="77" t="s">
        <v>4448</v>
      </c>
      <c r="R3674" s="77">
        <v>0</v>
      </c>
      <c r="S3674" s="77">
        <v>1</v>
      </c>
      <c r="T3674" s="77">
        <v>0</v>
      </c>
      <c r="U3674" s="77">
        <v>0</v>
      </c>
      <c r="V3674" s="77">
        <v>1025</v>
      </c>
      <c r="W3674" s="82" t="s">
        <v>6795</v>
      </c>
      <c r="X3674" s="80" t="str">
        <f>HYPERLINK("https://www.moneytimes.com.br/ibovespa-ibov-aguarda-arcabouco-fiscal-e-abre-em-alta-nesta-quarta-17/")</f>
        <v>https://www.moneytimes.com.br/ibovespa-ibov-aguarda-arcabouco-fiscal-e-abre-em-alta-nesta-quarta-17/</v>
      </c>
      <c r="Y3674" s="77" t="s">
        <v>7053</v>
      </c>
      <c r="Z3674" s="77"/>
      <c r="AA3674" s="77"/>
      <c r="AB3674" s="77"/>
      <c r="AC3674" s="82" t="s">
        <v>8255</v>
      </c>
      <c r="AD3674" s="77" t="s">
        <v>8278</v>
      </c>
      <c r="AE3674" s="80" t="str">
        <f>HYPERLINK("https://twitter.com/leiamoneytimes/status/1658822999787569153")</f>
        <v>https://twitter.com/leiamoneytimes/status/1658822999787569153</v>
      </c>
      <c r="AF3674" s="79">
        <v>45063.550891203704</v>
      </c>
      <c r="AG3674" s="85">
        <v>45063</v>
      </c>
      <c r="AH3674" s="82" t="s">
        <v>11651</v>
      </c>
      <c r="AI3674" s="77" t="b">
        <v>0</v>
      </c>
      <c r="AJ3674" s="77"/>
      <c r="AK3674" s="77"/>
      <c r="AL3674" s="77"/>
      <c r="AM3674" s="77"/>
      <c r="AN3674" s="77"/>
      <c r="AO3674" s="77"/>
      <c r="AP3674" s="77"/>
      <c r="AQ3674" s="77"/>
      <c r="AR3674" s="77"/>
      <c r="AS3674" s="77"/>
      <c r="AT3674" s="77"/>
      <c r="AU3674" s="77"/>
      <c r="AV3674" s="80" t="str">
        <f>HYPERLINK("https://pbs.twimg.com/profile_images/1559883556846977024/bXHnQFY0_normal.jpg")</f>
        <v>https://pbs.twimg.com/profile_images/1559883556846977024/bXHnQFY0_normal.jpg</v>
      </c>
      <c r="AW3674" s="82" t="s">
        <v>16758</v>
      </c>
      <c r="AX3674" s="82" t="s">
        <v>16758</v>
      </c>
      <c r="AY3674" s="77"/>
      <c r="AZ3674" s="82" t="s">
        <v>17385</v>
      </c>
      <c r="BA3674" s="82" t="s">
        <v>17385</v>
      </c>
      <c r="BB3674" s="82" t="s">
        <v>17385</v>
      </c>
      <c r="BC3674" s="82" t="s">
        <v>16758</v>
      </c>
      <c r="BD3674" s="77">
        <v>51150679</v>
      </c>
      <c r="BE3674" s="77"/>
      <c r="BF3674" s="77"/>
      <c r="BG3674" s="77"/>
      <c r="BH3674" s="77"/>
      <c r="BI3674" s="77"/>
    </row>
    <row r="3675" spans="1:61" x14ac:dyDescent="0.25">
      <c r="A3675" s="62" t="s">
        <v>605</v>
      </c>
      <c r="B3675" s="62" t="s">
        <v>605</v>
      </c>
      <c r="C3675" s="63"/>
      <c r="D3675" s="64"/>
      <c r="E3675" s="65"/>
      <c r="F3675" s="66"/>
      <c r="G3675" s="63"/>
      <c r="H3675" s="67"/>
      <c r="I3675" s="68"/>
      <c r="J3675" s="68"/>
      <c r="K3675" s="32"/>
      <c r="L3675" s="75">
        <v>3675</v>
      </c>
      <c r="M3675" s="75"/>
      <c r="N3675" s="70"/>
      <c r="O3675" s="77" t="s">
        <v>179</v>
      </c>
      <c r="P3675" s="79">
        <v>45197.53533564815</v>
      </c>
      <c r="Q3675" s="77" t="s">
        <v>4449</v>
      </c>
      <c r="R3675" s="77">
        <v>0</v>
      </c>
      <c r="S3675" s="77">
        <v>2</v>
      </c>
      <c r="T3675" s="77">
        <v>1</v>
      </c>
      <c r="U3675" s="77">
        <v>0</v>
      </c>
      <c r="V3675" s="77">
        <v>555</v>
      </c>
      <c r="W3675" s="82" t="s">
        <v>6796</v>
      </c>
      <c r="X3675" s="80" t="str">
        <f>HYPERLINK("https://www.moneytimes.com.br/day-trade-hoje-comprar-prio-prio3-b3-b3sa3-acoes-quinta-feira-28-09-2023/?ttmt")</f>
        <v>https://www.moneytimes.com.br/day-trade-hoje-comprar-prio-prio3-b3-b3sa3-acoes-quinta-feira-28-09-2023/?ttmt</v>
      </c>
      <c r="Y3675" s="77" t="s">
        <v>7053</v>
      </c>
      <c r="Z3675" s="77"/>
      <c r="AA3675" s="77"/>
      <c r="AB3675" s="77"/>
      <c r="AC3675" s="82" t="s">
        <v>8232</v>
      </c>
      <c r="AD3675" s="77" t="s">
        <v>8278</v>
      </c>
      <c r="AE3675" s="80" t="str">
        <f>HYPERLINK("https://twitter.com/leiamoneytimes/status/1707377336818024952")</f>
        <v>https://twitter.com/leiamoneytimes/status/1707377336818024952</v>
      </c>
      <c r="AF3675" s="79">
        <v>45197.53533564815</v>
      </c>
      <c r="AG3675" s="85">
        <v>45197</v>
      </c>
      <c r="AH3675" s="82" t="s">
        <v>11652</v>
      </c>
      <c r="AI3675" s="77" t="b">
        <v>0</v>
      </c>
      <c r="AJ3675" s="77"/>
      <c r="AK3675" s="77"/>
      <c r="AL3675" s="77"/>
      <c r="AM3675" s="77"/>
      <c r="AN3675" s="77"/>
      <c r="AO3675" s="77"/>
      <c r="AP3675" s="77"/>
      <c r="AQ3675" s="77"/>
      <c r="AR3675" s="77"/>
      <c r="AS3675" s="77"/>
      <c r="AT3675" s="77"/>
      <c r="AU3675" s="77"/>
      <c r="AV3675" s="80" t="str">
        <f>HYPERLINK("https://pbs.twimg.com/profile_images/1559883556846977024/bXHnQFY0_normal.jpg")</f>
        <v>https://pbs.twimg.com/profile_images/1559883556846977024/bXHnQFY0_normal.jpg</v>
      </c>
      <c r="AW3675" s="82" t="s">
        <v>16759</v>
      </c>
      <c r="AX3675" s="82" t="s">
        <v>16759</v>
      </c>
      <c r="AY3675" s="77"/>
      <c r="AZ3675" s="82" t="s">
        <v>17385</v>
      </c>
      <c r="BA3675" s="82" t="s">
        <v>17385</v>
      </c>
      <c r="BB3675" s="82" t="s">
        <v>17385</v>
      </c>
      <c r="BC3675" s="82" t="s">
        <v>16759</v>
      </c>
      <c r="BD3675" s="77">
        <v>51150679</v>
      </c>
      <c r="BE3675" s="77"/>
      <c r="BF3675" s="77"/>
      <c r="BG3675" s="77"/>
      <c r="BH3675" s="77"/>
      <c r="BI3675" s="77"/>
    </row>
    <row r="3676" spans="1:61" x14ac:dyDescent="0.25">
      <c r="A3676" s="62" t="s">
        <v>605</v>
      </c>
      <c r="B3676" s="62" t="s">
        <v>605</v>
      </c>
      <c r="C3676" s="63"/>
      <c r="D3676" s="64"/>
      <c r="E3676" s="65"/>
      <c r="F3676" s="66"/>
      <c r="G3676" s="63"/>
      <c r="H3676" s="67"/>
      <c r="I3676" s="68"/>
      <c r="J3676" s="68"/>
      <c r="K3676" s="32"/>
      <c r="L3676" s="75">
        <v>3676</v>
      </c>
      <c r="M3676" s="75"/>
      <c r="N3676" s="70"/>
      <c r="O3676" s="77" t="s">
        <v>179</v>
      </c>
      <c r="P3676" s="79">
        <v>45196.838969907411</v>
      </c>
      <c r="Q3676" s="77" t="s">
        <v>4450</v>
      </c>
      <c r="R3676" s="77">
        <v>0</v>
      </c>
      <c r="S3676" s="77">
        <v>6</v>
      </c>
      <c r="T3676" s="77">
        <v>1</v>
      </c>
      <c r="U3676" s="77">
        <v>0</v>
      </c>
      <c r="V3676" s="77">
        <v>989</v>
      </c>
      <c r="W3676" s="82" t="s">
        <v>6797</v>
      </c>
      <c r="X3676" s="80" t="str">
        <f>HYPERLINK("https://www.moneytimes.com.br/por-que-petrobras-petr4-prio-prio3-e-demais-petroleiras-sobem-na-contramao-do-ibovespa-ibov/?ttmt")</f>
        <v>https://www.moneytimes.com.br/por-que-petrobras-petr4-prio-prio3-e-demais-petroleiras-sobem-na-contramao-do-ibovespa-ibov/?ttmt</v>
      </c>
      <c r="Y3676" s="77" t="s">
        <v>7053</v>
      </c>
      <c r="Z3676" s="77"/>
      <c r="AA3676" s="77"/>
      <c r="AB3676" s="77"/>
      <c r="AC3676" s="82" t="s">
        <v>8232</v>
      </c>
      <c r="AD3676" s="77" t="s">
        <v>8278</v>
      </c>
      <c r="AE3676" s="80" t="str">
        <f>HYPERLINK("https://twitter.com/leiamoneytimes/status/1707124981522419820")</f>
        <v>https://twitter.com/leiamoneytimes/status/1707124981522419820</v>
      </c>
      <c r="AF3676" s="79">
        <v>45196.838969907411</v>
      </c>
      <c r="AG3676" s="85">
        <v>45196</v>
      </c>
      <c r="AH3676" s="82" t="s">
        <v>9559</v>
      </c>
      <c r="AI3676" s="77" t="b">
        <v>0</v>
      </c>
      <c r="AJ3676" s="77"/>
      <c r="AK3676" s="77"/>
      <c r="AL3676" s="77"/>
      <c r="AM3676" s="77"/>
      <c r="AN3676" s="77"/>
      <c r="AO3676" s="77"/>
      <c r="AP3676" s="77"/>
      <c r="AQ3676" s="77"/>
      <c r="AR3676" s="77"/>
      <c r="AS3676" s="77"/>
      <c r="AT3676" s="77"/>
      <c r="AU3676" s="77"/>
      <c r="AV3676" s="80" t="str">
        <f>HYPERLINK("https://pbs.twimg.com/profile_images/1559883556846977024/bXHnQFY0_normal.jpg")</f>
        <v>https://pbs.twimg.com/profile_images/1559883556846977024/bXHnQFY0_normal.jpg</v>
      </c>
      <c r="AW3676" s="82" t="s">
        <v>16760</v>
      </c>
      <c r="AX3676" s="82" t="s">
        <v>16760</v>
      </c>
      <c r="AY3676" s="77"/>
      <c r="AZ3676" s="82" t="s">
        <v>17385</v>
      </c>
      <c r="BA3676" s="82" t="s">
        <v>17385</v>
      </c>
      <c r="BB3676" s="82" t="s">
        <v>17385</v>
      </c>
      <c r="BC3676" s="82" t="s">
        <v>16760</v>
      </c>
      <c r="BD3676" s="77">
        <v>51150679</v>
      </c>
      <c r="BE3676" s="77"/>
      <c r="BF3676" s="77"/>
      <c r="BG3676" s="77"/>
      <c r="BH3676" s="77"/>
      <c r="BI3676" s="77"/>
    </row>
    <row r="3677" spans="1:61" x14ac:dyDescent="0.25">
      <c r="A3677" s="62" t="s">
        <v>605</v>
      </c>
      <c r="B3677" s="62" t="s">
        <v>605</v>
      </c>
      <c r="C3677" s="63"/>
      <c r="D3677" s="64"/>
      <c r="E3677" s="65"/>
      <c r="F3677" s="66"/>
      <c r="G3677" s="63"/>
      <c r="H3677" s="67"/>
      <c r="I3677" s="68"/>
      <c r="J3677" s="68"/>
      <c r="K3677" s="32"/>
      <c r="L3677" s="75">
        <v>3677</v>
      </c>
      <c r="M3677" s="75"/>
      <c r="N3677" s="70"/>
      <c r="O3677" s="77" t="s">
        <v>179</v>
      </c>
      <c r="P3677" s="79">
        <v>45195.968541666669</v>
      </c>
      <c r="Q3677" s="77" t="s">
        <v>4451</v>
      </c>
      <c r="R3677" s="77">
        <v>0</v>
      </c>
      <c r="S3677" s="77">
        <v>3</v>
      </c>
      <c r="T3677" s="77">
        <v>1</v>
      </c>
      <c r="U3677" s="77">
        <v>0</v>
      </c>
      <c r="V3677" s="77">
        <v>1682</v>
      </c>
      <c r="W3677" s="82" t="s">
        <v>6798</v>
      </c>
      <c r="X3677" s="80" t="str">
        <f>HYPERLINK("https://www.moneytimes.com.br/bbse3-cxse3-ou-pssa3-uma-destas-seguradoras-e-a-rainha-dos-dividendos-segundo-analistas/?ttmt")</f>
        <v>https://www.moneytimes.com.br/bbse3-cxse3-ou-pssa3-uma-destas-seguradoras-e-a-rainha-dos-dividendos-segundo-analistas/?ttmt</v>
      </c>
      <c r="Y3677" s="77" t="s">
        <v>7053</v>
      </c>
      <c r="Z3677" s="77"/>
      <c r="AA3677" s="77"/>
      <c r="AB3677" s="77"/>
      <c r="AC3677" s="82" t="s">
        <v>8232</v>
      </c>
      <c r="AD3677" s="77" t="s">
        <v>8278</v>
      </c>
      <c r="AE3677" s="80" t="str">
        <f>HYPERLINK("https://twitter.com/leiamoneytimes/status/1706809549196308495")</f>
        <v>https://twitter.com/leiamoneytimes/status/1706809549196308495</v>
      </c>
      <c r="AF3677" s="79">
        <v>45195.968541666669</v>
      </c>
      <c r="AG3677" s="85">
        <v>45195</v>
      </c>
      <c r="AH3677" s="82" t="s">
        <v>11653</v>
      </c>
      <c r="AI3677" s="77" t="b">
        <v>0</v>
      </c>
      <c r="AJ3677" s="77"/>
      <c r="AK3677" s="77"/>
      <c r="AL3677" s="77"/>
      <c r="AM3677" s="77"/>
      <c r="AN3677" s="77"/>
      <c r="AO3677" s="77"/>
      <c r="AP3677" s="77"/>
      <c r="AQ3677" s="77"/>
      <c r="AR3677" s="77"/>
      <c r="AS3677" s="77"/>
      <c r="AT3677" s="77"/>
      <c r="AU3677" s="77"/>
      <c r="AV3677" s="80" t="str">
        <f>HYPERLINK("https://pbs.twimg.com/profile_images/1559883556846977024/bXHnQFY0_normal.jpg")</f>
        <v>https://pbs.twimg.com/profile_images/1559883556846977024/bXHnQFY0_normal.jpg</v>
      </c>
      <c r="AW3677" s="82" t="s">
        <v>16761</v>
      </c>
      <c r="AX3677" s="82" t="s">
        <v>16761</v>
      </c>
      <c r="AY3677" s="77"/>
      <c r="AZ3677" s="82" t="s">
        <v>17385</v>
      </c>
      <c r="BA3677" s="82" t="s">
        <v>17385</v>
      </c>
      <c r="BB3677" s="82" t="s">
        <v>17385</v>
      </c>
      <c r="BC3677" s="82" t="s">
        <v>16761</v>
      </c>
      <c r="BD3677" s="77">
        <v>51150679</v>
      </c>
      <c r="BE3677" s="77"/>
      <c r="BF3677" s="77"/>
      <c r="BG3677" s="77"/>
      <c r="BH3677" s="77"/>
      <c r="BI3677" s="77"/>
    </row>
    <row r="3678" spans="1:61" x14ac:dyDescent="0.25">
      <c r="A3678" s="62" t="s">
        <v>605</v>
      </c>
      <c r="B3678" s="62" t="s">
        <v>605</v>
      </c>
      <c r="C3678" s="63"/>
      <c r="D3678" s="64"/>
      <c r="E3678" s="65"/>
      <c r="F3678" s="66"/>
      <c r="G3678" s="63"/>
      <c r="H3678" s="67"/>
      <c r="I3678" s="68"/>
      <c r="J3678" s="68"/>
      <c r="K3678" s="32"/>
      <c r="L3678" s="75">
        <v>3678</v>
      </c>
      <c r="M3678" s="75"/>
      <c r="N3678" s="70"/>
      <c r="O3678" s="77" t="s">
        <v>179</v>
      </c>
      <c r="P3678" s="79">
        <v>45194.564560185187</v>
      </c>
      <c r="Q3678" s="77" t="s">
        <v>4452</v>
      </c>
      <c r="R3678" s="77">
        <v>0</v>
      </c>
      <c r="S3678" s="77">
        <v>1</v>
      </c>
      <c r="T3678" s="77">
        <v>1</v>
      </c>
      <c r="U3678" s="77">
        <v>0</v>
      </c>
      <c r="V3678" s="77">
        <v>914</v>
      </c>
      <c r="W3678" s="82" t="s">
        <v>6732</v>
      </c>
      <c r="X3678" s="80" t="str">
        <f>HYPERLINK("https://www.moneytimes.com.br/petrobras-petr4-bb-seguridade-bbse3-e-outras-acoes-para-bater-o-ibovespa-na-semana-segundo-empiricus-investimentos/?ttmt")</f>
        <v>https://www.moneytimes.com.br/petrobras-petr4-bb-seguridade-bbse3-e-outras-acoes-para-bater-o-ibovespa-na-semana-segundo-empiricus-investimentos/?ttmt</v>
      </c>
      <c r="Y3678" s="77" t="s">
        <v>7053</v>
      </c>
      <c r="Z3678" s="77"/>
      <c r="AA3678" s="77"/>
      <c r="AB3678" s="77"/>
      <c r="AC3678" s="82" t="s">
        <v>8232</v>
      </c>
      <c r="AD3678" s="77" t="s">
        <v>8278</v>
      </c>
      <c r="AE3678" s="80" t="str">
        <f>HYPERLINK("https://twitter.com/leiamoneytimes/status/1706300764950270302")</f>
        <v>https://twitter.com/leiamoneytimes/status/1706300764950270302</v>
      </c>
      <c r="AF3678" s="79">
        <v>45194.564560185187</v>
      </c>
      <c r="AG3678" s="85">
        <v>45194</v>
      </c>
      <c r="AH3678" s="82" t="s">
        <v>11654</v>
      </c>
      <c r="AI3678" s="77" t="b">
        <v>0</v>
      </c>
      <c r="AJ3678" s="77"/>
      <c r="AK3678" s="77"/>
      <c r="AL3678" s="77"/>
      <c r="AM3678" s="77"/>
      <c r="AN3678" s="77"/>
      <c r="AO3678" s="77"/>
      <c r="AP3678" s="77"/>
      <c r="AQ3678" s="77"/>
      <c r="AR3678" s="77"/>
      <c r="AS3678" s="77"/>
      <c r="AT3678" s="77"/>
      <c r="AU3678" s="77"/>
      <c r="AV3678" s="80" t="str">
        <f>HYPERLINK("https://pbs.twimg.com/profile_images/1559883556846977024/bXHnQFY0_normal.jpg")</f>
        <v>https://pbs.twimg.com/profile_images/1559883556846977024/bXHnQFY0_normal.jpg</v>
      </c>
      <c r="AW3678" s="82" t="s">
        <v>16762</v>
      </c>
      <c r="AX3678" s="82" t="s">
        <v>16762</v>
      </c>
      <c r="AY3678" s="77"/>
      <c r="AZ3678" s="82" t="s">
        <v>17385</v>
      </c>
      <c r="BA3678" s="82" t="s">
        <v>17385</v>
      </c>
      <c r="BB3678" s="82" t="s">
        <v>17385</v>
      </c>
      <c r="BC3678" s="82" t="s">
        <v>16762</v>
      </c>
      <c r="BD3678" s="77">
        <v>51150679</v>
      </c>
      <c r="BE3678" s="77"/>
      <c r="BF3678" s="77"/>
      <c r="BG3678" s="77"/>
      <c r="BH3678" s="77"/>
      <c r="BI3678" s="77"/>
    </row>
    <row r="3679" spans="1:61" x14ac:dyDescent="0.25">
      <c r="A3679" s="62" t="s">
        <v>605</v>
      </c>
      <c r="B3679" s="62" t="s">
        <v>605</v>
      </c>
      <c r="C3679" s="63"/>
      <c r="D3679" s="64"/>
      <c r="E3679" s="65"/>
      <c r="F3679" s="66"/>
      <c r="G3679" s="63"/>
      <c r="H3679" s="67"/>
      <c r="I3679" s="68"/>
      <c r="J3679" s="68"/>
      <c r="K3679" s="32"/>
      <c r="L3679" s="75">
        <v>3679</v>
      </c>
      <c r="M3679" s="75"/>
      <c r="N3679" s="70"/>
      <c r="O3679" s="77" t="s">
        <v>179</v>
      </c>
      <c r="P3679" s="79">
        <v>45194.562407407408</v>
      </c>
      <c r="Q3679" s="77" t="s">
        <v>4453</v>
      </c>
      <c r="R3679" s="77">
        <v>0</v>
      </c>
      <c r="S3679" s="77">
        <v>2</v>
      </c>
      <c r="T3679" s="77">
        <v>1</v>
      </c>
      <c r="U3679" s="77">
        <v>0</v>
      </c>
      <c r="V3679" s="77">
        <v>801</v>
      </c>
      <c r="W3679" s="82" t="s">
        <v>6799</v>
      </c>
      <c r="X3679" s="80" t="str">
        <f>HYPERLINK("http://www.moneytimes.com.br/3r-petroleum-rrrp3-btg-pactual-embolsa-milhares-de-acoes-e-eleva-participacao-a-583/?ttmt")</f>
        <v>http://www.moneytimes.com.br/3r-petroleum-rrrp3-btg-pactual-embolsa-milhares-de-acoes-e-eleva-participacao-a-583/?ttmt</v>
      </c>
      <c r="Y3679" s="77" t="s">
        <v>7053</v>
      </c>
      <c r="Z3679" s="77"/>
      <c r="AA3679" s="77"/>
      <c r="AB3679" s="77"/>
      <c r="AC3679" s="82" t="s">
        <v>8232</v>
      </c>
      <c r="AD3679" s="77" t="s">
        <v>8278</v>
      </c>
      <c r="AE3679" s="80" t="str">
        <f>HYPERLINK("https://twitter.com/leiamoneytimes/status/1706299984516108379")</f>
        <v>https://twitter.com/leiamoneytimes/status/1706299984516108379</v>
      </c>
      <c r="AF3679" s="79">
        <v>45194.562407407408</v>
      </c>
      <c r="AG3679" s="85">
        <v>45194</v>
      </c>
      <c r="AH3679" s="82" t="s">
        <v>11655</v>
      </c>
      <c r="AI3679" s="77" t="b">
        <v>0</v>
      </c>
      <c r="AJ3679" s="77"/>
      <c r="AK3679" s="77"/>
      <c r="AL3679" s="77"/>
      <c r="AM3679" s="77"/>
      <c r="AN3679" s="77"/>
      <c r="AO3679" s="77"/>
      <c r="AP3679" s="77"/>
      <c r="AQ3679" s="77"/>
      <c r="AR3679" s="77"/>
      <c r="AS3679" s="77"/>
      <c r="AT3679" s="77"/>
      <c r="AU3679" s="77"/>
      <c r="AV3679" s="80" t="str">
        <f>HYPERLINK("https://pbs.twimg.com/profile_images/1559883556846977024/bXHnQFY0_normal.jpg")</f>
        <v>https://pbs.twimg.com/profile_images/1559883556846977024/bXHnQFY0_normal.jpg</v>
      </c>
      <c r="AW3679" s="82" t="s">
        <v>16763</v>
      </c>
      <c r="AX3679" s="82" t="s">
        <v>16763</v>
      </c>
      <c r="AY3679" s="77"/>
      <c r="AZ3679" s="82" t="s">
        <v>17385</v>
      </c>
      <c r="BA3679" s="82" t="s">
        <v>17385</v>
      </c>
      <c r="BB3679" s="82" t="s">
        <v>17385</v>
      </c>
      <c r="BC3679" s="82" t="s">
        <v>16763</v>
      </c>
      <c r="BD3679" s="77">
        <v>51150679</v>
      </c>
      <c r="BE3679" s="77"/>
      <c r="BF3679" s="77"/>
      <c r="BG3679" s="77"/>
      <c r="BH3679" s="77"/>
      <c r="BI3679" s="77"/>
    </row>
    <row r="3680" spans="1:61" x14ac:dyDescent="0.25">
      <c r="A3680" s="62" t="s">
        <v>605</v>
      </c>
      <c r="B3680" s="62" t="s">
        <v>605</v>
      </c>
      <c r="C3680" s="63"/>
      <c r="D3680" s="64"/>
      <c r="E3680" s="65"/>
      <c r="F3680" s="66"/>
      <c r="G3680" s="63"/>
      <c r="H3680" s="67"/>
      <c r="I3680" s="68"/>
      <c r="J3680" s="68"/>
      <c r="K3680" s="32"/>
      <c r="L3680" s="75">
        <v>3680</v>
      </c>
      <c r="M3680" s="75"/>
      <c r="N3680" s="70"/>
      <c r="O3680" s="77" t="s">
        <v>179</v>
      </c>
      <c r="P3680" s="79">
        <v>45194.560416666667</v>
      </c>
      <c r="Q3680" s="77" t="s">
        <v>4454</v>
      </c>
      <c r="R3680" s="77">
        <v>0</v>
      </c>
      <c r="S3680" s="77">
        <v>0</v>
      </c>
      <c r="T3680" s="77">
        <v>1</v>
      </c>
      <c r="U3680" s="77">
        <v>0</v>
      </c>
      <c r="V3680" s="77">
        <v>694</v>
      </c>
      <c r="W3680" s="82" t="s">
        <v>6800</v>
      </c>
      <c r="X3680" s="80" t="str">
        <f>HYPERLINK("https://www.moneytimes.com.br/day-trade-hoje-comprar-petrobras-petr4-cielo-ciel3-acoes-segunda-feira-25-09-2023/?ttmt")</f>
        <v>https://www.moneytimes.com.br/day-trade-hoje-comprar-petrobras-petr4-cielo-ciel3-acoes-segunda-feira-25-09-2023/?ttmt</v>
      </c>
      <c r="Y3680" s="77" t="s">
        <v>7053</v>
      </c>
      <c r="Z3680" s="77"/>
      <c r="AA3680" s="77"/>
      <c r="AB3680" s="77"/>
      <c r="AC3680" s="82" t="s">
        <v>8232</v>
      </c>
      <c r="AD3680" s="77" t="s">
        <v>8278</v>
      </c>
      <c r="AE3680" s="80" t="str">
        <f>HYPERLINK("https://twitter.com/leiamoneytimes/status/1706299264115126374")</f>
        <v>https://twitter.com/leiamoneytimes/status/1706299264115126374</v>
      </c>
      <c r="AF3680" s="79">
        <v>45194.560416666667</v>
      </c>
      <c r="AG3680" s="85">
        <v>45194</v>
      </c>
      <c r="AH3680" s="82" t="s">
        <v>8648</v>
      </c>
      <c r="AI3680" s="77" t="b">
        <v>0</v>
      </c>
      <c r="AJ3680" s="77"/>
      <c r="AK3680" s="77"/>
      <c r="AL3680" s="77"/>
      <c r="AM3680" s="77"/>
      <c r="AN3680" s="77"/>
      <c r="AO3680" s="77"/>
      <c r="AP3680" s="77"/>
      <c r="AQ3680" s="77"/>
      <c r="AR3680" s="77"/>
      <c r="AS3680" s="77"/>
      <c r="AT3680" s="77"/>
      <c r="AU3680" s="77"/>
      <c r="AV3680" s="80" t="str">
        <f>HYPERLINK("https://pbs.twimg.com/profile_images/1559883556846977024/bXHnQFY0_normal.jpg")</f>
        <v>https://pbs.twimg.com/profile_images/1559883556846977024/bXHnQFY0_normal.jpg</v>
      </c>
      <c r="AW3680" s="82" t="s">
        <v>16764</v>
      </c>
      <c r="AX3680" s="82" t="s">
        <v>16764</v>
      </c>
      <c r="AY3680" s="77"/>
      <c r="AZ3680" s="82" t="s">
        <v>17385</v>
      </c>
      <c r="BA3680" s="82" t="s">
        <v>17385</v>
      </c>
      <c r="BB3680" s="82" t="s">
        <v>17385</v>
      </c>
      <c r="BC3680" s="82" t="s">
        <v>16764</v>
      </c>
      <c r="BD3680" s="77">
        <v>51150679</v>
      </c>
      <c r="BE3680" s="77"/>
      <c r="BF3680" s="77"/>
      <c r="BG3680" s="77"/>
      <c r="BH3680" s="77"/>
      <c r="BI3680" s="77"/>
    </row>
    <row r="3681" spans="1:61" x14ac:dyDescent="0.25">
      <c r="A3681" s="62" t="s">
        <v>605</v>
      </c>
      <c r="B3681" s="62" t="s">
        <v>605</v>
      </c>
      <c r="C3681" s="63"/>
      <c r="D3681" s="64"/>
      <c r="E3681" s="65"/>
      <c r="F3681" s="66"/>
      <c r="G3681" s="63"/>
      <c r="H3681" s="67"/>
      <c r="I3681" s="68"/>
      <c r="J3681" s="68"/>
      <c r="K3681" s="32"/>
      <c r="L3681" s="75">
        <v>3681</v>
      </c>
      <c r="M3681" s="75"/>
      <c r="N3681" s="70"/>
      <c r="O3681" s="77" t="s">
        <v>179</v>
      </c>
      <c r="P3681" s="79">
        <v>45192.789479166669</v>
      </c>
      <c r="Q3681" s="77" t="s">
        <v>4455</v>
      </c>
      <c r="R3681" s="77">
        <v>0</v>
      </c>
      <c r="S3681" s="77">
        <v>10</v>
      </c>
      <c r="T3681" s="77">
        <v>2</v>
      </c>
      <c r="U3681" s="77">
        <v>0</v>
      </c>
      <c r="V3681" s="77">
        <v>1633</v>
      </c>
      <c r="W3681" s="82" t="s">
        <v>6774</v>
      </c>
      <c r="X3681" s="80" t="str">
        <f>HYPERLINK("https://www.moneytimes.com.br/pagbank-aposta-petrobras-petr4-bb-seguridade-bbse3-csn-mineracao-cmin3-acoes-para-bater-ibovespa-ibov-na-semana-veja/?ttmt")</f>
        <v>https://www.moneytimes.com.br/pagbank-aposta-petrobras-petr4-bb-seguridade-bbse3-csn-mineracao-cmin3-acoes-para-bater-ibovespa-ibov-na-semana-veja/?ttmt</v>
      </c>
      <c r="Y3681" s="77" t="s">
        <v>7053</v>
      </c>
      <c r="Z3681" s="77"/>
      <c r="AA3681" s="77"/>
      <c r="AB3681" s="77"/>
      <c r="AC3681" s="82" t="s">
        <v>8232</v>
      </c>
      <c r="AD3681" s="77" t="s">
        <v>8278</v>
      </c>
      <c r="AE3681" s="80" t="str">
        <f>HYPERLINK("https://twitter.com/leiamoneytimes/status/1705657494909989289")</f>
        <v>https://twitter.com/leiamoneytimes/status/1705657494909989289</v>
      </c>
      <c r="AF3681" s="79">
        <v>45192.789479166669</v>
      </c>
      <c r="AG3681" s="85">
        <v>45192</v>
      </c>
      <c r="AH3681" s="82" t="s">
        <v>11656</v>
      </c>
      <c r="AI3681" s="77" t="b">
        <v>0</v>
      </c>
      <c r="AJ3681" s="77"/>
      <c r="AK3681" s="77"/>
      <c r="AL3681" s="77"/>
      <c r="AM3681" s="77"/>
      <c r="AN3681" s="77"/>
      <c r="AO3681" s="77"/>
      <c r="AP3681" s="77"/>
      <c r="AQ3681" s="77"/>
      <c r="AR3681" s="77"/>
      <c r="AS3681" s="77"/>
      <c r="AT3681" s="77"/>
      <c r="AU3681" s="77"/>
      <c r="AV3681" s="80" t="str">
        <f>HYPERLINK("https://pbs.twimg.com/profile_images/1559883556846977024/bXHnQFY0_normal.jpg")</f>
        <v>https://pbs.twimg.com/profile_images/1559883556846977024/bXHnQFY0_normal.jpg</v>
      </c>
      <c r="AW3681" s="82" t="s">
        <v>16765</v>
      </c>
      <c r="AX3681" s="82" t="s">
        <v>16765</v>
      </c>
      <c r="AY3681" s="77"/>
      <c r="AZ3681" s="82" t="s">
        <v>17385</v>
      </c>
      <c r="BA3681" s="82" t="s">
        <v>17385</v>
      </c>
      <c r="BB3681" s="82" t="s">
        <v>17385</v>
      </c>
      <c r="BC3681" s="82" t="s">
        <v>16765</v>
      </c>
      <c r="BD3681" s="77">
        <v>51150679</v>
      </c>
      <c r="BE3681" s="77"/>
      <c r="BF3681" s="77"/>
      <c r="BG3681" s="77"/>
      <c r="BH3681" s="77"/>
      <c r="BI3681" s="77"/>
    </row>
    <row r="3682" spans="1:61" x14ac:dyDescent="0.25">
      <c r="A3682" s="62" t="s">
        <v>605</v>
      </c>
      <c r="B3682" s="62" t="s">
        <v>605</v>
      </c>
      <c r="C3682" s="63"/>
      <c r="D3682" s="64"/>
      <c r="E3682" s="65"/>
      <c r="F3682" s="66"/>
      <c r="G3682" s="63"/>
      <c r="H3682" s="67"/>
      <c r="I3682" s="68"/>
      <c r="J3682" s="68"/>
      <c r="K3682" s="32"/>
      <c r="L3682" s="75">
        <v>3682</v>
      </c>
      <c r="M3682" s="75"/>
      <c r="N3682" s="70"/>
      <c r="O3682" s="77" t="s">
        <v>179</v>
      </c>
      <c r="P3682" s="79">
        <v>45192.668136574073</v>
      </c>
      <c r="Q3682" s="77" t="s">
        <v>4456</v>
      </c>
      <c r="R3682" s="77">
        <v>0</v>
      </c>
      <c r="S3682" s="77">
        <v>1</v>
      </c>
      <c r="T3682" s="77">
        <v>1</v>
      </c>
      <c r="U3682" s="77">
        <v>0</v>
      </c>
      <c r="V3682" s="77">
        <v>1242</v>
      </c>
      <c r="W3682" s="82" t="s">
        <v>6801</v>
      </c>
      <c r="X3682" s="80" t="str">
        <f>HYPERLINK("https://www.moneytimes.com.br/taesa-taee11-prio-prio3-acoes-para-buscar-ate-1412-na-ultima-semana-de-setembro-segundo-bb-investimentos/?ttmt")</f>
        <v>https://www.moneytimes.com.br/taesa-taee11-prio-prio3-acoes-para-buscar-ate-1412-na-ultima-semana-de-setembro-segundo-bb-investimentos/?ttmt</v>
      </c>
      <c r="Y3682" s="77" t="s">
        <v>7053</v>
      </c>
      <c r="Z3682" s="77"/>
      <c r="AA3682" s="77"/>
      <c r="AB3682" s="77"/>
      <c r="AC3682" s="82" t="s">
        <v>8232</v>
      </c>
      <c r="AD3682" s="77" t="s">
        <v>8278</v>
      </c>
      <c r="AE3682" s="80" t="str">
        <f>HYPERLINK("https://twitter.com/leiamoneytimes/status/1705613523756216631")</f>
        <v>https://twitter.com/leiamoneytimes/status/1705613523756216631</v>
      </c>
      <c r="AF3682" s="79">
        <v>45192.668136574073</v>
      </c>
      <c r="AG3682" s="85">
        <v>45192</v>
      </c>
      <c r="AH3682" s="82" t="s">
        <v>9562</v>
      </c>
      <c r="AI3682" s="77" t="b">
        <v>0</v>
      </c>
      <c r="AJ3682" s="77"/>
      <c r="AK3682" s="77"/>
      <c r="AL3682" s="77"/>
      <c r="AM3682" s="77"/>
      <c r="AN3682" s="77"/>
      <c r="AO3682" s="77"/>
      <c r="AP3682" s="77"/>
      <c r="AQ3682" s="77"/>
      <c r="AR3682" s="77"/>
      <c r="AS3682" s="77"/>
      <c r="AT3682" s="77"/>
      <c r="AU3682" s="77"/>
      <c r="AV3682" s="80" t="str">
        <f>HYPERLINK("https://pbs.twimg.com/profile_images/1559883556846977024/bXHnQFY0_normal.jpg")</f>
        <v>https://pbs.twimg.com/profile_images/1559883556846977024/bXHnQFY0_normal.jpg</v>
      </c>
      <c r="AW3682" s="82" t="s">
        <v>16766</v>
      </c>
      <c r="AX3682" s="82" t="s">
        <v>16766</v>
      </c>
      <c r="AY3682" s="77"/>
      <c r="AZ3682" s="82" t="s">
        <v>17385</v>
      </c>
      <c r="BA3682" s="82" t="s">
        <v>17385</v>
      </c>
      <c r="BB3682" s="82" t="s">
        <v>17385</v>
      </c>
      <c r="BC3682" s="82" t="s">
        <v>16766</v>
      </c>
      <c r="BD3682" s="77">
        <v>51150679</v>
      </c>
      <c r="BE3682" s="77"/>
      <c r="BF3682" s="77"/>
      <c r="BG3682" s="77"/>
      <c r="BH3682" s="77"/>
      <c r="BI3682" s="77"/>
    </row>
    <row r="3683" spans="1:61" x14ac:dyDescent="0.25">
      <c r="A3683" s="62" t="s">
        <v>605</v>
      </c>
      <c r="B3683" s="62" t="s">
        <v>605</v>
      </c>
      <c r="C3683" s="63"/>
      <c r="D3683" s="64"/>
      <c r="E3683" s="65"/>
      <c r="F3683" s="66"/>
      <c r="G3683" s="63"/>
      <c r="H3683" s="67"/>
      <c r="I3683" s="68"/>
      <c r="J3683" s="68"/>
      <c r="K3683" s="32"/>
      <c r="L3683" s="75">
        <v>3683</v>
      </c>
      <c r="M3683" s="75"/>
      <c r="N3683" s="70"/>
      <c r="O3683" s="77" t="s">
        <v>179</v>
      </c>
      <c r="P3683" s="79">
        <v>45192.665486111109</v>
      </c>
      <c r="Q3683" s="77" t="s">
        <v>4457</v>
      </c>
      <c r="R3683" s="77">
        <v>1</v>
      </c>
      <c r="S3683" s="77">
        <v>1</v>
      </c>
      <c r="T3683" s="77">
        <v>1</v>
      </c>
      <c r="U3683" s="77">
        <v>0</v>
      </c>
      <c r="V3683" s="77">
        <v>1528</v>
      </c>
      <c r="W3683" s="82" t="s">
        <v>6802</v>
      </c>
      <c r="X3683" s="80" t="str">
        <f>HYPERLINK("https://www.moneytimes.com.br/quer-dividendos-copel-cple6-itau-itub4-e-mais-8-tem-data-com-para-r-2-bilhoes-na-ultima-semana-do-mes/?ttmt")</f>
        <v>https://www.moneytimes.com.br/quer-dividendos-copel-cple6-itau-itub4-e-mais-8-tem-data-com-para-r-2-bilhoes-na-ultima-semana-do-mes/?ttmt</v>
      </c>
      <c r="Y3683" s="77" t="s">
        <v>7053</v>
      </c>
      <c r="Z3683" s="77"/>
      <c r="AA3683" s="77"/>
      <c r="AB3683" s="77"/>
      <c r="AC3683" s="82" t="s">
        <v>8232</v>
      </c>
      <c r="AD3683" s="77" t="s">
        <v>8278</v>
      </c>
      <c r="AE3683" s="80" t="str">
        <f>HYPERLINK("https://twitter.com/leiamoneytimes/status/1705612562895716396")</f>
        <v>https://twitter.com/leiamoneytimes/status/1705612562895716396</v>
      </c>
      <c r="AF3683" s="79">
        <v>45192.665486111109</v>
      </c>
      <c r="AG3683" s="85">
        <v>45192</v>
      </c>
      <c r="AH3683" s="82" t="s">
        <v>11657</v>
      </c>
      <c r="AI3683" s="77" t="b">
        <v>0</v>
      </c>
      <c r="AJ3683" s="77"/>
      <c r="AK3683" s="77"/>
      <c r="AL3683" s="77"/>
      <c r="AM3683" s="77"/>
      <c r="AN3683" s="77"/>
      <c r="AO3683" s="77"/>
      <c r="AP3683" s="77"/>
      <c r="AQ3683" s="77"/>
      <c r="AR3683" s="77"/>
      <c r="AS3683" s="77"/>
      <c r="AT3683" s="77"/>
      <c r="AU3683" s="77"/>
      <c r="AV3683" s="80" t="str">
        <f>HYPERLINK("https://pbs.twimg.com/profile_images/1559883556846977024/bXHnQFY0_normal.jpg")</f>
        <v>https://pbs.twimg.com/profile_images/1559883556846977024/bXHnQFY0_normal.jpg</v>
      </c>
      <c r="AW3683" s="82" t="s">
        <v>16767</v>
      </c>
      <c r="AX3683" s="82" t="s">
        <v>16767</v>
      </c>
      <c r="AY3683" s="77"/>
      <c r="AZ3683" s="82" t="s">
        <v>17385</v>
      </c>
      <c r="BA3683" s="82" t="s">
        <v>17385</v>
      </c>
      <c r="BB3683" s="82" t="s">
        <v>17385</v>
      </c>
      <c r="BC3683" s="82" t="s">
        <v>16767</v>
      </c>
      <c r="BD3683" s="77">
        <v>51150679</v>
      </c>
      <c r="BE3683" s="77"/>
      <c r="BF3683" s="77"/>
      <c r="BG3683" s="77"/>
      <c r="BH3683" s="77"/>
      <c r="BI3683" s="77"/>
    </row>
    <row r="3684" spans="1:61" x14ac:dyDescent="0.25">
      <c r="A3684" s="62" t="s">
        <v>605</v>
      </c>
      <c r="B3684" s="62" t="s">
        <v>605</v>
      </c>
      <c r="C3684" s="63"/>
      <c r="D3684" s="64"/>
      <c r="E3684" s="65"/>
      <c r="F3684" s="66"/>
      <c r="G3684" s="63"/>
      <c r="H3684" s="67"/>
      <c r="I3684" s="68"/>
      <c r="J3684" s="68"/>
      <c r="K3684" s="32"/>
      <c r="L3684" s="75">
        <v>3684</v>
      </c>
      <c r="M3684" s="75"/>
      <c r="N3684" s="70"/>
      <c r="O3684" s="77" t="s">
        <v>179</v>
      </c>
      <c r="P3684" s="79">
        <v>45192.583437499998</v>
      </c>
      <c r="Q3684" s="77" t="s">
        <v>4458</v>
      </c>
      <c r="R3684" s="77">
        <v>1</v>
      </c>
      <c r="S3684" s="77">
        <v>14</v>
      </c>
      <c r="T3684" s="77">
        <v>2</v>
      </c>
      <c r="U3684" s="77">
        <v>0</v>
      </c>
      <c r="V3684" s="77">
        <v>2684</v>
      </c>
      <c r="W3684" s="82" t="s">
        <v>5066</v>
      </c>
      <c r="X3684" s="80" t="str">
        <f>HYPERLINK("https://www.moneytimes.com.br/gestora-bilionaria-compra-acoes-da-cvc-cvcb3/?ttmt")</f>
        <v>https://www.moneytimes.com.br/gestora-bilionaria-compra-acoes-da-cvc-cvcb3/?ttmt</v>
      </c>
      <c r="Y3684" s="77" t="s">
        <v>7053</v>
      </c>
      <c r="Z3684" s="77"/>
      <c r="AA3684" s="77"/>
      <c r="AB3684" s="77"/>
      <c r="AC3684" s="82" t="s">
        <v>8232</v>
      </c>
      <c r="AD3684" s="77" t="s">
        <v>8278</v>
      </c>
      <c r="AE3684" s="80" t="str">
        <f>HYPERLINK("https://twitter.com/leiamoneytimes/status/1705582831957586318")</f>
        <v>https://twitter.com/leiamoneytimes/status/1705582831957586318</v>
      </c>
      <c r="AF3684" s="79">
        <v>45192.583437499998</v>
      </c>
      <c r="AG3684" s="85">
        <v>45192</v>
      </c>
      <c r="AH3684" s="82" t="s">
        <v>11658</v>
      </c>
      <c r="AI3684" s="77" t="b">
        <v>0</v>
      </c>
      <c r="AJ3684" s="77"/>
      <c r="AK3684" s="77"/>
      <c r="AL3684" s="77"/>
      <c r="AM3684" s="77"/>
      <c r="AN3684" s="77"/>
      <c r="AO3684" s="77"/>
      <c r="AP3684" s="77"/>
      <c r="AQ3684" s="77"/>
      <c r="AR3684" s="77"/>
      <c r="AS3684" s="77"/>
      <c r="AT3684" s="77"/>
      <c r="AU3684" s="77"/>
      <c r="AV3684" s="80" t="str">
        <f>HYPERLINK("https://pbs.twimg.com/profile_images/1559883556846977024/bXHnQFY0_normal.jpg")</f>
        <v>https://pbs.twimg.com/profile_images/1559883556846977024/bXHnQFY0_normal.jpg</v>
      </c>
      <c r="AW3684" s="82" t="s">
        <v>16768</v>
      </c>
      <c r="AX3684" s="82" t="s">
        <v>16768</v>
      </c>
      <c r="AY3684" s="77"/>
      <c r="AZ3684" s="82" t="s">
        <v>17385</v>
      </c>
      <c r="BA3684" s="82" t="s">
        <v>17385</v>
      </c>
      <c r="BB3684" s="82" t="s">
        <v>17385</v>
      </c>
      <c r="BC3684" s="82" t="s">
        <v>16768</v>
      </c>
      <c r="BD3684" s="77">
        <v>51150679</v>
      </c>
      <c r="BE3684" s="77"/>
      <c r="BF3684" s="77"/>
      <c r="BG3684" s="77"/>
      <c r="BH3684" s="77"/>
      <c r="BI3684" s="77"/>
    </row>
    <row r="3685" spans="1:61" x14ac:dyDescent="0.25">
      <c r="A3685" s="62" t="s">
        <v>605</v>
      </c>
      <c r="B3685" s="62" t="s">
        <v>605</v>
      </c>
      <c r="C3685" s="63"/>
      <c r="D3685" s="64"/>
      <c r="E3685" s="65"/>
      <c r="F3685" s="66"/>
      <c r="G3685" s="63"/>
      <c r="H3685" s="67"/>
      <c r="I3685" s="68"/>
      <c r="J3685" s="68"/>
      <c r="K3685" s="32"/>
      <c r="L3685" s="75">
        <v>3685</v>
      </c>
      <c r="M3685" s="75"/>
      <c r="N3685" s="70"/>
      <c r="O3685" s="77" t="s">
        <v>179</v>
      </c>
      <c r="P3685" s="79">
        <v>45192.581875000003</v>
      </c>
      <c r="Q3685" s="77" t="s">
        <v>4459</v>
      </c>
      <c r="R3685" s="77">
        <v>0</v>
      </c>
      <c r="S3685" s="77">
        <v>1</v>
      </c>
      <c r="T3685" s="77">
        <v>1</v>
      </c>
      <c r="U3685" s="77">
        <v>0</v>
      </c>
      <c r="V3685" s="77">
        <v>1434</v>
      </c>
      <c r="W3685" s="82" t="s">
        <v>6803</v>
      </c>
      <c r="X3685" s="80" t="str">
        <f>HYPERLINK("https://www.moneytimes.com.br/magazine-luiza-mglu3-com-recuo-de-casas-bahia-bhia3-dividendos-extras-e-outros-destaques-em-comprar-ou-vender/?ttmt")</f>
        <v>https://www.moneytimes.com.br/magazine-luiza-mglu3-com-recuo-de-casas-bahia-bhia3-dividendos-extras-e-outros-destaques-em-comprar-ou-vender/?ttmt</v>
      </c>
      <c r="Y3685" s="77" t="s">
        <v>7053</v>
      </c>
      <c r="Z3685" s="77"/>
      <c r="AA3685" s="77"/>
      <c r="AB3685" s="77"/>
      <c r="AC3685" s="82" t="s">
        <v>8232</v>
      </c>
      <c r="AD3685" s="77" t="s">
        <v>8278</v>
      </c>
      <c r="AE3685" s="80" t="str">
        <f>HYPERLINK("https://twitter.com/leiamoneytimes/status/1705582263327494252")</f>
        <v>https://twitter.com/leiamoneytimes/status/1705582263327494252</v>
      </c>
      <c r="AF3685" s="79">
        <v>45192.581875000003</v>
      </c>
      <c r="AG3685" s="85">
        <v>45192</v>
      </c>
      <c r="AH3685" s="82" t="s">
        <v>11659</v>
      </c>
      <c r="AI3685" s="77" t="b">
        <v>0</v>
      </c>
      <c r="AJ3685" s="77"/>
      <c r="AK3685" s="77"/>
      <c r="AL3685" s="77"/>
      <c r="AM3685" s="77"/>
      <c r="AN3685" s="77"/>
      <c r="AO3685" s="77"/>
      <c r="AP3685" s="77"/>
      <c r="AQ3685" s="77"/>
      <c r="AR3685" s="77"/>
      <c r="AS3685" s="77"/>
      <c r="AT3685" s="77"/>
      <c r="AU3685" s="77"/>
      <c r="AV3685" s="80" t="str">
        <f>HYPERLINK("https://pbs.twimg.com/profile_images/1559883556846977024/bXHnQFY0_normal.jpg")</f>
        <v>https://pbs.twimg.com/profile_images/1559883556846977024/bXHnQFY0_normal.jpg</v>
      </c>
      <c r="AW3685" s="82" t="s">
        <v>16769</v>
      </c>
      <c r="AX3685" s="82" t="s">
        <v>16769</v>
      </c>
      <c r="AY3685" s="77"/>
      <c r="AZ3685" s="82" t="s">
        <v>17385</v>
      </c>
      <c r="BA3685" s="82" t="s">
        <v>17385</v>
      </c>
      <c r="BB3685" s="82" t="s">
        <v>17385</v>
      </c>
      <c r="BC3685" s="82" t="s">
        <v>16769</v>
      </c>
      <c r="BD3685" s="77">
        <v>51150679</v>
      </c>
      <c r="BE3685" s="77"/>
      <c r="BF3685" s="77"/>
      <c r="BG3685" s="77"/>
      <c r="BH3685" s="77"/>
      <c r="BI3685" s="77"/>
    </row>
    <row r="3686" spans="1:61" x14ac:dyDescent="0.25">
      <c r="A3686" s="62" t="s">
        <v>605</v>
      </c>
      <c r="B3686" s="62" t="s">
        <v>605</v>
      </c>
      <c r="C3686" s="63"/>
      <c r="D3686" s="64"/>
      <c r="E3686" s="65"/>
      <c r="F3686" s="66"/>
      <c r="G3686" s="63"/>
      <c r="H3686" s="67"/>
      <c r="I3686" s="68"/>
      <c r="J3686" s="68"/>
      <c r="K3686" s="32"/>
      <c r="L3686" s="75">
        <v>3686</v>
      </c>
      <c r="M3686" s="75"/>
      <c r="N3686" s="70"/>
      <c r="O3686" s="77" t="s">
        <v>179</v>
      </c>
      <c r="P3686" s="79">
        <v>45190.969282407408</v>
      </c>
      <c r="Q3686" s="77" t="s">
        <v>4460</v>
      </c>
      <c r="R3686" s="77">
        <v>1</v>
      </c>
      <c r="S3686" s="77">
        <v>6</v>
      </c>
      <c r="T3686" s="77">
        <v>1</v>
      </c>
      <c r="U3686" s="77">
        <v>0</v>
      </c>
      <c r="V3686" s="77">
        <v>2338</v>
      </c>
      <c r="W3686" s="82" t="s">
        <v>6804</v>
      </c>
      <c r="X3686" s="80" t="str">
        <f>HYPERLINK("https://www.moneytimes.com.br/itau-bba-troca-varejista-por-construtora-que-salta-quase-70-na-bolsa-em-2023-veja-as-5-acoes-do-momento/?ttmt")</f>
        <v>https://www.moneytimes.com.br/itau-bba-troca-varejista-por-construtora-que-salta-quase-70-na-bolsa-em-2023-veja-as-5-acoes-do-momento/?ttmt</v>
      </c>
      <c r="Y3686" s="77" t="s">
        <v>7053</v>
      </c>
      <c r="Z3686" s="77"/>
      <c r="AA3686" s="77"/>
      <c r="AB3686" s="77"/>
      <c r="AC3686" s="82" t="s">
        <v>8232</v>
      </c>
      <c r="AD3686" s="77" t="s">
        <v>8278</v>
      </c>
      <c r="AE3686" s="80" t="str">
        <f>HYPERLINK("https://twitter.com/leiamoneytimes/status/1704997878932947327")</f>
        <v>https://twitter.com/leiamoneytimes/status/1704997878932947327</v>
      </c>
      <c r="AF3686" s="79">
        <v>45190.969282407408</v>
      </c>
      <c r="AG3686" s="85">
        <v>45190</v>
      </c>
      <c r="AH3686" s="82" t="s">
        <v>11660</v>
      </c>
      <c r="AI3686" s="77" t="b">
        <v>0</v>
      </c>
      <c r="AJ3686" s="77"/>
      <c r="AK3686" s="77"/>
      <c r="AL3686" s="77"/>
      <c r="AM3686" s="77"/>
      <c r="AN3686" s="77"/>
      <c r="AO3686" s="77"/>
      <c r="AP3686" s="77"/>
      <c r="AQ3686" s="77"/>
      <c r="AR3686" s="77"/>
      <c r="AS3686" s="77"/>
      <c r="AT3686" s="77"/>
      <c r="AU3686" s="77"/>
      <c r="AV3686" s="80" t="str">
        <f>HYPERLINK("https://pbs.twimg.com/profile_images/1559883556846977024/bXHnQFY0_normal.jpg")</f>
        <v>https://pbs.twimg.com/profile_images/1559883556846977024/bXHnQFY0_normal.jpg</v>
      </c>
      <c r="AW3686" s="82" t="s">
        <v>16770</v>
      </c>
      <c r="AX3686" s="82" t="s">
        <v>16770</v>
      </c>
      <c r="AY3686" s="77"/>
      <c r="AZ3686" s="82" t="s">
        <v>17385</v>
      </c>
      <c r="BA3686" s="82" t="s">
        <v>17385</v>
      </c>
      <c r="BB3686" s="82" t="s">
        <v>17385</v>
      </c>
      <c r="BC3686" s="82" t="s">
        <v>16770</v>
      </c>
      <c r="BD3686" s="77">
        <v>51150679</v>
      </c>
      <c r="BE3686" s="77"/>
      <c r="BF3686" s="77"/>
      <c r="BG3686" s="77"/>
      <c r="BH3686" s="77"/>
      <c r="BI3686" s="77"/>
    </row>
    <row r="3687" spans="1:61" x14ac:dyDescent="0.25">
      <c r="A3687" s="62" t="s">
        <v>605</v>
      </c>
      <c r="B3687" s="62" t="s">
        <v>605</v>
      </c>
      <c r="C3687" s="63"/>
      <c r="D3687" s="64"/>
      <c r="E3687" s="65"/>
      <c r="F3687" s="66"/>
      <c r="G3687" s="63"/>
      <c r="H3687" s="67"/>
      <c r="I3687" s="68"/>
      <c r="J3687" s="68"/>
      <c r="K3687" s="32"/>
      <c r="L3687" s="75">
        <v>3687</v>
      </c>
      <c r="M3687" s="75"/>
      <c r="N3687" s="70"/>
      <c r="O3687" s="77" t="s">
        <v>179</v>
      </c>
      <c r="P3687" s="79">
        <v>45190.968252314815</v>
      </c>
      <c r="Q3687" s="77" t="s">
        <v>4461</v>
      </c>
      <c r="R3687" s="77">
        <v>1</v>
      </c>
      <c r="S3687" s="77">
        <v>4</v>
      </c>
      <c r="T3687" s="77">
        <v>1</v>
      </c>
      <c r="U3687" s="77">
        <v>0</v>
      </c>
      <c r="V3687" s="77">
        <v>1156</v>
      </c>
      <c r="W3687" s="82" t="s">
        <v>6805</v>
      </c>
      <c r="X3687" s="80" t="str">
        <f>HYPERLINK("https://www.moneytimes.com.br/lojas-renner-aprova-r-1717-milhoes-em-jcp-saiba-como-receber-parte-do-dinheiro/?ttmt")</f>
        <v>https://www.moneytimes.com.br/lojas-renner-aprova-r-1717-milhoes-em-jcp-saiba-como-receber-parte-do-dinheiro/?ttmt</v>
      </c>
      <c r="Y3687" s="77" t="s">
        <v>7053</v>
      </c>
      <c r="Z3687" s="77"/>
      <c r="AA3687" s="77"/>
      <c r="AB3687" s="77"/>
      <c r="AC3687" s="82" t="s">
        <v>8232</v>
      </c>
      <c r="AD3687" s="77" t="s">
        <v>8278</v>
      </c>
      <c r="AE3687" s="80" t="str">
        <f>HYPERLINK("https://twitter.com/leiamoneytimes/status/1704997504822006177")</f>
        <v>https://twitter.com/leiamoneytimes/status/1704997504822006177</v>
      </c>
      <c r="AF3687" s="79">
        <v>45190.968252314815</v>
      </c>
      <c r="AG3687" s="85">
        <v>45190</v>
      </c>
      <c r="AH3687" s="82" t="s">
        <v>11661</v>
      </c>
      <c r="AI3687" s="77" t="b">
        <v>0</v>
      </c>
      <c r="AJ3687" s="77"/>
      <c r="AK3687" s="77"/>
      <c r="AL3687" s="77"/>
      <c r="AM3687" s="77"/>
      <c r="AN3687" s="77"/>
      <c r="AO3687" s="77"/>
      <c r="AP3687" s="77"/>
      <c r="AQ3687" s="77"/>
      <c r="AR3687" s="77"/>
      <c r="AS3687" s="77"/>
      <c r="AT3687" s="77"/>
      <c r="AU3687" s="77"/>
      <c r="AV3687" s="80" t="str">
        <f>HYPERLINK("https://pbs.twimg.com/profile_images/1559883556846977024/bXHnQFY0_normal.jpg")</f>
        <v>https://pbs.twimg.com/profile_images/1559883556846977024/bXHnQFY0_normal.jpg</v>
      </c>
      <c r="AW3687" s="82" t="s">
        <v>16771</v>
      </c>
      <c r="AX3687" s="82" t="s">
        <v>16771</v>
      </c>
      <c r="AY3687" s="77"/>
      <c r="AZ3687" s="82" t="s">
        <v>17385</v>
      </c>
      <c r="BA3687" s="82" t="s">
        <v>17385</v>
      </c>
      <c r="BB3687" s="82" t="s">
        <v>17385</v>
      </c>
      <c r="BC3687" s="82" t="s">
        <v>16771</v>
      </c>
      <c r="BD3687" s="77">
        <v>51150679</v>
      </c>
      <c r="BE3687" s="77"/>
      <c r="BF3687" s="77"/>
      <c r="BG3687" s="77"/>
      <c r="BH3687" s="77"/>
      <c r="BI3687" s="77"/>
    </row>
    <row r="3688" spans="1:61" x14ac:dyDescent="0.25">
      <c r="A3688" s="62" t="s">
        <v>605</v>
      </c>
      <c r="B3688" s="62" t="s">
        <v>605</v>
      </c>
      <c r="C3688" s="63"/>
      <c r="D3688" s="64"/>
      <c r="E3688" s="65"/>
      <c r="F3688" s="66"/>
      <c r="G3688" s="63"/>
      <c r="H3688" s="67"/>
      <c r="I3688" s="68"/>
      <c r="J3688" s="68"/>
      <c r="K3688" s="32"/>
      <c r="L3688" s="75">
        <v>3688</v>
      </c>
      <c r="M3688" s="75"/>
      <c r="N3688" s="70"/>
      <c r="O3688" s="77" t="s">
        <v>179</v>
      </c>
      <c r="P3688" s="79">
        <v>45189.988252314812</v>
      </c>
      <c r="Q3688" s="77" t="s">
        <v>4462</v>
      </c>
      <c r="R3688" s="77">
        <v>0</v>
      </c>
      <c r="S3688" s="77">
        <v>1</v>
      </c>
      <c r="T3688" s="77">
        <v>1</v>
      </c>
      <c r="U3688" s="77">
        <v>0</v>
      </c>
      <c r="V3688" s="77">
        <v>1174</v>
      </c>
      <c r="W3688" s="82" t="s">
        <v>6803</v>
      </c>
      <c r="X3688" s="80" t="str">
        <f>HYPERLINK("https://www.moneytimes.com.br/track-field-tfco4-varejista-paga-milhoes-em-juros-sobre-capital-proprio-jcp-veja/?ttmt")</f>
        <v>https://www.moneytimes.com.br/track-field-tfco4-varejista-paga-milhoes-em-juros-sobre-capital-proprio-jcp-veja/?ttmt</v>
      </c>
      <c r="Y3688" s="77" t="s">
        <v>7053</v>
      </c>
      <c r="Z3688" s="77"/>
      <c r="AA3688" s="77"/>
      <c r="AB3688" s="77"/>
      <c r="AC3688" s="82" t="s">
        <v>8232</v>
      </c>
      <c r="AD3688" s="77" t="s">
        <v>8278</v>
      </c>
      <c r="AE3688" s="80" t="str">
        <f>HYPERLINK("https://twitter.com/leiamoneytimes/status/1704642366856999094")</f>
        <v>https://twitter.com/leiamoneytimes/status/1704642366856999094</v>
      </c>
      <c r="AF3688" s="79">
        <v>45189.988252314812</v>
      </c>
      <c r="AG3688" s="85">
        <v>45189</v>
      </c>
      <c r="AH3688" s="82" t="s">
        <v>11662</v>
      </c>
      <c r="AI3688" s="77" t="b">
        <v>0</v>
      </c>
      <c r="AJ3688" s="77"/>
      <c r="AK3688" s="77"/>
      <c r="AL3688" s="77"/>
      <c r="AM3688" s="77"/>
      <c r="AN3688" s="77"/>
      <c r="AO3688" s="77"/>
      <c r="AP3688" s="77"/>
      <c r="AQ3688" s="77"/>
      <c r="AR3688" s="77"/>
      <c r="AS3688" s="77"/>
      <c r="AT3688" s="77"/>
      <c r="AU3688" s="77"/>
      <c r="AV3688" s="80" t="str">
        <f>HYPERLINK("https://pbs.twimg.com/profile_images/1559883556846977024/bXHnQFY0_normal.jpg")</f>
        <v>https://pbs.twimg.com/profile_images/1559883556846977024/bXHnQFY0_normal.jpg</v>
      </c>
      <c r="AW3688" s="82" t="s">
        <v>16772</v>
      </c>
      <c r="AX3688" s="82" t="s">
        <v>16772</v>
      </c>
      <c r="AY3688" s="77"/>
      <c r="AZ3688" s="82" t="s">
        <v>17385</v>
      </c>
      <c r="BA3688" s="82" t="s">
        <v>17385</v>
      </c>
      <c r="BB3688" s="82" t="s">
        <v>17385</v>
      </c>
      <c r="BC3688" s="82" t="s">
        <v>16772</v>
      </c>
      <c r="BD3688" s="77">
        <v>51150679</v>
      </c>
      <c r="BE3688" s="77"/>
      <c r="BF3688" s="77"/>
      <c r="BG3688" s="77"/>
      <c r="BH3688" s="77"/>
      <c r="BI3688" s="77"/>
    </row>
    <row r="3689" spans="1:61" x14ac:dyDescent="0.25">
      <c r="A3689" s="62" t="s">
        <v>605</v>
      </c>
      <c r="B3689" s="62" t="s">
        <v>605</v>
      </c>
      <c r="C3689" s="63"/>
      <c r="D3689" s="64"/>
      <c r="E3689" s="65"/>
      <c r="F3689" s="66"/>
      <c r="G3689" s="63"/>
      <c r="H3689" s="67"/>
      <c r="I3689" s="68"/>
      <c r="J3689" s="68"/>
      <c r="K3689" s="32"/>
      <c r="L3689" s="75">
        <v>3689</v>
      </c>
      <c r="M3689" s="75"/>
      <c r="N3689" s="70"/>
      <c r="O3689" s="77" t="s">
        <v>179</v>
      </c>
      <c r="P3689" s="79">
        <v>45189.979097222225</v>
      </c>
      <c r="Q3689" s="77" t="s">
        <v>4463</v>
      </c>
      <c r="R3689" s="77">
        <v>0</v>
      </c>
      <c r="S3689" s="77">
        <v>5</v>
      </c>
      <c r="T3689" s="77">
        <v>1</v>
      </c>
      <c r="U3689" s="77">
        <v>0</v>
      </c>
      <c r="V3689" s="77">
        <v>1098</v>
      </c>
      <c r="W3689" s="82" t="s">
        <v>6806</v>
      </c>
      <c r="X3689" s="80" t="str">
        <f>HYPERLINK("https://www.moneytimes.com.br/ibovespa-ibov-sobe-nesta-quinta-21-por-que-corte-na-selic-pode-nao-segurar-alta-do-indice-segundo-especialistas/?ttmt")</f>
        <v>https://www.moneytimes.com.br/ibovespa-ibov-sobe-nesta-quinta-21-por-que-corte-na-selic-pode-nao-segurar-alta-do-indice-segundo-especialistas/?ttmt</v>
      </c>
      <c r="Y3689" s="77" t="s">
        <v>7053</v>
      </c>
      <c r="Z3689" s="77"/>
      <c r="AA3689" s="77"/>
      <c r="AB3689" s="77"/>
      <c r="AC3689" s="82" t="s">
        <v>8232</v>
      </c>
      <c r="AD3689" s="77" t="s">
        <v>8278</v>
      </c>
      <c r="AE3689" s="80" t="str">
        <f>HYPERLINK("https://twitter.com/leiamoneytimes/status/1704639046570381548")</f>
        <v>https://twitter.com/leiamoneytimes/status/1704639046570381548</v>
      </c>
      <c r="AF3689" s="79">
        <v>45189.979097222225</v>
      </c>
      <c r="AG3689" s="85">
        <v>45189</v>
      </c>
      <c r="AH3689" s="82" t="s">
        <v>11663</v>
      </c>
      <c r="AI3689" s="77" t="b">
        <v>0</v>
      </c>
      <c r="AJ3689" s="77"/>
      <c r="AK3689" s="77"/>
      <c r="AL3689" s="77"/>
      <c r="AM3689" s="77"/>
      <c r="AN3689" s="77"/>
      <c r="AO3689" s="77"/>
      <c r="AP3689" s="77"/>
      <c r="AQ3689" s="77"/>
      <c r="AR3689" s="77"/>
      <c r="AS3689" s="77"/>
      <c r="AT3689" s="77"/>
      <c r="AU3689" s="77"/>
      <c r="AV3689" s="80" t="str">
        <f>HYPERLINK("https://pbs.twimg.com/profile_images/1559883556846977024/bXHnQFY0_normal.jpg")</f>
        <v>https://pbs.twimg.com/profile_images/1559883556846977024/bXHnQFY0_normal.jpg</v>
      </c>
      <c r="AW3689" s="82" t="s">
        <v>16773</v>
      </c>
      <c r="AX3689" s="82" t="s">
        <v>16773</v>
      </c>
      <c r="AY3689" s="77"/>
      <c r="AZ3689" s="82" t="s">
        <v>17385</v>
      </c>
      <c r="BA3689" s="82" t="s">
        <v>17385</v>
      </c>
      <c r="BB3689" s="82" t="s">
        <v>17385</v>
      </c>
      <c r="BC3689" s="82" t="s">
        <v>16773</v>
      </c>
      <c r="BD3689" s="77">
        <v>51150679</v>
      </c>
      <c r="BE3689" s="77"/>
      <c r="BF3689" s="77"/>
      <c r="BG3689" s="77"/>
      <c r="BH3689" s="77"/>
      <c r="BI3689" s="77"/>
    </row>
    <row r="3690" spans="1:61" x14ac:dyDescent="0.25">
      <c r="A3690" s="62" t="s">
        <v>605</v>
      </c>
      <c r="B3690" s="62" t="s">
        <v>605</v>
      </c>
      <c r="C3690" s="63"/>
      <c r="D3690" s="64"/>
      <c r="E3690" s="65"/>
      <c r="F3690" s="66"/>
      <c r="G3690" s="63"/>
      <c r="H3690" s="67"/>
      <c r="I3690" s="68"/>
      <c r="J3690" s="68"/>
      <c r="K3690" s="32"/>
      <c r="L3690" s="75">
        <v>3690</v>
      </c>
      <c r="M3690" s="75"/>
      <c r="N3690" s="70"/>
      <c r="O3690" s="77" t="s">
        <v>179</v>
      </c>
      <c r="P3690" s="79">
        <v>45189.916712962964</v>
      </c>
      <c r="Q3690" s="77" t="s">
        <v>4464</v>
      </c>
      <c r="R3690" s="77">
        <v>0</v>
      </c>
      <c r="S3690" s="77">
        <v>3</v>
      </c>
      <c r="T3690" s="77">
        <v>1</v>
      </c>
      <c r="U3690" s="77">
        <v>0</v>
      </c>
      <c r="V3690" s="77">
        <v>943</v>
      </c>
      <c r="W3690" s="82" t="s">
        <v>6807</v>
      </c>
      <c r="X3690" s="80" t="str">
        <f>HYPERLINK("https://www.moneytimes.com.br/copel-cple6-distribuira-mais-de-r-900-milhoes-em-jcp-aos-acionistas-confira-as-datas/?ttmt")</f>
        <v>https://www.moneytimes.com.br/copel-cple6-distribuira-mais-de-r-900-milhoes-em-jcp-aos-acionistas-confira-as-datas/?ttmt</v>
      </c>
      <c r="Y3690" s="77" t="s">
        <v>7053</v>
      </c>
      <c r="Z3690" s="77"/>
      <c r="AA3690" s="77"/>
      <c r="AB3690" s="77"/>
      <c r="AC3690" s="82" t="s">
        <v>8232</v>
      </c>
      <c r="AD3690" s="77" t="s">
        <v>8278</v>
      </c>
      <c r="AE3690" s="80" t="str">
        <f>HYPERLINK("https://twitter.com/leiamoneytimes/status/1704616442887344610")</f>
        <v>https://twitter.com/leiamoneytimes/status/1704616442887344610</v>
      </c>
      <c r="AF3690" s="79">
        <v>45189.916712962964</v>
      </c>
      <c r="AG3690" s="85">
        <v>45189</v>
      </c>
      <c r="AH3690" s="82" t="s">
        <v>11664</v>
      </c>
      <c r="AI3690" s="77" t="b">
        <v>0</v>
      </c>
      <c r="AJ3690" s="77"/>
      <c r="AK3690" s="77"/>
      <c r="AL3690" s="77"/>
      <c r="AM3690" s="77"/>
      <c r="AN3690" s="77"/>
      <c r="AO3690" s="77"/>
      <c r="AP3690" s="77"/>
      <c r="AQ3690" s="77"/>
      <c r="AR3690" s="77"/>
      <c r="AS3690" s="77"/>
      <c r="AT3690" s="77"/>
      <c r="AU3690" s="77"/>
      <c r="AV3690" s="80" t="str">
        <f>HYPERLINK("https://pbs.twimg.com/profile_images/1559883556846977024/bXHnQFY0_normal.jpg")</f>
        <v>https://pbs.twimg.com/profile_images/1559883556846977024/bXHnQFY0_normal.jpg</v>
      </c>
      <c r="AW3690" s="82" t="s">
        <v>16774</v>
      </c>
      <c r="AX3690" s="82" t="s">
        <v>16774</v>
      </c>
      <c r="AY3690" s="77"/>
      <c r="AZ3690" s="82" t="s">
        <v>17385</v>
      </c>
      <c r="BA3690" s="82" t="s">
        <v>17385</v>
      </c>
      <c r="BB3690" s="82" t="s">
        <v>17385</v>
      </c>
      <c r="BC3690" s="82" t="s">
        <v>16774</v>
      </c>
      <c r="BD3690" s="77">
        <v>51150679</v>
      </c>
      <c r="BE3690" s="77"/>
      <c r="BF3690" s="77"/>
      <c r="BG3690" s="77"/>
      <c r="BH3690" s="77"/>
      <c r="BI3690" s="77"/>
    </row>
    <row r="3691" spans="1:61" x14ac:dyDescent="0.25">
      <c r="A3691" s="62" t="s">
        <v>605</v>
      </c>
      <c r="B3691" s="62" t="s">
        <v>605</v>
      </c>
      <c r="C3691" s="63"/>
      <c r="D3691" s="64"/>
      <c r="E3691" s="65"/>
      <c r="F3691" s="66"/>
      <c r="G3691" s="63"/>
      <c r="H3691" s="67"/>
      <c r="I3691" s="68"/>
      <c r="J3691" s="68"/>
      <c r="K3691" s="32"/>
      <c r="L3691" s="75">
        <v>3691</v>
      </c>
      <c r="M3691" s="75"/>
      <c r="N3691" s="70"/>
      <c r="O3691" s="77" t="s">
        <v>179</v>
      </c>
      <c r="P3691" s="79">
        <v>45187.806828703702</v>
      </c>
      <c r="Q3691" s="77" t="s">
        <v>4465</v>
      </c>
      <c r="R3691" s="77">
        <v>0</v>
      </c>
      <c r="S3691" s="77">
        <v>2</v>
      </c>
      <c r="T3691" s="77">
        <v>0</v>
      </c>
      <c r="U3691" s="77">
        <v>0</v>
      </c>
      <c r="V3691" s="77">
        <v>1201</v>
      </c>
      <c r="W3691" s="82" t="s">
        <v>6808</v>
      </c>
      <c r="X3691" s="80" t="str">
        <f>HYPERLINK("https://www.moneytimes.com.br/potencial-de-alta-de-45-com-posicoes-vendidas-em-nivel-recorde-acao-desta-varejista-vale-compra-defende-xp/?ttmt")</f>
        <v>https://www.moneytimes.com.br/potencial-de-alta-de-45-com-posicoes-vendidas-em-nivel-recorde-acao-desta-varejista-vale-compra-defende-xp/?ttmt</v>
      </c>
      <c r="Y3691" s="77" t="s">
        <v>7053</v>
      </c>
      <c r="Z3691" s="77"/>
      <c r="AA3691" s="77"/>
      <c r="AB3691" s="77"/>
      <c r="AC3691" s="82" t="s">
        <v>8232</v>
      </c>
      <c r="AD3691" s="77" t="s">
        <v>8278</v>
      </c>
      <c r="AE3691" s="80" t="str">
        <f>HYPERLINK("https://twitter.com/leiamoneytimes/status/1703851845972631728")</f>
        <v>https://twitter.com/leiamoneytimes/status/1703851845972631728</v>
      </c>
      <c r="AF3691" s="79">
        <v>45187.806828703702</v>
      </c>
      <c r="AG3691" s="85">
        <v>45187</v>
      </c>
      <c r="AH3691" s="82" t="s">
        <v>11665</v>
      </c>
      <c r="AI3691" s="77" t="b">
        <v>0</v>
      </c>
      <c r="AJ3691" s="77"/>
      <c r="AK3691" s="77"/>
      <c r="AL3691" s="77"/>
      <c r="AM3691" s="77"/>
      <c r="AN3691" s="77"/>
      <c r="AO3691" s="77"/>
      <c r="AP3691" s="77"/>
      <c r="AQ3691" s="77"/>
      <c r="AR3691" s="77"/>
      <c r="AS3691" s="77"/>
      <c r="AT3691" s="77"/>
      <c r="AU3691" s="77"/>
      <c r="AV3691" s="80" t="str">
        <f>HYPERLINK("https://pbs.twimg.com/profile_images/1559883556846977024/bXHnQFY0_normal.jpg")</f>
        <v>https://pbs.twimg.com/profile_images/1559883556846977024/bXHnQFY0_normal.jpg</v>
      </c>
      <c r="AW3691" s="82" t="s">
        <v>16775</v>
      </c>
      <c r="AX3691" s="82" t="s">
        <v>16775</v>
      </c>
      <c r="AY3691" s="77"/>
      <c r="AZ3691" s="82" t="s">
        <v>17385</v>
      </c>
      <c r="BA3691" s="82" t="s">
        <v>17385</v>
      </c>
      <c r="BB3691" s="82" t="s">
        <v>17385</v>
      </c>
      <c r="BC3691" s="82" t="s">
        <v>16775</v>
      </c>
      <c r="BD3691" s="77">
        <v>51150679</v>
      </c>
      <c r="BE3691" s="77"/>
      <c r="BF3691" s="77"/>
      <c r="BG3691" s="77"/>
      <c r="BH3691" s="77"/>
      <c r="BI3691" s="77"/>
    </row>
    <row r="3692" spans="1:61" x14ac:dyDescent="0.25">
      <c r="A3692" s="62" t="s">
        <v>605</v>
      </c>
      <c r="B3692" s="62" t="s">
        <v>605</v>
      </c>
      <c r="C3692" s="63"/>
      <c r="D3692" s="64"/>
      <c r="E3692" s="65"/>
      <c r="F3692" s="66"/>
      <c r="G3692" s="63"/>
      <c r="H3692" s="67"/>
      <c r="I3692" s="68"/>
      <c r="J3692" s="68"/>
      <c r="K3692" s="32"/>
      <c r="L3692" s="75">
        <v>3692</v>
      </c>
      <c r="M3692" s="75"/>
      <c r="N3692" s="70"/>
      <c r="O3692" s="77" t="s">
        <v>179</v>
      </c>
      <c r="P3692" s="79">
        <v>45187.766898148147</v>
      </c>
      <c r="Q3692" s="77" t="s">
        <v>4466</v>
      </c>
      <c r="R3692" s="77">
        <v>0</v>
      </c>
      <c r="S3692" s="77">
        <v>5</v>
      </c>
      <c r="T3692" s="77">
        <v>0</v>
      </c>
      <c r="U3692" s="77">
        <v>0</v>
      </c>
      <c r="V3692" s="77">
        <v>1243</v>
      </c>
      <c r="W3692" s="82" t="s">
        <v>6809</v>
      </c>
      <c r="X3692" s="80" t="str">
        <f>HYPERLINK("https://www.moneytimes.com.br/vale-vale3-e-mais-duas-acoes-favoritas-para-a-semana-segundo-9-corretoras/?ttmt")</f>
        <v>https://www.moneytimes.com.br/vale-vale3-e-mais-duas-acoes-favoritas-para-a-semana-segundo-9-corretoras/?ttmt</v>
      </c>
      <c r="Y3692" s="77" t="s">
        <v>7053</v>
      </c>
      <c r="Z3692" s="77"/>
      <c r="AA3692" s="77"/>
      <c r="AB3692" s="77"/>
      <c r="AC3692" s="82" t="s">
        <v>8232</v>
      </c>
      <c r="AD3692" s="77" t="s">
        <v>8278</v>
      </c>
      <c r="AE3692" s="80" t="str">
        <f>HYPERLINK("https://twitter.com/leiamoneytimes/status/1703837373857923527")</f>
        <v>https://twitter.com/leiamoneytimes/status/1703837373857923527</v>
      </c>
      <c r="AF3692" s="79">
        <v>45187.766898148147</v>
      </c>
      <c r="AG3692" s="85">
        <v>45187</v>
      </c>
      <c r="AH3692" s="82" t="s">
        <v>11666</v>
      </c>
      <c r="AI3692" s="77" t="b">
        <v>0</v>
      </c>
      <c r="AJ3692" s="77"/>
      <c r="AK3692" s="77"/>
      <c r="AL3692" s="77"/>
      <c r="AM3692" s="77"/>
      <c r="AN3692" s="77"/>
      <c r="AO3692" s="77"/>
      <c r="AP3692" s="77"/>
      <c r="AQ3692" s="77"/>
      <c r="AR3692" s="77"/>
      <c r="AS3692" s="77"/>
      <c r="AT3692" s="77"/>
      <c r="AU3692" s="77"/>
      <c r="AV3692" s="80" t="str">
        <f>HYPERLINK("https://pbs.twimg.com/profile_images/1559883556846977024/bXHnQFY0_normal.jpg")</f>
        <v>https://pbs.twimg.com/profile_images/1559883556846977024/bXHnQFY0_normal.jpg</v>
      </c>
      <c r="AW3692" s="82" t="s">
        <v>16776</v>
      </c>
      <c r="AX3692" s="82" t="s">
        <v>16776</v>
      </c>
      <c r="AY3692" s="77"/>
      <c r="AZ3692" s="82" t="s">
        <v>17385</v>
      </c>
      <c r="BA3692" s="82" t="s">
        <v>17385</v>
      </c>
      <c r="BB3692" s="82" t="s">
        <v>17385</v>
      </c>
      <c r="BC3692" s="82" t="s">
        <v>16776</v>
      </c>
      <c r="BD3692" s="77">
        <v>51150679</v>
      </c>
      <c r="BE3692" s="77"/>
      <c r="BF3692" s="77"/>
      <c r="BG3692" s="77"/>
      <c r="BH3692" s="77"/>
      <c r="BI3692" s="77"/>
    </row>
    <row r="3693" spans="1:61" x14ac:dyDescent="0.25">
      <c r="A3693" s="62" t="s">
        <v>605</v>
      </c>
      <c r="B3693" s="62" t="s">
        <v>605</v>
      </c>
      <c r="C3693" s="63"/>
      <c r="D3693" s="64"/>
      <c r="E3693" s="65"/>
      <c r="F3693" s="66"/>
      <c r="G3693" s="63"/>
      <c r="H3693" s="67"/>
      <c r="I3693" s="68"/>
      <c r="J3693" s="68"/>
      <c r="K3693" s="32"/>
      <c r="L3693" s="75">
        <v>3693</v>
      </c>
      <c r="M3693" s="75"/>
      <c r="N3693" s="70"/>
      <c r="O3693" s="77" t="s">
        <v>179</v>
      </c>
      <c r="P3693" s="79">
        <v>45187.621504629627</v>
      </c>
      <c r="Q3693" s="77" t="s">
        <v>4467</v>
      </c>
      <c r="R3693" s="77">
        <v>0</v>
      </c>
      <c r="S3693" s="77">
        <v>3</v>
      </c>
      <c r="T3693" s="77">
        <v>0</v>
      </c>
      <c r="U3693" s="77">
        <v>0</v>
      </c>
      <c r="V3693" s="77">
        <v>1029</v>
      </c>
      <c r="W3693" s="82" t="s">
        <v>6732</v>
      </c>
      <c r="X3693" s="80" t="str">
        <f>HYPERLINK("https://www.moneytimes.com.br/pagbank-reformula-80-de-carteira-recomendada-de-acoes-para-a-semana-veja-as-indicacoes/?ttmt")</f>
        <v>https://www.moneytimes.com.br/pagbank-reformula-80-de-carteira-recomendada-de-acoes-para-a-semana-veja-as-indicacoes/?ttmt</v>
      </c>
      <c r="Y3693" s="77" t="s">
        <v>7053</v>
      </c>
      <c r="Z3693" s="77"/>
      <c r="AA3693" s="77"/>
      <c r="AB3693" s="77"/>
      <c r="AC3693" s="82" t="s">
        <v>8232</v>
      </c>
      <c r="AD3693" s="77" t="s">
        <v>8278</v>
      </c>
      <c r="AE3693" s="80" t="str">
        <f>HYPERLINK("https://twitter.com/leiamoneytimes/status/1703784683622768830")</f>
        <v>https://twitter.com/leiamoneytimes/status/1703784683622768830</v>
      </c>
      <c r="AF3693" s="79">
        <v>45187.621504629627</v>
      </c>
      <c r="AG3693" s="85">
        <v>45187</v>
      </c>
      <c r="AH3693" s="82" t="s">
        <v>11667</v>
      </c>
      <c r="AI3693" s="77" t="b">
        <v>0</v>
      </c>
      <c r="AJ3693" s="77"/>
      <c r="AK3693" s="77"/>
      <c r="AL3693" s="77"/>
      <c r="AM3693" s="77"/>
      <c r="AN3693" s="77"/>
      <c r="AO3693" s="77"/>
      <c r="AP3693" s="77"/>
      <c r="AQ3693" s="77"/>
      <c r="AR3693" s="77"/>
      <c r="AS3693" s="77"/>
      <c r="AT3693" s="77"/>
      <c r="AU3693" s="77"/>
      <c r="AV3693" s="80" t="str">
        <f>HYPERLINK("https://pbs.twimg.com/profile_images/1559883556846977024/bXHnQFY0_normal.jpg")</f>
        <v>https://pbs.twimg.com/profile_images/1559883556846977024/bXHnQFY0_normal.jpg</v>
      </c>
      <c r="AW3693" s="82" t="s">
        <v>16777</v>
      </c>
      <c r="AX3693" s="82" t="s">
        <v>16777</v>
      </c>
      <c r="AY3693" s="77"/>
      <c r="AZ3693" s="82" t="s">
        <v>17385</v>
      </c>
      <c r="BA3693" s="82" t="s">
        <v>17385</v>
      </c>
      <c r="BB3693" s="82" t="s">
        <v>17385</v>
      </c>
      <c r="BC3693" s="82" t="s">
        <v>16777</v>
      </c>
      <c r="BD3693" s="77">
        <v>51150679</v>
      </c>
      <c r="BE3693" s="77"/>
      <c r="BF3693" s="77"/>
      <c r="BG3693" s="77"/>
      <c r="BH3693" s="77"/>
      <c r="BI3693" s="77"/>
    </row>
    <row r="3694" spans="1:61" x14ac:dyDescent="0.25">
      <c r="A3694" s="62" t="s">
        <v>605</v>
      </c>
      <c r="B3694" s="62" t="s">
        <v>605</v>
      </c>
      <c r="C3694" s="63"/>
      <c r="D3694" s="64"/>
      <c r="E3694" s="65"/>
      <c r="F3694" s="66"/>
      <c r="G3694" s="63"/>
      <c r="H3694" s="67"/>
      <c r="I3694" s="68"/>
      <c r="J3694" s="68"/>
      <c r="K3694" s="32"/>
      <c r="L3694" s="75">
        <v>3694</v>
      </c>
      <c r="M3694" s="75"/>
      <c r="N3694" s="70"/>
      <c r="O3694" s="77" t="s">
        <v>179</v>
      </c>
      <c r="P3694" s="79">
        <v>45187.616041666668</v>
      </c>
      <c r="Q3694" s="77" t="s">
        <v>4468</v>
      </c>
      <c r="R3694" s="77">
        <v>0</v>
      </c>
      <c r="S3694" s="77">
        <v>2</v>
      </c>
      <c r="T3694" s="77">
        <v>0</v>
      </c>
      <c r="U3694" s="77">
        <v>0</v>
      </c>
      <c r="V3694" s="77">
        <v>909</v>
      </c>
      <c r="W3694" s="82" t="s">
        <v>6810</v>
      </c>
      <c r="X3694" s="80" t="str">
        <f>HYPERLINK("https://www.moneytimes.com.br/swing-trade-brf-brfs3-ou-jbs-jbss3-frigorifico-pode-crescer-entre-3-e-14-nesta-segunda-18/?ttmt")</f>
        <v>https://www.moneytimes.com.br/swing-trade-brf-brfs3-ou-jbs-jbss3-frigorifico-pode-crescer-entre-3-e-14-nesta-segunda-18/?ttmt</v>
      </c>
      <c r="Y3694" s="77" t="s">
        <v>7053</v>
      </c>
      <c r="Z3694" s="77"/>
      <c r="AA3694" s="77"/>
      <c r="AB3694" s="77"/>
      <c r="AC3694" s="82" t="s">
        <v>8232</v>
      </c>
      <c r="AD3694" s="77" t="s">
        <v>8278</v>
      </c>
      <c r="AE3694" s="80" t="str">
        <f>HYPERLINK("https://twitter.com/leiamoneytimes/status/1703782707312914701")</f>
        <v>https://twitter.com/leiamoneytimes/status/1703782707312914701</v>
      </c>
      <c r="AF3694" s="79">
        <v>45187.616041666668</v>
      </c>
      <c r="AG3694" s="85">
        <v>45187</v>
      </c>
      <c r="AH3694" s="82" t="s">
        <v>10236</v>
      </c>
      <c r="AI3694" s="77" t="b">
        <v>0</v>
      </c>
      <c r="AJ3694" s="77"/>
      <c r="AK3694" s="77"/>
      <c r="AL3694" s="77"/>
      <c r="AM3694" s="77"/>
      <c r="AN3694" s="77"/>
      <c r="AO3694" s="77"/>
      <c r="AP3694" s="77"/>
      <c r="AQ3694" s="77"/>
      <c r="AR3694" s="77"/>
      <c r="AS3694" s="77"/>
      <c r="AT3694" s="77"/>
      <c r="AU3694" s="77"/>
      <c r="AV3694" s="80" t="str">
        <f>HYPERLINK("https://pbs.twimg.com/profile_images/1559883556846977024/bXHnQFY0_normal.jpg")</f>
        <v>https://pbs.twimg.com/profile_images/1559883556846977024/bXHnQFY0_normal.jpg</v>
      </c>
      <c r="AW3694" s="82" t="s">
        <v>16778</v>
      </c>
      <c r="AX3694" s="82" t="s">
        <v>16778</v>
      </c>
      <c r="AY3694" s="77"/>
      <c r="AZ3694" s="82" t="s">
        <v>17385</v>
      </c>
      <c r="BA3694" s="82" t="s">
        <v>17385</v>
      </c>
      <c r="BB3694" s="82" t="s">
        <v>17385</v>
      </c>
      <c r="BC3694" s="82" t="s">
        <v>16778</v>
      </c>
      <c r="BD3694" s="77">
        <v>51150679</v>
      </c>
      <c r="BE3694" s="77"/>
      <c r="BF3694" s="77"/>
      <c r="BG3694" s="77"/>
      <c r="BH3694" s="77"/>
      <c r="BI3694" s="77"/>
    </row>
    <row r="3695" spans="1:61" x14ac:dyDescent="0.25">
      <c r="A3695" s="62" t="s">
        <v>605</v>
      </c>
      <c r="B3695" s="62" t="s">
        <v>605</v>
      </c>
      <c r="C3695" s="63"/>
      <c r="D3695" s="64"/>
      <c r="E3695" s="65"/>
      <c r="F3695" s="66"/>
      <c r="G3695" s="63"/>
      <c r="H3695" s="67"/>
      <c r="I3695" s="68"/>
      <c r="J3695" s="68"/>
      <c r="K3695" s="32"/>
      <c r="L3695" s="75">
        <v>3695</v>
      </c>
      <c r="M3695" s="75"/>
      <c r="N3695" s="70"/>
      <c r="O3695" s="77" t="s">
        <v>179</v>
      </c>
      <c r="P3695" s="79">
        <v>45187.591296296298</v>
      </c>
      <c r="Q3695" s="77" t="s">
        <v>4469</v>
      </c>
      <c r="R3695" s="77">
        <v>0</v>
      </c>
      <c r="S3695" s="77">
        <v>4</v>
      </c>
      <c r="T3695" s="77">
        <v>1</v>
      </c>
      <c r="U3695" s="77">
        <v>0</v>
      </c>
      <c r="V3695" s="77">
        <v>812</v>
      </c>
      <c r="W3695" s="82" t="s">
        <v>6811</v>
      </c>
      <c r="X3695" s="80" t="str">
        <f>HYPERLINK("https://www.moneytimes.com.br/investimento-estrangeiro-bolsa-fluxo-capital-externo-b3-voltaram-de-vez-gringos-compram-r-790-milhoes-em-acoes-na-b3-18-09-2023/?ttmt")</f>
        <v>https://www.moneytimes.com.br/investimento-estrangeiro-bolsa-fluxo-capital-externo-b3-voltaram-de-vez-gringos-compram-r-790-milhoes-em-acoes-na-b3-18-09-2023/?ttmt</v>
      </c>
      <c r="Y3695" s="77" t="s">
        <v>7053</v>
      </c>
      <c r="Z3695" s="77"/>
      <c r="AA3695" s="77"/>
      <c r="AB3695" s="77"/>
      <c r="AC3695" s="82" t="s">
        <v>8232</v>
      </c>
      <c r="AD3695" s="77" t="s">
        <v>8278</v>
      </c>
      <c r="AE3695" s="80" t="str">
        <f>HYPERLINK("https://twitter.com/leiamoneytimes/status/1703773737202430187")</f>
        <v>https://twitter.com/leiamoneytimes/status/1703773737202430187</v>
      </c>
      <c r="AF3695" s="79">
        <v>45187.591296296298</v>
      </c>
      <c r="AG3695" s="85">
        <v>45187</v>
      </c>
      <c r="AH3695" s="82" t="s">
        <v>11668</v>
      </c>
      <c r="AI3695" s="77" t="b">
        <v>0</v>
      </c>
      <c r="AJ3695" s="77"/>
      <c r="AK3695" s="77"/>
      <c r="AL3695" s="77"/>
      <c r="AM3695" s="77"/>
      <c r="AN3695" s="77"/>
      <c r="AO3695" s="77"/>
      <c r="AP3695" s="77"/>
      <c r="AQ3695" s="77"/>
      <c r="AR3695" s="77"/>
      <c r="AS3695" s="77"/>
      <c r="AT3695" s="77"/>
      <c r="AU3695" s="77"/>
      <c r="AV3695" s="80" t="str">
        <f>HYPERLINK("https://pbs.twimg.com/profile_images/1559883556846977024/bXHnQFY0_normal.jpg")</f>
        <v>https://pbs.twimg.com/profile_images/1559883556846977024/bXHnQFY0_normal.jpg</v>
      </c>
      <c r="AW3695" s="82" t="s">
        <v>16779</v>
      </c>
      <c r="AX3695" s="82" t="s">
        <v>16779</v>
      </c>
      <c r="AY3695" s="77"/>
      <c r="AZ3695" s="82" t="s">
        <v>17385</v>
      </c>
      <c r="BA3695" s="82" t="s">
        <v>17385</v>
      </c>
      <c r="BB3695" s="82" t="s">
        <v>17385</v>
      </c>
      <c r="BC3695" s="82" t="s">
        <v>16779</v>
      </c>
      <c r="BD3695" s="77">
        <v>51150679</v>
      </c>
      <c r="BE3695" s="77"/>
      <c r="BF3695" s="77"/>
      <c r="BG3695" s="77"/>
      <c r="BH3695" s="77"/>
      <c r="BI3695" s="77"/>
    </row>
    <row r="3696" spans="1:61" x14ac:dyDescent="0.25">
      <c r="A3696" s="62" t="s">
        <v>605</v>
      </c>
      <c r="B3696" s="62" t="s">
        <v>605</v>
      </c>
      <c r="C3696" s="63"/>
      <c r="D3696" s="64"/>
      <c r="E3696" s="65"/>
      <c r="F3696" s="66"/>
      <c r="G3696" s="63"/>
      <c r="H3696" s="67"/>
      <c r="I3696" s="68"/>
      <c r="J3696" s="68"/>
      <c r="K3696" s="32"/>
      <c r="L3696" s="75">
        <v>3696</v>
      </c>
      <c r="M3696" s="75"/>
      <c r="N3696" s="70"/>
      <c r="O3696" s="77" t="s">
        <v>179</v>
      </c>
      <c r="P3696" s="79">
        <v>45187.590902777774</v>
      </c>
      <c r="Q3696" s="77" t="s">
        <v>4470</v>
      </c>
      <c r="R3696" s="77">
        <v>0</v>
      </c>
      <c r="S3696" s="77">
        <v>1</v>
      </c>
      <c r="T3696" s="77">
        <v>1</v>
      </c>
      <c r="U3696" s="77">
        <v>0</v>
      </c>
      <c r="V3696" s="77">
        <v>789</v>
      </c>
      <c r="W3696" s="82" t="s">
        <v>6812</v>
      </c>
      <c r="X3696" s="80" t="str">
        <f>HYPERLINK("https://www.moneytimes.com.br/sai-sao-martinho-smto3-entra-cpfl-cpfe3-confira-as-5-acoes-recomendadas-pela-guide/?ttmt")</f>
        <v>https://www.moneytimes.com.br/sai-sao-martinho-smto3-entra-cpfl-cpfe3-confira-as-5-acoes-recomendadas-pela-guide/?ttmt</v>
      </c>
      <c r="Y3696" s="77" t="s">
        <v>7053</v>
      </c>
      <c r="Z3696" s="77"/>
      <c r="AA3696" s="77"/>
      <c r="AB3696" s="77"/>
      <c r="AC3696" s="82" t="s">
        <v>8232</v>
      </c>
      <c r="AD3696" s="77" t="s">
        <v>8278</v>
      </c>
      <c r="AE3696" s="80" t="str">
        <f>HYPERLINK("https://twitter.com/leiamoneytimes/status/1703773594830909551")</f>
        <v>https://twitter.com/leiamoneytimes/status/1703773594830909551</v>
      </c>
      <c r="AF3696" s="79">
        <v>45187.590902777774</v>
      </c>
      <c r="AG3696" s="85">
        <v>45187</v>
      </c>
      <c r="AH3696" s="82" t="s">
        <v>11669</v>
      </c>
      <c r="AI3696" s="77" t="b">
        <v>0</v>
      </c>
      <c r="AJ3696" s="77"/>
      <c r="AK3696" s="77"/>
      <c r="AL3696" s="77"/>
      <c r="AM3696" s="77"/>
      <c r="AN3696" s="77"/>
      <c r="AO3696" s="77"/>
      <c r="AP3696" s="77"/>
      <c r="AQ3696" s="77"/>
      <c r="AR3696" s="77"/>
      <c r="AS3696" s="77"/>
      <c r="AT3696" s="77"/>
      <c r="AU3696" s="77"/>
      <c r="AV3696" s="80" t="str">
        <f>HYPERLINK("https://pbs.twimg.com/profile_images/1559883556846977024/bXHnQFY0_normal.jpg")</f>
        <v>https://pbs.twimg.com/profile_images/1559883556846977024/bXHnQFY0_normal.jpg</v>
      </c>
      <c r="AW3696" s="82" t="s">
        <v>16780</v>
      </c>
      <c r="AX3696" s="82" t="s">
        <v>16780</v>
      </c>
      <c r="AY3696" s="77"/>
      <c r="AZ3696" s="82" t="s">
        <v>17385</v>
      </c>
      <c r="BA3696" s="82" t="s">
        <v>17385</v>
      </c>
      <c r="BB3696" s="82" t="s">
        <v>17385</v>
      </c>
      <c r="BC3696" s="82" t="s">
        <v>16780</v>
      </c>
      <c r="BD3696" s="77">
        <v>51150679</v>
      </c>
      <c r="BE3696" s="77"/>
      <c r="BF3696" s="77"/>
      <c r="BG3696" s="77"/>
      <c r="BH3696" s="77"/>
      <c r="BI3696" s="77"/>
    </row>
    <row r="3697" spans="1:61" x14ac:dyDescent="0.25">
      <c r="A3697" s="62" t="s">
        <v>605</v>
      </c>
      <c r="B3697" s="62" t="s">
        <v>605</v>
      </c>
      <c r="C3697" s="63"/>
      <c r="D3697" s="64"/>
      <c r="E3697" s="65"/>
      <c r="F3697" s="66"/>
      <c r="G3697" s="63"/>
      <c r="H3697" s="67"/>
      <c r="I3697" s="68"/>
      <c r="J3697" s="68"/>
      <c r="K3697" s="32"/>
      <c r="L3697" s="75">
        <v>3697</v>
      </c>
      <c r="M3697" s="75"/>
      <c r="N3697" s="70"/>
      <c r="O3697" s="77" t="s">
        <v>179</v>
      </c>
      <c r="P3697" s="79">
        <v>45187.529976851853</v>
      </c>
      <c r="Q3697" s="77" t="s">
        <v>4471</v>
      </c>
      <c r="R3697" s="77">
        <v>0</v>
      </c>
      <c r="S3697" s="77">
        <v>1</v>
      </c>
      <c r="T3697" s="77">
        <v>1</v>
      </c>
      <c r="U3697" s="77">
        <v>0</v>
      </c>
      <c r="V3697" s="77">
        <v>1003</v>
      </c>
      <c r="W3697" s="82" t="s">
        <v>6813</v>
      </c>
      <c r="X3697" s="80" t="str">
        <f>HYPERLINK("https://www.moneytimes.com.br/day-trade-hoje-comprar-jbs-jbss3-lojas-renner-lren3-acoes-18-09-2023/?ttmt")</f>
        <v>https://www.moneytimes.com.br/day-trade-hoje-comprar-jbs-jbss3-lojas-renner-lren3-acoes-18-09-2023/?ttmt</v>
      </c>
      <c r="Y3697" s="77" t="s">
        <v>7053</v>
      </c>
      <c r="Z3697" s="77"/>
      <c r="AA3697" s="77"/>
      <c r="AB3697" s="77"/>
      <c r="AC3697" s="82" t="s">
        <v>8232</v>
      </c>
      <c r="AD3697" s="77" t="s">
        <v>8278</v>
      </c>
      <c r="AE3697" s="80" t="str">
        <f>HYPERLINK("https://twitter.com/leiamoneytimes/status/1703751515859492910")</f>
        <v>https://twitter.com/leiamoneytimes/status/1703751515859492910</v>
      </c>
      <c r="AF3697" s="79">
        <v>45187.529976851853</v>
      </c>
      <c r="AG3697" s="85">
        <v>45187</v>
      </c>
      <c r="AH3697" s="82" t="s">
        <v>11670</v>
      </c>
      <c r="AI3697" s="77" t="b">
        <v>0</v>
      </c>
      <c r="AJ3697" s="77"/>
      <c r="AK3697" s="77"/>
      <c r="AL3697" s="77"/>
      <c r="AM3697" s="77"/>
      <c r="AN3697" s="77"/>
      <c r="AO3697" s="77"/>
      <c r="AP3697" s="77"/>
      <c r="AQ3697" s="77"/>
      <c r="AR3697" s="77"/>
      <c r="AS3697" s="77"/>
      <c r="AT3697" s="77"/>
      <c r="AU3697" s="77"/>
      <c r="AV3697" s="80" t="str">
        <f>HYPERLINK("https://pbs.twimg.com/profile_images/1559883556846977024/bXHnQFY0_normal.jpg")</f>
        <v>https://pbs.twimg.com/profile_images/1559883556846977024/bXHnQFY0_normal.jpg</v>
      </c>
      <c r="AW3697" s="82" t="s">
        <v>16781</v>
      </c>
      <c r="AX3697" s="82" t="s">
        <v>16781</v>
      </c>
      <c r="AY3697" s="77"/>
      <c r="AZ3697" s="82" t="s">
        <v>17385</v>
      </c>
      <c r="BA3697" s="82" t="s">
        <v>17385</v>
      </c>
      <c r="BB3697" s="82" t="s">
        <v>17385</v>
      </c>
      <c r="BC3697" s="82" t="s">
        <v>16781</v>
      </c>
      <c r="BD3697" s="77">
        <v>51150679</v>
      </c>
      <c r="BE3697" s="77"/>
      <c r="BF3697" s="77"/>
      <c r="BG3697" s="77"/>
      <c r="BH3697" s="77"/>
      <c r="BI3697" s="77"/>
    </row>
    <row r="3698" spans="1:61" x14ac:dyDescent="0.25">
      <c r="A3698" s="62" t="s">
        <v>605</v>
      </c>
      <c r="B3698" s="62" t="s">
        <v>605</v>
      </c>
      <c r="C3698" s="63"/>
      <c r="D3698" s="64"/>
      <c r="E3698" s="65"/>
      <c r="F3698" s="66"/>
      <c r="G3698" s="63"/>
      <c r="H3698" s="67"/>
      <c r="I3698" s="68"/>
      <c r="J3698" s="68"/>
      <c r="K3698" s="32"/>
      <c r="L3698" s="75">
        <v>3698</v>
      </c>
      <c r="M3698" s="75"/>
      <c r="N3698" s="70"/>
      <c r="O3698" s="77" t="s">
        <v>179</v>
      </c>
      <c r="P3698" s="79">
        <v>45171.767418981479</v>
      </c>
      <c r="Q3698" s="77" t="s">
        <v>4472</v>
      </c>
      <c r="R3698" s="77">
        <v>1</v>
      </c>
      <c r="S3698" s="77">
        <v>19</v>
      </c>
      <c r="T3698" s="77">
        <v>1</v>
      </c>
      <c r="U3698" s="77">
        <v>0</v>
      </c>
      <c r="V3698" s="77">
        <v>3315</v>
      </c>
      <c r="W3698" s="82" t="s">
        <v>6814</v>
      </c>
      <c r="X3698" s="80" t="str">
        <f>HYPERLINK("https://www.moneytimes.com.br/sanepar-sapr11-compra-60-da-cs-bioenergia-por-r-174-milhoes/")</f>
        <v>https://www.moneytimes.com.br/sanepar-sapr11-compra-60-da-cs-bioenergia-por-r-174-milhoes/</v>
      </c>
      <c r="Y3698" s="77" t="s">
        <v>7053</v>
      </c>
      <c r="Z3698" s="77"/>
      <c r="AA3698" s="77"/>
      <c r="AB3698" s="77"/>
      <c r="AC3698" s="82" t="s">
        <v>8255</v>
      </c>
      <c r="AD3698" s="77" t="s">
        <v>8278</v>
      </c>
      <c r="AE3698" s="80" t="str">
        <f>HYPERLINK("https://twitter.com/leiamoneytimes/status/1698039358551404747")</f>
        <v>https://twitter.com/leiamoneytimes/status/1698039358551404747</v>
      </c>
      <c r="AF3698" s="79">
        <v>45171.767418981479</v>
      </c>
      <c r="AG3698" s="85">
        <v>45171</v>
      </c>
      <c r="AH3698" s="82" t="s">
        <v>11671</v>
      </c>
      <c r="AI3698" s="77" t="b">
        <v>0</v>
      </c>
      <c r="AJ3698" s="77"/>
      <c r="AK3698" s="77"/>
      <c r="AL3698" s="77"/>
      <c r="AM3698" s="77"/>
      <c r="AN3698" s="77"/>
      <c r="AO3698" s="77"/>
      <c r="AP3698" s="77"/>
      <c r="AQ3698" s="77"/>
      <c r="AR3698" s="77"/>
      <c r="AS3698" s="77"/>
      <c r="AT3698" s="77"/>
      <c r="AU3698" s="77"/>
      <c r="AV3698" s="80" t="str">
        <f>HYPERLINK("https://pbs.twimg.com/profile_images/1559883556846977024/bXHnQFY0_normal.jpg")</f>
        <v>https://pbs.twimg.com/profile_images/1559883556846977024/bXHnQFY0_normal.jpg</v>
      </c>
      <c r="AW3698" s="82" t="s">
        <v>16782</v>
      </c>
      <c r="AX3698" s="82" t="s">
        <v>16782</v>
      </c>
      <c r="AY3698" s="77"/>
      <c r="AZ3698" s="82" t="s">
        <v>17385</v>
      </c>
      <c r="BA3698" s="82" t="s">
        <v>17385</v>
      </c>
      <c r="BB3698" s="82" t="s">
        <v>17385</v>
      </c>
      <c r="BC3698" s="82" t="s">
        <v>16782</v>
      </c>
      <c r="BD3698" s="77">
        <v>51150679</v>
      </c>
      <c r="BE3698" s="77"/>
      <c r="BF3698" s="77"/>
      <c r="BG3698" s="77"/>
      <c r="BH3698" s="77"/>
      <c r="BI3698" s="77"/>
    </row>
    <row r="3699" spans="1:61" x14ac:dyDescent="0.25">
      <c r="A3699" s="62" t="s">
        <v>605</v>
      </c>
      <c r="B3699" s="62" t="s">
        <v>605</v>
      </c>
      <c r="C3699" s="63"/>
      <c r="D3699" s="64"/>
      <c r="E3699" s="65"/>
      <c r="F3699" s="66"/>
      <c r="G3699" s="63"/>
      <c r="H3699" s="67"/>
      <c r="I3699" s="68"/>
      <c r="J3699" s="68"/>
      <c r="K3699" s="32"/>
      <c r="L3699" s="75">
        <v>3699</v>
      </c>
      <c r="M3699" s="75"/>
      <c r="N3699" s="70"/>
      <c r="O3699" s="77" t="s">
        <v>179</v>
      </c>
      <c r="P3699" s="79">
        <v>45171.750509259262</v>
      </c>
      <c r="Q3699" s="77" t="s">
        <v>4473</v>
      </c>
      <c r="R3699" s="77">
        <v>0</v>
      </c>
      <c r="S3699" s="77">
        <v>2</v>
      </c>
      <c r="T3699" s="77">
        <v>1</v>
      </c>
      <c r="U3699" s="77">
        <v>0</v>
      </c>
      <c r="V3699" s="77">
        <v>1330</v>
      </c>
      <c r="W3699" s="82" t="s">
        <v>6574</v>
      </c>
      <c r="X3699" s="80" t="str">
        <f>HYPERLINK("https://www.moneytimes.com.br/5-acoes-para-investir-e-superar-o-ibovespa-na-proxima-semana-segundo-a-mycap/")</f>
        <v>https://www.moneytimes.com.br/5-acoes-para-investir-e-superar-o-ibovespa-na-proxima-semana-segundo-a-mycap/</v>
      </c>
      <c r="Y3699" s="77" t="s">
        <v>7053</v>
      </c>
      <c r="Z3699" s="77"/>
      <c r="AA3699" s="77"/>
      <c r="AB3699" s="77"/>
      <c r="AC3699" s="82" t="s">
        <v>8255</v>
      </c>
      <c r="AD3699" s="77" t="s">
        <v>8278</v>
      </c>
      <c r="AE3699" s="80" t="str">
        <f>HYPERLINK("https://twitter.com/leiamoneytimes/status/1698033229415006629")</f>
        <v>https://twitter.com/leiamoneytimes/status/1698033229415006629</v>
      </c>
      <c r="AF3699" s="79">
        <v>45171.750509259262</v>
      </c>
      <c r="AG3699" s="85">
        <v>45171</v>
      </c>
      <c r="AH3699" s="82" t="s">
        <v>11672</v>
      </c>
      <c r="AI3699" s="77" t="b">
        <v>0</v>
      </c>
      <c r="AJ3699" s="77"/>
      <c r="AK3699" s="77"/>
      <c r="AL3699" s="77"/>
      <c r="AM3699" s="77"/>
      <c r="AN3699" s="77"/>
      <c r="AO3699" s="77"/>
      <c r="AP3699" s="77"/>
      <c r="AQ3699" s="77"/>
      <c r="AR3699" s="77"/>
      <c r="AS3699" s="77"/>
      <c r="AT3699" s="77"/>
      <c r="AU3699" s="77"/>
      <c r="AV3699" s="80" t="str">
        <f>HYPERLINK("https://pbs.twimg.com/profile_images/1559883556846977024/bXHnQFY0_normal.jpg")</f>
        <v>https://pbs.twimg.com/profile_images/1559883556846977024/bXHnQFY0_normal.jpg</v>
      </c>
      <c r="AW3699" s="82" t="s">
        <v>16783</v>
      </c>
      <c r="AX3699" s="82" t="s">
        <v>16783</v>
      </c>
      <c r="AY3699" s="77"/>
      <c r="AZ3699" s="82" t="s">
        <v>17385</v>
      </c>
      <c r="BA3699" s="82" t="s">
        <v>17385</v>
      </c>
      <c r="BB3699" s="82" t="s">
        <v>17385</v>
      </c>
      <c r="BC3699" s="82" t="s">
        <v>16783</v>
      </c>
      <c r="BD3699" s="77">
        <v>51150679</v>
      </c>
      <c r="BE3699" s="77"/>
      <c r="BF3699" s="77"/>
      <c r="BG3699" s="77"/>
      <c r="BH3699" s="77"/>
      <c r="BI3699" s="77"/>
    </row>
    <row r="3700" spans="1:61" x14ac:dyDescent="0.25">
      <c r="A3700" s="62" t="s">
        <v>605</v>
      </c>
      <c r="B3700" s="62" t="s">
        <v>605</v>
      </c>
      <c r="C3700" s="63"/>
      <c r="D3700" s="64"/>
      <c r="E3700" s="65"/>
      <c r="F3700" s="66"/>
      <c r="G3700" s="63"/>
      <c r="H3700" s="67"/>
      <c r="I3700" s="68"/>
      <c r="J3700" s="68"/>
      <c r="K3700" s="32"/>
      <c r="L3700" s="75">
        <v>3700</v>
      </c>
      <c r="M3700" s="75"/>
      <c r="N3700" s="70"/>
      <c r="O3700" s="77" t="s">
        <v>179</v>
      </c>
      <c r="P3700" s="79">
        <v>45171.602326388886</v>
      </c>
      <c r="Q3700" s="77" t="s">
        <v>4474</v>
      </c>
      <c r="R3700" s="77">
        <v>0</v>
      </c>
      <c r="S3700" s="77">
        <v>11</v>
      </c>
      <c r="T3700" s="77">
        <v>1</v>
      </c>
      <c r="U3700" s="77">
        <v>0</v>
      </c>
      <c r="V3700" s="77">
        <v>2248</v>
      </c>
      <c r="W3700" s="82" t="s">
        <v>6743</v>
      </c>
      <c r="X3700" s="80" t="str">
        <f>HYPERLINK("https://www.moneytimes.com.br/bb-reformula-carteira-de-acoes-para-primeira-semana-de-setembro-confira/")</f>
        <v>https://www.moneytimes.com.br/bb-reformula-carteira-de-acoes-para-primeira-semana-de-setembro-confira/</v>
      </c>
      <c r="Y3700" s="77" t="s">
        <v>7053</v>
      </c>
      <c r="Z3700" s="77"/>
      <c r="AA3700" s="77"/>
      <c r="AB3700" s="77"/>
      <c r="AC3700" s="82" t="s">
        <v>8255</v>
      </c>
      <c r="AD3700" s="77" t="s">
        <v>8278</v>
      </c>
      <c r="AE3700" s="80" t="str">
        <f>HYPERLINK("https://twitter.com/leiamoneytimes/status/1697979528285475168")</f>
        <v>https://twitter.com/leiamoneytimes/status/1697979528285475168</v>
      </c>
      <c r="AF3700" s="79">
        <v>45171.602326388886</v>
      </c>
      <c r="AG3700" s="85">
        <v>45171</v>
      </c>
      <c r="AH3700" s="82" t="s">
        <v>11673</v>
      </c>
      <c r="AI3700" s="77" t="b">
        <v>0</v>
      </c>
      <c r="AJ3700" s="77"/>
      <c r="AK3700" s="77"/>
      <c r="AL3700" s="77"/>
      <c r="AM3700" s="77"/>
      <c r="AN3700" s="77"/>
      <c r="AO3700" s="77"/>
      <c r="AP3700" s="77"/>
      <c r="AQ3700" s="77"/>
      <c r="AR3700" s="77"/>
      <c r="AS3700" s="77"/>
      <c r="AT3700" s="77"/>
      <c r="AU3700" s="77"/>
      <c r="AV3700" s="80" t="str">
        <f>HYPERLINK("https://pbs.twimg.com/profile_images/1559883556846977024/bXHnQFY0_normal.jpg")</f>
        <v>https://pbs.twimg.com/profile_images/1559883556846977024/bXHnQFY0_normal.jpg</v>
      </c>
      <c r="AW3700" s="82" t="s">
        <v>16784</v>
      </c>
      <c r="AX3700" s="82" t="s">
        <v>16784</v>
      </c>
      <c r="AY3700" s="77"/>
      <c r="AZ3700" s="82" t="s">
        <v>17385</v>
      </c>
      <c r="BA3700" s="82" t="s">
        <v>17385</v>
      </c>
      <c r="BB3700" s="82" t="s">
        <v>17385</v>
      </c>
      <c r="BC3700" s="82" t="s">
        <v>16784</v>
      </c>
      <c r="BD3700" s="77">
        <v>51150679</v>
      </c>
      <c r="BE3700" s="77"/>
      <c r="BF3700" s="77"/>
      <c r="BG3700" s="77"/>
      <c r="BH3700" s="77"/>
      <c r="BI3700" s="77"/>
    </row>
    <row r="3701" spans="1:61" x14ac:dyDescent="0.25">
      <c r="A3701" s="62" t="s">
        <v>605</v>
      </c>
      <c r="B3701" s="62" t="s">
        <v>605</v>
      </c>
      <c r="C3701" s="63"/>
      <c r="D3701" s="64"/>
      <c r="E3701" s="65"/>
      <c r="F3701" s="66"/>
      <c r="G3701" s="63"/>
      <c r="H3701" s="67"/>
      <c r="I3701" s="68"/>
      <c r="J3701" s="68"/>
      <c r="K3701" s="32"/>
      <c r="L3701" s="75">
        <v>3701</v>
      </c>
      <c r="M3701" s="75"/>
      <c r="N3701" s="70"/>
      <c r="O3701" s="77" t="s">
        <v>179</v>
      </c>
      <c r="P3701" s="79">
        <v>45169.56826388889</v>
      </c>
      <c r="Q3701" s="77" t="s">
        <v>4475</v>
      </c>
      <c r="R3701" s="77">
        <v>0</v>
      </c>
      <c r="S3701" s="77">
        <v>7</v>
      </c>
      <c r="T3701" s="77">
        <v>1</v>
      </c>
      <c r="U3701" s="77">
        <v>0</v>
      </c>
      <c r="V3701" s="77">
        <v>1903</v>
      </c>
      <c r="W3701" s="82" t="s">
        <v>6815</v>
      </c>
      <c r="X3701" s="80" t="str">
        <f>HYPERLINK("https://www.moneytimes.com.br/vale-vale3-inicia-testes-com-carga-da-1a-planta-de-briquete-de-minerio-de-ferro/")</f>
        <v>https://www.moneytimes.com.br/vale-vale3-inicia-testes-com-carga-da-1a-planta-de-briquete-de-minerio-de-ferro/</v>
      </c>
      <c r="Y3701" s="77" t="s">
        <v>7053</v>
      </c>
      <c r="Z3701" s="77"/>
      <c r="AA3701" s="77"/>
      <c r="AB3701" s="77"/>
      <c r="AC3701" s="82" t="s">
        <v>8255</v>
      </c>
      <c r="AD3701" s="77" t="s">
        <v>8278</v>
      </c>
      <c r="AE3701" s="80" t="str">
        <f>HYPERLINK("https://twitter.com/leiamoneytimes/status/1697242411599122537")</f>
        <v>https://twitter.com/leiamoneytimes/status/1697242411599122537</v>
      </c>
      <c r="AF3701" s="79">
        <v>45169.56826388889</v>
      </c>
      <c r="AG3701" s="85">
        <v>45169</v>
      </c>
      <c r="AH3701" s="82" t="s">
        <v>11674</v>
      </c>
      <c r="AI3701" s="77" t="b">
        <v>0</v>
      </c>
      <c r="AJ3701" s="77"/>
      <c r="AK3701" s="77"/>
      <c r="AL3701" s="77"/>
      <c r="AM3701" s="77"/>
      <c r="AN3701" s="77"/>
      <c r="AO3701" s="77"/>
      <c r="AP3701" s="77"/>
      <c r="AQ3701" s="77"/>
      <c r="AR3701" s="77"/>
      <c r="AS3701" s="77"/>
      <c r="AT3701" s="77"/>
      <c r="AU3701" s="77"/>
      <c r="AV3701" s="80" t="str">
        <f>HYPERLINK("https://pbs.twimg.com/profile_images/1559883556846977024/bXHnQFY0_normal.jpg")</f>
        <v>https://pbs.twimg.com/profile_images/1559883556846977024/bXHnQFY0_normal.jpg</v>
      </c>
      <c r="AW3701" s="82" t="s">
        <v>16785</v>
      </c>
      <c r="AX3701" s="82" t="s">
        <v>16785</v>
      </c>
      <c r="AY3701" s="77"/>
      <c r="AZ3701" s="82" t="s">
        <v>17385</v>
      </c>
      <c r="BA3701" s="82" t="s">
        <v>17385</v>
      </c>
      <c r="BB3701" s="82" t="s">
        <v>17385</v>
      </c>
      <c r="BC3701" s="82" t="s">
        <v>16785</v>
      </c>
      <c r="BD3701" s="77">
        <v>51150679</v>
      </c>
      <c r="BE3701" s="77"/>
      <c r="BF3701" s="77"/>
      <c r="BG3701" s="77"/>
      <c r="BH3701" s="77"/>
      <c r="BI3701" s="77"/>
    </row>
    <row r="3702" spans="1:61" x14ac:dyDescent="0.25">
      <c r="A3702" s="62" t="s">
        <v>605</v>
      </c>
      <c r="B3702" s="62" t="s">
        <v>605</v>
      </c>
      <c r="C3702" s="63"/>
      <c r="D3702" s="64"/>
      <c r="E3702" s="65"/>
      <c r="F3702" s="66"/>
      <c r="G3702" s="63"/>
      <c r="H3702" s="67"/>
      <c r="I3702" s="68"/>
      <c r="J3702" s="68"/>
      <c r="K3702" s="32"/>
      <c r="L3702" s="75">
        <v>3702</v>
      </c>
      <c r="M3702" s="75"/>
      <c r="N3702" s="70"/>
      <c r="O3702" s="77" t="s">
        <v>179</v>
      </c>
      <c r="P3702" s="79">
        <v>45159.874108796299</v>
      </c>
      <c r="Q3702" s="77" t="s">
        <v>4476</v>
      </c>
      <c r="R3702" s="77">
        <v>0</v>
      </c>
      <c r="S3702" s="77">
        <v>18</v>
      </c>
      <c r="T3702" s="77">
        <v>1</v>
      </c>
      <c r="U3702" s="77">
        <v>0</v>
      </c>
      <c r="V3702" s="77">
        <v>1493</v>
      </c>
      <c r="W3702" s="82" t="s">
        <v>6580</v>
      </c>
      <c r="X3702" s="80" t="str">
        <f>HYPERLINK("https://www.moneytimes.com.br/engie-brasil-egie3-define-data-de-pagamento-de-r-145-bilhao-em-dividendos-complementares-confira/")</f>
        <v>https://www.moneytimes.com.br/engie-brasil-egie3-define-data-de-pagamento-de-r-145-bilhao-em-dividendos-complementares-confira/</v>
      </c>
      <c r="Y3702" s="77" t="s">
        <v>7053</v>
      </c>
      <c r="Z3702" s="77"/>
      <c r="AA3702" s="77"/>
      <c r="AB3702" s="77"/>
      <c r="AC3702" s="82" t="s">
        <v>8255</v>
      </c>
      <c r="AD3702" s="77" t="s">
        <v>8278</v>
      </c>
      <c r="AE3702" s="80" t="str">
        <f>HYPERLINK("https://twitter.com/leiamoneytimes/status/1693729364855108035")</f>
        <v>https://twitter.com/leiamoneytimes/status/1693729364855108035</v>
      </c>
      <c r="AF3702" s="79">
        <v>45159.874108796299</v>
      </c>
      <c r="AG3702" s="85">
        <v>45159</v>
      </c>
      <c r="AH3702" s="82" t="s">
        <v>11675</v>
      </c>
      <c r="AI3702" s="77" t="b">
        <v>0</v>
      </c>
      <c r="AJ3702" s="77"/>
      <c r="AK3702" s="77"/>
      <c r="AL3702" s="77"/>
      <c r="AM3702" s="77"/>
      <c r="AN3702" s="77"/>
      <c r="AO3702" s="77"/>
      <c r="AP3702" s="77"/>
      <c r="AQ3702" s="77"/>
      <c r="AR3702" s="77"/>
      <c r="AS3702" s="77"/>
      <c r="AT3702" s="77"/>
      <c r="AU3702" s="77"/>
      <c r="AV3702" s="80" t="str">
        <f>HYPERLINK("https://pbs.twimg.com/profile_images/1559883556846977024/bXHnQFY0_normal.jpg")</f>
        <v>https://pbs.twimg.com/profile_images/1559883556846977024/bXHnQFY0_normal.jpg</v>
      </c>
      <c r="AW3702" s="82" t="s">
        <v>16786</v>
      </c>
      <c r="AX3702" s="82" t="s">
        <v>16786</v>
      </c>
      <c r="AY3702" s="77"/>
      <c r="AZ3702" s="82" t="s">
        <v>17385</v>
      </c>
      <c r="BA3702" s="82" t="s">
        <v>17385</v>
      </c>
      <c r="BB3702" s="82" t="s">
        <v>17385</v>
      </c>
      <c r="BC3702" s="82" t="s">
        <v>16786</v>
      </c>
      <c r="BD3702" s="77">
        <v>51150679</v>
      </c>
      <c r="BE3702" s="77"/>
      <c r="BF3702" s="77"/>
      <c r="BG3702" s="77"/>
      <c r="BH3702" s="77"/>
      <c r="BI3702" s="77"/>
    </row>
    <row r="3703" spans="1:61" x14ac:dyDescent="0.25">
      <c r="A3703" s="62" t="s">
        <v>605</v>
      </c>
      <c r="B3703" s="62" t="s">
        <v>605</v>
      </c>
      <c r="C3703" s="63"/>
      <c r="D3703" s="64"/>
      <c r="E3703" s="65"/>
      <c r="F3703" s="66"/>
      <c r="G3703" s="63"/>
      <c r="H3703" s="67"/>
      <c r="I3703" s="68"/>
      <c r="J3703" s="68"/>
      <c r="K3703" s="32"/>
      <c r="L3703" s="75">
        <v>3703</v>
      </c>
      <c r="M3703" s="75"/>
      <c r="N3703" s="70"/>
      <c r="O3703" s="77" t="s">
        <v>179</v>
      </c>
      <c r="P3703" s="79">
        <v>45159.845914351848</v>
      </c>
      <c r="Q3703" s="77" t="s">
        <v>4477</v>
      </c>
      <c r="R3703" s="77">
        <v>0</v>
      </c>
      <c r="S3703" s="77">
        <v>6</v>
      </c>
      <c r="T3703" s="77">
        <v>1</v>
      </c>
      <c r="U3703" s="77">
        <v>0</v>
      </c>
      <c r="V3703" s="77">
        <v>1274</v>
      </c>
      <c r="W3703" s="82" t="s">
        <v>6551</v>
      </c>
      <c r="X3703" s="80" t="str">
        <f>HYPERLINK("https://www.moneytimes.com.br/ibovespa-hoje-fecha-queda-114-mil-pontos-china-eua-21-08-2023/")</f>
        <v>https://www.moneytimes.com.br/ibovespa-hoje-fecha-queda-114-mil-pontos-china-eua-21-08-2023/</v>
      </c>
      <c r="Y3703" s="77" t="s">
        <v>7053</v>
      </c>
      <c r="Z3703" s="77"/>
      <c r="AA3703" s="77"/>
      <c r="AB3703" s="77"/>
      <c r="AC3703" s="82" t="s">
        <v>8255</v>
      </c>
      <c r="AD3703" s="77" t="s">
        <v>8278</v>
      </c>
      <c r="AE3703" s="80" t="str">
        <f>HYPERLINK("https://twitter.com/leiamoneytimes/status/1693719150584078469")</f>
        <v>https://twitter.com/leiamoneytimes/status/1693719150584078469</v>
      </c>
      <c r="AF3703" s="79">
        <v>45159.845914351848</v>
      </c>
      <c r="AG3703" s="85">
        <v>45159</v>
      </c>
      <c r="AH3703" s="82" t="s">
        <v>11676</v>
      </c>
      <c r="AI3703" s="77" t="b">
        <v>0</v>
      </c>
      <c r="AJ3703" s="77"/>
      <c r="AK3703" s="77"/>
      <c r="AL3703" s="77"/>
      <c r="AM3703" s="77"/>
      <c r="AN3703" s="77"/>
      <c r="AO3703" s="77"/>
      <c r="AP3703" s="77"/>
      <c r="AQ3703" s="77"/>
      <c r="AR3703" s="77"/>
      <c r="AS3703" s="77"/>
      <c r="AT3703" s="77"/>
      <c r="AU3703" s="77"/>
      <c r="AV3703" s="80" t="str">
        <f>HYPERLINK("https://pbs.twimg.com/profile_images/1559883556846977024/bXHnQFY0_normal.jpg")</f>
        <v>https://pbs.twimg.com/profile_images/1559883556846977024/bXHnQFY0_normal.jpg</v>
      </c>
      <c r="AW3703" s="82" t="s">
        <v>16787</v>
      </c>
      <c r="AX3703" s="82" t="s">
        <v>16787</v>
      </c>
      <c r="AY3703" s="77"/>
      <c r="AZ3703" s="82" t="s">
        <v>17385</v>
      </c>
      <c r="BA3703" s="82" t="s">
        <v>17385</v>
      </c>
      <c r="BB3703" s="82" t="s">
        <v>17385</v>
      </c>
      <c r="BC3703" s="82" t="s">
        <v>16787</v>
      </c>
      <c r="BD3703" s="77">
        <v>51150679</v>
      </c>
      <c r="BE3703" s="77"/>
      <c r="BF3703" s="77"/>
      <c r="BG3703" s="77"/>
      <c r="BH3703" s="77"/>
      <c r="BI3703" s="77"/>
    </row>
    <row r="3704" spans="1:61" x14ac:dyDescent="0.25">
      <c r="A3704" s="62" t="s">
        <v>605</v>
      </c>
      <c r="B3704" s="62" t="s">
        <v>605</v>
      </c>
      <c r="C3704" s="63"/>
      <c r="D3704" s="64"/>
      <c r="E3704" s="65"/>
      <c r="F3704" s="66"/>
      <c r="G3704" s="63"/>
      <c r="H3704" s="67"/>
      <c r="I3704" s="68"/>
      <c r="J3704" s="68"/>
      <c r="K3704" s="32"/>
      <c r="L3704" s="75">
        <v>3704</v>
      </c>
      <c r="M3704" s="75"/>
      <c r="N3704" s="70"/>
      <c r="O3704" s="77" t="s">
        <v>179</v>
      </c>
      <c r="P3704" s="79">
        <v>45159.661238425928</v>
      </c>
      <c r="Q3704" s="77" t="s">
        <v>4478</v>
      </c>
      <c r="R3704" s="77">
        <v>0</v>
      </c>
      <c r="S3704" s="77">
        <v>5</v>
      </c>
      <c r="T3704" s="77">
        <v>1</v>
      </c>
      <c r="U3704" s="77">
        <v>0</v>
      </c>
      <c r="V3704" s="77">
        <v>1739</v>
      </c>
      <c r="W3704" s="82" t="s">
        <v>6679</v>
      </c>
      <c r="X3704" s="80" t="str">
        <f>HYPERLINK("https://www.moneytimes.com.br/ibovespa-hoje-agora-alpargatas-alpa4-despenca-e-lidera-as-baixas-vale-vale3-avanca-21-08-2023/")</f>
        <v>https://www.moneytimes.com.br/ibovespa-hoje-agora-alpargatas-alpa4-despenca-e-lidera-as-baixas-vale-vale3-avanca-21-08-2023/</v>
      </c>
      <c r="Y3704" s="77" t="s">
        <v>7053</v>
      </c>
      <c r="Z3704" s="77"/>
      <c r="AA3704" s="77"/>
      <c r="AB3704" s="77"/>
      <c r="AC3704" s="82" t="s">
        <v>8255</v>
      </c>
      <c r="AD3704" s="77" t="s">
        <v>8278</v>
      </c>
      <c r="AE3704" s="80" t="str">
        <f>HYPERLINK("https://twitter.com/leiamoneytimes/status/1693652222846926889")</f>
        <v>https://twitter.com/leiamoneytimes/status/1693652222846926889</v>
      </c>
      <c r="AF3704" s="79">
        <v>45159.661238425928</v>
      </c>
      <c r="AG3704" s="85">
        <v>45159</v>
      </c>
      <c r="AH3704" s="82" t="s">
        <v>9725</v>
      </c>
      <c r="AI3704" s="77" t="b">
        <v>0</v>
      </c>
      <c r="AJ3704" s="77"/>
      <c r="AK3704" s="77"/>
      <c r="AL3704" s="77"/>
      <c r="AM3704" s="77"/>
      <c r="AN3704" s="77"/>
      <c r="AO3704" s="77"/>
      <c r="AP3704" s="77"/>
      <c r="AQ3704" s="77"/>
      <c r="AR3704" s="77"/>
      <c r="AS3704" s="77"/>
      <c r="AT3704" s="77"/>
      <c r="AU3704" s="77"/>
      <c r="AV3704" s="80" t="str">
        <f>HYPERLINK("https://pbs.twimg.com/profile_images/1559883556846977024/bXHnQFY0_normal.jpg")</f>
        <v>https://pbs.twimg.com/profile_images/1559883556846977024/bXHnQFY0_normal.jpg</v>
      </c>
      <c r="AW3704" s="82" t="s">
        <v>16788</v>
      </c>
      <c r="AX3704" s="82" t="s">
        <v>16788</v>
      </c>
      <c r="AY3704" s="77"/>
      <c r="AZ3704" s="82" t="s">
        <v>17385</v>
      </c>
      <c r="BA3704" s="82" t="s">
        <v>17385</v>
      </c>
      <c r="BB3704" s="82" t="s">
        <v>17385</v>
      </c>
      <c r="BC3704" s="82" t="s">
        <v>16788</v>
      </c>
      <c r="BD3704" s="77">
        <v>51150679</v>
      </c>
      <c r="BE3704" s="77"/>
      <c r="BF3704" s="77"/>
      <c r="BG3704" s="77"/>
      <c r="BH3704" s="77"/>
      <c r="BI3704" s="77"/>
    </row>
    <row r="3705" spans="1:61" x14ac:dyDescent="0.25">
      <c r="A3705" s="62" t="s">
        <v>605</v>
      </c>
      <c r="B3705" s="62" t="s">
        <v>605</v>
      </c>
      <c r="C3705" s="63"/>
      <c r="D3705" s="64"/>
      <c r="E3705" s="65"/>
      <c r="F3705" s="66"/>
      <c r="G3705" s="63"/>
      <c r="H3705" s="67"/>
      <c r="I3705" s="68"/>
      <c r="J3705" s="68"/>
      <c r="K3705" s="32"/>
      <c r="L3705" s="75">
        <v>3705</v>
      </c>
      <c r="M3705" s="75"/>
      <c r="N3705" s="70"/>
      <c r="O3705" s="77" t="s">
        <v>179</v>
      </c>
      <c r="P3705" s="79">
        <v>45153.666134259256</v>
      </c>
      <c r="Q3705" s="77" t="s">
        <v>4479</v>
      </c>
      <c r="R3705" s="77">
        <v>0</v>
      </c>
      <c r="S3705" s="77">
        <v>3</v>
      </c>
      <c r="T3705" s="77">
        <v>0</v>
      </c>
      <c r="U3705" s="77">
        <v>0</v>
      </c>
      <c r="V3705" s="77">
        <v>1141</v>
      </c>
      <c r="W3705" s="82" t="s">
        <v>6555</v>
      </c>
      <c r="X3705" s="80" t="str">
        <f>HYPERLINK("https://www.moneytimes.com.br/ibovespa-hoje-agora-petrobras-petr4-e-destaque-positivo-gol-goll4-e-magalu-mglu3-derretem-15-08-2023/")</f>
        <v>https://www.moneytimes.com.br/ibovespa-hoje-agora-petrobras-petr4-e-destaque-positivo-gol-goll4-e-magalu-mglu3-derretem-15-08-2023/</v>
      </c>
      <c r="Y3705" s="77" t="s">
        <v>7053</v>
      </c>
      <c r="Z3705" s="77"/>
      <c r="AA3705" s="77"/>
      <c r="AB3705" s="77"/>
      <c r="AC3705" s="82" t="s">
        <v>8255</v>
      </c>
      <c r="AD3705" s="77" t="s">
        <v>8278</v>
      </c>
      <c r="AE3705" s="80" t="str">
        <f>HYPERLINK("https://twitter.com/leiamoneytimes/status/1691479671282577408")</f>
        <v>https://twitter.com/leiamoneytimes/status/1691479671282577408</v>
      </c>
      <c r="AF3705" s="79">
        <v>45153.666134259256</v>
      </c>
      <c r="AG3705" s="85">
        <v>45153</v>
      </c>
      <c r="AH3705" s="82" t="s">
        <v>11677</v>
      </c>
      <c r="AI3705" s="77" t="b">
        <v>0</v>
      </c>
      <c r="AJ3705" s="77"/>
      <c r="AK3705" s="77"/>
      <c r="AL3705" s="77"/>
      <c r="AM3705" s="77"/>
      <c r="AN3705" s="77"/>
      <c r="AO3705" s="77"/>
      <c r="AP3705" s="77"/>
      <c r="AQ3705" s="77"/>
      <c r="AR3705" s="77"/>
      <c r="AS3705" s="77"/>
      <c r="AT3705" s="77"/>
      <c r="AU3705" s="77"/>
      <c r="AV3705" s="80" t="str">
        <f>HYPERLINK("https://pbs.twimg.com/profile_images/1559883556846977024/bXHnQFY0_normal.jpg")</f>
        <v>https://pbs.twimg.com/profile_images/1559883556846977024/bXHnQFY0_normal.jpg</v>
      </c>
      <c r="AW3705" s="82" t="s">
        <v>16789</v>
      </c>
      <c r="AX3705" s="82" t="s">
        <v>16789</v>
      </c>
      <c r="AY3705" s="77"/>
      <c r="AZ3705" s="82" t="s">
        <v>17385</v>
      </c>
      <c r="BA3705" s="82" t="s">
        <v>17385</v>
      </c>
      <c r="BB3705" s="82" t="s">
        <v>17385</v>
      </c>
      <c r="BC3705" s="82" t="s">
        <v>16789</v>
      </c>
      <c r="BD3705" s="77">
        <v>51150679</v>
      </c>
      <c r="BE3705" s="77"/>
      <c r="BF3705" s="77"/>
      <c r="BG3705" s="77"/>
      <c r="BH3705" s="77"/>
      <c r="BI3705" s="77"/>
    </row>
    <row r="3706" spans="1:61" x14ac:dyDescent="0.25">
      <c r="A3706" s="62" t="s">
        <v>605</v>
      </c>
      <c r="B3706" s="62" t="s">
        <v>605</v>
      </c>
      <c r="C3706" s="63"/>
      <c r="D3706" s="64"/>
      <c r="E3706" s="65"/>
      <c r="F3706" s="66"/>
      <c r="G3706" s="63"/>
      <c r="H3706" s="67"/>
      <c r="I3706" s="68"/>
      <c r="J3706" s="68"/>
      <c r="K3706" s="32"/>
      <c r="L3706" s="75">
        <v>3706</v>
      </c>
      <c r="M3706" s="75"/>
      <c r="N3706" s="70"/>
      <c r="O3706" s="77" t="s">
        <v>179</v>
      </c>
      <c r="P3706" s="79">
        <v>45140.938275462962</v>
      </c>
      <c r="Q3706" s="77" t="s">
        <v>4480</v>
      </c>
      <c r="R3706" s="77">
        <v>2</v>
      </c>
      <c r="S3706" s="77">
        <v>16</v>
      </c>
      <c r="T3706" s="77">
        <v>1</v>
      </c>
      <c r="U3706" s="77">
        <v>0</v>
      </c>
      <c r="V3706" s="77">
        <v>2295</v>
      </c>
      <c r="W3706" s="82" t="s">
        <v>6816</v>
      </c>
      <c r="X3706" s="80" t="str">
        <f>HYPERLINK("https://www.moneytimes.com.br/dividendos-de-ate-43-petr4-e-mais-4-acoes-pagam-mais-que-a-nova-selic-a-1325/")</f>
        <v>https://www.moneytimes.com.br/dividendos-de-ate-43-petr4-e-mais-4-acoes-pagam-mais-que-a-nova-selic-a-1325/</v>
      </c>
      <c r="Y3706" s="77" t="s">
        <v>7053</v>
      </c>
      <c r="Z3706" s="77"/>
      <c r="AA3706" s="77"/>
      <c r="AB3706" s="77"/>
      <c r="AC3706" s="82" t="s">
        <v>8255</v>
      </c>
      <c r="AD3706" s="77" t="s">
        <v>8278</v>
      </c>
      <c r="AE3706" s="80" t="str">
        <f>HYPERLINK("https://twitter.com/leiamoneytimes/status/1686867249242492928")</f>
        <v>https://twitter.com/leiamoneytimes/status/1686867249242492928</v>
      </c>
      <c r="AF3706" s="79">
        <v>45140.938275462962</v>
      </c>
      <c r="AG3706" s="85">
        <v>45140</v>
      </c>
      <c r="AH3706" s="82" t="s">
        <v>8295</v>
      </c>
      <c r="AI3706" s="77" t="b">
        <v>0</v>
      </c>
      <c r="AJ3706" s="77"/>
      <c r="AK3706" s="77"/>
      <c r="AL3706" s="77"/>
      <c r="AM3706" s="77"/>
      <c r="AN3706" s="77"/>
      <c r="AO3706" s="77"/>
      <c r="AP3706" s="77"/>
      <c r="AQ3706" s="77"/>
      <c r="AR3706" s="77"/>
      <c r="AS3706" s="77"/>
      <c r="AT3706" s="77"/>
      <c r="AU3706" s="77"/>
      <c r="AV3706" s="80" t="str">
        <f>HYPERLINK("https://pbs.twimg.com/profile_images/1559883556846977024/bXHnQFY0_normal.jpg")</f>
        <v>https://pbs.twimg.com/profile_images/1559883556846977024/bXHnQFY0_normal.jpg</v>
      </c>
      <c r="AW3706" s="82" t="s">
        <v>16790</v>
      </c>
      <c r="AX3706" s="82" t="s">
        <v>16790</v>
      </c>
      <c r="AY3706" s="77"/>
      <c r="AZ3706" s="82" t="s">
        <v>17385</v>
      </c>
      <c r="BA3706" s="82" t="s">
        <v>17385</v>
      </c>
      <c r="BB3706" s="82" t="s">
        <v>17385</v>
      </c>
      <c r="BC3706" s="82" t="s">
        <v>16790</v>
      </c>
      <c r="BD3706" s="77">
        <v>51150679</v>
      </c>
      <c r="BE3706" s="77"/>
      <c r="BF3706" s="77"/>
      <c r="BG3706" s="77"/>
      <c r="BH3706" s="77"/>
      <c r="BI3706" s="77"/>
    </row>
    <row r="3707" spans="1:61" x14ac:dyDescent="0.25">
      <c r="A3707" s="62" t="s">
        <v>605</v>
      </c>
      <c r="B3707" s="62" t="s">
        <v>605</v>
      </c>
      <c r="C3707" s="63"/>
      <c r="D3707" s="64"/>
      <c r="E3707" s="65"/>
      <c r="F3707" s="66"/>
      <c r="G3707" s="63"/>
      <c r="H3707" s="67"/>
      <c r="I3707" s="68"/>
      <c r="J3707" s="68"/>
      <c r="K3707" s="32"/>
      <c r="L3707" s="75">
        <v>3707</v>
      </c>
      <c r="M3707" s="75"/>
      <c r="N3707" s="70"/>
      <c r="O3707" s="77" t="s">
        <v>179</v>
      </c>
      <c r="P3707" s="79">
        <v>45140.84447916667</v>
      </c>
      <c r="Q3707" s="77" t="s">
        <v>4481</v>
      </c>
      <c r="R3707" s="77">
        <v>0</v>
      </c>
      <c r="S3707" s="77">
        <v>4</v>
      </c>
      <c r="T3707" s="77">
        <v>1</v>
      </c>
      <c r="U3707" s="77">
        <v>0</v>
      </c>
      <c r="V3707" s="77">
        <v>1099</v>
      </c>
      <c r="W3707" s="82" t="s">
        <v>6551</v>
      </c>
      <c r="X3707" s="80" t="str">
        <f>HYPERLINK("https://www.moneytimes.com.br/ibovespa-hoje-fecha-queda-wall-street-copom-selic-juros-02-08-2023/")</f>
        <v>https://www.moneytimes.com.br/ibovespa-hoje-fecha-queda-wall-street-copom-selic-juros-02-08-2023/</v>
      </c>
      <c r="Y3707" s="77" t="s">
        <v>7053</v>
      </c>
      <c r="Z3707" s="77"/>
      <c r="AA3707" s="77"/>
      <c r="AB3707" s="77"/>
      <c r="AC3707" s="82" t="s">
        <v>8255</v>
      </c>
      <c r="AD3707" s="77" t="s">
        <v>8278</v>
      </c>
      <c r="AE3707" s="80" t="str">
        <f>HYPERLINK("https://twitter.com/leiamoneytimes/status/1686833261232689152")</f>
        <v>https://twitter.com/leiamoneytimes/status/1686833261232689152</v>
      </c>
      <c r="AF3707" s="79">
        <v>45140.84447916667</v>
      </c>
      <c r="AG3707" s="85">
        <v>45140</v>
      </c>
      <c r="AH3707" s="82" t="s">
        <v>11678</v>
      </c>
      <c r="AI3707" s="77" t="b">
        <v>0</v>
      </c>
      <c r="AJ3707" s="77"/>
      <c r="AK3707" s="77"/>
      <c r="AL3707" s="77"/>
      <c r="AM3707" s="77"/>
      <c r="AN3707" s="77"/>
      <c r="AO3707" s="77"/>
      <c r="AP3707" s="77"/>
      <c r="AQ3707" s="77"/>
      <c r="AR3707" s="77"/>
      <c r="AS3707" s="77"/>
      <c r="AT3707" s="77"/>
      <c r="AU3707" s="77"/>
      <c r="AV3707" s="80" t="str">
        <f>HYPERLINK("https://pbs.twimg.com/profile_images/1559883556846977024/bXHnQFY0_normal.jpg")</f>
        <v>https://pbs.twimg.com/profile_images/1559883556846977024/bXHnQFY0_normal.jpg</v>
      </c>
      <c r="AW3707" s="82" t="s">
        <v>16791</v>
      </c>
      <c r="AX3707" s="82" t="s">
        <v>16791</v>
      </c>
      <c r="AY3707" s="77"/>
      <c r="AZ3707" s="82" t="s">
        <v>17385</v>
      </c>
      <c r="BA3707" s="82" t="s">
        <v>17385</v>
      </c>
      <c r="BB3707" s="82" t="s">
        <v>17385</v>
      </c>
      <c r="BC3707" s="82" t="s">
        <v>16791</v>
      </c>
      <c r="BD3707" s="77">
        <v>51150679</v>
      </c>
      <c r="BE3707" s="77"/>
      <c r="BF3707" s="77"/>
      <c r="BG3707" s="77"/>
      <c r="BH3707" s="77"/>
      <c r="BI3707" s="77"/>
    </row>
    <row r="3708" spans="1:61" x14ac:dyDescent="0.25">
      <c r="A3708" s="62" t="s">
        <v>605</v>
      </c>
      <c r="B3708" s="62" t="s">
        <v>605</v>
      </c>
      <c r="C3708" s="63"/>
      <c r="D3708" s="64"/>
      <c r="E3708" s="65"/>
      <c r="F3708" s="66"/>
      <c r="G3708" s="63"/>
      <c r="H3708" s="67"/>
      <c r="I3708" s="68"/>
      <c r="J3708" s="68"/>
      <c r="K3708" s="32"/>
      <c r="L3708" s="75">
        <v>3708</v>
      </c>
      <c r="M3708" s="75"/>
      <c r="N3708" s="70"/>
      <c r="O3708" s="77" t="s">
        <v>179</v>
      </c>
      <c r="P3708" s="79">
        <v>45140.661979166667</v>
      </c>
      <c r="Q3708" s="77" t="s">
        <v>4482</v>
      </c>
      <c r="R3708" s="77">
        <v>0</v>
      </c>
      <c r="S3708" s="77">
        <v>1</v>
      </c>
      <c r="T3708" s="77">
        <v>1</v>
      </c>
      <c r="U3708" s="77">
        <v>0</v>
      </c>
      <c r="V3708" s="77">
        <v>1358</v>
      </c>
      <c r="W3708" s="82" t="s">
        <v>6817</v>
      </c>
      <c r="X3708" s="80" t="str">
        <f>HYPERLINK("https://www.moneytimes.com.br/ibovespa-hoje-agora-magalu-via-cielo-02-08-2023/")</f>
        <v>https://www.moneytimes.com.br/ibovespa-hoje-agora-magalu-via-cielo-02-08-2023/</v>
      </c>
      <c r="Y3708" s="77" t="s">
        <v>7053</v>
      </c>
      <c r="Z3708" s="77"/>
      <c r="AA3708" s="77"/>
      <c r="AB3708" s="77"/>
      <c r="AC3708" s="82" t="s">
        <v>8255</v>
      </c>
      <c r="AD3708" s="77" t="s">
        <v>8278</v>
      </c>
      <c r="AE3708" s="80" t="str">
        <f>HYPERLINK("https://twitter.com/leiamoneytimes/status/1686767125430456320")</f>
        <v>https://twitter.com/leiamoneytimes/status/1686767125430456320</v>
      </c>
      <c r="AF3708" s="79">
        <v>45140.661979166667</v>
      </c>
      <c r="AG3708" s="85">
        <v>45140</v>
      </c>
      <c r="AH3708" s="82" t="s">
        <v>11679</v>
      </c>
      <c r="AI3708" s="77" t="b">
        <v>0</v>
      </c>
      <c r="AJ3708" s="77"/>
      <c r="AK3708" s="77"/>
      <c r="AL3708" s="77"/>
      <c r="AM3708" s="77"/>
      <c r="AN3708" s="77"/>
      <c r="AO3708" s="77"/>
      <c r="AP3708" s="77"/>
      <c r="AQ3708" s="77"/>
      <c r="AR3708" s="77"/>
      <c r="AS3708" s="77"/>
      <c r="AT3708" s="77"/>
      <c r="AU3708" s="77"/>
      <c r="AV3708" s="80" t="str">
        <f>HYPERLINK("https://pbs.twimg.com/profile_images/1559883556846977024/bXHnQFY0_normal.jpg")</f>
        <v>https://pbs.twimg.com/profile_images/1559883556846977024/bXHnQFY0_normal.jpg</v>
      </c>
      <c r="AW3708" s="82" t="s">
        <v>16792</v>
      </c>
      <c r="AX3708" s="82" t="s">
        <v>16792</v>
      </c>
      <c r="AY3708" s="77"/>
      <c r="AZ3708" s="82" t="s">
        <v>17385</v>
      </c>
      <c r="BA3708" s="82" t="s">
        <v>17385</v>
      </c>
      <c r="BB3708" s="82" t="s">
        <v>17385</v>
      </c>
      <c r="BC3708" s="82" t="s">
        <v>16792</v>
      </c>
      <c r="BD3708" s="77">
        <v>51150679</v>
      </c>
      <c r="BE3708" s="77"/>
      <c r="BF3708" s="77"/>
      <c r="BG3708" s="77"/>
      <c r="BH3708" s="77"/>
      <c r="BI3708" s="77"/>
    </row>
    <row r="3709" spans="1:61" x14ac:dyDescent="0.25">
      <c r="A3709" s="62" t="s">
        <v>605</v>
      </c>
      <c r="B3709" s="62" t="s">
        <v>605</v>
      </c>
      <c r="C3709" s="63"/>
      <c r="D3709" s="64"/>
      <c r="E3709" s="65"/>
      <c r="F3709" s="66"/>
      <c r="G3709" s="63"/>
      <c r="H3709" s="67"/>
      <c r="I3709" s="68"/>
      <c r="J3709" s="68"/>
      <c r="K3709" s="32"/>
      <c r="L3709" s="75">
        <v>3709</v>
      </c>
      <c r="M3709" s="75"/>
      <c r="N3709" s="70"/>
      <c r="O3709" s="77" t="s">
        <v>179</v>
      </c>
      <c r="P3709" s="79">
        <v>45140.106446759259</v>
      </c>
      <c r="Q3709" s="77" t="s">
        <v>4483</v>
      </c>
      <c r="R3709" s="77">
        <v>0</v>
      </c>
      <c r="S3709" s="77">
        <v>4</v>
      </c>
      <c r="T3709" s="77">
        <v>0</v>
      </c>
      <c r="U3709" s="77">
        <v>0</v>
      </c>
      <c r="V3709" s="77">
        <v>1658</v>
      </c>
      <c r="W3709" s="82" t="s">
        <v>6818</v>
      </c>
      <c r="X3709" s="80" t="str">
        <f>HYPERLINK("https://www.moneytimes.com.br/fitch-corta-nota-dos-eua-veja-as-6-razoes-para-rating-baixar-de-aaa-para-aae-um-alento/")</f>
        <v>https://www.moneytimes.com.br/fitch-corta-nota-dos-eua-veja-as-6-razoes-para-rating-baixar-de-aaa-para-aae-um-alento/</v>
      </c>
      <c r="Y3709" s="77" t="s">
        <v>7053</v>
      </c>
      <c r="Z3709" s="77"/>
      <c r="AA3709" s="77"/>
      <c r="AB3709" s="77"/>
      <c r="AC3709" s="82" t="s">
        <v>8255</v>
      </c>
      <c r="AD3709" s="77" t="s">
        <v>8278</v>
      </c>
      <c r="AE3709" s="80" t="str">
        <f>HYPERLINK("https://twitter.com/leiamoneytimes/status/1686565805519953922")</f>
        <v>https://twitter.com/leiamoneytimes/status/1686565805519953922</v>
      </c>
      <c r="AF3709" s="79">
        <v>45140.106446759259</v>
      </c>
      <c r="AG3709" s="85">
        <v>45140</v>
      </c>
      <c r="AH3709" s="82" t="s">
        <v>11680</v>
      </c>
      <c r="AI3709" s="77" t="b">
        <v>0</v>
      </c>
      <c r="AJ3709" s="77"/>
      <c r="AK3709" s="77"/>
      <c r="AL3709" s="77"/>
      <c r="AM3709" s="77"/>
      <c r="AN3709" s="77"/>
      <c r="AO3709" s="77"/>
      <c r="AP3709" s="77"/>
      <c r="AQ3709" s="77"/>
      <c r="AR3709" s="77"/>
      <c r="AS3709" s="77"/>
      <c r="AT3709" s="77"/>
      <c r="AU3709" s="77"/>
      <c r="AV3709" s="80" t="str">
        <f>HYPERLINK("https://pbs.twimg.com/profile_images/1559883556846977024/bXHnQFY0_normal.jpg")</f>
        <v>https://pbs.twimg.com/profile_images/1559883556846977024/bXHnQFY0_normal.jpg</v>
      </c>
      <c r="AW3709" s="82" t="s">
        <v>16793</v>
      </c>
      <c r="AX3709" s="82" t="s">
        <v>16793</v>
      </c>
      <c r="AY3709" s="77"/>
      <c r="AZ3709" s="82" t="s">
        <v>17385</v>
      </c>
      <c r="BA3709" s="82" t="s">
        <v>17385</v>
      </c>
      <c r="BB3709" s="82" t="s">
        <v>17385</v>
      </c>
      <c r="BC3709" s="82" t="s">
        <v>16793</v>
      </c>
      <c r="BD3709" s="77">
        <v>51150679</v>
      </c>
      <c r="BE3709" s="77"/>
      <c r="BF3709" s="77"/>
      <c r="BG3709" s="77"/>
      <c r="BH3709" s="77"/>
      <c r="BI3709" s="77"/>
    </row>
    <row r="3710" spans="1:61" x14ac:dyDescent="0.25">
      <c r="A3710" s="62" t="s">
        <v>605</v>
      </c>
      <c r="B3710" s="62" t="s">
        <v>605</v>
      </c>
      <c r="C3710" s="63"/>
      <c r="D3710" s="64"/>
      <c r="E3710" s="65"/>
      <c r="F3710" s="66"/>
      <c r="G3710" s="63"/>
      <c r="H3710" s="67"/>
      <c r="I3710" s="68"/>
      <c r="J3710" s="68"/>
      <c r="K3710" s="32"/>
      <c r="L3710" s="75">
        <v>3710</v>
      </c>
      <c r="M3710" s="75"/>
      <c r="N3710" s="70"/>
      <c r="O3710" s="77" t="s">
        <v>179</v>
      </c>
      <c r="P3710" s="79">
        <v>45139.844768518517</v>
      </c>
      <c r="Q3710" s="77" t="s">
        <v>4484</v>
      </c>
      <c r="R3710" s="77">
        <v>0</v>
      </c>
      <c r="S3710" s="77">
        <v>4</v>
      </c>
      <c r="T3710" s="77">
        <v>0</v>
      </c>
      <c r="U3710" s="77">
        <v>0</v>
      </c>
      <c r="V3710" s="77">
        <v>1162</v>
      </c>
      <c r="W3710" s="82" t="s">
        <v>6551</v>
      </c>
      <c r="X3710" s="80" t="str">
        <f>HYPERLINK("https://www.moneytimes.com.br/ibovespa-hoje-fecha-queda-vale-vale3-petrobras-petr4-copom-selic-01-08-2023/")</f>
        <v>https://www.moneytimes.com.br/ibovespa-hoje-fecha-queda-vale-vale3-petrobras-petr4-copom-selic-01-08-2023/</v>
      </c>
      <c r="Y3710" s="77" t="s">
        <v>7053</v>
      </c>
      <c r="Z3710" s="77"/>
      <c r="AA3710" s="77"/>
      <c r="AB3710" s="77"/>
      <c r="AC3710" s="82" t="s">
        <v>8255</v>
      </c>
      <c r="AD3710" s="77" t="s">
        <v>8278</v>
      </c>
      <c r="AE3710" s="80" t="str">
        <f>HYPERLINK("https://twitter.com/leiamoneytimes/status/1686470977427759106")</f>
        <v>https://twitter.com/leiamoneytimes/status/1686470977427759106</v>
      </c>
      <c r="AF3710" s="79">
        <v>45139.844768518517</v>
      </c>
      <c r="AG3710" s="85">
        <v>45139</v>
      </c>
      <c r="AH3710" s="82" t="s">
        <v>11681</v>
      </c>
      <c r="AI3710" s="77" t="b">
        <v>0</v>
      </c>
      <c r="AJ3710" s="77"/>
      <c r="AK3710" s="77"/>
      <c r="AL3710" s="77"/>
      <c r="AM3710" s="77"/>
      <c r="AN3710" s="77"/>
      <c r="AO3710" s="77"/>
      <c r="AP3710" s="77"/>
      <c r="AQ3710" s="77"/>
      <c r="AR3710" s="77"/>
      <c r="AS3710" s="77"/>
      <c r="AT3710" s="77"/>
      <c r="AU3710" s="77"/>
      <c r="AV3710" s="80" t="str">
        <f>HYPERLINK("https://pbs.twimg.com/profile_images/1559883556846977024/bXHnQFY0_normal.jpg")</f>
        <v>https://pbs.twimg.com/profile_images/1559883556846977024/bXHnQFY0_normal.jpg</v>
      </c>
      <c r="AW3710" s="82" t="s">
        <v>16794</v>
      </c>
      <c r="AX3710" s="82" t="s">
        <v>16794</v>
      </c>
      <c r="AY3710" s="77"/>
      <c r="AZ3710" s="82" t="s">
        <v>17385</v>
      </c>
      <c r="BA3710" s="82" t="s">
        <v>17385</v>
      </c>
      <c r="BB3710" s="82" t="s">
        <v>17385</v>
      </c>
      <c r="BC3710" s="82" t="s">
        <v>16794</v>
      </c>
      <c r="BD3710" s="77">
        <v>51150679</v>
      </c>
      <c r="BE3710" s="77"/>
      <c r="BF3710" s="77"/>
      <c r="BG3710" s="77"/>
      <c r="BH3710" s="77"/>
      <c r="BI3710" s="77"/>
    </row>
    <row r="3711" spans="1:61" x14ac:dyDescent="0.25">
      <c r="A3711" s="62" t="s">
        <v>605</v>
      </c>
      <c r="B3711" s="62" t="s">
        <v>605</v>
      </c>
      <c r="C3711" s="63"/>
      <c r="D3711" s="64"/>
      <c r="E3711" s="65"/>
      <c r="F3711" s="66"/>
      <c r="G3711" s="63"/>
      <c r="H3711" s="67"/>
      <c r="I3711" s="68"/>
      <c r="J3711" s="68"/>
      <c r="K3711" s="32"/>
      <c r="L3711" s="75">
        <v>3711</v>
      </c>
      <c r="M3711" s="75"/>
      <c r="N3711" s="70"/>
      <c r="O3711" s="77" t="s">
        <v>179</v>
      </c>
      <c r="P3711" s="79">
        <v>45139.825486111113</v>
      </c>
      <c r="Q3711" s="77" t="s">
        <v>4485</v>
      </c>
      <c r="R3711" s="77">
        <v>2</v>
      </c>
      <c r="S3711" s="77">
        <v>16</v>
      </c>
      <c r="T3711" s="77">
        <v>2</v>
      </c>
      <c r="U3711" s="77">
        <v>0</v>
      </c>
      <c r="V3711" s="77">
        <v>1946</v>
      </c>
      <c r="W3711" s="82" t="s">
        <v>6819</v>
      </c>
      <c r="X3711" s="80" t="str">
        <f>HYPERLINK("https://www.moneytimes.com.br/petrobras-petr3-bradesco-bbdc3-itausa-itsa3-e-mais-16-pagam-dividendos-de-ate-5-em-agosto-veja-a-lista/")</f>
        <v>https://www.moneytimes.com.br/petrobras-petr3-bradesco-bbdc3-itausa-itsa3-e-mais-16-pagam-dividendos-de-ate-5-em-agosto-veja-a-lista/</v>
      </c>
      <c r="Y3711" s="77" t="s">
        <v>7053</v>
      </c>
      <c r="Z3711" s="77"/>
      <c r="AA3711" s="77"/>
      <c r="AB3711" s="77"/>
      <c r="AC3711" s="82" t="s">
        <v>8255</v>
      </c>
      <c r="AD3711" s="77" t="s">
        <v>8278</v>
      </c>
      <c r="AE3711" s="80" t="str">
        <f>HYPERLINK("https://twitter.com/leiamoneytimes/status/1686463989008449536")</f>
        <v>https://twitter.com/leiamoneytimes/status/1686463989008449536</v>
      </c>
      <c r="AF3711" s="79">
        <v>45139.825486111113</v>
      </c>
      <c r="AG3711" s="85">
        <v>45139</v>
      </c>
      <c r="AH3711" s="82" t="s">
        <v>11682</v>
      </c>
      <c r="AI3711" s="77" t="b">
        <v>0</v>
      </c>
      <c r="AJ3711" s="77"/>
      <c r="AK3711" s="77"/>
      <c r="AL3711" s="77"/>
      <c r="AM3711" s="77"/>
      <c r="AN3711" s="77"/>
      <c r="AO3711" s="77"/>
      <c r="AP3711" s="77"/>
      <c r="AQ3711" s="77"/>
      <c r="AR3711" s="77"/>
      <c r="AS3711" s="77"/>
      <c r="AT3711" s="77"/>
      <c r="AU3711" s="77"/>
      <c r="AV3711" s="80" t="str">
        <f>HYPERLINK("https://pbs.twimg.com/profile_images/1559883556846977024/bXHnQFY0_normal.jpg")</f>
        <v>https://pbs.twimg.com/profile_images/1559883556846977024/bXHnQFY0_normal.jpg</v>
      </c>
      <c r="AW3711" s="82" t="s">
        <v>16795</v>
      </c>
      <c r="AX3711" s="82" t="s">
        <v>16795</v>
      </c>
      <c r="AY3711" s="77"/>
      <c r="AZ3711" s="82" t="s">
        <v>17385</v>
      </c>
      <c r="BA3711" s="82" t="s">
        <v>17385</v>
      </c>
      <c r="BB3711" s="82" t="s">
        <v>17385</v>
      </c>
      <c r="BC3711" s="82" t="s">
        <v>16795</v>
      </c>
      <c r="BD3711" s="77">
        <v>51150679</v>
      </c>
      <c r="BE3711" s="77"/>
      <c r="BF3711" s="77"/>
      <c r="BG3711" s="77"/>
      <c r="BH3711" s="77"/>
      <c r="BI3711" s="77"/>
    </row>
    <row r="3712" spans="1:61" x14ac:dyDescent="0.25">
      <c r="A3712" s="62" t="s">
        <v>605</v>
      </c>
      <c r="B3712" s="62" t="s">
        <v>605</v>
      </c>
      <c r="C3712" s="63"/>
      <c r="D3712" s="64"/>
      <c r="E3712" s="65"/>
      <c r="F3712" s="66"/>
      <c r="G3712" s="63"/>
      <c r="H3712" s="67"/>
      <c r="I3712" s="68"/>
      <c r="J3712" s="68"/>
      <c r="K3712" s="32"/>
      <c r="L3712" s="75">
        <v>3712</v>
      </c>
      <c r="M3712" s="75"/>
      <c r="N3712" s="70"/>
      <c r="O3712" s="77" t="s">
        <v>179</v>
      </c>
      <c r="P3712" s="79">
        <v>45126.848402777781</v>
      </c>
      <c r="Q3712" s="77" t="s">
        <v>4486</v>
      </c>
      <c r="R3712" s="77">
        <v>0</v>
      </c>
      <c r="S3712" s="77">
        <v>3</v>
      </c>
      <c r="T3712" s="77">
        <v>0</v>
      </c>
      <c r="U3712" s="77">
        <v>0</v>
      </c>
      <c r="V3712" s="77">
        <v>1298</v>
      </c>
      <c r="W3712" s="82" t="s">
        <v>6551</v>
      </c>
      <c r="X3712" s="80" t="str">
        <f>HYPERLINK("https://www.moneytimes.com.br/ibovespa-hoje-fecha-queda-vale-vale3-weg-wege3-19-07-2023/")</f>
        <v>https://www.moneytimes.com.br/ibovespa-hoje-fecha-queda-vale-vale3-weg-wege3-19-07-2023/</v>
      </c>
      <c r="Y3712" s="77" t="s">
        <v>7053</v>
      </c>
      <c r="Z3712" s="77"/>
      <c r="AA3712" s="77"/>
      <c r="AB3712" s="77"/>
      <c r="AC3712" s="82" t="s">
        <v>8255</v>
      </c>
      <c r="AD3712" s="77" t="s">
        <v>8278</v>
      </c>
      <c r="AE3712" s="80" t="str">
        <f>HYPERLINK("https://twitter.com/leiamoneytimes/status/1681761248873009160")</f>
        <v>https://twitter.com/leiamoneytimes/status/1681761248873009160</v>
      </c>
      <c r="AF3712" s="79">
        <v>45126.848402777781</v>
      </c>
      <c r="AG3712" s="85">
        <v>45126</v>
      </c>
      <c r="AH3712" s="82" t="s">
        <v>11516</v>
      </c>
      <c r="AI3712" s="77" t="b">
        <v>0</v>
      </c>
      <c r="AJ3712" s="77"/>
      <c r="AK3712" s="77"/>
      <c r="AL3712" s="77"/>
      <c r="AM3712" s="77"/>
      <c r="AN3712" s="77"/>
      <c r="AO3712" s="77"/>
      <c r="AP3712" s="77"/>
      <c r="AQ3712" s="77"/>
      <c r="AR3712" s="77"/>
      <c r="AS3712" s="77"/>
      <c r="AT3712" s="77"/>
      <c r="AU3712" s="77"/>
      <c r="AV3712" s="80" t="str">
        <f>HYPERLINK("https://pbs.twimg.com/profile_images/1559883556846977024/bXHnQFY0_normal.jpg")</f>
        <v>https://pbs.twimg.com/profile_images/1559883556846977024/bXHnQFY0_normal.jpg</v>
      </c>
      <c r="AW3712" s="82" t="s">
        <v>16796</v>
      </c>
      <c r="AX3712" s="82" t="s">
        <v>16796</v>
      </c>
      <c r="AY3712" s="77"/>
      <c r="AZ3712" s="82" t="s">
        <v>17385</v>
      </c>
      <c r="BA3712" s="82" t="s">
        <v>17385</v>
      </c>
      <c r="BB3712" s="82" t="s">
        <v>17385</v>
      </c>
      <c r="BC3712" s="82" t="s">
        <v>16796</v>
      </c>
      <c r="BD3712" s="77">
        <v>51150679</v>
      </c>
      <c r="BE3712" s="77"/>
      <c r="BF3712" s="77"/>
      <c r="BG3712" s="77"/>
      <c r="BH3712" s="77"/>
      <c r="BI3712" s="77"/>
    </row>
    <row r="3713" spans="1:61" x14ac:dyDescent="0.25">
      <c r="A3713" s="62" t="s">
        <v>605</v>
      </c>
      <c r="B3713" s="62" t="s">
        <v>605</v>
      </c>
      <c r="C3713" s="63"/>
      <c r="D3713" s="64"/>
      <c r="E3713" s="65"/>
      <c r="F3713" s="66"/>
      <c r="G3713" s="63"/>
      <c r="H3713" s="67"/>
      <c r="I3713" s="68"/>
      <c r="J3713" s="68"/>
      <c r="K3713" s="32"/>
      <c r="L3713" s="75">
        <v>3713</v>
      </c>
      <c r="M3713" s="75"/>
      <c r="N3713" s="70"/>
      <c r="O3713" s="77" t="s">
        <v>179</v>
      </c>
      <c r="P3713" s="79">
        <v>45126.660046296296</v>
      </c>
      <c r="Q3713" s="77" t="s">
        <v>4487</v>
      </c>
      <c r="R3713" s="77">
        <v>0</v>
      </c>
      <c r="S3713" s="77">
        <v>1</v>
      </c>
      <c r="T3713" s="77">
        <v>0</v>
      </c>
      <c r="U3713" s="77">
        <v>0</v>
      </c>
      <c r="V3713" s="77">
        <v>1193</v>
      </c>
      <c r="W3713" s="82" t="s">
        <v>6661</v>
      </c>
      <c r="X3713" s="80" t="str">
        <f>HYPERLINK("https://www.moneytimes.com.br/ibovespa-hoje-agora-pao-de-acucar-cielo-19-07-2023/")</f>
        <v>https://www.moneytimes.com.br/ibovespa-hoje-agora-pao-de-acucar-cielo-19-07-2023/</v>
      </c>
      <c r="Y3713" s="77" t="s">
        <v>7053</v>
      </c>
      <c r="Z3713" s="77"/>
      <c r="AA3713" s="77"/>
      <c r="AB3713" s="77"/>
      <c r="AC3713" s="82" t="s">
        <v>8255</v>
      </c>
      <c r="AD3713" s="77" t="s">
        <v>8278</v>
      </c>
      <c r="AE3713" s="80" t="str">
        <f>HYPERLINK("https://twitter.com/leiamoneytimes/status/1681692991520645120")</f>
        <v>https://twitter.com/leiamoneytimes/status/1681692991520645120</v>
      </c>
      <c r="AF3713" s="79">
        <v>45126.660046296296</v>
      </c>
      <c r="AG3713" s="85">
        <v>45126</v>
      </c>
      <c r="AH3713" s="82" t="s">
        <v>11683</v>
      </c>
      <c r="AI3713" s="77" t="b">
        <v>0</v>
      </c>
      <c r="AJ3713" s="77"/>
      <c r="AK3713" s="77"/>
      <c r="AL3713" s="77"/>
      <c r="AM3713" s="77"/>
      <c r="AN3713" s="77"/>
      <c r="AO3713" s="77"/>
      <c r="AP3713" s="77"/>
      <c r="AQ3713" s="77"/>
      <c r="AR3713" s="77"/>
      <c r="AS3713" s="77"/>
      <c r="AT3713" s="77"/>
      <c r="AU3713" s="77"/>
      <c r="AV3713" s="80" t="str">
        <f>HYPERLINK("https://pbs.twimg.com/profile_images/1559883556846977024/bXHnQFY0_normal.jpg")</f>
        <v>https://pbs.twimg.com/profile_images/1559883556846977024/bXHnQFY0_normal.jpg</v>
      </c>
      <c r="AW3713" s="82" t="s">
        <v>16797</v>
      </c>
      <c r="AX3713" s="82" t="s">
        <v>16797</v>
      </c>
      <c r="AY3713" s="77"/>
      <c r="AZ3713" s="82" t="s">
        <v>17385</v>
      </c>
      <c r="BA3713" s="82" t="s">
        <v>17385</v>
      </c>
      <c r="BB3713" s="82" t="s">
        <v>17385</v>
      </c>
      <c r="BC3713" s="82" t="s">
        <v>16797</v>
      </c>
      <c r="BD3713" s="77">
        <v>51150679</v>
      </c>
      <c r="BE3713" s="77"/>
      <c r="BF3713" s="77"/>
      <c r="BG3713" s="77"/>
      <c r="BH3713" s="77"/>
      <c r="BI3713" s="77"/>
    </row>
    <row r="3714" spans="1:61" x14ac:dyDescent="0.25">
      <c r="A3714" s="62" t="s">
        <v>605</v>
      </c>
      <c r="B3714" s="62" t="s">
        <v>605</v>
      </c>
      <c r="C3714" s="63"/>
      <c r="D3714" s="64"/>
      <c r="E3714" s="65"/>
      <c r="F3714" s="66"/>
      <c r="G3714" s="63"/>
      <c r="H3714" s="67"/>
      <c r="I3714" s="68"/>
      <c r="J3714" s="68"/>
      <c r="K3714" s="32"/>
      <c r="L3714" s="75">
        <v>3714</v>
      </c>
      <c r="M3714" s="75"/>
      <c r="N3714" s="70"/>
      <c r="O3714" s="77" t="s">
        <v>179</v>
      </c>
      <c r="P3714" s="79">
        <v>45126.651921296296</v>
      </c>
      <c r="Q3714" s="77" t="s">
        <v>4488</v>
      </c>
      <c r="R3714" s="77">
        <v>0</v>
      </c>
      <c r="S3714" s="77">
        <v>2</v>
      </c>
      <c r="T3714" s="77">
        <v>0</v>
      </c>
      <c r="U3714" s="77">
        <v>0</v>
      </c>
      <c r="V3714" s="77">
        <v>1030</v>
      </c>
      <c r="W3714" s="82" t="s">
        <v>6820</v>
      </c>
      <c r="X3714" s="80" t="str">
        <f>HYPERLINK("https://www.moneytimes.com.br/weg-wege3-dividendos-milionarios-valem-a-pena-analistas-tem-pulga-atras-da-orelha/")</f>
        <v>https://www.moneytimes.com.br/weg-wege3-dividendos-milionarios-valem-a-pena-analistas-tem-pulga-atras-da-orelha/</v>
      </c>
      <c r="Y3714" s="77" t="s">
        <v>7053</v>
      </c>
      <c r="Z3714" s="77"/>
      <c r="AA3714" s="77"/>
      <c r="AB3714" s="77"/>
      <c r="AC3714" s="82" t="s">
        <v>8255</v>
      </c>
      <c r="AD3714" s="77" t="s">
        <v>8278</v>
      </c>
      <c r="AE3714" s="80" t="str">
        <f>HYPERLINK("https://twitter.com/leiamoneytimes/status/1681690049568555010")</f>
        <v>https://twitter.com/leiamoneytimes/status/1681690049568555010</v>
      </c>
      <c r="AF3714" s="79">
        <v>45126.651921296296</v>
      </c>
      <c r="AG3714" s="85">
        <v>45126</v>
      </c>
      <c r="AH3714" s="82" t="s">
        <v>11684</v>
      </c>
      <c r="AI3714" s="77" t="b">
        <v>0</v>
      </c>
      <c r="AJ3714" s="77"/>
      <c r="AK3714" s="77"/>
      <c r="AL3714" s="77"/>
      <c r="AM3714" s="77"/>
      <c r="AN3714" s="77"/>
      <c r="AO3714" s="77"/>
      <c r="AP3714" s="77"/>
      <c r="AQ3714" s="77"/>
      <c r="AR3714" s="77"/>
      <c r="AS3714" s="77"/>
      <c r="AT3714" s="77"/>
      <c r="AU3714" s="77"/>
      <c r="AV3714" s="80" t="str">
        <f>HYPERLINK("https://pbs.twimg.com/profile_images/1559883556846977024/bXHnQFY0_normal.jpg")</f>
        <v>https://pbs.twimg.com/profile_images/1559883556846977024/bXHnQFY0_normal.jpg</v>
      </c>
      <c r="AW3714" s="82" t="s">
        <v>16798</v>
      </c>
      <c r="AX3714" s="82" t="s">
        <v>16798</v>
      </c>
      <c r="AY3714" s="77"/>
      <c r="AZ3714" s="82" t="s">
        <v>17385</v>
      </c>
      <c r="BA3714" s="82" t="s">
        <v>17385</v>
      </c>
      <c r="BB3714" s="82" t="s">
        <v>17385</v>
      </c>
      <c r="BC3714" s="82" t="s">
        <v>16798</v>
      </c>
      <c r="BD3714" s="77">
        <v>51150679</v>
      </c>
      <c r="BE3714" s="77"/>
      <c r="BF3714" s="77"/>
      <c r="BG3714" s="77"/>
      <c r="BH3714" s="77"/>
      <c r="BI3714" s="77"/>
    </row>
    <row r="3715" spans="1:61" x14ac:dyDescent="0.25">
      <c r="A3715" s="62" t="s">
        <v>605</v>
      </c>
      <c r="B3715" s="62" t="s">
        <v>605</v>
      </c>
      <c r="C3715" s="63"/>
      <c r="D3715" s="64"/>
      <c r="E3715" s="65"/>
      <c r="F3715" s="66"/>
      <c r="G3715" s="63"/>
      <c r="H3715" s="67"/>
      <c r="I3715" s="68"/>
      <c r="J3715" s="68"/>
      <c r="K3715" s="32"/>
      <c r="L3715" s="75">
        <v>3715</v>
      </c>
      <c r="M3715" s="75"/>
      <c r="N3715" s="70"/>
      <c r="O3715" s="77" t="s">
        <v>179</v>
      </c>
      <c r="P3715" s="79">
        <v>45126.49832175926</v>
      </c>
      <c r="Q3715" s="77" t="s">
        <v>4489</v>
      </c>
      <c r="R3715" s="77">
        <v>1</v>
      </c>
      <c r="S3715" s="77">
        <v>18</v>
      </c>
      <c r="T3715" s="77">
        <v>0</v>
      </c>
      <c r="U3715" s="77">
        <v>0</v>
      </c>
      <c r="V3715" s="77">
        <v>1939</v>
      </c>
      <c r="W3715" s="82" t="s">
        <v>6551</v>
      </c>
      <c r="X3715" s="80" t="str">
        <f>HYPERLINK("https://www.moneytimes.com.br/itausa-itsa4-despacha-mais-uma-leva-de-acoes-da-xp/")</f>
        <v>https://www.moneytimes.com.br/itausa-itsa4-despacha-mais-uma-leva-de-acoes-da-xp/</v>
      </c>
      <c r="Y3715" s="77" t="s">
        <v>7053</v>
      </c>
      <c r="Z3715" s="77"/>
      <c r="AA3715" s="77"/>
      <c r="AB3715" s="77"/>
      <c r="AC3715" s="82" t="s">
        <v>8255</v>
      </c>
      <c r="AD3715" s="77" t="s">
        <v>8278</v>
      </c>
      <c r="AE3715" s="80" t="str">
        <f>HYPERLINK("https://twitter.com/leiamoneytimes/status/1681634387807330304")</f>
        <v>https://twitter.com/leiamoneytimes/status/1681634387807330304</v>
      </c>
      <c r="AF3715" s="79">
        <v>45126.49832175926</v>
      </c>
      <c r="AG3715" s="85">
        <v>45126</v>
      </c>
      <c r="AH3715" s="82" t="s">
        <v>11685</v>
      </c>
      <c r="AI3715" s="77" t="b">
        <v>0</v>
      </c>
      <c r="AJ3715" s="77"/>
      <c r="AK3715" s="77"/>
      <c r="AL3715" s="77"/>
      <c r="AM3715" s="77"/>
      <c r="AN3715" s="77"/>
      <c r="AO3715" s="77"/>
      <c r="AP3715" s="77"/>
      <c r="AQ3715" s="77"/>
      <c r="AR3715" s="77"/>
      <c r="AS3715" s="77"/>
      <c r="AT3715" s="77"/>
      <c r="AU3715" s="77"/>
      <c r="AV3715" s="80" t="str">
        <f>HYPERLINK("https://pbs.twimg.com/profile_images/1559883556846977024/bXHnQFY0_normal.jpg")</f>
        <v>https://pbs.twimg.com/profile_images/1559883556846977024/bXHnQFY0_normal.jpg</v>
      </c>
      <c r="AW3715" s="82" t="s">
        <v>16799</v>
      </c>
      <c r="AX3715" s="82" t="s">
        <v>16799</v>
      </c>
      <c r="AY3715" s="77"/>
      <c r="AZ3715" s="82" t="s">
        <v>17385</v>
      </c>
      <c r="BA3715" s="82" t="s">
        <v>17385</v>
      </c>
      <c r="BB3715" s="82" t="s">
        <v>17385</v>
      </c>
      <c r="BC3715" s="82" t="s">
        <v>16799</v>
      </c>
      <c r="BD3715" s="77">
        <v>51150679</v>
      </c>
      <c r="BE3715" s="77"/>
      <c r="BF3715" s="77"/>
      <c r="BG3715" s="77"/>
      <c r="BH3715" s="77"/>
      <c r="BI3715" s="77"/>
    </row>
    <row r="3716" spans="1:61" x14ac:dyDescent="0.25">
      <c r="A3716" s="62" t="s">
        <v>605</v>
      </c>
      <c r="B3716" s="62" t="s">
        <v>605</v>
      </c>
      <c r="C3716" s="63"/>
      <c r="D3716" s="64"/>
      <c r="E3716" s="65"/>
      <c r="F3716" s="66"/>
      <c r="G3716" s="63"/>
      <c r="H3716" s="67"/>
      <c r="I3716" s="68"/>
      <c r="J3716" s="68"/>
      <c r="K3716" s="32"/>
      <c r="L3716" s="75">
        <v>3716</v>
      </c>
      <c r="M3716" s="75"/>
      <c r="N3716" s="70"/>
      <c r="O3716" s="77" t="s">
        <v>179</v>
      </c>
      <c r="P3716" s="79">
        <v>45125.961296296293</v>
      </c>
      <c r="Q3716" s="77" t="s">
        <v>4490</v>
      </c>
      <c r="R3716" s="77">
        <v>0</v>
      </c>
      <c r="S3716" s="77">
        <v>2</v>
      </c>
      <c r="T3716" s="77">
        <v>0</v>
      </c>
      <c r="U3716" s="77">
        <v>0</v>
      </c>
      <c r="V3716" s="77">
        <v>1568</v>
      </c>
      <c r="W3716" s="82" t="s">
        <v>6580</v>
      </c>
      <c r="X3716" s="80" t="str">
        <f>HYPERLINK("https://www.moneytimes.com.br/valid-vlid3-vai-pagar-r-16-milhoes-em-juros-sobre-capital-e-voce-ainda-pode-aproveitar/")</f>
        <v>https://www.moneytimes.com.br/valid-vlid3-vai-pagar-r-16-milhoes-em-juros-sobre-capital-e-voce-ainda-pode-aproveitar/</v>
      </c>
      <c r="Y3716" s="77" t="s">
        <v>7053</v>
      </c>
      <c r="Z3716" s="77"/>
      <c r="AA3716" s="77"/>
      <c r="AB3716" s="77"/>
      <c r="AC3716" s="82" t="s">
        <v>8255</v>
      </c>
      <c r="AD3716" s="77" t="s">
        <v>8278</v>
      </c>
      <c r="AE3716" s="80" t="str">
        <f>HYPERLINK("https://twitter.com/leiamoneytimes/status/1681439772936482817")</f>
        <v>https://twitter.com/leiamoneytimes/status/1681439772936482817</v>
      </c>
      <c r="AF3716" s="79">
        <v>45125.961296296293</v>
      </c>
      <c r="AG3716" s="85">
        <v>45125</v>
      </c>
      <c r="AH3716" s="82" t="s">
        <v>11686</v>
      </c>
      <c r="AI3716" s="77" t="b">
        <v>0</v>
      </c>
      <c r="AJ3716" s="77"/>
      <c r="AK3716" s="77"/>
      <c r="AL3716" s="77"/>
      <c r="AM3716" s="77"/>
      <c r="AN3716" s="77"/>
      <c r="AO3716" s="77"/>
      <c r="AP3716" s="77"/>
      <c r="AQ3716" s="77"/>
      <c r="AR3716" s="77"/>
      <c r="AS3716" s="77"/>
      <c r="AT3716" s="77"/>
      <c r="AU3716" s="77"/>
      <c r="AV3716" s="80" t="str">
        <f>HYPERLINK("https://pbs.twimg.com/profile_images/1559883556846977024/bXHnQFY0_normal.jpg")</f>
        <v>https://pbs.twimg.com/profile_images/1559883556846977024/bXHnQFY0_normal.jpg</v>
      </c>
      <c r="AW3716" s="82" t="s">
        <v>16800</v>
      </c>
      <c r="AX3716" s="82" t="s">
        <v>16800</v>
      </c>
      <c r="AY3716" s="77"/>
      <c r="AZ3716" s="82" t="s">
        <v>17385</v>
      </c>
      <c r="BA3716" s="82" t="s">
        <v>17385</v>
      </c>
      <c r="BB3716" s="82" t="s">
        <v>17385</v>
      </c>
      <c r="BC3716" s="82" t="s">
        <v>16800</v>
      </c>
      <c r="BD3716" s="77">
        <v>51150679</v>
      </c>
      <c r="BE3716" s="77"/>
      <c r="BF3716" s="77"/>
      <c r="BG3716" s="77"/>
      <c r="BH3716" s="77"/>
      <c r="BI3716" s="77"/>
    </row>
    <row r="3717" spans="1:61" x14ac:dyDescent="0.25">
      <c r="A3717" s="62" t="s">
        <v>605</v>
      </c>
      <c r="B3717" s="62" t="s">
        <v>605</v>
      </c>
      <c r="C3717" s="63"/>
      <c r="D3717" s="64"/>
      <c r="E3717" s="65"/>
      <c r="F3717" s="66"/>
      <c r="G3717" s="63"/>
      <c r="H3717" s="67"/>
      <c r="I3717" s="68"/>
      <c r="J3717" s="68"/>
      <c r="K3717" s="32"/>
      <c r="L3717" s="75">
        <v>3717</v>
      </c>
      <c r="M3717" s="75"/>
      <c r="N3717" s="70"/>
      <c r="O3717" s="77" t="s">
        <v>179</v>
      </c>
      <c r="P3717" s="79">
        <v>45125.934999999998</v>
      </c>
      <c r="Q3717" s="77" t="s">
        <v>4491</v>
      </c>
      <c r="R3717" s="77">
        <v>0</v>
      </c>
      <c r="S3717" s="77">
        <v>3</v>
      </c>
      <c r="T3717" s="77">
        <v>0</v>
      </c>
      <c r="U3717" s="77">
        <v>1</v>
      </c>
      <c r="V3717" s="77">
        <v>2157</v>
      </c>
      <c r="W3717" s="82" t="s">
        <v>6650</v>
      </c>
      <c r="X3717" s="80" t="str">
        <f>HYPERLINK("https://www.moneytimes.com.br/unidade-do-bradesco-bbdc4-em-ny-tem-dados-vazados/")</f>
        <v>https://www.moneytimes.com.br/unidade-do-bradesco-bbdc4-em-ny-tem-dados-vazados/</v>
      </c>
      <c r="Y3717" s="77" t="s">
        <v>7053</v>
      </c>
      <c r="Z3717" s="77"/>
      <c r="AA3717" s="77"/>
      <c r="AB3717" s="77"/>
      <c r="AC3717" s="82" t="s">
        <v>8255</v>
      </c>
      <c r="AD3717" s="77" t="s">
        <v>8278</v>
      </c>
      <c r="AE3717" s="80" t="str">
        <f>HYPERLINK("https://twitter.com/leiamoneytimes/status/1681430244652384256")</f>
        <v>https://twitter.com/leiamoneytimes/status/1681430244652384256</v>
      </c>
      <c r="AF3717" s="79">
        <v>45125.934999999998</v>
      </c>
      <c r="AG3717" s="85">
        <v>45125</v>
      </c>
      <c r="AH3717" s="82" t="s">
        <v>11687</v>
      </c>
      <c r="AI3717" s="77" t="b">
        <v>0</v>
      </c>
      <c r="AJ3717" s="77"/>
      <c r="AK3717" s="77"/>
      <c r="AL3717" s="77"/>
      <c r="AM3717" s="77"/>
      <c r="AN3717" s="77"/>
      <c r="AO3717" s="77"/>
      <c r="AP3717" s="77"/>
      <c r="AQ3717" s="77"/>
      <c r="AR3717" s="77"/>
      <c r="AS3717" s="77"/>
      <c r="AT3717" s="77"/>
      <c r="AU3717" s="77"/>
      <c r="AV3717" s="80" t="str">
        <f>HYPERLINK("https://pbs.twimg.com/profile_images/1559883556846977024/bXHnQFY0_normal.jpg")</f>
        <v>https://pbs.twimg.com/profile_images/1559883556846977024/bXHnQFY0_normal.jpg</v>
      </c>
      <c r="AW3717" s="82" t="s">
        <v>16801</v>
      </c>
      <c r="AX3717" s="82" t="s">
        <v>16801</v>
      </c>
      <c r="AY3717" s="77"/>
      <c r="AZ3717" s="82" t="s">
        <v>17385</v>
      </c>
      <c r="BA3717" s="82" t="s">
        <v>17385</v>
      </c>
      <c r="BB3717" s="82" t="s">
        <v>17385</v>
      </c>
      <c r="BC3717" s="82" t="s">
        <v>16801</v>
      </c>
      <c r="BD3717" s="77">
        <v>51150679</v>
      </c>
      <c r="BE3717" s="77"/>
      <c r="BF3717" s="77"/>
      <c r="BG3717" s="77"/>
      <c r="BH3717" s="77"/>
      <c r="BI3717" s="77"/>
    </row>
    <row r="3718" spans="1:61" x14ac:dyDescent="0.25">
      <c r="A3718" s="62" t="s">
        <v>605</v>
      </c>
      <c r="B3718" s="62" t="s">
        <v>605</v>
      </c>
      <c r="C3718" s="63"/>
      <c r="D3718" s="64"/>
      <c r="E3718" s="65"/>
      <c r="F3718" s="66"/>
      <c r="G3718" s="63"/>
      <c r="H3718" s="67"/>
      <c r="I3718" s="68"/>
      <c r="J3718" s="68"/>
      <c r="K3718" s="32"/>
      <c r="L3718" s="75">
        <v>3718</v>
      </c>
      <c r="M3718" s="75"/>
      <c r="N3718" s="70"/>
      <c r="O3718" s="77" t="s">
        <v>179</v>
      </c>
      <c r="P3718" s="79">
        <v>45125.84233796296</v>
      </c>
      <c r="Q3718" s="77" t="s">
        <v>4492</v>
      </c>
      <c r="R3718" s="77">
        <v>0</v>
      </c>
      <c r="S3718" s="77">
        <v>2</v>
      </c>
      <c r="T3718" s="77">
        <v>0</v>
      </c>
      <c r="U3718" s="77">
        <v>0</v>
      </c>
      <c r="V3718" s="77">
        <v>1214</v>
      </c>
      <c r="W3718" s="82" t="s">
        <v>6551</v>
      </c>
      <c r="X3718" s="80" t="str">
        <f>HYPERLINK("https://www.moneytimes.com.br/ibovespa-hoje-fecha-queda-vale-vale3-18-07-2023/")</f>
        <v>https://www.moneytimes.com.br/ibovespa-hoje-fecha-queda-vale-vale3-18-07-2023/</v>
      </c>
      <c r="Y3718" s="77" t="s">
        <v>7053</v>
      </c>
      <c r="Z3718" s="77"/>
      <c r="AA3718" s="77"/>
      <c r="AB3718" s="77"/>
      <c r="AC3718" s="82" t="s">
        <v>8255</v>
      </c>
      <c r="AD3718" s="77" t="s">
        <v>8278</v>
      </c>
      <c r="AE3718" s="80" t="str">
        <f>HYPERLINK("https://twitter.com/leiamoneytimes/status/1681396663338905600")</f>
        <v>https://twitter.com/leiamoneytimes/status/1681396663338905600</v>
      </c>
      <c r="AF3718" s="79">
        <v>45125.84233796296</v>
      </c>
      <c r="AG3718" s="85">
        <v>45125</v>
      </c>
      <c r="AH3718" s="82" t="s">
        <v>11688</v>
      </c>
      <c r="AI3718" s="77" t="b">
        <v>0</v>
      </c>
      <c r="AJ3718" s="77"/>
      <c r="AK3718" s="77"/>
      <c r="AL3718" s="77"/>
      <c r="AM3718" s="77"/>
      <c r="AN3718" s="77"/>
      <c r="AO3718" s="77"/>
      <c r="AP3718" s="77"/>
      <c r="AQ3718" s="77"/>
      <c r="AR3718" s="77"/>
      <c r="AS3718" s="77"/>
      <c r="AT3718" s="77"/>
      <c r="AU3718" s="77"/>
      <c r="AV3718" s="80" t="str">
        <f>HYPERLINK("https://pbs.twimg.com/profile_images/1559883556846977024/bXHnQFY0_normal.jpg")</f>
        <v>https://pbs.twimg.com/profile_images/1559883556846977024/bXHnQFY0_normal.jpg</v>
      </c>
      <c r="AW3718" s="82" t="s">
        <v>16802</v>
      </c>
      <c r="AX3718" s="82" t="s">
        <v>16802</v>
      </c>
      <c r="AY3718" s="77"/>
      <c r="AZ3718" s="82" t="s">
        <v>17385</v>
      </c>
      <c r="BA3718" s="82" t="s">
        <v>17385</v>
      </c>
      <c r="BB3718" s="82" t="s">
        <v>17385</v>
      </c>
      <c r="BC3718" s="82" t="s">
        <v>16802</v>
      </c>
      <c r="BD3718" s="77">
        <v>51150679</v>
      </c>
      <c r="BE3718" s="77"/>
      <c r="BF3718" s="77"/>
      <c r="BG3718" s="77"/>
      <c r="BH3718" s="77"/>
      <c r="BI3718" s="77"/>
    </row>
    <row r="3719" spans="1:61" x14ac:dyDescent="0.25">
      <c r="A3719" s="62" t="s">
        <v>605</v>
      </c>
      <c r="B3719" s="62" t="s">
        <v>605</v>
      </c>
      <c r="C3719" s="63"/>
      <c r="D3719" s="64"/>
      <c r="E3719" s="65"/>
      <c r="F3719" s="66"/>
      <c r="G3719" s="63"/>
      <c r="H3719" s="67"/>
      <c r="I3719" s="68"/>
      <c r="J3719" s="68"/>
      <c r="K3719" s="32"/>
      <c r="L3719" s="75">
        <v>3719</v>
      </c>
      <c r="M3719" s="75"/>
      <c r="N3719" s="70"/>
      <c r="O3719" s="77" t="s">
        <v>179</v>
      </c>
      <c r="P3719" s="79">
        <v>45125.657581018517</v>
      </c>
      <c r="Q3719" s="77" t="s">
        <v>4493</v>
      </c>
      <c r="R3719" s="77">
        <v>0</v>
      </c>
      <c r="S3719" s="77">
        <v>2</v>
      </c>
      <c r="T3719" s="77">
        <v>1</v>
      </c>
      <c r="U3719" s="77">
        <v>0</v>
      </c>
      <c r="V3719" s="77">
        <v>1262</v>
      </c>
      <c r="W3719" s="82" t="s">
        <v>6682</v>
      </c>
      <c r="X3719" s="80" t="str">
        <f>HYPERLINK("https://www.moneytimes.com.br/ibovespa-petr4-cai-enquanto-prio3-opera-entre-as-maiores-altas-cple6-lidera-as-baixas/")</f>
        <v>https://www.moneytimes.com.br/ibovespa-petr4-cai-enquanto-prio3-opera-entre-as-maiores-altas-cple6-lidera-as-baixas/</v>
      </c>
      <c r="Y3719" s="77" t="s">
        <v>7053</v>
      </c>
      <c r="Z3719" s="77"/>
      <c r="AA3719" s="77"/>
      <c r="AB3719" s="77"/>
      <c r="AC3719" s="82" t="s">
        <v>8255</v>
      </c>
      <c r="AD3719" s="77" t="s">
        <v>8278</v>
      </c>
      <c r="AE3719" s="80" t="str">
        <f>HYPERLINK("https://twitter.com/leiamoneytimes/status/1681329712424005632")</f>
        <v>https://twitter.com/leiamoneytimes/status/1681329712424005632</v>
      </c>
      <c r="AF3719" s="79">
        <v>45125.657581018517</v>
      </c>
      <c r="AG3719" s="85">
        <v>45125</v>
      </c>
      <c r="AH3719" s="82" t="s">
        <v>11689</v>
      </c>
      <c r="AI3719" s="77" t="b">
        <v>0</v>
      </c>
      <c r="AJ3719" s="77"/>
      <c r="AK3719" s="77"/>
      <c r="AL3719" s="77"/>
      <c r="AM3719" s="77"/>
      <c r="AN3719" s="77"/>
      <c r="AO3719" s="77"/>
      <c r="AP3719" s="77"/>
      <c r="AQ3719" s="77"/>
      <c r="AR3719" s="77"/>
      <c r="AS3719" s="77"/>
      <c r="AT3719" s="77"/>
      <c r="AU3719" s="77"/>
      <c r="AV3719" s="80" t="str">
        <f>HYPERLINK("https://pbs.twimg.com/profile_images/1559883556846977024/bXHnQFY0_normal.jpg")</f>
        <v>https://pbs.twimg.com/profile_images/1559883556846977024/bXHnQFY0_normal.jpg</v>
      </c>
      <c r="AW3719" s="82" t="s">
        <v>16803</v>
      </c>
      <c r="AX3719" s="82" t="s">
        <v>16803</v>
      </c>
      <c r="AY3719" s="77"/>
      <c r="AZ3719" s="82" t="s">
        <v>17385</v>
      </c>
      <c r="BA3719" s="82" t="s">
        <v>17385</v>
      </c>
      <c r="BB3719" s="82" t="s">
        <v>17385</v>
      </c>
      <c r="BC3719" s="82" t="s">
        <v>16803</v>
      </c>
      <c r="BD3719" s="77">
        <v>51150679</v>
      </c>
      <c r="BE3719" s="77"/>
      <c r="BF3719" s="77"/>
      <c r="BG3719" s="77"/>
      <c r="BH3719" s="77"/>
      <c r="BI3719" s="77"/>
    </row>
    <row r="3720" spans="1:61" x14ac:dyDescent="0.25">
      <c r="A3720" s="62" t="s">
        <v>605</v>
      </c>
      <c r="B3720" s="62" t="s">
        <v>605</v>
      </c>
      <c r="C3720" s="63"/>
      <c r="D3720" s="64"/>
      <c r="E3720" s="65"/>
      <c r="F3720" s="66"/>
      <c r="G3720" s="63"/>
      <c r="H3720" s="67"/>
      <c r="I3720" s="68"/>
      <c r="J3720" s="68"/>
      <c r="K3720" s="32"/>
      <c r="L3720" s="75">
        <v>3720</v>
      </c>
      <c r="M3720" s="75"/>
      <c r="N3720" s="70"/>
      <c r="O3720" s="77" t="s">
        <v>179</v>
      </c>
      <c r="P3720" s="79">
        <v>45124.940370370372</v>
      </c>
      <c r="Q3720" s="77" t="s">
        <v>4494</v>
      </c>
      <c r="R3720" s="77">
        <v>0</v>
      </c>
      <c r="S3720" s="77">
        <v>19</v>
      </c>
      <c r="T3720" s="77">
        <v>2</v>
      </c>
      <c r="U3720" s="77">
        <v>0</v>
      </c>
      <c r="V3720" s="77">
        <v>3821</v>
      </c>
      <c r="W3720" s="82" t="s">
        <v>6609</v>
      </c>
      <c r="X3720" s="80" t="str">
        <f>HYPERLINK("https://www.moneytimes.com.br/vale-vale3-relatorio-de-producao-e-vendas-do-2t23-sai-nesta-terca-saiba-o-que-esperar/")</f>
        <v>https://www.moneytimes.com.br/vale-vale3-relatorio-de-producao-e-vendas-do-2t23-sai-nesta-terca-saiba-o-que-esperar/</v>
      </c>
      <c r="Y3720" s="77" t="s">
        <v>7053</v>
      </c>
      <c r="Z3720" s="77"/>
      <c r="AA3720" s="77"/>
      <c r="AB3720" s="77"/>
      <c r="AC3720" s="82" t="s">
        <v>8255</v>
      </c>
      <c r="AD3720" s="77" t="s">
        <v>8278</v>
      </c>
      <c r="AE3720" s="80" t="str">
        <f>HYPERLINK("https://twitter.com/leiamoneytimes/status/1681069804499750912")</f>
        <v>https://twitter.com/leiamoneytimes/status/1681069804499750912</v>
      </c>
      <c r="AF3720" s="79">
        <v>45124.940370370372</v>
      </c>
      <c r="AG3720" s="85">
        <v>45124</v>
      </c>
      <c r="AH3720" s="82" t="s">
        <v>11690</v>
      </c>
      <c r="AI3720" s="77" t="b">
        <v>0</v>
      </c>
      <c r="AJ3720" s="77"/>
      <c r="AK3720" s="77"/>
      <c r="AL3720" s="77"/>
      <c r="AM3720" s="77"/>
      <c r="AN3720" s="77"/>
      <c r="AO3720" s="77"/>
      <c r="AP3720" s="77"/>
      <c r="AQ3720" s="77"/>
      <c r="AR3720" s="77"/>
      <c r="AS3720" s="77"/>
      <c r="AT3720" s="77"/>
      <c r="AU3720" s="77"/>
      <c r="AV3720" s="80" t="str">
        <f>HYPERLINK("https://pbs.twimg.com/profile_images/1559883556846977024/bXHnQFY0_normal.jpg")</f>
        <v>https://pbs.twimg.com/profile_images/1559883556846977024/bXHnQFY0_normal.jpg</v>
      </c>
      <c r="AW3720" s="82" t="s">
        <v>16804</v>
      </c>
      <c r="AX3720" s="82" t="s">
        <v>16804</v>
      </c>
      <c r="AY3720" s="77"/>
      <c r="AZ3720" s="82" t="s">
        <v>17385</v>
      </c>
      <c r="BA3720" s="82" t="s">
        <v>17385</v>
      </c>
      <c r="BB3720" s="82" t="s">
        <v>17385</v>
      </c>
      <c r="BC3720" s="82" t="s">
        <v>16804</v>
      </c>
      <c r="BD3720" s="77">
        <v>51150679</v>
      </c>
      <c r="BE3720" s="77"/>
      <c r="BF3720" s="77"/>
      <c r="BG3720" s="77"/>
      <c r="BH3720" s="77"/>
      <c r="BI3720" s="77"/>
    </row>
    <row r="3721" spans="1:61" x14ac:dyDescent="0.25">
      <c r="A3721" s="62" t="s">
        <v>605</v>
      </c>
      <c r="B3721" s="62" t="s">
        <v>605</v>
      </c>
      <c r="C3721" s="63"/>
      <c r="D3721" s="64"/>
      <c r="E3721" s="65"/>
      <c r="F3721" s="66"/>
      <c r="G3721" s="63"/>
      <c r="H3721" s="67"/>
      <c r="I3721" s="68"/>
      <c r="J3721" s="68"/>
      <c r="K3721" s="32"/>
      <c r="L3721" s="75">
        <v>3721</v>
      </c>
      <c r="M3721" s="75"/>
      <c r="N3721" s="70"/>
      <c r="O3721" s="77" t="s">
        <v>179</v>
      </c>
      <c r="P3721" s="79">
        <v>45124.860208333332</v>
      </c>
      <c r="Q3721" s="77" t="s">
        <v>4495</v>
      </c>
      <c r="R3721" s="77">
        <v>0</v>
      </c>
      <c r="S3721" s="77">
        <v>1</v>
      </c>
      <c r="T3721" s="77">
        <v>1</v>
      </c>
      <c r="U3721" s="77">
        <v>1</v>
      </c>
      <c r="V3721" s="77">
        <v>1468</v>
      </c>
      <c r="W3721" s="82" t="s">
        <v>6821</v>
      </c>
      <c r="X3721" s="80" t="str">
        <f>HYPERLINK("https://www.moneytimes.com.br/marisa-amar3-abaixo-de-r-1-acao-ganha-alivio-nesta-segunda-17-e-salta-9-entenda-o-caso-da-varejista/")</f>
        <v>https://www.moneytimes.com.br/marisa-amar3-abaixo-de-r-1-acao-ganha-alivio-nesta-segunda-17-e-salta-9-entenda-o-caso-da-varejista/</v>
      </c>
      <c r="Y3721" s="77" t="s">
        <v>7053</v>
      </c>
      <c r="Z3721" s="77"/>
      <c r="AA3721" s="77"/>
      <c r="AB3721" s="77"/>
      <c r="AC3721" s="82" t="s">
        <v>8255</v>
      </c>
      <c r="AD3721" s="77" t="s">
        <v>8278</v>
      </c>
      <c r="AE3721" s="80" t="str">
        <f>HYPERLINK("https://twitter.com/leiamoneytimes/status/1681040753420648451")</f>
        <v>https://twitter.com/leiamoneytimes/status/1681040753420648451</v>
      </c>
      <c r="AF3721" s="79">
        <v>45124.860208333332</v>
      </c>
      <c r="AG3721" s="85">
        <v>45124</v>
      </c>
      <c r="AH3721" s="82" t="s">
        <v>11691</v>
      </c>
      <c r="AI3721" s="77" t="b">
        <v>0</v>
      </c>
      <c r="AJ3721" s="77"/>
      <c r="AK3721" s="77"/>
      <c r="AL3721" s="77"/>
      <c r="AM3721" s="77"/>
      <c r="AN3721" s="77"/>
      <c r="AO3721" s="77"/>
      <c r="AP3721" s="77"/>
      <c r="AQ3721" s="77"/>
      <c r="AR3721" s="77"/>
      <c r="AS3721" s="77"/>
      <c r="AT3721" s="77"/>
      <c r="AU3721" s="77"/>
      <c r="AV3721" s="80" t="str">
        <f>HYPERLINK("https://pbs.twimg.com/profile_images/1559883556846977024/bXHnQFY0_normal.jpg")</f>
        <v>https://pbs.twimg.com/profile_images/1559883556846977024/bXHnQFY0_normal.jpg</v>
      </c>
      <c r="AW3721" s="82" t="s">
        <v>16805</v>
      </c>
      <c r="AX3721" s="82" t="s">
        <v>16805</v>
      </c>
      <c r="AY3721" s="77"/>
      <c r="AZ3721" s="82" t="s">
        <v>17385</v>
      </c>
      <c r="BA3721" s="82" t="s">
        <v>17385</v>
      </c>
      <c r="BB3721" s="82" t="s">
        <v>17385</v>
      </c>
      <c r="BC3721" s="82" t="s">
        <v>16805</v>
      </c>
      <c r="BD3721" s="77">
        <v>51150679</v>
      </c>
      <c r="BE3721" s="77"/>
      <c r="BF3721" s="77"/>
      <c r="BG3721" s="77"/>
      <c r="BH3721" s="77"/>
      <c r="BI3721" s="77"/>
    </row>
    <row r="3722" spans="1:61" x14ac:dyDescent="0.25">
      <c r="A3722" s="62" t="s">
        <v>605</v>
      </c>
      <c r="B3722" s="62" t="s">
        <v>605</v>
      </c>
      <c r="C3722" s="63"/>
      <c r="D3722" s="64"/>
      <c r="E3722" s="65"/>
      <c r="F3722" s="66"/>
      <c r="G3722" s="63"/>
      <c r="H3722" s="67"/>
      <c r="I3722" s="68"/>
      <c r="J3722" s="68"/>
      <c r="K3722" s="32"/>
      <c r="L3722" s="75">
        <v>3722</v>
      </c>
      <c r="M3722" s="75"/>
      <c r="N3722" s="70"/>
      <c r="O3722" s="77" t="s">
        <v>179</v>
      </c>
      <c r="P3722" s="79">
        <v>45124.694872685184</v>
      </c>
      <c r="Q3722" s="77" t="s">
        <v>4496</v>
      </c>
      <c r="R3722" s="77">
        <v>0</v>
      </c>
      <c r="S3722" s="77">
        <v>4</v>
      </c>
      <c r="T3722" s="77">
        <v>1</v>
      </c>
      <c r="U3722" s="77">
        <v>0</v>
      </c>
      <c r="V3722" s="77">
        <v>1206</v>
      </c>
      <c r="W3722" s="82" t="s">
        <v>6822</v>
      </c>
      <c r="X3722" s="80" t="str">
        <f>HYPERLINK("https://www.moneytimes.com.br/e-hora-de-comprar-itau-itub4-banco-volta-a-ser-campeao-de-indicacoes-da-semana/")</f>
        <v>https://www.moneytimes.com.br/e-hora-de-comprar-itau-itub4-banco-volta-a-ser-campeao-de-indicacoes-da-semana/</v>
      </c>
      <c r="Y3722" s="77" t="s">
        <v>7053</v>
      </c>
      <c r="Z3722" s="77"/>
      <c r="AA3722" s="77"/>
      <c r="AB3722" s="77"/>
      <c r="AC3722" s="82" t="s">
        <v>8255</v>
      </c>
      <c r="AD3722" s="77" t="s">
        <v>8278</v>
      </c>
      <c r="AE3722" s="80" t="str">
        <f>HYPERLINK("https://twitter.com/leiamoneytimes/status/1680980836273778696")</f>
        <v>https://twitter.com/leiamoneytimes/status/1680980836273778696</v>
      </c>
      <c r="AF3722" s="79">
        <v>45124.694872685184</v>
      </c>
      <c r="AG3722" s="85">
        <v>45124</v>
      </c>
      <c r="AH3722" s="82" t="s">
        <v>11692</v>
      </c>
      <c r="AI3722" s="77" t="b">
        <v>0</v>
      </c>
      <c r="AJ3722" s="77"/>
      <c r="AK3722" s="77"/>
      <c r="AL3722" s="77"/>
      <c r="AM3722" s="77"/>
      <c r="AN3722" s="77"/>
      <c r="AO3722" s="77"/>
      <c r="AP3722" s="77"/>
      <c r="AQ3722" s="77"/>
      <c r="AR3722" s="77"/>
      <c r="AS3722" s="77"/>
      <c r="AT3722" s="77"/>
      <c r="AU3722" s="77"/>
      <c r="AV3722" s="80" t="str">
        <f>HYPERLINK("https://pbs.twimg.com/profile_images/1559883556846977024/bXHnQFY0_normal.jpg")</f>
        <v>https://pbs.twimg.com/profile_images/1559883556846977024/bXHnQFY0_normal.jpg</v>
      </c>
      <c r="AW3722" s="82" t="s">
        <v>16806</v>
      </c>
      <c r="AX3722" s="82" t="s">
        <v>16806</v>
      </c>
      <c r="AY3722" s="77"/>
      <c r="AZ3722" s="82" t="s">
        <v>17385</v>
      </c>
      <c r="BA3722" s="82" t="s">
        <v>17385</v>
      </c>
      <c r="BB3722" s="82" t="s">
        <v>17385</v>
      </c>
      <c r="BC3722" s="82" t="s">
        <v>16806</v>
      </c>
      <c r="BD3722" s="77">
        <v>51150679</v>
      </c>
      <c r="BE3722" s="77"/>
      <c r="BF3722" s="77"/>
      <c r="BG3722" s="77"/>
      <c r="BH3722" s="77"/>
      <c r="BI3722" s="77"/>
    </row>
    <row r="3723" spans="1:61" x14ac:dyDescent="0.25">
      <c r="A3723" s="62" t="s">
        <v>605</v>
      </c>
      <c r="B3723" s="62" t="s">
        <v>605</v>
      </c>
      <c r="C3723" s="63"/>
      <c r="D3723" s="64"/>
      <c r="E3723" s="65"/>
      <c r="F3723" s="66"/>
      <c r="G3723" s="63"/>
      <c r="H3723" s="67"/>
      <c r="I3723" s="68"/>
      <c r="J3723" s="68"/>
      <c r="K3723" s="32"/>
      <c r="L3723" s="75">
        <v>3723</v>
      </c>
      <c r="M3723" s="75"/>
      <c r="N3723" s="70"/>
      <c r="O3723" s="77" t="s">
        <v>179</v>
      </c>
      <c r="P3723" s="79">
        <v>45124.667453703703</v>
      </c>
      <c r="Q3723" s="77" t="s">
        <v>4497</v>
      </c>
      <c r="R3723" s="77">
        <v>0</v>
      </c>
      <c r="S3723" s="77">
        <v>6</v>
      </c>
      <c r="T3723" s="77">
        <v>2</v>
      </c>
      <c r="U3723" s="77">
        <v>1</v>
      </c>
      <c r="V3723" s="77">
        <v>1664</v>
      </c>
      <c r="W3723" s="82" t="s">
        <v>6823</v>
      </c>
      <c r="X3723" s="80" t="str">
        <f>HYPERLINK("https://www.moneytimes.com.br/desenrola-brasil-acao-inimiga-spc-serasa-decolar-com-programa-limpa-nome-lbrdlc391-tsts/")</f>
        <v>https://www.moneytimes.com.br/desenrola-brasil-acao-inimiga-spc-serasa-decolar-com-programa-limpa-nome-lbrdlc391-tsts/</v>
      </c>
      <c r="Y3723" s="77" t="s">
        <v>7053</v>
      </c>
      <c r="Z3723" s="77"/>
      <c r="AA3723" s="77"/>
      <c r="AB3723" s="77"/>
      <c r="AC3723" s="82" t="s">
        <v>8255</v>
      </c>
      <c r="AD3723" s="77" t="s">
        <v>8278</v>
      </c>
      <c r="AE3723" s="80" t="str">
        <f>HYPERLINK("https://twitter.com/leiamoneytimes/status/1680970901330771968")</f>
        <v>https://twitter.com/leiamoneytimes/status/1680970901330771968</v>
      </c>
      <c r="AF3723" s="79">
        <v>45124.667453703703</v>
      </c>
      <c r="AG3723" s="85">
        <v>45124</v>
      </c>
      <c r="AH3723" s="82" t="s">
        <v>11693</v>
      </c>
      <c r="AI3723" s="77" t="b">
        <v>0</v>
      </c>
      <c r="AJ3723" s="77"/>
      <c r="AK3723" s="77"/>
      <c r="AL3723" s="77"/>
      <c r="AM3723" s="77"/>
      <c r="AN3723" s="77"/>
      <c r="AO3723" s="77"/>
      <c r="AP3723" s="77"/>
      <c r="AQ3723" s="77"/>
      <c r="AR3723" s="77"/>
      <c r="AS3723" s="77"/>
      <c r="AT3723" s="77"/>
      <c r="AU3723" s="77"/>
      <c r="AV3723" s="80" t="str">
        <f>HYPERLINK("https://pbs.twimg.com/profile_images/1559883556846977024/bXHnQFY0_normal.jpg")</f>
        <v>https://pbs.twimg.com/profile_images/1559883556846977024/bXHnQFY0_normal.jpg</v>
      </c>
      <c r="AW3723" s="82" t="s">
        <v>16807</v>
      </c>
      <c r="AX3723" s="82" t="s">
        <v>16807</v>
      </c>
      <c r="AY3723" s="77"/>
      <c r="AZ3723" s="82" t="s">
        <v>17385</v>
      </c>
      <c r="BA3723" s="82" t="s">
        <v>17385</v>
      </c>
      <c r="BB3723" s="82" t="s">
        <v>17385</v>
      </c>
      <c r="BC3723" s="82" t="s">
        <v>16807</v>
      </c>
      <c r="BD3723" s="77">
        <v>51150679</v>
      </c>
      <c r="BE3723" s="77"/>
      <c r="BF3723" s="77"/>
      <c r="BG3723" s="77"/>
      <c r="BH3723" s="77"/>
      <c r="BI3723" s="77"/>
    </row>
    <row r="3724" spans="1:61" x14ac:dyDescent="0.25">
      <c r="A3724" s="62" t="s">
        <v>605</v>
      </c>
      <c r="B3724" s="62" t="s">
        <v>605</v>
      </c>
      <c r="C3724" s="63"/>
      <c r="D3724" s="64"/>
      <c r="E3724" s="65"/>
      <c r="F3724" s="66"/>
      <c r="G3724" s="63"/>
      <c r="H3724" s="67"/>
      <c r="I3724" s="68"/>
      <c r="J3724" s="68"/>
      <c r="K3724" s="32"/>
      <c r="L3724" s="75">
        <v>3724</v>
      </c>
      <c r="M3724" s="75"/>
      <c r="N3724" s="70"/>
      <c r="O3724" s="77" t="s">
        <v>179</v>
      </c>
      <c r="P3724" s="79">
        <v>45124.655868055554</v>
      </c>
      <c r="Q3724" s="77" t="s">
        <v>4498</v>
      </c>
      <c r="R3724" s="77">
        <v>0</v>
      </c>
      <c r="S3724" s="77">
        <v>3</v>
      </c>
      <c r="T3724" s="77">
        <v>1</v>
      </c>
      <c r="U3724" s="77">
        <v>0</v>
      </c>
      <c r="V3724" s="77">
        <v>1429</v>
      </c>
      <c r="W3724" s="82" t="s">
        <v>6607</v>
      </c>
      <c r="X3724" s="80" t="str">
        <f>HYPERLINK("https://www.moneytimes.com.br/ibovespa-petrobras-petr4-e-vale-vale3-caem-raizen-raiz4-lidera-as-altas/")</f>
        <v>https://www.moneytimes.com.br/ibovespa-petrobras-petr4-e-vale-vale3-caem-raizen-raiz4-lidera-as-altas/</v>
      </c>
      <c r="Y3724" s="77" t="s">
        <v>7053</v>
      </c>
      <c r="Z3724" s="77"/>
      <c r="AA3724" s="77"/>
      <c r="AB3724" s="77"/>
      <c r="AC3724" s="82" t="s">
        <v>8255</v>
      </c>
      <c r="AD3724" s="77" t="s">
        <v>8278</v>
      </c>
      <c r="AE3724" s="80" t="str">
        <f>HYPERLINK("https://twitter.com/leiamoneytimes/status/1680966702723366913")</f>
        <v>https://twitter.com/leiamoneytimes/status/1680966702723366913</v>
      </c>
      <c r="AF3724" s="79">
        <v>45124.655868055554</v>
      </c>
      <c r="AG3724" s="85">
        <v>45124</v>
      </c>
      <c r="AH3724" s="82" t="s">
        <v>11694</v>
      </c>
      <c r="AI3724" s="77" t="b">
        <v>0</v>
      </c>
      <c r="AJ3724" s="77"/>
      <c r="AK3724" s="77"/>
      <c r="AL3724" s="77"/>
      <c r="AM3724" s="77"/>
      <c r="AN3724" s="77"/>
      <c r="AO3724" s="77"/>
      <c r="AP3724" s="77"/>
      <c r="AQ3724" s="77"/>
      <c r="AR3724" s="77"/>
      <c r="AS3724" s="77"/>
      <c r="AT3724" s="77"/>
      <c r="AU3724" s="77"/>
      <c r="AV3724" s="80" t="str">
        <f>HYPERLINK("https://pbs.twimg.com/profile_images/1559883556846977024/bXHnQFY0_normal.jpg")</f>
        <v>https://pbs.twimg.com/profile_images/1559883556846977024/bXHnQFY0_normal.jpg</v>
      </c>
      <c r="AW3724" s="82" t="s">
        <v>16808</v>
      </c>
      <c r="AX3724" s="82" t="s">
        <v>16808</v>
      </c>
      <c r="AY3724" s="77"/>
      <c r="AZ3724" s="82" t="s">
        <v>17385</v>
      </c>
      <c r="BA3724" s="82" t="s">
        <v>17385</v>
      </c>
      <c r="BB3724" s="82" t="s">
        <v>17385</v>
      </c>
      <c r="BC3724" s="82" t="s">
        <v>16808</v>
      </c>
      <c r="BD3724" s="77">
        <v>51150679</v>
      </c>
      <c r="BE3724" s="77"/>
      <c r="BF3724" s="77"/>
      <c r="BG3724" s="77"/>
      <c r="BH3724" s="77"/>
      <c r="BI3724" s="77"/>
    </row>
    <row r="3725" spans="1:61" x14ac:dyDescent="0.25">
      <c r="A3725" s="62" t="s">
        <v>605</v>
      </c>
      <c r="B3725" s="62" t="s">
        <v>605</v>
      </c>
      <c r="C3725" s="63"/>
      <c r="D3725" s="64"/>
      <c r="E3725" s="65"/>
      <c r="F3725" s="66"/>
      <c r="G3725" s="63"/>
      <c r="H3725" s="67"/>
      <c r="I3725" s="68"/>
      <c r="J3725" s="68"/>
      <c r="K3725" s="32"/>
      <c r="L3725" s="75">
        <v>3725</v>
      </c>
      <c r="M3725" s="75"/>
      <c r="N3725" s="70"/>
      <c r="O3725" s="77" t="s">
        <v>179</v>
      </c>
      <c r="P3725" s="79">
        <v>45123.834108796298</v>
      </c>
      <c r="Q3725" s="77" t="s">
        <v>4499</v>
      </c>
      <c r="R3725" s="77">
        <v>1</v>
      </c>
      <c r="S3725" s="77">
        <v>5</v>
      </c>
      <c r="T3725" s="77">
        <v>1</v>
      </c>
      <c r="U3725" s="77">
        <v>0</v>
      </c>
      <c r="V3725" s="77">
        <v>2153</v>
      </c>
      <c r="W3725" s="82" t="s">
        <v>6824</v>
      </c>
      <c r="X3725" s="80" t="str">
        <f>HYPERLINK("https://www.moneytimes.com.br/dividendos-e-jcp-vivo-vivt3-marcopolo-pomo4-e-mais-2-pagam-r-900-mi-esta-semana-veja-quem-recebe/")</f>
        <v>https://www.moneytimes.com.br/dividendos-e-jcp-vivo-vivt3-marcopolo-pomo4-e-mais-2-pagam-r-900-mi-esta-semana-veja-quem-recebe/</v>
      </c>
      <c r="Y3725" s="77" t="s">
        <v>7053</v>
      </c>
      <c r="Z3725" s="77"/>
      <c r="AA3725" s="77"/>
      <c r="AB3725" s="77"/>
      <c r="AC3725" s="82" t="s">
        <v>8255</v>
      </c>
      <c r="AD3725" s="77" t="s">
        <v>8278</v>
      </c>
      <c r="AE3725" s="80" t="str">
        <f>HYPERLINK("https://twitter.com/leiamoneytimes/status/1680668907193917440")</f>
        <v>https://twitter.com/leiamoneytimes/status/1680668907193917440</v>
      </c>
      <c r="AF3725" s="79">
        <v>45123.834108796298</v>
      </c>
      <c r="AG3725" s="85">
        <v>45123</v>
      </c>
      <c r="AH3725" s="82" t="s">
        <v>11695</v>
      </c>
      <c r="AI3725" s="77" t="b">
        <v>0</v>
      </c>
      <c r="AJ3725" s="77"/>
      <c r="AK3725" s="77"/>
      <c r="AL3725" s="77"/>
      <c r="AM3725" s="77"/>
      <c r="AN3725" s="77"/>
      <c r="AO3725" s="77"/>
      <c r="AP3725" s="77"/>
      <c r="AQ3725" s="77"/>
      <c r="AR3725" s="77"/>
      <c r="AS3725" s="77"/>
      <c r="AT3725" s="77"/>
      <c r="AU3725" s="77"/>
      <c r="AV3725" s="80" t="str">
        <f>HYPERLINK("https://pbs.twimg.com/profile_images/1559883556846977024/bXHnQFY0_normal.jpg")</f>
        <v>https://pbs.twimg.com/profile_images/1559883556846977024/bXHnQFY0_normal.jpg</v>
      </c>
      <c r="AW3725" s="82" t="s">
        <v>16809</v>
      </c>
      <c r="AX3725" s="82" t="s">
        <v>16809</v>
      </c>
      <c r="AY3725" s="77"/>
      <c r="AZ3725" s="82" t="s">
        <v>17385</v>
      </c>
      <c r="BA3725" s="82" t="s">
        <v>17385</v>
      </c>
      <c r="BB3725" s="82" t="s">
        <v>17385</v>
      </c>
      <c r="BC3725" s="82" t="s">
        <v>16809</v>
      </c>
      <c r="BD3725" s="77">
        <v>51150679</v>
      </c>
      <c r="BE3725" s="77"/>
      <c r="BF3725" s="77"/>
      <c r="BG3725" s="77"/>
      <c r="BH3725" s="77"/>
      <c r="BI3725" s="77"/>
    </row>
    <row r="3726" spans="1:61" x14ac:dyDescent="0.25">
      <c r="A3726" s="62" t="s">
        <v>605</v>
      </c>
      <c r="B3726" s="62" t="s">
        <v>605</v>
      </c>
      <c r="C3726" s="63"/>
      <c r="D3726" s="64"/>
      <c r="E3726" s="65"/>
      <c r="F3726" s="66"/>
      <c r="G3726" s="63"/>
      <c r="H3726" s="67"/>
      <c r="I3726" s="68"/>
      <c r="J3726" s="68"/>
      <c r="K3726" s="32"/>
      <c r="L3726" s="75">
        <v>3726</v>
      </c>
      <c r="M3726" s="75"/>
      <c r="N3726" s="70"/>
      <c r="O3726" s="77" t="s">
        <v>179</v>
      </c>
      <c r="P3726" s="79">
        <v>45100.51866898148</v>
      </c>
      <c r="Q3726" s="77" t="s">
        <v>4500</v>
      </c>
      <c r="R3726" s="77">
        <v>0</v>
      </c>
      <c r="S3726" s="77">
        <v>3</v>
      </c>
      <c r="T3726" s="77">
        <v>0</v>
      </c>
      <c r="U3726" s="77">
        <v>0</v>
      </c>
      <c r="V3726" s="77">
        <v>996</v>
      </c>
      <c r="W3726" s="82" t="s">
        <v>6825</v>
      </c>
      <c r="X3726" s="80" t="str">
        <f>HYPERLINK("https://www.moneytimes.com.br/cvc-cvcb3-precifica-oferta-empresas-pagam-quase-r-1-bi-em-dividendos-e-jcp-e-outros-destaques-desta-sexta-feira-23/")</f>
        <v>https://www.moneytimes.com.br/cvc-cvcb3-precifica-oferta-empresas-pagam-quase-r-1-bi-em-dividendos-e-jcp-e-outros-destaques-desta-sexta-feira-23/</v>
      </c>
      <c r="Y3726" s="77" t="s">
        <v>7053</v>
      </c>
      <c r="Z3726" s="77"/>
      <c r="AA3726" s="77"/>
      <c r="AB3726" s="77"/>
      <c r="AC3726" s="82" t="s">
        <v>8255</v>
      </c>
      <c r="AD3726" s="77" t="s">
        <v>8278</v>
      </c>
      <c r="AE3726" s="80" t="str">
        <f>HYPERLINK("https://twitter.com/leiamoneytimes/status/1672219674564612096")</f>
        <v>https://twitter.com/leiamoneytimes/status/1672219674564612096</v>
      </c>
      <c r="AF3726" s="79">
        <v>45100.51866898148</v>
      </c>
      <c r="AG3726" s="85">
        <v>45100</v>
      </c>
      <c r="AH3726" s="82" t="s">
        <v>11629</v>
      </c>
      <c r="AI3726" s="77" t="b">
        <v>0</v>
      </c>
      <c r="AJ3726" s="77"/>
      <c r="AK3726" s="77"/>
      <c r="AL3726" s="77"/>
      <c r="AM3726" s="77"/>
      <c r="AN3726" s="77"/>
      <c r="AO3726" s="77"/>
      <c r="AP3726" s="77"/>
      <c r="AQ3726" s="77"/>
      <c r="AR3726" s="77"/>
      <c r="AS3726" s="77"/>
      <c r="AT3726" s="77"/>
      <c r="AU3726" s="77"/>
      <c r="AV3726" s="80" t="str">
        <f>HYPERLINK("https://pbs.twimg.com/profile_images/1559883556846977024/bXHnQFY0_normal.jpg")</f>
        <v>https://pbs.twimg.com/profile_images/1559883556846977024/bXHnQFY0_normal.jpg</v>
      </c>
      <c r="AW3726" s="82" t="s">
        <v>16810</v>
      </c>
      <c r="AX3726" s="82" t="s">
        <v>16810</v>
      </c>
      <c r="AY3726" s="77"/>
      <c r="AZ3726" s="82" t="s">
        <v>17385</v>
      </c>
      <c r="BA3726" s="82" t="s">
        <v>17385</v>
      </c>
      <c r="BB3726" s="82" t="s">
        <v>17385</v>
      </c>
      <c r="BC3726" s="82" t="s">
        <v>16810</v>
      </c>
      <c r="BD3726" s="77">
        <v>51150679</v>
      </c>
      <c r="BE3726" s="77"/>
      <c r="BF3726" s="77"/>
      <c r="BG3726" s="77"/>
      <c r="BH3726" s="77"/>
      <c r="BI3726" s="77"/>
    </row>
    <row r="3727" spans="1:61" x14ac:dyDescent="0.25">
      <c r="A3727" s="62" t="s">
        <v>605</v>
      </c>
      <c r="B3727" s="62" t="s">
        <v>605</v>
      </c>
      <c r="C3727" s="63"/>
      <c r="D3727" s="64"/>
      <c r="E3727" s="65"/>
      <c r="F3727" s="66"/>
      <c r="G3727" s="63"/>
      <c r="H3727" s="67"/>
      <c r="I3727" s="68"/>
      <c r="J3727" s="68"/>
      <c r="K3727" s="32"/>
      <c r="L3727" s="75">
        <v>3727</v>
      </c>
      <c r="M3727" s="75"/>
      <c r="N3727" s="70"/>
      <c r="O3727" s="77" t="s">
        <v>179</v>
      </c>
      <c r="P3727" s="79">
        <v>45099.874340277776</v>
      </c>
      <c r="Q3727" s="77" t="s">
        <v>4501</v>
      </c>
      <c r="R3727" s="77">
        <v>0</v>
      </c>
      <c r="S3727" s="77">
        <v>7</v>
      </c>
      <c r="T3727" s="77">
        <v>0</v>
      </c>
      <c r="U3727" s="77">
        <v>0</v>
      </c>
      <c r="V3727" s="77">
        <v>1460</v>
      </c>
      <c r="W3727" s="82" t="s">
        <v>6826</v>
      </c>
      <c r="X3727" s="80" t="str">
        <f>HYPERLINK("https://www.moneytimes.com.br/varejista-pagara-r-1721-milhoes-em-jcp-a-acionistas-saiba-como-aproveitar/")</f>
        <v>https://www.moneytimes.com.br/varejista-pagara-r-1721-milhoes-em-jcp-a-acionistas-saiba-como-aproveitar/</v>
      </c>
      <c r="Y3727" s="77" t="s">
        <v>7053</v>
      </c>
      <c r="Z3727" s="77"/>
      <c r="AA3727" s="77"/>
      <c r="AB3727" s="77"/>
      <c r="AC3727" s="82" t="s">
        <v>8255</v>
      </c>
      <c r="AD3727" s="77" t="s">
        <v>8278</v>
      </c>
      <c r="AE3727" s="80" t="str">
        <f>HYPERLINK("https://twitter.com/leiamoneytimes/status/1671986176700428289")</f>
        <v>https://twitter.com/leiamoneytimes/status/1671986176700428289</v>
      </c>
      <c r="AF3727" s="79">
        <v>45099.874340277776</v>
      </c>
      <c r="AG3727" s="85">
        <v>45099</v>
      </c>
      <c r="AH3727" s="82" t="s">
        <v>11696</v>
      </c>
      <c r="AI3727" s="77" t="b">
        <v>0</v>
      </c>
      <c r="AJ3727" s="77"/>
      <c r="AK3727" s="77"/>
      <c r="AL3727" s="77"/>
      <c r="AM3727" s="77"/>
      <c r="AN3727" s="77"/>
      <c r="AO3727" s="77"/>
      <c r="AP3727" s="77"/>
      <c r="AQ3727" s="77"/>
      <c r="AR3727" s="77"/>
      <c r="AS3727" s="77"/>
      <c r="AT3727" s="77"/>
      <c r="AU3727" s="77"/>
      <c r="AV3727" s="80" t="str">
        <f>HYPERLINK("https://pbs.twimg.com/profile_images/1559883556846977024/bXHnQFY0_normal.jpg")</f>
        <v>https://pbs.twimg.com/profile_images/1559883556846977024/bXHnQFY0_normal.jpg</v>
      </c>
      <c r="AW3727" s="82" t="s">
        <v>16811</v>
      </c>
      <c r="AX3727" s="82" t="s">
        <v>16811</v>
      </c>
      <c r="AY3727" s="77"/>
      <c r="AZ3727" s="82" t="s">
        <v>17385</v>
      </c>
      <c r="BA3727" s="82" t="s">
        <v>17385</v>
      </c>
      <c r="BB3727" s="82" t="s">
        <v>17385</v>
      </c>
      <c r="BC3727" s="82" t="s">
        <v>16811</v>
      </c>
      <c r="BD3727" s="77">
        <v>51150679</v>
      </c>
      <c r="BE3727" s="77"/>
      <c r="BF3727" s="77"/>
      <c r="BG3727" s="77"/>
      <c r="BH3727" s="77"/>
      <c r="BI3727" s="77"/>
    </row>
    <row r="3728" spans="1:61" x14ac:dyDescent="0.25">
      <c r="A3728" s="62" t="s">
        <v>605</v>
      </c>
      <c r="B3728" s="62" t="s">
        <v>605</v>
      </c>
      <c r="C3728" s="63"/>
      <c r="D3728" s="64"/>
      <c r="E3728" s="65"/>
      <c r="F3728" s="66"/>
      <c r="G3728" s="63"/>
      <c r="H3728" s="67"/>
      <c r="I3728" s="68"/>
      <c r="J3728" s="68"/>
      <c r="K3728" s="32"/>
      <c r="L3728" s="75">
        <v>3728</v>
      </c>
      <c r="M3728" s="75"/>
      <c r="N3728" s="70"/>
      <c r="O3728" s="77" t="s">
        <v>179</v>
      </c>
      <c r="P3728" s="79">
        <v>45099.863402777781</v>
      </c>
      <c r="Q3728" s="77" t="s">
        <v>4502</v>
      </c>
      <c r="R3728" s="77">
        <v>0</v>
      </c>
      <c r="S3728" s="77">
        <v>7</v>
      </c>
      <c r="T3728" s="77">
        <v>0</v>
      </c>
      <c r="U3728" s="77">
        <v>0</v>
      </c>
      <c r="V3728" s="77">
        <v>1636</v>
      </c>
      <c r="W3728" s="82" t="s">
        <v>6557</v>
      </c>
      <c r="X3728" s="80" t="str">
        <f>HYPERLINK("https://www.moneytimes.com.br/irb-irbr3-tem-dia-amargo-mas-ponto-de-virada-esta-proximo-dizem-analistas/")</f>
        <v>https://www.moneytimes.com.br/irb-irbr3-tem-dia-amargo-mas-ponto-de-virada-esta-proximo-dizem-analistas/</v>
      </c>
      <c r="Y3728" s="77" t="s">
        <v>7053</v>
      </c>
      <c r="Z3728" s="77"/>
      <c r="AA3728" s="77"/>
      <c r="AB3728" s="77"/>
      <c r="AC3728" s="82" t="s">
        <v>8255</v>
      </c>
      <c r="AD3728" s="77" t="s">
        <v>8278</v>
      </c>
      <c r="AE3728" s="80" t="str">
        <f>HYPERLINK("https://twitter.com/leiamoneytimes/status/1671982212575535120")</f>
        <v>https://twitter.com/leiamoneytimes/status/1671982212575535120</v>
      </c>
      <c r="AF3728" s="79">
        <v>45099.863402777781</v>
      </c>
      <c r="AG3728" s="85">
        <v>45099</v>
      </c>
      <c r="AH3728" s="82" t="s">
        <v>11697</v>
      </c>
      <c r="AI3728" s="77" t="b">
        <v>0</v>
      </c>
      <c r="AJ3728" s="77"/>
      <c r="AK3728" s="77"/>
      <c r="AL3728" s="77"/>
      <c r="AM3728" s="77"/>
      <c r="AN3728" s="77"/>
      <c r="AO3728" s="77"/>
      <c r="AP3728" s="77"/>
      <c r="AQ3728" s="77"/>
      <c r="AR3728" s="77"/>
      <c r="AS3728" s="77"/>
      <c r="AT3728" s="77"/>
      <c r="AU3728" s="77"/>
      <c r="AV3728" s="80" t="str">
        <f>HYPERLINK("https://pbs.twimg.com/profile_images/1559883556846977024/bXHnQFY0_normal.jpg")</f>
        <v>https://pbs.twimg.com/profile_images/1559883556846977024/bXHnQFY0_normal.jpg</v>
      </c>
      <c r="AW3728" s="82" t="s">
        <v>16812</v>
      </c>
      <c r="AX3728" s="82" t="s">
        <v>16812</v>
      </c>
      <c r="AY3728" s="77"/>
      <c r="AZ3728" s="82" t="s">
        <v>17385</v>
      </c>
      <c r="BA3728" s="82" t="s">
        <v>17385</v>
      </c>
      <c r="BB3728" s="82" t="s">
        <v>17385</v>
      </c>
      <c r="BC3728" s="82" t="s">
        <v>16812</v>
      </c>
      <c r="BD3728" s="77">
        <v>51150679</v>
      </c>
      <c r="BE3728" s="77"/>
      <c r="BF3728" s="77"/>
      <c r="BG3728" s="77"/>
      <c r="BH3728" s="77"/>
      <c r="BI3728" s="77"/>
    </row>
    <row r="3729" spans="1:61" x14ac:dyDescent="0.25">
      <c r="A3729" s="62" t="s">
        <v>605</v>
      </c>
      <c r="B3729" s="62" t="s">
        <v>605</v>
      </c>
      <c r="C3729" s="63"/>
      <c r="D3729" s="64"/>
      <c r="E3729" s="65"/>
      <c r="F3729" s="66"/>
      <c r="G3729" s="63"/>
      <c r="H3729" s="67"/>
      <c r="I3729" s="68"/>
      <c r="J3729" s="68"/>
      <c r="K3729" s="32"/>
      <c r="L3729" s="75">
        <v>3729</v>
      </c>
      <c r="M3729" s="75"/>
      <c r="N3729" s="70"/>
      <c r="O3729" s="77" t="s">
        <v>179</v>
      </c>
      <c r="P3729" s="79">
        <v>45099.849849537037</v>
      </c>
      <c r="Q3729" s="77" t="s">
        <v>4503</v>
      </c>
      <c r="R3729" s="77">
        <v>1</v>
      </c>
      <c r="S3729" s="77">
        <v>2</v>
      </c>
      <c r="T3729" s="77">
        <v>1</v>
      </c>
      <c r="U3729" s="77">
        <v>0</v>
      </c>
      <c r="V3729" s="77">
        <v>1208</v>
      </c>
      <c r="W3729" s="82" t="s">
        <v>6551</v>
      </c>
      <c r="X3729" s="80" t="str">
        <f>HYPERLINK("https://www.moneytimes.com.br/ibovespa-hoje-fecha-queda-selic-copom-banco-central-22-06-2023/")</f>
        <v>https://www.moneytimes.com.br/ibovespa-hoje-fecha-queda-selic-copom-banco-central-22-06-2023/</v>
      </c>
      <c r="Y3729" s="77" t="s">
        <v>7053</v>
      </c>
      <c r="Z3729" s="77"/>
      <c r="AA3729" s="77"/>
      <c r="AB3729" s="77"/>
      <c r="AC3729" s="82" t="s">
        <v>8255</v>
      </c>
      <c r="AD3729" s="77" t="s">
        <v>8278</v>
      </c>
      <c r="AE3729" s="80" t="str">
        <f>HYPERLINK("https://twitter.com/leiamoneytimes/status/1671977304614903834")</f>
        <v>https://twitter.com/leiamoneytimes/status/1671977304614903834</v>
      </c>
      <c r="AF3729" s="79">
        <v>45099.849849537037</v>
      </c>
      <c r="AG3729" s="85">
        <v>45099</v>
      </c>
      <c r="AH3729" s="82" t="s">
        <v>11449</v>
      </c>
      <c r="AI3729" s="77" t="b">
        <v>0</v>
      </c>
      <c r="AJ3729" s="77"/>
      <c r="AK3729" s="77"/>
      <c r="AL3729" s="77"/>
      <c r="AM3729" s="77"/>
      <c r="AN3729" s="77"/>
      <c r="AO3729" s="77"/>
      <c r="AP3729" s="77"/>
      <c r="AQ3729" s="77"/>
      <c r="AR3729" s="77"/>
      <c r="AS3729" s="77"/>
      <c r="AT3729" s="77"/>
      <c r="AU3729" s="77"/>
      <c r="AV3729" s="80" t="str">
        <f>HYPERLINK("https://pbs.twimg.com/profile_images/1559883556846977024/bXHnQFY0_normal.jpg")</f>
        <v>https://pbs.twimg.com/profile_images/1559883556846977024/bXHnQFY0_normal.jpg</v>
      </c>
      <c r="AW3729" s="82" t="s">
        <v>16813</v>
      </c>
      <c r="AX3729" s="82" t="s">
        <v>16813</v>
      </c>
      <c r="AY3729" s="77"/>
      <c r="AZ3729" s="82" t="s">
        <v>17385</v>
      </c>
      <c r="BA3729" s="82" t="s">
        <v>17385</v>
      </c>
      <c r="BB3729" s="82" t="s">
        <v>17385</v>
      </c>
      <c r="BC3729" s="82" t="s">
        <v>16813</v>
      </c>
      <c r="BD3729" s="77">
        <v>51150679</v>
      </c>
      <c r="BE3729" s="77"/>
      <c r="BF3729" s="77"/>
      <c r="BG3729" s="77"/>
      <c r="BH3729" s="77"/>
      <c r="BI3729" s="77"/>
    </row>
    <row r="3730" spans="1:61" x14ac:dyDescent="0.25">
      <c r="A3730" s="62" t="s">
        <v>605</v>
      </c>
      <c r="B3730" s="62" t="s">
        <v>605</v>
      </c>
      <c r="C3730" s="63"/>
      <c r="D3730" s="64"/>
      <c r="E3730" s="65"/>
      <c r="F3730" s="66"/>
      <c r="G3730" s="63"/>
      <c r="H3730" s="67"/>
      <c r="I3730" s="68"/>
      <c r="J3730" s="68"/>
      <c r="K3730" s="32"/>
      <c r="L3730" s="75">
        <v>3730</v>
      </c>
      <c r="M3730" s="75"/>
      <c r="N3730" s="70"/>
      <c r="O3730" s="77" t="s">
        <v>179</v>
      </c>
      <c r="P3730" s="79">
        <v>45099.714432870373</v>
      </c>
      <c r="Q3730" s="77" t="s">
        <v>4504</v>
      </c>
      <c r="R3730" s="77">
        <v>1</v>
      </c>
      <c r="S3730" s="77">
        <v>4</v>
      </c>
      <c r="T3730" s="77">
        <v>1</v>
      </c>
      <c r="U3730" s="77">
        <v>0</v>
      </c>
      <c r="V3730" s="77">
        <v>1336</v>
      </c>
      <c r="W3730" s="82" t="s">
        <v>6634</v>
      </c>
      <c r="X3730" s="80" t="str">
        <f>HYPERLINK("https://www.moneytimes.com.br/bolsas-europeias-acoes-europeias-caem-com-nervosismo-sobre-juros-apos-decisao-do-banco-da-inglaterra/")</f>
        <v>https://www.moneytimes.com.br/bolsas-europeias-acoes-europeias-caem-com-nervosismo-sobre-juros-apos-decisao-do-banco-da-inglaterra/</v>
      </c>
      <c r="Y3730" s="77" t="s">
        <v>7053</v>
      </c>
      <c r="Z3730" s="77"/>
      <c r="AA3730" s="77"/>
      <c r="AB3730" s="77"/>
      <c r="AC3730" s="82" t="s">
        <v>8255</v>
      </c>
      <c r="AD3730" s="77" t="s">
        <v>8278</v>
      </c>
      <c r="AE3730" s="80" t="str">
        <f>HYPERLINK("https://twitter.com/leiamoneytimes/status/1671928228485775385")</f>
        <v>https://twitter.com/leiamoneytimes/status/1671928228485775385</v>
      </c>
      <c r="AF3730" s="79">
        <v>45099.714432870373</v>
      </c>
      <c r="AG3730" s="85">
        <v>45099</v>
      </c>
      <c r="AH3730" s="82" t="s">
        <v>11698</v>
      </c>
      <c r="AI3730" s="77" t="b">
        <v>0</v>
      </c>
      <c r="AJ3730" s="77"/>
      <c r="AK3730" s="77"/>
      <c r="AL3730" s="77"/>
      <c r="AM3730" s="77"/>
      <c r="AN3730" s="77"/>
      <c r="AO3730" s="77"/>
      <c r="AP3730" s="77"/>
      <c r="AQ3730" s="77"/>
      <c r="AR3730" s="77"/>
      <c r="AS3730" s="77"/>
      <c r="AT3730" s="77"/>
      <c r="AU3730" s="77"/>
      <c r="AV3730" s="80" t="str">
        <f>HYPERLINK("https://pbs.twimg.com/profile_images/1559883556846977024/bXHnQFY0_normal.jpg")</f>
        <v>https://pbs.twimg.com/profile_images/1559883556846977024/bXHnQFY0_normal.jpg</v>
      </c>
      <c r="AW3730" s="82" t="s">
        <v>16814</v>
      </c>
      <c r="AX3730" s="82" t="s">
        <v>16814</v>
      </c>
      <c r="AY3730" s="77"/>
      <c r="AZ3730" s="82" t="s">
        <v>17385</v>
      </c>
      <c r="BA3730" s="82" t="s">
        <v>17385</v>
      </c>
      <c r="BB3730" s="82" t="s">
        <v>17385</v>
      </c>
      <c r="BC3730" s="82" t="s">
        <v>16814</v>
      </c>
      <c r="BD3730" s="77">
        <v>51150679</v>
      </c>
      <c r="BE3730" s="77"/>
      <c r="BF3730" s="77"/>
      <c r="BG3730" s="77"/>
      <c r="BH3730" s="77"/>
      <c r="BI3730" s="77"/>
    </row>
    <row r="3731" spans="1:61" x14ac:dyDescent="0.25">
      <c r="A3731" s="62" t="s">
        <v>605</v>
      </c>
      <c r="B3731" s="62" t="s">
        <v>605</v>
      </c>
      <c r="C3731" s="63"/>
      <c r="D3731" s="64"/>
      <c r="E3731" s="65"/>
      <c r="F3731" s="66"/>
      <c r="G3731" s="63"/>
      <c r="H3731" s="67"/>
      <c r="I3731" s="68"/>
      <c r="J3731" s="68"/>
      <c r="K3731" s="32"/>
      <c r="L3731" s="75">
        <v>3731</v>
      </c>
      <c r="M3731" s="75"/>
      <c r="N3731" s="70"/>
      <c r="O3731" s="77" t="s">
        <v>179</v>
      </c>
      <c r="P3731" s="79">
        <v>45099.685335648152</v>
      </c>
      <c r="Q3731" s="77" t="s">
        <v>4505</v>
      </c>
      <c r="R3731" s="77">
        <v>0</v>
      </c>
      <c r="S3731" s="77">
        <v>8</v>
      </c>
      <c r="T3731" s="77">
        <v>1</v>
      </c>
      <c r="U3731" s="77">
        <v>0</v>
      </c>
      <c r="V3731" s="77">
        <v>1667</v>
      </c>
      <c r="W3731" s="82" t="s">
        <v>6827</v>
      </c>
      <c r="X3731" s="80" t="str">
        <f>HYPERLINK("https://www.moneytimes.com.br/ibovespa-magalu-mglu3-e-minerva-beef3-despencam-enquanto-bb-seguridade-bbse3-tenta-manter-alta/")</f>
        <v>https://www.moneytimes.com.br/ibovespa-magalu-mglu3-e-minerva-beef3-despencam-enquanto-bb-seguridade-bbse3-tenta-manter-alta/</v>
      </c>
      <c r="Y3731" s="77" t="s">
        <v>7053</v>
      </c>
      <c r="Z3731" s="77"/>
      <c r="AA3731" s="77"/>
      <c r="AB3731" s="77"/>
      <c r="AC3731" s="82" t="s">
        <v>8255</v>
      </c>
      <c r="AD3731" s="77" t="s">
        <v>8278</v>
      </c>
      <c r="AE3731" s="80" t="str">
        <f>HYPERLINK("https://twitter.com/leiamoneytimes/status/1671917685796478977")</f>
        <v>https://twitter.com/leiamoneytimes/status/1671917685796478977</v>
      </c>
      <c r="AF3731" s="79">
        <v>45099.685335648152</v>
      </c>
      <c r="AG3731" s="85">
        <v>45099</v>
      </c>
      <c r="AH3731" s="82" t="s">
        <v>11699</v>
      </c>
      <c r="AI3731" s="77" t="b">
        <v>0</v>
      </c>
      <c r="AJ3731" s="77"/>
      <c r="AK3731" s="77"/>
      <c r="AL3731" s="77"/>
      <c r="AM3731" s="77"/>
      <c r="AN3731" s="77"/>
      <c r="AO3731" s="77"/>
      <c r="AP3731" s="77"/>
      <c r="AQ3731" s="77"/>
      <c r="AR3731" s="77"/>
      <c r="AS3731" s="77"/>
      <c r="AT3731" s="77"/>
      <c r="AU3731" s="77"/>
      <c r="AV3731" s="80" t="str">
        <f>HYPERLINK("https://pbs.twimg.com/profile_images/1559883556846977024/bXHnQFY0_normal.jpg")</f>
        <v>https://pbs.twimg.com/profile_images/1559883556846977024/bXHnQFY0_normal.jpg</v>
      </c>
      <c r="AW3731" s="82" t="s">
        <v>16815</v>
      </c>
      <c r="AX3731" s="82" t="s">
        <v>16815</v>
      </c>
      <c r="AY3731" s="77"/>
      <c r="AZ3731" s="82" t="s">
        <v>17385</v>
      </c>
      <c r="BA3731" s="82" t="s">
        <v>17385</v>
      </c>
      <c r="BB3731" s="82" t="s">
        <v>17385</v>
      </c>
      <c r="BC3731" s="82" t="s">
        <v>16815</v>
      </c>
      <c r="BD3731" s="77">
        <v>51150679</v>
      </c>
      <c r="BE3731" s="77"/>
      <c r="BF3731" s="77"/>
      <c r="BG3731" s="77"/>
      <c r="BH3731" s="77"/>
      <c r="BI3731" s="77"/>
    </row>
    <row r="3732" spans="1:61" x14ac:dyDescent="0.25">
      <c r="A3732" s="62" t="s">
        <v>605</v>
      </c>
      <c r="B3732" s="62" t="s">
        <v>605</v>
      </c>
      <c r="C3732" s="63"/>
      <c r="D3732" s="64"/>
      <c r="E3732" s="65"/>
      <c r="F3732" s="66"/>
      <c r="G3732" s="63"/>
      <c r="H3732" s="67"/>
      <c r="I3732" s="68"/>
      <c r="J3732" s="68"/>
      <c r="K3732" s="32"/>
      <c r="L3732" s="75">
        <v>3732</v>
      </c>
      <c r="M3732" s="75"/>
      <c r="N3732" s="70"/>
      <c r="O3732" s="77" t="s">
        <v>179</v>
      </c>
      <c r="P3732" s="79">
        <v>45099.629108796296</v>
      </c>
      <c r="Q3732" s="77" t="s">
        <v>4506</v>
      </c>
      <c r="R3732" s="77">
        <v>1</v>
      </c>
      <c r="S3732" s="77">
        <v>19</v>
      </c>
      <c r="T3732" s="77">
        <v>2</v>
      </c>
      <c r="U3732" s="77">
        <v>1</v>
      </c>
      <c r="V3732" s="77">
        <v>2776</v>
      </c>
      <c r="W3732" s="82" t="s">
        <v>6559</v>
      </c>
      <c r="X3732" s="80" t="str">
        <f>HYPERLINK("https://www.moneytimes.com.br/gringos-sacam-milhoes-em-recursos-da-b3-pelo-2o-dia-consecutivo/")</f>
        <v>https://www.moneytimes.com.br/gringos-sacam-milhoes-em-recursos-da-b3-pelo-2o-dia-consecutivo/</v>
      </c>
      <c r="Y3732" s="77" t="s">
        <v>7053</v>
      </c>
      <c r="Z3732" s="77"/>
      <c r="AA3732" s="77"/>
      <c r="AB3732" s="77"/>
      <c r="AC3732" s="82" t="s">
        <v>8255</v>
      </c>
      <c r="AD3732" s="77" t="s">
        <v>8278</v>
      </c>
      <c r="AE3732" s="80" t="str">
        <f>HYPERLINK("https://twitter.com/leiamoneytimes/status/1671897309347454979")</f>
        <v>https://twitter.com/leiamoneytimes/status/1671897309347454979</v>
      </c>
      <c r="AF3732" s="79">
        <v>45099.629108796296</v>
      </c>
      <c r="AG3732" s="85">
        <v>45099</v>
      </c>
      <c r="AH3732" s="82" t="s">
        <v>11700</v>
      </c>
      <c r="AI3732" s="77" t="b">
        <v>0</v>
      </c>
      <c r="AJ3732" s="77"/>
      <c r="AK3732" s="77"/>
      <c r="AL3732" s="77"/>
      <c r="AM3732" s="77"/>
      <c r="AN3732" s="77"/>
      <c r="AO3732" s="77"/>
      <c r="AP3732" s="77"/>
      <c r="AQ3732" s="77"/>
      <c r="AR3732" s="77"/>
      <c r="AS3732" s="77"/>
      <c r="AT3732" s="77"/>
      <c r="AU3732" s="77"/>
      <c r="AV3732" s="80" t="str">
        <f>HYPERLINK("https://pbs.twimg.com/profile_images/1559883556846977024/bXHnQFY0_normal.jpg")</f>
        <v>https://pbs.twimg.com/profile_images/1559883556846977024/bXHnQFY0_normal.jpg</v>
      </c>
      <c r="AW3732" s="82" t="s">
        <v>16816</v>
      </c>
      <c r="AX3732" s="82" t="s">
        <v>16816</v>
      </c>
      <c r="AY3732" s="77"/>
      <c r="AZ3732" s="82" t="s">
        <v>17385</v>
      </c>
      <c r="BA3732" s="82" t="s">
        <v>17385</v>
      </c>
      <c r="BB3732" s="82" t="s">
        <v>17385</v>
      </c>
      <c r="BC3732" s="82" t="s">
        <v>16816</v>
      </c>
      <c r="BD3732" s="77">
        <v>51150679</v>
      </c>
      <c r="BE3732" s="77"/>
      <c r="BF3732" s="77"/>
      <c r="BG3732" s="77"/>
      <c r="BH3732" s="77"/>
      <c r="BI3732" s="77"/>
    </row>
    <row r="3733" spans="1:61" x14ac:dyDescent="0.25">
      <c r="A3733" s="62" t="s">
        <v>605</v>
      </c>
      <c r="B3733" s="62" t="s">
        <v>605</v>
      </c>
      <c r="C3733" s="63"/>
      <c r="D3733" s="64"/>
      <c r="E3733" s="65"/>
      <c r="F3733" s="66"/>
      <c r="G3733" s="63"/>
      <c r="H3733" s="67"/>
      <c r="I3733" s="68"/>
      <c r="J3733" s="68"/>
      <c r="K3733" s="32"/>
      <c r="L3733" s="75">
        <v>3733</v>
      </c>
      <c r="M3733" s="75"/>
      <c r="N3733" s="70"/>
      <c r="O3733" s="77" t="s">
        <v>179</v>
      </c>
      <c r="P3733" s="79">
        <v>45099.482858796298</v>
      </c>
      <c r="Q3733" s="77" t="s">
        <v>4507</v>
      </c>
      <c r="R3733" s="77">
        <v>1</v>
      </c>
      <c r="S3733" s="77">
        <v>9</v>
      </c>
      <c r="T3733" s="77">
        <v>1</v>
      </c>
      <c r="U3733" s="77">
        <v>0</v>
      </c>
      <c r="V3733" s="77">
        <v>1456</v>
      </c>
      <c r="W3733" s="82" t="s">
        <v>6598</v>
      </c>
      <c r="X3733" s="80" t="str">
        <f>HYPERLINK("https://www.moneytimes.com.br/bolsas-asiaticas-indice-japones-nikkei-recua-com-perda-de-forca-de-acoes-de-chips/")</f>
        <v>https://www.moneytimes.com.br/bolsas-asiaticas-indice-japones-nikkei-recua-com-perda-de-forca-de-acoes-de-chips/</v>
      </c>
      <c r="Y3733" s="77" t="s">
        <v>7053</v>
      </c>
      <c r="Z3733" s="77"/>
      <c r="AA3733" s="77"/>
      <c r="AB3733" s="77"/>
      <c r="AC3733" s="82" t="s">
        <v>8255</v>
      </c>
      <c r="AD3733" s="77" t="s">
        <v>8278</v>
      </c>
      <c r="AE3733" s="80" t="str">
        <f>HYPERLINK("https://twitter.com/leiamoneytimes/status/1671844309400682496")</f>
        <v>https://twitter.com/leiamoneytimes/status/1671844309400682496</v>
      </c>
      <c r="AF3733" s="79">
        <v>45099.482858796298</v>
      </c>
      <c r="AG3733" s="85">
        <v>45099</v>
      </c>
      <c r="AH3733" s="82" t="s">
        <v>11701</v>
      </c>
      <c r="AI3733" s="77" t="b">
        <v>0</v>
      </c>
      <c r="AJ3733" s="77"/>
      <c r="AK3733" s="77"/>
      <c r="AL3733" s="77"/>
      <c r="AM3733" s="77"/>
      <c r="AN3733" s="77"/>
      <c r="AO3733" s="77"/>
      <c r="AP3733" s="77"/>
      <c r="AQ3733" s="77"/>
      <c r="AR3733" s="77"/>
      <c r="AS3733" s="77"/>
      <c r="AT3733" s="77"/>
      <c r="AU3733" s="77"/>
      <c r="AV3733" s="80" t="str">
        <f>HYPERLINK("https://pbs.twimg.com/profile_images/1559883556846977024/bXHnQFY0_normal.jpg")</f>
        <v>https://pbs.twimg.com/profile_images/1559883556846977024/bXHnQFY0_normal.jpg</v>
      </c>
      <c r="AW3733" s="82" t="s">
        <v>16817</v>
      </c>
      <c r="AX3733" s="82" t="s">
        <v>16817</v>
      </c>
      <c r="AY3733" s="77"/>
      <c r="AZ3733" s="82" t="s">
        <v>17385</v>
      </c>
      <c r="BA3733" s="82" t="s">
        <v>17385</v>
      </c>
      <c r="BB3733" s="82" t="s">
        <v>17385</v>
      </c>
      <c r="BC3733" s="82" t="s">
        <v>16817</v>
      </c>
      <c r="BD3733" s="77">
        <v>51150679</v>
      </c>
      <c r="BE3733" s="77"/>
      <c r="BF3733" s="77"/>
      <c r="BG3733" s="77"/>
      <c r="BH3733" s="77"/>
      <c r="BI3733" s="77"/>
    </row>
    <row r="3734" spans="1:61" x14ac:dyDescent="0.25">
      <c r="A3734" s="62" t="s">
        <v>605</v>
      </c>
      <c r="B3734" s="62" t="s">
        <v>605</v>
      </c>
      <c r="C3734" s="63"/>
      <c r="D3734" s="64"/>
      <c r="E3734" s="65"/>
      <c r="F3734" s="66"/>
      <c r="G3734" s="63"/>
      <c r="H3734" s="67"/>
      <c r="I3734" s="68"/>
      <c r="J3734" s="68"/>
      <c r="K3734" s="32"/>
      <c r="L3734" s="75">
        <v>3734</v>
      </c>
      <c r="M3734" s="75"/>
      <c r="N3734" s="70"/>
      <c r="O3734" s="77" t="s">
        <v>179</v>
      </c>
      <c r="P3734" s="79">
        <v>45098.9065625</v>
      </c>
      <c r="Q3734" s="77" t="s">
        <v>4508</v>
      </c>
      <c r="R3734" s="77">
        <v>0</v>
      </c>
      <c r="S3734" s="77">
        <v>4</v>
      </c>
      <c r="T3734" s="77">
        <v>1</v>
      </c>
      <c r="U3734" s="77">
        <v>0</v>
      </c>
      <c r="V3734" s="77">
        <v>1628</v>
      </c>
      <c r="W3734" s="82" t="s">
        <v>6675</v>
      </c>
      <c r="X3734" s="80" t="str">
        <f>HYPERLINK("https://www.moneytimes.com.br/dividendos-de-ate-54-petr4-e-mais-4-acoes-pagam-mais-que-a-selic-de-1375/")</f>
        <v>https://www.moneytimes.com.br/dividendos-de-ate-54-petr4-e-mais-4-acoes-pagam-mais-que-a-selic-de-1375/</v>
      </c>
      <c r="Y3734" s="77" t="s">
        <v>7053</v>
      </c>
      <c r="Z3734" s="77"/>
      <c r="AA3734" s="77"/>
      <c r="AB3734" s="77"/>
      <c r="AC3734" s="82" t="s">
        <v>8255</v>
      </c>
      <c r="AD3734" s="77" t="s">
        <v>8278</v>
      </c>
      <c r="AE3734" s="80" t="str">
        <f>HYPERLINK("https://twitter.com/leiamoneytimes/status/1671635467731718146")</f>
        <v>https://twitter.com/leiamoneytimes/status/1671635467731718146</v>
      </c>
      <c r="AF3734" s="79">
        <v>45098.9065625</v>
      </c>
      <c r="AG3734" s="85">
        <v>45098</v>
      </c>
      <c r="AH3734" s="82" t="s">
        <v>11702</v>
      </c>
      <c r="AI3734" s="77" t="b">
        <v>0</v>
      </c>
      <c r="AJ3734" s="77"/>
      <c r="AK3734" s="77"/>
      <c r="AL3734" s="77"/>
      <c r="AM3734" s="77"/>
      <c r="AN3734" s="77"/>
      <c r="AO3734" s="77"/>
      <c r="AP3734" s="77"/>
      <c r="AQ3734" s="77"/>
      <c r="AR3734" s="77"/>
      <c r="AS3734" s="77"/>
      <c r="AT3734" s="77"/>
      <c r="AU3734" s="77"/>
      <c r="AV3734" s="80" t="str">
        <f>HYPERLINK("https://pbs.twimg.com/profile_images/1559883556846977024/bXHnQFY0_normal.jpg")</f>
        <v>https://pbs.twimg.com/profile_images/1559883556846977024/bXHnQFY0_normal.jpg</v>
      </c>
      <c r="AW3734" s="82" t="s">
        <v>16818</v>
      </c>
      <c r="AX3734" s="82" t="s">
        <v>16818</v>
      </c>
      <c r="AY3734" s="77"/>
      <c r="AZ3734" s="82" t="s">
        <v>17385</v>
      </c>
      <c r="BA3734" s="82" t="s">
        <v>17385</v>
      </c>
      <c r="BB3734" s="82" t="s">
        <v>17385</v>
      </c>
      <c r="BC3734" s="82" t="s">
        <v>16818</v>
      </c>
      <c r="BD3734" s="77">
        <v>51150679</v>
      </c>
      <c r="BE3734" s="77"/>
      <c r="BF3734" s="77"/>
      <c r="BG3734" s="77"/>
      <c r="BH3734" s="77"/>
      <c r="BI3734" s="77"/>
    </row>
    <row r="3735" spans="1:61" x14ac:dyDescent="0.25">
      <c r="A3735" s="62" t="s">
        <v>605</v>
      </c>
      <c r="B3735" s="62" t="s">
        <v>605</v>
      </c>
      <c r="C3735" s="63"/>
      <c r="D3735" s="64"/>
      <c r="E3735" s="65"/>
      <c r="F3735" s="66"/>
      <c r="G3735" s="63"/>
      <c r="H3735" s="67"/>
      <c r="I3735" s="68"/>
      <c r="J3735" s="68"/>
      <c r="K3735" s="32"/>
      <c r="L3735" s="75">
        <v>3735</v>
      </c>
      <c r="M3735" s="75"/>
      <c r="N3735" s="70"/>
      <c r="O3735" s="77" t="s">
        <v>179</v>
      </c>
      <c r="P3735" s="79">
        <v>45098.849895833337</v>
      </c>
      <c r="Q3735" s="77" t="s">
        <v>4509</v>
      </c>
      <c r="R3735" s="77">
        <v>0</v>
      </c>
      <c r="S3735" s="77">
        <v>8</v>
      </c>
      <c r="T3735" s="77">
        <v>1</v>
      </c>
      <c r="U3735" s="77">
        <v>0</v>
      </c>
      <c r="V3735" s="77">
        <v>1452</v>
      </c>
      <c r="W3735" s="82" t="s">
        <v>6551</v>
      </c>
      <c r="X3735" s="80" t="str">
        <f>HYPERLINK("https://www.moneytimes.com.br/ibovespa-hoje-fecha-alta-120-mil-pontos-petrobras-petr4-selic-copom-21-06-2023/")</f>
        <v>https://www.moneytimes.com.br/ibovespa-hoje-fecha-alta-120-mil-pontos-petrobras-petr4-selic-copom-21-06-2023/</v>
      </c>
      <c r="Y3735" s="77" t="s">
        <v>7053</v>
      </c>
      <c r="Z3735" s="77"/>
      <c r="AA3735" s="77"/>
      <c r="AB3735" s="77"/>
      <c r="AC3735" s="82" t="s">
        <v>8255</v>
      </c>
      <c r="AD3735" s="77" t="s">
        <v>8278</v>
      </c>
      <c r="AE3735" s="80" t="str">
        <f>HYPERLINK("https://twitter.com/leiamoneytimes/status/1671614930842271744")</f>
        <v>https://twitter.com/leiamoneytimes/status/1671614930842271744</v>
      </c>
      <c r="AF3735" s="79">
        <v>45098.849895833337</v>
      </c>
      <c r="AG3735" s="85">
        <v>45098</v>
      </c>
      <c r="AH3735" s="82" t="s">
        <v>11703</v>
      </c>
      <c r="AI3735" s="77" t="b">
        <v>0</v>
      </c>
      <c r="AJ3735" s="77"/>
      <c r="AK3735" s="77"/>
      <c r="AL3735" s="77"/>
      <c r="AM3735" s="77"/>
      <c r="AN3735" s="77"/>
      <c r="AO3735" s="77"/>
      <c r="AP3735" s="77"/>
      <c r="AQ3735" s="77"/>
      <c r="AR3735" s="77"/>
      <c r="AS3735" s="77"/>
      <c r="AT3735" s="77"/>
      <c r="AU3735" s="77"/>
      <c r="AV3735" s="80" t="str">
        <f>HYPERLINK("https://pbs.twimg.com/profile_images/1559883556846977024/bXHnQFY0_normal.jpg")</f>
        <v>https://pbs.twimg.com/profile_images/1559883556846977024/bXHnQFY0_normal.jpg</v>
      </c>
      <c r="AW3735" s="82" t="s">
        <v>16819</v>
      </c>
      <c r="AX3735" s="82" t="s">
        <v>16819</v>
      </c>
      <c r="AY3735" s="77"/>
      <c r="AZ3735" s="82" t="s">
        <v>17385</v>
      </c>
      <c r="BA3735" s="82" t="s">
        <v>17385</v>
      </c>
      <c r="BB3735" s="82" t="s">
        <v>17385</v>
      </c>
      <c r="BC3735" s="82" t="s">
        <v>16819</v>
      </c>
      <c r="BD3735" s="77">
        <v>51150679</v>
      </c>
      <c r="BE3735" s="77"/>
      <c r="BF3735" s="77"/>
      <c r="BG3735" s="77"/>
      <c r="BH3735" s="77"/>
      <c r="BI3735" s="77"/>
    </row>
    <row r="3736" spans="1:61" x14ac:dyDescent="0.25">
      <c r="A3736" s="62" t="s">
        <v>605</v>
      </c>
      <c r="B3736" s="62" t="s">
        <v>605</v>
      </c>
      <c r="C3736" s="63"/>
      <c r="D3736" s="64"/>
      <c r="E3736" s="65"/>
      <c r="F3736" s="66"/>
      <c r="G3736" s="63"/>
      <c r="H3736" s="67"/>
      <c r="I3736" s="68"/>
      <c r="J3736" s="68"/>
      <c r="K3736" s="32"/>
      <c r="L3736" s="75">
        <v>3736</v>
      </c>
      <c r="M3736" s="75"/>
      <c r="N3736" s="70"/>
      <c r="O3736" s="77" t="s">
        <v>179</v>
      </c>
      <c r="P3736" s="79">
        <v>45098.668715277781</v>
      </c>
      <c r="Q3736" s="77" t="s">
        <v>4510</v>
      </c>
      <c r="R3736" s="77">
        <v>0</v>
      </c>
      <c r="S3736" s="77">
        <v>6</v>
      </c>
      <c r="T3736" s="77">
        <v>0</v>
      </c>
      <c r="U3736" s="77">
        <v>0</v>
      </c>
      <c r="V3736" s="77">
        <v>1494</v>
      </c>
      <c r="W3736" s="82" t="s">
        <v>6555</v>
      </c>
      <c r="X3736" s="80" t="str">
        <f>HYPERLINK("https://www.moneytimes.com.br/ibovespa-por-que-yduqs-yduq3-dispara-petrobras-petr4-avanca-e-mineradoras-caem/")</f>
        <v>https://www.moneytimes.com.br/ibovespa-por-que-yduqs-yduq3-dispara-petrobras-petr4-avanca-e-mineradoras-caem/</v>
      </c>
      <c r="Y3736" s="77" t="s">
        <v>7053</v>
      </c>
      <c r="Z3736" s="77"/>
      <c r="AA3736" s="77"/>
      <c r="AB3736" s="77"/>
      <c r="AC3736" s="82" t="s">
        <v>8255</v>
      </c>
      <c r="AD3736" s="77" t="s">
        <v>8281</v>
      </c>
      <c r="AE3736" s="80" t="str">
        <f>HYPERLINK("https://twitter.com/leiamoneytimes/status/1671549272779628546")</f>
        <v>https://twitter.com/leiamoneytimes/status/1671549272779628546</v>
      </c>
      <c r="AF3736" s="79">
        <v>45098.668715277781</v>
      </c>
      <c r="AG3736" s="85">
        <v>45098</v>
      </c>
      <c r="AH3736" s="82" t="s">
        <v>11704</v>
      </c>
      <c r="AI3736" s="77" t="b">
        <v>0</v>
      </c>
      <c r="AJ3736" s="77"/>
      <c r="AK3736" s="77"/>
      <c r="AL3736" s="77"/>
      <c r="AM3736" s="77"/>
      <c r="AN3736" s="77"/>
      <c r="AO3736" s="77"/>
      <c r="AP3736" s="77"/>
      <c r="AQ3736" s="77"/>
      <c r="AR3736" s="77"/>
      <c r="AS3736" s="77"/>
      <c r="AT3736" s="77"/>
      <c r="AU3736" s="77"/>
      <c r="AV3736" s="80" t="str">
        <f>HYPERLINK("https://pbs.twimg.com/profile_images/1559883556846977024/bXHnQFY0_normal.jpg")</f>
        <v>https://pbs.twimg.com/profile_images/1559883556846977024/bXHnQFY0_normal.jpg</v>
      </c>
      <c r="AW3736" s="82" t="s">
        <v>16820</v>
      </c>
      <c r="AX3736" s="82" t="s">
        <v>16820</v>
      </c>
      <c r="AY3736" s="77"/>
      <c r="AZ3736" s="82" t="s">
        <v>17385</v>
      </c>
      <c r="BA3736" s="82" t="s">
        <v>17385</v>
      </c>
      <c r="BB3736" s="82" t="s">
        <v>17385</v>
      </c>
      <c r="BC3736" s="82" t="s">
        <v>16820</v>
      </c>
      <c r="BD3736" s="77">
        <v>51150679</v>
      </c>
      <c r="BE3736" s="77"/>
      <c r="BF3736" s="77"/>
      <c r="BG3736" s="77"/>
      <c r="BH3736" s="77"/>
      <c r="BI3736" s="77"/>
    </row>
    <row r="3737" spans="1:61" x14ac:dyDescent="0.25">
      <c r="A3737" s="62" t="s">
        <v>605</v>
      </c>
      <c r="B3737" s="62" t="s">
        <v>605</v>
      </c>
      <c r="C3737" s="63"/>
      <c r="D3737" s="64"/>
      <c r="E3737" s="65"/>
      <c r="F3737" s="66"/>
      <c r="G3737" s="63"/>
      <c r="H3737" s="67"/>
      <c r="I3737" s="68"/>
      <c r="J3737" s="68"/>
      <c r="K3737" s="32"/>
      <c r="L3737" s="75">
        <v>3737</v>
      </c>
      <c r="M3737" s="75"/>
      <c r="N3737" s="70"/>
      <c r="O3737" s="77" t="s">
        <v>179</v>
      </c>
      <c r="P3737" s="79">
        <v>45098.659687500003</v>
      </c>
      <c r="Q3737" s="77" t="s">
        <v>4511</v>
      </c>
      <c r="R3737" s="77">
        <v>0</v>
      </c>
      <c r="S3737" s="77">
        <v>2</v>
      </c>
      <c r="T3737" s="77">
        <v>0</v>
      </c>
      <c r="U3737" s="77">
        <v>1</v>
      </c>
      <c r="V3737" s="77">
        <v>1728</v>
      </c>
      <c r="W3737" s="82" t="s">
        <v>6688</v>
      </c>
      <c r="X3737" s="80" t="str">
        <f>HYPERLINK("https://www.moneytimes.com.br/gringos-invertem-a-mao-e-sacam-milhoes-em-recursos-da-b3/")</f>
        <v>https://www.moneytimes.com.br/gringos-invertem-a-mao-e-sacam-milhoes-em-recursos-da-b3/</v>
      </c>
      <c r="Y3737" s="77" t="s">
        <v>7053</v>
      </c>
      <c r="Z3737" s="77"/>
      <c r="AA3737" s="77"/>
      <c r="AB3737" s="77"/>
      <c r="AC3737" s="82" t="s">
        <v>8255</v>
      </c>
      <c r="AD3737" s="77" t="s">
        <v>8278</v>
      </c>
      <c r="AE3737" s="80" t="str">
        <f>HYPERLINK("https://twitter.com/leiamoneytimes/status/1671546003034341379")</f>
        <v>https://twitter.com/leiamoneytimes/status/1671546003034341379</v>
      </c>
      <c r="AF3737" s="79">
        <v>45098.659687500003</v>
      </c>
      <c r="AG3737" s="85">
        <v>45098</v>
      </c>
      <c r="AH3737" s="82" t="s">
        <v>11705</v>
      </c>
      <c r="AI3737" s="77" t="b">
        <v>0</v>
      </c>
      <c r="AJ3737" s="77"/>
      <c r="AK3737" s="77"/>
      <c r="AL3737" s="77"/>
      <c r="AM3737" s="77"/>
      <c r="AN3737" s="77"/>
      <c r="AO3737" s="77"/>
      <c r="AP3737" s="77"/>
      <c r="AQ3737" s="77"/>
      <c r="AR3737" s="77"/>
      <c r="AS3737" s="77"/>
      <c r="AT3737" s="77"/>
      <c r="AU3737" s="77"/>
      <c r="AV3737" s="80" t="str">
        <f>HYPERLINK("https://pbs.twimg.com/profile_images/1559883556846977024/bXHnQFY0_normal.jpg")</f>
        <v>https://pbs.twimg.com/profile_images/1559883556846977024/bXHnQFY0_normal.jpg</v>
      </c>
      <c r="AW3737" s="82" t="s">
        <v>16821</v>
      </c>
      <c r="AX3737" s="82" t="s">
        <v>16821</v>
      </c>
      <c r="AY3737" s="77"/>
      <c r="AZ3737" s="82" t="s">
        <v>17385</v>
      </c>
      <c r="BA3737" s="82" t="s">
        <v>17385</v>
      </c>
      <c r="BB3737" s="82" t="s">
        <v>17385</v>
      </c>
      <c r="BC3737" s="82" t="s">
        <v>16821</v>
      </c>
      <c r="BD3737" s="77">
        <v>51150679</v>
      </c>
      <c r="BE3737" s="77"/>
      <c r="BF3737" s="77"/>
      <c r="BG3737" s="77"/>
      <c r="BH3737" s="77"/>
      <c r="BI3737" s="77"/>
    </row>
    <row r="3738" spans="1:61" x14ac:dyDescent="0.25">
      <c r="A3738" s="62" t="s">
        <v>605</v>
      </c>
      <c r="B3738" s="62" t="s">
        <v>605</v>
      </c>
      <c r="C3738" s="63"/>
      <c r="D3738" s="64"/>
      <c r="E3738" s="65"/>
      <c r="F3738" s="66"/>
      <c r="G3738" s="63"/>
      <c r="H3738" s="67"/>
      <c r="I3738" s="68"/>
      <c r="J3738" s="68"/>
      <c r="K3738" s="32"/>
      <c r="L3738" s="75">
        <v>3738</v>
      </c>
      <c r="M3738" s="75"/>
      <c r="N3738" s="70"/>
      <c r="O3738" s="77" t="s">
        <v>179</v>
      </c>
      <c r="P3738" s="79">
        <v>45098.472303240742</v>
      </c>
      <c r="Q3738" s="77" t="s">
        <v>4512</v>
      </c>
      <c r="R3738" s="77">
        <v>0</v>
      </c>
      <c r="S3738" s="77">
        <v>2</v>
      </c>
      <c r="T3738" s="77">
        <v>1</v>
      </c>
      <c r="U3738" s="77">
        <v>0</v>
      </c>
      <c r="V3738" s="77">
        <v>1235</v>
      </c>
      <c r="W3738" s="82" t="s">
        <v>6564</v>
      </c>
      <c r="X3738" s="80" t="str">
        <f>HYPERLINK("https://www.moneytimes.com.br/bolsas-asiaticas-acoes-da-china-tem-maior-queda-em-2-meses-por-preocupacoes-geopoliticas-e-com-estimulo/")</f>
        <v>https://www.moneytimes.com.br/bolsas-asiaticas-acoes-da-china-tem-maior-queda-em-2-meses-por-preocupacoes-geopoliticas-e-com-estimulo/</v>
      </c>
      <c r="Y3738" s="77" t="s">
        <v>7053</v>
      </c>
      <c r="Z3738" s="77"/>
      <c r="AA3738" s="77"/>
      <c r="AB3738" s="77"/>
      <c r="AC3738" s="82" t="s">
        <v>8255</v>
      </c>
      <c r="AD3738" s="77" t="s">
        <v>8278</v>
      </c>
      <c r="AE3738" s="80" t="str">
        <f>HYPERLINK("https://twitter.com/leiamoneytimes/status/1671478096669687812")</f>
        <v>https://twitter.com/leiamoneytimes/status/1671478096669687812</v>
      </c>
      <c r="AF3738" s="79">
        <v>45098.472303240742</v>
      </c>
      <c r="AG3738" s="85">
        <v>45098</v>
      </c>
      <c r="AH3738" s="82" t="s">
        <v>11706</v>
      </c>
      <c r="AI3738" s="77" t="b">
        <v>0</v>
      </c>
      <c r="AJ3738" s="77"/>
      <c r="AK3738" s="77"/>
      <c r="AL3738" s="77"/>
      <c r="AM3738" s="77"/>
      <c r="AN3738" s="77"/>
      <c r="AO3738" s="77"/>
      <c r="AP3738" s="77"/>
      <c r="AQ3738" s="77"/>
      <c r="AR3738" s="77"/>
      <c r="AS3738" s="77"/>
      <c r="AT3738" s="77"/>
      <c r="AU3738" s="77"/>
      <c r="AV3738" s="80" t="str">
        <f>HYPERLINK("https://pbs.twimg.com/profile_images/1559883556846977024/bXHnQFY0_normal.jpg")</f>
        <v>https://pbs.twimg.com/profile_images/1559883556846977024/bXHnQFY0_normal.jpg</v>
      </c>
      <c r="AW3738" s="82" t="s">
        <v>16822</v>
      </c>
      <c r="AX3738" s="82" t="s">
        <v>16822</v>
      </c>
      <c r="AY3738" s="77"/>
      <c r="AZ3738" s="82" t="s">
        <v>17385</v>
      </c>
      <c r="BA3738" s="82" t="s">
        <v>17385</v>
      </c>
      <c r="BB3738" s="82" t="s">
        <v>17385</v>
      </c>
      <c r="BC3738" s="82" t="s">
        <v>16822</v>
      </c>
      <c r="BD3738" s="77">
        <v>51150679</v>
      </c>
      <c r="BE3738" s="77"/>
      <c r="BF3738" s="77"/>
      <c r="BG3738" s="77"/>
      <c r="BH3738" s="77"/>
      <c r="BI3738" s="77"/>
    </row>
    <row r="3739" spans="1:61" x14ac:dyDescent="0.25">
      <c r="A3739" s="62" t="s">
        <v>605</v>
      </c>
      <c r="B3739" s="62" t="s">
        <v>605</v>
      </c>
      <c r="C3739" s="63"/>
      <c r="D3739" s="64"/>
      <c r="E3739" s="65"/>
      <c r="F3739" s="66"/>
      <c r="G3739" s="63"/>
      <c r="H3739" s="67"/>
      <c r="I3739" s="68"/>
      <c r="J3739" s="68"/>
      <c r="K3739" s="32"/>
      <c r="L3739" s="75">
        <v>3739</v>
      </c>
      <c r="M3739" s="75"/>
      <c r="N3739" s="70"/>
      <c r="O3739" s="77" t="s">
        <v>179</v>
      </c>
      <c r="P3739" s="79">
        <v>45097.847824074073</v>
      </c>
      <c r="Q3739" s="77" t="s">
        <v>4513</v>
      </c>
      <c r="R3739" s="77">
        <v>1</v>
      </c>
      <c r="S3739" s="77">
        <v>4</v>
      </c>
      <c r="T3739" s="77">
        <v>1</v>
      </c>
      <c r="U3739" s="77">
        <v>0</v>
      </c>
      <c r="V3739" s="77">
        <v>1324</v>
      </c>
      <c r="W3739" s="82" t="s">
        <v>6551</v>
      </c>
      <c r="X3739" s="80" t="str">
        <f>HYPERLINK("https://www.moneytimes.com.br/ibovespa-hoje-fecha-queda-vale-vale3-copom-arcabouco-fiscal-20-06-2023/")</f>
        <v>https://www.moneytimes.com.br/ibovespa-hoje-fecha-queda-vale-vale3-copom-arcabouco-fiscal-20-06-2023/</v>
      </c>
      <c r="Y3739" s="77" t="s">
        <v>7053</v>
      </c>
      <c r="Z3739" s="77"/>
      <c r="AA3739" s="77"/>
      <c r="AB3739" s="77"/>
      <c r="AC3739" s="82" t="s">
        <v>8255</v>
      </c>
      <c r="AD3739" s="77" t="s">
        <v>8278</v>
      </c>
      <c r="AE3739" s="80" t="str">
        <f>HYPERLINK("https://twitter.com/leiamoneytimes/status/1671251793311940609")</f>
        <v>https://twitter.com/leiamoneytimes/status/1671251793311940609</v>
      </c>
      <c r="AF3739" s="79">
        <v>45097.847824074073</v>
      </c>
      <c r="AG3739" s="85">
        <v>45097</v>
      </c>
      <c r="AH3739" s="82" t="s">
        <v>11607</v>
      </c>
      <c r="AI3739" s="77" t="b">
        <v>0</v>
      </c>
      <c r="AJ3739" s="77"/>
      <c r="AK3739" s="77"/>
      <c r="AL3739" s="77"/>
      <c r="AM3739" s="77"/>
      <c r="AN3739" s="77"/>
      <c r="AO3739" s="77"/>
      <c r="AP3739" s="77"/>
      <c r="AQ3739" s="77"/>
      <c r="AR3739" s="77"/>
      <c r="AS3739" s="77"/>
      <c r="AT3739" s="77"/>
      <c r="AU3739" s="77"/>
      <c r="AV3739" s="80" t="str">
        <f>HYPERLINK("https://pbs.twimg.com/profile_images/1559883556846977024/bXHnQFY0_normal.jpg")</f>
        <v>https://pbs.twimg.com/profile_images/1559883556846977024/bXHnQFY0_normal.jpg</v>
      </c>
      <c r="AW3739" s="82" t="s">
        <v>16823</v>
      </c>
      <c r="AX3739" s="82" t="s">
        <v>16823</v>
      </c>
      <c r="AY3739" s="77"/>
      <c r="AZ3739" s="82" t="s">
        <v>17385</v>
      </c>
      <c r="BA3739" s="82" t="s">
        <v>17385</v>
      </c>
      <c r="BB3739" s="82" t="s">
        <v>17385</v>
      </c>
      <c r="BC3739" s="82" t="s">
        <v>16823</v>
      </c>
      <c r="BD3739" s="77">
        <v>51150679</v>
      </c>
      <c r="BE3739" s="77"/>
      <c r="BF3739" s="77"/>
      <c r="BG3739" s="77"/>
      <c r="BH3739" s="77"/>
      <c r="BI3739" s="77"/>
    </row>
    <row r="3740" spans="1:61" x14ac:dyDescent="0.25">
      <c r="A3740" s="62" t="s">
        <v>605</v>
      </c>
      <c r="B3740" s="62" t="s">
        <v>605</v>
      </c>
      <c r="C3740" s="63"/>
      <c r="D3740" s="64"/>
      <c r="E3740" s="65"/>
      <c r="F3740" s="66"/>
      <c r="G3740" s="63"/>
      <c r="H3740" s="67"/>
      <c r="I3740" s="68"/>
      <c r="J3740" s="68"/>
      <c r="K3740" s="32"/>
      <c r="L3740" s="75">
        <v>3740</v>
      </c>
      <c r="M3740" s="75"/>
      <c r="N3740" s="70"/>
      <c r="O3740" s="77" t="s">
        <v>179</v>
      </c>
      <c r="P3740" s="79">
        <v>45097.69259259259</v>
      </c>
      <c r="Q3740" s="77" t="s">
        <v>4514</v>
      </c>
      <c r="R3740" s="77">
        <v>0</v>
      </c>
      <c r="S3740" s="77">
        <v>6</v>
      </c>
      <c r="T3740" s="77">
        <v>1</v>
      </c>
      <c r="U3740" s="77">
        <v>0</v>
      </c>
      <c r="V3740" s="77">
        <v>1720</v>
      </c>
      <c r="W3740" s="82" t="s">
        <v>6559</v>
      </c>
      <c r="X3740" s="80" t="str">
        <f>HYPERLINK("https://www.moneytimes.com.br/gringos-ja-compraram-mais-na-b3-em-junho-do-que-no-resto-do-ano-confira/")</f>
        <v>https://www.moneytimes.com.br/gringos-ja-compraram-mais-na-b3-em-junho-do-que-no-resto-do-ano-confira/</v>
      </c>
      <c r="Y3740" s="77" t="s">
        <v>7053</v>
      </c>
      <c r="Z3740" s="77"/>
      <c r="AA3740" s="77"/>
      <c r="AB3740" s="77"/>
      <c r="AC3740" s="82" t="s">
        <v>8255</v>
      </c>
      <c r="AD3740" s="77" t="s">
        <v>8278</v>
      </c>
      <c r="AE3740" s="80" t="str">
        <f>HYPERLINK("https://twitter.com/leiamoneytimes/status/1671195537670909961")</f>
        <v>https://twitter.com/leiamoneytimes/status/1671195537670909961</v>
      </c>
      <c r="AF3740" s="79">
        <v>45097.69259259259</v>
      </c>
      <c r="AG3740" s="85">
        <v>45097</v>
      </c>
      <c r="AH3740" s="82" t="s">
        <v>11707</v>
      </c>
      <c r="AI3740" s="77" t="b">
        <v>0</v>
      </c>
      <c r="AJ3740" s="77"/>
      <c r="AK3740" s="77"/>
      <c r="AL3740" s="77"/>
      <c r="AM3740" s="77"/>
      <c r="AN3740" s="77"/>
      <c r="AO3740" s="77"/>
      <c r="AP3740" s="77"/>
      <c r="AQ3740" s="77"/>
      <c r="AR3740" s="77"/>
      <c r="AS3740" s="77"/>
      <c r="AT3740" s="77"/>
      <c r="AU3740" s="77"/>
      <c r="AV3740" s="80" t="str">
        <f>HYPERLINK("https://pbs.twimg.com/profile_images/1559883556846977024/bXHnQFY0_normal.jpg")</f>
        <v>https://pbs.twimg.com/profile_images/1559883556846977024/bXHnQFY0_normal.jpg</v>
      </c>
      <c r="AW3740" s="82" t="s">
        <v>16824</v>
      </c>
      <c r="AX3740" s="82" t="s">
        <v>16824</v>
      </c>
      <c r="AY3740" s="77"/>
      <c r="AZ3740" s="82" t="s">
        <v>17385</v>
      </c>
      <c r="BA3740" s="82" t="s">
        <v>17385</v>
      </c>
      <c r="BB3740" s="82" t="s">
        <v>17385</v>
      </c>
      <c r="BC3740" s="82" t="s">
        <v>16824</v>
      </c>
      <c r="BD3740" s="77">
        <v>51150679</v>
      </c>
      <c r="BE3740" s="77"/>
      <c r="BF3740" s="77"/>
      <c r="BG3740" s="77"/>
      <c r="BH3740" s="77"/>
      <c r="BI3740" s="77"/>
    </row>
    <row r="3741" spans="1:61" x14ac:dyDescent="0.25">
      <c r="A3741" s="62" t="s">
        <v>605</v>
      </c>
      <c r="B3741" s="62" t="s">
        <v>605</v>
      </c>
      <c r="C3741" s="63"/>
      <c r="D3741" s="64"/>
      <c r="E3741" s="65"/>
      <c r="F3741" s="66"/>
      <c r="G3741" s="63"/>
      <c r="H3741" s="67"/>
      <c r="I3741" s="68"/>
      <c r="J3741" s="68"/>
      <c r="K3741" s="32"/>
      <c r="L3741" s="75">
        <v>3741</v>
      </c>
      <c r="M3741" s="75"/>
      <c r="N3741" s="70"/>
      <c r="O3741" s="77" t="s">
        <v>179</v>
      </c>
      <c r="P3741" s="79">
        <v>45079.849236111113</v>
      </c>
      <c r="Q3741" s="77" t="s">
        <v>4515</v>
      </c>
      <c r="R3741" s="77">
        <v>0</v>
      </c>
      <c r="S3741" s="77">
        <v>1</v>
      </c>
      <c r="T3741" s="77">
        <v>0</v>
      </c>
      <c r="U3741" s="77">
        <v>0</v>
      </c>
      <c r="V3741" s="77">
        <v>1241</v>
      </c>
      <c r="W3741" s="82" t="s">
        <v>6551</v>
      </c>
      <c r="X3741" s="80" t="str">
        <f>HYPERLINK("https://www.moneytimes.com.br/ibovespa-hoje-fecha-alta-eua-commodities-vale-vale3-petrobras-petr4-02-06-2023/")</f>
        <v>https://www.moneytimes.com.br/ibovespa-hoje-fecha-alta-eua-commodities-vale-vale3-petrobras-petr4-02-06-2023/</v>
      </c>
      <c r="Y3741" s="77" t="s">
        <v>7053</v>
      </c>
      <c r="Z3741" s="77"/>
      <c r="AA3741" s="77"/>
      <c r="AB3741" s="77"/>
      <c r="AC3741" s="82" t="s">
        <v>8255</v>
      </c>
      <c r="AD3741" s="77" t="s">
        <v>8278</v>
      </c>
      <c r="AE3741" s="80" t="str">
        <f>HYPERLINK("https://twitter.com/leiamoneytimes/status/1664729323729739776")</f>
        <v>https://twitter.com/leiamoneytimes/status/1664729323729739776</v>
      </c>
      <c r="AF3741" s="79">
        <v>45079.849236111113</v>
      </c>
      <c r="AG3741" s="85">
        <v>45079</v>
      </c>
      <c r="AH3741" s="82" t="s">
        <v>10343</v>
      </c>
      <c r="AI3741" s="77" t="b">
        <v>0</v>
      </c>
      <c r="AJ3741" s="77"/>
      <c r="AK3741" s="77"/>
      <c r="AL3741" s="77"/>
      <c r="AM3741" s="77"/>
      <c r="AN3741" s="77"/>
      <c r="AO3741" s="77"/>
      <c r="AP3741" s="77"/>
      <c r="AQ3741" s="77"/>
      <c r="AR3741" s="77"/>
      <c r="AS3741" s="77"/>
      <c r="AT3741" s="77"/>
      <c r="AU3741" s="77"/>
      <c r="AV3741" s="80" t="str">
        <f>HYPERLINK("https://pbs.twimg.com/profile_images/1559883556846977024/bXHnQFY0_normal.jpg")</f>
        <v>https://pbs.twimg.com/profile_images/1559883556846977024/bXHnQFY0_normal.jpg</v>
      </c>
      <c r="AW3741" s="82" t="s">
        <v>16825</v>
      </c>
      <c r="AX3741" s="82" t="s">
        <v>16825</v>
      </c>
      <c r="AY3741" s="77"/>
      <c r="AZ3741" s="82" t="s">
        <v>17385</v>
      </c>
      <c r="BA3741" s="82" t="s">
        <v>17385</v>
      </c>
      <c r="BB3741" s="82" t="s">
        <v>17385</v>
      </c>
      <c r="BC3741" s="82" t="s">
        <v>16825</v>
      </c>
      <c r="BD3741" s="77">
        <v>51150679</v>
      </c>
      <c r="BE3741" s="77"/>
      <c r="BF3741" s="77"/>
      <c r="BG3741" s="77"/>
      <c r="BH3741" s="77"/>
      <c r="BI3741" s="77"/>
    </row>
    <row r="3742" spans="1:61" x14ac:dyDescent="0.25">
      <c r="A3742" s="62" t="s">
        <v>605</v>
      </c>
      <c r="B3742" s="62" t="s">
        <v>605</v>
      </c>
      <c r="C3742" s="63"/>
      <c r="D3742" s="64"/>
      <c r="E3742" s="65"/>
      <c r="F3742" s="66"/>
      <c r="G3742" s="63"/>
      <c r="H3742" s="67"/>
      <c r="I3742" s="68"/>
      <c r="J3742" s="68"/>
      <c r="K3742" s="32"/>
      <c r="L3742" s="75">
        <v>3742</v>
      </c>
      <c r="M3742" s="75"/>
      <c r="N3742" s="70"/>
      <c r="O3742" s="77" t="s">
        <v>179</v>
      </c>
      <c r="P3742" s="79">
        <v>45079.712361111109</v>
      </c>
      <c r="Q3742" s="77" t="s">
        <v>4516</v>
      </c>
      <c r="R3742" s="77">
        <v>0</v>
      </c>
      <c r="S3742" s="77">
        <v>0</v>
      </c>
      <c r="T3742" s="77">
        <v>0</v>
      </c>
      <c r="U3742" s="77">
        <v>0</v>
      </c>
      <c r="V3742" s="77">
        <v>907</v>
      </c>
      <c r="W3742" s="82" t="s">
        <v>6640</v>
      </c>
      <c r="X3742" s="80" t="str">
        <f>HYPERLINK("https://www.moneytimes.com.br/acoes-europeias-registram-melhor-dia-em-dois-meses/")</f>
        <v>https://www.moneytimes.com.br/acoes-europeias-registram-melhor-dia-em-dois-meses/</v>
      </c>
      <c r="Y3742" s="77" t="s">
        <v>7053</v>
      </c>
      <c r="Z3742" s="77"/>
      <c r="AA3742" s="77"/>
      <c r="AB3742" s="77"/>
      <c r="AC3742" s="82" t="s">
        <v>8255</v>
      </c>
      <c r="AD3742" s="77" t="s">
        <v>8278</v>
      </c>
      <c r="AE3742" s="80" t="str">
        <f>HYPERLINK("https://twitter.com/leiamoneytimes/status/1664679721588621343")</f>
        <v>https://twitter.com/leiamoneytimes/status/1664679721588621343</v>
      </c>
      <c r="AF3742" s="79">
        <v>45079.712361111109</v>
      </c>
      <c r="AG3742" s="85">
        <v>45079</v>
      </c>
      <c r="AH3742" s="82" t="s">
        <v>9254</v>
      </c>
      <c r="AI3742" s="77" t="b">
        <v>0</v>
      </c>
      <c r="AJ3742" s="77"/>
      <c r="AK3742" s="77"/>
      <c r="AL3742" s="77"/>
      <c r="AM3742" s="77"/>
      <c r="AN3742" s="77"/>
      <c r="AO3742" s="77"/>
      <c r="AP3742" s="77"/>
      <c r="AQ3742" s="77"/>
      <c r="AR3742" s="77"/>
      <c r="AS3742" s="77"/>
      <c r="AT3742" s="77"/>
      <c r="AU3742" s="77"/>
      <c r="AV3742" s="80" t="str">
        <f>HYPERLINK("https://pbs.twimg.com/profile_images/1559883556846977024/bXHnQFY0_normal.jpg")</f>
        <v>https://pbs.twimg.com/profile_images/1559883556846977024/bXHnQFY0_normal.jpg</v>
      </c>
      <c r="AW3742" s="82" t="s">
        <v>16826</v>
      </c>
      <c r="AX3742" s="82" t="s">
        <v>16826</v>
      </c>
      <c r="AY3742" s="77"/>
      <c r="AZ3742" s="82" t="s">
        <v>17385</v>
      </c>
      <c r="BA3742" s="82" t="s">
        <v>17385</v>
      </c>
      <c r="BB3742" s="82" t="s">
        <v>17385</v>
      </c>
      <c r="BC3742" s="82" t="s">
        <v>16826</v>
      </c>
      <c r="BD3742" s="77">
        <v>51150679</v>
      </c>
      <c r="BE3742" s="77"/>
      <c r="BF3742" s="77"/>
      <c r="BG3742" s="77"/>
      <c r="BH3742" s="77"/>
      <c r="BI3742" s="77"/>
    </row>
    <row r="3743" spans="1:61" x14ac:dyDescent="0.25">
      <c r="A3743" s="62" t="s">
        <v>605</v>
      </c>
      <c r="B3743" s="62" t="s">
        <v>605</v>
      </c>
      <c r="C3743" s="63"/>
      <c r="D3743" s="64"/>
      <c r="E3743" s="65"/>
      <c r="F3743" s="66"/>
      <c r="G3743" s="63"/>
      <c r="H3743" s="67"/>
      <c r="I3743" s="68"/>
      <c r="J3743" s="68"/>
      <c r="K3743" s="32"/>
      <c r="L3743" s="75">
        <v>3743</v>
      </c>
      <c r="M3743" s="75"/>
      <c r="N3743" s="70"/>
      <c r="O3743" s="77" t="s">
        <v>179</v>
      </c>
      <c r="P3743" s="79">
        <v>45079.688067129631</v>
      </c>
      <c r="Q3743" s="77" t="s">
        <v>4517</v>
      </c>
      <c r="R3743" s="77">
        <v>0</v>
      </c>
      <c r="S3743" s="77">
        <v>1</v>
      </c>
      <c r="T3743" s="77">
        <v>0</v>
      </c>
      <c r="U3743" s="77">
        <v>0</v>
      </c>
      <c r="V3743" s="77">
        <v>1607</v>
      </c>
      <c r="W3743" s="82" t="s">
        <v>6828</v>
      </c>
      <c r="X3743" s="80" t="str">
        <f>HYPERLINK("https://www.moneytimes.com.br/ibovespa-por-que-mglu3-e-viia3-recuam-nesta-sexta-2-na-contramao-do-indice/")</f>
        <v>https://www.moneytimes.com.br/ibovespa-por-que-mglu3-e-viia3-recuam-nesta-sexta-2-na-contramao-do-indice/</v>
      </c>
      <c r="Y3743" s="77" t="s">
        <v>7053</v>
      </c>
      <c r="Z3743" s="77"/>
      <c r="AA3743" s="77"/>
      <c r="AB3743" s="77"/>
      <c r="AC3743" s="82" t="s">
        <v>8255</v>
      </c>
      <c r="AD3743" s="77" t="s">
        <v>8278</v>
      </c>
      <c r="AE3743" s="80" t="str">
        <f>HYPERLINK("https://twitter.com/leiamoneytimes/status/1664670917073436673")</f>
        <v>https://twitter.com/leiamoneytimes/status/1664670917073436673</v>
      </c>
      <c r="AF3743" s="79">
        <v>45079.688067129631</v>
      </c>
      <c r="AG3743" s="85">
        <v>45079</v>
      </c>
      <c r="AH3743" s="82" t="s">
        <v>11708</v>
      </c>
      <c r="AI3743" s="77" t="b">
        <v>0</v>
      </c>
      <c r="AJ3743" s="77"/>
      <c r="AK3743" s="77"/>
      <c r="AL3743" s="77"/>
      <c r="AM3743" s="77"/>
      <c r="AN3743" s="77"/>
      <c r="AO3743" s="77"/>
      <c r="AP3743" s="77"/>
      <c r="AQ3743" s="77"/>
      <c r="AR3743" s="77"/>
      <c r="AS3743" s="77"/>
      <c r="AT3743" s="77"/>
      <c r="AU3743" s="77"/>
      <c r="AV3743" s="80" t="str">
        <f>HYPERLINK("https://pbs.twimg.com/profile_images/1559883556846977024/bXHnQFY0_normal.jpg")</f>
        <v>https://pbs.twimg.com/profile_images/1559883556846977024/bXHnQFY0_normal.jpg</v>
      </c>
      <c r="AW3743" s="82" t="s">
        <v>16827</v>
      </c>
      <c r="AX3743" s="82" t="s">
        <v>16827</v>
      </c>
      <c r="AY3743" s="77"/>
      <c r="AZ3743" s="82" t="s">
        <v>17385</v>
      </c>
      <c r="BA3743" s="82" t="s">
        <v>17385</v>
      </c>
      <c r="BB3743" s="82" t="s">
        <v>17385</v>
      </c>
      <c r="BC3743" s="82" t="s">
        <v>16827</v>
      </c>
      <c r="BD3743" s="77">
        <v>51150679</v>
      </c>
      <c r="BE3743" s="77"/>
      <c r="BF3743" s="77"/>
      <c r="BG3743" s="77"/>
      <c r="BH3743" s="77"/>
      <c r="BI3743" s="77"/>
    </row>
    <row r="3744" spans="1:61" x14ac:dyDescent="0.25">
      <c r="A3744" s="62" t="s">
        <v>605</v>
      </c>
      <c r="B3744" s="62" t="s">
        <v>605</v>
      </c>
      <c r="C3744" s="63"/>
      <c r="D3744" s="64"/>
      <c r="E3744" s="65"/>
      <c r="F3744" s="66"/>
      <c r="G3744" s="63"/>
      <c r="H3744" s="67"/>
      <c r="I3744" s="68"/>
      <c r="J3744" s="68"/>
      <c r="K3744" s="32"/>
      <c r="L3744" s="75">
        <v>3744</v>
      </c>
      <c r="M3744" s="75"/>
      <c r="N3744" s="70"/>
      <c r="O3744" s="77" t="s">
        <v>179</v>
      </c>
      <c r="P3744" s="79">
        <v>45079.629687499997</v>
      </c>
      <c r="Q3744" s="77" t="s">
        <v>4518</v>
      </c>
      <c r="R3744" s="77">
        <v>4</v>
      </c>
      <c r="S3744" s="77">
        <v>37</v>
      </c>
      <c r="T3744" s="77">
        <v>8</v>
      </c>
      <c r="U3744" s="77">
        <v>2</v>
      </c>
      <c r="V3744" s="77">
        <v>6327</v>
      </c>
      <c r="W3744" s="82" t="s">
        <v>6559</v>
      </c>
      <c r="X3744" s="80" t="str">
        <f>HYPERLINK("https://www.moneytimes.com.br/gringos-vendem-r-25-bi-em-acoes-em-um-unico-dia-e-vao-embora-da-b3-em-maio/")</f>
        <v>https://www.moneytimes.com.br/gringos-vendem-r-25-bi-em-acoes-em-um-unico-dia-e-vao-embora-da-b3-em-maio/</v>
      </c>
      <c r="Y3744" s="77" t="s">
        <v>7053</v>
      </c>
      <c r="Z3744" s="77"/>
      <c r="AA3744" s="77"/>
      <c r="AB3744" s="77"/>
      <c r="AC3744" s="82" t="s">
        <v>8255</v>
      </c>
      <c r="AD3744" s="77" t="s">
        <v>8278</v>
      </c>
      <c r="AE3744" s="80" t="str">
        <f>HYPERLINK("https://twitter.com/leiamoneytimes/status/1664649762350530561")</f>
        <v>https://twitter.com/leiamoneytimes/status/1664649762350530561</v>
      </c>
      <c r="AF3744" s="79">
        <v>45079.629687499997</v>
      </c>
      <c r="AG3744" s="85">
        <v>45079</v>
      </c>
      <c r="AH3744" s="82" t="s">
        <v>11709</v>
      </c>
      <c r="AI3744" s="77" t="b">
        <v>0</v>
      </c>
      <c r="AJ3744" s="77"/>
      <c r="AK3744" s="77"/>
      <c r="AL3744" s="77"/>
      <c r="AM3744" s="77"/>
      <c r="AN3744" s="77"/>
      <c r="AO3744" s="77"/>
      <c r="AP3744" s="77"/>
      <c r="AQ3744" s="77"/>
      <c r="AR3744" s="77"/>
      <c r="AS3744" s="77"/>
      <c r="AT3744" s="77"/>
      <c r="AU3744" s="77"/>
      <c r="AV3744" s="80" t="str">
        <f>HYPERLINK("https://pbs.twimg.com/profile_images/1559883556846977024/bXHnQFY0_normal.jpg")</f>
        <v>https://pbs.twimg.com/profile_images/1559883556846977024/bXHnQFY0_normal.jpg</v>
      </c>
      <c r="AW3744" s="82" t="s">
        <v>16828</v>
      </c>
      <c r="AX3744" s="82" t="s">
        <v>16828</v>
      </c>
      <c r="AY3744" s="77"/>
      <c r="AZ3744" s="82" t="s">
        <v>17385</v>
      </c>
      <c r="BA3744" s="82" t="s">
        <v>17385</v>
      </c>
      <c r="BB3744" s="82" t="s">
        <v>17385</v>
      </c>
      <c r="BC3744" s="82" t="s">
        <v>16828</v>
      </c>
      <c r="BD3744" s="77">
        <v>51150679</v>
      </c>
      <c r="BE3744" s="77"/>
      <c r="BF3744" s="77"/>
      <c r="BG3744" s="77"/>
      <c r="BH3744" s="77"/>
      <c r="BI3744" s="77"/>
    </row>
    <row r="3745" spans="1:61" x14ac:dyDescent="0.25">
      <c r="A3745" s="62" t="s">
        <v>605</v>
      </c>
      <c r="B3745" s="62" t="s">
        <v>605</v>
      </c>
      <c r="C3745" s="63"/>
      <c r="D3745" s="64"/>
      <c r="E3745" s="65"/>
      <c r="F3745" s="66"/>
      <c r="G3745" s="63"/>
      <c r="H3745" s="67"/>
      <c r="I3745" s="68"/>
      <c r="J3745" s="68"/>
      <c r="K3745" s="32"/>
      <c r="L3745" s="75">
        <v>3745</v>
      </c>
      <c r="M3745" s="75"/>
      <c r="N3745" s="70"/>
      <c r="O3745" s="77" t="s">
        <v>179</v>
      </c>
      <c r="P3745" s="79">
        <v>45079.605150462965</v>
      </c>
      <c r="Q3745" s="77" t="s">
        <v>4519</v>
      </c>
      <c r="R3745" s="77">
        <v>0</v>
      </c>
      <c r="S3745" s="77">
        <v>3</v>
      </c>
      <c r="T3745" s="77">
        <v>0</v>
      </c>
      <c r="U3745" s="77">
        <v>0</v>
      </c>
      <c r="V3745" s="77">
        <v>1184</v>
      </c>
      <c r="W3745" s="82" t="s">
        <v>6757</v>
      </c>
      <c r="X3745" s="80" t="str">
        <f>HYPERLINK("https://www.moneytimes.com.br/vale3-csna3-e-ggbr4-disparam-nesta-sexta-2-com-otimismo-vindo-do-exterior/")</f>
        <v>https://www.moneytimes.com.br/vale3-csna3-e-ggbr4-disparam-nesta-sexta-2-com-otimismo-vindo-do-exterior/</v>
      </c>
      <c r="Y3745" s="77" t="s">
        <v>7053</v>
      </c>
      <c r="Z3745" s="77"/>
      <c r="AA3745" s="77"/>
      <c r="AB3745" s="77"/>
      <c r="AC3745" s="82" t="s">
        <v>8255</v>
      </c>
      <c r="AD3745" s="77" t="s">
        <v>8278</v>
      </c>
      <c r="AE3745" s="80" t="str">
        <f>HYPERLINK("https://twitter.com/leiamoneytimes/status/1664640871457861632")</f>
        <v>https://twitter.com/leiamoneytimes/status/1664640871457861632</v>
      </c>
      <c r="AF3745" s="79">
        <v>45079.605150462965</v>
      </c>
      <c r="AG3745" s="85">
        <v>45079</v>
      </c>
      <c r="AH3745" s="82" t="s">
        <v>11710</v>
      </c>
      <c r="AI3745" s="77" t="b">
        <v>0</v>
      </c>
      <c r="AJ3745" s="77"/>
      <c r="AK3745" s="77"/>
      <c r="AL3745" s="77"/>
      <c r="AM3745" s="77"/>
      <c r="AN3745" s="77"/>
      <c r="AO3745" s="77"/>
      <c r="AP3745" s="77"/>
      <c r="AQ3745" s="77"/>
      <c r="AR3745" s="77"/>
      <c r="AS3745" s="77"/>
      <c r="AT3745" s="77"/>
      <c r="AU3745" s="77"/>
      <c r="AV3745" s="80" t="str">
        <f>HYPERLINK("https://pbs.twimg.com/profile_images/1559883556846977024/bXHnQFY0_normal.jpg")</f>
        <v>https://pbs.twimg.com/profile_images/1559883556846977024/bXHnQFY0_normal.jpg</v>
      </c>
      <c r="AW3745" s="82" t="s">
        <v>16829</v>
      </c>
      <c r="AX3745" s="82" t="s">
        <v>16829</v>
      </c>
      <c r="AY3745" s="77"/>
      <c r="AZ3745" s="82" t="s">
        <v>17385</v>
      </c>
      <c r="BA3745" s="82" t="s">
        <v>17385</v>
      </c>
      <c r="BB3745" s="82" t="s">
        <v>17385</v>
      </c>
      <c r="BC3745" s="82" t="s">
        <v>16829</v>
      </c>
      <c r="BD3745" s="77">
        <v>51150679</v>
      </c>
      <c r="BE3745" s="77"/>
      <c r="BF3745" s="77"/>
      <c r="BG3745" s="77"/>
      <c r="BH3745" s="77"/>
      <c r="BI3745" s="77"/>
    </row>
    <row r="3746" spans="1:61" x14ac:dyDescent="0.25">
      <c r="A3746" s="62" t="s">
        <v>605</v>
      </c>
      <c r="B3746" s="62" t="s">
        <v>605</v>
      </c>
      <c r="C3746" s="63"/>
      <c r="D3746" s="64"/>
      <c r="E3746" s="65"/>
      <c r="F3746" s="66"/>
      <c r="G3746" s="63"/>
      <c r="H3746" s="67"/>
      <c r="I3746" s="68"/>
      <c r="J3746" s="68"/>
      <c r="K3746" s="32"/>
      <c r="L3746" s="75">
        <v>3746</v>
      </c>
      <c r="M3746" s="75"/>
      <c r="N3746" s="70"/>
      <c r="O3746" s="77" t="s">
        <v>179</v>
      </c>
      <c r="P3746" s="79">
        <v>45079.591967592591</v>
      </c>
      <c r="Q3746" s="77" t="s">
        <v>4520</v>
      </c>
      <c r="R3746" s="77">
        <v>0</v>
      </c>
      <c r="S3746" s="77">
        <v>4</v>
      </c>
      <c r="T3746" s="77">
        <v>0</v>
      </c>
      <c r="U3746" s="77">
        <v>0</v>
      </c>
      <c r="V3746" s="77">
        <v>1123</v>
      </c>
      <c r="W3746" s="82" t="s">
        <v>6829</v>
      </c>
      <c r="X3746" s="80" t="str">
        <f>HYPERLINK("https://www.moneytimes.com.br/cvc-cvcb3-dispara-11-apos-noticias-de-follow-on-de-r-300-milhoes/")</f>
        <v>https://www.moneytimes.com.br/cvc-cvcb3-dispara-11-apos-noticias-de-follow-on-de-r-300-milhoes/</v>
      </c>
      <c r="Y3746" s="77" t="s">
        <v>7053</v>
      </c>
      <c r="Z3746" s="77"/>
      <c r="AA3746" s="77"/>
      <c r="AB3746" s="77"/>
      <c r="AC3746" s="82" t="s">
        <v>8255</v>
      </c>
      <c r="AD3746" s="77" t="s">
        <v>8278</v>
      </c>
      <c r="AE3746" s="80" t="str">
        <f>HYPERLINK("https://twitter.com/leiamoneytimes/status/1664636094040645633")</f>
        <v>https://twitter.com/leiamoneytimes/status/1664636094040645633</v>
      </c>
      <c r="AF3746" s="79">
        <v>45079.591967592591</v>
      </c>
      <c r="AG3746" s="85">
        <v>45079</v>
      </c>
      <c r="AH3746" s="82" t="s">
        <v>11711</v>
      </c>
      <c r="AI3746" s="77" t="b">
        <v>0</v>
      </c>
      <c r="AJ3746" s="77"/>
      <c r="AK3746" s="77"/>
      <c r="AL3746" s="77"/>
      <c r="AM3746" s="77"/>
      <c r="AN3746" s="77"/>
      <c r="AO3746" s="77"/>
      <c r="AP3746" s="77"/>
      <c r="AQ3746" s="77"/>
      <c r="AR3746" s="77"/>
      <c r="AS3746" s="77"/>
      <c r="AT3746" s="77"/>
      <c r="AU3746" s="77"/>
      <c r="AV3746" s="80" t="str">
        <f>HYPERLINK("https://pbs.twimg.com/profile_images/1559883556846977024/bXHnQFY0_normal.jpg")</f>
        <v>https://pbs.twimg.com/profile_images/1559883556846977024/bXHnQFY0_normal.jpg</v>
      </c>
      <c r="AW3746" s="82" t="s">
        <v>16830</v>
      </c>
      <c r="AX3746" s="82" t="s">
        <v>16830</v>
      </c>
      <c r="AY3746" s="77"/>
      <c r="AZ3746" s="82" t="s">
        <v>17385</v>
      </c>
      <c r="BA3746" s="82" t="s">
        <v>17385</v>
      </c>
      <c r="BB3746" s="82" t="s">
        <v>17385</v>
      </c>
      <c r="BC3746" s="82" t="s">
        <v>16830</v>
      </c>
      <c r="BD3746" s="77">
        <v>51150679</v>
      </c>
      <c r="BE3746" s="77"/>
      <c r="BF3746" s="77"/>
      <c r="BG3746" s="77"/>
      <c r="BH3746" s="77"/>
      <c r="BI3746" s="77"/>
    </row>
    <row r="3747" spans="1:61" x14ac:dyDescent="0.25">
      <c r="A3747" s="62" t="s">
        <v>605</v>
      </c>
      <c r="B3747" s="62" t="s">
        <v>605</v>
      </c>
      <c r="C3747" s="63"/>
      <c r="D3747" s="64"/>
      <c r="E3747" s="65"/>
      <c r="F3747" s="66"/>
      <c r="G3747" s="63"/>
      <c r="H3747" s="67"/>
      <c r="I3747" s="68"/>
      <c r="J3747" s="68"/>
      <c r="K3747" s="32"/>
      <c r="L3747" s="75">
        <v>3747</v>
      </c>
      <c r="M3747" s="75"/>
      <c r="N3747" s="70"/>
      <c r="O3747" s="77" t="s">
        <v>179</v>
      </c>
      <c r="P3747" s="79">
        <v>45079.551782407405</v>
      </c>
      <c r="Q3747" s="77" t="s">
        <v>4521</v>
      </c>
      <c r="R3747" s="77">
        <v>0</v>
      </c>
      <c r="S3747" s="77">
        <v>1</v>
      </c>
      <c r="T3747" s="77">
        <v>0</v>
      </c>
      <c r="U3747" s="77">
        <v>0</v>
      </c>
      <c r="V3747" s="77">
        <v>928</v>
      </c>
      <c r="W3747" s="82" t="s">
        <v>6830</v>
      </c>
      <c r="X3747" s="80" t="str">
        <f>HYPERLINK("https://www.moneytimes.com.br/eua-e-china-animam-ibovespa-ibov-nesta-sexta-2-indice-abre-em-alta/")</f>
        <v>https://www.moneytimes.com.br/eua-e-china-animam-ibovespa-ibov-nesta-sexta-2-indice-abre-em-alta/</v>
      </c>
      <c r="Y3747" s="77" t="s">
        <v>7053</v>
      </c>
      <c r="Z3747" s="77"/>
      <c r="AA3747" s="77"/>
      <c r="AB3747" s="77"/>
      <c r="AC3747" s="82" t="s">
        <v>8255</v>
      </c>
      <c r="AD3747" s="77" t="s">
        <v>8278</v>
      </c>
      <c r="AE3747" s="80" t="str">
        <f>HYPERLINK("https://twitter.com/leiamoneytimes/status/1664621528518885376")</f>
        <v>https://twitter.com/leiamoneytimes/status/1664621528518885376</v>
      </c>
      <c r="AF3747" s="79">
        <v>45079.551782407405</v>
      </c>
      <c r="AG3747" s="85">
        <v>45079</v>
      </c>
      <c r="AH3747" s="82" t="s">
        <v>11712</v>
      </c>
      <c r="AI3747" s="77" t="b">
        <v>0</v>
      </c>
      <c r="AJ3747" s="77"/>
      <c r="AK3747" s="77"/>
      <c r="AL3747" s="77"/>
      <c r="AM3747" s="77"/>
      <c r="AN3747" s="77"/>
      <c r="AO3747" s="77"/>
      <c r="AP3747" s="77"/>
      <c r="AQ3747" s="77"/>
      <c r="AR3747" s="77"/>
      <c r="AS3747" s="77"/>
      <c r="AT3747" s="77"/>
      <c r="AU3747" s="77"/>
      <c r="AV3747" s="80" t="str">
        <f>HYPERLINK("https://pbs.twimg.com/profile_images/1559883556846977024/bXHnQFY0_normal.jpg")</f>
        <v>https://pbs.twimg.com/profile_images/1559883556846977024/bXHnQFY0_normal.jpg</v>
      </c>
      <c r="AW3747" s="82" t="s">
        <v>16831</v>
      </c>
      <c r="AX3747" s="82" t="s">
        <v>16831</v>
      </c>
      <c r="AY3747" s="77"/>
      <c r="AZ3747" s="82" t="s">
        <v>17385</v>
      </c>
      <c r="BA3747" s="82" t="s">
        <v>17385</v>
      </c>
      <c r="BB3747" s="82" t="s">
        <v>17385</v>
      </c>
      <c r="BC3747" s="82" t="s">
        <v>16831</v>
      </c>
      <c r="BD3747" s="77">
        <v>51150679</v>
      </c>
      <c r="BE3747" s="77"/>
      <c r="BF3747" s="77"/>
      <c r="BG3747" s="77"/>
      <c r="BH3747" s="77"/>
      <c r="BI3747" s="77"/>
    </row>
    <row r="3748" spans="1:61" x14ac:dyDescent="0.25">
      <c r="A3748" s="62" t="s">
        <v>605</v>
      </c>
      <c r="B3748" s="62" t="s">
        <v>605</v>
      </c>
      <c r="C3748" s="63"/>
      <c r="D3748" s="64"/>
      <c r="E3748" s="65"/>
      <c r="F3748" s="66"/>
      <c r="G3748" s="63"/>
      <c r="H3748" s="67"/>
      <c r="I3748" s="68"/>
      <c r="J3748" s="68"/>
      <c r="K3748" s="32"/>
      <c r="L3748" s="75">
        <v>3748</v>
      </c>
      <c r="M3748" s="75"/>
      <c r="N3748" s="70"/>
      <c r="O3748" s="77" t="s">
        <v>179</v>
      </c>
      <c r="P3748" s="79">
        <v>45079.551157407404</v>
      </c>
      <c r="Q3748" s="77" t="s">
        <v>4522</v>
      </c>
      <c r="R3748" s="77">
        <v>1</v>
      </c>
      <c r="S3748" s="77">
        <v>0</v>
      </c>
      <c r="T3748" s="77">
        <v>0</v>
      </c>
      <c r="U3748" s="77">
        <v>0</v>
      </c>
      <c r="V3748" s="77">
        <v>893</v>
      </c>
      <c r="W3748" s="82" t="s">
        <v>6831</v>
      </c>
      <c r="X3748" s="80" t="str">
        <f>HYPERLINK("https://www.moneytimes.com.br/onda-de-ia-atrai-fluxos-recordes-para-tecnologia-diz-bofa/")</f>
        <v>https://www.moneytimes.com.br/onda-de-ia-atrai-fluxos-recordes-para-tecnologia-diz-bofa/</v>
      </c>
      <c r="Y3748" s="77" t="s">
        <v>7053</v>
      </c>
      <c r="Z3748" s="77"/>
      <c r="AA3748" s="77"/>
      <c r="AB3748" s="77"/>
      <c r="AC3748" s="82" t="s">
        <v>8255</v>
      </c>
      <c r="AD3748" s="77" t="s">
        <v>8278</v>
      </c>
      <c r="AE3748" s="80" t="str">
        <f>HYPERLINK("https://twitter.com/leiamoneytimes/status/1664621303196790786")</f>
        <v>https://twitter.com/leiamoneytimes/status/1664621303196790786</v>
      </c>
      <c r="AF3748" s="79">
        <v>45079.551157407404</v>
      </c>
      <c r="AG3748" s="85">
        <v>45079</v>
      </c>
      <c r="AH3748" s="82" t="s">
        <v>11713</v>
      </c>
      <c r="AI3748" s="77" t="b">
        <v>0</v>
      </c>
      <c r="AJ3748" s="77"/>
      <c r="AK3748" s="77"/>
      <c r="AL3748" s="77"/>
      <c r="AM3748" s="77"/>
      <c r="AN3748" s="77"/>
      <c r="AO3748" s="77"/>
      <c r="AP3748" s="77"/>
      <c r="AQ3748" s="77"/>
      <c r="AR3748" s="77"/>
      <c r="AS3748" s="77"/>
      <c r="AT3748" s="77"/>
      <c r="AU3748" s="77"/>
      <c r="AV3748" s="80" t="str">
        <f>HYPERLINK("https://pbs.twimg.com/profile_images/1559883556846977024/bXHnQFY0_normal.jpg")</f>
        <v>https://pbs.twimg.com/profile_images/1559883556846977024/bXHnQFY0_normal.jpg</v>
      </c>
      <c r="AW3748" s="82" t="s">
        <v>16832</v>
      </c>
      <c r="AX3748" s="82" t="s">
        <v>16832</v>
      </c>
      <c r="AY3748" s="77"/>
      <c r="AZ3748" s="82" t="s">
        <v>17385</v>
      </c>
      <c r="BA3748" s="82" t="s">
        <v>17385</v>
      </c>
      <c r="BB3748" s="82" t="s">
        <v>17385</v>
      </c>
      <c r="BC3748" s="82" t="s">
        <v>16832</v>
      </c>
      <c r="BD3748" s="77">
        <v>51150679</v>
      </c>
      <c r="BE3748" s="77"/>
      <c r="BF3748" s="77"/>
      <c r="BG3748" s="77"/>
      <c r="BH3748" s="77"/>
      <c r="BI3748" s="77"/>
    </row>
    <row r="3749" spans="1:61" x14ac:dyDescent="0.25">
      <c r="A3749" s="62" t="s">
        <v>605</v>
      </c>
      <c r="B3749" s="62" t="s">
        <v>605</v>
      </c>
      <c r="C3749" s="63"/>
      <c r="D3749" s="64"/>
      <c r="E3749" s="65"/>
      <c r="F3749" s="66"/>
      <c r="G3749" s="63"/>
      <c r="H3749" s="67"/>
      <c r="I3749" s="68"/>
      <c r="J3749" s="68"/>
      <c r="K3749" s="32"/>
      <c r="L3749" s="75">
        <v>3749</v>
      </c>
      <c r="M3749" s="75"/>
      <c r="N3749" s="70"/>
      <c r="O3749" s="77" t="s">
        <v>179</v>
      </c>
      <c r="P3749" s="79">
        <v>45079.540567129632</v>
      </c>
      <c r="Q3749" s="77" t="s">
        <v>4523</v>
      </c>
      <c r="R3749" s="77">
        <v>0</v>
      </c>
      <c r="S3749" s="77">
        <v>0</v>
      </c>
      <c r="T3749" s="77">
        <v>0</v>
      </c>
      <c r="U3749" s="77">
        <v>0</v>
      </c>
      <c r="V3749" s="77">
        <v>783</v>
      </c>
      <c r="W3749" s="82" t="s">
        <v>6832</v>
      </c>
      <c r="X3749" s="80" t="str">
        <f>HYPERLINK("https://www.moneytimes.com.br/10-acoes-para-bater-o-ibovespa-em-junho-segundo-a-terra-investimentos/")</f>
        <v>https://www.moneytimes.com.br/10-acoes-para-bater-o-ibovespa-em-junho-segundo-a-terra-investimentos/</v>
      </c>
      <c r="Y3749" s="77" t="s">
        <v>7053</v>
      </c>
      <c r="Z3749" s="77"/>
      <c r="AA3749" s="77"/>
      <c r="AB3749" s="77"/>
      <c r="AC3749" s="82" t="s">
        <v>8255</v>
      </c>
      <c r="AD3749" s="77" t="s">
        <v>8278</v>
      </c>
      <c r="AE3749" s="80" t="str">
        <f>HYPERLINK("https://twitter.com/leiamoneytimes/status/1664617467128299525")</f>
        <v>https://twitter.com/leiamoneytimes/status/1664617467128299525</v>
      </c>
      <c r="AF3749" s="79">
        <v>45079.540567129632</v>
      </c>
      <c r="AG3749" s="85">
        <v>45079</v>
      </c>
      <c r="AH3749" s="82" t="s">
        <v>11714</v>
      </c>
      <c r="AI3749" s="77" t="b">
        <v>0</v>
      </c>
      <c r="AJ3749" s="77"/>
      <c r="AK3749" s="77"/>
      <c r="AL3749" s="77"/>
      <c r="AM3749" s="77"/>
      <c r="AN3749" s="77"/>
      <c r="AO3749" s="77"/>
      <c r="AP3749" s="77"/>
      <c r="AQ3749" s="77"/>
      <c r="AR3749" s="77"/>
      <c r="AS3749" s="77"/>
      <c r="AT3749" s="77"/>
      <c r="AU3749" s="77"/>
      <c r="AV3749" s="80" t="str">
        <f>HYPERLINK("https://pbs.twimg.com/profile_images/1559883556846977024/bXHnQFY0_normal.jpg")</f>
        <v>https://pbs.twimg.com/profile_images/1559883556846977024/bXHnQFY0_normal.jpg</v>
      </c>
      <c r="AW3749" s="82" t="s">
        <v>16833</v>
      </c>
      <c r="AX3749" s="82" t="s">
        <v>16833</v>
      </c>
      <c r="AY3749" s="77"/>
      <c r="AZ3749" s="82" t="s">
        <v>17385</v>
      </c>
      <c r="BA3749" s="82" t="s">
        <v>17385</v>
      </c>
      <c r="BB3749" s="82" t="s">
        <v>17385</v>
      </c>
      <c r="BC3749" s="82" t="s">
        <v>16833</v>
      </c>
      <c r="BD3749" s="77">
        <v>51150679</v>
      </c>
      <c r="BE3749" s="77"/>
      <c r="BF3749" s="77"/>
      <c r="BG3749" s="77"/>
      <c r="BH3749" s="77"/>
      <c r="BI3749" s="77"/>
    </row>
    <row r="3750" spans="1:61" x14ac:dyDescent="0.25">
      <c r="A3750" s="62" t="s">
        <v>605</v>
      </c>
      <c r="B3750" s="62" t="s">
        <v>605</v>
      </c>
      <c r="C3750" s="63"/>
      <c r="D3750" s="64"/>
      <c r="E3750" s="65"/>
      <c r="F3750" s="66"/>
      <c r="G3750" s="63"/>
      <c r="H3750" s="67"/>
      <c r="I3750" s="68"/>
      <c r="J3750" s="68"/>
      <c r="K3750" s="32"/>
      <c r="L3750" s="75">
        <v>3750</v>
      </c>
      <c r="M3750" s="75"/>
      <c r="N3750" s="70"/>
      <c r="O3750" s="77" t="s">
        <v>179</v>
      </c>
      <c r="P3750" s="79">
        <v>45079.501793981479</v>
      </c>
      <c r="Q3750" s="77" t="s">
        <v>4524</v>
      </c>
      <c r="R3750" s="77">
        <v>0</v>
      </c>
      <c r="S3750" s="77">
        <v>9</v>
      </c>
      <c r="T3750" s="77">
        <v>0</v>
      </c>
      <c r="U3750" s="77">
        <v>0</v>
      </c>
      <c r="V3750" s="77">
        <v>1514</v>
      </c>
      <c r="W3750" s="82" t="s">
        <v>6833</v>
      </c>
      <c r="X3750" s="80" t="str">
        <f>HYPERLINK("https://www.moneytimes.com.br/adrs-da-vale-disparam-4-no-pre-mercado-em-ny-com-noticias-da-china-vem-estimulo-ai/")</f>
        <v>https://www.moneytimes.com.br/adrs-da-vale-disparam-4-no-pre-mercado-em-ny-com-noticias-da-china-vem-estimulo-ai/</v>
      </c>
      <c r="Y3750" s="77" t="s">
        <v>7053</v>
      </c>
      <c r="Z3750" s="77"/>
      <c r="AA3750" s="77"/>
      <c r="AB3750" s="77"/>
      <c r="AC3750" s="82" t="s">
        <v>8255</v>
      </c>
      <c r="AD3750" s="77" t="s">
        <v>8278</v>
      </c>
      <c r="AE3750" s="80" t="str">
        <f>HYPERLINK("https://twitter.com/leiamoneytimes/status/1664603412770570242")</f>
        <v>https://twitter.com/leiamoneytimes/status/1664603412770570242</v>
      </c>
      <c r="AF3750" s="79">
        <v>45079.501793981479</v>
      </c>
      <c r="AG3750" s="85">
        <v>45079</v>
      </c>
      <c r="AH3750" s="82" t="s">
        <v>11715</v>
      </c>
      <c r="AI3750" s="77" t="b">
        <v>0</v>
      </c>
      <c r="AJ3750" s="77"/>
      <c r="AK3750" s="77"/>
      <c r="AL3750" s="77"/>
      <c r="AM3750" s="77"/>
      <c r="AN3750" s="77"/>
      <c r="AO3750" s="77"/>
      <c r="AP3750" s="77"/>
      <c r="AQ3750" s="77"/>
      <c r="AR3750" s="77"/>
      <c r="AS3750" s="77"/>
      <c r="AT3750" s="77"/>
      <c r="AU3750" s="77"/>
      <c r="AV3750" s="80" t="str">
        <f>HYPERLINK("https://pbs.twimg.com/profile_images/1559883556846977024/bXHnQFY0_normal.jpg")</f>
        <v>https://pbs.twimg.com/profile_images/1559883556846977024/bXHnQFY0_normal.jpg</v>
      </c>
      <c r="AW3750" s="82" t="s">
        <v>16834</v>
      </c>
      <c r="AX3750" s="82" t="s">
        <v>16834</v>
      </c>
      <c r="AY3750" s="77"/>
      <c r="AZ3750" s="82" t="s">
        <v>17385</v>
      </c>
      <c r="BA3750" s="82" t="s">
        <v>17385</v>
      </c>
      <c r="BB3750" s="82" t="s">
        <v>17385</v>
      </c>
      <c r="BC3750" s="82" t="s">
        <v>16834</v>
      </c>
      <c r="BD3750" s="77">
        <v>51150679</v>
      </c>
      <c r="BE3750" s="77"/>
      <c r="BF3750" s="77"/>
      <c r="BG3750" s="77"/>
      <c r="BH3750" s="77"/>
      <c r="BI3750" s="77"/>
    </row>
    <row r="3751" spans="1:61" x14ac:dyDescent="0.25">
      <c r="A3751" s="62" t="s">
        <v>605</v>
      </c>
      <c r="B3751" s="62" t="s">
        <v>605</v>
      </c>
      <c r="C3751" s="63"/>
      <c r="D3751" s="64"/>
      <c r="E3751" s="65"/>
      <c r="F3751" s="66"/>
      <c r="G3751" s="63"/>
      <c r="H3751" s="67"/>
      <c r="I3751" s="68"/>
      <c r="J3751" s="68"/>
      <c r="K3751" s="32"/>
      <c r="L3751" s="75">
        <v>3751</v>
      </c>
      <c r="M3751" s="75"/>
      <c r="N3751" s="70"/>
      <c r="O3751" s="77" t="s">
        <v>179</v>
      </c>
      <c r="P3751" s="79">
        <v>45079.465162037035</v>
      </c>
      <c r="Q3751" s="77" t="s">
        <v>4525</v>
      </c>
      <c r="R3751" s="77">
        <v>0</v>
      </c>
      <c r="S3751" s="77">
        <v>2</v>
      </c>
      <c r="T3751" s="77">
        <v>0</v>
      </c>
      <c r="U3751" s="77">
        <v>0</v>
      </c>
      <c r="V3751" s="77">
        <v>1203</v>
      </c>
      <c r="W3751" s="82" t="s">
        <v>6834</v>
      </c>
      <c r="X3751" s="80" t="str">
        <f>HYPERLINK("https://www.moneytimes.com.br/valores-da-shein-venda-de-acoes-da-prio-prio3-e-outros-destaques-desta-sexta-2/")</f>
        <v>https://www.moneytimes.com.br/valores-da-shein-venda-de-acoes-da-prio-prio3-e-outros-destaques-desta-sexta-2/</v>
      </c>
      <c r="Y3751" s="77" t="s">
        <v>7053</v>
      </c>
      <c r="Z3751" s="77"/>
      <c r="AA3751" s="77"/>
      <c r="AB3751" s="77"/>
      <c r="AC3751" s="82" t="s">
        <v>8255</v>
      </c>
      <c r="AD3751" s="77" t="s">
        <v>8278</v>
      </c>
      <c r="AE3751" s="80" t="str">
        <f>HYPERLINK("https://twitter.com/leiamoneytimes/status/1664590137768964099")</f>
        <v>https://twitter.com/leiamoneytimes/status/1664590137768964099</v>
      </c>
      <c r="AF3751" s="79">
        <v>45079.465162037035</v>
      </c>
      <c r="AG3751" s="85">
        <v>45079</v>
      </c>
      <c r="AH3751" s="82" t="s">
        <v>11716</v>
      </c>
      <c r="AI3751" s="77" t="b">
        <v>0</v>
      </c>
      <c r="AJ3751" s="77"/>
      <c r="AK3751" s="77"/>
      <c r="AL3751" s="77"/>
      <c r="AM3751" s="77"/>
      <c r="AN3751" s="77"/>
      <c r="AO3751" s="77"/>
      <c r="AP3751" s="77"/>
      <c r="AQ3751" s="77"/>
      <c r="AR3751" s="77"/>
      <c r="AS3751" s="77"/>
      <c r="AT3751" s="77"/>
      <c r="AU3751" s="77"/>
      <c r="AV3751" s="80" t="str">
        <f>HYPERLINK("https://pbs.twimg.com/profile_images/1559883556846977024/bXHnQFY0_normal.jpg")</f>
        <v>https://pbs.twimg.com/profile_images/1559883556846977024/bXHnQFY0_normal.jpg</v>
      </c>
      <c r="AW3751" s="82" t="s">
        <v>16835</v>
      </c>
      <c r="AX3751" s="82" t="s">
        <v>16835</v>
      </c>
      <c r="AY3751" s="77"/>
      <c r="AZ3751" s="82" t="s">
        <v>17385</v>
      </c>
      <c r="BA3751" s="82" t="s">
        <v>17385</v>
      </c>
      <c r="BB3751" s="82" t="s">
        <v>17385</v>
      </c>
      <c r="BC3751" s="82" t="s">
        <v>16835</v>
      </c>
      <c r="BD3751" s="77">
        <v>51150679</v>
      </c>
      <c r="BE3751" s="77"/>
      <c r="BF3751" s="77"/>
      <c r="BG3751" s="77"/>
      <c r="BH3751" s="77"/>
      <c r="BI3751" s="77"/>
    </row>
    <row r="3752" spans="1:61" x14ac:dyDescent="0.25">
      <c r="A3752" s="62" t="s">
        <v>605</v>
      </c>
      <c r="B3752" s="62" t="s">
        <v>605</v>
      </c>
      <c r="C3752" s="63"/>
      <c r="D3752" s="64"/>
      <c r="E3752" s="65"/>
      <c r="F3752" s="66"/>
      <c r="G3752" s="63"/>
      <c r="H3752" s="67"/>
      <c r="I3752" s="68"/>
      <c r="J3752" s="68"/>
      <c r="K3752" s="32"/>
      <c r="L3752" s="75">
        <v>3752</v>
      </c>
      <c r="M3752" s="75"/>
      <c r="N3752" s="70"/>
      <c r="O3752" s="77" t="s">
        <v>179</v>
      </c>
      <c r="P3752" s="79">
        <v>45079.459374999999</v>
      </c>
      <c r="Q3752" s="77" t="s">
        <v>4526</v>
      </c>
      <c r="R3752" s="77">
        <v>0</v>
      </c>
      <c r="S3752" s="77">
        <v>9</v>
      </c>
      <c r="T3752" s="77">
        <v>0</v>
      </c>
      <c r="U3752" s="77">
        <v>0</v>
      </c>
      <c r="V3752" s="77">
        <v>1487</v>
      </c>
      <c r="W3752" s="82" t="s">
        <v>6564</v>
      </c>
      <c r="X3752" s="80" t="str">
        <f>HYPERLINK("https://www.moneytimes.com.br/bolsas-asiaticas-mercado-de-hong-kong-registra-maior-ganho-diario-em-3-meses-acoes-da-china-tambem-sobem/")</f>
        <v>https://www.moneytimes.com.br/bolsas-asiaticas-mercado-de-hong-kong-registra-maior-ganho-diario-em-3-meses-acoes-da-china-tambem-sobem/</v>
      </c>
      <c r="Y3752" s="77" t="s">
        <v>7053</v>
      </c>
      <c r="Z3752" s="77"/>
      <c r="AA3752" s="77"/>
      <c r="AB3752" s="77"/>
      <c r="AC3752" s="82" t="s">
        <v>8255</v>
      </c>
      <c r="AD3752" s="77" t="s">
        <v>8278</v>
      </c>
      <c r="AE3752" s="80" t="str">
        <f>HYPERLINK("https://twitter.com/leiamoneytimes/status/1664588043649441794")</f>
        <v>https://twitter.com/leiamoneytimes/status/1664588043649441794</v>
      </c>
      <c r="AF3752" s="79">
        <v>45079.459374999999</v>
      </c>
      <c r="AG3752" s="85">
        <v>45079</v>
      </c>
      <c r="AH3752" s="82" t="s">
        <v>11717</v>
      </c>
      <c r="AI3752" s="77" t="b">
        <v>0</v>
      </c>
      <c r="AJ3752" s="77"/>
      <c r="AK3752" s="77"/>
      <c r="AL3752" s="77"/>
      <c r="AM3752" s="77"/>
      <c r="AN3752" s="77"/>
      <c r="AO3752" s="77"/>
      <c r="AP3752" s="77"/>
      <c r="AQ3752" s="77"/>
      <c r="AR3752" s="77"/>
      <c r="AS3752" s="77"/>
      <c r="AT3752" s="77"/>
      <c r="AU3752" s="77"/>
      <c r="AV3752" s="80" t="str">
        <f>HYPERLINK("https://pbs.twimg.com/profile_images/1559883556846977024/bXHnQFY0_normal.jpg")</f>
        <v>https://pbs.twimg.com/profile_images/1559883556846977024/bXHnQFY0_normal.jpg</v>
      </c>
      <c r="AW3752" s="82" t="s">
        <v>16836</v>
      </c>
      <c r="AX3752" s="82" t="s">
        <v>16836</v>
      </c>
      <c r="AY3752" s="77"/>
      <c r="AZ3752" s="82" t="s">
        <v>17385</v>
      </c>
      <c r="BA3752" s="82" t="s">
        <v>17385</v>
      </c>
      <c r="BB3752" s="82" t="s">
        <v>17385</v>
      </c>
      <c r="BC3752" s="82" t="s">
        <v>16836</v>
      </c>
      <c r="BD3752" s="77">
        <v>51150679</v>
      </c>
      <c r="BE3752" s="77"/>
      <c r="BF3752" s="77"/>
      <c r="BG3752" s="77"/>
      <c r="BH3752" s="77"/>
      <c r="BI3752" s="77"/>
    </row>
    <row r="3753" spans="1:61" x14ac:dyDescent="0.25">
      <c r="A3753" s="62" t="s">
        <v>605</v>
      </c>
      <c r="B3753" s="62" t="s">
        <v>605</v>
      </c>
      <c r="C3753" s="63"/>
      <c r="D3753" s="64"/>
      <c r="E3753" s="65"/>
      <c r="F3753" s="66"/>
      <c r="G3753" s="63"/>
      <c r="H3753" s="67"/>
      <c r="I3753" s="68"/>
      <c r="J3753" s="68"/>
      <c r="K3753" s="32"/>
      <c r="L3753" s="75">
        <v>3753</v>
      </c>
      <c r="M3753" s="75"/>
      <c r="N3753" s="70"/>
      <c r="O3753" s="77" t="s">
        <v>179</v>
      </c>
      <c r="P3753" s="79">
        <v>45078.854432870372</v>
      </c>
      <c r="Q3753" s="77" t="s">
        <v>4527</v>
      </c>
      <c r="R3753" s="77">
        <v>1</v>
      </c>
      <c r="S3753" s="77">
        <v>3</v>
      </c>
      <c r="T3753" s="77">
        <v>0</v>
      </c>
      <c r="U3753" s="77">
        <v>0</v>
      </c>
      <c r="V3753" s="77">
        <v>1279</v>
      </c>
      <c r="W3753" s="82" t="s">
        <v>6835</v>
      </c>
      <c r="X3753" s="80" t="str">
        <f>HYPERLINK("https://www.moneytimes.com.br/wall-street-sobe-mirando-pausa-nas-altas-de-juros-do-federal-reserve/")</f>
        <v>https://www.moneytimes.com.br/wall-street-sobe-mirando-pausa-nas-altas-de-juros-do-federal-reserve/</v>
      </c>
      <c r="Y3753" s="77" t="s">
        <v>7053</v>
      </c>
      <c r="Z3753" s="77"/>
      <c r="AA3753" s="77"/>
      <c r="AB3753" s="77"/>
      <c r="AC3753" s="82" t="s">
        <v>8255</v>
      </c>
      <c r="AD3753" s="77" t="s">
        <v>8278</v>
      </c>
      <c r="AE3753" s="80" t="str">
        <f>HYPERLINK("https://twitter.com/leiamoneytimes/status/1664368816967634946")</f>
        <v>https://twitter.com/leiamoneytimes/status/1664368816967634946</v>
      </c>
      <c r="AF3753" s="79">
        <v>45078.854432870372</v>
      </c>
      <c r="AG3753" s="85">
        <v>45078</v>
      </c>
      <c r="AH3753" s="82" t="s">
        <v>11718</v>
      </c>
      <c r="AI3753" s="77" t="b">
        <v>0</v>
      </c>
      <c r="AJ3753" s="77"/>
      <c r="AK3753" s="77"/>
      <c r="AL3753" s="77"/>
      <c r="AM3753" s="77"/>
      <c r="AN3753" s="77"/>
      <c r="AO3753" s="77"/>
      <c r="AP3753" s="77"/>
      <c r="AQ3753" s="77"/>
      <c r="AR3753" s="77"/>
      <c r="AS3753" s="77"/>
      <c r="AT3753" s="77"/>
      <c r="AU3753" s="77"/>
      <c r="AV3753" s="80" t="str">
        <f>HYPERLINK("https://pbs.twimg.com/profile_images/1559883556846977024/bXHnQFY0_normal.jpg")</f>
        <v>https://pbs.twimg.com/profile_images/1559883556846977024/bXHnQFY0_normal.jpg</v>
      </c>
      <c r="AW3753" s="82" t="s">
        <v>16837</v>
      </c>
      <c r="AX3753" s="82" t="s">
        <v>16837</v>
      </c>
      <c r="AY3753" s="77"/>
      <c r="AZ3753" s="82" t="s">
        <v>17385</v>
      </c>
      <c r="BA3753" s="82" t="s">
        <v>17385</v>
      </c>
      <c r="BB3753" s="82" t="s">
        <v>17385</v>
      </c>
      <c r="BC3753" s="82" t="s">
        <v>16837</v>
      </c>
      <c r="BD3753" s="77">
        <v>51150679</v>
      </c>
      <c r="BE3753" s="77"/>
      <c r="BF3753" s="77"/>
      <c r="BG3753" s="77"/>
      <c r="BH3753" s="77"/>
      <c r="BI3753" s="77"/>
    </row>
    <row r="3754" spans="1:61" x14ac:dyDescent="0.25">
      <c r="A3754" s="62" t="s">
        <v>605</v>
      </c>
      <c r="B3754" s="62" t="s">
        <v>605</v>
      </c>
      <c r="C3754" s="63"/>
      <c r="D3754" s="64"/>
      <c r="E3754" s="65"/>
      <c r="F3754" s="66"/>
      <c r="G3754" s="63"/>
      <c r="H3754" s="67"/>
      <c r="I3754" s="68"/>
      <c r="J3754" s="68"/>
      <c r="K3754" s="32"/>
      <c r="L3754" s="75">
        <v>3754</v>
      </c>
      <c r="M3754" s="75"/>
      <c r="N3754" s="70"/>
      <c r="O3754" s="77" t="s">
        <v>179</v>
      </c>
      <c r="P3754" s="79">
        <v>45078.848749999997</v>
      </c>
      <c r="Q3754" s="77" t="s">
        <v>4528</v>
      </c>
      <c r="R3754" s="77">
        <v>1</v>
      </c>
      <c r="S3754" s="77">
        <v>2</v>
      </c>
      <c r="T3754" s="77">
        <v>0</v>
      </c>
      <c r="U3754" s="77">
        <v>0</v>
      </c>
      <c r="V3754" s="77">
        <v>1159</v>
      </c>
      <c r="W3754" s="82" t="s">
        <v>6551</v>
      </c>
      <c r="X3754" s="80" t="str">
        <f>HYPERLINK("https://www.moneytimes.com.br/ibovespa-hoje-fecha-alta-pib-vale-vale3-petrobras-petr4-01-06-2023/")</f>
        <v>https://www.moneytimes.com.br/ibovespa-hoje-fecha-alta-pib-vale-vale3-petrobras-petr4-01-06-2023/</v>
      </c>
      <c r="Y3754" s="77" t="s">
        <v>7053</v>
      </c>
      <c r="Z3754" s="77"/>
      <c r="AA3754" s="77"/>
      <c r="AB3754" s="77"/>
      <c r="AC3754" s="82" t="s">
        <v>8255</v>
      </c>
      <c r="AD3754" s="77" t="s">
        <v>8278</v>
      </c>
      <c r="AE3754" s="80" t="str">
        <f>HYPERLINK("https://twitter.com/leiamoneytimes/status/1664366760613625857")</f>
        <v>https://twitter.com/leiamoneytimes/status/1664366760613625857</v>
      </c>
      <c r="AF3754" s="79">
        <v>45078.848749999997</v>
      </c>
      <c r="AG3754" s="85">
        <v>45078</v>
      </c>
      <c r="AH3754" s="82" t="s">
        <v>8946</v>
      </c>
      <c r="AI3754" s="77" t="b">
        <v>0</v>
      </c>
      <c r="AJ3754" s="77"/>
      <c r="AK3754" s="77"/>
      <c r="AL3754" s="77"/>
      <c r="AM3754" s="77"/>
      <c r="AN3754" s="77"/>
      <c r="AO3754" s="77"/>
      <c r="AP3754" s="77"/>
      <c r="AQ3754" s="77"/>
      <c r="AR3754" s="77"/>
      <c r="AS3754" s="77"/>
      <c r="AT3754" s="77"/>
      <c r="AU3754" s="77"/>
      <c r="AV3754" s="80" t="str">
        <f>HYPERLINK("https://pbs.twimg.com/profile_images/1559883556846977024/bXHnQFY0_normal.jpg")</f>
        <v>https://pbs.twimg.com/profile_images/1559883556846977024/bXHnQFY0_normal.jpg</v>
      </c>
      <c r="AW3754" s="82" t="s">
        <v>16838</v>
      </c>
      <c r="AX3754" s="82" t="s">
        <v>16838</v>
      </c>
      <c r="AY3754" s="77"/>
      <c r="AZ3754" s="82" t="s">
        <v>17385</v>
      </c>
      <c r="BA3754" s="82" t="s">
        <v>17385</v>
      </c>
      <c r="BB3754" s="82" t="s">
        <v>17385</v>
      </c>
      <c r="BC3754" s="82" t="s">
        <v>16838</v>
      </c>
      <c r="BD3754" s="77">
        <v>51150679</v>
      </c>
      <c r="BE3754" s="77"/>
      <c r="BF3754" s="77"/>
      <c r="BG3754" s="77"/>
      <c r="BH3754" s="77"/>
      <c r="BI3754" s="77"/>
    </row>
    <row r="3755" spans="1:61" x14ac:dyDescent="0.25">
      <c r="A3755" s="62" t="s">
        <v>605</v>
      </c>
      <c r="B3755" s="62" t="s">
        <v>605</v>
      </c>
      <c r="C3755" s="63"/>
      <c r="D3755" s="64"/>
      <c r="E3755" s="65"/>
      <c r="F3755" s="66"/>
      <c r="G3755" s="63"/>
      <c r="H3755" s="67"/>
      <c r="I3755" s="68"/>
      <c r="J3755" s="68"/>
      <c r="K3755" s="32"/>
      <c r="L3755" s="75">
        <v>3755</v>
      </c>
      <c r="M3755" s="75"/>
      <c r="N3755" s="70"/>
      <c r="O3755" s="77" t="s">
        <v>179</v>
      </c>
      <c r="P3755" s="79">
        <v>45061.638078703705</v>
      </c>
      <c r="Q3755" s="77" t="s">
        <v>4529</v>
      </c>
      <c r="R3755" s="77">
        <v>0</v>
      </c>
      <c r="S3755" s="77">
        <v>1</v>
      </c>
      <c r="T3755" s="77">
        <v>0</v>
      </c>
      <c r="U3755" s="77">
        <v>0</v>
      </c>
      <c r="V3755" s="77">
        <v>1406</v>
      </c>
      <c r="W3755" s="82" t="s">
        <v>6836</v>
      </c>
      <c r="X3755" s="80" t="str">
        <f>HYPERLINK("https://www.moneytimes.com.br/por-que-a-petrobras-petr4-recua-nesta-segunda-15-apesar-da-alta-do-petroleo/")</f>
        <v>https://www.moneytimes.com.br/por-que-a-petrobras-petr4-recua-nesta-segunda-15-apesar-da-alta-do-petroleo/</v>
      </c>
      <c r="Y3755" s="77" t="s">
        <v>7053</v>
      </c>
      <c r="Z3755" s="77"/>
      <c r="AA3755" s="77"/>
      <c r="AB3755" s="77"/>
      <c r="AC3755" s="82" t="s">
        <v>8255</v>
      </c>
      <c r="AD3755" s="77" t="s">
        <v>8278</v>
      </c>
      <c r="AE3755" s="80" t="str">
        <f>HYPERLINK("https://twitter.com/leiamoneytimes/status/1658129820314730498")</f>
        <v>https://twitter.com/leiamoneytimes/status/1658129820314730498</v>
      </c>
      <c r="AF3755" s="79">
        <v>45061.638078703705</v>
      </c>
      <c r="AG3755" s="85">
        <v>45061</v>
      </c>
      <c r="AH3755" s="82" t="s">
        <v>11719</v>
      </c>
      <c r="AI3755" s="77" t="b">
        <v>0</v>
      </c>
      <c r="AJ3755" s="77"/>
      <c r="AK3755" s="77"/>
      <c r="AL3755" s="77"/>
      <c r="AM3755" s="77"/>
      <c r="AN3755" s="77"/>
      <c r="AO3755" s="77"/>
      <c r="AP3755" s="77"/>
      <c r="AQ3755" s="77"/>
      <c r="AR3755" s="77"/>
      <c r="AS3755" s="77"/>
      <c r="AT3755" s="77"/>
      <c r="AU3755" s="77"/>
      <c r="AV3755" s="80" t="str">
        <f>HYPERLINK("https://pbs.twimg.com/profile_images/1559883556846977024/bXHnQFY0_normal.jpg")</f>
        <v>https://pbs.twimg.com/profile_images/1559883556846977024/bXHnQFY0_normal.jpg</v>
      </c>
      <c r="AW3755" s="82" t="s">
        <v>16839</v>
      </c>
      <c r="AX3755" s="82" t="s">
        <v>16839</v>
      </c>
      <c r="AY3755" s="77"/>
      <c r="AZ3755" s="82" t="s">
        <v>17385</v>
      </c>
      <c r="BA3755" s="82" t="s">
        <v>17385</v>
      </c>
      <c r="BB3755" s="82" t="s">
        <v>17385</v>
      </c>
      <c r="BC3755" s="82" t="s">
        <v>16839</v>
      </c>
      <c r="BD3755" s="77">
        <v>51150679</v>
      </c>
      <c r="BE3755" s="77"/>
      <c r="BF3755" s="77"/>
      <c r="BG3755" s="77"/>
      <c r="BH3755" s="77"/>
      <c r="BI3755" s="77"/>
    </row>
    <row r="3756" spans="1:61" x14ac:dyDescent="0.25">
      <c r="A3756" s="62" t="s">
        <v>605</v>
      </c>
      <c r="B3756" s="62" t="s">
        <v>605</v>
      </c>
      <c r="C3756" s="63"/>
      <c r="D3756" s="64"/>
      <c r="E3756" s="65"/>
      <c r="F3756" s="66"/>
      <c r="G3756" s="63"/>
      <c r="H3756" s="67"/>
      <c r="I3756" s="68"/>
      <c r="J3756" s="68"/>
      <c r="K3756" s="32"/>
      <c r="L3756" s="75">
        <v>3756</v>
      </c>
      <c r="M3756" s="75"/>
      <c r="N3756" s="70"/>
      <c r="O3756" s="77" t="s">
        <v>179</v>
      </c>
      <c r="P3756" s="79">
        <v>45061.554027777776</v>
      </c>
      <c r="Q3756" s="77" t="s">
        <v>4530</v>
      </c>
      <c r="R3756" s="77">
        <v>0</v>
      </c>
      <c r="S3756" s="77">
        <v>3</v>
      </c>
      <c r="T3756" s="77">
        <v>0</v>
      </c>
      <c r="U3756" s="77">
        <v>0</v>
      </c>
      <c r="V3756" s="77">
        <v>1326</v>
      </c>
      <c r="W3756" s="82" t="s">
        <v>6837</v>
      </c>
      <c r="X3756" s="80" t="str">
        <f>HYPERLINK("https://www.moneytimes.com.br/ibovespa-ibov-busca-mais-uma-semana-positiva-e-abre-em-alta-em-linha-com-ny/")</f>
        <v>https://www.moneytimes.com.br/ibovespa-ibov-busca-mais-uma-semana-positiva-e-abre-em-alta-em-linha-com-ny/</v>
      </c>
      <c r="Y3756" s="77" t="s">
        <v>7053</v>
      </c>
      <c r="Z3756" s="77"/>
      <c r="AA3756" s="77"/>
      <c r="AB3756" s="77"/>
      <c r="AC3756" s="82" t="s">
        <v>8255</v>
      </c>
      <c r="AD3756" s="77" t="s">
        <v>8278</v>
      </c>
      <c r="AE3756" s="80" t="str">
        <f>HYPERLINK("https://twitter.com/leiamoneytimes/status/1658099363657273345")</f>
        <v>https://twitter.com/leiamoneytimes/status/1658099363657273345</v>
      </c>
      <c r="AF3756" s="79">
        <v>45061.554027777776</v>
      </c>
      <c r="AG3756" s="85">
        <v>45061</v>
      </c>
      <c r="AH3756" s="82" t="s">
        <v>11720</v>
      </c>
      <c r="AI3756" s="77" t="b">
        <v>0</v>
      </c>
      <c r="AJ3756" s="77"/>
      <c r="AK3756" s="77"/>
      <c r="AL3756" s="77"/>
      <c r="AM3756" s="77"/>
      <c r="AN3756" s="77"/>
      <c r="AO3756" s="77"/>
      <c r="AP3756" s="77"/>
      <c r="AQ3756" s="77"/>
      <c r="AR3756" s="77"/>
      <c r="AS3756" s="77"/>
      <c r="AT3756" s="77"/>
      <c r="AU3756" s="77"/>
      <c r="AV3756" s="80" t="str">
        <f>HYPERLINK("https://pbs.twimg.com/profile_images/1559883556846977024/bXHnQFY0_normal.jpg")</f>
        <v>https://pbs.twimg.com/profile_images/1559883556846977024/bXHnQFY0_normal.jpg</v>
      </c>
      <c r="AW3756" s="82" t="s">
        <v>16840</v>
      </c>
      <c r="AX3756" s="82" t="s">
        <v>16840</v>
      </c>
      <c r="AY3756" s="77"/>
      <c r="AZ3756" s="82" t="s">
        <v>17385</v>
      </c>
      <c r="BA3756" s="82" t="s">
        <v>17385</v>
      </c>
      <c r="BB3756" s="82" t="s">
        <v>17385</v>
      </c>
      <c r="BC3756" s="82" t="s">
        <v>16840</v>
      </c>
      <c r="BD3756" s="77">
        <v>51150679</v>
      </c>
      <c r="BE3756" s="77"/>
      <c r="BF3756" s="77"/>
      <c r="BG3756" s="77"/>
      <c r="BH3756" s="77"/>
      <c r="BI3756" s="77"/>
    </row>
    <row r="3757" spans="1:61" x14ac:dyDescent="0.25">
      <c r="A3757" s="62" t="s">
        <v>605</v>
      </c>
      <c r="B3757" s="62" t="s">
        <v>605</v>
      </c>
      <c r="C3757" s="63"/>
      <c r="D3757" s="64"/>
      <c r="E3757" s="65"/>
      <c r="F3757" s="66"/>
      <c r="G3757" s="63"/>
      <c r="H3757" s="67"/>
      <c r="I3757" s="68"/>
      <c r="J3757" s="68"/>
      <c r="K3757" s="32"/>
      <c r="L3757" s="75">
        <v>3757</v>
      </c>
      <c r="M3757" s="75"/>
      <c r="N3757" s="70"/>
      <c r="O3757" s="77" t="s">
        <v>179</v>
      </c>
      <c r="P3757" s="79">
        <v>45061.505567129629</v>
      </c>
      <c r="Q3757" s="77" t="s">
        <v>4531</v>
      </c>
      <c r="R3757" s="77">
        <v>1</v>
      </c>
      <c r="S3757" s="77">
        <v>13</v>
      </c>
      <c r="T3757" s="77">
        <v>0</v>
      </c>
      <c r="U3757" s="77">
        <v>1</v>
      </c>
      <c r="V3757" s="77">
        <v>8220</v>
      </c>
      <c r="W3757" s="82" t="s">
        <v>6838</v>
      </c>
      <c r="X3757" s="80" t="str">
        <f>HYPERLINK("https://www.moneytimes.com.br/azul-azul4-tem-prejuizo-de-r-7276-milhoes-no-1t23/")</f>
        <v>https://www.moneytimes.com.br/azul-azul4-tem-prejuizo-de-r-7276-milhoes-no-1t23/</v>
      </c>
      <c r="Y3757" s="77" t="s">
        <v>7053</v>
      </c>
      <c r="Z3757" s="77"/>
      <c r="AA3757" s="77"/>
      <c r="AB3757" s="77"/>
      <c r="AC3757" s="82" t="s">
        <v>8255</v>
      </c>
      <c r="AD3757" s="77" t="s">
        <v>8278</v>
      </c>
      <c r="AE3757" s="80" t="str">
        <f>HYPERLINK("https://twitter.com/leiamoneytimes/status/1658081800378302465")</f>
        <v>https://twitter.com/leiamoneytimes/status/1658081800378302465</v>
      </c>
      <c r="AF3757" s="79">
        <v>45061.505567129629</v>
      </c>
      <c r="AG3757" s="85">
        <v>45061</v>
      </c>
      <c r="AH3757" s="82" t="s">
        <v>11721</v>
      </c>
      <c r="AI3757" s="77" t="b">
        <v>0</v>
      </c>
      <c r="AJ3757" s="77"/>
      <c r="AK3757" s="77"/>
      <c r="AL3757" s="77"/>
      <c r="AM3757" s="77"/>
      <c r="AN3757" s="77"/>
      <c r="AO3757" s="77"/>
      <c r="AP3757" s="77"/>
      <c r="AQ3757" s="77"/>
      <c r="AR3757" s="77"/>
      <c r="AS3757" s="77"/>
      <c r="AT3757" s="77"/>
      <c r="AU3757" s="77"/>
      <c r="AV3757" s="80" t="str">
        <f>HYPERLINK("https://pbs.twimg.com/profile_images/1559883556846977024/bXHnQFY0_normal.jpg")</f>
        <v>https://pbs.twimg.com/profile_images/1559883556846977024/bXHnQFY0_normal.jpg</v>
      </c>
      <c r="AW3757" s="82" t="s">
        <v>16841</v>
      </c>
      <c r="AX3757" s="82" t="s">
        <v>16841</v>
      </c>
      <c r="AY3757" s="77"/>
      <c r="AZ3757" s="82" t="s">
        <v>17385</v>
      </c>
      <c r="BA3757" s="82" t="s">
        <v>17385</v>
      </c>
      <c r="BB3757" s="82" t="s">
        <v>17385</v>
      </c>
      <c r="BC3757" s="82" t="s">
        <v>16841</v>
      </c>
      <c r="BD3757" s="77">
        <v>51150679</v>
      </c>
      <c r="BE3757" s="77"/>
      <c r="BF3757" s="77"/>
      <c r="BG3757" s="77"/>
      <c r="BH3757" s="77"/>
      <c r="BI3757" s="77"/>
    </row>
    <row r="3758" spans="1:61" x14ac:dyDescent="0.25">
      <c r="A3758" s="62" t="s">
        <v>605</v>
      </c>
      <c r="B3758" s="62" t="s">
        <v>605</v>
      </c>
      <c r="C3758" s="63"/>
      <c r="D3758" s="64"/>
      <c r="E3758" s="65"/>
      <c r="F3758" s="66"/>
      <c r="G3758" s="63"/>
      <c r="H3758" s="67"/>
      <c r="I3758" s="68"/>
      <c r="J3758" s="68"/>
      <c r="K3758" s="32"/>
      <c r="L3758" s="75">
        <v>3758</v>
      </c>
      <c r="M3758" s="75"/>
      <c r="N3758" s="70"/>
      <c r="O3758" s="77" t="s">
        <v>179</v>
      </c>
      <c r="P3758" s="79">
        <v>45061.457129629627</v>
      </c>
      <c r="Q3758" s="77" t="s">
        <v>4532</v>
      </c>
      <c r="R3758" s="77">
        <v>0</v>
      </c>
      <c r="S3758" s="77">
        <v>2</v>
      </c>
      <c r="T3758" s="77">
        <v>0</v>
      </c>
      <c r="U3758" s="77">
        <v>0</v>
      </c>
      <c r="V3758" s="77">
        <v>2078</v>
      </c>
      <c r="W3758" s="82" t="s">
        <v>6597</v>
      </c>
      <c r="X3758" s="80" t="str">
        <f>HYPERLINK("https://www.moneytimes.com.br/ibovespa-engata-a-8a-alta-consecutiva-hoje-este-etf-nos-eua-pode-dar-um-spoiler/")</f>
        <v>https://www.moneytimes.com.br/ibovespa-engata-a-8a-alta-consecutiva-hoje-este-etf-nos-eua-pode-dar-um-spoiler/</v>
      </c>
      <c r="Y3758" s="77" t="s">
        <v>7053</v>
      </c>
      <c r="Z3758" s="77"/>
      <c r="AA3758" s="77"/>
      <c r="AB3758" s="77"/>
      <c r="AC3758" s="82" t="s">
        <v>8255</v>
      </c>
      <c r="AD3758" s="77" t="s">
        <v>8278</v>
      </c>
      <c r="AE3758" s="80" t="str">
        <f>HYPERLINK("https://twitter.com/leiamoneytimes/status/1658064245651648516")</f>
        <v>https://twitter.com/leiamoneytimes/status/1658064245651648516</v>
      </c>
      <c r="AF3758" s="79">
        <v>45061.457129629627</v>
      </c>
      <c r="AG3758" s="85">
        <v>45061</v>
      </c>
      <c r="AH3758" s="82" t="s">
        <v>11722</v>
      </c>
      <c r="AI3758" s="77" t="b">
        <v>0</v>
      </c>
      <c r="AJ3758" s="77"/>
      <c r="AK3758" s="77"/>
      <c r="AL3758" s="77"/>
      <c r="AM3758" s="77"/>
      <c r="AN3758" s="77"/>
      <c r="AO3758" s="77"/>
      <c r="AP3758" s="77"/>
      <c r="AQ3758" s="77"/>
      <c r="AR3758" s="77"/>
      <c r="AS3758" s="77"/>
      <c r="AT3758" s="77"/>
      <c r="AU3758" s="77"/>
      <c r="AV3758" s="80" t="str">
        <f>HYPERLINK("https://pbs.twimg.com/profile_images/1559883556846977024/bXHnQFY0_normal.jpg")</f>
        <v>https://pbs.twimg.com/profile_images/1559883556846977024/bXHnQFY0_normal.jpg</v>
      </c>
      <c r="AW3758" s="82" t="s">
        <v>16842</v>
      </c>
      <c r="AX3758" s="82" t="s">
        <v>16842</v>
      </c>
      <c r="AY3758" s="77"/>
      <c r="AZ3758" s="82" t="s">
        <v>17385</v>
      </c>
      <c r="BA3758" s="82" t="s">
        <v>17385</v>
      </c>
      <c r="BB3758" s="82" t="s">
        <v>17385</v>
      </c>
      <c r="BC3758" s="82" t="s">
        <v>16842</v>
      </c>
      <c r="BD3758" s="77">
        <v>51150679</v>
      </c>
      <c r="BE3758" s="77"/>
      <c r="BF3758" s="77"/>
      <c r="BG3758" s="77"/>
      <c r="BH3758" s="77"/>
      <c r="BI3758" s="77"/>
    </row>
    <row r="3759" spans="1:61" x14ac:dyDescent="0.25">
      <c r="A3759" s="62" t="s">
        <v>605</v>
      </c>
      <c r="B3759" s="62" t="s">
        <v>605</v>
      </c>
      <c r="C3759" s="63"/>
      <c r="D3759" s="64"/>
      <c r="E3759" s="65"/>
      <c r="F3759" s="66"/>
      <c r="G3759" s="63"/>
      <c r="H3759" s="67"/>
      <c r="I3759" s="68"/>
      <c r="J3759" s="68"/>
      <c r="K3759" s="32"/>
      <c r="L3759" s="75">
        <v>3759</v>
      </c>
      <c r="M3759" s="75"/>
      <c r="N3759" s="70"/>
      <c r="O3759" s="77" t="s">
        <v>179</v>
      </c>
      <c r="P3759" s="79">
        <v>45061.448645833334</v>
      </c>
      <c r="Q3759" s="77" t="s">
        <v>4533</v>
      </c>
      <c r="R3759" s="77">
        <v>0</v>
      </c>
      <c r="S3759" s="77">
        <v>9</v>
      </c>
      <c r="T3759" s="77">
        <v>0</v>
      </c>
      <c r="U3759" s="77">
        <v>0</v>
      </c>
      <c r="V3759" s="77">
        <v>2174</v>
      </c>
      <c r="W3759" s="82" t="s">
        <v>6839</v>
      </c>
      <c r="X3759" s="80" t="str">
        <f>HYPERLINK("https://www.moneytimes.com.br/ibovespa-ibov-despede-se-da-temporada-de-resultados-hoje-e-espera-dados-de-atividade-na-semana/")</f>
        <v>https://www.moneytimes.com.br/ibovespa-ibov-despede-se-da-temporada-de-resultados-hoje-e-espera-dados-de-atividade-na-semana/</v>
      </c>
      <c r="Y3759" s="77" t="s">
        <v>7053</v>
      </c>
      <c r="Z3759" s="77"/>
      <c r="AA3759" s="77"/>
      <c r="AB3759" s="77"/>
      <c r="AC3759" s="82" t="s">
        <v>8255</v>
      </c>
      <c r="AD3759" s="77" t="s">
        <v>8278</v>
      </c>
      <c r="AE3759" s="80" t="str">
        <f>HYPERLINK("https://twitter.com/leiamoneytimes/status/1658061170962464769")</f>
        <v>https://twitter.com/leiamoneytimes/status/1658061170962464769</v>
      </c>
      <c r="AF3759" s="79">
        <v>45061.448645833334</v>
      </c>
      <c r="AG3759" s="85">
        <v>45061</v>
      </c>
      <c r="AH3759" s="82" t="s">
        <v>11723</v>
      </c>
      <c r="AI3759" s="77" t="b">
        <v>0</v>
      </c>
      <c r="AJ3759" s="77"/>
      <c r="AK3759" s="77"/>
      <c r="AL3759" s="77"/>
      <c r="AM3759" s="77"/>
      <c r="AN3759" s="77"/>
      <c r="AO3759" s="77"/>
      <c r="AP3759" s="77"/>
      <c r="AQ3759" s="77"/>
      <c r="AR3759" s="77"/>
      <c r="AS3759" s="77"/>
      <c r="AT3759" s="77"/>
      <c r="AU3759" s="77"/>
      <c r="AV3759" s="80" t="str">
        <f>HYPERLINK("https://pbs.twimg.com/profile_images/1559883556846977024/bXHnQFY0_normal.jpg")</f>
        <v>https://pbs.twimg.com/profile_images/1559883556846977024/bXHnQFY0_normal.jpg</v>
      </c>
      <c r="AW3759" s="82" t="s">
        <v>16843</v>
      </c>
      <c r="AX3759" s="82" t="s">
        <v>16843</v>
      </c>
      <c r="AY3759" s="77"/>
      <c r="AZ3759" s="82" t="s">
        <v>17385</v>
      </c>
      <c r="BA3759" s="82" t="s">
        <v>17385</v>
      </c>
      <c r="BB3759" s="82" t="s">
        <v>17385</v>
      </c>
      <c r="BC3759" s="82" t="s">
        <v>16843</v>
      </c>
      <c r="BD3759" s="77">
        <v>51150679</v>
      </c>
      <c r="BE3759" s="77"/>
      <c r="BF3759" s="77"/>
      <c r="BG3759" s="77"/>
      <c r="BH3759" s="77"/>
      <c r="BI3759" s="77"/>
    </row>
    <row r="3760" spans="1:61" x14ac:dyDescent="0.25">
      <c r="A3760" s="62" t="s">
        <v>605</v>
      </c>
      <c r="B3760" s="62" t="s">
        <v>605</v>
      </c>
      <c r="C3760" s="63"/>
      <c r="D3760" s="64"/>
      <c r="E3760" s="65"/>
      <c r="F3760" s="66"/>
      <c r="G3760" s="63"/>
      <c r="H3760" s="67"/>
      <c r="I3760" s="68"/>
      <c r="J3760" s="68"/>
      <c r="K3760" s="32"/>
      <c r="L3760" s="75">
        <v>3760</v>
      </c>
      <c r="M3760" s="75"/>
      <c r="N3760" s="70"/>
      <c r="O3760" s="77" t="s">
        <v>179</v>
      </c>
      <c r="P3760" s="79">
        <v>45061.448634259257</v>
      </c>
      <c r="Q3760" s="77" t="s">
        <v>4534</v>
      </c>
      <c r="R3760" s="77">
        <v>0</v>
      </c>
      <c r="S3760" s="77">
        <v>9</v>
      </c>
      <c r="T3760" s="77">
        <v>0</v>
      </c>
      <c r="U3760" s="77">
        <v>0</v>
      </c>
      <c r="V3760" s="77">
        <v>1977</v>
      </c>
      <c r="W3760" s="82" t="s">
        <v>6564</v>
      </c>
      <c r="X3760" s="80" t="str">
        <f>HYPERLINK("https://www.moneytimes.com.br/acoes-da-china-sobem-com-expectativa-de-afrouxamento-monetario-e-impulso-da-tencent/")</f>
        <v>https://www.moneytimes.com.br/acoes-da-china-sobem-com-expectativa-de-afrouxamento-monetario-e-impulso-da-tencent/</v>
      </c>
      <c r="Y3760" s="77" t="s">
        <v>7053</v>
      </c>
      <c r="Z3760" s="77"/>
      <c r="AA3760" s="77"/>
      <c r="AB3760" s="77"/>
      <c r="AC3760" s="82" t="s">
        <v>8255</v>
      </c>
      <c r="AD3760" s="77" t="s">
        <v>8278</v>
      </c>
      <c r="AE3760" s="80" t="str">
        <f>HYPERLINK("https://twitter.com/leiamoneytimes/status/1658061169393901569")</f>
        <v>https://twitter.com/leiamoneytimes/status/1658061169393901569</v>
      </c>
      <c r="AF3760" s="79">
        <v>45061.448634259257</v>
      </c>
      <c r="AG3760" s="85">
        <v>45061</v>
      </c>
      <c r="AH3760" s="82" t="s">
        <v>11724</v>
      </c>
      <c r="AI3760" s="77" t="b">
        <v>0</v>
      </c>
      <c r="AJ3760" s="77"/>
      <c r="AK3760" s="77"/>
      <c r="AL3760" s="77"/>
      <c r="AM3760" s="77"/>
      <c r="AN3760" s="77"/>
      <c r="AO3760" s="77"/>
      <c r="AP3760" s="77"/>
      <c r="AQ3760" s="77"/>
      <c r="AR3760" s="77"/>
      <c r="AS3760" s="77"/>
      <c r="AT3760" s="77"/>
      <c r="AU3760" s="77"/>
      <c r="AV3760" s="80" t="str">
        <f>HYPERLINK("https://pbs.twimg.com/profile_images/1559883556846977024/bXHnQFY0_normal.jpg")</f>
        <v>https://pbs.twimg.com/profile_images/1559883556846977024/bXHnQFY0_normal.jpg</v>
      </c>
      <c r="AW3760" s="82" t="s">
        <v>16844</v>
      </c>
      <c r="AX3760" s="82" t="s">
        <v>16844</v>
      </c>
      <c r="AY3760" s="77"/>
      <c r="AZ3760" s="82" t="s">
        <v>17385</v>
      </c>
      <c r="BA3760" s="82" t="s">
        <v>17385</v>
      </c>
      <c r="BB3760" s="82" t="s">
        <v>17385</v>
      </c>
      <c r="BC3760" s="82" t="s">
        <v>16844</v>
      </c>
      <c r="BD3760" s="77">
        <v>51150679</v>
      </c>
      <c r="BE3760" s="77"/>
      <c r="BF3760" s="77"/>
      <c r="BG3760" s="77"/>
      <c r="BH3760" s="77"/>
      <c r="BI3760" s="77"/>
    </row>
    <row r="3761" spans="1:61" x14ac:dyDescent="0.25">
      <c r="A3761" s="62" t="s">
        <v>605</v>
      </c>
      <c r="B3761" s="62" t="s">
        <v>605</v>
      </c>
      <c r="C3761" s="63"/>
      <c r="D3761" s="64"/>
      <c r="E3761" s="65"/>
      <c r="F3761" s="66"/>
      <c r="G3761" s="63"/>
      <c r="H3761" s="67"/>
      <c r="I3761" s="68"/>
      <c r="J3761" s="68"/>
      <c r="K3761" s="32"/>
      <c r="L3761" s="75">
        <v>3761</v>
      </c>
      <c r="M3761" s="75"/>
      <c r="N3761" s="70"/>
      <c r="O3761" s="77" t="s">
        <v>179</v>
      </c>
      <c r="P3761" s="79">
        <v>45060.835081018522</v>
      </c>
      <c r="Q3761" s="77" t="s">
        <v>4535</v>
      </c>
      <c r="R3761" s="77">
        <v>4</v>
      </c>
      <c r="S3761" s="77">
        <v>11</v>
      </c>
      <c r="T3761" s="77">
        <v>1</v>
      </c>
      <c r="U3761" s="77">
        <v>0</v>
      </c>
      <c r="V3761" s="77">
        <v>3501</v>
      </c>
      <c r="W3761" s="82" t="s">
        <v>6840</v>
      </c>
      <c r="X3761" s="80" t="str">
        <f>HYPERLINK("https://www.moneytimes.com.br/petrobras-petr4-e-mais-2-empresas-pagam-dividendos-esta-semana-jhsf-jhsf3-tem-data-com/")</f>
        <v>https://www.moneytimes.com.br/petrobras-petr4-e-mais-2-empresas-pagam-dividendos-esta-semana-jhsf-jhsf3-tem-data-com/</v>
      </c>
      <c r="Y3761" s="77" t="s">
        <v>7053</v>
      </c>
      <c r="Z3761" s="77"/>
      <c r="AA3761" s="77"/>
      <c r="AB3761" s="77"/>
      <c r="AC3761" s="82" t="s">
        <v>8255</v>
      </c>
      <c r="AD3761" s="77" t="s">
        <v>8278</v>
      </c>
      <c r="AE3761" s="80" t="str">
        <f>HYPERLINK("https://twitter.com/leiamoneytimes/status/1657838822325993472")</f>
        <v>https://twitter.com/leiamoneytimes/status/1657838822325993472</v>
      </c>
      <c r="AF3761" s="79">
        <v>45060.835081018522</v>
      </c>
      <c r="AG3761" s="85">
        <v>45060</v>
      </c>
      <c r="AH3761" s="82" t="s">
        <v>11725</v>
      </c>
      <c r="AI3761" s="77" t="b">
        <v>0</v>
      </c>
      <c r="AJ3761" s="77"/>
      <c r="AK3761" s="77"/>
      <c r="AL3761" s="77"/>
      <c r="AM3761" s="77"/>
      <c r="AN3761" s="77"/>
      <c r="AO3761" s="77"/>
      <c r="AP3761" s="77"/>
      <c r="AQ3761" s="77"/>
      <c r="AR3761" s="77"/>
      <c r="AS3761" s="77"/>
      <c r="AT3761" s="77"/>
      <c r="AU3761" s="77"/>
      <c r="AV3761" s="80" t="str">
        <f>HYPERLINK("https://pbs.twimg.com/profile_images/1559883556846977024/bXHnQFY0_normal.jpg")</f>
        <v>https://pbs.twimg.com/profile_images/1559883556846977024/bXHnQFY0_normal.jpg</v>
      </c>
      <c r="AW3761" s="82" t="s">
        <v>16845</v>
      </c>
      <c r="AX3761" s="82" t="s">
        <v>16845</v>
      </c>
      <c r="AY3761" s="77"/>
      <c r="AZ3761" s="82" t="s">
        <v>17385</v>
      </c>
      <c r="BA3761" s="82" t="s">
        <v>17385</v>
      </c>
      <c r="BB3761" s="82" t="s">
        <v>17385</v>
      </c>
      <c r="BC3761" s="82" t="s">
        <v>16845</v>
      </c>
      <c r="BD3761" s="77">
        <v>51150679</v>
      </c>
      <c r="BE3761" s="77"/>
      <c r="BF3761" s="77"/>
      <c r="BG3761" s="77"/>
      <c r="BH3761" s="77"/>
      <c r="BI3761" s="77"/>
    </row>
    <row r="3762" spans="1:61" x14ac:dyDescent="0.25">
      <c r="A3762" s="62" t="s">
        <v>605</v>
      </c>
      <c r="B3762" s="62" t="s">
        <v>605</v>
      </c>
      <c r="C3762" s="63"/>
      <c r="D3762" s="64"/>
      <c r="E3762" s="65"/>
      <c r="F3762" s="66"/>
      <c r="G3762" s="63"/>
      <c r="H3762" s="67"/>
      <c r="I3762" s="68"/>
      <c r="J3762" s="68"/>
      <c r="K3762" s="32"/>
      <c r="L3762" s="75">
        <v>3762</v>
      </c>
      <c r="M3762" s="75"/>
      <c r="N3762" s="70"/>
      <c r="O3762" s="77" t="s">
        <v>179</v>
      </c>
      <c r="P3762" s="79">
        <v>45060.794432870367</v>
      </c>
      <c r="Q3762" s="77" t="s">
        <v>4536</v>
      </c>
      <c r="R3762" s="77">
        <v>0</v>
      </c>
      <c r="S3762" s="77">
        <v>7</v>
      </c>
      <c r="T3762" s="77">
        <v>1</v>
      </c>
      <c r="U3762" s="77">
        <v>0</v>
      </c>
      <c r="V3762" s="77">
        <v>2879</v>
      </c>
      <c r="W3762" s="82" t="s">
        <v>6841</v>
      </c>
      <c r="X3762" s="80" t="str">
        <f>HYPERLINK("https://www.moneytimes.com.br/por-que-credores-devem-questionar-recuperacao-judicial-da-light-ligt3/")</f>
        <v>https://www.moneytimes.com.br/por-que-credores-devem-questionar-recuperacao-judicial-da-light-ligt3/</v>
      </c>
      <c r="Y3762" s="77" t="s">
        <v>7053</v>
      </c>
      <c r="Z3762" s="77"/>
      <c r="AA3762" s="77"/>
      <c r="AB3762" s="77"/>
      <c r="AC3762" s="82" t="s">
        <v>8255</v>
      </c>
      <c r="AD3762" s="77" t="s">
        <v>8278</v>
      </c>
      <c r="AE3762" s="80" t="str">
        <f>HYPERLINK("https://twitter.com/leiamoneytimes/status/1657824092383326208")</f>
        <v>https://twitter.com/leiamoneytimes/status/1657824092383326208</v>
      </c>
      <c r="AF3762" s="79">
        <v>45060.794432870367</v>
      </c>
      <c r="AG3762" s="85">
        <v>45060</v>
      </c>
      <c r="AH3762" s="82" t="s">
        <v>11726</v>
      </c>
      <c r="AI3762" s="77" t="b">
        <v>0</v>
      </c>
      <c r="AJ3762" s="77"/>
      <c r="AK3762" s="77"/>
      <c r="AL3762" s="77"/>
      <c r="AM3762" s="77"/>
      <c r="AN3762" s="77"/>
      <c r="AO3762" s="77"/>
      <c r="AP3762" s="77"/>
      <c r="AQ3762" s="77"/>
      <c r="AR3762" s="77"/>
      <c r="AS3762" s="77"/>
      <c r="AT3762" s="77"/>
      <c r="AU3762" s="77"/>
      <c r="AV3762" s="80" t="str">
        <f>HYPERLINK("https://pbs.twimg.com/profile_images/1559883556846977024/bXHnQFY0_normal.jpg")</f>
        <v>https://pbs.twimg.com/profile_images/1559883556846977024/bXHnQFY0_normal.jpg</v>
      </c>
      <c r="AW3762" s="82" t="s">
        <v>16846</v>
      </c>
      <c r="AX3762" s="82" t="s">
        <v>16846</v>
      </c>
      <c r="AY3762" s="77"/>
      <c r="AZ3762" s="82" t="s">
        <v>17385</v>
      </c>
      <c r="BA3762" s="82" t="s">
        <v>17385</v>
      </c>
      <c r="BB3762" s="82" t="s">
        <v>17385</v>
      </c>
      <c r="BC3762" s="82" t="s">
        <v>16846</v>
      </c>
      <c r="BD3762" s="77">
        <v>51150679</v>
      </c>
      <c r="BE3762" s="77"/>
      <c r="BF3762" s="77"/>
      <c r="BG3762" s="77"/>
      <c r="BH3762" s="77"/>
      <c r="BI3762" s="77"/>
    </row>
    <row r="3763" spans="1:61" x14ac:dyDescent="0.25">
      <c r="A3763" s="62" t="s">
        <v>605</v>
      </c>
      <c r="B3763" s="62" t="s">
        <v>605</v>
      </c>
      <c r="C3763" s="63"/>
      <c r="D3763" s="64"/>
      <c r="E3763" s="65"/>
      <c r="F3763" s="66"/>
      <c r="G3763" s="63"/>
      <c r="H3763" s="67"/>
      <c r="I3763" s="68"/>
      <c r="J3763" s="68"/>
      <c r="K3763" s="32"/>
      <c r="L3763" s="75">
        <v>3763</v>
      </c>
      <c r="M3763" s="75"/>
      <c r="N3763" s="70"/>
      <c r="O3763" s="77" t="s">
        <v>179</v>
      </c>
      <c r="P3763" s="79">
        <v>45060.792708333334</v>
      </c>
      <c r="Q3763" s="77" t="s">
        <v>4537</v>
      </c>
      <c r="R3763" s="77">
        <v>3</v>
      </c>
      <c r="S3763" s="77">
        <v>18</v>
      </c>
      <c r="T3763" s="77">
        <v>1</v>
      </c>
      <c r="U3763" s="77">
        <v>0</v>
      </c>
      <c r="V3763" s="77">
        <v>3722</v>
      </c>
      <c r="W3763" s="82" t="s">
        <v>6842</v>
      </c>
      <c r="X3763" s="80" t="str">
        <f>HYPERLINK("https://www.moneytimes.com.br/china-emite-sinal-de-alerta-mundo-esta-em-desaceleracao-sera-que-o-brasil-escapa/")</f>
        <v>https://www.moneytimes.com.br/china-emite-sinal-de-alerta-mundo-esta-em-desaceleracao-sera-que-o-brasil-escapa/</v>
      </c>
      <c r="Y3763" s="77" t="s">
        <v>7053</v>
      </c>
      <c r="Z3763" s="77"/>
      <c r="AA3763" s="77"/>
      <c r="AB3763" s="77"/>
      <c r="AC3763" s="82" t="s">
        <v>8255</v>
      </c>
      <c r="AD3763" s="77" t="s">
        <v>8278</v>
      </c>
      <c r="AE3763" s="80" t="str">
        <f>HYPERLINK("https://twitter.com/leiamoneytimes/status/1657823470061846533")</f>
        <v>https://twitter.com/leiamoneytimes/status/1657823470061846533</v>
      </c>
      <c r="AF3763" s="79">
        <v>45060.792708333334</v>
      </c>
      <c r="AG3763" s="85">
        <v>45060</v>
      </c>
      <c r="AH3763" s="82" t="s">
        <v>11727</v>
      </c>
      <c r="AI3763" s="77" t="b">
        <v>0</v>
      </c>
      <c r="AJ3763" s="77"/>
      <c r="AK3763" s="77"/>
      <c r="AL3763" s="77"/>
      <c r="AM3763" s="77"/>
      <c r="AN3763" s="77"/>
      <c r="AO3763" s="77"/>
      <c r="AP3763" s="77"/>
      <c r="AQ3763" s="77"/>
      <c r="AR3763" s="77"/>
      <c r="AS3763" s="77"/>
      <c r="AT3763" s="77"/>
      <c r="AU3763" s="77"/>
      <c r="AV3763" s="80" t="str">
        <f>HYPERLINK("https://pbs.twimg.com/profile_images/1559883556846977024/bXHnQFY0_normal.jpg")</f>
        <v>https://pbs.twimg.com/profile_images/1559883556846977024/bXHnQFY0_normal.jpg</v>
      </c>
      <c r="AW3763" s="82" t="s">
        <v>16847</v>
      </c>
      <c r="AX3763" s="82" t="s">
        <v>16847</v>
      </c>
      <c r="AY3763" s="77"/>
      <c r="AZ3763" s="82" t="s">
        <v>17385</v>
      </c>
      <c r="BA3763" s="82" t="s">
        <v>17385</v>
      </c>
      <c r="BB3763" s="82" t="s">
        <v>17385</v>
      </c>
      <c r="BC3763" s="82" t="s">
        <v>16847</v>
      </c>
      <c r="BD3763" s="77">
        <v>51150679</v>
      </c>
      <c r="BE3763" s="77"/>
      <c r="BF3763" s="77"/>
      <c r="BG3763" s="77"/>
      <c r="BH3763" s="77"/>
      <c r="BI3763" s="77"/>
    </row>
    <row r="3764" spans="1:61" x14ac:dyDescent="0.25">
      <c r="A3764" s="62" t="s">
        <v>605</v>
      </c>
      <c r="B3764" s="62" t="s">
        <v>605</v>
      </c>
      <c r="C3764" s="63"/>
      <c r="D3764" s="64"/>
      <c r="E3764" s="65"/>
      <c r="F3764" s="66"/>
      <c r="G3764" s="63"/>
      <c r="H3764" s="67"/>
      <c r="I3764" s="68"/>
      <c r="J3764" s="68"/>
      <c r="K3764" s="32"/>
      <c r="L3764" s="75">
        <v>3764</v>
      </c>
      <c r="M3764" s="75"/>
      <c r="N3764" s="70"/>
      <c r="O3764" s="77" t="s">
        <v>179</v>
      </c>
      <c r="P3764" s="79">
        <v>45060.71025462963</v>
      </c>
      <c r="Q3764" s="77" t="s">
        <v>4538</v>
      </c>
      <c r="R3764" s="77">
        <v>0</v>
      </c>
      <c r="S3764" s="77">
        <v>5</v>
      </c>
      <c r="T3764" s="77">
        <v>1</v>
      </c>
      <c r="U3764" s="77">
        <v>0</v>
      </c>
      <c r="V3764" s="77">
        <v>2379</v>
      </c>
      <c r="W3764" s="82" t="s">
        <v>6590</v>
      </c>
      <c r="X3764" s="80" t="str">
        <f>HYPERLINK("https://www.moneytimes.com.br/crise-de-credito-nos-eua-vai-gerar-impacto-nos-mercados-talvez-nao-entenda/")</f>
        <v>https://www.moneytimes.com.br/crise-de-credito-nos-eua-vai-gerar-impacto-nos-mercados-talvez-nao-entenda/</v>
      </c>
      <c r="Y3764" s="77" t="s">
        <v>7053</v>
      </c>
      <c r="Z3764" s="77"/>
      <c r="AA3764" s="77"/>
      <c r="AB3764" s="77"/>
      <c r="AC3764" s="82" t="s">
        <v>8255</v>
      </c>
      <c r="AD3764" s="77" t="s">
        <v>8278</v>
      </c>
      <c r="AE3764" s="80" t="str">
        <f>HYPERLINK("https://twitter.com/leiamoneytimes/status/1657793589127139336")</f>
        <v>https://twitter.com/leiamoneytimes/status/1657793589127139336</v>
      </c>
      <c r="AF3764" s="79">
        <v>45060.71025462963</v>
      </c>
      <c r="AG3764" s="85">
        <v>45060</v>
      </c>
      <c r="AH3764" s="82" t="s">
        <v>11728</v>
      </c>
      <c r="AI3764" s="77" t="b">
        <v>0</v>
      </c>
      <c r="AJ3764" s="77"/>
      <c r="AK3764" s="77"/>
      <c r="AL3764" s="77"/>
      <c r="AM3764" s="77"/>
      <c r="AN3764" s="77"/>
      <c r="AO3764" s="77"/>
      <c r="AP3764" s="77"/>
      <c r="AQ3764" s="77"/>
      <c r="AR3764" s="77"/>
      <c r="AS3764" s="77"/>
      <c r="AT3764" s="77"/>
      <c r="AU3764" s="77"/>
      <c r="AV3764" s="80" t="str">
        <f>HYPERLINK("https://pbs.twimg.com/profile_images/1559883556846977024/bXHnQFY0_normal.jpg")</f>
        <v>https://pbs.twimg.com/profile_images/1559883556846977024/bXHnQFY0_normal.jpg</v>
      </c>
      <c r="AW3764" s="82" t="s">
        <v>16848</v>
      </c>
      <c r="AX3764" s="82" t="s">
        <v>16848</v>
      </c>
      <c r="AY3764" s="77"/>
      <c r="AZ3764" s="82" t="s">
        <v>17385</v>
      </c>
      <c r="BA3764" s="82" t="s">
        <v>17385</v>
      </c>
      <c r="BB3764" s="82" t="s">
        <v>17385</v>
      </c>
      <c r="BC3764" s="82" t="s">
        <v>16848</v>
      </c>
      <c r="BD3764" s="77">
        <v>51150679</v>
      </c>
      <c r="BE3764" s="77"/>
      <c r="BF3764" s="77"/>
      <c r="BG3764" s="77"/>
      <c r="BH3764" s="77"/>
      <c r="BI3764" s="77"/>
    </row>
    <row r="3765" spans="1:61" x14ac:dyDescent="0.25">
      <c r="A3765" s="62" t="s">
        <v>605</v>
      </c>
      <c r="B3765" s="62" t="s">
        <v>605</v>
      </c>
      <c r="C3765" s="63"/>
      <c r="D3765" s="64"/>
      <c r="E3765" s="65"/>
      <c r="F3765" s="66"/>
      <c r="G3765" s="63"/>
      <c r="H3765" s="67"/>
      <c r="I3765" s="68"/>
      <c r="J3765" s="68"/>
      <c r="K3765" s="32"/>
      <c r="L3765" s="75">
        <v>3765</v>
      </c>
      <c r="M3765" s="75"/>
      <c r="N3765" s="70"/>
      <c r="O3765" s="77" t="s">
        <v>179</v>
      </c>
      <c r="P3765" s="79">
        <v>45059.770243055558</v>
      </c>
      <c r="Q3765" s="77" t="s">
        <v>4539</v>
      </c>
      <c r="R3765" s="77">
        <v>0</v>
      </c>
      <c r="S3765" s="77">
        <v>27</v>
      </c>
      <c r="T3765" s="77">
        <v>4</v>
      </c>
      <c r="U3765" s="77">
        <v>0</v>
      </c>
      <c r="V3765" s="77">
        <v>3693</v>
      </c>
      <c r="W3765" s="82" t="s">
        <v>6843</v>
      </c>
      <c r="X3765" s="80" t="str">
        <f>HYPERLINK("https://www.moneytimes.com.br/eletrobras-elet6-para-empresa-pressao-de-lula-para-reverter-privatizacao-nao-dara-em-nada/")</f>
        <v>https://www.moneytimes.com.br/eletrobras-elet6-para-empresa-pressao-de-lula-para-reverter-privatizacao-nao-dara-em-nada/</v>
      </c>
      <c r="Y3765" s="77" t="s">
        <v>7053</v>
      </c>
      <c r="Z3765" s="77"/>
      <c r="AA3765" s="77"/>
      <c r="AB3765" s="77"/>
      <c r="AC3765" s="82" t="s">
        <v>8255</v>
      </c>
      <c r="AD3765" s="77" t="s">
        <v>8278</v>
      </c>
      <c r="AE3765" s="80" t="str">
        <f>HYPERLINK("https://twitter.com/leiamoneytimes/status/1657452938183204864")</f>
        <v>https://twitter.com/leiamoneytimes/status/1657452938183204864</v>
      </c>
      <c r="AF3765" s="79">
        <v>45059.770243055558</v>
      </c>
      <c r="AG3765" s="85">
        <v>45059</v>
      </c>
      <c r="AH3765" s="82" t="s">
        <v>11304</v>
      </c>
      <c r="AI3765" s="77" t="b">
        <v>0</v>
      </c>
      <c r="AJ3765" s="77"/>
      <c r="AK3765" s="77"/>
      <c r="AL3765" s="77"/>
      <c r="AM3765" s="77"/>
      <c r="AN3765" s="77"/>
      <c r="AO3765" s="77"/>
      <c r="AP3765" s="77"/>
      <c r="AQ3765" s="77"/>
      <c r="AR3765" s="77"/>
      <c r="AS3765" s="77"/>
      <c r="AT3765" s="77"/>
      <c r="AU3765" s="77"/>
      <c r="AV3765" s="80" t="str">
        <f>HYPERLINK("https://pbs.twimg.com/profile_images/1559883556846977024/bXHnQFY0_normal.jpg")</f>
        <v>https://pbs.twimg.com/profile_images/1559883556846977024/bXHnQFY0_normal.jpg</v>
      </c>
      <c r="AW3765" s="82" t="s">
        <v>16849</v>
      </c>
      <c r="AX3765" s="82" t="s">
        <v>16849</v>
      </c>
      <c r="AY3765" s="77"/>
      <c r="AZ3765" s="82" t="s">
        <v>17385</v>
      </c>
      <c r="BA3765" s="82" t="s">
        <v>17385</v>
      </c>
      <c r="BB3765" s="82" t="s">
        <v>17385</v>
      </c>
      <c r="BC3765" s="82" t="s">
        <v>16849</v>
      </c>
      <c r="BD3765" s="77">
        <v>51150679</v>
      </c>
      <c r="BE3765" s="77"/>
      <c r="BF3765" s="77"/>
      <c r="BG3765" s="77"/>
      <c r="BH3765" s="77"/>
      <c r="BI3765" s="77"/>
    </row>
    <row r="3766" spans="1:61" x14ac:dyDescent="0.25">
      <c r="A3766" s="62" t="s">
        <v>605</v>
      </c>
      <c r="B3766" s="62" t="s">
        <v>605</v>
      </c>
      <c r="C3766" s="63"/>
      <c r="D3766" s="64"/>
      <c r="E3766" s="65"/>
      <c r="F3766" s="66"/>
      <c r="G3766" s="63"/>
      <c r="H3766" s="67"/>
      <c r="I3766" s="68"/>
      <c r="J3766" s="68"/>
      <c r="K3766" s="32"/>
      <c r="L3766" s="75">
        <v>3766</v>
      </c>
      <c r="M3766" s="75"/>
      <c r="N3766" s="70"/>
      <c r="O3766" s="77" t="s">
        <v>179</v>
      </c>
      <c r="P3766" s="79">
        <v>45058.852951388886</v>
      </c>
      <c r="Q3766" s="77" t="s">
        <v>4540</v>
      </c>
      <c r="R3766" s="77">
        <v>0</v>
      </c>
      <c r="S3766" s="77">
        <v>4</v>
      </c>
      <c r="T3766" s="77">
        <v>1</v>
      </c>
      <c r="U3766" s="77">
        <v>0</v>
      </c>
      <c r="V3766" s="77">
        <v>1303</v>
      </c>
      <c r="W3766" s="82" t="s">
        <v>6701</v>
      </c>
      <c r="X3766" s="80" t="str">
        <f>HYPERLINK("https://www.moneytimes.com.br/wall-street-indices-recuam-com-queda-de-acoes-de-tecnologia-e-piora-da-confianca-do-consumidor/")</f>
        <v>https://www.moneytimes.com.br/wall-street-indices-recuam-com-queda-de-acoes-de-tecnologia-e-piora-da-confianca-do-consumidor/</v>
      </c>
      <c r="Y3766" s="77" t="s">
        <v>7053</v>
      </c>
      <c r="Z3766" s="77"/>
      <c r="AA3766" s="77"/>
      <c r="AB3766" s="77"/>
      <c r="AC3766" s="82" t="s">
        <v>8255</v>
      </c>
      <c r="AD3766" s="77" t="s">
        <v>8278</v>
      </c>
      <c r="AE3766" s="80" t="str">
        <f>HYPERLINK("https://twitter.com/leiamoneytimes/status/1657120522537259049")</f>
        <v>https://twitter.com/leiamoneytimes/status/1657120522537259049</v>
      </c>
      <c r="AF3766" s="79">
        <v>45058.852951388886</v>
      </c>
      <c r="AG3766" s="85">
        <v>45058</v>
      </c>
      <c r="AH3766" s="82" t="s">
        <v>11729</v>
      </c>
      <c r="AI3766" s="77" t="b">
        <v>0</v>
      </c>
      <c r="AJ3766" s="77"/>
      <c r="AK3766" s="77"/>
      <c r="AL3766" s="77"/>
      <c r="AM3766" s="77"/>
      <c r="AN3766" s="77"/>
      <c r="AO3766" s="77"/>
      <c r="AP3766" s="77"/>
      <c r="AQ3766" s="77"/>
      <c r="AR3766" s="77"/>
      <c r="AS3766" s="77"/>
      <c r="AT3766" s="77"/>
      <c r="AU3766" s="77"/>
      <c r="AV3766" s="80" t="str">
        <f>HYPERLINK("https://pbs.twimg.com/profile_images/1559883556846977024/bXHnQFY0_normal.jpg")</f>
        <v>https://pbs.twimg.com/profile_images/1559883556846977024/bXHnQFY0_normal.jpg</v>
      </c>
      <c r="AW3766" s="82" t="s">
        <v>16850</v>
      </c>
      <c r="AX3766" s="82" t="s">
        <v>16850</v>
      </c>
      <c r="AY3766" s="77"/>
      <c r="AZ3766" s="82" t="s">
        <v>17385</v>
      </c>
      <c r="BA3766" s="82" t="s">
        <v>17385</v>
      </c>
      <c r="BB3766" s="82" t="s">
        <v>17385</v>
      </c>
      <c r="BC3766" s="82" t="s">
        <v>16850</v>
      </c>
      <c r="BD3766" s="77">
        <v>51150679</v>
      </c>
      <c r="BE3766" s="77"/>
      <c r="BF3766" s="77"/>
      <c r="BG3766" s="77"/>
      <c r="BH3766" s="77"/>
      <c r="BI3766" s="77"/>
    </row>
    <row r="3767" spans="1:61" x14ac:dyDescent="0.25">
      <c r="A3767" s="62" t="s">
        <v>605</v>
      </c>
      <c r="B3767" s="62" t="s">
        <v>605</v>
      </c>
      <c r="C3767" s="63"/>
      <c r="D3767" s="64"/>
      <c r="E3767" s="65"/>
      <c r="F3767" s="66"/>
      <c r="G3767" s="63"/>
      <c r="H3767" s="67"/>
      <c r="I3767" s="68"/>
      <c r="J3767" s="68"/>
      <c r="K3767" s="32"/>
      <c r="L3767" s="75">
        <v>3767</v>
      </c>
      <c r="M3767" s="75"/>
      <c r="N3767" s="70"/>
      <c r="O3767" s="77" t="s">
        <v>179</v>
      </c>
      <c r="P3767" s="79">
        <v>45058.829710648148</v>
      </c>
      <c r="Q3767" s="77" t="s">
        <v>4541</v>
      </c>
      <c r="R3767" s="77">
        <v>2</v>
      </c>
      <c r="S3767" s="77">
        <v>7</v>
      </c>
      <c r="T3767" s="77">
        <v>1</v>
      </c>
      <c r="U3767" s="77">
        <v>1</v>
      </c>
      <c r="V3767" s="77">
        <v>1541</v>
      </c>
      <c r="W3767" s="82" t="s">
        <v>6841</v>
      </c>
      <c r="X3767" s="80" t="str">
        <f>HYPERLINK("https://www.moneytimes.com.br/light-ligt3-como-a-eletrica-acabou-em-recuperacao-judicial/")</f>
        <v>https://www.moneytimes.com.br/light-ligt3-como-a-eletrica-acabou-em-recuperacao-judicial/</v>
      </c>
      <c r="Y3767" s="77" t="s">
        <v>7053</v>
      </c>
      <c r="Z3767" s="77"/>
      <c r="AA3767" s="77"/>
      <c r="AB3767" s="77"/>
      <c r="AC3767" s="82" t="s">
        <v>8255</v>
      </c>
      <c r="AD3767" s="77" t="s">
        <v>8278</v>
      </c>
      <c r="AE3767" s="80" t="str">
        <f>HYPERLINK("https://twitter.com/leiamoneytimes/status/1657112101196820482")</f>
        <v>https://twitter.com/leiamoneytimes/status/1657112101196820482</v>
      </c>
      <c r="AF3767" s="79">
        <v>45058.829710648148</v>
      </c>
      <c r="AG3767" s="85">
        <v>45058</v>
      </c>
      <c r="AH3767" s="82" t="s">
        <v>11730</v>
      </c>
      <c r="AI3767" s="77" t="b">
        <v>0</v>
      </c>
      <c r="AJ3767" s="77"/>
      <c r="AK3767" s="77"/>
      <c r="AL3767" s="77"/>
      <c r="AM3767" s="77"/>
      <c r="AN3767" s="77"/>
      <c r="AO3767" s="77"/>
      <c r="AP3767" s="77"/>
      <c r="AQ3767" s="77"/>
      <c r="AR3767" s="77"/>
      <c r="AS3767" s="77"/>
      <c r="AT3767" s="77"/>
      <c r="AU3767" s="77"/>
      <c r="AV3767" s="80" t="str">
        <f>HYPERLINK("https://pbs.twimg.com/profile_images/1559883556846977024/bXHnQFY0_normal.jpg")</f>
        <v>https://pbs.twimg.com/profile_images/1559883556846977024/bXHnQFY0_normal.jpg</v>
      </c>
      <c r="AW3767" s="82" t="s">
        <v>16851</v>
      </c>
      <c r="AX3767" s="82" t="s">
        <v>16851</v>
      </c>
      <c r="AY3767" s="77"/>
      <c r="AZ3767" s="82" t="s">
        <v>17385</v>
      </c>
      <c r="BA3767" s="82" t="s">
        <v>17385</v>
      </c>
      <c r="BB3767" s="82" t="s">
        <v>17385</v>
      </c>
      <c r="BC3767" s="82" t="s">
        <v>16851</v>
      </c>
      <c r="BD3767" s="77">
        <v>51150679</v>
      </c>
      <c r="BE3767" s="77"/>
      <c r="BF3767" s="77"/>
      <c r="BG3767" s="77"/>
      <c r="BH3767" s="77"/>
      <c r="BI3767" s="77"/>
    </row>
    <row r="3768" spans="1:61" x14ac:dyDescent="0.25">
      <c r="A3768" s="62" t="s">
        <v>605</v>
      </c>
      <c r="B3768" s="62" t="s">
        <v>605</v>
      </c>
      <c r="C3768" s="63"/>
      <c r="D3768" s="64"/>
      <c r="E3768" s="65"/>
      <c r="F3768" s="66"/>
      <c r="G3768" s="63"/>
      <c r="H3768" s="67"/>
      <c r="I3768" s="68"/>
      <c r="J3768" s="68"/>
      <c r="K3768" s="32"/>
      <c r="L3768" s="75">
        <v>3768</v>
      </c>
      <c r="M3768" s="75"/>
      <c r="N3768" s="70"/>
      <c r="O3768" s="77" t="s">
        <v>179</v>
      </c>
      <c r="P3768" s="79">
        <v>45058.706678240742</v>
      </c>
      <c r="Q3768" s="77" t="s">
        <v>4542</v>
      </c>
      <c r="R3768" s="77">
        <v>0</v>
      </c>
      <c r="S3768" s="77">
        <v>3</v>
      </c>
      <c r="T3768" s="77">
        <v>1</v>
      </c>
      <c r="U3768" s="77">
        <v>0</v>
      </c>
      <c r="V3768" s="77">
        <v>1204</v>
      </c>
      <c r="W3768" s="82" t="s">
        <v>6640</v>
      </c>
      <c r="X3768" s="80" t="str">
        <f>HYPERLINK("https://www.moneytimes.com.br/acoes-europeias-sobem-com-impulso-do-balanco-da-richemont-e-alta-de-papeis-de-energia/")</f>
        <v>https://www.moneytimes.com.br/acoes-europeias-sobem-com-impulso-do-balanco-da-richemont-e-alta-de-papeis-de-energia/</v>
      </c>
      <c r="Y3768" s="77" t="s">
        <v>7053</v>
      </c>
      <c r="Z3768" s="77"/>
      <c r="AA3768" s="77"/>
      <c r="AB3768" s="77"/>
      <c r="AC3768" s="82" t="s">
        <v>8255</v>
      </c>
      <c r="AD3768" s="77" t="s">
        <v>8278</v>
      </c>
      <c r="AE3768" s="80" t="str">
        <f>HYPERLINK("https://twitter.com/leiamoneytimes/status/1657067515414040576")</f>
        <v>https://twitter.com/leiamoneytimes/status/1657067515414040576</v>
      </c>
      <c r="AF3768" s="79">
        <v>45058.706678240742</v>
      </c>
      <c r="AG3768" s="85">
        <v>45058</v>
      </c>
      <c r="AH3768" s="82" t="s">
        <v>11731</v>
      </c>
      <c r="AI3768" s="77" t="b">
        <v>0</v>
      </c>
      <c r="AJ3768" s="77"/>
      <c r="AK3768" s="77"/>
      <c r="AL3768" s="77"/>
      <c r="AM3768" s="77"/>
      <c r="AN3768" s="77"/>
      <c r="AO3768" s="77"/>
      <c r="AP3768" s="77"/>
      <c r="AQ3768" s="77"/>
      <c r="AR3768" s="77"/>
      <c r="AS3768" s="77"/>
      <c r="AT3768" s="77"/>
      <c r="AU3768" s="77"/>
      <c r="AV3768" s="80" t="str">
        <f>HYPERLINK("https://pbs.twimg.com/profile_images/1559883556846977024/bXHnQFY0_normal.jpg")</f>
        <v>https://pbs.twimg.com/profile_images/1559883556846977024/bXHnQFY0_normal.jpg</v>
      </c>
      <c r="AW3768" s="82" t="s">
        <v>16852</v>
      </c>
      <c r="AX3768" s="82" t="s">
        <v>16852</v>
      </c>
      <c r="AY3768" s="77"/>
      <c r="AZ3768" s="82" t="s">
        <v>17385</v>
      </c>
      <c r="BA3768" s="82" t="s">
        <v>17385</v>
      </c>
      <c r="BB3768" s="82" t="s">
        <v>17385</v>
      </c>
      <c r="BC3768" s="82" t="s">
        <v>16852</v>
      </c>
      <c r="BD3768" s="77">
        <v>51150679</v>
      </c>
      <c r="BE3768" s="77"/>
      <c r="BF3768" s="77"/>
      <c r="BG3768" s="77"/>
      <c r="BH3768" s="77"/>
      <c r="BI3768" s="77"/>
    </row>
    <row r="3769" spans="1:61" x14ac:dyDescent="0.25">
      <c r="A3769" s="62" t="s">
        <v>605</v>
      </c>
      <c r="B3769" s="62" t="s">
        <v>605</v>
      </c>
      <c r="C3769" s="63"/>
      <c r="D3769" s="64"/>
      <c r="E3769" s="65"/>
      <c r="F3769" s="66"/>
      <c r="G3769" s="63"/>
      <c r="H3769" s="67"/>
      <c r="I3769" s="68"/>
      <c r="J3769" s="68"/>
      <c r="K3769" s="32"/>
      <c r="L3769" s="75">
        <v>3769</v>
      </c>
      <c r="M3769" s="75"/>
      <c r="N3769" s="70"/>
      <c r="O3769" s="77" t="s">
        <v>179</v>
      </c>
      <c r="P3769" s="79">
        <v>45058.68372685185</v>
      </c>
      <c r="Q3769" s="77" t="s">
        <v>4543</v>
      </c>
      <c r="R3769" s="77">
        <v>0</v>
      </c>
      <c r="S3769" s="77">
        <v>1</v>
      </c>
      <c r="T3769" s="77">
        <v>0</v>
      </c>
      <c r="U3769" s="77">
        <v>0</v>
      </c>
      <c r="V3769" s="77">
        <v>1099</v>
      </c>
      <c r="W3769" s="82" t="s">
        <v>6844</v>
      </c>
      <c r="X3769" s="80" t="str">
        <f>HYPERLINK("https://www.moneytimes.com.br/light-lgt3-o-recado-do-governo-federal-apos-pedido-de-recuperacao-judicial/")</f>
        <v>https://www.moneytimes.com.br/light-lgt3-o-recado-do-governo-federal-apos-pedido-de-recuperacao-judicial/</v>
      </c>
      <c r="Y3769" s="77" t="s">
        <v>7053</v>
      </c>
      <c r="Z3769" s="77"/>
      <c r="AA3769" s="77"/>
      <c r="AB3769" s="77"/>
      <c r="AC3769" s="82" t="s">
        <v>8255</v>
      </c>
      <c r="AD3769" s="77" t="s">
        <v>8278</v>
      </c>
      <c r="AE3769" s="80" t="str">
        <f>HYPERLINK("https://twitter.com/leiamoneytimes/status/1657059200424345608")</f>
        <v>https://twitter.com/leiamoneytimes/status/1657059200424345608</v>
      </c>
      <c r="AF3769" s="79">
        <v>45058.68372685185</v>
      </c>
      <c r="AG3769" s="85">
        <v>45058</v>
      </c>
      <c r="AH3769" s="82" t="s">
        <v>11732</v>
      </c>
      <c r="AI3769" s="77" t="b">
        <v>0</v>
      </c>
      <c r="AJ3769" s="77"/>
      <c r="AK3769" s="77"/>
      <c r="AL3769" s="77"/>
      <c r="AM3769" s="77"/>
      <c r="AN3769" s="77"/>
      <c r="AO3769" s="77"/>
      <c r="AP3769" s="77"/>
      <c r="AQ3769" s="77"/>
      <c r="AR3769" s="77"/>
      <c r="AS3769" s="77"/>
      <c r="AT3769" s="77"/>
      <c r="AU3769" s="77"/>
      <c r="AV3769" s="80" t="str">
        <f>HYPERLINK("https://pbs.twimg.com/profile_images/1559883556846977024/bXHnQFY0_normal.jpg")</f>
        <v>https://pbs.twimg.com/profile_images/1559883556846977024/bXHnQFY0_normal.jpg</v>
      </c>
      <c r="AW3769" s="82" t="s">
        <v>16853</v>
      </c>
      <c r="AX3769" s="82" t="s">
        <v>16853</v>
      </c>
      <c r="AY3769" s="77"/>
      <c r="AZ3769" s="82" t="s">
        <v>17385</v>
      </c>
      <c r="BA3769" s="82" t="s">
        <v>17385</v>
      </c>
      <c r="BB3769" s="82" t="s">
        <v>17385</v>
      </c>
      <c r="BC3769" s="82" t="s">
        <v>16853</v>
      </c>
      <c r="BD3769" s="77">
        <v>51150679</v>
      </c>
      <c r="BE3769" s="77"/>
      <c r="BF3769" s="77"/>
      <c r="BG3769" s="77"/>
      <c r="BH3769" s="77"/>
      <c r="BI3769" s="77"/>
    </row>
    <row r="3770" spans="1:61" x14ac:dyDescent="0.25">
      <c r="A3770" s="62" t="s">
        <v>605</v>
      </c>
      <c r="B3770" s="62" t="s">
        <v>605</v>
      </c>
      <c r="C3770" s="63"/>
      <c r="D3770" s="64"/>
      <c r="E3770" s="65"/>
      <c r="F3770" s="66"/>
      <c r="G3770" s="63"/>
      <c r="H3770" s="67"/>
      <c r="I3770" s="68"/>
      <c r="J3770" s="68"/>
      <c r="K3770" s="32"/>
      <c r="L3770" s="75">
        <v>3770</v>
      </c>
      <c r="M3770" s="75"/>
      <c r="N3770" s="70"/>
      <c r="O3770" s="77" t="s">
        <v>179</v>
      </c>
      <c r="P3770" s="79">
        <v>45058.665543981479</v>
      </c>
      <c r="Q3770" s="77" t="s">
        <v>4544</v>
      </c>
      <c r="R3770" s="77">
        <v>0</v>
      </c>
      <c r="S3770" s="77">
        <v>0</v>
      </c>
      <c r="T3770" s="77">
        <v>1</v>
      </c>
      <c r="U3770" s="77">
        <v>0</v>
      </c>
      <c r="V3770" s="77">
        <v>1037</v>
      </c>
      <c r="W3770" s="82" t="s">
        <v>6845</v>
      </c>
      <c r="X3770" s="80" t="str">
        <f>HYPERLINK("https://www.moneytimes.com.br/ibovespa-por-que-petrobras-petr3-dispara-5-nesta-sexta-12-apesar-de-queda-nos-lucros-do-1t23/")</f>
        <v>https://www.moneytimes.com.br/ibovespa-por-que-petrobras-petr3-dispara-5-nesta-sexta-12-apesar-de-queda-nos-lucros-do-1t23/</v>
      </c>
      <c r="Y3770" s="77" t="s">
        <v>7053</v>
      </c>
      <c r="Z3770" s="77"/>
      <c r="AA3770" s="77"/>
      <c r="AB3770" s="77"/>
      <c r="AC3770" s="82" t="s">
        <v>8255</v>
      </c>
      <c r="AD3770" s="77" t="s">
        <v>8281</v>
      </c>
      <c r="AE3770" s="80" t="str">
        <f>HYPERLINK("https://twitter.com/leiamoneytimes/status/1657052610606649345")</f>
        <v>https://twitter.com/leiamoneytimes/status/1657052610606649345</v>
      </c>
      <c r="AF3770" s="79">
        <v>45058.665543981479</v>
      </c>
      <c r="AG3770" s="85">
        <v>45058</v>
      </c>
      <c r="AH3770" s="82" t="s">
        <v>11620</v>
      </c>
      <c r="AI3770" s="77" t="b">
        <v>0</v>
      </c>
      <c r="AJ3770" s="77"/>
      <c r="AK3770" s="77"/>
      <c r="AL3770" s="77"/>
      <c r="AM3770" s="77"/>
      <c r="AN3770" s="77"/>
      <c r="AO3770" s="77"/>
      <c r="AP3770" s="77"/>
      <c r="AQ3770" s="77"/>
      <c r="AR3770" s="77"/>
      <c r="AS3770" s="77"/>
      <c r="AT3770" s="77"/>
      <c r="AU3770" s="77"/>
      <c r="AV3770" s="80" t="str">
        <f>HYPERLINK("https://pbs.twimg.com/profile_images/1559883556846977024/bXHnQFY0_normal.jpg")</f>
        <v>https://pbs.twimg.com/profile_images/1559883556846977024/bXHnQFY0_normal.jpg</v>
      </c>
      <c r="AW3770" s="82" t="s">
        <v>16854</v>
      </c>
      <c r="AX3770" s="82" t="s">
        <v>16854</v>
      </c>
      <c r="AY3770" s="77"/>
      <c r="AZ3770" s="82" t="s">
        <v>17385</v>
      </c>
      <c r="BA3770" s="82" t="s">
        <v>17385</v>
      </c>
      <c r="BB3770" s="82" t="s">
        <v>17385</v>
      </c>
      <c r="BC3770" s="82" t="s">
        <v>16854</v>
      </c>
      <c r="BD3770" s="77">
        <v>51150679</v>
      </c>
      <c r="BE3770" s="77"/>
      <c r="BF3770" s="77"/>
      <c r="BG3770" s="77"/>
      <c r="BH3770" s="77"/>
      <c r="BI3770" s="77"/>
    </row>
    <row r="3771" spans="1:61" x14ac:dyDescent="0.25">
      <c r="A3771" s="62" t="s">
        <v>605</v>
      </c>
      <c r="B3771" s="62" t="s">
        <v>605</v>
      </c>
      <c r="C3771" s="63"/>
      <c r="D3771" s="64"/>
      <c r="E3771" s="65"/>
      <c r="F3771" s="66"/>
      <c r="G3771" s="63"/>
      <c r="H3771" s="67"/>
      <c r="I3771" s="68"/>
      <c r="J3771" s="68"/>
      <c r="K3771" s="32"/>
      <c r="L3771" s="75">
        <v>3771</v>
      </c>
      <c r="M3771" s="75"/>
      <c r="N3771" s="70"/>
      <c r="O3771" s="77" t="s">
        <v>179</v>
      </c>
      <c r="P3771" s="79">
        <v>45058.646932870368</v>
      </c>
      <c r="Q3771" s="77" t="s">
        <v>4545</v>
      </c>
      <c r="R3771" s="77">
        <v>0</v>
      </c>
      <c r="S3771" s="77">
        <v>7</v>
      </c>
      <c r="T3771" s="77">
        <v>5</v>
      </c>
      <c r="U3771" s="77">
        <v>0</v>
      </c>
      <c r="V3771" s="77">
        <v>2069</v>
      </c>
      <c r="W3771" s="82" t="s">
        <v>6551</v>
      </c>
      <c r="X3771" s="80" t="str">
        <f>HYPERLINK("https://www.moneytimes.com.br/marisa-amar3-reacao-do-mercado-apos-noticias-de-falencia-e-negativa/")</f>
        <v>https://www.moneytimes.com.br/marisa-amar3-reacao-do-mercado-apos-noticias-de-falencia-e-negativa/</v>
      </c>
      <c r="Y3771" s="77" t="s">
        <v>7053</v>
      </c>
      <c r="Z3771" s="77"/>
      <c r="AA3771" s="77"/>
      <c r="AB3771" s="77"/>
      <c r="AC3771" s="82" t="s">
        <v>8255</v>
      </c>
      <c r="AD3771" s="77" t="s">
        <v>8278</v>
      </c>
      <c r="AE3771" s="80" t="str">
        <f>HYPERLINK("https://twitter.com/leiamoneytimes/status/1657045864731246593")</f>
        <v>https://twitter.com/leiamoneytimes/status/1657045864731246593</v>
      </c>
      <c r="AF3771" s="79">
        <v>45058.646932870368</v>
      </c>
      <c r="AG3771" s="85">
        <v>45058</v>
      </c>
      <c r="AH3771" s="82" t="s">
        <v>11733</v>
      </c>
      <c r="AI3771" s="77" t="b">
        <v>0</v>
      </c>
      <c r="AJ3771" s="77"/>
      <c r="AK3771" s="77"/>
      <c r="AL3771" s="77"/>
      <c r="AM3771" s="77"/>
      <c r="AN3771" s="77"/>
      <c r="AO3771" s="77"/>
      <c r="AP3771" s="77"/>
      <c r="AQ3771" s="77"/>
      <c r="AR3771" s="77"/>
      <c r="AS3771" s="77"/>
      <c r="AT3771" s="77"/>
      <c r="AU3771" s="77"/>
      <c r="AV3771" s="80" t="str">
        <f>HYPERLINK("https://pbs.twimg.com/profile_images/1559883556846977024/bXHnQFY0_normal.jpg")</f>
        <v>https://pbs.twimg.com/profile_images/1559883556846977024/bXHnQFY0_normal.jpg</v>
      </c>
      <c r="AW3771" s="82" t="s">
        <v>16855</v>
      </c>
      <c r="AX3771" s="82" t="s">
        <v>16855</v>
      </c>
      <c r="AY3771" s="77"/>
      <c r="AZ3771" s="82" t="s">
        <v>17385</v>
      </c>
      <c r="BA3771" s="82" t="s">
        <v>17385</v>
      </c>
      <c r="BB3771" s="82" t="s">
        <v>17385</v>
      </c>
      <c r="BC3771" s="82" t="s">
        <v>16855</v>
      </c>
      <c r="BD3771" s="77">
        <v>51150679</v>
      </c>
      <c r="BE3771" s="77"/>
      <c r="BF3771" s="77"/>
      <c r="BG3771" s="77"/>
      <c r="BH3771" s="77"/>
      <c r="BI3771" s="77"/>
    </row>
    <row r="3772" spans="1:61" x14ac:dyDescent="0.25">
      <c r="A3772" s="62" t="s">
        <v>605</v>
      </c>
      <c r="B3772" s="62" t="s">
        <v>605</v>
      </c>
      <c r="C3772" s="63"/>
      <c r="D3772" s="64"/>
      <c r="E3772" s="65"/>
      <c r="F3772" s="66"/>
      <c r="G3772" s="63"/>
      <c r="H3772" s="67"/>
      <c r="I3772" s="68"/>
      <c r="J3772" s="68"/>
      <c r="K3772" s="32"/>
      <c r="L3772" s="75">
        <v>3772</v>
      </c>
      <c r="M3772" s="75"/>
      <c r="N3772" s="70"/>
      <c r="O3772" s="77" t="s">
        <v>179</v>
      </c>
      <c r="P3772" s="79">
        <v>45058.607141203705</v>
      </c>
      <c r="Q3772" s="77" t="s">
        <v>4546</v>
      </c>
      <c r="R3772" s="77">
        <v>0</v>
      </c>
      <c r="S3772" s="77">
        <v>3</v>
      </c>
      <c r="T3772" s="77">
        <v>1</v>
      </c>
      <c r="U3772" s="77">
        <v>0</v>
      </c>
      <c r="V3772" s="77">
        <v>1120</v>
      </c>
      <c r="W3772" s="82" t="s">
        <v>6846</v>
      </c>
      <c r="X3772" s="80" t="str">
        <f>HYPERLINK("https://www.moneytimes.com.br/acoes-da-light-ligt3-despencam-15-apos-recuperacao-judicial/")</f>
        <v>https://www.moneytimes.com.br/acoes-da-light-ligt3-despencam-15-apos-recuperacao-judicial/</v>
      </c>
      <c r="Y3772" s="77" t="s">
        <v>7053</v>
      </c>
      <c r="Z3772" s="77"/>
      <c r="AA3772" s="77"/>
      <c r="AB3772" s="77"/>
      <c r="AC3772" s="82" t="s">
        <v>8255</v>
      </c>
      <c r="AD3772" s="77" t="s">
        <v>8278</v>
      </c>
      <c r="AE3772" s="80" t="str">
        <f>HYPERLINK("https://twitter.com/leiamoneytimes/status/1657031447562055680")</f>
        <v>https://twitter.com/leiamoneytimes/status/1657031447562055680</v>
      </c>
      <c r="AF3772" s="79">
        <v>45058.607141203705</v>
      </c>
      <c r="AG3772" s="85">
        <v>45058</v>
      </c>
      <c r="AH3772" s="82" t="s">
        <v>11734</v>
      </c>
      <c r="AI3772" s="77" t="b">
        <v>0</v>
      </c>
      <c r="AJ3772" s="77"/>
      <c r="AK3772" s="77"/>
      <c r="AL3772" s="77"/>
      <c r="AM3772" s="77"/>
      <c r="AN3772" s="77"/>
      <c r="AO3772" s="77"/>
      <c r="AP3772" s="77"/>
      <c r="AQ3772" s="77"/>
      <c r="AR3772" s="77"/>
      <c r="AS3772" s="77"/>
      <c r="AT3772" s="77"/>
      <c r="AU3772" s="77"/>
      <c r="AV3772" s="80" t="str">
        <f>HYPERLINK("https://pbs.twimg.com/profile_images/1559883556846977024/bXHnQFY0_normal.jpg")</f>
        <v>https://pbs.twimg.com/profile_images/1559883556846977024/bXHnQFY0_normal.jpg</v>
      </c>
      <c r="AW3772" s="82" t="s">
        <v>16856</v>
      </c>
      <c r="AX3772" s="82" t="s">
        <v>16856</v>
      </c>
      <c r="AY3772" s="77"/>
      <c r="AZ3772" s="82" t="s">
        <v>17385</v>
      </c>
      <c r="BA3772" s="82" t="s">
        <v>17385</v>
      </c>
      <c r="BB3772" s="82" t="s">
        <v>17385</v>
      </c>
      <c r="BC3772" s="82" t="s">
        <v>16856</v>
      </c>
      <c r="BD3772" s="77">
        <v>51150679</v>
      </c>
      <c r="BE3772" s="77"/>
      <c r="BF3772" s="77"/>
      <c r="BG3772" s="77"/>
      <c r="BH3772" s="77"/>
      <c r="BI3772" s="77"/>
    </row>
    <row r="3773" spans="1:61" x14ac:dyDescent="0.25">
      <c r="A3773" s="62" t="s">
        <v>605</v>
      </c>
      <c r="B3773" s="62" t="s">
        <v>605</v>
      </c>
      <c r="C3773" s="63"/>
      <c r="D3773" s="64"/>
      <c r="E3773" s="65"/>
      <c r="F3773" s="66"/>
      <c r="G3773" s="63"/>
      <c r="H3773" s="67"/>
      <c r="I3773" s="68"/>
      <c r="J3773" s="68"/>
      <c r="K3773" s="32"/>
      <c r="L3773" s="75">
        <v>3773</v>
      </c>
      <c r="M3773" s="75"/>
      <c r="N3773" s="70"/>
      <c r="O3773" s="77" t="s">
        <v>179</v>
      </c>
      <c r="P3773" s="79">
        <v>45058.553356481483</v>
      </c>
      <c r="Q3773" s="77" t="s">
        <v>4547</v>
      </c>
      <c r="R3773" s="77">
        <v>0</v>
      </c>
      <c r="S3773" s="77">
        <v>2</v>
      </c>
      <c r="T3773" s="77">
        <v>1</v>
      </c>
      <c r="U3773" s="77">
        <v>0</v>
      </c>
      <c r="V3773" s="77">
        <v>1407</v>
      </c>
      <c r="W3773" s="82" t="s">
        <v>6551</v>
      </c>
      <c r="X3773" s="80" t="str">
        <f>HYPERLINK("https://www.moneytimes.com.br/ibovespa-ibov-abre-espaco-para-realizacao-de-lucros-indice-recua-na-abertura/")</f>
        <v>https://www.moneytimes.com.br/ibovespa-ibov-abre-espaco-para-realizacao-de-lucros-indice-recua-na-abertura/</v>
      </c>
      <c r="Y3773" s="77" t="s">
        <v>7053</v>
      </c>
      <c r="Z3773" s="77"/>
      <c r="AA3773" s="77"/>
      <c r="AB3773" s="77"/>
      <c r="AC3773" s="82" t="s">
        <v>8255</v>
      </c>
      <c r="AD3773" s="77" t="s">
        <v>8278</v>
      </c>
      <c r="AE3773" s="80" t="str">
        <f>HYPERLINK("https://twitter.com/leiamoneytimes/status/1657011955054309376")</f>
        <v>https://twitter.com/leiamoneytimes/status/1657011955054309376</v>
      </c>
      <c r="AF3773" s="79">
        <v>45058.553356481483</v>
      </c>
      <c r="AG3773" s="85">
        <v>45058</v>
      </c>
      <c r="AH3773" s="82" t="s">
        <v>11735</v>
      </c>
      <c r="AI3773" s="77" t="b">
        <v>0</v>
      </c>
      <c r="AJ3773" s="77"/>
      <c r="AK3773" s="77"/>
      <c r="AL3773" s="77"/>
      <c r="AM3773" s="77"/>
      <c r="AN3773" s="77"/>
      <c r="AO3773" s="77"/>
      <c r="AP3773" s="77"/>
      <c r="AQ3773" s="77"/>
      <c r="AR3773" s="77"/>
      <c r="AS3773" s="77"/>
      <c r="AT3773" s="77"/>
      <c r="AU3773" s="77"/>
      <c r="AV3773" s="80" t="str">
        <f>HYPERLINK("https://pbs.twimg.com/profile_images/1559883556846977024/bXHnQFY0_normal.jpg")</f>
        <v>https://pbs.twimg.com/profile_images/1559883556846977024/bXHnQFY0_normal.jpg</v>
      </c>
      <c r="AW3773" s="82" t="s">
        <v>16857</v>
      </c>
      <c r="AX3773" s="82" t="s">
        <v>16857</v>
      </c>
      <c r="AY3773" s="77"/>
      <c r="AZ3773" s="82" t="s">
        <v>17385</v>
      </c>
      <c r="BA3773" s="82" t="s">
        <v>17385</v>
      </c>
      <c r="BB3773" s="82" t="s">
        <v>17385</v>
      </c>
      <c r="BC3773" s="82" t="s">
        <v>16857</v>
      </c>
      <c r="BD3773" s="77">
        <v>51150679</v>
      </c>
      <c r="BE3773" s="77"/>
      <c r="BF3773" s="77"/>
      <c r="BG3773" s="77"/>
      <c r="BH3773" s="77"/>
      <c r="BI3773" s="77"/>
    </row>
    <row r="3774" spans="1:61" x14ac:dyDescent="0.25">
      <c r="A3774" s="62" t="s">
        <v>605</v>
      </c>
      <c r="B3774" s="62" t="s">
        <v>605</v>
      </c>
      <c r="C3774" s="63"/>
      <c r="D3774" s="64"/>
      <c r="E3774" s="65"/>
      <c r="F3774" s="66"/>
      <c r="G3774" s="63"/>
      <c r="H3774" s="67"/>
      <c r="I3774" s="68"/>
      <c r="J3774" s="68"/>
      <c r="K3774" s="32"/>
      <c r="L3774" s="75">
        <v>3774</v>
      </c>
      <c r="M3774" s="75"/>
      <c r="N3774" s="70"/>
      <c r="O3774" s="77" t="s">
        <v>179</v>
      </c>
      <c r="P3774" s="79">
        <v>45058.463460648149</v>
      </c>
      <c r="Q3774" s="77" t="s">
        <v>4548</v>
      </c>
      <c r="R3774" s="77">
        <v>0</v>
      </c>
      <c r="S3774" s="77">
        <v>4</v>
      </c>
      <c r="T3774" s="77">
        <v>1</v>
      </c>
      <c r="U3774" s="77">
        <v>0</v>
      </c>
      <c r="V3774" s="77">
        <v>1320</v>
      </c>
      <c r="W3774" s="82" t="s">
        <v>6591</v>
      </c>
      <c r="X3774" s="80" t="str">
        <f>HYPERLINK("https://www.moneytimes.com.br/equatorial-eqtl3-registra-lucro-de-r-288-milhoes-no-1t23-abaixo-do-esperado/")</f>
        <v>https://www.moneytimes.com.br/equatorial-eqtl3-registra-lucro-de-r-288-milhoes-no-1t23-abaixo-do-esperado/</v>
      </c>
      <c r="Y3774" s="77" t="s">
        <v>7053</v>
      </c>
      <c r="Z3774" s="77"/>
      <c r="AA3774" s="77"/>
      <c r="AB3774" s="77"/>
      <c r="AC3774" s="82" t="s">
        <v>8255</v>
      </c>
      <c r="AD3774" s="77" t="s">
        <v>8278</v>
      </c>
      <c r="AE3774" s="80" t="str">
        <f>HYPERLINK("https://twitter.com/leiamoneytimes/status/1656979379178688514")</f>
        <v>https://twitter.com/leiamoneytimes/status/1656979379178688514</v>
      </c>
      <c r="AF3774" s="79">
        <v>45058.463460648149</v>
      </c>
      <c r="AG3774" s="85">
        <v>45058</v>
      </c>
      <c r="AH3774" s="82" t="s">
        <v>11736</v>
      </c>
      <c r="AI3774" s="77" t="b">
        <v>0</v>
      </c>
      <c r="AJ3774" s="77"/>
      <c r="AK3774" s="77"/>
      <c r="AL3774" s="77"/>
      <c r="AM3774" s="77"/>
      <c r="AN3774" s="77"/>
      <c r="AO3774" s="77"/>
      <c r="AP3774" s="77"/>
      <c r="AQ3774" s="77"/>
      <c r="AR3774" s="77"/>
      <c r="AS3774" s="77"/>
      <c r="AT3774" s="77"/>
      <c r="AU3774" s="77"/>
      <c r="AV3774" s="80" t="str">
        <f>HYPERLINK("https://pbs.twimg.com/profile_images/1559883556846977024/bXHnQFY0_normal.jpg")</f>
        <v>https://pbs.twimg.com/profile_images/1559883556846977024/bXHnQFY0_normal.jpg</v>
      </c>
      <c r="AW3774" s="82" t="s">
        <v>16858</v>
      </c>
      <c r="AX3774" s="82" t="s">
        <v>16858</v>
      </c>
      <c r="AY3774" s="77"/>
      <c r="AZ3774" s="82" t="s">
        <v>17385</v>
      </c>
      <c r="BA3774" s="82" t="s">
        <v>17385</v>
      </c>
      <c r="BB3774" s="82" t="s">
        <v>17385</v>
      </c>
      <c r="BC3774" s="82" t="s">
        <v>16858</v>
      </c>
      <c r="BD3774" s="77">
        <v>51150679</v>
      </c>
      <c r="BE3774" s="77"/>
      <c r="BF3774" s="77"/>
      <c r="BG3774" s="77"/>
      <c r="BH3774" s="77"/>
      <c r="BI3774" s="77"/>
    </row>
    <row r="3775" spans="1:61" x14ac:dyDescent="0.25">
      <c r="A3775" s="62" t="s">
        <v>605</v>
      </c>
      <c r="B3775" s="62" t="s">
        <v>605</v>
      </c>
      <c r="C3775" s="63"/>
      <c r="D3775" s="64"/>
      <c r="E3775" s="65"/>
      <c r="F3775" s="66"/>
      <c r="G3775" s="63"/>
      <c r="H3775" s="67"/>
      <c r="I3775" s="68"/>
      <c r="J3775" s="68"/>
      <c r="K3775" s="32"/>
      <c r="L3775" s="75">
        <v>3775</v>
      </c>
      <c r="M3775" s="75"/>
      <c r="N3775" s="70"/>
      <c r="O3775" s="77" t="s">
        <v>179</v>
      </c>
      <c r="P3775" s="79">
        <v>45058.447141203702</v>
      </c>
      <c r="Q3775" s="77" t="s">
        <v>4549</v>
      </c>
      <c r="R3775" s="77">
        <v>0</v>
      </c>
      <c r="S3775" s="77">
        <v>1</v>
      </c>
      <c r="T3775" s="77">
        <v>1</v>
      </c>
      <c r="U3775" s="77">
        <v>0</v>
      </c>
      <c r="V3775" s="77">
        <v>1171</v>
      </c>
      <c r="W3775" s="82" t="s">
        <v>6564</v>
      </c>
      <c r="X3775" s="80" t="str">
        <f>HYPERLINK("https://www.moneytimes.com.br/mercado-da-china-cai-pelo-4o-dia-consecutivo-por-preocupacoes-economicas/")</f>
        <v>https://www.moneytimes.com.br/mercado-da-china-cai-pelo-4o-dia-consecutivo-por-preocupacoes-economicas/</v>
      </c>
      <c r="Y3775" s="77" t="s">
        <v>7053</v>
      </c>
      <c r="Z3775" s="77"/>
      <c r="AA3775" s="77"/>
      <c r="AB3775" s="77"/>
      <c r="AC3775" s="82" t="s">
        <v>8255</v>
      </c>
      <c r="AD3775" s="77" t="s">
        <v>8278</v>
      </c>
      <c r="AE3775" s="80" t="str">
        <f>HYPERLINK("https://twitter.com/leiamoneytimes/status/1656973464580792322")</f>
        <v>https://twitter.com/leiamoneytimes/status/1656973464580792322</v>
      </c>
      <c r="AF3775" s="79">
        <v>45058.447141203702</v>
      </c>
      <c r="AG3775" s="85">
        <v>45058</v>
      </c>
      <c r="AH3775" s="82" t="s">
        <v>11737</v>
      </c>
      <c r="AI3775" s="77" t="b">
        <v>0</v>
      </c>
      <c r="AJ3775" s="77"/>
      <c r="AK3775" s="77"/>
      <c r="AL3775" s="77"/>
      <c r="AM3775" s="77"/>
      <c r="AN3775" s="77"/>
      <c r="AO3775" s="77"/>
      <c r="AP3775" s="77"/>
      <c r="AQ3775" s="77"/>
      <c r="AR3775" s="77"/>
      <c r="AS3775" s="77"/>
      <c r="AT3775" s="77"/>
      <c r="AU3775" s="77"/>
      <c r="AV3775" s="80" t="str">
        <f>HYPERLINK("https://pbs.twimg.com/profile_images/1559883556846977024/bXHnQFY0_normal.jpg")</f>
        <v>https://pbs.twimg.com/profile_images/1559883556846977024/bXHnQFY0_normal.jpg</v>
      </c>
      <c r="AW3775" s="82" t="s">
        <v>16859</v>
      </c>
      <c r="AX3775" s="82" t="s">
        <v>16859</v>
      </c>
      <c r="AY3775" s="77"/>
      <c r="AZ3775" s="82" t="s">
        <v>17385</v>
      </c>
      <c r="BA3775" s="82" t="s">
        <v>17385</v>
      </c>
      <c r="BB3775" s="82" t="s">
        <v>17385</v>
      </c>
      <c r="BC3775" s="82" t="s">
        <v>16859</v>
      </c>
      <c r="BD3775" s="77">
        <v>51150679</v>
      </c>
      <c r="BE3775" s="77"/>
      <c r="BF3775" s="77"/>
      <c r="BG3775" s="77"/>
      <c r="BH3775" s="77"/>
      <c r="BI3775" s="77"/>
    </row>
    <row r="3776" spans="1:61" x14ac:dyDescent="0.25">
      <c r="A3776" s="62" t="s">
        <v>605</v>
      </c>
      <c r="B3776" s="62" t="s">
        <v>605</v>
      </c>
      <c r="C3776" s="63"/>
      <c r="D3776" s="64"/>
      <c r="E3776" s="65"/>
      <c r="F3776" s="66"/>
      <c r="G3776" s="63"/>
      <c r="H3776" s="67"/>
      <c r="I3776" s="68"/>
      <c r="J3776" s="68"/>
      <c r="K3776" s="32"/>
      <c r="L3776" s="75">
        <v>3776</v>
      </c>
      <c r="M3776" s="75"/>
      <c r="N3776" s="70"/>
      <c r="O3776" s="77" t="s">
        <v>179</v>
      </c>
      <c r="P3776" s="79">
        <v>45196.574444444443</v>
      </c>
      <c r="Q3776" s="77" t="s">
        <v>4550</v>
      </c>
      <c r="R3776" s="77">
        <v>0</v>
      </c>
      <c r="S3776" s="77">
        <v>1</v>
      </c>
      <c r="T3776" s="77">
        <v>1</v>
      </c>
      <c r="U3776" s="77">
        <v>0</v>
      </c>
      <c r="V3776" s="77">
        <v>741</v>
      </c>
      <c r="W3776" s="82" t="s">
        <v>6799</v>
      </c>
      <c r="X3776" s="80" t="str">
        <f>HYPERLINK("https://www.moneytimes.com.br/day-trade-hoje-vender-itau-itub4-eletrobras-elet6-acoes-quarta-feira-27-09-2023/?ttmt")</f>
        <v>https://www.moneytimes.com.br/day-trade-hoje-vender-itau-itub4-eletrobras-elet6-acoes-quarta-feira-27-09-2023/?ttmt</v>
      </c>
      <c r="Y3776" s="77" t="s">
        <v>7053</v>
      </c>
      <c r="Z3776" s="77"/>
      <c r="AA3776" s="77"/>
      <c r="AB3776" s="77"/>
      <c r="AC3776" s="82" t="s">
        <v>8232</v>
      </c>
      <c r="AD3776" s="77" t="s">
        <v>8278</v>
      </c>
      <c r="AE3776" s="80" t="str">
        <f>HYPERLINK("https://twitter.com/leiamoneytimes/status/1707029123950854508")</f>
        <v>https://twitter.com/leiamoneytimes/status/1707029123950854508</v>
      </c>
      <c r="AF3776" s="79">
        <v>45196.574444444443</v>
      </c>
      <c r="AG3776" s="85">
        <v>45196</v>
      </c>
      <c r="AH3776" s="82" t="s">
        <v>11738</v>
      </c>
      <c r="AI3776" s="77" t="b">
        <v>0</v>
      </c>
      <c r="AJ3776" s="77"/>
      <c r="AK3776" s="77"/>
      <c r="AL3776" s="77"/>
      <c r="AM3776" s="77"/>
      <c r="AN3776" s="77"/>
      <c r="AO3776" s="77"/>
      <c r="AP3776" s="77"/>
      <c r="AQ3776" s="77"/>
      <c r="AR3776" s="77"/>
      <c r="AS3776" s="77"/>
      <c r="AT3776" s="77"/>
      <c r="AU3776" s="77"/>
      <c r="AV3776" s="80" t="str">
        <f>HYPERLINK("https://pbs.twimg.com/profile_images/1559883556846977024/bXHnQFY0_normal.jpg")</f>
        <v>https://pbs.twimg.com/profile_images/1559883556846977024/bXHnQFY0_normal.jpg</v>
      </c>
      <c r="AW3776" s="82" t="s">
        <v>16860</v>
      </c>
      <c r="AX3776" s="82" t="s">
        <v>16860</v>
      </c>
      <c r="AY3776" s="77"/>
      <c r="AZ3776" s="82" t="s">
        <v>17385</v>
      </c>
      <c r="BA3776" s="82" t="s">
        <v>17385</v>
      </c>
      <c r="BB3776" s="82" t="s">
        <v>17385</v>
      </c>
      <c r="BC3776" s="82" t="s">
        <v>16860</v>
      </c>
      <c r="BD3776" s="77">
        <v>51150679</v>
      </c>
      <c r="BE3776" s="77"/>
      <c r="BF3776" s="77"/>
      <c r="BG3776" s="77"/>
      <c r="BH3776" s="77"/>
      <c r="BI3776" s="77"/>
    </row>
    <row r="3777" spans="1:61" x14ac:dyDescent="0.25">
      <c r="A3777" s="62" t="s">
        <v>605</v>
      </c>
      <c r="B3777" s="62" t="s">
        <v>605</v>
      </c>
      <c r="C3777" s="63"/>
      <c r="D3777" s="64"/>
      <c r="E3777" s="65"/>
      <c r="F3777" s="66"/>
      <c r="G3777" s="63"/>
      <c r="H3777" s="67"/>
      <c r="I3777" s="68"/>
      <c r="J3777" s="68"/>
      <c r="K3777" s="32"/>
      <c r="L3777" s="75">
        <v>3777</v>
      </c>
      <c r="M3777" s="75"/>
      <c r="N3777" s="70"/>
      <c r="O3777" s="77" t="s">
        <v>179</v>
      </c>
      <c r="P3777" s="79">
        <v>45195.762430555558</v>
      </c>
      <c r="Q3777" s="77" t="s">
        <v>4551</v>
      </c>
      <c r="R3777" s="77">
        <v>0</v>
      </c>
      <c r="S3777" s="77">
        <v>2</v>
      </c>
      <c r="T3777" s="77">
        <v>1</v>
      </c>
      <c r="U3777" s="77">
        <v>0</v>
      </c>
      <c r="V3777" s="77">
        <v>915</v>
      </c>
      <c r="W3777" s="82" t="s">
        <v>6847</v>
      </c>
      <c r="X3777" s="80" t="str">
        <f>HYPERLINK("https://www.moneytimes.com.br/ibovespa-ibov-em-queda-livre-mercado-esta-cetico-com-a-bolsa-veja-apostas-para-o-fim-do-ano/?ttmt")</f>
        <v>https://www.moneytimes.com.br/ibovespa-ibov-em-queda-livre-mercado-esta-cetico-com-a-bolsa-veja-apostas-para-o-fim-do-ano/?ttmt</v>
      </c>
      <c r="Y3777" s="77" t="s">
        <v>7053</v>
      </c>
      <c r="Z3777" s="77"/>
      <c r="AA3777" s="77"/>
      <c r="AB3777" s="77"/>
      <c r="AC3777" s="82" t="s">
        <v>8232</v>
      </c>
      <c r="AD3777" s="77" t="s">
        <v>8278</v>
      </c>
      <c r="AE3777" s="80" t="str">
        <f>HYPERLINK("https://twitter.com/leiamoneytimes/status/1706734860092502341")</f>
        <v>https://twitter.com/leiamoneytimes/status/1706734860092502341</v>
      </c>
      <c r="AF3777" s="79">
        <v>45195.762430555558</v>
      </c>
      <c r="AG3777" s="85">
        <v>45195</v>
      </c>
      <c r="AH3777" s="82" t="s">
        <v>11739</v>
      </c>
      <c r="AI3777" s="77" t="b">
        <v>0</v>
      </c>
      <c r="AJ3777" s="77"/>
      <c r="AK3777" s="77"/>
      <c r="AL3777" s="77"/>
      <c r="AM3777" s="77"/>
      <c r="AN3777" s="77"/>
      <c r="AO3777" s="77"/>
      <c r="AP3777" s="77"/>
      <c r="AQ3777" s="77"/>
      <c r="AR3777" s="77"/>
      <c r="AS3777" s="77"/>
      <c r="AT3777" s="77"/>
      <c r="AU3777" s="77"/>
      <c r="AV3777" s="80" t="str">
        <f>HYPERLINK("https://pbs.twimg.com/profile_images/1559883556846977024/bXHnQFY0_normal.jpg")</f>
        <v>https://pbs.twimg.com/profile_images/1559883556846977024/bXHnQFY0_normal.jpg</v>
      </c>
      <c r="AW3777" s="82" t="s">
        <v>16861</v>
      </c>
      <c r="AX3777" s="82" t="s">
        <v>16861</v>
      </c>
      <c r="AY3777" s="77"/>
      <c r="AZ3777" s="82" t="s">
        <v>17385</v>
      </c>
      <c r="BA3777" s="82" t="s">
        <v>17385</v>
      </c>
      <c r="BB3777" s="82" t="s">
        <v>17385</v>
      </c>
      <c r="BC3777" s="82" t="s">
        <v>16861</v>
      </c>
      <c r="BD3777" s="77">
        <v>51150679</v>
      </c>
      <c r="BE3777" s="77"/>
      <c r="BF3777" s="77"/>
      <c r="BG3777" s="77"/>
      <c r="BH3777" s="77"/>
      <c r="BI3777" s="77"/>
    </row>
    <row r="3778" spans="1:61" x14ac:dyDescent="0.25">
      <c r="A3778" s="62" t="s">
        <v>605</v>
      </c>
      <c r="B3778" s="62" t="s">
        <v>605</v>
      </c>
      <c r="C3778" s="63"/>
      <c r="D3778" s="64"/>
      <c r="E3778" s="65"/>
      <c r="F3778" s="66"/>
      <c r="G3778" s="63"/>
      <c r="H3778" s="67"/>
      <c r="I3778" s="68"/>
      <c r="J3778" s="68"/>
      <c r="K3778" s="32"/>
      <c r="L3778" s="75">
        <v>3778</v>
      </c>
      <c r="M3778" s="75"/>
      <c r="N3778" s="70"/>
      <c r="O3778" s="77" t="s">
        <v>179</v>
      </c>
      <c r="P3778" s="79">
        <v>45195.533402777779</v>
      </c>
      <c r="Q3778" s="77" t="s">
        <v>4552</v>
      </c>
      <c r="R3778" s="77">
        <v>0</v>
      </c>
      <c r="S3778" s="77">
        <v>1</v>
      </c>
      <c r="T3778" s="77">
        <v>1</v>
      </c>
      <c r="U3778" s="77">
        <v>0</v>
      </c>
      <c r="V3778" s="77">
        <v>799</v>
      </c>
      <c r="W3778" s="82" t="s">
        <v>6848</v>
      </c>
      <c r="X3778" s="80" t="str">
        <f>HYPERLINK("https://www.moneytimes.com.br/day-trade-hoje-comprar-copel-cple6-weg-wege3-acoes-ata-do-copom-ipca-15-terca-feira-26-09-2023/?ttmt")</f>
        <v>https://www.moneytimes.com.br/day-trade-hoje-comprar-copel-cple6-weg-wege3-acoes-ata-do-copom-ipca-15-terca-feira-26-09-2023/?ttmt</v>
      </c>
      <c r="Y3778" s="77" t="s">
        <v>7053</v>
      </c>
      <c r="Z3778" s="77"/>
      <c r="AA3778" s="77"/>
      <c r="AB3778" s="77"/>
      <c r="AC3778" s="82" t="s">
        <v>8232</v>
      </c>
      <c r="AD3778" s="77" t="s">
        <v>8278</v>
      </c>
      <c r="AE3778" s="80" t="str">
        <f>HYPERLINK("https://twitter.com/leiamoneytimes/status/1706651862185680919")</f>
        <v>https://twitter.com/leiamoneytimes/status/1706651862185680919</v>
      </c>
      <c r="AF3778" s="79">
        <v>45195.533402777779</v>
      </c>
      <c r="AG3778" s="85">
        <v>45195</v>
      </c>
      <c r="AH3778" s="82" t="s">
        <v>11740</v>
      </c>
      <c r="AI3778" s="77" t="b">
        <v>0</v>
      </c>
      <c r="AJ3778" s="77"/>
      <c r="AK3778" s="77"/>
      <c r="AL3778" s="77"/>
      <c r="AM3778" s="77"/>
      <c r="AN3778" s="77"/>
      <c r="AO3778" s="77"/>
      <c r="AP3778" s="77"/>
      <c r="AQ3778" s="77"/>
      <c r="AR3778" s="77"/>
      <c r="AS3778" s="77"/>
      <c r="AT3778" s="77"/>
      <c r="AU3778" s="77"/>
      <c r="AV3778" s="80" t="str">
        <f>HYPERLINK("https://pbs.twimg.com/profile_images/1559883556846977024/bXHnQFY0_normal.jpg")</f>
        <v>https://pbs.twimg.com/profile_images/1559883556846977024/bXHnQFY0_normal.jpg</v>
      </c>
      <c r="AW3778" s="82" t="s">
        <v>16862</v>
      </c>
      <c r="AX3778" s="82" t="s">
        <v>16862</v>
      </c>
      <c r="AY3778" s="77"/>
      <c r="AZ3778" s="82" t="s">
        <v>17385</v>
      </c>
      <c r="BA3778" s="82" t="s">
        <v>17385</v>
      </c>
      <c r="BB3778" s="82" t="s">
        <v>17385</v>
      </c>
      <c r="BC3778" s="82" t="s">
        <v>16862</v>
      </c>
      <c r="BD3778" s="77">
        <v>51150679</v>
      </c>
      <c r="BE3778" s="77"/>
      <c r="BF3778" s="77"/>
      <c r="BG3778" s="77"/>
      <c r="BH3778" s="77"/>
      <c r="BI3778" s="77"/>
    </row>
    <row r="3779" spans="1:61" x14ac:dyDescent="0.25">
      <c r="A3779" s="62" t="s">
        <v>605</v>
      </c>
      <c r="B3779" s="62" t="s">
        <v>605</v>
      </c>
      <c r="C3779" s="63"/>
      <c r="D3779" s="64"/>
      <c r="E3779" s="65"/>
      <c r="F3779" s="66"/>
      <c r="G3779" s="63"/>
      <c r="H3779" s="67"/>
      <c r="I3779" s="68"/>
      <c r="J3779" s="68"/>
      <c r="K3779" s="32"/>
      <c r="L3779" s="75">
        <v>3779</v>
      </c>
      <c r="M3779" s="75"/>
      <c r="N3779" s="70"/>
      <c r="O3779" s="77" t="s">
        <v>179</v>
      </c>
      <c r="P3779" s="79">
        <v>45195.51053240741</v>
      </c>
      <c r="Q3779" s="77" t="s">
        <v>4553</v>
      </c>
      <c r="R3779" s="77">
        <v>0</v>
      </c>
      <c r="S3779" s="77">
        <v>4</v>
      </c>
      <c r="T3779" s="77">
        <v>1</v>
      </c>
      <c r="U3779" s="77">
        <v>0</v>
      </c>
      <c r="V3779" s="77">
        <v>1166</v>
      </c>
      <c r="W3779" s="82" t="s">
        <v>6797</v>
      </c>
      <c r="X3779" s="80" t="str">
        <f>HYPERLINK("https://www.moneytimes.com.br/casas-bahia-bhia3-por-que-a-acao-da-ex-via-viia3-desaba-20-em-4-dias/?ttmt")</f>
        <v>https://www.moneytimes.com.br/casas-bahia-bhia3-por-que-a-acao-da-ex-via-viia3-desaba-20-em-4-dias/?ttmt</v>
      </c>
      <c r="Y3779" s="77" t="s">
        <v>7053</v>
      </c>
      <c r="Z3779" s="77"/>
      <c r="AA3779" s="77"/>
      <c r="AB3779" s="77"/>
      <c r="AC3779" s="82" t="s">
        <v>8232</v>
      </c>
      <c r="AD3779" s="77" t="s">
        <v>8278</v>
      </c>
      <c r="AE3779" s="80" t="str">
        <f>HYPERLINK("https://twitter.com/leiamoneytimes/status/1706643571573477679")</f>
        <v>https://twitter.com/leiamoneytimes/status/1706643571573477679</v>
      </c>
      <c r="AF3779" s="79">
        <v>45195.51053240741</v>
      </c>
      <c r="AG3779" s="85">
        <v>45195</v>
      </c>
      <c r="AH3779" s="82" t="s">
        <v>11741</v>
      </c>
      <c r="AI3779" s="77" t="b">
        <v>0</v>
      </c>
      <c r="AJ3779" s="77"/>
      <c r="AK3779" s="77"/>
      <c r="AL3779" s="77"/>
      <c r="AM3779" s="77"/>
      <c r="AN3779" s="77"/>
      <c r="AO3779" s="77"/>
      <c r="AP3779" s="77"/>
      <c r="AQ3779" s="77"/>
      <c r="AR3779" s="77"/>
      <c r="AS3779" s="77"/>
      <c r="AT3779" s="77"/>
      <c r="AU3779" s="77"/>
      <c r="AV3779" s="80" t="str">
        <f>HYPERLINK("https://pbs.twimg.com/profile_images/1559883556846977024/bXHnQFY0_normal.jpg")</f>
        <v>https://pbs.twimg.com/profile_images/1559883556846977024/bXHnQFY0_normal.jpg</v>
      </c>
      <c r="AW3779" s="82" t="s">
        <v>16863</v>
      </c>
      <c r="AX3779" s="82" t="s">
        <v>16863</v>
      </c>
      <c r="AY3779" s="77"/>
      <c r="AZ3779" s="82" t="s">
        <v>17385</v>
      </c>
      <c r="BA3779" s="82" t="s">
        <v>17385</v>
      </c>
      <c r="BB3779" s="82" t="s">
        <v>17385</v>
      </c>
      <c r="BC3779" s="82" t="s">
        <v>16863</v>
      </c>
      <c r="BD3779" s="77">
        <v>51150679</v>
      </c>
      <c r="BE3779" s="77"/>
      <c r="BF3779" s="77"/>
      <c r="BG3779" s="77"/>
      <c r="BH3779" s="77"/>
      <c r="BI3779" s="77"/>
    </row>
    <row r="3780" spans="1:61" x14ac:dyDescent="0.25">
      <c r="A3780" s="62" t="s">
        <v>605</v>
      </c>
      <c r="B3780" s="62" t="s">
        <v>605</v>
      </c>
      <c r="C3780" s="63"/>
      <c r="D3780" s="64"/>
      <c r="E3780" s="65"/>
      <c r="F3780" s="66"/>
      <c r="G3780" s="63"/>
      <c r="H3780" s="67"/>
      <c r="I3780" s="68"/>
      <c r="J3780" s="68"/>
      <c r="K3780" s="32"/>
      <c r="L3780" s="75">
        <v>3780</v>
      </c>
      <c r="M3780" s="75"/>
      <c r="N3780" s="70"/>
      <c r="O3780" s="77" t="s">
        <v>179</v>
      </c>
      <c r="P3780" s="79">
        <v>45194.950729166667</v>
      </c>
      <c r="Q3780" s="77" t="s">
        <v>4554</v>
      </c>
      <c r="R3780" s="77">
        <v>0</v>
      </c>
      <c r="S3780" s="77">
        <v>2</v>
      </c>
      <c r="T3780" s="77">
        <v>1</v>
      </c>
      <c r="U3780" s="77">
        <v>0</v>
      </c>
      <c r="V3780" s="77">
        <v>1292</v>
      </c>
      <c r="W3780" s="82" t="s">
        <v>6849</v>
      </c>
      <c r="X3780" s="80" t="str">
        <f>HYPERLINK("https://www.moneytimes.com.br/eletrica-praticamente-no-zero-a-zero-em-2023-vai-deslanchar-bb-atualiza-potencial-da-acao/?ttmt")</f>
        <v>https://www.moneytimes.com.br/eletrica-praticamente-no-zero-a-zero-em-2023-vai-deslanchar-bb-atualiza-potencial-da-acao/?ttmt</v>
      </c>
      <c r="Y3780" s="77" t="s">
        <v>7053</v>
      </c>
      <c r="Z3780" s="77"/>
      <c r="AA3780" s="77"/>
      <c r="AB3780" s="77"/>
      <c r="AC3780" s="82" t="s">
        <v>8232</v>
      </c>
      <c r="AD3780" s="77" t="s">
        <v>8278</v>
      </c>
      <c r="AE3780" s="80" t="str">
        <f>HYPERLINK("https://twitter.com/leiamoneytimes/status/1706440706665964027")</f>
        <v>https://twitter.com/leiamoneytimes/status/1706440706665964027</v>
      </c>
      <c r="AF3780" s="79">
        <v>45194.950729166667</v>
      </c>
      <c r="AG3780" s="85">
        <v>45194</v>
      </c>
      <c r="AH3780" s="82" t="s">
        <v>11742</v>
      </c>
      <c r="AI3780" s="77" t="b">
        <v>0</v>
      </c>
      <c r="AJ3780" s="77"/>
      <c r="AK3780" s="77"/>
      <c r="AL3780" s="77"/>
      <c r="AM3780" s="77"/>
      <c r="AN3780" s="77"/>
      <c r="AO3780" s="77"/>
      <c r="AP3780" s="77"/>
      <c r="AQ3780" s="77"/>
      <c r="AR3780" s="77"/>
      <c r="AS3780" s="77"/>
      <c r="AT3780" s="77"/>
      <c r="AU3780" s="77"/>
      <c r="AV3780" s="80" t="str">
        <f>HYPERLINK("https://pbs.twimg.com/profile_images/1559883556846977024/bXHnQFY0_normal.jpg")</f>
        <v>https://pbs.twimg.com/profile_images/1559883556846977024/bXHnQFY0_normal.jpg</v>
      </c>
      <c r="AW3780" s="82" t="s">
        <v>16864</v>
      </c>
      <c r="AX3780" s="82" t="s">
        <v>16864</v>
      </c>
      <c r="AY3780" s="77"/>
      <c r="AZ3780" s="82" t="s">
        <v>17385</v>
      </c>
      <c r="BA3780" s="82" t="s">
        <v>17385</v>
      </c>
      <c r="BB3780" s="82" t="s">
        <v>17385</v>
      </c>
      <c r="BC3780" s="82" t="s">
        <v>16864</v>
      </c>
      <c r="BD3780" s="77">
        <v>51150679</v>
      </c>
      <c r="BE3780" s="77"/>
      <c r="BF3780" s="77"/>
      <c r="BG3780" s="77"/>
      <c r="BH3780" s="77"/>
      <c r="BI3780" s="77"/>
    </row>
    <row r="3781" spans="1:61" x14ac:dyDescent="0.25">
      <c r="A3781" s="62" t="s">
        <v>605</v>
      </c>
      <c r="B3781" s="62" t="s">
        <v>605</v>
      </c>
      <c r="C3781" s="63"/>
      <c r="D3781" s="64"/>
      <c r="E3781" s="65"/>
      <c r="F3781" s="66"/>
      <c r="G3781" s="63"/>
      <c r="H3781" s="67"/>
      <c r="I3781" s="68"/>
      <c r="J3781" s="68"/>
      <c r="K3781" s="32"/>
      <c r="L3781" s="75">
        <v>3781</v>
      </c>
      <c r="M3781" s="75"/>
      <c r="N3781" s="70"/>
      <c r="O3781" s="77" t="s">
        <v>179</v>
      </c>
      <c r="P3781" s="79">
        <v>45194.531307870369</v>
      </c>
      <c r="Q3781" s="77" t="s">
        <v>4555</v>
      </c>
      <c r="R3781" s="77">
        <v>0</v>
      </c>
      <c r="S3781" s="77">
        <v>0</v>
      </c>
      <c r="T3781" s="77">
        <v>1</v>
      </c>
      <c r="U3781" s="77">
        <v>0</v>
      </c>
      <c r="V3781" s="77">
        <v>975</v>
      </c>
      <c r="W3781" s="82" t="s">
        <v>6769</v>
      </c>
      <c r="X3781" s="80" t="str">
        <f>HYPERLINK("https://www.moneytimes.com.br/a-volta-da-vale-vale3-5-acoes-recomendadas-pra-bater-o-ibovespa-na-semana-segundo-guide-25-09-2023/?ttmt")</f>
        <v>https://www.moneytimes.com.br/a-volta-da-vale-vale3-5-acoes-recomendadas-pra-bater-o-ibovespa-na-semana-segundo-guide-25-09-2023/?ttmt</v>
      </c>
      <c r="Y3781" s="77" t="s">
        <v>7053</v>
      </c>
      <c r="Z3781" s="77"/>
      <c r="AA3781" s="77"/>
      <c r="AB3781" s="77"/>
      <c r="AC3781" s="82" t="s">
        <v>8232</v>
      </c>
      <c r="AD3781" s="77" t="s">
        <v>8278</v>
      </c>
      <c r="AE3781" s="80" t="str">
        <f>HYPERLINK("https://twitter.com/leiamoneytimes/status/1706288712810704972")</f>
        <v>https://twitter.com/leiamoneytimes/status/1706288712810704972</v>
      </c>
      <c r="AF3781" s="79">
        <v>45194.531307870369</v>
      </c>
      <c r="AG3781" s="85">
        <v>45194</v>
      </c>
      <c r="AH3781" s="82" t="s">
        <v>11743</v>
      </c>
      <c r="AI3781" s="77" t="b">
        <v>0</v>
      </c>
      <c r="AJ3781" s="77"/>
      <c r="AK3781" s="77"/>
      <c r="AL3781" s="77"/>
      <c r="AM3781" s="77"/>
      <c r="AN3781" s="77"/>
      <c r="AO3781" s="77"/>
      <c r="AP3781" s="77"/>
      <c r="AQ3781" s="77"/>
      <c r="AR3781" s="77"/>
      <c r="AS3781" s="77"/>
      <c r="AT3781" s="77"/>
      <c r="AU3781" s="77"/>
      <c r="AV3781" s="80" t="str">
        <f>HYPERLINK("https://pbs.twimg.com/profile_images/1559883556846977024/bXHnQFY0_normal.jpg")</f>
        <v>https://pbs.twimg.com/profile_images/1559883556846977024/bXHnQFY0_normal.jpg</v>
      </c>
      <c r="AW3781" s="82" t="s">
        <v>16865</v>
      </c>
      <c r="AX3781" s="82" t="s">
        <v>16865</v>
      </c>
      <c r="AY3781" s="77"/>
      <c r="AZ3781" s="82" t="s">
        <v>17385</v>
      </c>
      <c r="BA3781" s="82" t="s">
        <v>17385</v>
      </c>
      <c r="BB3781" s="82" t="s">
        <v>17385</v>
      </c>
      <c r="BC3781" s="82" t="s">
        <v>16865</v>
      </c>
      <c r="BD3781" s="77">
        <v>51150679</v>
      </c>
      <c r="BE3781" s="77"/>
      <c r="BF3781" s="77"/>
      <c r="BG3781" s="77"/>
      <c r="BH3781" s="77"/>
      <c r="BI3781" s="77"/>
    </row>
    <row r="3782" spans="1:61" x14ac:dyDescent="0.25">
      <c r="A3782" s="62" t="s">
        <v>605</v>
      </c>
      <c r="B3782" s="62" t="s">
        <v>605</v>
      </c>
      <c r="C3782" s="63"/>
      <c r="D3782" s="64"/>
      <c r="E3782" s="65"/>
      <c r="F3782" s="66"/>
      <c r="G3782" s="63"/>
      <c r="H3782" s="67"/>
      <c r="I3782" s="68"/>
      <c r="J3782" s="68"/>
      <c r="K3782" s="32"/>
      <c r="L3782" s="75">
        <v>3782</v>
      </c>
      <c r="M3782" s="75"/>
      <c r="N3782" s="70"/>
      <c r="O3782" s="77" t="s">
        <v>179</v>
      </c>
      <c r="P3782" s="79">
        <v>45194.514363425929</v>
      </c>
      <c r="Q3782" s="77" t="s">
        <v>4556</v>
      </c>
      <c r="R3782" s="77">
        <v>0</v>
      </c>
      <c r="S3782" s="77">
        <v>2</v>
      </c>
      <c r="T3782" s="77">
        <v>3</v>
      </c>
      <c r="U3782" s="77">
        <v>0</v>
      </c>
      <c r="V3782" s="77">
        <v>851</v>
      </c>
      <c r="W3782" s="82" t="s">
        <v>6729</v>
      </c>
      <c r="X3782" s="80" t="str">
        <f>HYPERLINK("https://www.moneytimes.com.br/prio-prio3-assai-asai3-e-mais-3-acoes-para-buscar-retornos-de-ate-571-na-semana-segundo-orama/?ttmt")</f>
        <v>https://www.moneytimes.com.br/prio-prio3-assai-asai3-e-mais-3-acoes-para-buscar-retornos-de-ate-571-na-semana-segundo-orama/?ttmt</v>
      </c>
      <c r="Y3782" s="77" t="s">
        <v>7053</v>
      </c>
      <c r="Z3782" s="77"/>
      <c r="AA3782" s="77"/>
      <c r="AB3782" s="77"/>
      <c r="AC3782" s="82" t="s">
        <v>8232</v>
      </c>
      <c r="AD3782" s="77" t="s">
        <v>8278</v>
      </c>
      <c r="AE3782" s="80" t="str">
        <f>HYPERLINK("https://twitter.com/leiamoneytimes/status/1706282573612171271")</f>
        <v>https://twitter.com/leiamoneytimes/status/1706282573612171271</v>
      </c>
      <c r="AF3782" s="79">
        <v>45194.514363425929</v>
      </c>
      <c r="AG3782" s="85">
        <v>45194</v>
      </c>
      <c r="AH3782" s="82" t="s">
        <v>11744</v>
      </c>
      <c r="AI3782" s="77" t="b">
        <v>0</v>
      </c>
      <c r="AJ3782" s="77"/>
      <c r="AK3782" s="77"/>
      <c r="AL3782" s="77"/>
      <c r="AM3782" s="77"/>
      <c r="AN3782" s="77"/>
      <c r="AO3782" s="77"/>
      <c r="AP3782" s="77"/>
      <c r="AQ3782" s="77"/>
      <c r="AR3782" s="77"/>
      <c r="AS3782" s="77"/>
      <c r="AT3782" s="77"/>
      <c r="AU3782" s="77"/>
      <c r="AV3782" s="80" t="str">
        <f>HYPERLINK("https://pbs.twimg.com/profile_images/1559883556846977024/bXHnQFY0_normal.jpg")</f>
        <v>https://pbs.twimg.com/profile_images/1559883556846977024/bXHnQFY0_normal.jpg</v>
      </c>
      <c r="AW3782" s="82" t="s">
        <v>16866</v>
      </c>
      <c r="AX3782" s="82" t="s">
        <v>16866</v>
      </c>
      <c r="AY3782" s="77"/>
      <c r="AZ3782" s="82" t="s">
        <v>17385</v>
      </c>
      <c r="BA3782" s="82" t="s">
        <v>17385</v>
      </c>
      <c r="BB3782" s="82" t="s">
        <v>17385</v>
      </c>
      <c r="BC3782" s="82" t="s">
        <v>16866</v>
      </c>
      <c r="BD3782" s="77">
        <v>51150679</v>
      </c>
      <c r="BE3782" s="77"/>
      <c r="BF3782" s="77"/>
      <c r="BG3782" s="77"/>
      <c r="BH3782" s="77"/>
      <c r="BI3782" s="77"/>
    </row>
    <row r="3783" spans="1:61" x14ac:dyDescent="0.25">
      <c r="A3783" s="62" t="s">
        <v>605</v>
      </c>
      <c r="B3783" s="62" t="s">
        <v>605</v>
      </c>
      <c r="C3783" s="63"/>
      <c r="D3783" s="64"/>
      <c r="E3783" s="65"/>
      <c r="F3783" s="66"/>
      <c r="G3783" s="63"/>
      <c r="H3783" s="67"/>
      <c r="I3783" s="68"/>
      <c r="J3783" s="68"/>
      <c r="K3783" s="32"/>
      <c r="L3783" s="75">
        <v>3783</v>
      </c>
      <c r="M3783" s="75"/>
      <c r="N3783" s="70"/>
      <c r="O3783" s="77" t="s">
        <v>179</v>
      </c>
      <c r="P3783" s="79">
        <v>45190.530300925922</v>
      </c>
      <c r="Q3783" s="77" t="s">
        <v>4557</v>
      </c>
      <c r="R3783" s="77">
        <v>0</v>
      </c>
      <c r="S3783" s="77">
        <v>4</v>
      </c>
      <c r="T3783" s="77">
        <v>1</v>
      </c>
      <c r="U3783" s="77">
        <v>0</v>
      </c>
      <c r="V3783" s="77">
        <v>872</v>
      </c>
      <c r="W3783" s="82" t="s">
        <v>6850</v>
      </c>
      <c r="X3783" s="80" t="str">
        <f>HYPERLINK("https://www.moneytimes.com.br/gestora-bilionaria-se-desfaz-de-milhares-de-acoes-da-3r-petroleum-rrrp3/?ttmt")</f>
        <v>https://www.moneytimes.com.br/gestora-bilionaria-se-desfaz-de-milhares-de-acoes-da-3r-petroleum-rrrp3/?ttmt</v>
      </c>
      <c r="Y3783" s="77" t="s">
        <v>7053</v>
      </c>
      <c r="Z3783" s="77"/>
      <c r="AA3783" s="77"/>
      <c r="AB3783" s="77"/>
      <c r="AC3783" s="82" t="s">
        <v>8232</v>
      </c>
      <c r="AD3783" s="77" t="s">
        <v>8278</v>
      </c>
      <c r="AE3783" s="80" t="str">
        <f>HYPERLINK("https://twitter.com/leiamoneytimes/status/1704838797739823372")</f>
        <v>https://twitter.com/leiamoneytimes/status/1704838797739823372</v>
      </c>
      <c r="AF3783" s="79">
        <v>45190.530300925922</v>
      </c>
      <c r="AG3783" s="85">
        <v>45190</v>
      </c>
      <c r="AH3783" s="82" t="s">
        <v>11745</v>
      </c>
      <c r="AI3783" s="77" t="b">
        <v>0</v>
      </c>
      <c r="AJ3783" s="77"/>
      <c r="AK3783" s="77"/>
      <c r="AL3783" s="77"/>
      <c r="AM3783" s="77"/>
      <c r="AN3783" s="77"/>
      <c r="AO3783" s="77"/>
      <c r="AP3783" s="77"/>
      <c r="AQ3783" s="77"/>
      <c r="AR3783" s="77"/>
      <c r="AS3783" s="77"/>
      <c r="AT3783" s="77"/>
      <c r="AU3783" s="77"/>
      <c r="AV3783" s="80" t="str">
        <f>HYPERLINK("https://pbs.twimg.com/profile_images/1559883556846977024/bXHnQFY0_normal.jpg")</f>
        <v>https://pbs.twimg.com/profile_images/1559883556846977024/bXHnQFY0_normal.jpg</v>
      </c>
      <c r="AW3783" s="82" t="s">
        <v>16867</v>
      </c>
      <c r="AX3783" s="82" t="s">
        <v>16867</v>
      </c>
      <c r="AY3783" s="77"/>
      <c r="AZ3783" s="82" t="s">
        <v>17385</v>
      </c>
      <c r="BA3783" s="82" t="s">
        <v>17385</v>
      </c>
      <c r="BB3783" s="82" t="s">
        <v>17385</v>
      </c>
      <c r="BC3783" s="82" t="s">
        <v>16867</v>
      </c>
      <c r="BD3783" s="77">
        <v>51150679</v>
      </c>
      <c r="BE3783" s="77"/>
      <c r="BF3783" s="77"/>
      <c r="BG3783" s="77"/>
      <c r="BH3783" s="77"/>
      <c r="BI3783" s="77"/>
    </row>
    <row r="3784" spans="1:61" x14ac:dyDescent="0.25">
      <c r="A3784" s="62" t="s">
        <v>605</v>
      </c>
      <c r="B3784" s="62" t="s">
        <v>605</v>
      </c>
      <c r="C3784" s="63"/>
      <c r="D3784" s="64"/>
      <c r="E3784" s="65"/>
      <c r="F3784" s="66"/>
      <c r="G3784" s="63"/>
      <c r="H3784" s="67"/>
      <c r="I3784" s="68"/>
      <c r="J3784" s="68"/>
      <c r="K3784" s="32"/>
      <c r="L3784" s="75">
        <v>3784</v>
      </c>
      <c r="M3784" s="75"/>
      <c r="N3784" s="70"/>
      <c r="O3784" s="77" t="s">
        <v>179</v>
      </c>
      <c r="P3784" s="79">
        <v>45190.529791666668</v>
      </c>
      <c r="Q3784" s="77" t="s">
        <v>4558</v>
      </c>
      <c r="R3784" s="77">
        <v>0</v>
      </c>
      <c r="S3784" s="77">
        <v>4</v>
      </c>
      <c r="T3784" s="77">
        <v>2</v>
      </c>
      <c r="U3784" s="77">
        <v>1</v>
      </c>
      <c r="V3784" s="77">
        <v>1573</v>
      </c>
      <c r="W3784" s="82" t="s">
        <v>6851</v>
      </c>
      <c r="X3784" s="80" t="str">
        <f>HYPERLINK("https://www.moneytimes.com.br/blackrock-despeja-acoes-da-casas-bahia-bhia3-ex-viia3-no-mercado/?ttmt")</f>
        <v>https://www.moneytimes.com.br/blackrock-despeja-acoes-da-casas-bahia-bhia3-ex-viia3-no-mercado/?ttmt</v>
      </c>
      <c r="Y3784" s="77" t="s">
        <v>7053</v>
      </c>
      <c r="Z3784" s="77"/>
      <c r="AA3784" s="77"/>
      <c r="AB3784" s="77"/>
      <c r="AC3784" s="82" t="s">
        <v>8232</v>
      </c>
      <c r="AD3784" s="77" t="s">
        <v>8278</v>
      </c>
      <c r="AE3784" s="80" t="str">
        <f>HYPERLINK("https://twitter.com/leiamoneytimes/status/1704838613899313642")</f>
        <v>https://twitter.com/leiamoneytimes/status/1704838613899313642</v>
      </c>
      <c r="AF3784" s="79">
        <v>45190.529791666668</v>
      </c>
      <c r="AG3784" s="85">
        <v>45190</v>
      </c>
      <c r="AH3784" s="82" t="s">
        <v>11746</v>
      </c>
      <c r="AI3784" s="77" t="b">
        <v>0</v>
      </c>
      <c r="AJ3784" s="77"/>
      <c r="AK3784" s="77"/>
      <c r="AL3784" s="77"/>
      <c r="AM3784" s="77"/>
      <c r="AN3784" s="77"/>
      <c r="AO3784" s="77"/>
      <c r="AP3784" s="77"/>
      <c r="AQ3784" s="77"/>
      <c r="AR3784" s="77"/>
      <c r="AS3784" s="77"/>
      <c r="AT3784" s="77"/>
      <c r="AU3784" s="77"/>
      <c r="AV3784" s="80" t="str">
        <f>HYPERLINK("https://pbs.twimg.com/profile_images/1559883556846977024/bXHnQFY0_normal.jpg")</f>
        <v>https://pbs.twimg.com/profile_images/1559883556846977024/bXHnQFY0_normal.jpg</v>
      </c>
      <c r="AW3784" s="82" t="s">
        <v>16868</v>
      </c>
      <c r="AX3784" s="82" t="s">
        <v>16868</v>
      </c>
      <c r="AY3784" s="77"/>
      <c r="AZ3784" s="82" t="s">
        <v>17385</v>
      </c>
      <c r="BA3784" s="82" t="s">
        <v>17385</v>
      </c>
      <c r="BB3784" s="82" t="s">
        <v>17385</v>
      </c>
      <c r="BC3784" s="82" t="s">
        <v>16868</v>
      </c>
      <c r="BD3784" s="77">
        <v>51150679</v>
      </c>
      <c r="BE3784" s="77"/>
      <c r="BF3784" s="77"/>
      <c r="BG3784" s="77"/>
      <c r="BH3784" s="77"/>
      <c r="BI3784" s="77"/>
    </row>
    <row r="3785" spans="1:61" x14ac:dyDescent="0.25">
      <c r="A3785" s="62" t="s">
        <v>605</v>
      </c>
      <c r="B3785" s="62" t="s">
        <v>605</v>
      </c>
      <c r="C3785" s="63"/>
      <c r="D3785" s="64"/>
      <c r="E3785" s="65"/>
      <c r="F3785" s="66"/>
      <c r="G3785" s="63"/>
      <c r="H3785" s="67"/>
      <c r="I3785" s="68"/>
      <c r="J3785" s="68"/>
      <c r="K3785" s="32"/>
      <c r="L3785" s="75">
        <v>3785</v>
      </c>
      <c r="M3785" s="75"/>
      <c r="N3785" s="70"/>
      <c r="O3785" s="77" t="s">
        <v>179</v>
      </c>
      <c r="P3785" s="79">
        <v>45190.527928240743</v>
      </c>
      <c r="Q3785" s="77" t="s">
        <v>4559</v>
      </c>
      <c r="R3785" s="77">
        <v>0</v>
      </c>
      <c r="S3785" s="77">
        <v>1</v>
      </c>
      <c r="T3785" s="77">
        <v>1</v>
      </c>
      <c r="U3785" s="77">
        <v>0</v>
      </c>
      <c r="V3785" s="77">
        <v>705</v>
      </c>
      <c r="W3785" s="82" t="s">
        <v>6852</v>
      </c>
      <c r="X3785" s="80" t="str">
        <f>HYPERLINK("http://www.moneytimes.com.br/copel-cple6-cemig-cmig4-e-mais-2-distribuirao-r-13-bilhao-em-jcp-veja-as-datas/?ttmt")</f>
        <v>http://www.moneytimes.com.br/copel-cple6-cemig-cmig4-e-mais-2-distribuirao-r-13-bilhao-em-jcp-veja-as-datas/?ttmt</v>
      </c>
      <c r="Y3785" s="77" t="s">
        <v>7053</v>
      </c>
      <c r="Z3785" s="77"/>
      <c r="AA3785" s="77"/>
      <c r="AB3785" s="77"/>
      <c r="AC3785" s="82" t="s">
        <v>8232</v>
      </c>
      <c r="AD3785" s="77" t="s">
        <v>8278</v>
      </c>
      <c r="AE3785" s="80" t="str">
        <f>HYPERLINK("https://twitter.com/leiamoneytimes/status/1704837938176037046")</f>
        <v>https://twitter.com/leiamoneytimes/status/1704837938176037046</v>
      </c>
      <c r="AF3785" s="79">
        <v>45190.527928240743</v>
      </c>
      <c r="AG3785" s="85">
        <v>45190</v>
      </c>
      <c r="AH3785" s="82" t="s">
        <v>11747</v>
      </c>
      <c r="AI3785" s="77" t="b">
        <v>0</v>
      </c>
      <c r="AJ3785" s="77"/>
      <c r="AK3785" s="77"/>
      <c r="AL3785" s="77"/>
      <c r="AM3785" s="77"/>
      <c r="AN3785" s="77"/>
      <c r="AO3785" s="77"/>
      <c r="AP3785" s="77"/>
      <c r="AQ3785" s="77"/>
      <c r="AR3785" s="77"/>
      <c r="AS3785" s="77"/>
      <c r="AT3785" s="77"/>
      <c r="AU3785" s="77"/>
      <c r="AV3785" s="80" t="str">
        <f>HYPERLINK("https://pbs.twimg.com/profile_images/1559883556846977024/bXHnQFY0_normal.jpg")</f>
        <v>https://pbs.twimg.com/profile_images/1559883556846977024/bXHnQFY0_normal.jpg</v>
      </c>
      <c r="AW3785" s="82" t="s">
        <v>16869</v>
      </c>
      <c r="AX3785" s="82" t="s">
        <v>16869</v>
      </c>
      <c r="AY3785" s="77"/>
      <c r="AZ3785" s="82" t="s">
        <v>17385</v>
      </c>
      <c r="BA3785" s="82" t="s">
        <v>17385</v>
      </c>
      <c r="BB3785" s="82" t="s">
        <v>17385</v>
      </c>
      <c r="BC3785" s="82" t="s">
        <v>16869</v>
      </c>
      <c r="BD3785" s="77">
        <v>51150679</v>
      </c>
      <c r="BE3785" s="77"/>
      <c r="BF3785" s="77"/>
      <c r="BG3785" s="77"/>
      <c r="BH3785" s="77"/>
      <c r="BI3785" s="77"/>
    </row>
    <row r="3786" spans="1:61" x14ac:dyDescent="0.25">
      <c r="A3786" s="62" t="s">
        <v>605</v>
      </c>
      <c r="B3786" s="62" t="s">
        <v>605</v>
      </c>
      <c r="C3786" s="63"/>
      <c r="D3786" s="64"/>
      <c r="E3786" s="65"/>
      <c r="F3786" s="66"/>
      <c r="G3786" s="63"/>
      <c r="H3786" s="67"/>
      <c r="I3786" s="68"/>
      <c r="J3786" s="68"/>
      <c r="K3786" s="32"/>
      <c r="L3786" s="75">
        <v>3786</v>
      </c>
      <c r="M3786" s="75"/>
      <c r="N3786" s="70"/>
      <c r="O3786" s="77" t="s">
        <v>179</v>
      </c>
      <c r="P3786" s="79">
        <v>45190.46702546296</v>
      </c>
      <c r="Q3786" s="77" t="s">
        <v>4560</v>
      </c>
      <c r="R3786" s="77">
        <v>0</v>
      </c>
      <c r="S3786" s="77">
        <v>3</v>
      </c>
      <c r="T3786" s="77">
        <v>1</v>
      </c>
      <c r="U3786" s="77">
        <v>0</v>
      </c>
      <c r="V3786" s="77">
        <v>839</v>
      </c>
      <c r="W3786" s="82" t="s">
        <v>6853</v>
      </c>
      <c r="X3786" s="80" t="str">
        <f>HYPERLINK("https://www.moneytimes.com.br/confira-as-principais-noticias-dos-jornais-hoje-quinta-feira-21-09-2023/?ttmt")</f>
        <v>https://www.moneytimes.com.br/confira-as-principais-noticias-dos-jornais-hoje-quinta-feira-21-09-2023/?ttmt</v>
      </c>
      <c r="Y3786" s="77" t="s">
        <v>7053</v>
      </c>
      <c r="Z3786" s="77"/>
      <c r="AA3786" s="77"/>
      <c r="AB3786" s="77"/>
      <c r="AC3786" s="82" t="s">
        <v>8232</v>
      </c>
      <c r="AD3786" s="77" t="s">
        <v>8278</v>
      </c>
      <c r="AE3786" s="80" t="str">
        <f>HYPERLINK("https://twitter.com/leiamoneytimes/status/1704815868171919548")</f>
        <v>https://twitter.com/leiamoneytimes/status/1704815868171919548</v>
      </c>
      <c r="AF3786" s="79">
        <v>45190.46702546296</v>
      </c>
      <c r="AG3786" s="85">
        <v>45190</v>
      </c>
      <c r="AH3786" s="82" t="s">
        <v>11748</v>
      </c>
      <c r="AI3786" s="77" t="b">
        <v>0</v>
      </c>
      <c r="AJ3786" s="77"/>
      <c r="AK3786" s="77"/>
      <c r="AL3786" s="77"/>
      <c r="AM3786" s="77"/>
      <c r="AN3786" s="77"/>
      <c r="AO3786" s="77"/>
      <c r="AP3786" s="77"/>
      <c r="AQ3786" s="77"/>
      <c r="AR3786" s="77"/>
      <c r="AS3786" s="77"/>
      <c r="AT3786" s="77"/>
      <c r="AU3786" s="77"/>
      <c r="AV3786" s="80" t="str">
        <f>HYPERLINK("https://pbs.twimg.com/profile_images/1559883556846977024/bXHnQFY0_normal.jpg")</f>
        <v>https://pbs.twimg.com/profile_images/1559883556846977024/bXHnQFY0_normal.jpg</v>
      </c>
      <c r="AW3786" s="82" t="s">
        <v>16870</v>
      </c>
      <c r="AX3786" s="82" t="s">
        <v>16870</v>
      </c>
      <c r="AY3786" s="77"/>
      <c r="AZ3786" s="82" t="s">
        <v>17385</v>
      </c>
      <c r="BA3786" s="82" t="s">
        <v>17385</v>
      </c>
      <c r="BB3786" s="82" t="s">
        <v>17385</v>
      </c>
      <c r="BC3786" s="82" t="s">
        <v>16870</v>
      </c>
      <c r="BD3786" s="77">
        <v>51150679</v>
      </c>
      <c r="BE3786" s="77"/>
      <c r="BF3786" s="77"/>
      <c r="BG3786" s="77"/>
      <c r="BH3786" s="77"/>
      <c r="BI3786" s="77"/>
    </row>
    <row r="3787" spans="1:61" x14ac:dyDescent="0.25">
      <c r="A3787" s="62" t="s">
        <v>605</v>
      </c>
      <c r="B3787" s="62" t="s">
        <v>605</v>
      </c>
      <c r="C3787" s="63"/>
      <c r="D3787" s="64"/>
      <c r="E3787" s="65"/>
      <c r="F3787" s="66"/>
      <c r="G3787" s="63"/>
      <c r="H3787" s="67"/>
      <c r="I3787" s="68"/>
      <c r="J3787" s="68"/>
      <c r="K3787" s="32"/>
      <c r="L3787" s="75">
        <v>3787</v>
      </c>
      <c r="M3787" s="75"/>
      <c r="N3787" s="70"/>
      <c r="O3787" s="77" t="s">
        <v>179</v>
      </c>
      <c r="P3787" s="79">
        <v>45188.958090277774</v>
      </c>
      <c r="Q3787" s="77" t="s">
        <v>4561</v>
      </c>
      <c r="R3787" s="77">
        <v>0</v>
      </c>
      <c r="S3787" s="77">
        <v>2</v>
      </c>
      <c r="T3787" s="77">
        <v>0</v>
      </c>
      <c r="U3787" s="77">
        <v>0</v>
      </c>
      <c r="V3787" s="77">
        <v>1076</v>
      </c>
      <c r="W3787" s="82" t="s">
        <v>6854</v>
      </c>
      <c r="X3787" s="80" t="str">
        <f>HYPERLINK("https://www.moneytimes.com.br/vai-ter-ipo-2w-ecobank-engaja-bancos-para-avaliar-estreia-na-bolsa/?ttmt")</f>
        <v>https://www.moneytimes.com.br/vai-ter-ipo-2w-ecobank-engaja-bancos-para-avaliar-estreia-na-bolsa/?ttmt</v>
      </c>
      <c r="Y3787" s="77" t="s">
        <v>7053</v>
      </c>
      <c r="Z3787" s="77"/>
      <c r="AA3787" s="77"/>
      <c r="AB3787" s="77"/>
      <c r="AC3787" s="82" t="s">
        <v>8232</v>
      </c>
      <c r="AD3787" s="77" t="s">
        <v>8278</v>
      </c>
      <c r="AE3787" s="80" t="str">
        <f>HYPERLINK("https://twitter.com/leiamoneytimes/status/1704269049914405233")</f>
        <v>https://twitter.com/leiamoneytimes/status/1704269049914405233</v>
      </c>
      <c r="AF3787" s="79">
        <v>45188.958090277774</v>
      </c>
      <c r="AG3787" s="85">
        <v>45188</v>
      </c>
      <c r="AH3787" s="82" t="s">
        <v>11749</v>
      </c>
      <c r="AI3787" s="77" t="b">
        <v>0</v>
      </c>
      <c r="AJ3787" s="77"/>
      <c r="AK3787" s="77"/>
      <c r="AL3787" s="77"/>
      <c r="AM3787" s="77"/>
      <c r="AN3787" s="77"/>
      <c r="AO3787" s="77"/>
      <c r="AP3787" s="77"/>
      <c r="AQ3787" s="77"/>
      <c r="AR3787" s="77"/>
      <c r="AS3787" s="77"/>
      <c r="AT3787" s="77"/>
      <c r="AU3787" s="77"/>
      <c r="AV3787" s="80" t="str">
        <f>HYPERLINK("https://pbs.twimg.com/profile_images/1559883556846977024/bXHnQFY0_normal.jpg")</f>
        <v>https://pbs.twimg.com/profile_images/1559883556846977024/bXHnQFY0_normal.jpg</v>
      </c>
      <c r="AW3787" s="82" t="s">
        <v>16871</v>
      </c>
      <c r="AX3787" s="82" t="s">
        <v>16871</v>
      </c>
      <c r="AY3787" s="77"/>
      <c r="AZ3787" s="82" t="s">
        <v>17385</v>
      </c>
      <c r="BA3787" s="82" t="s">
        <v>17385</v>
      </c>
      <c r="BB3787" s="82" t="s">
        <v>17385</v>
      </c>
      <c r="BC3787" s="82" t="s">
        <v>16871</v>
      </c>
      <c r="BD3787" s="77">
        <v>51150679</v>
      </c>
      <c r="BE3787" s="77"/>
      <c r="BF3787" s="77"/>
      <c r="BG3787" s="77"/>
      <c r="BH3787" s="77"/>
      <c r="BI3787" s="77"/>
    </row>
    <row r="3788" spans="1:61" x14ac:dyDescent="0.25">
      <c r="A3788" s="62" t="s">
        <v>605</v>
      </c>
      <c r="B3788" s="62" t="s">
        <v>605</v>
      </c>
      <c r="C3788" s="63"/>
      <c r="D3788" s="64"/>
      <c r="E3788" s="65"/>
      <c r="F3788" s="66"/>
      <c r="G3788" s="63"/>
      <c r="H3788" s="67"/>
      <c r="I3788" s="68"/>
      <c r="J3788" s="68"/>
      <c r="K3788" s="32"/>
      <c r="L3788" s="75">
        <v>3788</v>
      </c>
      <c r="M3788" s="75"/>
      <c r="N3788" s="70"/>
      <c r="O3788" s="77" t="s">
        <v>179</v>
      </c>
      <c r="P3788" s="79">
        <v>45188.92559027778</v>
      </c>
      <c r="Q3788" s="77" t="s">
        <v>4562</v>
      </c>
      <c r="R3788" s="77">
        <v>0</v>
      </c>
      <c r="S3788" s="77">
        <v>2</v>
      </c>
      <c r="T3788" s="77">
        <v>0</v>
      </c>
      <c r="U3788" s="77">
        <v>0</v>
      </c>
      <c r="V3788" s="77">
        <v>1106</v>
      </c>
      <c r="W3788" s="82" t="s">
        <v>6855</v>
      </c>
      <c r="X3788" s="80" t="str">
        <f>HYPERLINK("https://www.moneytimes.com.br/vale-vale3-ou-csn-mineracao-cmin3-a-acao-para-comprar-segundo-genial/?ttmt")</f>
        <v>https://www.moneytimes.com.br/vale-vale3-ou-csn-mineracao-cmin3-a-acao-para-comprar-segundo-genial/?ttmt</v>
      </c>
      <c r="Y3788" s="77" t="s">
        <v>7053</v>
      </c>
      <c r="Z3788" s="77"/>
      <c r="AA3788" s="77"/>
      <c r="AB3788" s="77"/>
      <c r="AC3788" s="82" t="s">
        <v>8232</v>
      </c>
      <c r="AD3788" s="77" t="s">
        <v>8278</v>
      </c>
      <c r="AE3788" s="80" t="str">
        <f>HYPERLINK("https://twitter.com/leiamoneytimes/status/1704257271109214467")</f>
        <v>https://twitter.com/leiamoneytimes/status/1704257271109214467</v>
      </c>
      <c r="AF3788" s="79">
        <v>45188.92559027778</v>
      </c>
      <c r="AG3788" s="85">
        <v>45188</v>
      </c>
      <c r="AH3788" s="82" t="s">
        <v>11750</v>
      </c>
      <c r="AI3788" s="77" t="b">
        <v>0</v>
      </c>
      <c r="AJ3788" s="77"/>
      <c r="AK3788" s="77"/>
      <c r="AL3788" s="77"/>
      <c r="AM3788" s="77"/>
      <c r="AN3788" s="77"/>
      <c r="AO3788" s="77"/>
      <c r="AP3788" s="77"/>
      <c r="AQ3788" s="77"/>
      <c r="AR3788" s="77"/>
      <c r="AS3788" s="77"/>
      <c r="AT3788" s="77"/>
      <c r="AU3788" s="77"/>
      <c r="AV3788" s="80" t="str">
        <f>HYPERLINK("https://pbs.twimg.com/profile_images/1559883556846977024/bXHnQFY0_normal.jpg")</f>
        <v>https://pbs.twimg.com/profile_images/1559883556846977024/bXHnQFY0_normal.jpg</v>
      </c>
      <c r="AW3788" s="82" t="s">
        <v>16872</v>
      </c>
      <c r="AX3788" s="82" t="s">
        <v>16872</v>
      </c>
      <c r="AY3788" s="77"/>
      <c r="AZ3788" s="82" t="s">
        <v>17385</v>
      </c>
      <c r="BA3788" s="82" t="s">
        <v>17385</v>
      </c>
      <c r="BB3788" s="82" t="s">
        <v>17385</v>
      </c>
      <c r="BC3788" s="82" t="s">
        <v>16872</v>
      </c>
      <c r="BD3788" s="77">
        <v>51150679</v>
      </c>
      <c r="BE3788" s="77"/>
      <c r="BF3788" s="77"/>
      <c r="BG3788" s="77"/>
      <c r="BH3788" s="77"/>
      <c r="BI3788" s="77"/>
    </row>
    <row r="3789" spans="1:61" x14ac:dyDescent="0.25">
      <c r="A3789" s="62" t="s">
        <v>605</v>
      </c>
      <c r="B3789" s="62" t="s">
        <v>605</v>
      </c>
      <c r="C3789" s="63"/>
      <c r="D3789" s="64"/>
      <c r="E3789" s="65"/>
      <c r="F3789" s="66"/>
      <c r="G3789" s="63"/>
      <c r="H3789" s="67"/>
      <c r="I3789" s="68"/>
      <c r="J3789" s="68"/>
      <c r="K3789" s="32"/>
      <c r="L3789" s="75">
        <v>3789</v>
      </c>
      <c r="M3789" s="75"/>
      <c r="N3789" s="70"/>
      <c r="O3789" s="77" t="s">
        <v>179</v>
      </c>
      <c r="P3789" s="79">
        <v>45188.763298611113</v>
      </c>
      <c r="Q3789" s="77" t="s">
        <v>4563</v>
      </c>
      <c r="R3789" s="77">
        <v>0</v>
      </c>
      <c r="S3789" s="77">
        <v>2</v>
      </c>
      <c r="T3789" s="77">
        <v>0</v>
      </c>
      <c r="U3789" s="77">
        <v>0</v>
      </c>
      <c r="V3789" s="77">
        <v>780</v>
      </c>
      <c r="W3789" s="82" t="s">
        <v>6856</v>
      </c>
      <c r="X3789" s="80" t="str">
        <f>HYPERLINK("https://www.moneytimes.com.br/vivo-vivt3-dividendos-superiores-a-100-bank-of-america-bofa/?ttmt")</f>
        <v>https://www.moneytimes.com.br/vivo-vivt3-dividendos-superiores-a-100-bank-of-america-bofa/?ttmt</v>
      </c>
      <c r="Y3789" s="77" t="s">
        <v>7053</v>
      </c>
      <c r="Z3789" s="77"/>
      <c r="AA3789" s="77"/>
      <c r="AB3789" s="77"/>
      <c r="AC3789" s="82" t="s">
        <v>8232</v>
      </c>
      <c r="AD3789" s="77" t="s">
        <v>8278</v>
      </c>
      <c r="AE3789" s="80" t="str">
        <f>HYPERLINK("https://twitter.com/leiamoneytimes/status/1704198459199254832")</f>
        <v>https://twitter.com/leiamoneytimes/status/1704198459199254832</v>
      </c>
      <c r="AF3789" s="79">
        <v>45188.763298611113</v>
      </c>
      <c r="AG3789" s="85">
        <v>45188</v>
      </c>
      <c r="AH3789" s="82" t="s">
        <v>11751</v>
      </c>
      <c r="AI3789" s="77" t="b">
        <v>0</v>
      </c>
      <c r="AJ3789" s="77"/>
      <c r="AK3789" s="77"/>
      <c r="AL3789" s="77"/>
      <c r="AM3789" s="77"/>
      <c r="AN3789" s="77"/>
      <c r="AO3789" s="77"/>
      <c r="AP3789" s="77"/>
      <c r="AQ3789" s="77"/>
      <c r="AR3789" s="77"/>
      <c r="AS3789" s="77"/>
      <c r="AT3789" s="77"/>
      <c r="AU3789" s="77"/>
      <c r="AV3789" s="80" t="str">
        <f>HYPERLINK("https://pbs.twimg.com/profile_images/1559883556846977024/bXHnQFY0_normal.jpg")</f>
        <v>https://pbs.twimg.com/profile_images/1559883556846977024/bXHnQFY0_normal.jpg</v>
      </c>
      <c r="AW3789" s="82" t="s">
        <v>16873</v>
      </c>
      <c r="AX3789" s="82" t="s">
        <v>16873</v>
      </c>
      <c r="AY3789" s="77"/>
      <c r="AZ3789" s="82" t="s">
        <v>17385</v>
      </c>
      <c r="BA3789" s="82" t="s">
        <v>17385</v>
      </c>
      <c r="BB3789" s="82" t="s">
        <v>17385</v>
      </c>
      <c r="BC3789" s="82" t="s">
        <v>16873</v>
      </c>
      <c r="BD3789" s="77">
        <v>51150679</v>
      </c>
      <c r="BE3789" s="77"/>
      <c r="BF3789" s="77"/>
      <c r="BG3789" s="77"/>
      <c r="BH3789" s="77"/>
      <c r="BI3789" s="77"/>
    </row>
    <row r="3790" spans="1:61" x14ac:dyDescent="0.25">
      <c r="A3790" s="62" t="s">
        <v>605</v>
      </c>
      <c r="B3790" s="62" t="s">
        <v>605</v>
      </c>
      <c r="C3790" s="63"/>
      <c r="D3790" s="64"/>
      <c r="E3790" s="65"/>
      <c r="F3790" s="66"/>
      <c r="G3790" s="63"/>
      <c r="H3790" s="67"/>
      <c r="I3790" s="68"/>
      <c r="J3790" s="68"/>
      <c r="K3790" s="32"/>
      <c r="L3790" s="75">
        <v>3790</v>
      </c>
      <c r="M3790" s="75"/>
      <c r="N3790" s="70"/>
      <c r="O3790" s="77" t="s">
        <v>179</v>
      </c>
      <c r="P3790" s="79">
        <v>45184.979722222219</v>
      </c>
      <c r="Q3790" s="77" t="s">
        <v>4564</v>
      </c>
      <c r="R3790" s="77">
        <v>1</v>
      </c>
      <c r="S3790" s="77">
        <v>10</v>
      </c>
      <c r="T3790" s="77">
        <v>1</v>
      </c>
      <c r="U3790" s="77">
        <v>1</v>
      </c>
      <c r="V3790" s="77">
        <v>3020</v>
      </c>
      <c r="W3790" s="82" t="s">
        <v>6857</v>
      </c>
      <c r="X3790" s="80" t="str">
        <f>HYPERLINK("https://www.moneytimes.com.br/btg-esta-com-uma-nova-eletrica-favorita-entenda-o-potencial-da-acao/?ttmt")</f>
        <v>https://www.moneytimes.com.br/btg-esta-com-uma-nova-eletrica-favorita-entenda-o-potencial-da-acao/?ttmt</v>
      </c>
      <c r="Y3790" s="77" t="s">
        <v>7053</v>
      </c>
      <c r="Z3790" s="77"/>
      <c r="AA3790" s="77"/>
      <c r="AB3790" s="77"/>
      <c r="AC3790" s="82" t="s">
        <v>8232</v>
      </c>
      <c r="AD3790" s="77" t="s">
        <v>8278</v>
      </c>
      <c r="AE3790" s="80" t="str">
        <f>HYPERLINK("https://twitter.com/leiamoneytimes/status/1702827333650919918")</f>
        <v>https://twitter.com/leiamoneytimes/status/1702827333650919918</v>
      </c>
      <c r="AF3790" s="79">
        <v>45184.979722222219</v>
      </c>
      <c r="AG3790" s="85">
        <v>45184</v>
      </c>
      <c r="AH3790" s="82" t="s">
        <v>11752</v>
      </c>
      <c r="AI3790" s="77" t="b">
        <v>0</v>
      </c>
      <c r="AJ3790" s="77"/>
      <c r="AK3790" s="77"/>
      <c r="AL3790" s="77"/>
      <c r="AM3790" s="77"/>
      <c r="AN3790" s="77"/>
      <c r="AO3790" s="77"/>
      <c r="AP3790" s="77"/>
      <c r="AQ3790" s="77"/>
      <c r="AR3790" s="77"/>
      <c r="AS3790" s="77"/>
      <c r="AT3790" s="77"/>
      <c r="AU3790" s="77"/>
      <c r="AV3790" s="80" t="str">
        <f>HYPERLINK("https://pbs.twimg.com/profile_images/1559883556846977024/bXHnQFY0_normal.jpg")</f>
        <v>https://pbs.twimg.com/profile_images/1559883556846977024/bXHnQFY0_normal.jpg</v>
      </c>
      <c r="AW3790" s="82" t="s">
        <v>16874</v>
      </c>
      <c r="AX3790" s="82" t="s">
        <v>16874</v>
      </c>
      <c r="AY3790" s="77"/>
      <c r="AZ3790" s="82" t="s">
        <v>17385</v>
      </c>
      <c r="BA3790" s="82" t="s">
        <v>17385</v>
      </c>
      <c r="BB3790" s="82" t="s">
        <v>17385</v>
      </c>
      <c r="BC3790" s="82" t="s">
        <v>16874</v>
      </c>
      <c r="BD3790" s="77">
        <v>51150679</v>
      </c>
      <c r="BE3790" s="77"/>
      <c r="BF3790" s="77"/>
      <c r="BG3790" s="77"/>
      <c r="BH3790" s="77"/>
      <c r="BI3790" s="77"/>
    </row>
    <row r="3791" spans="1:61" x14ac:dyDescent="0.25">
      <c r="A3791" s="62" t="s">
        <v>605</v>
      </c>
      <c r="B3791" s="62" t="s">
        <v>605</v>
      </c>
      <c r="C3791" s="63"/>
      <c r="D3791" s="64"/>
      <c r="E3791" s="65"/>
      <c r="F3791" s="66"/>
      <c r="G3791" s="63"/>
      <c r="H3791" s="67"/>
      <c r="I3791" s="68"/>
      <c r="J3791" s="68"/>
      <c r="K3791" s="32"/>
      <c r="L3791" s="75">
        <v>3791</v>
      </c>
      <c r="M3791" s="75"/>
      <c r="N3791" s="70"/>
      <c r="O3791" s="77" t="s">
        <v>179</v>
      </c>
      <c r="P3791" s="79">
        <v>45184.86986111111</v>
      </c>
      <c r="Q3791" s="77" t="s">
        <v>4565</v>
      </c>
      <c r="R3791" s="77">
        <v>0</v>
      </c>
      <c r="S3791" s="77">
        <v>5</v>
      </c>
      <c r="T3791" s="77">
        <v>1</v>
      </c>
      <c r="U3791" s="77">
        <v>0</v>
      </c>
      <c r="V3791" s="77">
        <v>1388</v>
      </c>
      <c r="W3791" s="82" t="s">
        <v>6858</v>
      </c>
      <c r="X3791" s="80" t="str">
        <f>HYPERLINK("https://www.moneytimes.com.br/copasa-csmg3-aprova-bolada-em-jcp-a-acionistas-confira-valor-e-datas/?ttmt")</f>
        <v>https://www.moneytimes.com.br/copasa-csmg3-aprova-bolada-em-jcp-a-acionistas-confira-valor-e-datas/?ttmt</v>
      </c>
      <c r="Y3791" s="77" t="s">
        <v>7053</v>
      </c>
      <c r="Z3791" s="77"/>
      <c r="AA3791" s="77"/>
      <c r="AB3791" s="77"/>
      <c r="AC3791" s="82" t="s">
        <v>8232</v>
      </c>
      <c r="AD3791" s="77" t="s">
        <v>8278</v>
      </c>
      <c r="AE3791" s="80" t="str">
        <f>HYPERLINK("https://twitter.com/leiamoneytimes/status/1702787524651856204")</f>
        <v>https://twitter.com/leiamoneytimes/status/1702787524651856204</v>
      </c>
      <c r="AF3791" s="79">
        <v>45184.86986111111</v>
      </c>
      <c r="AG3791" s="85">
        <v>45184</v>
      </c>
      <c r="AH3791" s="82" t="s">
        <v>11753</v>
      </c>
      <c r="AI3791" s="77" t="b">
        <v>0</v>
      </c>
      <c r="AJ3791" s="77"/>
      <c r="AK3791" s="77"/>
      <c r="AL3791" s="77"/>
      <c r="AM3791" s="77"/>
      <c r="AN3791" s="77"/>
      <c r="AO3791" s="77"/>
      <c r="AP3791" s="77"/>
      <c r="AQ3791" s="77"/>
      <c r="AR3791" s="77"/>
      <c r="AS3791" s="77"/>
      <c r="AT3791" s="77"/>
      <c r="AU3791" s="77"/>
      <c r="AV3791" s="80" t="str">
        <f>HYPERLINK("https://pbs.twimg.com/profile_images/1559883556846977024/bXHnQFY0_normal.jpg")</f>
        <v>https://pbs.twimg.com/profile_images/1559883556846977024/bXHnQFY0_normal.jpg</v>
      </c>
      <c r="AW3791" s="82" t="s">
        <v>16875</v>
      </c>
      <c r="AX3791" s="82" t="s">
        <v>16875</v>
      </c>
      <c r="AY3791" s="77"/>
      <c r="AZ3791" s="82" t="s">
        <v>17385</v>
      </c>
      <c r="BA3791" s="82" t="s">
        <v>17385</v>
      </c>
      <c r="BB3791" s="82" t="s">
        <v>17385</v>
      </c>
      <c r="BC3791" s="82" t="s">
        <v>16875</v>
      </c>
      <c r="BD3791" s="77">
        <v>51150679</v>
      </c>
      <c r="BE3791" s="77"/>
      <c r="BF3791" s="77"/>
      <c r="BG3791" s="77"/>
      <c r="BH3791" s="77"/>
      <c r="BI3791" s="77"/>
    </row>
    <row r="3792" spans="1:61" x14ac:dyDescent="0.25">
      <c r="A3792" s="62" t="s">
        <v>605</v>
      </c>
      <c r="B3792" s="62" t="s">
        <v>605</v>
      </c>
      <c r="C3792" s="63"/>
      <c r="D3792" s="64"/>
      <c r="E3792" s="65"/>
      <c r="F3792" s="66"/>
      <c r="G3792" s="63"/>
      <c r="H3792" s="67"/>
      <c r="I3792" s="68"/>
      <c r="J3792" s="68"/>
      <c r="K3792" s="32"/>
      <c r="L3792" s="75">
        <v>3792</v>
      </c>
      <c r="M3792" s="75"/>
      <c r="N3792" s="70"/>
      <c r="O3792" s="77" t="s">
        <v>179</v>
      </c>
      <c r="P3792" s="79">
        <v>45184.849374999998</v>
      </c>
      <c r="Q3792" s="77" t="s">
        <v>4566</v>
      </c>
      <c r="R3792" s="77">
        <v>0</v>
      </c>
      <c r="S3792" s="77">
        <v>1</v>
      </c>
      <c r="T3792" s="77">
        <v>1</v>
      </c>
      <c r="U3792" s="77">
        <v>0</v>
      </c>
      <c r="V3792" s="77">
        <v>1010</v>
      </c>
      <c r="W3792" s="82" t="s">
        <v>6859</v>
      </c>
      <c r="X3792" s="80" t="str">
        <f>HYPERLINK("https://www.moneytimes.com.br/ibovespa-hoje-fecha-queda-juros-wall-street-15-09-2023/?ttmt")</f>
        <v>https://www.moneytimes.com.br/ibovespa-hoje-fecha-queda-juros-wall-street-15-09-2023/?ttmt</v>
      </c>
      <c r="Y3792" s="77" t="s">
        <v>7053</v>
      </c>
      <c r="Z3792" s="77"/>
      <c r="AA3792" s="77"/>
      <c r="AB3792" s="77"/>
      <c r="AC3792" s="82" t="s">
        <v>8232</v>
      </c>
      <c r="AD3792" s="77" t="s">
        <v>8278</v>
      </c>
      <c r="AE3792" s="80" t="str">
        <f>HYPERLINK("https://twitter.com/leiamoneytimes/status/1702780099513245837")</f>
        <v>https://twitter.com/leiamoneytimes/status/1702780099513245837</v>
      </c>
      <c r="AF3792" s="79">
        <v>45184.849374999998</v>
      </c>
      <c r="AG3792" s="85">
        <v>45184</v>
      </c>
      <c r="AH3792" s="82" t="s">
        <v>11754</v>
      </c>
      <c r="AI3792" s="77" t="b">
        <v>0</v>
      </c>
      <c r="AJ3792" s="77"/>
      <c r="AK3792" s="77"/>
      <c r="AL3792" s="77"/>
      <c r="AM3792" s="77"/>
      <c r="AN3792" s="77"/>
      <c r="AO3792" s="77"/>
      <c r="AP3792" s="77"/>
      <c r="AQ3792" s="77"/>
      <c r="AR3792" s="77"/>
      <c r="AS3792" s="77"/>
      <c r="AT3792" s="77"/>
      <c r="AU3792" s="77"/>
      <c r="AV3792" s="80" t="str">
        <f>HYPERLINK("https://pbs.twimg.com/profile_images/1559883556846977024/bXHnQFY0_normal.jpg")</f>
        <v>https://pbs.twimg.com/profile_images/1559883556846977024/bXHnQFY0_normal.jpg</v>
      </c>
      <c r="AW3792" s="82" t="s">
        <v>16876</v>
      </c>
      <c r="AX3792" s="82" t="s">
        <v>16876</v>
      </c>
      <c r="AY3792" s="77"/>
      <c r="AZ3792" s="82" t="s">
        <v>17385</v>
      </c>
      <c r="BA3792" s="82" t="s">
        <v>17385</v>
      </c>
      <c r="BB3792" s="82" t="s">
        <v>17385</v>
      </c>
      <c r="BC3792" s="82" t="s">
        <v>16876</v>
      </c>
      <c r="BD3792" s="77">
        <v>51150679</v>
      </c>
      <c r="BE3792" s="77"/>
      <c r="BF3792" s="77"/>
      <c r="BG3792" s="77"/>
      <c r="BH3792" s="77"/>
      <c r="BI3792" s="77"/>
    </row>
    <row r="3793" spans="1:61" x14ac:dyDescent="0.25">
      <c r="A3793" s="62" t="s">
        <v>605</v>
      </c>
      <c r="B3793" s="62" t="s">
        <v>605</v>
      </c>
      <c r="C3793" s="63"/>
      <c r="D3793" s="64"/>
      <c r="E3793" s="65"/>
      <c r="F3793" s="66"/>
      <c r="G3793" s="63"/>
      <c r="H3793" s="67"/>
      <c r="I3793" s="68"/>
      <c r="J3793" s="68"/>
      <c r="K3793" s="32"/>
      <c r="L3793" s="75">
        <v>3793</v>
      </c>
      <c r="M3793" s="75"/>
      <c r="N3793" s="70"/>
      <c r="O3793" s="77" t="s">
        <v>179</v>
      </c>
      <c r="P3793" s="79">
        <v>45184.799872685187</v>
      </c>
      <c r="Q3793" s="77" t="s">
        <v>4567</v>
      </c>
      <c r="R3793" s="77">
        <v>0</v>
      </c>
      <c r="S3793" s="77">
        <v>2</v>
      </c>
      <c r="T3793" s="77">
        <v>0</v>
      </c>
      <c r="U3793" s="77">
        <v>0</v>
      </c>
      <c r="V3793" s="77">
        <v>1079</v>
      </c>
      <c r="W3793" s="82" t="s">
        <v>6860</v>
      </c>
      <c r="X3793" s="80" t="str">
        <f>HYPERLINK("https://www.moneytimes.com.br/vale-vale3-ou-csn-mineracao-cmin3-quem-ganha-mais-com-nova-alta-do-minerio-de-ferro/?ttmt")</f>
        <v>https://www.moneytimes.com.br/vale-vale3-ou-csn-mineracao-cmin3-quem-ganha-mais-com-nova-alta-do-minerio-de-ferro/?ttmt</v>
      </c>
      <c r="Y3793" s="77" t="s">
        <v>7053</v>
      </c>
      <c r="Z3793" s="77"/>
      <c r="AA3793" s="77"/>
      <c r="AB3793" s="77"/>
      <c r="AC3793" s="82" t="s">
        <v>8232</v>
      </c>
      <c r="AD3793" s="77" t="s">
        <v>8278</v>
      </c>
      <c r="AE3793" s="80" t="str">
        <f>HYPERLINK("https://twitter.com/leiamoneytimes/status/1702762159283822970")</f>
        <v>https://twitter.com/leiamoneytimes/status/1702762159283822970</v>
      </c>
      <c r="AF3793" s="79">
        <v>45184.799872685187</v>
      </c>
      <c r="AG3793" s="85">
        <v>45184</v>
      </c>
      <c r="AH3793" s="82" t="s">
        <v>11755</v>
      </c>
      <c r="AI3793" s="77" t="b">
        <v>0</v>
      </c>
      <c r="AJ3793" s="77"/>
      <c r="AK3793" s="77"/>
      <c r="AL3793" s="77"/>
      <c r="AM3793" s="77"/>
      <c r="AN3793" s="77"/>
      <c r="AO3793" s="77"/>
      <c r="AP3793" s="77"/>
      <c r="AQ3793" s="77"/>
      <c r="AR3793" s="77"/>
      <c r="AS3793" s="77"/>
      <c r="AT3793" s="77"/>
      <c r="AU3793" s="77"/>
      <c r="AV3793" s="80" t="str">
        <f>HYPERLINK("https://pbs.twimg.com/profile_images/1559883556846977024/bXHnQFY0_normal.jpg")</f>
        <v>https://pbs.twimg.com/profile_images/1559883556846977024/bXHnQFY0_normal.jpg</v>
      </c>
      <c r="AW3793" s="82" t="s">
        <v>16877</v>
      </c>
      <c r="AX3793" s="82" t="s">
        <v>16877</v>
      </c>
      <c r="AY3793" s="77"/>
      <c r="AZ3793" s="82" t="s">
        <v>17385</v>
      </c>
      <c r="BA3793" s="82" t="s">
        <v>17385</v>
      </c>
      <c r="BB3793" s="82" t="s">
        <v>17385</v>
      </c>
      <c r="BC3793" s="82" t="s">
        <v>16877</v>
      </c>
      <c r="BD3793" s="77">
        <v>51150679</v>
      </c>
      <c r="BE3793" s="77"/>
      <c r="BF3793" s="77"/>
      <c r="BG3793" s="77"/>
      <c r="BH3793" s="77"/>
      <c r="BI3793" s="77"/>
    </row>
    <row r="3794" spans="1:61" x14ac:dyDescent="0.25">
      <c r="A3794" s="62" t="s">
        <v>605</v>
      </c>
      <c r="B3794" s="62" t="s">
        <v>605</v>
      </c>
      <c r="C3794" s="63"/>
      <c r="D3794" s="64"/>
      <c r="E3794" s="65"/>
      <c r="F3794" s="66"/>
      <c r="G3794" s="63"/>
      <c r="H3794" s="67"/>
      <c r="I3794" s="68"/>
      <c r="J3794" s="68"/>
      <c r="K3794" s="32"/>
      <c r="L3794" s="75">
        <v>3794</v>
      </c>
      <c r="M3794" s="75"/>
      <c r="N3794" s="70"/>
      <c r="O3794" s="77" t="s">
        <v>179</v>
      </c>
      <c r="P3794" s="79">
        <v>45182.676168981481</v>
      </c>
      <c r="Q3794" s="77" t="s">
        <v>4568</v>
      </c>
      <c r="R3794" s="77">
        <v>0</v>
      </c>
      <c r="S3794" s="77">
        <v>2</v>
      </c>
      <c r="T3794" s="77">
        <v>1</v>
      </c>
      <c r="U3794" s="77">
        <v>0</v>
      </c>
      <c r="V3794" s="77">
        <v>976</v>
      </c>
      <c r="W3794" s="82" t="s">
        <v>6861</v>
      </c>
      <c r="X3794" s="80" t="str">
        <f>HYPERLINK("https://www.moneytimes.com.br/ibovespa-hoje-agora-weg-wege3-dispara-mas-petrobras-petr4-cai-ultrapar-ugpa3-lidera-as-baixas-13-09-2023/")</f>
        <v>https://www.moneytimes.com.br/ibovespa-hoje-agora-weg-wege3-dispara-mas-petrobras-petr4-cai-ultrapar-ugpa3-lidera-as-baixas-13-09-2023/</v>
      </c>
      <c r="Y3794" s="77" t="s">
        <v>7053</v>
      </c>
      <c r="Z3794" s="77"/>
      <c r="AA3794" s="77"/>
      <c r="AB3794" s="77"/>
      <c r="AC3794" s="82" t="s">
        <v>8255</v>
      </c>
      <c r="AD3794" s="77" t="s">
        <v>8289</v>
      </c>
      <c r="AE3794" s="80" t="str">
        <f>HYPERLINK("https://twitter.com/leiamoneytimes/status/1701992556051980496")</f>
        <v>https://twitter.com/leiamoneytimes/status/1701992556051980496</v>
      </c>
      <c r="AF3794" s="79">
        <v>45182.676168981481</v>
      </c>
      <c r="AG3794" s="85">
        <v>45182</v>
      </c>
      <c r="AH3794" s="82" t="s">
        <v>11756</v>
      </c>
      <c r="AI3794" s="77" t="b">
        <v>0</v>
      </c>
      <c r="AJ3794" s="77"/>
      <c r="AK3794" s="77"/>
      <c r="AL3794" s="77"/>
      <c r="AM3794" s="77"/>
      <c r="AN3794" s="77"/>
      <c r="AO3794" s="77"/>
      <c r="AP3794" s="77"/>
      <c r="AQ3794" s="77"/>
      <c r="AR3794" s="77"/>
      <c r="AS3794" s="77"/>
      <c r="AT3794" s="77"/>
      <c r="AU3794" s="77"/>
      <c r="AV3794" s="80" t="str">
        <f>HYPERLINK("https://pbs.twimg.com/profile_images/1559883556846977024/bXHnQFY0_normal.jpg")</f>
        <v>https://pbs.twimg.com/profile_images/1559883556846977024/bXHnQFY0_normal.jpg</v>
      </c>
      <c r="AW3794" s="82" t="s">
        <v>16878</v>
      </c>
      <c r="AX3794" s="82" t="s">
        <v>16878</v>
      </c>
      <c r="AY3794" s="77"/>
      <c r="AZ3794" s="82" t="s">
        <v>17385</v>
      </c>
      <c r="BA3794" s="82" t="s">
        <v>17385</v>
      </c>
      <c r="BB3794" s="82" t="s">
        <v>17385</v>
      </c>
      <c r="BC3794" s="82" t="s">
        <v>16878</v>
      </c>
      <c r="BD3794" s="77">
        <v>51150679</v>
      </c>
      <c r="BE3794" s="77"/>
      <c r="BF3794" s="77"/>
      <c r="BG3794" s="77"/>
      <c r="BH3794" s="77"/>
      <c r="BI3794" s="77"/>
    </row>
    <row r="3795" spans="1:61" x14ac:dyDescent="0.25">
      <c r="A3795" s="62" t="s">
        <v>605</v>
      </c>
      <c r="B3795" s="62" t="s">
        <v>605</v>
      </c>
      <c r="C3795" s="63"/>
      <c r="D3795" s="64"/>
      <c r="E3795" s="65"/>
      <c r="F3795" s="66"/>
      <c r="G3795" s="63"/>
      <c r="H3795" s="67"/>
      <c r="I3795" s="68"/>
      <c r="J3795" s="68"/>
      <c r="K3795" s="32"/>
      <c r="L3795" s="75">
        <v>3795</v>
      </c>
      <c r="M3795" s="75"/>
      <c r="N3795" s="70"/>
      <c r="O3795" s="77" t="s">
        <v>179</v>
      </c>
      <c r="P3795" s="79">
        <v>45181.845243055555</v>
      </c>
      <c r="Q3795" s="77" t="s">
        <v>4569</v>
      </c>
      <c r="R3795" s="77">
        <v>1</v>
      </c>
      <c r="S3795" s="77">
        <v>4</v>
      </c>
      <c r="T3795" s="77">
        <v>1</v>
      </c>
      <c r="U3795" s="77">
        <v>0</v>
      </c>
      <c r="V3795" s="77">
        <v>869</v>
      </c>
      <c r="W3795" s="82" t="s">
        <v>6551</v>
      </c>
      <c r="X3795" s="80" t="str">
        <f>HYPERLINK("https://www.moneytimes.com.br/ibovespa-hoje-fecha-alta-ipca-inflacao-juros-copom-fed-12-09-2023/")</f>
        <v>https://www.moneytimes.com.br/ibovespa-hoje-fecha-alta-ipca-inflacao-juros-copom-fed-12-09-2023/</v>
      </c>
      <c r="Y3795" s="77" t="s">
        <v>7053</v>
      </c>
      <c r="Z3795" s="77"/>
      <c r="AA3795" s="77"/>
      <c r="AB3795" s="77"/>
      <c r="AC3795" s="82" t="s">
        <v>8255</v>
      </c>
      <c r="AD3795" s="77" t="s">
        <v>8278</v>
      </c>
      <c r="AE3795" s="80" t="str">
        <f>HYPERLINK("https://twitter.com/leiamoneytimes/status/1701691440185720925")</f>
        <v>https://twitter.com/leiamoneytimes/status/1701691440185720925</v>
      </c>
      <c r="AF3795" s="79">
        <v>45181.845243055555</v>
      </c>
      <c r="AG3795" s="85">
        <v>45181</v>
      </c>
      <c r="AH3795" s="82" t="s">
        <v>11757</v>
      </c>
      <c r="AI3795" s="77" t="b">
        <v>0</v>
      </c>
      <c r="AJ3795" s="77"/>
      <c r="AK3795" s="77"/>
      <c r="AL3795" s="77"/>
      <c r="AM3795" s="77"/>
      <c r="AN3795" s="77"/>
      <c r="AO3795" s="77"/>
      <c r="AP3795" s="77"/>
      <c r="AQ3795" s="77"/>
      <c r="AR3795" s="77"/>
      <c r="AS3795" s="77"/>
      <c r="AT3795" s="77"/>
      <c r="AU3795" s="77"/>
      <c r="AV3795" s="80" t="str">
        <f>HYPERLINK("https://pbs.twimg.com/profile_images/1559883556846977024/bXHnQFY0_normal.jpg")</f>
        <v>https://pbs.twimg.com/profile_images/1559883556846977024/bXHnQFY0_normal.jpg</v>
      </c>
      <c r="AW3795" s="82" t="s">
        <v>16879</v>
      </c>
      <c r="AX3795" s="82" t="s">
        <v>16879</v>
      </c>
      <c r="AY3795" s="77"/>
      <c r="AZ3795" s="82" t="s">
        <v>17385</v>
      </c>
      <c r="BA3795" s="82" t="s">
        <v>17385</v>
      </c>
      <c r="BB3795" s="82" t="s">
        <v>17385</v>
      </c>
      <c r="BC3795" s="82" t="s">
        <v>16879</v>
      </c>
      <c r="BD3795" s="77">
        <v>51150679</v>
      </c>
      <c r="BE3795" s="77"/>
      <c r="BF3795" s="77"/>
      <c r="BG3795" s="77"/>
      <c r="BH3795" s="77"/>
      <c r="BI3795" s="77"/>
    </row>
    <row r="3796" spans="1:61" x14ac:dyDescent="0.25">
      <c r="A3796" s="62" t="s">
        <v>605</v>
      </c>
      <c r="B3796" s="62" t="s">
        <v>605</v>
      </c>
      <c r="C3796" s="63"/>
      <c r="D3796" s="64"/>
      <c r="E3796" s="65"/>
      <c r="F3796" s="66"/>
      <c r="G3796" s="63"/>
      <c r="H3796" s="67"/>
      <c r="I3796" s="68"/>
      <c r="J3796" s="68"/>
      <c r="K3796" s="32"/>
      <c r="L3796" s="75">
        <v>3796</v>
      </c>
      <c r="M3796" s="75"/>
      <c r="N3796" s="70"/>
      <c r="O3796" s="77" t="s">
        <v>179</v>
      </c>
      <c r="P3796" s="79">
        <v>45181.563379629632</v>
      </c>
      <c r="Q3796" s="77" t="s">
        <v>4570</v>
      </c>
      <c r="R3796" s="77">
        <v>0</v>
      </c>
      <c r="S3796" s="77">
        <v>2</v>
      </c>
      <c r="T3796" s="77">
        <v>1</v>
      </c>
      <c r="U3796" s="77">
        <v>0</v>
      </c>
      <c r="V3796" s="77">
        <v>799</v>
      </c>
      <c r="W3796" s="82" t="s">
        <v>6862</v>
      </c>
      <c r="X3796" s="80" t="str">
        <f>HYPERLINK("https://www.moneytimes.com.br/braskem-brkm5-assina-contrato-para-comprar-materia-prima-da-vitol/")</f>
        <v>https://www.moneytimes.com.br/braskem-brkm5-assina-contrato-para-comprar-materia-prima-da-vitol/</v>
      </c>
      <c r="Y3796" s="77" t="s">
        <v>7053</v>
      </c>
      <c r="Z3796" s="77"/>
      <c r="AA3796" s="77"/>
      <c r="AB3796" s="77"/>
      <c r="AC3796" s="82" t="s">
        <v>8255</v>
      </c>
      <c r="AD3796" s="77" t="s">
        <v>8278</v>
      </c>
      <c r="AE3796" s="80" t="str">
        <f>HYPERLINK("https://twitter.com/leiamoneytimes/status/1701589294308032909")</f>
        <v>https://twitter.com/leiamoneytimes/status/1701589294308032909</v>
      </c>
      <c r="AF3796" s="79">
        <v>45181.563379629632</v>
      </c>
      <c r="AG3796" s="85">
        <v>45181</v>
      </c>
      <c r="AH3796" s="82" t="s">
        <v>11758</v>
      </c>
      <c r="AI3796" s="77" t="b">
        <v>0</v>
      </c>
      <c r="AJ3796" s="77"/>
      <c r="AK3796" s="77"/>
      <c r="AL3796" s="77"/>
      <c r="AM3796" s="77"/>
      <c r="AN3796" s="77"/>
      <c r="AO3796" s="77"/>
      <c r="AP3796" s="77"/>
      <c r="AQ3796" s="77"/>
      <c r="AR3796" s="77"/>
      <c r="AS3796" s="77"/>
      <c r="AT3796" s="77"/>
      <c r="AU3796" s="77"/>
      <c r="AV3796" s="80" t="str">
        <f>HYPERLINK("https://pbs.twimg.com/profile_images/1559883556846977024/bXHnQFY0_normal.jpg")</f>
        <v>https://pbs.twimg.com/profile_images/1559883556846977024/bXHnQFY0_normal.jpg</v>
      </c>
      <c r="AW3796" s="82" t="s">
        <v>16880</v>
      </c>
      <c r="AX3796" s="82" t="s">
        <v>16880</v>
      </c>
      <c r="AY3796" s="77"/>
      <c r="AZ3796" s="82" t="s">
        <v>17385</v>
      </c>
      <c r="BA3796" s="82" t="s">
        <v>17385</v>
      </c>
      <c r="BB3796" s="82" t="s">
        <v>17385</v>
      </c>
      <c r="BC3796" s="82" t="s">
        <v>16880</v>
      </c>
      <c r="BD3796" s="77">
        <v>51150679</v>
      </c>
      <c r="BE3796" s="77"/>
      <c r="BF3796" s="77"/>
      <c r="BG3796" s="77"/>
      <c r="BH3796" s="77"/>
      <c r="BI3796" s="77"/>
    </row>
    <row r="3797" spans="1:61" x14ac:dyDescent="0.25">
      <c r="A3797" s="62" t="s">
        <v>605</v>
      </c>
      <c r="B3797" s="62" t="s">
        <v>605</v>
      </c>
      <c r="C3797" s="63"/>
      <c r="D3797" s="64"/>
      <c r="E3797" s="65"/>
      <c r="F3797" s="66"/>
      <c r="G3797" s="63"/>
      <c r="H3797" s="67"/>
      <c r="I3797" s="68"/>
      <c r="J3797" s="68"/>
      <c r="K3797" s="32"/>
      <c r="L3797" s="75">
        <v>3797</v>
      </c>
      <c r="M3797" s="75"/>
      <c r="N3797" s="70"/>
      <c r="O3797" s="77" t="s">
        <v>179</v>
      </c>
      <c r="P3797" s="79">
        <v>45181.509768518517</v>
      </c>
      <c r="Q3797" s="77" t="s">
        <v>4571</v>
      </c>
      <c r="R3797" s="77">
        <v>0</v>
      </c>
      <c r="S3797" s="77">
        <v>4</v>
      </c>
      <c r="T3797" s="77">
        <v>1</v>
      </c>
      <c r="U3797" s="77">
        <v>0</v>
      </c>
      <c r="V3797" s="77">
        <v>1187</v>
      </c>
      <c r="W3797" s="82" t="s">
        <v>6863</v>
      </c>
      <c r="X3797" s="80" t="str">
        <f>HYPERLINK("https://www.moneytimes.com.br/aeris-aeri3-empresa-listada-na-b3-nega-que-fara-follow-on-de-r-250-milhoes-cada-acao-vale-cerca-de-r-1/")</f>
        <v>https://www.moneytimes.com.br/aeris-aeri3-empresa-listada-na-b3-nega-que-fara-follow-on-de-r-250-milhoes-cada-acao-vale-cerca-de-r-1/</v>
      </c>
      <c r="Y3797" s="77" t="s">
        <v>7053</v>
      </c>
      <c r="Z3797" s="77"/>
      <c r="AA3797" s="77"/>
      <c r="AB3797" s="77"/>
      <c r="AC3797" s="82" t="s">
        <v>8255</v>
      </c>
      <c r="AD3797" s="77" t="s">
        <v>8278</v>
      </c>
      <c r="AE3797" s="80" t="str">
        <f>HYPERLINK("https://twitter.com/leiamoneytimes/status/1701569865314709789")</f>
        <v>https://twitter.com/leiamoneytimes/status/1701569865314709789</v>
      </c>
      <c r="AF3797" s="79">
        <v>45181.509768518517</v>
      </c>
      <c r="AG3797" s="85">
        <v>45181</v>
      </c>
      <c r="AH3797" s="82" t="s">
        <v>11759</v>
      </c>
      <c r="AI3797" s="77" t="b">
        <v>0</v>
      </c>
      <c r="AJ3797" s="77"/>
      <c r="AK3797" s="77"/>
      <c r="AL3797" s="77"/>
      <c r="AM3797" s="77"/>
      <c r="AN3797" s="77"/>
      <c r="AO3797" s="77"/>
      <c r="AP3797" s="77"/>
      <c r="AQ3797" s="77"/>
      <c r="AR3797" s="77"/>
      <c r="AS3797" s="77"/>
      <c r="AT3797" s="77"/>
      <c r="AU3797" s="77"/>
      <c r="AV3797" s="80" t="str">
        <f>HYPERLINK("https://pbs.twimg.com/profile_images/1559883556846977024/bXHnQFY0_normal.jpg")</f>
        <v>https://pbs.twimg.com/profile_images/1559883556846977024/bXHnQFY0_normal.jpg</v>
      </c>
      <c r="AW3797" s="82" t="s">
        <v>16881</v>
      </c>
      <c r="AX3797" s="82" t="s">
        <v>16881</v>
      </c>
      <c r="AY3797" s="77"/>
      <c r="AZ3797" s="82" t="s">
        <v>17385</v>
      </c>
      <c r="BA3797" s="82" t="s">
        <v>17385</v>
      </c>
      <c r="BB3797" s="82" t="s">
        <v>17385</v>
      </c>
      <c r="BC3797" s="82" t="s">
        <v>16881</v>
      </c>
      <c r="BD3797" s="77">
        <v>51150679</v>
      </c>
      <c r="BE3797" s="77"/>
      <c r="BF3797" s="77"/>
      <c r="BG3797" s="77"/>
      <c r="BH3797" s="77"/>
      <c r="BI3797" s="77"/>
    </row>
    <row r="3798" spans="1:61" x14ac:dyDescent="0.25">
      <c r="A3798" s="62" t="s">
        <v>605</v>
      </c>
      <c r="B3798" s="62" t="s">
        <v>605</v>
      </c>
      <c r="C3798" s="63"/>
      <c r="D3798" s="64"/>
      <c r="E3798" s="65"/>
      <c r="F3798" s="66"/>
      <c r="G3798" s="63"/>
      <c r="H3798" s="67"/>
      <c r="I3798" s="68"/>
      <c r="J3798" s="68"/>
      <c r="K3798" s="32"/>
      <c r="L3798" s="75">
        <v>3798</v>
      </c>
      <c r="M3798" s="75"/>
      <c r="N3798" s="70"/>
      <c r="O3798" s="77" t="s">
        <v>179</v>
      </c>
      <c r="P3798" s="79">
        <v>45181.459363425929</v>
      </c>
      <c r="Q3798" s="77" t="s">
        <v>4572</v>
      </c>
      <c r="R3798" s="77">
        <v>0</v>
      </c>
      <c r="S3798" s="77">
        <v>1</v>
      </c>
      <c r="T3798" s="77">
        <v>1</v>
      </c>
      <c r="U3798" s="77">
        <v>0</v>
      </c>
      <c r="V3798" s="77">
        <v>844</v>
      </c>
      <c r="W3798" s="82" t="s">
        <v>6756</v>
      </c>
      <c r="X3798" s="80" t="str">
        <f>HYPERLINK("https://www.moneytimes.com.br/oncoclinicas-onco3-busca-firmar-acordo-de-30-anos-com-a-unimed-recife-veja-detalhes/")</f>
        <v>https://www.moneytimes.com.br/oncoclinicas-onco3-busca-firmar-acordo-de-30-anos-com-a-unimed-recife-veja-detalhes/</v>
      </c>
      <c r="Y3798" s="77" t="s">
        <v>7053</v>
      </c>
      <c r="Z3798" s="77"/>
      <c r="AA3798" s="77"/>
      <c r="AB3798" s="77"/>
      <c r="AC3798" s="82" t="s">
        <v>8255</v>
      </c>
      <c r="AD3798" s="77" t="s">
        <v>8278</v>
      </c>
      <c r="AE3798" s="80" t="str">
        <f>HYPERLINK("https://twitter.com/leiamoneytimes/status/1701551601276633471")</f>
        <v>https://twitter.com/leiamoneytimes/status/1701551601276633471</v>
      </c>
      <c r="AF3798" s="79">
        <v>45181.459363425929</v>
      </c>
      <c r="AG3798" s="85">
        <v>45181</v>
      </c>
      <c r="AH3798" s="82" t="s">
        <v>11760</v>
      </c>
      <c r="AI3798" s="77" t="b">
        <v>0</v>
      </c>
      <c r="AJ3798" s="77"/>
      <c r="AK3798" s="77"/>
      <c r="AL3798" s="77"/>
      <c r="AM3798" s="77"/>
      <c r="AN3798" s="77"/>
      <c r="AO3798" s="77"/>
      <c r="AP3798" s="77"/>
      <c r="AQ3798" s="77"/>
      <c r="AR3798" s="77"/>
      <c r="AS3798" s="77"/>
      <c r="AT3798" s="77"/>
      <c r="AU3798" s="77"/>
      <c r="AV3798" s="80" t="str">
        <f>HYPERLINK("https://pbs.twimg.com/profile_images/1559883556846977024/bXHnQFY0_normal.jpg")</f>
        <v>https://pbs.twimg.com/profile_images/1559883556846977024/bXHnQFY0_normal.jpg</v>
      </c>
      <c r="AW3798" s="82" t="s">
        <v>16882</v>
      </c>
      <c r="AX3798" s="82" t="s">
        <v>16882</v>
      </c>
      <c r="AY3798" s="77"/>
      <c r="AZ3798" s="82" t="s">
        <v>17385</v>
      </c>
      <c r="BA3798" s="82" t="s">
        <v>17385</v>
      </c>
      <c r="BB3798" s="82" t="s">
        <v>17385</v>
      </c>
      <c r="BC3798" s="82" t="s">
        <v>16882</v>
      </c>
      <c r="BD3798" s="77">
        <v>51150679</v>
      </c>
      <c r="BE3798" s="77"/>
      <c r="BF3798" s="77"/>
      <c r="BG3798" s="77"/>
      <c r="BH3798" s="77"/>
      <c r="BI3798" s="77"/>
    </row>
    <row r="3799" spans="1:61" x14ac:dyDescent="0.25">
      <c r="A3799" s="62" t="s">
        <v>605</v>
      </c>
      <c r="B3799" s="62" t="s">
        <v>605</v>
      </c>
      <c r="C3799" s="63"/>
      <c r="D3799" s="64"/>
      <c r="E3799" s="65"/>
      <c r="F3799" s="66"/>
      <c r="G3799" s="63"/>
      <c r="H3799" s="67"/>
      <c r="I3799" s="68"/>
      <c r="J3799" s="68"/>
      <c r="K3799" s="32"/>
      <c r="L3799" s="75">
        <v>3799</v>
      </c>
      <c r="M3799" s="75"/>
      <c r="N3799" s="70"/>
      <c r="O3799" s="77" t="s">
        <v>179</v>
      </c>
      <c r="P3799" s="79">
        <v>45180.848356481481</v>
      </c>
      <c r="Q3799" s="77" t="s">
        <v>4573</v>
      </c>
      <c r="R3799" s="77">
        <v>0</v>
      </c>
      <c r="S3799" s="77">
        <v>3</v>
      </c>
      <c r="T3799" s="77">
        <v>1</v>
      </c>
      <c r="U3799" s="77">
        <v>0</v>
      </c>
      <c r="V3799" s="77">
        <v>1065</v>
      </c>
      <c r="W3799" s="82" t="s">
        <v>5209</v>
      </c>
      <c r="X3799" s="80" t="str">
        <f>HYPERLINK("https://www.moneytimes.com.br/ibovespa-hoje-fecha-china-dolar-11-09-2023/")</f>
        <v>https://www.moneytimes.com.br/ibovespa-hoje-fecha-china-dolar-11-09-2023/</v>
      </c>
      <c r="Y3799" s="77" t="s">
        <v>7053</v>
      </c>
      <c r="Z3799" s="77"/>
      <c r="AA3799" s="77"/>
      <c r="AB3799" s="77"/>
      <c r="AC3799" s="82" t="s">
        <v>8255</v>
      </c>
      <c r="AD3799" s="77" t="s">
        <v>8278</v>
      </c>
      <c r="AE3799" s="80" t="str">
        <f>HYPERLINK("https://twitter.com/leiamoneytimes/status/1701330178209661091")</f>
        <v>https://twitter.com/leiamoneytimes/status/1701330178209661091</v>
      </c>
      <c r="AF3799" s="79">
        <v>45180.848356481481</v>
      </c>
      <c r="AG3799" s="85">
        <v>45180</v>
      </c>
      <c r="AH3799" s="82" t="s">
        <v>11761</v>
      </c>
      <c r="AI3799" s="77" t="b">
        <v>0</v>
      </c>
      <c r="AJ3799" s="77"/>
      <c r="AK3799" s="77"/>
      <c r="AL3799" s="77"/>
      <c r="AM3799" s="77"/>
      <c r="AN3799" s="77"/>
      <c r="AO3799" s="77"/>
      <c r="AP3799" s="77"/>
      <c r="AQ3799" s="77"/>
      <c r="AR3799" s="77"/>
      <c r="AS3799" s="77"/>
      <c r="AT3799" s="77"/>
      <c r="AU3799" s="77"/>
      <c r="AV3799" s="80" t="str">
        <f>HYPERLINK("https://pbs.twimg.com/profile_images/1559883556846977024/bXHnQFY0_normal.jpg")</f>
        <v>https://pbs.twimg.com/profile_images/1559883556846977024/bXHnQFY0_normal.jpg</v>
      </c>
      <c r="AW3799" s="82" t="s">
        <v>16883</v>
      </c>
      <c r="AX3799" s="82" t="s">
        <v>16883</v>
      </c>
      <c r="AY3799" s="77"/>
      <c r="AZ3799" s="82" t="s">
        <v>17385</v>
      </c>
      <c r="BA3799" s="82" t="s">
        <v>17385</v>
      </c>
      <c r="BB3799" s="82" t="s">
        <v>17385</v>
      </c>
      <c r="BC3799" s="82" t="s">
        <v>16883</v>
      </c>
      <c r="BD3799" s="77">
        <v>51150679</v>
      </c>
      <c r="BE3799" s="77"/>
      <c r="BF3799" s="77"/>
      <c r="BG3799" s="77"/>
      <c r="BH3799" s="77"/>
      <c r="BI3799" s="77"/>
    </row>
    <row r="3800" spans="1:61" x14ac:dyDescent="0.25">
      <c r="A3800" s="62" t="s">
        <v>605</v>
      </c>
      <c r="B3800" s="62" t="s">
        <v>605</v>
      </c>
      <c r="C3800" s="63"/>
      <c r="D3800" s="64"/>
      <c r="E3800" s="65"/>
      <c r="F3800" s="66"/>
      <c r="G3800" s="63"/>
      <c r="H3800" s="67"/>
      <c r="I3800" s="68"/>
      <c r="J3800" s="68"/>
      <c r="K3800" s="32"/>
      <c r="L3800" s="75">
        <v>3800</v>
      </c>
      <c r="M3800" s="75"/>
      <c r="N3800" s="70"/>
      <c r="O3800" s="77" t="s">
        <v>179</v>
      </c>
      <c r="P3800" s="79">
        <v>45180.791307870371</v>
      </c>
      <c r="Q3800" s="77" t="s">
        <v>4574</v>
      </c>
      <c r="R3800" s="77">
        <v>1</v>
      </c>
      <c r="S3800" s="77">
        <v>5</v>
      </c>
      <c r="T3800" s="77">
        <v>1</v>
      </c>
      <c r="U3800" s="77">
        <v>0</v>
      </c>
      <c r="V3800" s="77">
        <v>1103</v>
      </c>
      <c r="W3800" s="82" t="s">
        <v>6864</v>
      </c>
      <c r="X3800" s="80" t="str">
        <f>HYPERLINK("https://www.moneytimes.com.br/mais-tempo-pra-negociar-b3-b3sa3-quer-expandir-horario-de-funcionamento-em-ate-duas-horas/")</f>
        <v>https://www.moneytimes.com.br/mais-tempo-pra-negociar-b3-b3sa3-quer-expandir-horario-de-funcionamento-em-ate-duas-horas/</v>
      </c>
      <c r="Y3800" s="77" t="s">
        <v>7053</v>
      </c>
      <c r="Z3800" s="77"/>
      <c r="AA3800" s="77"/>
      <c r="AB3800" s="77"/>
      <c r="AC3800" s="82" t="s">
        <v>8255</v>
      </c>
      <c r="AD3800" s="77" t="s">
        <v>8278</v>
      </c>
      <c r="AE3800" s="80" t="str">
        <f>HYPERLINK("https://twitter.com/leiamoneytimes/status/1701309506058059972")</f>
        <v>https://twitter.com/leiamoneytimes/status/1701309506058059972</v>
      </c>
      <c r="AF3800" s="79">
        <v>45180.791307870371</v>
      </c>
      <c r="AG3800" s="85">
        <v>45180</v>
      </c>
      <c r="AH3800" s="82" t="s">
        <v>11762</v>
      </c>
      <c r="AI3800" s="77" t="b">
        <v>0</v>
      </c>
      <c r="AJ3800" s="77"/>
      <c r="AK3800" s="77"/>
      <c r="AL3800" s="77"/>
      <c r="AM3800" s="77"/>
      <c r="AN3800" s="77"/>
      <c r="AO3800" s="77"/>
      <c r="AP3800" s="77"/>
      <c r="AQ3800" s="77"/>
      <c r="AR3800" s="77"/>
      <c r="AS3800" s="77"/>
      <c r="AT3800" s="77"/>
      <c r="AU3800" s="77"/>
      <c r="AV3800" s="80" t="str">
        <f>HYPERLINK("https://pbs.twimg.com/profile_images/1559883556846977024/bXHnQFY0_normal.jpg")</f>
        <v>https://pbs.twimg.com/profile_images/1559883556846977024/bXHnQFY0_normal.jpg</v>
      </c>
      <c r="AW3800" s="82" t="s">
        <v>16884</v>
      </c>
      <c r="AX3800" s="82" t="s">
        <v>16884</v>
      </c>
      <c r="AY3800" s="77"/>
      <c r="AZ3800" s="82" t="s">
        <v>17385</v>
      </c>
      <c r="BA3800" s="82" t="s">
        <v>17385</v>
      </c>
      <c r="BB3800" s="82" t="s">
        <v>17385</v>
      </c>
      <c r="BC3800" s="82" t="s">
        <v>16884</v>
      </c>
      <c r="BD3800" s="77">
        <v>51150679</v>
      </c>
      <c r="BE3800" s="77"/>
      <c r="BF3800" s="77"/>
      <c r="BG3800" s="77"/>
      <c r="BH3800" s="77"/>
      <c r="BI3800" s="77"/>
    </row>
    <row r="3801" spans="1:61" x14ac:dyDescent="0.25">
      <c r="A3801" s="62" t="s">
        <v>605</v>
      </c>
      <c r="B3801" s="62" t="s">
        <v>605</v>
      </c>
      <c r="C3801" s="63"/>
      <c r="D3801" s="64"/>
      <c r="E3801" s="65"/>
      <c r="F3801" s="66"/>
      <c r="G3801" s="63"/>
      <c r="H3801" s="67"/>
      <c r="I3801" s="68"/>
      <c r="J3801" s="68"/>
      <c r="K3801" s="32"/>
      <c r="L3801" s="75">
        <v>3801</v>
      </c>
      <c r="M3801" s="75"/>
      <c r="N3801" s="70"/>
      <c r="O3801" s="77" t="s">
        <v>179</v>
      </c>
      <c r="P3801" s="79">
        <v>45178.834120370368</v>
      </c>
      <c r="Q3801" s="77" t="s">
        <v>4575</v>
      </c>
      <c r="R3801" s="77">
        <v>1</v>
      </c>
      <c r="S3801" s="77">
        <v>15</v>
      </c>
      <c r="T3801" s="77">
        <v>2</v>
      </c>
      <c r="U3801" s="77">
        <v>0</v>
      </c>
      <c r="V3801" s="77">
        <v>3086</v>
      </c>
      <c r="W3801" s="82" t="s">
        <v>6572</v>
      </c>
      <c r="X3801" s="80" t="str">
        <f>HYPERLINK("https://www.moneytimes.com.br/dividendos-banco-do-brasil-bbas3-tem-data-com-para-proventos-de-quase-r-1-bilhao-na-semana-camil-caml3-e-mais-3-pagam/")</f>
        <v>https://www.moneytimes.com.br/dividendos-banco-do-brasil-bbas3-tem-data-com-para-proventos-de-quase-r-1-bilhao-na-semana-camil-caml3-e-mais-3-pagam/</v>
      </c>
      <c r="Y3801" s="77" t="s">
        <v>7053</v>
      </c>
      <c r="Z3801" s="77"/>
      <c r="AA3801" s="77"/>
      <c r="AB3801" s="77"/>
      <c r="AC3801" s="82" t="s">
        <v>8255</v>
      </c>
      <c r="AD3801" s="77" t="s">
        <v>8278</v>
      </c>
      <c r="AE3801" s="80" t="str">
        <f>HYPERLINK("https://twitter.com/leiamoneytimes/status/1700600242587021429")</f>
        <v>https://twitter.com/leiamoneytimes/status/1700600242587021429</v>
      </c>
      <c r="AF3801" s="79">
        <v>45178.834120370368</v>
      </c>
      <c r="AG3801" s="85">
        <v>45178</v>
      </c>
      <c r="AH3801" s="82" t="s">
        <v>11763</v>
      </c>
      <c r="AI3801" s="77" t="b">
        <v>0</v>
      </c>
      <c r="AJ3801" s="77"/>
      <c r="AK3801" s="77"/>
      <c r="AL3801" s="77"/>
      <c r="AM3801" s="77"/>
      <c r="AN3801" s="77"/>
      <c r="AO3801" s="77"/>
      <c r="AP3801" s="77"/>
      <c r="AQ3801" s="77"/>
      <c r="AR3801" s="77"/>
      <c r="AS3801" s="77"/>
      <c r="AT3801" s="77"/>
      <c r="AU3801" s="77"/>
      <c r="AV3801" s="80" t="str">
        <f>HYPERLINK("https://pbs.twimg.com/profile_images/1559883556846977024/bXHnQFY0_normal.jpg")</f>
        <v>https://pbs.twimg.com/profile_images/1559883556846977024/bXHnQFY0_normal.jpg</v>
      </c>
      <c r="AW3801" s="82" t="s">
        <v>16885</v>
      </c>
      <c r="AX3801" s="82" t="s">
        <v>16885</v>
      </c>
      <c r="AY3801" s="77"/>
      <c r="AZ3801" s="82" t="s">
        <v>17385</v>
      </c>
      <c r="BA3801" s="82" t="s">
        <v>17385</v>
      </c>
      <c r="BB3801" s="82" t="s">
        <v>17385</v>
      </c>
      <c r="BC3801" s="82" t="s">
        <v>16885</v>
      </c>
      <c r="BD3801" s="77">
        <v>51150679</v>
      </c>
      <c r="BE3801" s="77"/>
      <c r="BF3801" s="77"/>
      <c r="BG3801" s="77"/>
      <c r="BH3801" s="77"/>
      <c r="BI3801" s="77"/>
    </row>
    <row r="3802" spans="1:61" x14ac:dyDescent="0.25">
      <c r="A3802" s="62" t="s">
        <v>605</v>
      </c>
      <c r="B3802" s="62" t="s">
        <v>605</v>
      </c>
      <c r="C3802" s="63"/>
      <c r="D3802" s="64"/>
      <c r="E3802" s="65"/>
      <c r="F3802" s="66"/>
      <c r="G3802" s="63"/>
      <c r="H3802" s="67"/>
      <c r="I3802" s="68"/>
      <c r="J3802" s="68"/>
      <c r="K3802" s="32"/>
      <c r="L3802" s="75">
        <v>3802</v>
      </c>
      <c r="M3802" s="75"/>
      <c r="N3802" s="70"/>
      <c r="O3802" s="77" t="s">
        <v>179</v>
      </c>
      <c r="P3802" s="79">
        <v>45177.724699074075</v>
      </c>
      <c r="Q3802" s="77" t="s">
        <v>4576</v>
      </c>
      <c r="R3802" s="77">
        <v>0</v>
      </c>
      <c r="S3802" s="77">
        <v>2</v>
      </c>
      <c r="T3802" s="77">
        <v>1</v>
      </c>
      <c r="U3802" s="77">
        <v>0</v>
      </c>
      <c r="V3802" s="77">
        <v>1013</v>
      </c>
      <c r="W3802" s="82" t="s">
        <v>5482</v>
      </c>
      <c r="X3802" s="80" t="str">
        <f>HYPERLINK("https://www.moneytimes.com.br/acoes-de-empresa-detentora-dos-direitos-autorais-dos-beatles-disparam-apos-oferta-de-compra/")</f>
        <v>https://www.moneytimes.com.br/acoes-de-empresa-detentora-dos-direitos-autorais-dos-beatles-disparam-apos-oferta-de-compra/</v>
      </c>
      <c r="Y3802" s="77" t="s">
        <v>7053</v>
      </c>
      <c r="Z3802" s="77"/>
      <c r="AA3802" s="77"/>
      <c r="AB3802" s="77"/>
      <c r="AC3802" s="82" t="s">
        <v>8255</v>
      </c>
      <c r="AD3802" s="77" t="s">
        <v>8278</v>
      </c>
      <c r="AE3802" s="80" t="str">
        <f>HYPERLINK("https://twitter.com/leiamoneytimes/status/1700198201360359629")</f>
        <v>https://twitter.com/leiamoneytimes/status/1700198201360359629</v>
      </c>
      <c r="AF3802" s="79">
        <v>45177.724699074075</v>
      </c>
      <c r="AG3802" s="85">
        <v>45177</v>
      </c>
      <c r="AH3802" s="82" t="s">
        <v>11764</v>
      </c>
      <c r="AI3802" s="77" t="b">
        <v>0</v>
      </c>
      <c r="AJ3802" s="77"/>
      <c r="AK3802" s="77"/>
      <c r="AL3802" s="77"/>
      <c r="AM3802" s="77"/>
      <c r="AN3802" s="77"/>
      <c r="AO3802" s="77"/>
      <c r="AP3802" s="77"/>
      <c r="AQ3802" s="77"/>
      <c r="AR3802" s="77"/>
      <c r="AS3802" s="77"/>
      <c r="AT3802" s="77"/>
      <c r="AU3802" s="77"/>
      <c r="AV3802" s="80" t="str">
        <f>HYPERLINK("https://pbs.twimg.com/profile_images/1559883556846977024/bXHnQFY0_normal.jpg")</f>
        <v>https://pbs.twimg.com/profile_images/1559883556846977024/bXHnQFY0_normal.jpg</v>
      </c>
      <c r="AW3802" s="82" t="s">
        <v>16886</v>
      </c>
      <c r="AX3802" s="82" t="s">
        <v>16886</v>
      </c>
      <c r="AY3802" s="77"/>
      <c r="AZ3802" s="82" t="s">
        <v>17385</v>
      </c>
      <c r="BA3802" s="82" t="s">
        <v>17385</v>
      </c>
      <c r="BB3802" s="82" t="s">
        <v>17385</v>
      </c>
      <c r="BC3802" s="82" t="s">
        <v>16886</v>
      </c>
      <c r="BD3802" s="77">
        <v>51150679</v>
      </c>
      <c r="BE3802" s="77"/>
      <c r="BF3802" s="77"/>
      <c r="BG3802" s="77"/>
      <c r="BH3802" s="77"/>
      <c r="BI3802" s="77"/>
    </row>
    <row r="3803" spans="1:61" x14ac:dyDescent="0.25">
      <c r="A3803" s="62" t="s">
        <v>605</v>
      </c>
      <c r="B3803" s="62" t="s">
        <v>605</v>
      </c>
      <c r="C3803" s="63"/>
      <c r="D3803" s="64"/>
      <c r="E3803" s="65"/>
      <c r="F3803" s="66"/>
      <c r="G3803" s="63"/>
      <c r="H3803" s="67"/>
      <c r="I3803" s="68"/>
      <c r="J3803" s="68"/>
      <c r="K3803" s="32"/>
      <c r="L3803" s="75">
        <v>3803</v>
      </c>
      <c r="M3803" s="75"/>
      <c r="N3803" s="70"/>
      <c r="O3803" s="77" t="s">
        <v>179</v>
      </c>
      <c r="P3803" s="79">
        <v>45177.667754629627</v>
      </c>
      <c r="Q3803" s="77" t="s">
        <v>4577</v>
      </c>
      <c r="R3803" s="77">
        <v>0</v>
      </c>
      <c r="S3803" s="77">
        <v>5</v>
      </c>
      <c r="T3803" s="77">
        <v>1</v>
      </c>
      <c r="U3803" s="77">
        <v>0</v>
      </c>
      <c r="V3803" s="77">
        <v>1090</v>
      </c>
      <c r="W3803" s="82" t="s">
        <v>6865</v>
      </c>
      <c r="X3803" s="80" t="str">
        <f>HYPERLINK("https://www.moneytimes.com.br/ibovespa-hoje-agora-petz-petz3-lidera-as-altas-enquanto-embraer-embr3-e-o-maior-destaque-negativo-08-09-2023/")</f>
        <v>https://www.moneytimes.com.br/ibovespa-hoje-agora-petz-petz3-lidera-as-altas-enquanto-embraer-embr3-e-o-maior-destaque-negativo-08-09-2023/</v>
      </c>
      <c r="Y3803" s="77" t="s">
        <v>7053</v>
      </c>
      <c r="Z3803" s="77"/>
      <c r="AA3803" s="77"/>
      <c r="AB3803" s="77"/>
      <c r="AC3803" s="82" t="s">
        <v>8255</v>
      </c>
      <c r="AD3803" s="77" t="s">
        <v>8278</v>
      </c>
      <c r="AE3803" s="80" t="str">
        <f>HYPERLINK("https://twitter.com/leiamoneytimes/status/1700177567381115180")</f>
        <v>https://twitter.com/leiamoneytimes/status/1700177567381115180</v>
      </c>
      <c r="AF3803" s="79">
        <v>45177.667754629627</v>
      </c>
      <c r="AG3803" s="85">
        <v>45177</v>
      </c>
      <c r="AH3803" s="82" t="s">
        <v>11765</v>
      </c>
      <c r="AI3803" s="77" t="b">
        <v>0</v>
      </c>
      <c r="AJ3803" s="77"/>
      <c r="AK3803" s="77"/>
      <c r="AL3803" s="77"/>
      <c r="AM3803" s="77"/>
      <c r="AN3803" s="77"/>
      <c r="AO3803" s="77"/>
      <c r="AP3803" s="77"/>
      <c r="AQ3803" s="77"/>
      <c r="AR3803" s="77"/>
      <c r="AS3803" s="77"/>
      <c r="AT3803" s="77"/>
      <c r="AU3803" s="77"/>
      <c r="AV3803" s="80" t="str">
        <f>HYPERLINK("https://pbs.twimg.com/profile_images/1559883556846977024/bXHnQFY0_normal.jpg")</f>
        <v>https://pbs.twimg.com/profile_images/1559883556846977024/bXHnQFY0_normal.jpg</v>
      </c>
      <c r="AW3803" s="82" t="s">
        <v>16887</v>
      </c>
      <c r="AX3803" s="82" t="s">
        <v>16887</v>
      </c>
      <c r="AY3803" s="77"/>
      <c r="AZ3803" s="82" t="s">
        <v>17385</v>
      </c>
      <c r="BA3803" s="82" t="s">
        <v>17385</v>
      </c>
      <c r="BB3803" s="82" t="s">
        <v>17385</v>
      </c>
      <c r="BC3803" s="82" t="s">
        <v>16887</v>
      </c>
      <c r="BD3803" s="77">
        <v>51150679</v>
      </c>
      <c r="BE3803" s="77"/>
      <c r="BF3803" s="77"/>
      <c r="BG3803" s="77"/>
      <c r="BH3803" s="77"/>
      <c r="BI3803" s="77"/>
    </row>
    <row r="3804" spans="1:61" x14ac:dyDescent="0.25">
      <c r="A3804" s="62" t="s">
        <v>605</v>
      </c>
      <c r="B3804" s="62" t="s">
        <v>605</v>
      </c>
      <c r="C3804" s="63"/>
      <c r="D3804" s="64"/>
      <c r="E3804" s="65"/>
      <c r="F3804" s="66"/>
      <c r="G3804" s="63"/>
      <c r="H3804" s="67"/>
      <c r="I3804" s="68"/>
      <c r="J3804" s="68"/>
      <c r="K3804" s="32"/>
      <c r="L3804" s="75">
        <v>3804</v>
      </c>
      <c r="M3804" s="75"/>
      <c r="N3804" s="70"/>
      <c r="O3804" s="77" t="s">
        <v>179</v>
      </c>
      <c r="P3804" s="79">
        <v>45175.48715277778</v>
      </c>
      <c r="Q3804" s="77" t="s">
        <v>4578</v>
      </c>
      <c r="R3804" s="77">
        <v>0</v>
      </c>
      <c r="S3804" s="77">
        <v>1</v>
      </c>
      <c r="T3804" s="77">
        <v>1</v>
      </c>
      <c r="U3804" s="77">
        <v>0</v>
      </c>
      <c r="V3804" s="77">
        <v>901</v>
      </c>
      <c r="W3804" s="82" t="s">
        <v>6866</v>
      </c>
      <c r="X3804" s="80" t="str">
        <f>HYPERLINK("https://www.moneytimes.com.br/cautela-pre-feriado-o-que-esperar-da-copel-apos-a-privatizacao-o-sinal-verde-do-desenrola-e-outros-destaques/")</f>
        <v>https://www.moneytimes.com.br/cautela-pre-feriado-o-que-esperar-da-copel-apos-a-privatizacao-o-sinal-verde-do-desenrola-e-outros-destaques/</v>
      </c>
      <c r="Y3804" s="77" t="s">
        <v>7053</v>
      </c>
      <c r="Z3804" s="77"/>
      <c r="AA3804" s="77"/>
      <c r="AB3804" s="77"/>
      <c r="AC3804" s="82" t="s">
        <v>8255</v>
      </c>
      <c r="AD3804" s="77" t="s">
        <v>8278</v>
      </c>
      <c r="AE3804" s="80" t="str">
        <f>HYPERLINK("https://twitter.com/leiamoneytimes/status/1699387342174253407")</f>
        <v>https://twitter.com/leiamoneytimes/status/1699387342174253407</v>
      </c>
      <c r="AF3804" s="79">
        <v>45175.48715277778</v>
      </c>
      <c r="AG3804" s="85">
        <v>45175</v>
      </c>
      <c r="AH3804" s="82" t="s">
        <v>11766</v>
      </c>
      <c r="AI3804" s="77" t="b">
        <v>0</v>
      </c>
      <c r="AJ3804" s="77"/>
      <c r="AK3804" s="77"/>
      <c r="AL3804" s="77"/>
      <c r="AM3804" s="77"/>
      <c r="AN3804" s="77"/>
      <c r="AO3804" s="77"/>
      <c r="AP3804" s="77"/>
      <c r="AQ3804" s="77"/>
      <c r="AR3804" s="77"/>
      <c r="AS3804" s="77"/>
      <c r="AT3804" s="77"/>
      <c r="AU3804" s="77"/>
      <c r="AV3804" s="80" t="str">
        <f>HYPERLINK("https://pbs.twimg.com/profile_images/1559883556846977024/bXHnQFY0_normal.jpg")</f>
        <v>https://pbs.twimg.com/profile_images/1559883556846977024/bXHnQFY0_normal.jpg</v>
      </c>
      <c r="AW3804" s="82" t="s">
        <v>16888</v>
      </c>
      <c r="AX3804" s="82" t="s">
        <v>16888</v>
      </c>
      <c r="AY3804" s="77"/>
      <c r="AZ3804" s="82" t="s">
        <v>17385</v>
      </c>
      <c r="BA3804" s="82" t="s">
        <v>17385</v>
      </c>
      <c r="BB3804" s="82" t="s">
        <v>17385</v>
      </c>
      <c r="BC3804" s="82" t="s">
        <v>16888</v>
      </c>
      <c r="BD3804" s="77">
        <v>51150679</v>
      </c>
      <c r="BE3804" s="77"/>
      <c r="BF3804" s="77"/>
      <c r="BG3804" s="77"/>
      <c r="BH3804" s="77"/>
      <c r="BI3804" s="77"/>
    </row>
    <row r="3805" spans="1:61" x14ac:dyDescent="0.25">
      <c r="A3805" s="62" t="s">
        <v>605</v>
      </c>
      <c r="B3805" s="62" t="s">
        <v>605</v>
      </c>
      <c r="C3805" s="63"/>
      <c r="D3805" s="64"/>
      <c r="E3805" s="65"/>
      <c r="F3805" s="66"/>
      <c r="G3805" s="63"/>
      <c r="H3805" s="67"/>
      <c r="I3805" s="68"/>
      <c r="J3805" s="68"/>
      <c r="K3805" s="32"/>
      <c r="L3805" s="75">
        <v>3805</v>
      </c>
      <c r="M3805" s="75"/>
      <c r="N3805" s="70"/>
      <c r="O3805" s="77" t="s">
        <v>179</v>
      </c>
      <c r="P3805" s="79">
        <v>45174.973506944443</v>
      </c>
      <c r="Q3805" s="77" t="s">
        <v>4579</v>
      </c>
      <c r="R3805" s="77">
        <v>1</v>
      </c>
      <c r="S3805" s="77">
        <v>6</v>
      </c>
      <c r="T3805" s="77">
        <v>2</v>
      </c>
      <c r="U3805" s="77">
        <v>1</v>
      </c>
      <c r="V3805" s="77">
        <v>1833</v>
      </c>
      <c r="W3805" s="82" t="s">
        <v>6609</v>
      </c>
      <c r="X3805" s="80" t="str">
        <f>HYPERLINK("https://www.moneytimes.com.br/goldman-sachs-compra-acoes-de-petroleira-brasileira/")</f>
        <v>https://www.moneytimes.com.br/goldman-sachs-compra-acoes-de-petroleira-brasileira/</v>
      </c>
      <c r="Y3805" s="77" t="s">
        <v>7053</v>
      </c>
      <c r="Z3805" s="77"/>
      <c r="AA3805" s="77"/>
      <c r="AB3805" s="77"/>
      <c r="AC3805" s="82" t="s">
        <v>8255</v>
      </c>
      <c r="AD3805" s="77" t="s">
        <v>8278</v>
      </c>
      <c r="AE3805" s="80" t="str">
        <f>HYPERLINK("https://twitter.com/leiamoneytimes/status/1699201205317075117")</f>
        <v>https://twitter.com/leiamoneytimes/status/1699201205317075117</v>
      </c>
      <c r="AF3805" s="79">
        <v>45174.973506944443</v>
      </c>
      <c r="AG3805" s="85">
        <v>45174</v>
      </c>
      <c r="AH3805" s="82" t="s">
        <v>11767</v>
      </c>
      <c r="AI3805" s="77" t="b">
        <v>0</v>
      </c>
      <c r="AJ3805" s="77"/>
      <c r="AK3805" s="77"/>
      <c r="AL3805" s="77"/>
      <c r="AM3805" s="77"/>
      <c r="AN3805" s="77"/>
      <c r="AO3805" s="77"/>
      <c r="AP3805" s="77"/>
      <c r="AQ3805" s="77"/>
      <c r="AR3805" s="77"/>
      <c r="AS3805" s="77"/>
      <c r="AT3805" s="77"/>
      <c r="AU3805" s="77"/>
      <c r="AV3805" s="80" t="str">
        <f>HYPERLINK("https://pbs.twimg.com/profile_images/1559883556846977024/bXHnQFY0_normal.jpg")</f>
        <v>https://pbs.twimg.com/profile_images/1559883556846977024/bXHnQFY0_normal.jpg</v>
      </c>
      <c r="AW3805" s="82" t="s">
        <v>16889</v>
      </c>
      <c r="AX3805" s="82" t="s">
        <v>16889</v>
      </c>
      <c r="AY3805" s="77"/>
      <c r="AZ3805" s="82" t="s">
        <v>17385</v>
      </c>
      <c r="BA3805" s="82" t="s">
        <v>17385</v>
      </c>
      <c r="BB3805" s="82" t="s">
        <v>17385</v>
      </c>
      <c r="BC3805" s="82" t="s">
        <v>16889</v>
      </c>
      <c r="BD3805" s="77">
        <v>51150679</v>
      </c>
      <c r="BE3805" s="77"/>
      <c r="BF3805" s="77"/>
      <c r="BG3805" s="77"/>
      <c r="BH3805" s="77"/>
      <c r="BI3805" s="77"/>
    </row>
    <row r="3806" spans="1:61" x14ac:dyDescent="0.25">
      <c r="A3806" s="62" t="s">
        <v>605</v>
      </c>
      <c r="B3806" s="62" t="s">
        <v>605</v>
      </c>
      <c r="C3806" s="63"/>
      <c r="D3806" s="64"/>
      <c r="E3806" s="65"/>
      <c r="F3806" s="66"/>
      <c r="G3806" s="63"/>
      <c r="H3806" s="67"/>
      <c r="I3806" s="68"/>
      <c r="J3806" s="68"/>
      <c r="K3806" s="32"/>
      <c r="L3806" s="75">
        <v>3806</v>
      </c>
      <c r="M3806" s="75"/>
      <c r="N3806" s="70"/>
      <c r="O3806" s="77" t="s">
        <v>179</v>
      </c>
      <c r="P3806" s="79">
        <v>45174.931273148148</v>
      </c>
      <c r="Q3806" s="77" t="s">
        <v>4580</v>
      </c>
      <c r="R3806" s="77">
        <v>0</v>
      </c>
      <c r="S3806" s="77">
        <v>10</v>
      </c>
      <c r="T3806" s="77">
        <v>2</v>
      </c>
      <c r="U3806" s="77">
        <v>1</v>
      </c>
      <c r="V3806" s="77">
        <v>2051</v>
      </c>
      <c r="W3806" s="82" t="s">
        <v>6867</v>
      </c>
      <c r="X3806" s="80" t="str">
        <f>HYPERLINK("https://www.moneytimes.com.br/investidores-nacionais-ai-vamos-nos-empresa-abandona-nasdaq-e-quer-voltar-para-brasil/")</f>
        <v>https://www.moneytimes.com.br/investidores-nacionais-ai-vamos-nos-empresa-abandona-nasdaq-e-quer-voltar-para-brasil/</v>
      </c>
      <c r="Y3806" s="77" t="s">
        <v>7053</v>
      </c>
      <c r="Z3806" s="77"/>
      <c r="AA3806" s="77"/>
      <c r="AB3806" s="77"/>
      <c r="AC3806" s="82" t="s">
        <v>8255</v>
      </c>
      <c r="AD3806" s="77" t="s">
        <v>8278</v>
      </c>
      <c r="AE3806" s="80" t="str">
        <f>HYPERLINK("https://twitter.com/leiamoneytimes/status/1699185901308346633")</f>
        <v>https://twitter.com/leiamoneytimes/status/1699185901308346633</v>
      </c>
      <c r="AF3806" s="79">
        <v>45174.931273148148</v>
      </c>
      <c r="AG3806" s="85">
        <v>45174</v>
      </c>
      <c r="AH3806" s="82" t="s">
        <v>11768</v>
      </c>
      <c r="AI3806" s="77" t="b">
        <v>0</v>
      </c>
      <c r="AJ3806" s="77"/>
      <c r="AK3806" s="77"/>
      <c r="AL3806" s="77"/>
      <c r="AM3806" s="77"/>
      <c r="AN3806" s="77"/>
      <c r="AO3806" s="77"/>
      <c r="AP3806" s="77"/>
      <c r="AQ3806" s="77"/>
      <c r="AR3806" s="77"/>
      <c r="AS3806" s="77"/>
      <c r="AT3806" s="77"/>
      <c r="AU3806" s="77"/>
      <c r="AV3806" s="80" t="str">
        <f>HYPERLINK("https://pbs.twimg.com/profile_images/1559883556846977024/bXHnQFY0_normal.jpg")</f>
        <v>https://pbs.twimg.com/profile_images/1559883556846977024/bXHnQFY0_normal.jpg</v>
      </c>
      <c r="AW3806" s="82" t="s">
        <v>16890</v>
      </c>
      <c r="AX3806" s="82" t="s">
        <v>16890</v>
      </c>
      <c r="AY3806" s="77"/>
      <c r="AZ3806" s="82" t="s">
        <v>17385</v>
      </c>
      <c r="BA3806" s="82" t="s">
        <v>17385</v>
      </c>
      <c r="BB3806" s="82" t="s">
        <v>17385</v>
      </c>
      <c r="BC3806" s="82" t="s">
        <v>16890</v>
      </c>
      <c r="BD3806" s="77">
        <v>51150679</v>
      </c>
      <c r="BE3806" s="77"/>
      <c r="BF3806" s="77"/>
      <c r="BG3806" s="77"/>
      <c r="BH3806" s="77"/>
      <c r="BI3806" s="77"/>
    </row>
    <row r="3807" spans="1:61" x14ac:dyDescent="0.25">
      <c r="A3807" s="62" t="s">
        <v>605</v>
      </c>
      <c r="B3807" s="62" t="s">
        <v>605</v>
      </c>
      <c r="C3807" s="63"/>
      <c r="D3807" s="64"/>
      <c r="E3807" s="65"/>
      <c r="F3807" s="66"/>
      <c r="G3807" s="63"/>
      <c r="H3807" s="67"/>
      <c r="I3807" s="68"/>
      <c r="J3807" s="68"/>
      <c r="K3807" s="32"/>
      <c r="L3807" s="75">
        <v>3807</v>
      </c>
      <c r="M3807" s="75"/>
      <c r="N3807" s="70"/>
      <c r="O3807" s="77" t="s">
        <v>179</v>
      </c>
      <c r="P3807" s="79">
        <v>45174.848344907405</v>
      </c>
      <c r="Q3807" s="77" t="s">
        <v>4581</v>
      </c>
      <c r="R3807" s="77">
        <v>0</v>
      </c>
      <c r="S3807" s="77">
        <v>2</v>
      </c>
      <c r="T3807" s="77">
        <v>1</v>
      </c>
      <c r="U3807" s="77">
        <v>0</v>
      </c>
      <c r="V3807" s="77">
        <v>872</v>
      </c>
      <c r="W3807" s="82" t="s">
        <v>6551</v>
      </c>
      <c r="X3807" s="80" t="str">
        <f>HYPERLINK("https://www.moneytimes.com.br/ibovespa-hoje-fecha-queda-petrobras-petr4-05-09-2023/")</f>
        <v>https://www.moneytimes.com.br/ibovespa-hoje-fecha-queda-petrobras-petr4-05-09-2023/</v>
      </c>
      <c r="Y3807" s="77" t="s">
        <v>7053</v>
      </c>
      <c r="Z3807" s="77"/>
      <c r="AA3807" s="77"/>
      <c r="AB3807" s="77"/>
      <c r="AC3807" s="82" t="s">
        <v>8255</v>
      </c>
      <c r="AD3807" s="77" t="s">
        <v>8278</v>
      </c>
      <c r="AE3807" s="80" t="str">
        <f>HYPERLINK("https://twitter.com/leiamoneytimes/status/1699155848373702922")</f>
        <v>https://twitter.com/leiamoneytimes/status/1699155848373702922</v>
      </c>
      <c r="AF3807" s="79">
        <v>45174.848344907405</v>
      </c>
      <c r="AG3807" s="85">
        <v>45174</v>
      </c>
      <c r="AH3807" s="82" t="s">
        <v>11769</v>
      </c>
      <c r="AI3807" s="77" t="b">
        <v>0</v>
      </c>
      <c r="AJ3807" s="77"/>
      <c r="AK3807" s="77"/>
      <c r="AL3807" s="77"/>
      <c r="AM3807" s="77"/>
      <c r="AN3807" s="77"/>
      <c r="AO3807" s="77"/>
      <c r="AP3807" s="77"/>
      <c r="AQ3807" s="77"/>
      <c r="AR3807" s="77"/>
      <c r="AS3807" s="77"/>
      <c r="AT3807" s="77"/>
      <c r="AU3807" s="77"/>
      <c r="AV3807" s="80" t="str">
        <f>HYPERLINK("https://pbs.twimg.com/profile_images/1559883556846977024/bXHnQFY0_normal.jpg")</f>
        <v>https://pbs.twimg.com/profile_images/1559883556846977024/bXHnQFY0_normal.jpg</v>
      </c>
      <c r="AW3807" s="82" t="s">
        <v>16891</v>
      </c>
      <c r="AX3807" s="82" t="s">
        <v>16891</v>
      </c>
      <c r="AY3807" s="77"/>
      <c r="AZ3807" s="82" t="s">
        <v>17385</v>
      </c>
      <c r="BA3807" s="82" t="s">
        <v>17385</v>
      </c>
      <c r="BB3807" s="82" t="s">
        <v>17385</v>
      </c>
      <c r="BC3807" s="82" t="s">
        <v>16891</v>
      </c>
      <c r="BD3807" s="77">
        <v>51150679</v>
      </c>
      <c r="BE3807" s="77"/>
      <c r="BF3807" s="77"/>
      <c r="BG3807" s="77"/>
      <c r="BH3807" s="77"/>
      <c r="BI3807" s="77"/>
    </row>
    <row r="3808" spans="1:61" x14ac:dyDescent="0.25">
      <c r="A3808" s="62" t="s">
        <v>605</v>
      </c>
      <c r="B3808" s="62" t="s">
        <v>605</v>
      </c>
      <c r="C3808" s="63"/>
      <c r="D3808" s="64"/>
      <c r="E3808" s="65"/>
      <c r="F3808" s="66"/>
      <c r="G3808" s="63"/>
      <c r="H3808" s="67"/>
      <c r="I3808" s="68"/>
      <c r="J3808" s="68"/>
      <c r="K3808" s="32"/>
      <c r="L3808" s="75">
        <v>3808</v>
      </c>
      <c r="M3808" s="75"/>
      <c r="N3808" s="70"/>
      <c r="O3808" s="77" t="s">
        <v>179</v>
      </c>
      <c r="P3808" s="79">
        <v>45174.791296296295</v>
      </c>
      <c r="Q3808" s="77" t="s">
        <v>4582</v>
      </c>
      <c r="R3808" s="77">
        <v>0</v>
      </c>
      <c r="S3808" s="77">
        <v>1</v>
      </c>
      <c r="T3808" s="77">
        <v>1</v>
      </c>
      <c r="U3808" s="77">
        <v>0</v>
      </c>
      <c r="V3808" s="77">
        <v>710</v>
      </c>
      <c r="W3808" s="82" t="s">
        <v>6868</v>
      </c>
      <c r="X3808" s="80" t="str">
        <f>HYPERLINK("https://www.moneytimes.com.br/ibovespa-queda-recente-e-exagerada-defende-bofa-carteira-tem-mudancas-com-petrobras-petr4-e-techs/")</f>
        <v>https://www.moneytimes.com.br/ibovespa-queda-recente-e-exagerada-defende-bofa-carteira-tem-mudancas-com-petrobras-petr4-e-techs/</v>
      </c>
      <c r="Y3808" s="77" t="s">
        <v>7053</v>
      </c>
      <c r="Z3808" s="77"/>
      <c r="AA3808" s="77"/>
      <c r="AB3808" s="77"/>
      <c r="AC3808" s="82" t="s">
        <v>8255</v>
      </c>
      <c r="AD3808" s="77" t="s">
        <v>8278</v>
      </c>
      <c r="AE3808" s="80" t="str">
        <f>HYPERLINK("https://twitter.com/leiamoneytimes/status/1699135174808616999")</f>
        <v>https://twitter.com/leiamoneytimes/status/1699135174808616999</v>
      </c>
      <c r="AF3808" s="79">
        <v>45174.791296296295</v>
      </c>
      <c r="AG3808" s="85">
        <v>45174</v>
      </c>
      <c r="AH3808" s="82" t="s">
        <v>11770</v>
      </c>
      <c r="AI3808" s="77" t="b">
        <v>0</v>
      </c>
      <c r="AJ3808" s="77"/>
      <c r="AK3808" s="77"/>
      <c r="AL3808" s="77"/>
      <c r="AM3808" s="77"/>
      <c r="AN3808" s="77"/>
      <c r="AO3808" s="77"/>
      <c r="AP3808" s="77"/>
      <c r="AQ3808" s="77"/>
      <c r="AR3808" s="77"/>
      <c r="AS3808" s="77"/>
      <c r="AT3808" s="77"/>
      <c r="AU3808" s="77"/>
      <c r="AV3808" s="80" t="str">
        <f>HYPERLINK("https://pbs.twimg.com/profile_images/1559883556846977024/bXHnQFY0_normal.jpg")</f>
        <v>https://pbs.twimg.com/profile_images/1559883556846977024/bXHnQFY0_normal.jpg</v>
      </c>
      <c r="AW3808" s="82" t="s">
        <v>16892</v>
      </c>
      <c r="AX3808" s="82" t="s">
        <v>16892</v>
      </c>
      <c r="AY3808" s="77"/>
      <c r="AZ3808" s="82" t="s">
        <v>17385</v>
      </c>
      <c r="BA3808" s="82" t="s">
        <v>17385</v>
      </c>
      <c r="BB3808" s="82" t="s">
        <v>17385</v>
      </c>
      <c r="BC3808" s="82" t="s">
        <v>16892</v>
      </c>
      <c r="BD3808" s="77">
        <v>51150679</v>
      </c>
      <c r="BE3808" s="77"/>
      <c r="BF3808" s="77"/>
      <c r="BG3808" s="77"/>
      <c r="BH3808" s="77"/>
      <c r="BI3808" s="77"/>
    </row>
    <row r="3809" spans="1:61" x14ac:dyDescent="0.25">
      <c r="A3809" s="62" t="s">
        <v>605</v>
      </c>
      <c r="B3809" s="62" t="s">
        <v>605</v>
      </c>
      <c r="C3809" s="63"/>
      <c r="D3809" s="64"/>
      <c r="E3809" s="65"/>
      <c r="F3809" s="66"/>
      <c r="G3809" s="63"/>
      <c r="H3809" s="67"/>
      <c r="I3809" s="68"/>
      <c r="J3809" s="68"/>
      <c r="K3809" s="32"/>
      <c r="L3809" s="75">
        <v>3809</v>
      </c>
      <c r="M3809" s="75"/>
      <c r="N3809" s="70"/>
      <c r="O3809" s="77" t="s">
        <v>179</v>
      </c>
      <c r="P3809" s="79">
        <v>45174.631805555553</v>
      </c>
      <c r="Q3809" s="77" t="s">
        <v>4583</v>
      </c>
      <c r="R3809" s="77">
        <v>0</v>
      </c>
      <c r="S3809" s="77">
        <v>3</v>
      </c>
      <c r="T3809" s="77">
        <v>1</v>
      </c>
      <c r="U3809" s="77">
        <v>0</v>
      </c>
      <c r="V3809" s="77">
        <v>924</v>
      </c>
      <c r="W3809" s="82" t="s">
        <v>6746</v>
      </c>
      <c r="X3809" s="80" t="str">
        <f>HYPERLINK("https://www.moneytimes.com.br/ibovespa-hoje-agora-prio-prio3-e-petrobras-petr3-figuram-as-maiores-altas-enquanto-petroreconcavo-recv3-lidera-as-baixas-05-09-2023/")</f>
        <v>https://www.moneytimes.com.br/ibovespa-hoje-agora-prio-prio3-e-petrobras-petr3-figuram-as-maiores-altas-enquanto-petroreconcavo-recv3-lidera-as-baixas-05-09-2023/</v>
      </c>
      <c r="Y3809" s="77" t="s">
        <v>7053</v>
      </c>
      <c r="Z3809" s="77"/>
      <c r="AA3809" s="77"/>
      <c r="AB3809" s="77"/>
      <c r="AC3809" s="82" t="s">
        <v>8255</v>
      </c>
      <c r="AD3809" s="77" t="s">
        <v>8278</v>
      </c>
      <c r="AE3809" s="80" t="str">
        <f>HYPERLINK("https://twitter.com/leiamoneytimes/status/1699077377689542990")</f>
        <v>https://twitter.com/leiamoneytimes/status/1699077377689542990</v>
      </c>
      <c r="AF3809" s="79">
        <v>45174.631805555553</v>
      </c>
      <c r="AG3809" s="85">
        <v>45174</v>
      </c>
      <c r="AH3809" s="82" t="s">
        <v>11771</v>
      </c>
      <c r="AI3809" s="77" t="b">
        <v>0</v>
      </c>
      <c r="AJ3809" s="77"/>
      <c r="AK3809" s="77"/>
      <c r="AL3809" s="77"/>
      <c r="AM3809" s="77"/>
      <c r="AN3809" s="77"/>
      <c r="AO3809" s="77"/>
      <c r="AP3809" s="77"/>
      <c r="AQ3809" s="77"/>
      <c r="AR3809" s="77"/>
      <c r="AS3809" s="77"/>
      <c r="AT3809" s="77"/>
      <c r="AU3809" s="77"/>
      <c r="AV3809" s="80" t="str">
        <f>HYPERLINK("https://pbs.twimg.com/profile_images/1559883556846977024/bXHnQFY0_normal.jpg")</f>
        <v>https://pbs.twimg.com/profile_images/1559883556846977024/bXHnQFY0_normal.jpg</v>
      </c>
      <c r="AW3809" s="82" t="s">
        <v>16893</v>
      </c>
      <c r="AX3809" s="82" t="s">
        <v>16893</v>
      </c>
      <c r="AY3809" s="77"/>
      <c r="AZ3809" s="82" t="s">
        <v>17385</v>
      </c>
      <c r="BA3809" s="82" t="s">
        <v>17385</v>
      </c>
      <c r="BB3809" s="82" t="s">
        <v>17385</v>
      </c>
      <c r="BC3809" s="82" t="s">
        <v>16893</v>
      </c>
      <c r="BD3809" s="77">
        <v>51150679</v>
      </c>
      <c r="BE3809" s="77"/>
      <c r="BF3809" s="77"/>
      <c r="BG3809" s="77"/>
      <c r="BH3809" s="77"/>
      <c r="BI3809" s="77"/>
    </row>
    <row r="3810" spans="1:61" x14ac:dyDescent="0.25">
      <c r="A3810" s="62" t="s">
        <v>605</v>
      </c>
      <c r="B3810" s="62" t="s">
        <v>605</v>
      </c>
      <c r="C3810" s="63"/>
      <c r="D3810" s="64"/>
      <c r="E3810" s="65"/>
      <c r="F3810" s="66"/>
      <c r="G3810" s="63"/>
      <c r="H3810" s="67"/>
      <c r="I3810" s="68"/>
      <c r="J3810" s="68"/>
      <c r="K3810" s="32"/>
      <c r="L3810" s="75">
        <v>3810</v>
      </c>
      <c r="M3810" s="75"/>
      <c r="N3810" s="70"/>
      <c r="O3810" s="77" t="s">
        <v>179</v>
      </c>
      <c r="P3810" s="79">
        <v>45174.477754629632</v>
      </c>
      <c r="Q3810" s="77" t="s">
        <v>4584</v>
      </c>
      <c r="R3810" s="77">
        <v>0</v>
      </c>
      <c r="S3810" s="77">
        <v>3</v>
      </c>
      <c r="T3810" s="77">
        <v>1</v>
      </c>
      <c r="U3810" s="77">
        <v>0</v>
      </c>
      <c r="V3810" s="77">
        <v>754</v>
      </c>
      <c r="W3810" s="82" t="s">
        <v>6869</v>
      </c>
      <c r="X3810" s="80" t="str">
        <f>HYPERLINK("https://www.moneytimes.com.br/tenda-tend3-oferta-sai-a-r-1250-por-papel-e-soma-r-2343-milhoes/")</f>
        <v>https://www.moneytimes.com.br/tenda-tend3-oferta-sai-a-r-1250-por-papel-e-soma-r-2343-milhoes/</v>
      </c>
      <c r="Y3810" s="77" t="s">
        <v>7053</v>
      </c>
      <c r="Z3810" s="77"/>
      <c r="AA3810" s="77"/>
      <c r="AB3810" s="77"/>
      <c r="AC3810" s="82" t="s">
        <v>8255</v>
      </c>
      <c r="AD3810" s="77" t="s">
        <v>8278</v>
      </c>
      <c r="AE3810" s="80" t="str">
        <f>HYPERLINK("https://twitter.com/leiamoneytimes/status/1699021552119943618")</f>
        <v>https://twitter.com/leiamoneytimes/status/1699021552119943618</v>
      </c>
      <c r="AF3810" s="79">
        <v>45174.477754629632</v>
      </c>
      <c r="AG3810" s="85">
        <v>45174</v>
      </c>
      <c r="AH3810" s="82" t="s">
        <v>11772</v>
      </c>
      <c r="AI3810" s="77" t="b">
        <v>0</v>
      </c>
      <c r="AJ3810" s="77"/>
      <c r="AK3810" s="77"/>
      <c r="AL3810" s="77"/>
      <c r="AM3810" s="77"/>
      <c r="AN3810" s="77"/>
      <c r="AO3810" s="77"/>
      <c r="AP3810" s="77"/>
      <c r="AQ3810" s="77"/>
      <c r="AR3810" s="77"/>
      <c r="AS3810" s="77"/>
      <c r="AT3810" s="77"/>
      <c r="AU3810" s="77"/>
      <c r="AV3810" s="80" t="str">
        <f>HYPERLINK("https://pbs.twimg.com/profile_images/1559883556846977024/bXHnQFY0_normal.jpg")</f>
        <v>https://pbs.twimg.com/profile_images/1559883556846977024/bXHnQFY0_normal.jpg</v>
      </c>
      <c r="AW3810" s="82" t="s">
        <v>16894</v>
      </c>
      <c r="AX3810" s="82" t="s">
        <v>16894</v>
      </c>
      <c r="AY3810" s="77"/>
      <c r="AZ3810" s="82" t="s">
        <v>17385</v>
      </c>
      <c r="BA3810" s="82" t="s">
        <v>17385</v>
      </c>
      <c r="BB3810" s="82" t="s">
        <v>17385</v>
      </c>
      <c r="BC3810" s="82" t="s">
        <v>16894</v>
      </c>
      <c r="BD3810" s="77">
        <v>51150679</v>
      </c>
      <c r="BE3810" s="77"/>
      <c r="BF3810" s="77"/>
      <c r="BG3810" s="77"/>
      <c r="BH3810" s="77"/>
      <c r="BI3810" s="77"/>
    </row>
    <row r="3811" spans="1:61" x14ac:dyDescent="0.25">
      <c r="A3811" s="62" t="s">
        <v>605</v>
      </c>
      <c r="B3811" s="62" t="s">
        <v>605</v>
      </c>
      <c r="C3811" s="63"/>
      <c r="D3811" s="64"/>
      <c r="E3811" s="65"/>
      <c r="F3811" s="66"/>
      <c r="G3811" s="63"/>
      <c r="H3811" s="67"/>
      <c r="I3811" s="68"/>
      <c r="J3811" s="68"/>
      <c r="K3811" s="32"/>
      <c r="L3811" s="75">
        <v>3811</v>
      </c>
      <c r="M3811" s="75"/>
      <c r="N3811" s="70"/>
      <c r="O3811" s="77" t="s">
        <v>179</v>
      </c>
      <c r="P3811" s="79">
        <v>45168.664641203701</v>
      </c>
      <c r="Q3811" s="77" t="s">
        <v>4585</v>
      </c>
      <c r="R3811" s="77">
        <v>0</v>
      </c>
      <c r="S3811" s="77">
        <v>1</v>
      </c>
      <c r="T3811" s="77">
        <v>1</v>
      </c>
      <c r="U3811" s="77">
        <v>0</v>
      </c>
      <c r="V3811" s="77">
        <v>1494</v>
      </c>
      <c r="W3811" s="82" t="s">
        <v>6679</v>
      </c>
      <c r="X3811" s="80" t="str">
        <f>HYPERLINK("https://www.moneytimes.com.br/ibovespa-hoje-agora-alpargatas-alpa4-e-destaque-negativo-junto-com-via-varejo-viia3-cvc-cvcb3-dispara-30-08-2023/")</f>
        <v>https://www.moneytimes.com.br/ibovespa-hoje-agora-alpargatas-alpa4-e-destaque-negativo-junto-com-via-varejo-viia3-cvc-cvcb3-dispara-30-08-2023/</v>
      </c>
      <c r="Y3811" s="77" t="s">
        <v>7053</v>
      </c>
      <c r="Z3811" s="77"/>
      <c r="AA3811" s="77"/>
      <c r="AB3811" s="77"/>
      <c r="AC3811" s="82" t="s">
        <v>8255</v>
      </c>
      <c r="AD3811" s="77" t="s">
        <v>8278</v>
      </c>
      <c r="AE3811" s="80" t="str">
        <f>HYPERLINK("https://twitter.com/leiamoneytimes/status/1696914948012572817")</f>
        <v>https://twitter.com/leiamoneytimes/status/1696914948012572817</v>
      </c>
      <c r="AF3811" s="79">
        <v>45168.664641203701</v>
      </c>
      <c r="AG3811" s="85">
        <v>45168</v>
      </c>
      <c r="AH3811" s="82" t="s">
        <v>11773</v>
      </c>
      <c r="AI3811" s="77" t="b">
        <v>0</v>
      </c>
      <c r="AJ3811" s="77"/>
      <c r="AK3811" s="77"/>
      <c r="AL3811" s="77"/>
      <c r="AM3811" s="77"/>
      <c r="AN3811" s="77"/>
      <c r="AO3811" s="77"/>
      <c r="AP3811" s="77"/>
      <c r="AQ3811" s="77"/>
      <c r="AR3811" s="77"/>
      <c r="AS3811" s="77"/>
      <c r="AT3811" s="77"/>
      <c r="AU3811" s="77"/>
      <c r="AV3811" s="80" t="str">
        <f>HYPERLINK("https://pbs.twimg.com/profile_images/1559883556846977024/bXHnQFY0_normal.jpg")</f>
        <v>https://pbs.twimg.com/profile_images/1559883556846977024/bXHnQFY0_normal.jpg</v>
      </c>
      <c r="AW3811" s="82" t="s">
        <v>16895</v>
      </c>
      <c r="AX3811" s="82" t="s">
        <v>16895</v>
      </c>
      <c r="AY3811" s="77"/>
      <c r="AZ3811" s="82" t="s">
        <v>17385</v>
      </c>
      <c r="BA3811" s="82" t="s">
        <v>17385</v>
      </c>
      <c r="BB3811" s="82" t="s">
        <v>17385</v>
      </c>
      <c r="BC3811" s="82" t="s">
        <v>16895</v>
      </c>
      <c r="BD3811" s="77">
        <v>51150679</v>
      </c>
      <c r="BE3811" s="77"/>
      <c r="BF3811" s="77"/>
      <c r="BG3811" s="77"/>
      <c r="BH3811" s="77"/>
      <c r="BI3811" s="77"/>
    </row>
    <row r="3812" spans="1:61" x14ac:dyDescent="0.25">
      <c r="A3812" s="62" t="s">
        <v>605</v>
      </c>
      <c r="B3812" s="62" t="s">
        <v>605</v>
      </c>
      <c r="C3812" s="63"/>
      <c r="D3812" s="64"/>
      <c r="E3812" s="65"/>
      <c r="F3812" s="66"/>
      <c r="G3812" s="63"/>
      <c r="H3812" s="67"/>
      <c r="I3812" s="68"/>
      <c r="J3812" s="68"/>
      <c r="K3812" s="32"/>
      <c r="L3812" s="75">
        <v>3812</v>
      </c>
      <c r="M3812" s="75"/>
      <c r="N3812" s="70"/>
      <c r="O3812" s="77" t="s">
        <v>179</v>
      </c>
      <c r="P3812" s="79">
        <v>45168.532118055555</v>
      </c>
      <c r="Q3812" s="77" t="s">
        <v>4586</v>
      </c>
      <c r="R3812" s="77">
        <v>0</v>
      </c>
      <c r="S3812" s="77">
        <v>4</v>
      </c>
      <c r="T3812" s="77">
        <v>1</v>
      </c>
      <c r="U3812" s="77">
        <v>0</v>
      </c>
      <c r="V3812" s="77">
        <v>1251</v>
      </c>
      <c r="W3812" s="82" t="s">
        <v>6870</v>
      </c>
      <c r="X3812" s="80" t="str">
        <f>HYPERLINK("https://www.moneytimes.com.br/globo-compra-mais-acoes-de-empresa-da-bolsa/")</f>
        <v>https://www.moneytimes.com.br/globo-compra-mais-acoes-de-empresa-da-bolsa/</v>
      </c>
      <c r="Y3812" s="77" t="s">
        <v>7053</v>
      </c>
      <c r="Z3812" s="77"/>
      <c r="AA3812" s="77"/>
      <c r="AB3812" s="77"/>
      <c r="AC3812" s="82" t="s">
        <v>8255</v>
      </c>
      <c r="AD3812" s="77" t="s">
        <v>8278</v>
      </c>
      <c r="AE3812" s="80" t="str">
        <f>HYPERLINK("https://twitter.com/leiamoneytimes/status/1696866924452331776")</f>
        <v>https://twitter.com/leiamoneytimes/status/1696866924452331776</v>
      </c>
      <c r="AF3812" s="79">
        <v>45168.532118055555</v>
      </c>
      <c r="AG3812" s="85">
        <v>45168</v>
      </c>
      <c r="AH3812" s="82" t="s">
        <v>11774</v>
      </c>
      <c r="AI3812" s="77" t="b">
        <v>0</v>
      </c>
      <c r="AJ3812" s="77"/>
      <c r="AK3812" s="77"/>
      <c r="AL3812" s="77"/>
      <c r="AM3812" s="77"/>
      <c r="AN3812" s="77"/>
      <c r="AO3812" s="77"/>
      <c r="AP3812" s="77"/>
      <c r="AQ3812" s="77"/>
      <c r="AR3812" s="77"/>
      <c r="AS3812" s="77"/>
      <c r="AT3812" s="77"/>
      <c r="AU3812" s="77"/>
      <c r="AV3812" s="80" t="str">
        <f>HYPERLINK("https://pbs.twimg.com/profile_images/1559883556846977024/bXHnQFY0_normal.jpg")</f>
        <v>https://pbs.twimg.com/profile_images/1559883556846977024/bXHnQFY0_normal.jpg</v>
      </c>
      <c r="AW3812" s="82" t="s">
        <v>16896</v>
      </c>
      <c r="AX3812" s="82" t="s">
        <v>16896</v>
      </c>
      <c r="AY3812" s="77"/>
      <c r="AZ3812" s="82" t="s">
        <v>17385</v>
      </c>
      <c r="BA3812" s="82" t="s">
        <v>17385</v>
      </c>
      <c r="BB3812" s="82" t="s">
        <v>17385</v>
      </c>
      <c r="BC3812" s="82" t="s">
        <v>16896</v>
      </c>
      <c r="BD3812" s="77">
        <v>51150679</v>
      </c>
      <c r="BE3812" s="77"/>
      <c r="BF3812" s="77"/>
      <c r="BG3812" s="77"/>
      <c r="BH3812" s="77"/>
      <c r="BI3812" s="77"/>
    </row>
    <row r="3813" spans="1:61" x14ac:dyDescent="0.25">
      <c r="A3813" s="62" t="s">
        <v>605</v>
      </c>
      <c r="B3813" s="62" t="s">
        <v>605</v>
      </c>
      <c r="C3813" s="63"/>
      <c r="D3813" s="64"/>
      <c r="E3813" s="65"/>
      <c r="F3813" s="66"/>
      <c r="G3813" s="63"/>
      <c r="H3813" s="67"/>
      <c r="I3813" s="68"/>
      <c r="J3813" s="68"/>
      <c r="K3813" s="32"/>
      <c r="L3813" s="75">
        <v>3813</v>
      </c>
      <c r="M3813" s="75"/>
      <c r="N3813" s="70"/>
      <c r="O3813" s="77" t="s">
        <v>179</v>
      </c>
      <c r="P3813" s="79">
        <v>45167.850821759261</v>
      </c>
      <c r="Q3813" s="77" t="s">
        <v>4587</v>
      </c>
      <c r="R3813" s="77">
        <v>0</v>
      </c>
      <c r="S3813" s="77">
        <v>4</v>
      </c>
      <c r="T3813" s="77">
        <v>1</v>
      </c>
      <c r="U3813" s="77">
        <v>0</v>
      </c>
      <c r="V3813" s="77">
        <v>1339</v>
      </c>
      <c r="W3813" s="82" t="s">
        <v>6551</v>
      </c>
      <c r="X3813" s="80" t="str">
        <f>HYPERLINK("https://www.moneytimes.com.br/ibovespa-hoje-fecha-alta-118-mil-pontos-marfrig-mrfg3-29-08-2023/")</f>
        <v>https://www.moneytimes.com.br/ibovespa-hoje-fecha-alta-118-mil-pontos-marfrig-mrfg3-29-08-2023/</v>
      </c>
      <c r="Y3813" s="77" t="s">
        <v>7053</v>
      </c>
      <c r="Z3813" s="77"/>
      <c r="AA3813" s="77"/>
      <c r="AB3813" s="77"/>
      <c r="AC3813" s="82" t="s">
        <v>8255</v>
      </c>
      <c r="AD3813" s="77" t="s">
        <v>8278</v>
      </c>
      <c r="AE3813" s="80" t="str">
        <f>HYPERLINK("https://twitter.com/leiamoneytimes/status/1696620031130361906")</f>
        <v>https://twitter.com/leiamoneytimes/status/1696620031130361906</v>
      </c>
      <c r="AF3813" s="79">
        <v>45167.850821759261</v>
      </c>
      <c r="AG3813" s="85">
        <v>45167</v>
      </c>
      <c r="AH3813" s="82" t="s">
        <v>11775</v>
      </c>
      <c r="AI3813" s="77" t="b">
        <v>0</v>
      </c>
      <c r="AJ3813" s="77"/>
      <c r="AK3813" s="77"/>
      <c r="AL3813" s="77"/>
      <c r="AM3813" s="77"/>
      <c r="AN3813" s="77"/>
      <c r="AO3813" s="77"/>
      <c r="AP3813" s="77"/>
      <c r="AQ3813" s="77"/>
      <c r="AR3813" s="77"/>
      <c r="AS3813" s="77"/>
      <c r="AT3813" s="77"/>
      <c r="AU3813" s="77"/>
      <c r="AV3813" s="80" t="str">
        <f>HYPERLINK("https://pbs.twimg.com/profile_images/1559883556846977024/bXHnQFY0_normal.jpg")</f>
        <v>https://pbs.twimg.com/profile_images/1559883556846977024/bXHnQFY0_normal.jpg</v>
      </c>
      <c r="AW3813" s="82" t="s">
        <v>16897</v>
      </c>
      <c r="AX3813" s="82" t="s">
        <v>16897</v>
      </c>
      <c r="AY3813" s="77"/>
      <c r="AZ3813" s="82" t="s">
        <v>17385</v>
      </c>
      <c r="BA3813" s="82" t="s">
        <v>17385</v>
      </c>
      <c r="BB3813" s="82" t="s">
        <v>17385</v>
      </c>
      <c r="BC3813" s="82" t="s">
        <v>16897</v>
      </c>
      <c r="BD3813" s="77">
        <v>51150679</v>
      </c>
      <c r="BE3813" s="77"/>
      <c r="BF3813" s="77"/>
      <c r="BG3813" s="77"/>
      <c r="BH3813" s="77"/>
      <c r="BI3813" s="77"/>
    </row>
    <row r="3814" spans="1:61" x14ac:dyDescent="0.25">
      <c r="A3814" s="62" t="s">
        <v>605</v>
      </c>
      <c r="B3814" s="62" t="s">
        <v>605</v>
      </c>
      <c r="C3814" s="63"/>
      <c r="D3814" s="64"/>
      <c r="E3814" s="65"/>
      <c r="F3814" s="66"/>
      <c r="G3814" s="63"/>
      <c r="H3814" s="67"/>
      <c r="I3814" s="68"/>
      <c r="J3814" s="68"/>
      <c r="K3814" s="32"/>
      <c r="L3814" s="75">
        <v>3814</v>
      </c>
      <c r="M3814" s="75"/>
      <c r="N3814" s="70"/>
      <c r="O3814" s="77" t="s">
        <v>179</v>
      </c>
      <c r="P3814" s="79">
        <v>45167.66951388889</v>
      </c>
      <c r="Q3814" s="77" t="s">
        <v>4588</v>
      </c>
      <c r="R3814" s="77">
        <v>0</v>
      </c>
      <c r="S3814" s="77">
        <v>2</v>
      </c>
      <c r="T3814" s="77">
        <v>1</v>
      </c>
      <c r="U3814" s="77">
        <v>0</v>
      </c>
      <c r="V3814" s="77">
        <v>1259</v>
      </c>
      <c r="W3814" s="82" t="s">
        <v>6661</v>
      </c>
      <c r="X3814" s="80" t="str">
        <f>HYPERLINK("https://www.moneytimes.com.br/ibovespa-hoje-agora-marfrig-mrfg3-dispara-e-minerva-beef3-despenca-29-08-2023/")</f>
        <v>https://www.moneytimes.com.br/ibovespa-hoje-agora-marfrig-mrfg3-dispara-e-minerva-beef3-despenca-29-08-2023/</v>
      </c>
      <c r="Y3814" s="77" t="s">
        <v>7053</v>
      </c>
      <c r="Z3814" s="77"/>
      <c r="AA3814" s="77"/>
      <c r="AB3814" s="77"/>
      <c r="AC3814" s="82" t="s">
        <v>8255</v>
      </c>
      <c r="AD3814" s="77" t="s">
        <v>8278</v>
      </c>
      <c r="AE3814" s="80" t="str">
        <f>HYPERLINK("https://twitter.com/leiamoneytimes/status/1696554327236579624")</f>
        <v>https://twitter.com/leiamoneytimes/status/1696554327236579624</v>
      </c>
      <c r="AF3814" s="79">
        <v>45167.66951388889</v>
      </c>
      <c r="AG3814" s="85">
        <v>45167</v>
      </c>
      <c r="AH3814" s="82" t="s">
        <v>11776</v>
      </c>
      <c r="AI3814" s="77" t="b">
        <v>0</v>
      </c>
      <c r="AJ3814" s="77"/>
      <c r="AK3814" s="77"/>
      <c r="AL3814" s="77"/>
      <c r="AM3814" s="77"/>
      <c r="AN3814" s="77"/>
      <c r="AO3814" s="77"/>
      <c r="AP3814" s="77"/>
      <c r="AQ3814" s="77"/>
      <c r="AR3814" s="77"/>
      <c r="AS3814" s="77"/>
      <c r="AT3814" s="77"/>
      <c r="AU3814" s="77"/>
      <c r="AV3814" s="80" t="str">
        <f>HYPERLINK("https://pbs.twimg.com/profile_images/1559883556846977024/bXHnQFY0_normal.jpg")</f>
        <v>https://pbs.twimg.com/profile_images/1559883556846977024/bXHnQFY0_normal.jpg</v>
      </c>
      <c r="AW3814" s="82" t="s">
        <v>16898</v>
      </c>
      <c r="AX3814" s="82" t="s">
        <v>16898</v>
      </c>
      <c r="AY3814" s="77"/>
      <c r="AZ3814" s="82" t="s">
        <v>17385</v>
      </c>
      <c r="BA3814" s="82" t="s">
        <v>17385</v>
      </c>
      <c r="BB3814" s="82" t="s">
        <v>17385</v>
      </c>
      <c r="BC3814" s="82" t="s">
        <v>16898</v>
      </c>
      <c r="BD3814" s="77">
        <v>51150679</v>
      </c>
      <c r="BE3814" s="77"/>
      <c r="BF3814" s="77"/>
      <c r="BG3814" s="77"/>
      <c r="BH3814" s="77"/>
      <c r="BI3814" s="77"/>
    </row>
    <row r="3815" spans="1:61" x14ac:dyDescent="0.25">
      <c r="A3815" s="62" t="s">
        <v>605</v>
      </c>
      <c r="B3815" s="62" t="s">
        <v>605</v>
      </c>
      <c r="C3815" s="63"/>
      <c r="D3815" s="64"/>
      <c r="E3815" s="65"/>
      <c r="F3815" s="66"/>
      <c r="G3815" s="63"/>
      <c r="H3815" s="67"/>
      <c r="I3815" s="68"/>
      <c r="J3815" s="68"/>
      <c r="K3815" s="32"/>
      <c r="L3815" s="75">
        <v>3815</v>
      </c>
      <c r="M3815" s="75"/>
      <c r="N3815" s="70"/>
      <c r="O3815" s="77" t="s">
        <v>179</v>
      </c>
      <c r="P3815" s="79">
        <v>45166.929166666669</v>
      </c>
      <c r="Q3815" s="77" t="s">
        <v>4589</v>
      </c>
      <c r="R3815" s="77">
        <v>0</v>
      </c>
      <c r="S3815" s="77">
        <v>8</v>
      </c>
      <c r="T3815" s="77">
        <v>1</v>
      </c>
      <c r="U3815" s="77">
        <v>0</v>
      </c>
      <c r="V3815" s="77">
        <v>1764</v>
      </c>
      <c r="W3815" s="82" t="s">
        <v>6871</v>
      </c>
      <c r="X3815" s="80" t="str">
        <f>HYPERLINK("https://www.moneytimes.com.br/petrobras-petr4-busca-dinheiro-de-bancos-chineses-para-projetos-de-baixo-carbono/")</f>
        <v>https://www.moneytimes.com.br/petrobras-petr4-busca-dinheiro-de-bancos-chineses-para-projetos-de-baixo-carbono/</v>
      </c>
      <c r="Y3815" s="77" t="s">
        <v>7053</v>
      </c>
      <c r="Z3815" s="77"/>
      <c r="AA3815" s="77"/>
      <c r="AB3815" s="77"/>
      <c r="AC3815" s="82" t="s">
        <v>8255</v>
      </c>
      <c r="AD3815" s="77" t="s">
        <v>8278</v>
      </c>
      <c r="AE3815" s="80" t="str">
        <f>HYPERLINK("https://twitter.com/leiamoneytimes/status/1696286033363525723")</f>
        <v>https://twitter.com/leiamoneytimes/status/1696286033363525723</v>
      </c>
      <c r="AF3815" s="79">
        <v>45166.929166666669</v>
      </c>
      <c r="AG3815" s="85">
        <v>45166</v>
      </c>
      <c r="AH3815" s="82" t="s">
        <v>11777</v>
      </c>
      <c r="AI3815" s="77" t="b">
        <v>0</v>
      </c>
      <c r="AJ3815" s="77"/>
      <c r="AK3815" s="77"/>
      <c r="AL3815" s="77"/>
      <c r="AM3815" s="77"/>
      <c r="AN3815" s="77"/>
      <c r="AO3815" s="77"/>
      <c r="AP3815" s="77"/>
      <c r="AQ3815" s="77"/>
      <c r="AR3815" s="77"/>
      <c r="AS3815" s="77"/>
      <c r="AT3815" s="77"/>
      <c r="AU3815" s="77"/>
      <c r="AV3815" s="80" t="str">
        <f>HYPERLINK("https://pbs.twimg.com/profile_images/1559883556846977024/bXHnQFY0_normal.jpg")</f>
        <v>https://pbs.twimg.com/profile_images/1559883556846977024/bXHnQFY0_normal.jpg</v>
      </c>
      <c r="AW3815" s="82" t="s">
        <v>16899</v>
      </c>
      <c r="AX3815" s="82" t="s">
        <v>16899</v>
      </c>
      <c r="AY3815" s="77"/>
      <c r="AZ3815" s="82" t="s">
        <v>17385</v>
      </c>
      <c r="BA3815" s="82" t="s">
        <v>17385</v>
      </c>
      <c r="BB3815" s="82" t="s">
        <v>17385</v>
      </c>
      <c r="BC3815" s="82" t="s">
        <v>16899</v>
      </c>
      <c r="BD3815" s="77">
        <v>51150679</v>
      </c>
      <c r="BE3815" s="77"/>
      <c r="BF3815" s="77"/>
      <c r="BG3815" s="77"/>
      <c r="BH3815" s="77"/>
      <c r="BI3815" s="77"/>
    </row>
    <row r="3816" spans="1:61" x14ac:dyDescent="0.25">
      <c r="A3816" s="62" t="s">
        <v>605</v>
      </c>
      <c r="B3816" s="62" t="s">
        <v>605</v>
      </c>
      <c r="C3816" s="63"/>
      <c r="D3816" s="64"/>
      <c r="E3816" s="65"/>
      <c r="F3816" s="66"/>
      <c r="G3816" s="63"/>
      <c r="H3816" s="67"/>
      <c r="I3816" s="68"/>
      <c r="J3816" s="68"/>
      <c r="K3816" s="32"/>
      <c r="L3816" s="75">
        <v>3816</v>
      </c>
      <c r="M3816" s="75"/>
      <c r="N3816" s="70"/>
      <c r="O3816" s="77" t="s">
        <v>179</v>
      </c>
      <c r="P3816" s="79">
        <v>45166.846863425926</v>
      </c>
      <c r="Q3816" s="77" t="s">
        <v>4590</v>
      </c>
      <c r="R3816" s="77">
        <v>0</v>
      </c>
      <c r="S3816" s="77">
        <v>2</v>
      </c>
      <c r="T3816" s="77">
        <v>1</v>
      </c>
      <c r="U3816" s="77">
        <v>0</v>
      </c>
      <c r="V3816" s="77">
        <v>1341</v>
      </c>
      <c r="W3816" s="82" t="s">
        <v>6551</v>
      </c>
      <c r="X3816" s="80" t="str">
        <f>HYPERLINK("https://www.moneytimes.com.br/ibovespa-hoje-fecha-alta-117-mil-pontos-bancos-28-08-2023/")</f>
        <v>https://www.moneytimes.com.br/ibovespa-hoje-fecha-alta-117-mil-pontos-bancos-28-08-2023/</v>
      </c>
      <c r="Y3816" s="77" t="s">
        <v>7053</v>
      </c>
      <c r="Z3816" s="77"/>
      <c r="AA3816" s="77"/>
      <c r="AB3816" s="77"/>
      <c r="AC3816" s="82" t="s">
        <v>8255</v>
      </c>
      <c r="AD3816" s="77" t="s">
        <v>8278</v>
      </c>
      <c r="AE3816" s="80" t="str">
        <f>HYPERLINK("https://twitter.com/leiamoneytimes/status/1696256208577888612")</f>
        <v>https://twitter.com/leiamoneytimes/status/1696256208577888612</v>
      </c>
      <c r="AF3816" s="79">
        <v>45166.846863425926</v>
      </c>
      <c r="AG3816" s="85">
        <v>45166</v>
      </c>
      <c r="AH3816" s="82" t="s">
        <v>11778</v>
      </c>
      <c r="AI3816" s="77" t="b">
        <v>0</v>
      </c>
      <c r="AJ3816" s="77"/>
      <c r="AK3816" s="77"/>
      <c r="AL3816" s="77"/>
      <c r="AM3816" s="77"/>
      <c r="AN3816" s="77"/>
      <c r="AO3816" s="77"/>
      <c r="AP3816" s="77"/>
      <c r="AQ3816" s="77"/>
      <c r="AR3816" s="77"/>
      <c r="AS3816" s="77"/>
      <c r="AT3816" s="77"/>
      <c r="AU3816" s="77"/>
      <c r="AV3816" s="80" t="str">
        <f>HYPERLINK("https://pbs.twimg.com/profile_images/1559883556846977024/bXHnQFY0_normal.jpg")</f>
        <v>https://pbs.twimg.com/profile_images/1559883556846977024/bXHnQFY0_normal.jpg</v>
      </c>
      <c r="AW3816" s="82" t="s">
        <v>16900</v>
      </c>
      <c r="AX3816" s="82" t="s">
        <v>16900</v>
      </c>
      <c r="AY3816" s="77"/>
      <c r="AZ3816" s="82" t="s">
        <v>17385</v>
      </c>
      <c r="BA3816" s="82" t="s">
        <v>17385</v>
      </c>
      <c r="BB3816" s="82" t="s">
        <v>17385</v>
      </c>
      <c r="BC3816" s="82" t="s">
        <v>16900</v>
      </c>
      <c r="BD3816" s="77">
        <v>51150679</v>
      </c>
      <c r="BE3816" s="77"/>
      <c r="BF3816" s="77"/>
      <c r="BG3816" s="77"/>
      <c r="BH3816" s="77"/>
      <c r="BI3816" s="77"/>
    </row>
    <row r="3817" spans="1:61" x14ac:dyDescent="0.25">
      <c r="A3817" s="62" t="s">
        <v>605</v>
      </c>
      <c r="B3817" s="62" t="s">
        <v>605</v>
      </c>
      <c r="C3817" s="63"/>
      <c r="D3817" s="64"/>
      <c r="E3817" s="65"/>
      <c r="F3817" s="66"/>
      <c r="G3817" s="63"/>
      <c r="H3817" s="67"/>
      <c r="I3817" s="68"/>
      <c r="J3817" s="68"/>
      <c r="K3817" s="32"/>
      <c r="L3817" s="75">
        <v>3817</v>
      </c>
      <c r="M3817" s="75"/>
      <c r="N3817" s="70"/>
      <c r="O3817" s="77" t="s">
        <v>179</v>
      </c>
      <c r="P3817" s="79">
        <v>45166.66238425926</v>
      </c>
      <c r="Q3817" s="77" t="s">
        <v>4591</v>
      </c>
      <c r="R3817" s="77">
        <v>0</v>
      </c>
      <c r="S3817" s="77">
        <v>1</v>
      </c>
      <c r="T3817" s="77">
        <v>1</v>
      </c>
      <c r="U3817" s="77">
        <v>0</v>
      </c>
      <c r="V3817" s="77">
        <v>1669</v>
      </c>
      <c r="W3817" s="82" t="s">
        <v>6872</v>
      </c>
      <c r="X3817" s="80" t="str">
        <f>HYPERLINK("https://www.moneytimes.com.br/ibovespa-hoje-agora-via-viia3-despenca-e-lidera-as-baixas-com-pao-de-acucar-minerva-beef3-e-o-destaque-negativo-28-08-2023/")</f>
        <v>https://www.moneytimes.com.br/ibovespa-hoje-agora-via-viia3-despenca-e-lidera-as-baixas-com-pao-de-acucar-minerva-beef3-e-o-destaque-negativo-28-08-2023/</v>
      </c>
      <c r="Y3817" s="77" t="s">
        <v>7053</v>
      </c>
      <c r="Z3817" s="77"/>
      <c r="AA3817" s="77"/>
      <c r="AB3817" s="77"/>
      <c r="AC3817" s="82" t="s">
        <v>8255</v>
      </c>
      <c r="AD3817" s="77" t="s">
        <v>8278</v>
      </c>
      <c r="AE3817" s="80" t="str">
        <f>HYPERLINK("https://twitter.com/leiamoneytimes/status/1696189354916340029")</f>
        <v>https://twitter.com/leiamoneytimes/status/1696189354916340029</v>
      </c>
      <c r="AF3817" s="79">
        <v>45166.66238425926</v>
      </c>
      <c r="AG3817" s="85">
        <v>45166</v>
      </c>
      <c r="AH3817" s="82" t="s">
        <v>11779</v>
      </c>
      <c r="AI3817" s="77" t="b">
        <v>0</v>
      </c>
      <c r="AJ3817" s="77"/>
      <c r="AK3817" s="77"/>
      <c r="AL3817" s="77"/>
      <c r="AM3817" s="77"/>
      <c r="AN3817" s="77"/>
      <c r="AO3817" s="77"/>
      <c r="AP3817" s="77"/>
      <c r="AQ3817" s="77"/>
      <c r="AR3817" s="77"/>
      <c r="AS3817" s="77"/>
      <c r="AT3817" s="77"/>
      <c r="AU3817" s="77"/>
      <c r="AV3817" s="80" t="str">
        <f>HYPERLINK("https://pbs.twimg.com/profile_images/1559883556846977024/bXHnQFY0_normal.jpg")</f>
        <v>https://pbs.twimg.com/profile_images/1559883556846977024/bXHnQFY0_normal.jpg</v>
      </c>
      <c r="AW3817" s="82" t="s">
        <v>16901</v>
      </c>
      <c r="AX3817" s="82" t="s">
        <v>16901</v>
      </c>
      <c r="AY3817" s="77"/>
      <c r="AZ3817" s="82" t="s">
        <v>17385</v>
      </c>
      <c r="BA3817" s="82" t="s">
        <v>17385</v>
      </c>
      <c r="BB3817" s="82" t="s">
        <v>17385</v>
      </c>
      <c r="BC3817" s="82" t="s">
        <v>16901</v>
      </c>
      <c r="BD3817" s="77">
        <v>51150679</v>
      </c>
      <c r="BE3817" s="77"/>
      <c r="BF3817" s="77"/>
      <c r="BG3817" s="77"/>
      <c r="BH3817" s="77"/>
      <c r="BI3817" s="77"/>
    </row>
    <row r="3818" spans="1:61" x14ac:dyDescent="0.25">
      <c r="A3818" s="62" t="s">
        <v>605</v>
      </c>
      <c r="B3818" s="62" t="s">
        <v>605</v>
      </c>
      <c r="C3818" s="63"/>
      <c r="D3818" s="64"/>
      <c r="E3818" s="65"/>
      <c r="F3818" s="66"/>
      <c r="G3818" s="63"/>
      <c r="H3818" s="67"/>
      <c r="I3818" s="68"/>
      <c r="J3818" s="68"/>
      <c r="K3818" s="32"/>
      <c r="L3818" s="75">
        <v>3818</v>
      </c>
      <c r="M3818" s="75"/>
      <c r="N3818" s="70"/>
      <c r="O3818" s="77" t="s">
        <v>179</v>
      </c>
      <c r="P3818" s="79">
        <v>45166.486504629633</v>
      </c>
      <c r="Q3818" s="77" t="s">
        <v>4592</v>
      </c>
      <c r="R3818" s="77">
        <v>0</v>
      </c>
      <c r="S3818" s="77">
        <v>4</v>
      </c>
      <c r="T3818" s="77">
        <v>1</v>
      </c>
      <c r="U3818" s="77">
        <v>0</v>
      </c>
      <c r="V3818" s="77">
        <v>1433</v>
      </c>
      <c r="W3818" s="82" t="s">
        <v>6873</v>
      </c>
      <c r="X3818" s="80" t="str">
        <f>HYPERLINK("https://www.moneytimes.com.br/5-acoes-diversificadas-para-obter-ganhos-na-semana-segundo-a-guide/")</f>
        <v>https://www.moneytimes.com.br/5-acoes-diversificadas-para-obter-ganhos-na-semana-segundo-a-guide/</v>
      </c>
      <c r="Y3818" s="77" t="s">
        <v>7053</v>
      </c>
      <c r="Z3818" s="77"/>
      <c r="AA3818" s="77"/>
      <c r="AB3818" s="77"/>
      <c r="AC3818" s="82" t="s">
        <v>8255</v>
      </c>
      <c r="AD3818" s="77" t="s">
        <v>8278</v>
      </c>
      <c r="AE3818" s="80" t="str">
        <f>HYPERLINK("https://twitter.com/leiamoneytimes/status/1696125619879207300")</f>
        <v>https://twitter.com/leiamoneytimes/status/1696125619879207300</v>
      </c>
      <c r="AF3818" s="79">
        <v>45166.486504629633</v>
      </c>
      <c r="AG3818" s="85">
        <v>45166</v>
      </c>
      <c r="AH3818" s="82" t="s">
        <v>11780</v>
      </c>
      <c r="AI3818" s="77" t="b">
        <v>0</v>
      </c>
      <c r="AJ3818" s="77"/>
      <c r="AK3818" s="77"/>
      <c r="AL3818" s="77"/>
      <c r="AM3818" s="77"/>
      <c r="AN3818" s="77"/>
      <c r="AO3818" s="77"/>
      <c r="AP3818" s="77"/>
      <c r="AQ3818" s="77"/>
      <c r="AR3818" s="77"/>
      <c r="AS3818" s="77"/>
      <c r="AT3818" s="77"/>
      <c r="AU3818" s="77"/>
      <c r="AV3818" s="80" t="str">
        <f>HYPERLINK("https://pbs.twimg.com/profile_images/1559883556846977024/bXHnQFY0_normal.jpg")</f>
        <v>https://pbs.twimg.com/profile_images/1559883556846977024/bXHnQFY0_normal.jpg</v>
      </c>
      <c r="AW3818" s="82" t="s">
        <v>16902</v>
      </c>
      <c r="AX3818" s="82" t="s">
        <v>16902</v>
      </c>
      <c r="AY3818" s="77"/>
      <c r="AZ3818" s="82" t="s">
        <v>17385</v>
      </c>
      <c r="BA3818" s="82" t="s">
        <v>17385</v>
      </c>
      <c r="BB3818" s="82" t="s">
        <v>17385</v>
      </c>
      <c r="BC3818" s="82" t="s">
        <v>16902</v>
      </c>
      <c r="BD3818" s="77">
        <v>51150679</v>
      </c>
      <c r="BE3818" s="77"/>
      <c r="BF3818" s="77"/>
      <c r="BG3818" s="77"/>
      <c r="BH3818" s="77"/>
      <c r="BI3818" s="77"/>
    </row>
    <row r="3819" spans="1:61" x14ac:dyDescent="0.25">
      <c r="A3819" s="62" t="s">
        <v>605</v>
      </c>
      <c r="B3819" s="62" t="s">
        <v>605</v>
      </c>
      <c r="C3819" s="63"/>
      <c r="D3819" s="64"/>
      <c r="E3819" s="65"/>
      <c r="F3819" s="66"/>
      <c r="G3819" s="63"/>
      <c r="H3819" s="67"/>
      <c r="I3819" s="68"/>
      <c r="J3819" s="68"/>
      <c r="K3819" s="32"/>
      <c r="L3819" s="75">
        <v>3819</v>
      </c>
      <c r="M3819" s="75"/>
      <c r="N3819" s="70"/>
      <c r="O3819" s="77" t="s">
        <v>179</v>
      </c>
      <c r="P3819" s="79">
        <v>45150.819143518522</v>
      </c>
      <c r="Q3819" s="77" t="s">
        <v>4593</v>
      </c>
      <c r="R3819" s="77">
        <v>1</v>
      </c>
      <c r="S3819" s="77">
        <v>6</v>
      </c>
      <c r="T3819" s="77">
        <v>1</v>
      </c>
      <c r="U3819" s="77">
        <v>0</v>
      </c>
      <c r="V3819" s="77">
        <v>2297</v>
      </c>
      <c r="W3819" s="82" t="s">
        <v>6743</v>
      </c>
      <c r="X3819" s="80" t="str">
        <f>HYPERLINK("https://www.moneytimes.com.br/5-acoes-para-superar-o-ibovespa-confira-recomendacoes-do-bb-investimentos/")</f>
        <v>https://www.moneytimes.com.br/5-acoes-para-superar-o-ibovespa-confira-recomendacoes-do-bb-investimentos/</v>
      </c>
      <c r="Y3819" s="77" t="s">
        <v>7053</v>
      </c>
      <c r="Z3819" s="77"/>
      <c r="AA3819" s="77"/>
      <c r="AB3819" s="77"/>
      <c r="AC3819" s="82" t="s">
        <v>8255</v>
      </c>
      <c r="AD3819" s="77" t="s">
        <v>8278</v>
      </c>
      <c r="AE3819" s="80" t="str">
        <f>HYPERLINK("https://twitter.com/leiamoneytimes/status/1690447955193421824")</f>
        <v>https://twitter.com/leiamoneytimes/status/1690447955193421824</v>
      </c>
      <c r="AF3819" s="79">
        <v>45150.819143518522</v>
      </c>
      <c r="AG3819" s="85">
        <v>45150</v>
      </c>
      <c r="AH3819" s="82" t="s">
        <v>11781</v>
      </c>
      <c r="AI3819" s="77" t="b">
        <v>0</v>
      </c>
      <c r="AJ3819" s="77"/>
      <c r="AK3819" s="77"/>
      <c r="AL3819" s="77"/>
      <c r="AM3819" s="77"/>
      <c r="AN3819" s="77"/>
      <c r="AO3819" s="77"/>
      <c r="AP3819" s="77"/>
      <c r="AQ3819" s="77"/>
      <c r="AR3819" s="77"/>
      <c r="AS3819" s="77"/>
      <c r="AT3819" s="77"/>
      <c r="AU3819" s="77"/>
      <c r="AV3819" s="80" t="str">
        <f>HYPERLINK("https://pbs.twimg.com/profile_images/1559883556846977024/bXHnQFY0_normal.jpg")</f>
        <v>https://pbs.twimg.com/profile_images/1559883556846977024/bXHnQFY0_normal.jpg</v>
      </c>
      <c r="AW3819" s="82" t="s">
        <v>16903</v>
      </c>
      <c r="AX3819" s="82" t="s">
        <v>16903</v>
      </c>
      <c r="AY3819" s="77"/>
      <c r="AZ3819" s="82" t="s">
        <v>17385</v>
      </c>
      <c r="BA3819" s="82" t="s">
        <v>17385</v>
      </c>
      <c r="BB3819" s="82" t="s">
        <v>17385</v>
      </c>
      <c r="BC3819" s="82" t="s">
        <v>16903</v>
      </c>
      <c r="BD3819" s="77">
        <v>51150679</v>
      </c>
      <c r="BE3819" s="77"/>
      <c r="BF3819" s="77"/>
      <c r="BG3819" s="77"/>
      <c r="BH3819" s="77"/>
      <c r="BI3819" s="77"/>
    </row>
    <row r="3820" spans="1:61" x14ac:dyDescent="0.25">
      <c r="A3820" s="62" t="s">
        <v>605</v>
      </c>
      <c r="B3820" s="62" t="s">
        <v>605</v>
      </c>
      <c r="C3820" s="63"/>
      <c r="D3820" s="64"/>
      <c r="E3820" s="65"/>
      <c r="F3820" s="66"/>
      <c r="G3820" s="63"/>
      <c r="H3820" s="67"/>
      <c r="I3820" s="68"/>
      <c r="J3820" s="68"/>
      <c r="K3820" s="32"/>
      <c r="L3820" s="75">
        <v>3820</v>
      </c>
      <c r="M3820" s="75"/>
      <c r="N3820" s="70"/>
      <c r="O3820" s="77" t="s">
        <v>179</v>
      </c>
      <c r="P3820" s="79">
        <v>45150.563287037039</v>
      </c>
      <c r="Q3820" s="77" t="s">
        <v>4594</v>
      </c>
      <c r="R3820" s="77">
        <v>2</v>
      </c>
      <c r="S3820" s="77">
        <v>7</v>
      </c>
      <c r="T3820" s="77">
        <v>0</v>
      </c>
      <c r="U3820" s="77">
        <v>0</v>
      </c>
      <c r="V3820" s="77">
        <v>1572</v>
      </c>
      <c r="W3820" s="82" t="s">
        <v>5566</v>
      </c>
      <c r="X3820" s="80" t="str">
        <f>HYPERLINK("https://www.moneytimes.com.br/como-garantir-r-46-bilhoes-em-dividendos-na-3a-semana-do-mes-bbse3-ggbr4-goua4-e-mais-7-tem-data-com/")</f>
        <v>https://www.moneytimes.com.br/como-garantir-r-46-bilhoes-em-dividendos-na-3a-semana-do-mes-bbse3-ggbr4-goua4-e-mais-7-tem-data-com/</v>
      </c>
      <c r="Y3820" s="77" t="s">
        <v>7053</v>
      </c>
      <c r="Z3820" s="77"/>
      <c r="AA3820" s="77"/>
      <c r="AB3820" s="77"/>
      <c r="AC3820" s="82" t="s">
        <v>8255</v>
      </c>
      <c r="AD3820" s="77" t="s">
        <v>8278</v>
      </c>
      <c r="AE3820" s="80" t="str">
        <f>HYPERLINK("https://twitter.com/leiamoneytimes/status/1690355238425788416")</f>
        <v>https://twitter.com/leiamoneytimes/status/1690355238425788416</v>
      </c>
      <c r="AF3820" s="79">
        <v>45150.563287037039</v>
      </c>
      <c r="AG3820" s="85">
        <v>45150</v>
      </c>
      <c r="AH3820" s="82" t="s">
        <v>11782</v>
      </c>
      <c r="AI3820" s="77" t="b">
        <v>0</v>
      </c>
      <c r="AJ3820" s="77"/>
      <c r="AK3820" s="77"/>
      <c r="AL3820" s="77"/>
      <c r="AM3820" s="77"/>
      <c r="AN3820" s="77"/>
      <c r="AO3820" s="77"/>
      <c r="AP3820" s="77"/>
      <c r="AQ3820" s="77"/>
      <c r="AR3820" s="77"/>
      <c r="AS3820" s="77"/>
      <c r="AT3820" s="77"/>
      <c r="AU3820" s="77"/>
      <c r="AV3820" s="80" t="str">
        <f>HYPERLINK("https://pbs.twimg.com/profile_images/1559883556846977024/bXHnQFY0_normal.jpg")</f>
        <v>https://pbs.twimg.com/profile_images/1559883556846977024/bXHnQFY0_normal.jpg</v>
      </c>
      <c r="AW3820" s="82" t="s">
        <v>16904</v>
      </c>
      <c r="AX3820" s="82" t="s">
        <v>16904</v>
      </c>
      <c r="AY3820" s="77"/>
      <c r="AZ3820" s="82" t="s">
        <v>17385</v>
      </c>
      <c r="BA3820" s="82" t="s">
        <v>17385</v>
      </c>
      <c r="BB3820" s="82" t="s">
        <v>17385</v>
      </c>
      <c r="BC3820" s="82" t="s">
        <v>16904</v>
      </c>
      <c r="BD3820" s="77">
        <v>51150679</v>
      </c>
      <c r="BE3820" s="77"/>
      <c r="BF3820" s="77"/>
      <c r="BG3820" s="77"/>
      <c r="BH3820" s="77"/>
      <c r="BI3820" s="77"/>
    </row>
    <row r="3821" spans="1:61" x14ac:dyDescent="0.25">
      <c r="A3821" s="62" t="s">
        <v>605</v>
      </c>
      <c r="B3821" s="62" t="s">
        <v>605</v>
      </c>
      <c r="C3821" s="63"/>
      <c r="D3821" s="64"/>
      <c r="E3821" s="65"/>
      <c r="F3821" s="66"/>
      <c r="G3821" s="63"/>
      <c r="H3821" s="67"/>
      <c r="I3821" s="68"/>
      <c r="J3821" s="68"/>
      <c r="K3821" s="32"/>
      <c r="L3821" s="75">
        <v>3821</v>
      </c>
      <c r="M3821" s="75"/>
      <c r="N3821" s="70"/>
      <c r="O3821" s="77" t="s">
        <v>179</v>
      </c>
      <c r="P3821" s="79">
        <v>45149.812395833331</v>
      </c>
      <c r="Q3821" s="77" t="s">
        <v>4595</v>
      </c>
      <c r="R3821" s="77">
        <v>0</v>
      </c>
      <c r="S3821" s="77">
        <v>1</v>
      </c>
      <c r="T3821" s="77">
        <v>1</v>
      </c>
      <c r="U3821" s="77">
        <v>0</v>
      </c>
      <c r="V3821" s="77">
        <v>942</v>
      </c>
      <c r="W3821" s="82" t="s">
        <v>6611</v>
      </c>
      <c r="X3821" s="80" t="str">
        <f>HYPERLINK("https://www.moneytimes.com.br/conheca-rafael-maisonnave-o-gestor-da-tarpon-que-ja-lucrou-1-200-com-small-caps/")</f>
        <v>https://www.moneytimes.com.br/conheca-rafael-maisonnave-o-gestor-da-tarpon-que-ja-lucrou-1-200-com-small-caps/</v>
      </c>
      <c r="Y3821" s="77" t="s">
        <v>7053</v>
      </c>
      <c r="Z3821" s="77"/>
      <c r="AA3821" s="77"/>
      <c r="AB3821" s="77"/>
      <c r="AC3821" s="82" t="s">
        <v>8255</v>
      </c>
      <c r="AD3821" s="77" t="s">
        <v>8278</v>
      </c>
      <c r="AE3821" s="80" t="str">
        <f>HYPERLINK("https://twitter.com/leiamoneytimes/status/1690083124028280832")</f>
        <v>https://twitter.com/leiamoneytimes/status/1690083124028280832</v>
      </c>
      <c r="AF3821" s="79">
        <v>45149.812395833331</v>
      </c>
      <c r="AG3821" s="85">
        <v>45149</v>
      </c>
      <c r="AH3821" s="82" t="s">
        <v>11783</v>
      </c>
      <c r="AI3821" s="77" t="b">
        <v>0</v>
      </c>
      <c r="AJ3821" s="77"/>
      <c r="AK3821" s="77"/>
      <c r="AL3821" s="77"/>
      <c r="AM3821" s="77"/>
      <c r="AN3821" s="77"/>
      <c r="AO3821" s="77"/>
      <c r="AP3821" s="77"/>
      <c r="AQ3821" s="77"/>
      <c r="AR3821" s="77"/>
      <c r="AS3821" s="77"/>
      <c r="AT3821" s="77"/>
      <c r="AU3821" s="77"/>
      <c r="AV3821" s="80" t="str">
        <f>HYPERLINK("https://pbs.twimg.com/profile_images/1559883556846977024/bXHnQFY0_normal.jpg")</f>
        <v>https://pbs.twimg.com/profile_images/1559883556846977024/bXHnQFY0_normal.jpg</v>
      </c>
      <c r="AW3821" s="82" t="s">
        <v>16905</v>
      </c>
      <c r="AX3821" s="82" t="s">
        <v>16905</v>
      </c>
      <c r="AY3821" s="77"/>
      <c r="AZ3821" s="82" t="s">
        <v>17385</v>
      </c>
      <c r="BA3821" s="82" t="s">
        <v>17385</v>
      </c>
      <c r="BB3821" s="82" t="s">
        <v>17385</v>
      </c>
      <c r="BC3821" s="82" t="s">
        <v>16905</v>
      </c>
      <c r="BD3821" s="77">
        <v>51150679</v>
      </c>
      <c r="BE3821" s="77"/>
      <c r="BF3821" s="77"/>
      <c r="BG3821" s="77"/>
      <c r="BH3821" s="77"/>
      <c r="BI3821" s="77"/>
    </row>
    <row r="3822" spans="1:61" x14ac:dyDescent="0.25">
      <c r="A3822" s="62" t="s">
        <v>605</v>
      </c>
      <c r="B3822" s="62" t="s">
        <v>605</v>
      </c>
      <c r="C3822" s="63"/>
      <c r="D3822" s="64"/>
      <c r="E3822" s="65"/>
      <c r="F3822" s="66"/>
      <c r="G3822" s="63"/>
      <c r="H3822" s="67"/>
      <c r="I3822" s="68"/>
      <c r="J3822" s="68"/>
      <c r="K3822" s="32"/>
      <c r="L3822" s="75">
        <v>3822</v>
      </c>
      <c r="M3822" s="75"/>
      <c r="N3822" s="70"/>
      <c r="O3822" s="77" t="s">
        <v>179</v>
      </c>
      <c r="P3822" s="79">
        <v>45149.661226851851</v>
      </c>
      <c r="Q3822" s="77" t="s">
        <v>4596</v>
      </c>
      <c r="R3822" s="77">
        <v>0</v>
      </c>
      <c r="S3822" s="77">
        <v>1</v>
      </c>
      <c r="T3822" s="77">
        <v>0</v>
      </c>
      <c r="U3822" s="77">
        <v>0</v>
      </c>
      <c r="V3822" s="77">
        <v>1069</v>
      </c>
      <c r="W3822" s="82" t="s">
        <v>6834</v>
      </c>
      <c r="X3822" s="80" t="str">
        <f>HYPERLINK("https://www.moneytimes.com.br/ibovespa-hoje-agora-yduqs-yduq3-dispara-junto-com-via-viia3-locaweb-lwsa3-e-o-destaque-negativo-11-08-2023/")</f>
        <v>https://www.moneytimes.com.br/ibovespa-hoje-agora-yduqs-yduq3-dispara-junto-com-via-viia3-locaweb-lwsa3-e-o-destaque-negativo-11-08-2023/</v>
      </c>
      <c r="Y3822" s="77" t="s">
        <v>7053</v>
      </c>
      <c r="Z3822" s="77"/>
      <c r="AA3822" s="77"/>
      <c r="AB3822" s="77"/>
      <c r="AC3822" s="82" t="s">
        <v>8255</v>
      </c>
      <c r="AD3822" s="77" t="s">
        <v>8278</v>
      </c>
      <c r="AE3822" s="80" t="str">
        <f>HYPERLINK("https://twitter.com/leiamoneytimes/status/1690028340453801985")</f>
        <v>https://twitter.com/leiamoneytimes/status/1690028340453801985</v>
      </c>
      <c r="AF3822" s="79">
        <v>45149.661226851851</v>
      </c>
      <c r="AG3822" s="85">
        <v>45149</v>
      </c>
      <c r="AH3822" s="82" t="s">
        <v>11784</v>
      </c>
      <c r="AI3822" s="77" t="b">
        <v>0</v>
      </c>
      <c r="AJ3822" s="77"/>
      <c r="AK3822" s="77"/>
      <c r="AL3822" s="77"/>
      <c r="AM3822" s="77"/>
      <c r="AN3822" s="77"/>
      <c r="AO3822" s="77"/>
      <c r="AP3822" s="77"/>
      <c r="AQ3822" s="77"/>
      <c r="AR3822" s="77"/>
      <c r="AS3822" s="77"/>
      <c r="AT3822" s="77"/>
      <c r="AU3822" s="77"/>
      <c r="AV3822" s="80" t="str">
        <f>HYPERLINK("https://pbs.twimg.com/profile_images/1559883556846977024/bXHnQFY0_normal.jpg")</f>
        <v>https://pbs.twimg.com/profile_images/1559883556846977024/bXHnQFY0_normal.jpg</v>
      </c>
      <c r="AW3822" s="82" t="s">
        <v>16906</v>
      </c>
      <c r="AX3822" s="82" t="s">
        <v>16906</v>
      </c>
      <c r="AY3822" s="77"/>
      <c r="AZ3822" s="82" t="s">
        <v>17385</v>
      </c>
      <c r="BA3822" s="82" t="s">
        <v>17385</v>
      </c>
      <c r="BB3822" s="82" t="s">
        <v>17385</v>
      </c>
      <c r="BC3822" s="82" t="s">
        <v>16906</v>
      </c>
      <c r="BD3822" s="77">
        <v>51150679</v>
      </c>
      <c r="BE3822" s="77"/>
      <c r="BF3822" s="77"/>
      <c r="BG3822" s="77"/>
      <c r="BH3822" s="77"/>
      <c r="BI3822" s="77"/>
    </row>
    <row r="3823" spans="1:61" x14ac:dyDescent="0.25">
      <c r="A3823" s="62" t="s">
        <v>605</v>
      </c>
      <c r="B3823" s="62" t="s">
        <v>605</v>
      </c>
      <c r="C3823" s="63"/>
      <c r="D3823" s="64"/>
      <c r="E3823" s="65"/>
      <c r="F3823" s="66"/>
      <c r="G3823" s="63"/>
      <c r="H3823" s="67"/>
      <c r="I3823" s="68"/>
      <c r="J3823" s="68"/>
      <c r="K3823" s="32"/>
      <c r="L3823" s="75">
        <v>3823</v>
      </c>
      <c r="M3823" s="75"/>
      <c r="N3823" s="70"/>
      <c r="O3823" s="77" t="s">
        <v>179</v>
      </c>
      <c r="P3823" s="79">
        <v>45149.657407407409</v>
      </c>
      <c r="Q3823" s="77" t="s">
        <v>4597</v>
      </c>
      <c r="R3823" s="77">
        <v>0</v>
      </c>
      <c r="S3823" s="77">
        <v>8</v>
      </c>
      <c r="T3823" s="77">
        <v>0</v>
      </c>
      <c r="U3823" s="77">
        <v>0</v>
      </c>
      <c r="V3823" s="77">
        <v>1307</v>
      </c>
      <c r="W3823" s="82" t="s">
        <v>5566</v>
      </c>
      <c r="X3823" s="80" t="str">
        <f>HYPERLINK("https://www.moneytimes.com.br/8-empresas-anunciam-mais-de-r-2-bilhoes-em-dividendos-e-jcp-veja-quem-tem-direito/")</f>
        <v>https://www.moneytimes.com.br/8-empresas-anunciam-mais-de-r-2-bilhoes-em-dividendos-e-jcp-veja-quem-tem-direito/</v>
      </c>
      <c r="Y3823" s="77" t="s">
        <v>7053</v>
      </c>
      <c r="Z3823" s="77"/>
      <c r="AA3823" s="77"/>
      <c r="AB3823" s="77"/>
      <c r="AC3823" s="82" t="s">
        <v>8255</v>
      </c>
      <c r="AD3823" s="77" t="s">
        <v>8278</v>
      </c>
      <c r="AE3823" s="80" t="str">
        <f>HYPERLINK("https://twitter.com/leiamoneytimes/status/1690026959101681665")</f>
        <v>https://twitter.com/leiamoneytimes/status/1690026959101681665</v>
      </c>
      <c r="AF3823" s="79">
        <v>45149.657407407409</v>
      </c>
      <c r="AG3823" s="85">
        <v>45149</v>
      </c>
      <c r="AH3823" s="82" t="s">
        <v>11785</v>
      </c>
      <c r="AI3823" s="77" t="b">
        <v>0</v>
      </c>
      <c r="AJ3823" s="77"/>
      <c r="AK3823" s="77"/>
      <c r="AL3823" s="77"/>
      <c r="AM3823" s="77"/>
      <c r="AN3823" s="77"/>
      <c r="AO3823" s="77"/>
      <c r="AP3823" s="77"/>
      <c r="AQ3823" s="77"/>
      <c r="AR3823" s="77"/>
      <c r="AS3823" s="77"/>
      <c r="AT3823" s="77"/>
      <c r="AU3823" s="77"/>
      <c r="AV3823" s="80" t="str">
        <f>HYPERLINK("https://pbs.twimg.com/profile_images/1559883556846977024/bXHnQFY0_normal.jpg")</f>
        <v>https://pbs.twimg.com/profile_images/1559883556846977024/bXHnQFY0_normal.jpg</v>
      </c>
      <c r="AW3823" s="82" t="s">
        <v>16907</v>
      </c>
      <c r="AX3823" s="82" t="s">
        <v>16907</v>
      </c>
      <c r="AY3823" s="77"/>
      <c r="AZ3823" s="82" t="s">
        <v>17385</v>
      </c>
      <c r="BA3823" s="82" t="s">
        <v>17385</v>
      </c>
      <c r="BB3823" s="82" t="s">
        <v>17385</v>
      </c>
      <c r="BC3823" s="82" t="s">
        <v>16907</v>
      </c>
      <c r="BD3823" s="77">
        <v>51150679</v>
      </c>
      <c r="BE3823" s="77"/>
      <c r="BF3823" s="77"/>
      <c r="BG3823" s="77"/>
      <c r="BH3823" s="77"/>
      <c r="BI3823" s="77"/>
    </row>
    <row r="3824" spans="1:61" x14ac:dyDescent="0.25">
      <c r="A3824" s="62" t="s">
        <v>605</v>
      </c>
      <c r="B3824" s="62" t="s">
        <v>605</v>
      </c>
      <c r="C3824" s="63"/>
      <c r="D3824" s="64"/>
      <c r="E3824" s="65"/>
      <c r="F3824" s="66"/>
      <c r="G3824" s="63"/>
      <c r="H3824" s="67"/>
      <c r="I3824" s="68"/>
      <c r="J3824" s="68"/>
      <c r="K3824" s="32"/>
      <c r="L3824" s="75">
        <v>3824</v>
      </c>
      <c r="M3824" s="75"/>
      <c r="N3824" s="70"/>
      <c r="O3824" s="77" t="s">
        <v>179</v>
      </c>
      <c r="P3824" s="79">
        <v>45149.459108796298</v>
      </c>
      <c r="Q3824" s="77" t="s">
        <v>4598</v>
      </c>
      <c r="R3824" s="77">
        <v>1</v>
      </c>
      <c r="S3824" s="77">
        <v>6</v>
      </c>
      <c r="T3824" s="77">
        <v>2</v>
      </c>
      <c r="U3824" s="77">
        <v>0</v>
      </c>
      <c r="V3824" s="77">
        <v>1543</v>
      </c>
      <c r="W3824" s="82" t="s">
        <v>6874</v>
      </c>
      <c r="X3824" s="80" t="str">
        <f>HYPERLINK("https://www.moneytimes.com.br/nubank-nubr33-prazo-para-investidor-decidir-o-que-fazer-com-bdrs-acaba-nesta-sexta-feira-11-veja-as-opcoes/")</f>
        <v>https://www.moneytimes.com.br/nubank-nubr33-prazo-para-investidor-decidir-o-que-fazer-com-bdrs-acaba-nesta-sexta-feira-11-veja-as-opcoes/</v>
      </c>
      <c r="Y3824" s="77" t="s">
        <v>7053</v>
      </c>
      <c r="Z3824" s="77"/>
      <c r="AA3824" s="77"/>
      <c r="AB3824" s="77"/>
      <c r="AC3824" s="82" t="s">
        <v>8255</v>
      </c>
      <c r="AD3824" s="77" t="s">
        <v>8278</v>
      </c>
      <c r="AE3824" s="80" t="str">
        <f>HYPERLINK("https://twitter.com/leiamoneytimes/status/1689955097659285505")</f>
        <v>https://twitter.com/leiamoneytimes/status/1689955097659285505</v>
      </c>
      <c r="AF3824" s="79">
        <v>45149.459108796298</v>
      </c>
      <c r="AG3824" s="85">
        <v>45149</v>
      </c>
      <c r="AH3824" s="82" t="s">
        <v>11786</v>
      </c>
      <c r="AI3824" s="77" t="b">
        <v>0</v>
      </c>
      <c r="AJ3824" s="77"/>
      <c r="AK3824" s="77"/>
      <c r="AL3824" s="77"/>
      <c r="AM3824" s="77"/>
      <c r="AN3824" s="77"/>
      <c r="AO3824" s="77"/>
      <c r="AP3824" s="77"/>
      <c r="AQ3824" s="77"/>
      <c r="AR3824" s="77"/>
      <c r="AS3824" s="77"/>
      <c r="AT3824" s="77"/>
      <c r="AU3824" s="77"/>
      <c r="AV3824" s="80" t="str">
        <f>HYPERLINK("https://pbs.twimg.com/profile_images/1559883556846977024/bXHnQFY0_normal.jpg")</f>
        <v>https://pbs.twimg.com/profile_images/1559883556846977024/bXHnQFY0_normal.jpg</v>
      </c>
      <c r="AW3824" s="82" t="s">
        <v>16908</v>
      </c>
      <c r="AX3824" s="82" t="s">
        <v>16908</v>
      </c>
      <c r="AY3824" s="77"/>
      <c r="AZ3824" s="82" t="s">
        <v>17385</v>
      </c>
      <c r="BA3824" s="82" t="s">
        <v>17385</v>
      </c>
      <c r="BB3824" s="82" t="s">
        <v>17385</v>
      </c>
      <c r="BC3824" s="82" t="s">
        <v>16908</v>
      </c>
      <c r="BD3824" s="77">
        <v>51150679</v>
      </c>
      <c r="BE3824" s="77"/>
      <c r="BF3824" s="77"/>
      <c r="BG3824" s="77"/>
      <c r="BH3824" s="77"/>
      <c r="BI3824" s="77"/>
    </row>
    <row r="3825" spans="1:61" x14ac:dyDescent="0.25">
      <c r="A3825" s="62" t="s">
        <v>605</v>
      </c>
      <c r="B3825" s="62" t="s">
        <v>605</v>
      </c>
      <c r="C3825" s="63"/>
      <c r="D3825" s="64"/>
      <c r="E3825" s="65"/>
      <c r="F3825" s="66"/>
      <c r="G3825" s="63"/>
      <c r="H3825" s="67"/>
      <c r="I3825" s="68"/>
      <c r="J3825" s="68"/>
      <c r="K3825" s="32"/>
      <c r="L3825" s="75">
        <v>3825</v>
      </c>
      <c r="M3825" s="75"/>
      <c r="N3825" s="70"/>
      <c r="O3825" s="77" t="s">
        <v>179</v>
      </c>
      <c r="P3825" s="79">
        <v>45148.848854166667</v>
      </c>
      <c r="Q3825" s="77" t="s">
        <v>4599</v>
      </c>
      <c r="R3825" s="77">
        <v>0</v>
      </c>
      <c r="S3825" s="77">
        <v>2</v>
      </c>
      <c r="T3825" s="77">
        <v>1</v>
      </c>
      <c r="U3825" s="77">
        <v>0</v>
      </c>
      <c r="V3825" s="77">
        <v>989</v>
      </c>
      <c r="W3825" s="82" t="s">
        <v>6551</v>
      </c>
      <c r="X3825" s="80" t="str">
        <f>HYPERLINK("https://www.moneytimes.com.br/ibovespa-hoje-fecha-queda-rali-resultados-2t23-10-08-2023/")</f>
        <v>https://www.moneytimes.com.br/ibovespa-hoje-fecha-queda-rali-resultados-2t23-10-08-2023/</v>
      </c>
      <c r="Y3825" s="77" t="s">
        <v>7053</v>
      </c>
      <c r="Z3825" s="77"/>
      <c r="AA3825" s="77"/>
      <c r="AB3825" s="77"/>
      <c r="AC3825" s="82" t="s">
        <v>8255</v>
      </c>
      <c r="AD3825" s="77" t="s">
        <v>8278</v>
      </c>
      <c r="AE3825" s="80" t="str">
        <f>HYPERLINK("https://twitter.com/leiamoneytimes/status/1689733947515645952")</f>
        <v>https://twitter.com/leiamoneytimes/status/1689733947515645952</v>
      </c>
      <c r="AF3825" s="79">
        <v>45148.848854166667</v>
      </c>
      <c r="AG3825" s="85">
        <v>45148</v>
      </c>
      <c r="AH3825" s="82" t="s">
        <v>11787</v>
      </c>
      <c r="AI3825" s="77" t="b">
        <v>0</v>
      </c>
      <c r="AJ3825" s="77"/>
      <c r="AK3825" s="77"/>
      <c r="AL3825" s="77"/>
      <c r="AM3825" s="77"/>
      <c r="AN3825" s="77"/>
      <c r="AO3825" s="77"/>
      <c r="AP3825" s="77"/>
      <c r="AQ3825" s="77"/>
      <c r="AR3825" s="77"/>
      <c r="AS3825" s="77"/>
      <c r="AT3825" s="77"/>
      <c r="AU3825" s="77"/>
      <c r="AV3825" s="80" t="str">
        <f>HYPERLINK("https://pbs.twimg.com/profile_images/1559883556846977024/bXHnQFY0_normal.jpg")</f>
        <v>https://pbs.twimg.com/profile_images/1559883556846977024/bXHnQFY0_normal.jpg</v>
      </c>
      <c r="AW3825" s="82" t="s">
        <v>16909</v>
      </c>
      <c r="AX3825" s="82" t="s">
        <v>16909</v>
      </c>
      <c r="AY3825" s="77"/>
      <c r="AZ3825" s="82" t="s">
        <v>17385</v>
      </c>
      <c r="BA3825" s="82" t="s">
        <v>17385</v>
      </c>
      <c r="BB3825" s="82" t="s">
        <v>17385</v>
      </c>
      <c r="BC3825" s="82" t="s">
        <v>16909</v>
      </c>
      <c r="BD3825" s="77">
        <v>51150679</v>
      </c>
      <c r="BE3825" s="77"/>
      <c r="BF3825" s="77"/>
      <c r="BG3825" s="77"/>
      <c r="BH3825" s="77"/>
      <c r="BI3825" s="77"/>
    </row>
    <row r="3826" spans="1:61" x14ac:dyDescent="0.25">
      <c r="A3826" s="62" t="s">
        <v>605</v>
      </c>
      <c r="B3826" s="62" t="s">
        <v>605</v>
      </c>
      <c r="C3826" s="63"/>
      <c r="D3826" s="64"/>
      <c r="E3826" s="65"/>
      <c r="F3826" s="66"/>
      <c r="G3826" s="63"/>
      <c r="H3826" s="67"/>
      <c r="I3826" s="68"/>
      <c r="J3826" s="68"/>
      <c r="K3826" s="32"/>
      <c r="L3826" s="75">
        <v>3826</v>
      </c>
      <c r="M3826" s="75"/>
      <c r="N3826" s="70"/>
      <c r="O3826" s="77" t="s">
        <v>179</v>
      </c>
      <c r="P3826" s="79">
        <v>45119.454907407409</v>
      </c>
      <c r="Q3826" s="77" t="s">
        <v>4600</v>
      </c>
      <c r="R3826" s="77">
        <v>0</v>
      </c>
      <c r="S3826" s="77">
        <v>5</v>
      </c>
      <c r="T3826" s="77">
        <v>1</v>
      </c>
      <c r="U3826" s="77">
        <v>0</v>
      </c>
      <c r="V3826" s="77">
        <v>1156</v>
      </c>
      <c r="W3826" s="82" t="s">
        <v>6663</v>
      </c>
      <c r="X3826" s="80" t="str">
        <f>HYPERLINK("https://www.moneytimes.com.br/vale-vale3-desperta-interesse-do-mercado-e-e-destaque-dos-jornais-nesta-quarta-feira-12/")</f>
        <v>https://www.moneytimes.com.br/vale-vale3-desperta-interesse-do-mercado-e-e-destaque-dos-jornais-nesta-quarta-feira-12/</v>
      </c>
      <c r="Y3826" s="77" t="s">
        <v>7053</v>
      </c>
      <c r="Z3826" s="77"/>
      <c r="AA3826" s="77"/>
      <c r="AB3826" s="77"/>
      <c r="AC3826" s="82" t="s">
        <v>8255</v>
      </c>
      <c r="AD3826" s="77" t="s">
        <v>8278</v>
      </c>
      <c r="AE3826" s="80" t="str">
        <f>HYPERLINK("https://twitter.com/leiamoneytimes/status/1679081939976822785")</f>
        <v>https://twitter.com/leiamoneytimes/status/1679081939976822785</v>
      </c>
      <c r="AF3826" s="79">
        <v>45119.454907407409</v>
      </c>
      <c r="AG3826" s="85">
        <v>45119</v>
      </c>
      <c r="AH3826" s="82" t="s">
        <v>11788</v>
      </c>
      <c r="AI3826" s="77" t="b">
        <v>0</v>
      </c>
      <c r="AJ3826" s="77"/>
      <c r="AK3826" s="77"/>
      <c r="AL3826" s="77"/>
      <c r="AM3826" s="77"/>
      <c r="AN3826" s="77"/>
      <c r="AO3826" s="77"/>
      <c r="AP3826" s="77"/>
      <c r="AQ3826" s="77"/>
      <c r="AR3826" s="77"/>
      <c r="AS3826" s="77"/>
      <c r="AT3826" s="77"/>
      <c r="AU3826" s="77"/>
      <c r="AV3826" s="80" t="str">
        <f>HYPERLINK("https://pbs.twimg.com/profile_images/1559883556846977024/bXHnQFY0_normal.jpg")</f>
        <v>https://pbs.twimg.com/profile_images/1559883556846977024/bXHnQFY0_normal.jpg</v>
      </c>
      <c r="AW3826" s="82" t="s">
        <v>16910</v>
      </c>
      <c r="AX3826" s="82" t="s">
        <v>16910</v>
      </c>
      <c r="AY3826" s="77"/>
      <c r="AZ3826" s="82" t="s">
        <v>17385</v>
      </c>
      <c r="BA3826" s="82" t="s">
        <v>17385</v>
      </c>
      <c r="BB3826" s="82" t="s">
        <v>17385</v>
      </c>
      <c r="BC3826" s="82" t="s">
        <v>16910</v>
      </c>
      <c r="BD3826" s="77">
        <v>51150679</v>
      </c>
      <c r="BE3826" s="77"/>
      <c r="BF3826" s="77"/>
      <c r="BG3826" s="77"/>
      <c r="BH3826" s="77"/>
      <c r="BI3826" s="77"/>
    </row>
    <row r="3827" spans="1:61" x14ac:dyDescent="0.25">
      <c r="A3827" s="62" t="s">
        <v>605</v>
      </c>
      <c r="B3827" s="62" t="s">
        <v>605</v>
      </c>
      <c r="C3827" s="63"/>
      <c r="D3827" s="64"/>
      <c r="E3827" s="65"/>
      <c r="F3827" s="66"/>
      <c r="G3827" s="63"/>
      <c r="H3827" s="67"/>
      <c r="I3827" s="68"/>
      <c r="J3827" s="68"/>
      <c r="K3827" s="32"/>
      <c r="L3827" s="75">
        <v>3827</v>
      </c>
      <c r="M3827" s="75"/>
      <c r="N3827" s="70"/>
      <c r="O3827" s="77" t="s">
        <v>179</v>
      </c>
      <c r="P3827" s="79">
        <v>45118.963900462964</v>
      </c>
      <c r="Q3827" s="77" t="s">
        <v>4601</v>
      </c>
      <c r="R3827" s="77">
        <v>0</v>
      </c>
      <c r="S3827" s="77">
        <v>3</v>
      </c>
      <c r="T3827" s="77">
        <v>2</v>
      </c>
      <c r="U3827" s="77">
        <v>1</v>
      </c>
      <c r="V3827" s="77">
        <v>2055</v>
      </c>
      <c r="W3827" s="82" t="s">
        <v>6875</v>
      </c>
      <c r="X3827" s="80" t="str">
        <f>HYPERLINK("https://www.moneytimes.com.br/maior-gestora-do-mundo-eleva-exposicao-a-petroleira-junior-brasileira/")</f>
        <v>https://www.moneytimes.com.br/maior-gestora-do-mundo-eleva-exposicao-a-petroleira-junior-brasileira/</v>
      </c>
      <c r="Y3827" s="77" t="s">
        <v>7053</v>
      </c>
      <c r="Z3827" s="77"/>
      <c r="AA3827" s="77"/>
      <c r="AB3827" s="77"/>
      <c r="AC3827" s="82" t="s">
        <v>8255</v>
      </c>
      <c r="AD3827" s="77" t="s">
        <v>8278</v>
      </c>
      <c r="AE3827" s="80" t="str">
        <f>HYPERLINK("https://twitter.com/leiamoneytimes/status/1678904003629817857")</f>
        <v>https://twitter.com/leiamoneytimes/status/1678904003629817857</v>
      </c>
      <c r="AF3827" s="79">
        <v>45118.963900462964</v>
      </c>
      <c r="AG3827" s="85">
        <v>45118</v>
      </c>
      <c r="AH3827" s="82" t="s">
        <v>11789</v>
      </c>
      <c r="AI3827" s="77" t="b">
        <v>0</v>
      </c>
      <c r="AJ3827" s="77"/>
      <c r="AK3827" s="77"/>
      <c r="AL3827" s="77"/>
      <c r="AM3827" s="77"/>
      <c r="AN3827" s="77"/>
      <c r="AO3827" s="77"/>
      <c r="AP3827" s="77"/>
      <c r="AQ3827" s="77"/>
      <c r="AR3827" s="77"/>
      <c r="AS3827" s="77"/>
      <c r="AT3827" s="77"/>
      <c r="AU3827" s="77"/>
      <c r="AV3827" s="80" t="str">
        <f>HYPERLINK("https://pbs.twimg.com/profile_images/1559883556846977024/bXHnQFY0_normal.jpg")</f>
        <v>https://pbs.twimg.com/profile_images/1559883556846977024/bXHnQFY0_normal.jpg</v>
      </c>
      <c r="AW3827" s="82" t="s">
        <v>16911</v>
      </c>
      <c r="AX3827" s="82" t="s">
        <v>16911</v>
      </c>
      <c r="AY3827" s="77"/>
      <c r="AZ3827" s="82" t="s">
        <v>17385</v>
      </c>
      <c r="BA3827" s="82" t="s">
        <v>17385</v>
      </c>
      <c r="BB3827" s="82" t="s">
        <v>17385</v>
      </c>
      <c r="BC3827" s="82" t="s">
        <v>16911</v>
      </c>
      <c r="BD3827" s="77">
        <v>51150679</v>
      </c>
      <c r="BE3827" s="77"/>
      <c r="BF3827" s="77"/>
      <c r="BG3827" s="77"/>
      <c r="BH3827" s="77"/>
      <c r="BI3827" s="77"/>
    </row>
    <row r="3828" spans="1:61" x14ac:dyDescent="0.25">
      <c r="A3828" s="62" t="s">
        <v>605</v>
      </c>
      <c r="B3828" s="62" t="s">
        <v>605</v>
      </c>
      <c r="C3828" s="63"/>
      <c r="D3828" s="64"/>
      <c r="E3828" s="65"/>
      <c r="F3828" s="66"/>
      <c r="G3828" s="63"/>
      <c r="H3828" s="67"/>
      <c r="I3828" s="68"/>
      <c r="J3828" s="68"/>
      <c r="K3828" s="32"/>
      <c r="L3828" s="75">
        <v>3828</v>
      </c>
      <c r="M3828" s="75"/>
      <c r="N3828" s="70"/>
      <c r="O3828" s="77" t="s">
        <v>179</v>
      </c>
      <c r="P3828" s="79">
        <v>45118.844166666669</v>
      </c>
      <c r="Q3828" s="77" t="s">
        <v>4602</v>
      </c>
      <c r="R3828" s="77">
        <v>0</v>
      </c>
      <c r="S3828" s="77">
        <v>3</v>
      </c>
      <c r="T3828" s="77">
        <v>1</v>
      </c>
      <c r="U3828" s="77">
        <v>0</v>
      </c>
      <c r="V3828" s="77">
        <v>1082</v>
      </c>
      <c r="W3828" s="82" t="s">
        <v>6551</v>
      </c>
      <c r="X3828" s="80" t="str">
        <f>HYPERLINK("https://www.moneytimes.com.br/ibovespa-hoje-fecha-queda-vale-vale3-ipca-11-07-2023/")</f>
        <v>https://www.moneytimes.com.br/ibovespa-hoje-fecha-queda-vale-vale3-ipca-11-07-2023/</v>
      </c>
      <c r="Y3828" s="77" t="s">
        <v>7053</v>
      </c>
      <c r="Z3828" s="77"/>
      <c r="AA3828" s="77"/>
      <c r="AB3828" s="77"/>
      <c r="AC3828" s="82" t="s">
        <v>8255</v>
      </c>
      <c r="AD3828" s="77" t="s">
        <v>8278</v>
      </c>
      <c r="AE3828" s="80" t="str">
        <f>HYPERLINK("https://twitter.com/leiamoneytimes/status/1678860612514742273")</f>
        <v>https://twitter.com/leiamoneytimes/status/1678860612514742273</v>
      </c>
      <c r="AF3828" s="79">
        <v>45118.844166666669</v>
      </c>
      <c r="AG3828" s="85">
        <v>45118</v>
      </c>
      <c r="AH3828" s="82" t="s">
        <v>11790</v>
      </c>
      <c r="AI3828" s="77" t="b">
        <v>0</v>
      </c>
      <c r="AJ3828" s="77"/>
      <c r="AK3828" s="77"/>
      <c r="AL3828" s="77"/>
      <c r="AM3828" s="77"/>
      <c r="AN3828" s="77"/>
      <c r="AO3828" s="77"/>
      <c r="AP3828" s="77"/>
      <c r="AQ3828" s="77"/>
      <c r="AR3828" s="77"/>
      <c r="AS3828" s="77"/>
      <c r="AT3828" s="77"/>
      <c r="AU3828" s="77"/>
      <c r="AV3828" s="80" t="str">
        <f>HYPERLINK("https://pbs.twimg.com/profile_images/1559883556846977024/bXHnQFY0_normal.jpg")</f>
        <v>https://pbs.twimg.com/profile_images/1559883556846977024/bXHnQFY0_normal.jpg</v>
      </c>
      <c r="AW3828" s="82" t="s">
        <v>16912</v>
      </c>
      <c r="AX3828" s="82" t="s">
        <v>16912</v>
      </c>
      <c r="AY3828" s="77"/>
      <c r="AZ3828" s="82" t="s">
        <v>17385</v>
      </c>
      <c r="BA3828" s="82" t="s">
        <v>17385</v>
      </c>
      <c r="BB3828" s="82" t="s">
        <v>17385</v>
      </c>
      <c r="BC3828" s="82" t="s">
        <v>16912</v>
      </c>
      <c r="BD3828" s="77">
        <v>51150679</v>
      </c>
      <c r="BE3828" s="77"/>
      <c r="BF3828" s="77"/>
      <c r="BG3828" s="77"/>
      <c r="BH3828" s="77"/>
      <c r="BI3828" s="77"/>
    </row>
    <row r="3829" spans="1:61" x14ac:dyDescent="0.25">
      <c r="A3829" s="62" t="s">
        <v>605</v>
      </c>
      <c r="B3829" s="62" t="s">
        <v>605</v>
      </c>
      <c r="C3829" s="63"/>
      <c r="D3829" s="64"/>
      <c r="E3829" s="65"/>
      <c r="F3829" s="66"/>
      <c r="G3829" s="63"/>
      <c r="H3829" s="67"/>
      <c r="I3829" s="68"/>
      <c r="J3829" s="68"/>
      <c r="K3829" s="32"/>
      <c r="L3829" s="75">
        <v>3829</v>
      </c>
      <c r="M3829" s="75"/>
      <c r="N3829" s="70"/>
      <c r="O3829" s="77" t="s">
        <v>179</v>
      </c>
      <c r="P3829" s="79">
        <v>45118.660092592596</v>
      </c>
      <c r="Q3829" s="77" t="s">
        <v>4603</v>
      </c>
      <c r="R3829" s="77">
        <v>0</v>
      </c>
      <c r="S3829" s="77">
        <v>0</v>
      </c>
      <c r="T3829" s="77">
        <v>1</v>
      </c>
      <c r="U3829" s="77">
        <v>0</v>
      </c>
      <c r="V3829" s="77">
        <v>1117</v>
      </c>
      <c r="W3829" s="82" t="s">
        <v>6555</v>
      </c>
      <c r="X3829" s="80" t="str">
        <f>HYPERLINK("https://www.moneytimes.com.br/ibovespa-por-que-gol-goll4-despenca-irb-irbr3-lidera-as-altas-da-sessao/")</f>
        <v>https://www.moneytimes.com.br/ibovespa-por-que-gol-goll4-despenca-irb-irbr3-lidera-as-altas-da-sessao/</v>
      </c>
      <c r="Y3829" s="77" t="s">
        <v>7053</v>
      </c>
      <c r="Z3829" s="77"/>
      <c r="AA3829" s="77"/>
      <c r="AB3829" s="77"/>
      <c r="AC3829" s="82" t="s">
        <v>8255</v>
      </c>
      <c r="AD3829" s="77" t="s">
        <v>8278</v>
      </c>
      <c r="AE3829" s="80" t="str">
        <f>HYPERLINK("https://twitter.com/leiamoneytimes/status/1678793905729421317")</f>
        <v>https://twitter.com/leiamoneytimes/status/1678793905729421317</v>
      </c>
      <c r="AF3829" s="79">
        <v>45118.660092592596</v>
      </c>
      <c r="AG3829" s="85">
        <v>45118</v>
      </c>
      <c r="AH3829" s="82" t="s">
        <v>11791</v>
      </c>
      <c r="AI3829" s="77" t="b">
        <v>0</v>
      </c>
      <c r="AJ3829" s="77"/>
      <c r="AK3829" s="77"/>
      <c r="AL3829" s="77"/>
      <c r="AM3829" s="77"/>
      <c r="AN3829" s="77"/>
      <c r="AO3829" s="77"/>
      <c r="AP3829" s="77"/>
      <c r="AQ3829" s="77"/>
      <c r="AR3829" s="77"/>
      <c r="AS3829" s="77"/>
      <c r="AT3829" s="77"/>
      <c r="AU3829" s="77"/>
      <c r="AV3829" s="80" t="str">
        <f>HYPERLINK("https://pbs.twimg.com/profile_images/1559883556846977024/bXHnQFY0_normal.jpg")</f>
        <v>https://pbs.twimg.com/profile_images/1559883556846977024/bXHnQFY0_normal.jpg</v>
      </c>
      <c r="AW3829" s="82" t="s">
        <v>16913</v>
      </c>
      <c r="AX3829" s="82" t="s">
        <v>16913</v>
      </c>
      <c r="AY3829" s="77"/>
      <c r="AZ3829" s="82" t="s">
        <v>17385</v>
      </c>
      <c r="BA3829" s="82" t="s">
        <v>17385</v>
      </c>
      <c r="BB3829" s="82" t="s">
        <v>17385</v>
      </c>
      <c r="BC3829" s="82" t="s">
        <v>16913</v>
      </c>
      <c r="BD3829" s="77">
        <v>51150679</v>
      </c>
      <c r="BE3829" s="77"/>
      <c r="BF3829" s="77"/>
      <c r="BG3829" s="77"/>
      <c r="BH3829" s="77"/>
      <c r="BI3829" s="77"/>
    </row>
    <row r="3830" spans="1:61" x14ac:dyDescent="0.25">
      <c r="A3830" s="62" t="s">
        <v>605</v>
      </c>
      <c r="B3830" s="62" t="s">
        <v>605</v>
      </c>
      <c r="C3830" s="63"/>
      <c r="D3830" s="64"/>
      <c r="E3830" s="65"/>
      <c r="F3830" s="66"/>
      <c r="G3830" s="63"/>
      <c r="H3830" s="67"/>
      <c r="I3830" s="68"/>
      <c r="J3830" s="68"/>
      <c r="K3830" s="32"/>
      <c r="L3830" s="75">
        <v>3830</v>
      </c>
      <c r="M3830" s="75"/>
      <c r="N3830" s="70"/>
      <c r="O3830" s="77" t="s">
        <v>179</v>
      </c>
      <c r="P3830" s="79">
        <v>45118.565601851849</v>
      </c>
      <c r="Q3830" s="77" t="s">
        <v>4604</v>
      </c>
      <c r="R3830" s="77">
        <v>0</v>
      </c>
      <c r="S3830" s="77">
        <v>2</v>
      </c>
      <c r="T3830" s="77">
        <v>1</v>
      </c>
      <c r="U3830" s="77">
        <v>0</v>
      </c>
      <c r="V3830" s="77">
        <v>1450</v>
      </c>
      <c r="W3830" s="82" t="s">
        <v>6864</v>
      </c>
      <c r="X3830" s="80" t="str">
        <f>HYPERLINK("https://www.moneytimes.com.br/nubank-nubr33-divulga-datas-para-o-plano-de-descontinuacao-de-bdrs-na-bolsa-brasileira/")</f>
        <v>https://www.moneytimes.com.br/nubank-nubr33-divulga-datas-para-o-plano-de-descontinuacao-de-bdrs-na-bolsa-brasileira/</v>
      </c>
      <c r="Y3830" s="77" t="s">
        <v>7053</v>
      </c>
      <c r="Z3830" s="77"/>
      <c r="AA3830" s="77"/>
      <c r="AB3830" s="77"/>
      <c r="AC3830" s="82" t="s">
        <v>8255</v>
      </c>
      <c r="AD3830" s="77" t="s">
        <v>8278</v>
      </c>
      <c r="AE3830" s="80" t="str">
        <f>HYPERLINK("https://twitter.com/leiamoneytimes/status/1678759664542949376")</f>
        <v>https://twitter.com/leiamoneytimes/status/1678759664542949376</v>
      </c>
      <c r="AF3830" s="79">
        <v>45118.565601851849</v>
      </c>
      <c r="AG3830" s="85">
        <v>45118</v>
      </c>
      <c r="AH3830" s="82" t="s">
        <v>11792</v>
      </c>
      <c r="AI3830" s="77" t="b">
        <v>0</v>
      </c>
      <c r="AJ3830" s="77"/>
      <c r="AK3830" s="77"/>
      <c r="AL3830" s="77"/>
      <c r="AM3830" s="77"/>
      <c r="AN3830" s="77"/>
      <c r="AO3830" s="77"/>
      <c r="AP3830" s="77"/>
      <c r="AQ3830" s="77"/>
      <c r="AR3830" s="77"/>
      <c r="AS3830" s="77"/>
      <c r="AT3830" s="77"/>
      <c r="AU3830" s="77"/>
      <c r="AV3830" s="80" t="str">
        <f>HYPERLINK("https://pbs.twimg.com/profile_images/1559883556846977024/bXHnQFY0_normal.jpg")</f>
        <v>https://pbs.twimg.com/profile_images/1559883556846977024/bXHnQFY0_normal.jpg</v>
      </c>
      <c r="AW3830" s="82" t="s">
        <v>16914</v>
      </c>
      <c r="AX3830" s="82" t="s">
        <v>16914</v>
      </c>
      <c r="AY3830" s="77"/>
      <c r="AZ3830" s="82" t="s">
        <v>17385</v>
      </c>
      <c r="BA3830" s="82" t="s">
        <v>17385</v>
      </c>
      <c r="BB3830" s="82" t="s">
        <v>17385</v>
      </c>
      <c r="BC3830" s="82" t="s">
        <v>16914</v>
      </c>
      <c r="BD3830" s="77">
        <v>51150679</v>
      </c>
      <c r="BE3830" s="77"/>
      <c r="BF3830" s="77"/>
      <c r="BG3830" s="77"/>
      <c r="BH3830" s="77"/>
      <c r="BI3830" s="77"/>
    </row>
    <row r="3831" spans="1:61" x14ac:dyDescent="0.25">
      <c r="A3831" s="62" t="s">
        <v>605</v>
      </c>
      <c r="B3831" s="62" t="s">
        <v>605</v>
      </c>
      <c r="C3831" s="63"/>
      <c r="D3831" s="64"/>
      <c r="E3831" s="65"/>
      <c r="F3831" s="66"/>
      <c r="G3831" s="63"/>
      <c r="H3831" s="67"/>
      <c r="I3831" s="68"/>
      <c r="J3831" s="68"/>
      <c r="K3831" s="32"/>
      <c r="L3831" s="75">
        <v>3831</v>
      </c>
      <c r="M3831" s="75"/>
      <c r="N3831" s="70"/>
      <c r="O3831" s="77" t="s">
        <v>179</v>
      </c>
      <c r="P3831" s="79">
        <v>45117.947129629632</v>
      </c>
      <c r="Q3831" s="77" t="s">
        <v>4605</v>
      </c>
      <c r="R3831" s="77">
        <v>0</v>
      </c>
      <c r="S3831" s="77">
        <v>3</v>
      </c>
      <c r="T3831" s="77">
        <v>1</v>
      </c>
      <c r="U3831" s="77">
        <v>0</v>
      </c>
      <c r="V3831" s="77">
        <v>1566</v>
      </c>
      <c r="W3831" s="82" t="s">
        <v>6580</v>
      </c>
      <c r="X3831" s="80" t="str">
        <f>HYPERLINK("https://www.moneytimes.com.br/dividendos-e-jcp-tim-tims3-antecipa-pagamento-unifique-fiqe3-anuncia-distribuicao-e-melnick-melk3-define-data-veja/")</f>
        <v>https://www.moneytimes.com.br/dividendos-e-jcp-tim-tims3-antecipa-pagamento-unifique-fiqe3-anuncia-distribuicao-e-melnick-melk3-define-data-veja/</v>
      </c>
      <c r="Y3831" s="77" t="s">
        <v>7053</v>
      </c>
      <c r="Z3831" s="77"/>
      <c r="AA3831" s="77"/>
      <c r="AB3831" s="77"/>
      <c r="AC3831" s="82" t="s">
        <v>8255</v>
      </c>
      <c r="AD3831" s="77" t="s">
        <v>8278</v>
      </c>
      <c r="AE3831" s="80" t="str">
        <f>HYPERLINK("https://twitter.com/leiamoneytimes/status/1678535535558574083")</f>
        <v>https://twitter.com/leiamoneytimes/status/1678535535558574083</v>
      </c>
      <c r="AF3831" s="79">
        <v>45117.947129629632</v>
      </c>
      <c r="AG3831" s="85">
        <v>45117</v>
      </c>
      <c r="AH3831" s="82" t="s">
        <v>11793</v>
      </c>
      <c r="AI3831" s="77" t="b">
        <v>0</v>
      </c>
      <c r="AJ3831" s="77"/>
      <c r="AK3831" s="77"/>
      <c r="AL3831" s="77"/>
      <c r="AM3831" s="77"/>
      <c r="AN3831" s="77"/>
      <c r="AO3831" s="77"/>
      <c r="AP3831" s="77"/>
      <c r="AQ3831" s="77"/>
      <c r="AR3831" s="77"/>
      <c r="AS3831" s="77"/>
      <c r="AT3831" s="77"/>
      <c r="AU3831" s="77"/>
      <c r="AV3831" s="80" t="str">
        <f>HYPERLINK("https://pbs.twimg.com/profile_images/1559883556846977024/bXHnQFY0_normal.jpg")</f>
        <v>https://pbs.twimg.com/profile_images/1559883556846977024/bXHnQFY0_normal.jpg</v>
      </c>
      <c r="AW3831" s="82" t="s">
        <v>16915</v>
      </c>
      <c r="AX3831" s="82" t="s">
        <v>16915</v>
      </c>
      <c r="AY3831" s="77"/>
      <c r="AZ3831" s="82" t="s">
        <v>17385</v>
      </c>
      <c r="BA3831" s="82" t="s">
        <v>17385</v>
      </c>
      <c r="BB3831" s="82" t="s">
        <v>17385</v>
      </c>
      <c r="BC3831" s="82" t="s">
        <v>16915</v>
      </c>
      <c r="BD3831" s="77">
        <v>51150679</v>
      </c>
      <c r="BE3831" s="77"/>
      <c r="BF3831" s="77"/>
      <c r="BG3831" s="77"/>
      <c r="BH3831" s="77"/>
      <c r="BI3831" s="77"/>
    </row>
    <row r="3832" spans="1:61" x14ac:dyDescent="0.25">
      <c r="A3832" s="62" t="s">
        <v>605</v>
      </c>
      <c r="B3832" s="62" t="s">
        <v>605</v>
      </c>
      <c r="C3832" s="63"/>
      <c r="D3832" s="64"/>
      <c r="E3832" s="65"/>
      <c r="F3832" s="66"/>
      <c r="G3832" s="63"/>
      <c r="H3832" s="67"/>
      <c r="I3832" s="68"/>
      <c r="J3832" s="68"/>
      <c r="K3832" s="32"/>
      <c r="L3832" s="75">
        <v>3832</v>
      </c>
      <c r="M3832" s="75"/>
      <c r="N3832" s="70"/>
      <c r="O3832" s="77" t="s">
        <v>179</v>
      </c>
      <c r="P3832" s="79">
        <v>45117.844502314816</v>
      </c>
      <c r="Q3832" s="77" t="s">
        <v>4606</v>
      </c>
      <c r="R3832" s="77">
        <v>2</v>
      </c>
      <c r="S3832" s="77">
        <v>27</v>
      </c>
      <c r="T3832" s="77">
        <v>4</v>
      </c>
      <c r="U3832" s="77">
        <v>0</v>
      </c>
      <c r="V3832" s="77">
        <v>7772</v>
      </c>
      <c r="W3832" s="82" t="s">
        <v>6551</v>
      </c>
      <c r="X3832" s="80" t="str">
        <f>HYPERLINK("https://www.moneytimes.com.br/ibovespa-hoje-fecha-queda-ipca-vale-vale3-petrobras-petr4-10-07-2023/")</f>
        <v>https://www.moneytimes.com.br/ibovespa-hoje-fecha-queda-ipca-vale-vale3-petrobras-petr4-10-07-2023/</v>
      </c>
      <c r="Y3832" s="77" t="s">
        <v>7053</v>
      </c>
      <c r="Z3832" s="77"/>
      <c r="AA3832" s="77"/>
      <c r="AB3832" s="77"/>
      <c r="AC3832" s="82" t="s">
        <v>8255</v>
      </c>
      <c r="AD3832" s="77" t="s">
        <v>8278</v>
      </c>
      <c r="AE3832" s="80" t="str">
        <f>HYPERLINK("https://twitter.com/leiamoneytimes/status/1678498345134829571")</f>
        <v>https://twitter.com/leiamoneytimes/status/1678498345134829571</v>
      </c>
      <c r="AF3832" s="79">
        <v>45117.844502314816</v>
      </c>
      <c r="AG3832" s="85">
        <v>45117</v>
      </c>
      <c r="AH3832" s="82" t="s">
        <v>11794</v>
      </c>
      <c r="AI3832" s="77" t="b">
        <v>0</v>
      </c>
      <c r="AJ3832" s="77"/>
      <c r="AK3832" s="77"/>
      <c r="AL3832" s="77"/>
      <c r="AM3832" s="77"/>
      <c r="AN3832" s="77"/>
      <c r="AO3832" s="77"/>
      <c r="AP3832" s="77"/>
      <c r="AQ3832" s="77"/>
      <c r="AR3832" s="77"/>
      <c r="AS3832" s="77"/>
      <c r="AT3832" s="77"/>
      <c r="AU3832" s="77"/>
      <c r="AV3832" s="80" t="str">
        <f>HYPERLINK("https://pbs.twimg.com/profile_images/1559883556846977024/bXHnQFY0_normal.jpg")</f>
        <v>https://pbs.twimg.com/profile_images/1559883556846977024/bXHnQFY0_normal.jpg</v>
      </c>
      <c r="AW3832" s="82" t="s">
        <v>16916</v>
      </c>
      <c r="AX3832" s="82" t="s">
        <v>16916</v>
      </c>
      <c r="AY3832" s="77"/>
      <c r="AZ3832" s="82" t="s">
        <v>17385</v>
      </c>
      <c r="BA3832" s="82" t="s">
        <v>17385</v>
      </c>
      <c r="BB3832" s="82" t="s">
        <v>17385</v>
      </c>
      <c r="BC3832" s="82" t="s">
        <v>16916</v>
      </c>
      <c r="BD3832" s="77">
        <v>51150679</v>
      </c>
      <c r="BE3832" s="77"/>
      <c r="BF3832" s="77"/>
      <c r="BG3832" s="77"/>
      <c r="BH3832" s="77"/>
      <c r="BI3832" s="77"/>
    </row>
    <row r="3833" spans="1:61" x14ac:dyDescent="0.25">
      <c r="A3833" s="62" t="s">
        <v>605</v>
      </c>
      <c r="B3833" s="62" t="s">
        <v>605</v>
      </c>
      <c r="C3833" s="63"/>
      <c r="D3833" s="64"/>
      <c r="E3833" s="65"/>
      <c r="F3833" s="66"/>
      <c r="G3833" s="63"/>
      <c r="H3833" s="67"/>
      <c r="I3833" s="68"/>
      <c r="J3833" s="68"/>
      <c r="K3833" s="32"/>
      <c r="L3833" s="75">
        <v>3833</v>
      </c>
      <c r="M3833" s="75"/>
      <c r="N3833" s="70"/>
      <c r="O3833" s="77" t="s">
        <v>179</v>
      </c>
      <c r="P3833" s="79">
        <v>45117.683958333335</v>
      </c>
      <c r="Q3833" s="77" t="s">
        <v>4607</v>
      </c>
      <c r="R3833" s="77">
        <v>0</v>
      </c>
      <c r="S3833" s="77">
        <v>1</v>
      </c>
      <c r="T3833" s="77">
        <v>1</v>
      </c>
      <c r="U3833" s="77">
        <v>0</v>
      </c>
      <c r="V3833" s="77">
        <v>1297</v>
      </c>
      <c r="W3833" s="82" t="s">
        <v>6876</v>
      </c>
      <c r="X3833" s="80" t="str">
        <f>HYPERLINK("https://www.moneytimes.com.br/ibovespa-csn-csna3-derrapa-junto-com-csn-mineracao-cmin3-e-vale-vale3-entenda/")</f>
        <v>https://www.moneytimes.com.br/ibovespa-csn-csna3-derrapa-junto-com-csn-mineracao-cmin3-e-vale-vale3-entenda/</v>
      </c>
      <c r="Y3833" s="77" t="s">
        <v>7053</v>
      </c>
      <c r="Z3833" s="77"/>
      <c r="AA3833" s="77"/>
      <c r="AB3833" s="77"/>
      <c r="AC3833" s="82" t="s">
        <v>8255</v>
      </c>
      <c r="AD3833" s="77" t="s">
        <v>8278</v>
      </c>
      <c r="AE3833" s="80" t="str">
        <f>HYPERLINK("https://twitter.com/leiamoneytimes/status/1678440169291014151")</f>
        <v>https://twitter.com/leiamoneytimes/status/1678440169291014151</v>
      </c>
      <c r="AF3833" s="79">
        <v>45117.683958333335</v>
      </c>
      <c r="AG3833" s="85">
        <v>45117</v>
      </c>
      <c r="AH3833" s="82" t="s">
        <v>11795</v>
      </c>
      <c r="AI3833" s="77" t="b">
        <v>0</v>
      </c>
      <c r="AJ3833" s="77"/>
      <c r="AK3833" s="77"/>
      <c r="AL3833" s="77"/>
      <c r="AM3833" s="77"/>
      <c r="AN3833" s="77"/>
      <c r="AO3833" s="77"/>
      <c r="AP3833" s="77"/>
      <c r="AQ3833" s="77"/>
      <c r="AR3833" s="77"/>
      <c r="AS3833" s="77"/>
      <c r="AT3833" s="77"/>
      <c r="AU3833" s="77"/>
      <c r="AV3833" s="80" t="str">
        <f>HYPERLINK("https://pbs.twimg.com/profile_images/1559883556846977024/bXHnQFY0_normal.jpg")</f>
        <v>https://pbs.twimg.com/profile_images/1559883556846977024/bXHnQFY0_normal.jpg</v>
      </c>
      <c r="AW3833" s="82" t="s">
        <v>16917</v>
      </c>
      <c r="AX3833" s="82" t="s">
        <v>16917</v>
      </c>
      <c r="AY3833" s="77"/>
      <c r="AZ3833" s="82" t="s">
        <v>17385</v>
      </c>
      <c r="BA3833" s="82" t="s">
        <v>17385</v>
      </c>
      <c r="BB3833" s="82" t="s">
        <v>17385</v>
      </c>
      <c r="BC3833" s="82" t="s">
        <v>16917</v>
      </c>
      <c r="BD3833" s="77">
        <v>51150679</v>
      </c>
      <c r="BE3833" s="77"/>
      <c r="BF3833" s="77"/>
      <c r="BG3833" s="77"/>
      <c r="BH3833" s="77"/>
      <c r="BI3833" s="77"/>
    </row>
    <row r="3834" spans="1:61" x14ac:dyDescent="0.25">
      <c r="A3834" s="62" t="s">
        <v>605</v>
      </c>
      <c r="B3834" s="62" t="s">
        <v>605</v>
      </c>
      <c r="C3834" s="63"/>
      <c r="D3834" s="64"/>
      <c r="E3834" s="65"/>
      <c r="F3834" s="66"/>
      <c r="G3834" s="63"/>
      <c r="H3834" s="67"/>
      <c r="I3834" s="68"/>
      <c r="J3834" s="68"/>
      <c r="K3834" s="32"/>
      <c r="L3834" s="75">
        <v>3834</v>
      </c>
      <c r="M3834" s="75"/>
      <c r="N3834" s="70"/>
      <c r="O3834" s="77" t="s">
        <v>179</v>
      </c>
      <c r="P3834" s="79">
        <v>45095.750578703701</v>
      </c>
      <c r="Q3834" s="77" t="s">
        <v>4608</v>
      </c>
      <c r="R3834" s="77">
        <v>2</v>
      </c>
      <c r="S3834" s="77">
        <v>8</v>
      </c>
      <c r="T3834" s="77">
        <v>1</v>
      </c>
      <c r="U3834" s="77">
        <v>0</v>
      </c>
      <c r="V3834" s="77">
        <v>2771</v>
      </c>
      <c r="W3834" s="82" t="s">
        <v>6877</v>
      </c>
      <c r="X3834" s="80" t="str">
        <f>HYPERLINK("https://www.moneytimes.com.br/dividendos-e-jcp-3-empresas-pagam-r-325-milhoes-esta-semana-itub4-tims3-e-jhsf3-tem-data-com/")</f>
        <v>https://www.moneytimes.com.br/dividendos-e-jcp-3-empresas-pagam-r-325-milhoes-esta-semana-itub4-tims3-e-jhsf3-tem-data-com/</v>
      </c>
      <c r="Y3834" s="77" t="s">
        <v>7053</v>
      </c>
      <c r="Z3834" s="77"/>
      <c r="AA3834" s="77"/>
      <c r="AB3834" s="77"/>
      <c r="AC3834" s="82" t="s">
        <v>8255</v>
      </c>
      <c r="AD3834" s="77" t="s">
        <v>8278</v>
      </c>
      <c r="AE3834" s="80" t="str">
        <f>HYPERLINK("https://twitter.com/leiamoneytimes/status/1670491775042043904")</f>
        <v>https://twitter.com/leiamoneytimes/status/1670491775042043904</v>
      </c>
      <c r="AF3834" s="79">
        <v>45095.750578703701</v>
      </c>
      <c r="AG3834" s="85">
        <v>45095</v>
      </c>
      <c r="AH3834" s="82" t="s">
        <v>11796</v>
      </c>
      <c r="AI3834" s="77" t="b">
        <v>0</v>
      </c>
      <c r="AJ3834" s="77"/>
      <c r="AK3834" s="77"/>
      <c r="AL3834" s="77"/>
      <c r="AM3834" s="77"/>
      <c r="AN3834" s="77"/>
      <c r="AO3834" s="77"/>
      <c r="AP3834" s="77"/>
      <c r="AQ3834" s="77"/>
      <c r="AR3834" s="77"/>
      <c r="AS3834" s="77"/>
      <c r="AT3834" s="77"/>
      <c r="AU3834" s="77"/>
      <c r="AV3834" s="80" t="str">
        <f>HYPERLINK("https://pbs.twimg.com/profile_images/1559883556846977024/bXHnQFY0_normal.jpg")</f>
        <v>https://pbs.twimg.com/profile_images/1559883556846977024/bXHnQFY0_normal.jpg</v>
      </c>
      <c r="AW3834" s="82" t="s">
        <v>16918</v>
      </c>
      <c r="AX3834" s="82" t="s">
        <v>16918</v>
      </c>
      <c r="AY3834" s="77"/>
      <c r="AZ3834" s="82" t="s">
        <v>17385</v>
      </c>
      <c r="BA3834" s="82" t="s">
        <v>17385</v>
      </c>
      <c r="BB3834" s="82" t="s">
        <v>17385</v>
      </c>
      <c r="BC3834" s="82" t="s">
        <v>16918</v>
      </c>
      <c r="BD3834" s="77">
        <v>51150679</v>
      </c>
      <c r="BE3834" s="77"/>
      <c r="BF3834" s="77"/>
      <c r="BG3834" s="77"/>
      <c r="BH3834" s="77"/>
      <c r="BI3834" s="77"/>
    </row>
    <row r="3835" spans="1:61" x14ac:dyDescent="0.25">
      <c r="A3835" s="62" t="s">
        <v>605</v>
      </c>
      <c r="B3835" s="62" t="s">
        <v>605</v>
      </c>
      <c r="C3835" s="63"/>
      <c r="D3835" s="64"/>
      <c r="E3835" s="65"/>
      <c r="F3835" s="66"/>
      <c r="G3835" s="63"/>
      <c r="H3835" s="67"/>
      <c r="I3835" s="68"/>
      <c r="J3835" s="68"/>
      <c r="K3835" s="32"/>
      <c r="L3835" s="75">
        <v>3835</v>
      </c>
      <c r="M3835" s="75"/>
      <c r="N3835" s="70"/>
      <c r="O3835" s="77" t="s">
        <v>179</v>
      </c>
      <c r="P3835" s="79">
        <v>45095.555671296293</v>
      </c>
      <c r="Q3835" s="77" t="s">
        <v>4609</v>
      </c>
      <c r="R3835" s="77">
        <v>1</v>
      </c>
      <c r="S3835" s="77">
        <v>12</v>
      </c>
      <c r="T3835" s="77">
        <v>3</v>
      </c>
      <c r="U3835" s="77">
        <v>0</v>
      </c>
      <c r="V3835" s="77">
        <v>3504</v>
      </c>
      <c r="W3835" s="82" t="s">
        <v>5596</v>
      </c>
      <c r="X3835" s="80" t="str">
        <f>HYPERLINK("https://www.moneytimes.com.br/chegou-a-hora-de-apostar-nas-small-caps/")</f>
        <v>https://www.moneytimes.com.br/chegou-a-hora-de-apostar-nas-small-caps/</v>
      </c>
      <c r="Y3835" s="77" t="s">
        <v>7053</v>
      </c>
      <c r="Z3835" s="77"/>
      <c r="AA3835" s="77"/>
      <c r="AB3835" s="77"/>
      <c r="AC3835" s="82" t="s">
        <v>8255</v>
      </c>
      <c r="AD3835" s="77" t="s">
        <v>8278</v>
      </c>
      <c r="AE3835" s="80" t="str">
        <f>HYPERLINK("https://twitter.com/leiamoneytimes/status/1670421146330624001")</f>
        <v>https://twitter.com/leiamoneytimes/status/1670421146330624001</v>
      </c>
      <c r="AF3835" s="79">
        <v>45095.555671296293</v>
      </c>
      <c r="AG3835" s="85">
        <v>45095</v>
      </c>
      <c r="AH3835" s="82" t="s">
        <v>11797</v>
      </c>
      <c r="AI3835" s="77" t="b">
        <v>0</v>
      </c>
      <c r="AJ3835" s="77"/>
      <c r="AK3835" s="77"/>
      <c r="AL3835" s="77"/>
      <c r="AM3835" s="77"/>
      <c r="AN3835" s="77"/>
      <c r="AO3835" s="77"/>
      <c r="AP3835" s="77"/>
      <c r="AQ3835" s="77"/>
      <c r="AR3835" s="77"/>
      <c r="AS3835" s="77"/>
      <c r="AT3835" s="77"/>
      <c r="AU3835" s="77"/>
      <c r="AV3835" s="80" t="str">
        <f>HYPERLINK("https://pbs.twimg.com/profile_images/1559883556846977024/bXHnQFY0_normal.jpg")</f>
        <v>https://pbs.twimg.com/profile_images/1559883556846977024/bXHnQFY0_normal.jpg</v>
      </c>
      <c r="AW3835" s="82" t="s">
        <v>16919</v>
      </c>
      <c r="AX3835" s="82" t="s">
        <v>16919</v>
      </c>
      <c r="AY3835" s="77"/>
      <c r="AZ3835" s="82" t="s">
        <v>17385</v>
      </c>
      <c r="BA3835" s="82" t="s">
        <v>17385</v>
      </c>
      <c r="BB3835" s="82" t="s">
        <v>17385</v>
      </c>
      <c r="BC3835" s="82" t="s">
        <v>16919</v>
      </c>
      <c r="BD3835" s="77">
        <v>51150679</v>
      </c>
      <c r="BE3835" s="77"/>
      <c r="BF3835" s="77"/>
      <c r="BG3835" s="77"/>
      <c r="BH3835" s="77"/>
      <c r="BI3835" s="77"/>
    </row>
    <row r="3836" spans="1:61" x14ac:dyDescent="0.25">
      <c r="A3836" s="62" t="s">
        <v>605</v>
      </c>
      <c r="B3836" s="62" t="s">
        <v>605</v>
      </c>
      <c r="C3836" s="63"/>
      <c r="D3836" s="64"/>
      <c r="E3836" s="65"/>
      <c r="F3836" s="66"/>
      <c r="G3836" s="63"/>
      <c r="H3836" s="67"/>
      <c r="I3836" s="68"/>
      <c r="J3836" s="68"/>
      <c r="K3836" s="32"/>
      <c r="L3836" s="75">
        <v>3836</v>
      </c>
      <c r="M3836" s="75"/>
      <c r="N3836" s="70"/>
      <c r="O3836" s="77" t="s">
        <v>179</v>
      </c>
      <c r="P3836" s="79">
        <v>45093.876747685186</v>
      </c>
      <c r="Q3836" s="77" t="s">
        <v>4610</v>
      </c>
      <c r="R3836" s="77">
        <v>0</v>
      </c>
      <c r="S3836" s="77">
        <v>2</v>
      </c>
      <c r="T3836" s="77">
        <v>1</v>
      </c>
      <c r="U3836" s="77">
        <v>0</v>
      </c>
      <c r="V3836" s="77">
        <v>1634</v>
      </c>
      <c r="W3836" s="82" t="s">
        <v>6878</v>
      </c>
      <c r="X3836" s="80" t="str">
        <f>HYPERLINK("https://www.moneytimes.com.br/copasa-csmg3-anuncia-mais-de-r-120-milhoes-em-jcp-quem-pode-receber/")</f>
        <v>https://www.moneytimes.com.br/copasa-csmg3-anuncia-mais-de-r-120-milhoes-em-jcp-quem-pode-receber/</v>
      </c>
      <c r="Y3836" s="77" t="s">
        <v>7053</v>
      </c>
      <c r="Z3836" s="77"/>
      <c r="AA3836" s="77"/>
      <c r="AB3836" s="77"/>
      <c r="AC3836" s="82" t="s">
        <v>8255</v>
      </c>
      <c r="AD3836" s="77" t="s">
        <v>8278</v>
      </c>
      <c r="AE3836" s="80" t="str">
        <f>HYPERLINK("https://twitter.com/leiamoneytimes/status/1669812722345582592")</f>
        <v>https://twitter.com/leiamoneytimes/status/1669812722345582592</v>
      </c>
      <c r="AF3836" s="79">
        <v>45093.876747685186</v>
      </c>
      <c r="AG3836" s="85">
        <v>45093</v>
      </c>
      <c r="AH3836" s="82" t="s">
        <v>11798</v>
      </c>
      <c r="AI3836" s="77" t="b">
        <v>0</v>
      </c>
      <c r="AJ3836" s="77"/>
      <c r="AK3836" s="77"/>
      <c r="AL3836" s="77"/>
      <c r="AM3836" s="77"/>
      <c r="AN3836" s="77"/>
      <c r="AO3836" s="77"/>
      <c r="AP3836" s="77"/>
      <c r="AQ3836" s="77"/>
      <c r="AR3836" s="77"/>
      <c r="AS3836" s="77"/>
      <c r="AT3836" s="77"/>
      <c r="AU3836" s="77"/>
      <c r="AV3836" s="80" t="str">
        <f>HYPERLINK("https://pbs.twimg.com/profile_images/1559883556846977024/bXHnQFY0_normal.jpg")</f>
        <v>https://pbs.twimg.com/profile_images/1559883556846977024/bXHnQFY0_normal.jpg</v>
      </c>
      <c r="AW3836" s="82" t="s">
        <v>16920</v>
      </c>
      <c r="AX3836" s="82" t="s">
        <v>16920</v>
      </c>
      <c r="AY3836" s="77"/>
      <c r="AZ3836" s="82" t="s">
        <v>17385</v>
      </c>
      <c r="BA3836" s="82" t="s">
        <v>17385</v>
      </c>
      <c r="BB3836" s="82" t="s">
        <v>17385</v>
      </c>
      <c r="BC3836" s="82" t="s">
        <v>16920</v>
      </c>
      <c r="BD3836" s="77">
        <v>51150679</v>
      </c>
      <c r="BE3836" s="77"/>
      <c r="BF3836" s="77"/>
      <c r="BG3836" s="77"/>
      <c r="BH3836" s="77"/>
      <c r="BI3836" s="77"/>
    </row>
    <row r="3837" spans="1:61" x14ac:dyDescent="0.25">
      <c r="A3837" s="62" t="s">
        <v>605</v>
      </c>
      <c r="B3837" s="62" t="s">
        <v>605</v>
      </c>
      <c r="C3837" s="63"/>
      <c r="D3837" s="64"/>
      <c r="E3837" s="65"/>
      <c r="F3837" s="66"/>
      <c r="G3837" s="63"/>
      <c r="H3837" s="67"/>
      <c r="I3837" s="68"/>
      <c r="J3837" s="68"/>
      <c r="K3837" s="32"/>
      <c r="L3837" s="75">
        <v>3837</v>
      </c>
      <c r="M3837" s="75"/>
      <c r="N3837" s="70"/>
      <c r="O3837" s="77" t="s">
        <v>179</v>
      </c>
      <c r="P3837" s="79">
        <v>45093.850057870368</v>
      </c>
      <c r="Q3837" s="77" t="s">
        <v>4611</v>
      </c>
      <c r="R3837" s="77">
        <v>0</v>
      </c>
      <c r="S3837" s="77">
        <v>8</v>
      </c>
      <c r="T3837" s="77">
        <v>1</v>
      </c>
      <c r="U3837" s="77">
        <v>0</v>
      </c>
      <c r="V3837" s="77">
        <v>1550</v>
      </c>
      <c r="W3837" s="82" t="s">
        <v>6551</v>
      </c>
      <c r="X3837" s="80" t="str">
        <f>HYPERLINK("https://www.moneytimes.com.br/ibovespa-hoje-fecha-queda-118-mil-pontos-16-06-2023/")</f>
        <v>https://www.moneytimes.com.br/ibovespa-hoje-fecha-queda-118-mil-pontos-16-06-2023/</v>
      </c>
      <c r="Y3837" s="77" t="s">
        <v>7053</v>
      </c>
      <c r="Z3837" s="77"/>
      <c r="AA3837" s="77"/>
      <c r="AB3837" s="77"/>
      <c r="AC3837" s="82" t="s">
        <v>8255</v>
      </c>
      <c r="AD3837" s="77" t="s">
        <v>8278</v>
      </c>
      <c r="AE3837" s="80" t="str">
        <f>HYPERLINK("https://twitter.com/leiamoneytimes/status/1669803050666434560")</f>
        <v>https://twitter.com/leiamoneytimes/status/1669803050666434560</v>
      </c>
      <c r="AF3837" s="79">
        <v>45093.850057870368</v>
      </c>
      <c r="AG3837" s="85">
        <v>45093</v>
      </c>
      <c r="AH3837" s="82" t="s">
        <v>11799</v>
      </c>
      <c r="AI3837" s="77" t="b">
        <v>0</v>
      </c>
      <c r="AJ3837" s="77"/>
      <c r="AK3837" s="77"/>
      <c r="AL3837" s="77"/>
      <c r="AM3837" s="77"/>
      <c r="AN3837" s="77"/>
      <c r="AO3837" s="77"/>
      <c r="AP3837" s="77"/>
      <c r="AQ3837" s="77"/>
      <c r="AR3837" s="77"/>
      <c r="AS3837" s="77"/>
      <c r="AT3837" s="77"/>
      <c r="AU3837" s="77"/>
      <c r="AV3837" s="80" t="str">
        <f>HYPERLINK("https://pbs.twimg.com/profile_images/1559883556846977024/bXHnQFY0_normal.jpg")</f>
        <v>https://pbs.twimg.com/profile_images/1559883556846977024/bXHnQFY0_normal.jpg</v>
      </c>
      <c r="AW3837" s="82" t="s">
        <v>16921</v>
      </c>
      <c r="AX3837" s="82" t="s">
        <v>16921</v>
      </c>
      <c r="AY3837" s="77"/>
      <c r="AZ3837" s="82" t="s">
        <v>17385</v>
      </c>
      <c r="BA3837" s="82" t="s">
        <v>17385</v>
      </c>
      <c r="BB3837" s="82" t="s">
        <v>17385</v>
      </c>
      <c r="BC3837" s="82" t="s">
        <v>16921</v>
      </c>
      <c r="BD3837" s="77">
        <v>51150679</v>
      </c>
      <c r="BE3837" s="77"/>
      <c r="BF3837" s="77"/>
      <c r="BG3837" s="77"/>
      <c r="BH3837" s="77"/>
      <c r="BI3837" s="77"/>
    </row>
    <row r="3838" spans="1:61" x14ac:dyDescent="0.25">
      <c r="A3838" s="62" t="s">
        <v>605</v>
      </c>
      <c r="B3838" s="62" t="s">
        <v>605</v>
      </c>
      <c r="C3838" s="63"/>
      <c r="D3838" s="64"/>
      <c r="E3838" s="65"/>
      <c r="F3838" s="66"/>
      <c r="G3838" s="63"/>
      <c r="H3838" s="67"/>
      <c r="I3838" s="68"/>
      <c r="J3838" s="68"/>
      <c r="K3838" s="32"/>
      <c r="L3838" s="75">
        <v>3838</v>
      </c>
      <c r="M3838" s="75"/>
      <c r="N3838" s="70"/>
      <c r="O3838" s="77" t="s">
        <v>179</v>
      </c>
      <c r="P3838" s="79">
        <v>45093.702615740738</v>
      </c>
      <c r="Q3838" s="77" t="s">
        <v>4612</v>
      </c>
      <c r="R3838" s="77">
        <v>1</v>
      </c>
      <c r="S3838" s="77">
        <v>12</v>
      </c>
      <c r="T3838" s="77">
        <v>1</v>
      </c>
      <c r="U3838" s="77">
        <v>0</v>
      </c>
      <c r="V3838" s="77">
        <v>1926</v>
      </c>
      <c r="W3838" s="82" t="s">
        <v>5596</v>
      </c>
      <c r="X3838" s="80" t="str">
        <f>HYPERLINK("https://www.moneytimes.com.br/gringos-compram-quase-r-7-bilhoes-em-acoes-na-b3-em-junho-quantia-representa-mais-de-50-de-saldo-de-capital-externo-neste-ano/")</f>
        <v>https://www.moneytimes.com.br/gringos-compram-quase-r-7-bilhoes-em-acoes-na-b3-em-junho-quantia-representa-mais-de-50-de-saldo-de-capital-externo-neste-ano/</v>
      </c>
      <c r="Y3838" s="77" t="s">
        <v>7053</v>
      </c>
      <c r="Z3838" s="77"/>
      <c r="AA3838" s="77"/>
      <c r="AB3838" s="77"/>
      <c r="AC3838" s="82" t="s">
        <v>8255</v>
      </c>
      <c r="AD3838" s="77" t="s">
        <v>8278</v>
      </c>
      <c r="AE3838" s="80" t="str">
        <f>HYPERLINK("https://twitter.com/leiamoneytimes/status/1669749617955680276")</f>
        <v>https://twitter.com/leiamoneytimes/status/1669749617955680276</v>
      </c>
      <c r="AF3838" s="79">
        <v>45093.702615740738</v>
      </c>
      <c r="AG3838" s="85">
        <v>45093</v>
      </c>
      <c r="AH3838" s="82" t="s">
        <v>11800</v>
      </c>
      <c r="AI3838" s="77" t="b">
        <v>0</v>
      </c>
      <c r="AJ3838" s="77"/>
      <c r="AK3838" s="77"/>
      <c r="AL3838" s="77"/>
      <c r="AM3838" s="77"/>
      <c r="AN3838" s="77"/>
      <c r="AO3838" s="77"/>
      <c r="AP3838" s="77"/>
      <c r="AQ3838" s="77"/>
      <c r="AR3838" s="77"/>
      <c r="AS3838" s="77"/>
      <c r="AT3838" s="77"/>
      <c r="AU3838" s="77"/>
      <c r="AV3838" s="80" t="str">
        <f>HYPERLINK("https://pbs.twimg.com/profile_images/1559883556846977024/bXHnQFY0_normal.jpg")</f>
        <v>https://pbs.twimg.com/profile_images/1559883556846977024/bXHnQFY0_normal.jpg</v>
      </c>
      <c r="AW3838" s="82" t="s">
        <v>16922</v>
      </c>
      <c r="AX3838" s="82" t="s">
        <v>16922</v>
      </c>
      <c r="AY3838" s="77"/>
      <c r="AZ3838" s="82" t="s">
        <v>17385</v>
      </c>
      <c r="BA3838" s="82" t="s">
        <v>17385</v>
      </c>
      <c r="BB3838" s="82" t="s">
        <v>17385</v>
      </c>
      <c r="BC3838" s="82" t="s">
        <v>16922</v>
      </c>
      <c r="BD3838" s="77">
        <v>51150679</v>
      </c>
      <c r="BE3838" s="77"/>
      <c r="BF3838" s="77"/>
      <c r="BG3838" s="77"/>
      <c r="BH3838" s="77"/>
      <c r="BI3838" s="77"/>
    </row>
    <row r="3839" spans="1:61" x14ac:dyDescent="0.25">
      <c r="A3839" s="62" t="s">
        <v>605</v>
      </c>
      <c r="B3839" s="62" t="s">
        <v>605</v>
      </c>
      <c r="C3839" s="63"/>
      <c r="D3839" s="64"/>
      <c r="E3839" s="65"/>
      <c r="F3839" s="66"/>
      <c r="G3839" s="63"/>
      <c r="H3839" s="67"/>
      <c r="I3839" s="68"/>
      <c r="J3839" s="68"/>
      <c r="K3839" s="32"/>
      <c r="L3839" s="75">
        <v>3839</v>
      </c>
      <c r="M3839" s="75"/>
      <c r="N3839" s="70"/>
      <c r="O3839" s="77" t="s">
        <v>179</v>
      </c>
      <c r="P3839" s="79">
        <v>45093.68613425926</v>
      </c>
      <c r="Q3839" s="77" t="s">
        <v>4613</v>
      </c>
      <c r="R3839" s="77">
        <v>0</v>
      </c>
      <c r="S3839" s="77">
        <v>3</v>
      </c>
      <c r="T3839" s="77">
        <v>1</v>
      </c>
      <c r="U3839" s="77">
        <v>0</v>
      </c>
      <c r="V3839" s="77">
        <v>1567</v>
      </c>
      <c r="W3839" s="82" t="s">
        <v>6879</v>
      </c>
      <c r="X3839" s="80" t="str">
        <f>HYPERLINK("https://www.moneytimes.com.br/ibovespa-cvc-cvcb3-sobe-4-e-localiza-rent3-recua-nesta-sexta-16-entenda/")</f>
        <v>https://www.moneytimes.com.br/ibovespa-cvc-cvcb3-sobe-4-e-localiza-rent3-recua-nesta-sexta-16-entenda/</v>
      </c>
      <c r="Y3839" s="77" t="s">
        <v>7053</v>
      </c>
      <c r="Z3839" s="77"/>
      <c r="AA3839" s="77"/>
      <c r="AB3839" s="77"/>
      <c r="AC3839" s="82" t="s">
        <v>8255</v>
      </c>
      <c r="AD3839" s="77" t="s">
        <v>8278</v>
      </c>
      <c r="AE3839" s="80" t="str">
        <f>HYPERLINK("https://twitter.com/leiamoneytimes/status/1669743646155915265")</f>
        <v>https://twitter.com/leiamoneytimes/status/1669743646155915265</v>
      </c>
      <c r="AF3839" s="79">
        <v>45093.68613425926</v>
      </c>
      <c r="AG3839" s="85">
        <v>45093</v>
      </c>
      <c r="AH3839" s="82" t="s">
        <v>11801</v>
      </c>
      <c r="AI3839" s="77" t="b">
        <v>0</v>
      </c>
      <c r="AJ3839" s="77"/>
      <c r="AK3839" s="77"/>
      <c r="AL3839" s="77"/>
      <c r="AM3839" s="77"/>
      <c r="AN3839" s="77"/>
      <c r="AO3839" s="77"/>
      <c r="AP3839" s="77"/>
      <c r="AQ3839" s="77"/>
      <c r="AR3839" s="77"/>
      <c r="AS3839" s="77"/>
      <c r="AT3839" s="77"/>
      <c r="AU3839" s="77"/>
      <c r="AV3839" s="80" t="str">
        <f>HYPERLINK("https://pbs.twimg.com/profile_images/1559883556846977024/bXHnQFY0_normal.jpg")</f>
        <v>https://pbs.twimg.com/profile_images/1559883556846977024/bXHnQFY0_normal.jpg</v>
      </c>
      <c r="AW3839" s="82" t="s">
        <v>16923</v>
      </c>
      <c r="AX3839" s="82" t="s">
        <v>16923</v>
      </c>
      <c r="AY3839" s="77"/>
      <c r="AZ3839" s="82" t="s">
        <v>17385</v>
      </c>
      <c r="BA3839" s="82" t="s">
        <v>17385</v>
      </c>
      <c r="BB3839" s="82" t="s">
        <v>17385</v>
      </c>
      <c r="BC3839" s="82" t="s">
        <v>16923</v>
      </c>
      <c r="BD3839" s="77">
        <v>51150679</v>
      </c>
      <c r="BE3839" s="77"/>
      <c r="BF3839" s="77"/>
      <c r="BG3839" s="77"/>
      <c r="BH3839" s="77"/>
      <c r="BI3839" s="77"/>
    </row>
    <row r="3840" spans="1:61" x14ac:dyDescent="0.25">
      <c r="A3840" s="62" t="s">
        <v>605</v>
      </c>
      <c r="B3840" s="62" t="s">
        <v>605</v>
      </c>
      <c r="C3840" s="63"/>
      <c r="D3840" s="64"/>
      <c r="E3840" s="65"/>
      <c r="F3840" s="66"/>
      <c r="G3840" s="63"/>
      <c r="H3840" s="67"/>
      <c r="I3840" s="68"/>
      <c r="J3840" s="68"/>
      <c r="K3840" s="32"/>
      <c r="L3840" s="75">
        <v>3840</v>
      </c>
      <c r="M3840" s="75"/>
      <c r="N3840" s="70"/>
      <c r="O3840" s="77" t="s">
        <v>179</v>
      </c>
      <c r="P3840" s="79">
        <v>45093.599918981483</v>
      </c>
      <c r="Q3840" s="77" t="s">
        <v>4614</v>
      </c>
      <c r="R3840" s="77">
        <v>0</v>
      </c>
      <c r="S3840" s="77">
        <v>7</v>
      </c>
      <c r="T3840" s="77">
        <v>1</v>
      </c>
      <c r="U3840" s="77">
        <v>0</v>
      </c>
      <c r="V3840" s="77">
        <v>1662</v>
      </c>
      <c r="W3840" s="82" t="s">
        <v>6880</v>
      </c>
      <c r="X3840" s="80" t="str">
        <f>HYPERLINK("https://www.moneytimes.com.br/americanas-amer3-e-campea-em-desigualdade-executivos-eram-beneficiados-antes-da-fraude-entenda/")</f>
        <v>https://www.moneytimes.com.br/americanas-amer3-e-campea-em-desigualdade-executivos-eram-beneficiados-antes-da-fraude-entenda/</v>
      </c>
      <c r="Y3840" s="77" t="s">
        <v>7053</v>
      </c>
      <c r="Z3840" s="77"/>
      <c r="AA3840" s="77"/>
      <c r="AB3840" s="77"/>
      <c r="AC3840" s="82" t="s">
        <v>8255</v>
      </c>
      <c r="AD3840" s="77" t="s">
        <v>8278</v>
      </c>
      <c r="AE3840" s="80" t="str">
        <f>HYPERLINK("https://twitter.com/leiamoneytimes/status/1669712405033545729")</f>
        <v>https://twitter.com/leiamoneytimes/status/1669712405033545729</v>
      </c>
      <c r="AF3840" s="79">
        <v>45093.599918981483</v>
      </c>
      <c r="AG3840" s="85">
        <v>45093</v>
      </c>
      <c r="AH3840" s="82" t="s">
        <v>9065</v>
      </c>
      <c r="AI3840" s="77" t="b">
        <v>0</v>
      </c>
      <c r="AJ3840" s="77"/>
      <c r="AK3840" s="77"/>
      <c r="AL3840" s="77"/>
      <c r="AM3840" s="77"/>
      <c r="AN3840" s="77"/>
      <c r="AO3840" s="77"/>
      <c r="AP3840" s="77"/>
      <c r="AQ3840" s="77"/>
      <c r="AR3840" s="77"/>
      <c r="AS3840" s="77"/>
      <c r="AT3840" s="77"/>
      <c r="AU3840" s="77"/>
      <c r="AV3840" s="80" t="str">
        <f>HYPERLINK("https://pbs.twimg.com/profile_images/1559883556846977024/bXHnQFY0_normal.jpg")</f>
        <v>https://pbs.twimg.com/profile_images/1559883556846977024/bXHnQFY0_normal.jpg</v>
      </c>
      <c r="AW3840" s="82" t="s">
        <v>16924</v>
      </c>
      <c r="AX3840" s="82" t="s">
        <v>16924</v>
      </c>
      <c r="AY3840" s="77"/>
      <c r="AZ3840" s="82" t="s">
        <v>17385</v>
      </c>
      <c r="BA3840" s="82" t="s">
        <v>17385</v>
      </c>
      <c r="BB3840" s="82" t="s">
        <v>17385</v>
      </c>
      <c r="BC3840" s="82" t="s">
        <v>16924</v>
      </c>
      <c r="BD3840" s="77">
        <v>51150679</v>
      </c>
      <c r="BE3840" s="77"/>
      <c r="BF3840" s="77"/>
      <c r="BG3840" s="77"/>
      <c r="BH3840" s="77"/>
      <c r="BI3840" s="77"/>
    </row>
    <row r="3841" spans="1:61" x14ac:dyDescent="0.25">
      <c r="A3841" s="62" t="s">
        <v>605</v>
      </c>
      <c r="B3841" s="62" t="s">
        <v>605</v>
      </c>
      <c r="C3841" s="63"/>
      <c r="D3841" s="64"/>
      <c r="E3841" s="65"/>
      <c r="F3841" s="66"/>
      <c r="G3841" s="63"/>
      <c r="H3841" s="67"/>
      <c r="I3841" s="68"/>
      <c r="J3841" s="68"/>
      <c r="K3841" s="32"/>
      <c r="L3841" s="75">
        <v>3841</v>
      </c>
      <c r="M3841" s="75"/>
      <c r="N3841" s="70"/>
      <c r="O3841" s="77" t="s">
        <v>179</v>
      </c>
      <c r="P3841" s="79">
        <v>45093.527905092589</v>
      </c>
      <c r="Q3841" s="77" t="s">
        <v>4615</v>
      </c>
      <c r="R3841" s="77">
        <v>0</v>
      </c>
      <c r="S3841" s="77">
        <v>4</v>
      </c>
      <c r="T3841" s="77">
        <v>1</v>
      </c>
      <c r="U3841" s="77">
        <v>0</v>
      </c>
      <c r="V3841" s="77">
        <v>1451</v>
      </c>
      <c r="W3841" s="82" t="s">
        <v>6551</v>
      </c>
      <c r="X3841" s="80" t="str">
        <f>HYPERLINK("https://www.moneytimes.com.br/localiza-rent3-anuncia-oferta-que-pode-movimentar-ate-r-45-bilhoes/")</f>
        <v>https://www.moneytimes.com.br/localiza-rent3-anuncia-oferta-que-pode-movimentar-ate-r-45-bilhoes/</v>
      </c>
      <c r="Y3841" s="77" t="s">
        <v>7053</v>
      </c>
      <c r="Z3841" s="77"/>
      <c r="AA3841" s="77"/>
      <c r="AB3841" s="77"/>
      <c r="AC3841" s="82" t="s">
        <v>8255</v>
      </c>
      <c r="AD3841" s="77" t="s">
        <v>8278</v>
      </c>
      <c r="AE3841" s="80" t="str">
        <f>HYPERLINK("https://twitter.com/leiamoneytimes/status/1669686305947635720")</f>
        <v>https://twitter.com/leiamoneytimes/status/1669686305947635720</v>
      </c>
      <c r="AF3841" s="79">
        <v>45093.527905092589</v>
      </c>
      <c r="AG3841" s="85">
        <v>45093</v>
      </c>
      <c r="AH3841" s="82" t="s">
        <v>11802</v>
      </c>
      <c r="AI3841" s="77" t="b">
        <v>0</v>
      </c>
      <c r="AJ3841" s="77"/>
      <c r="AK3841" s="77"/>
      <c r="AL3841" s="77"/>
      <c r="AM3841" s="77"/>
      <c r="AN3841" s="77"/>
      <c r="AO3841" s="77"/>
      <c r="AP3841" s="77"/>
      <c r="AQ3841" s="77"/>
      <c r="AR3841" s="77"/>
      <c r="AS3841" s="77"/>
      <c r="AT3841" s="77"/>
      <c r="AU3841" s="77"/>
      <c r="AV3841" s="80" t="str">
        <f>HYPERLINK("https://pbs.twimg.com/profile_images/1559883556846977024/bXHnQFY0_normal.jpg")</f>
        <v>https://pbs.twimg.com/profile_images/1559883556846977024/bXHnQFY0_normal.jpg</v>
      </c>
      <c r="AW3841" s="82" t="s">
        <v>16925</v>
      </c>
      <c r="AX3841" s="82" t="s">
        <v>16925</v>
      </c>
      <c r="AY3841" s="77"/>
      <c r="AZ3841" s="82" t="s">
        <v>17385</v>
      </c>
      <c r="BA3841" s="82" t="s">
        <v>17385</v>
      </c>
      <c r="BB3841" s="82" t="s">
        <v>17385</v>
      </c>
      <c r="BC3841" s="82" t="s">
        <v>16925</v>
      </c>
      <c r="BD3841" s="77">
        <v>51150679</v>
      </c>
      <c r="BE3841" s="77"/>
      <c r="BF3841" s="77"/>
      <c r="BG3841" s="77"/>
      <c r="BH3841" s="77"/>
      <c r="BI3841" s="77"/>
    </row>
    <row r="3842" spans="1:61" x14ac:dyDescent="0.25">
      <c r="A3842" s="62" t="s">
        <v>605</v>
      </c>
      <c r="B3842" s="62" t="s">
        <v>605</v>
      </c>
      <c r="C3842" s="63"/>
      <c r="D3842" s="64"/>
      <c r="E3842" s="65"/>
      <c r="F3842" s="66"/>
      <c r="G3842" s="63"/>
      <c r="H3842" s="67"/>
      <c r="I3842" s="68"/>
      <c r="J3842" s="68"/>
      <c r="K3842" s="32"/>
      <c r="L3842" s="75">
        <v>3842</v>
      </c>
      <c r="M3842" s="75"/>
      <c r="N3842" s="70"/>
      <c r="O3842" s="77" t="s">
        <v>179</v>
      </c>
      <c r="P3842" s="79">
        <v>45093.466863425929</v>
      </c>
      <c r="Q3842" s="77" t="s">
        <v>4616</v>
      </c>
      <c r="R3842" s="77">
        <v>0</v>
      </c>
      <c r="S3842" s="77">
        <v>3</v>
      </c>
      <c r="T3842" s="77">
        <v>1</v>
      </c>
      <c r="U3842" s="77">
        <v>0</v>
      </c>
      <c r="V3842" s="77">
        <v>1542</v>
      </c>
      <c r="W3842" s="82" t="s">
        <v>6881</v>
      </c>
      <c r="X3842" s="80" t="str">
        <f>HYPERLINK("https://www.moneytimes.com.br/privatizacao-da-sabesp-sbsp3-disputa-da-ambev-abev3-e-outros-destaques-desta-sexta-feira-16/")</f>
        <v>https://www.moneytimes.com.br/privatizacao-da-sabesp-sbsp3-disputa-da-ambev-abev3-e-outros-destaques-desta-sexta-feira-16/</v>
      </c>
      <c r="Y3842" s="77" t="s">
        <v>7053</v>
      </c>
      <c r="Z3842" s="77"/>
      <c r="AA3842" s="77"/>
      <c r="AB3842" s="77"/>
      <c r="AC3842" s="82" t="s">
        <v>8255</v>
      </c>
      <c r="AD3842" s="77" t="s">
        <v>8278</v>
      </c>
      <c r="AE3842" s="80" t="str">
        <f>HYPERLINK("https://twitter.com/leiamoneytimes/status/1669664186664644608")</f>
        <v>https://twitter.com/leiamoneytimes/status/1669664186664644608</v>
      </c>
      <c r="AF3842" s="79">
        <v>45093.466863425929</v>
      </c>
      <c r="AG3842" s="85">
        <v>45093</v>
      </c>
      <c r="AH3842" s="82" t="s">
        <v>11803</v>
      </c>
      <c r="AI3842" s="77" t="b">
        <v>0</v>
      </c>
      <c r="AJ3842" s="77"/>
      <c r="AK3842" s="77"/>
      <c r="AL3842" s="77"/>
      <c r="AM3842" s="77"/>
      <c r="AN3842" s="77"/>
      <c r="AO3842" s="77"/>
      <c r="AP3842" s="77"/>
      <c r="AQ3842" s="77"/>
      <c r="AR3842" s="77"/>
      <c r="AS3842" s="77"/>
      <c r="AT3842" s="77"/>
      <c r="AU3842" s="77"/>
      <c r="AV3842" s="80" t="str">
        <f>HYPERLINK("https://pbs.twimg.com/profile_images/1559883556846977024/bXHnQFY0_normal.jpg")</f>
        <v>https://pbs.twimg.com/profile_images/1559883556846977024/bXHnQFY0_normal.jpg</v>
      </c>
      <c r="AW3842" s="82" t="s">
        <v>16926</v>
      </c>
      <c r="AX3842" s="82" t="s">
        <v>16926</v>
      </c>
      <c r="AY3842" s="77"/>
      <c r="AZ3842" s="82" t="s">
        <v>17385</v>
      </c>
      <c r="BA3842" s="82" t="s">
        <v>17385</v>
      </c>
      <c r="BB3842" s="82" t="s">
        <v>17385</v>
      </c>
      <c r="BC3842" s="82" t="s">
        <v>16926</v>
      </c>
      <c r="BD3842" s="77">
        <v>51150679</v>
      </c>
      <c r="BE3842" s="77"/>
      <c r="BF3842" s="77"/>
      <c r="BG3842" s="77"/>
      <c r="BH3842" s="77"/>
      <c r="BI3842" s="77"/>
    </row>
    <row r="3843" spans="1:61" x14ac:dyDescent="0.25">
      <c r="A3843" s="62" t="s">
        <v>605</v>
      </c>
      <c r="B3843" s="62" t="s">
        <v>605</v>
      </c>
      <c r="C3843" s="63"/>
      <c r="D3843" s="64"/>
      <c r="E3843" s="65"/>
      <c r="F3843" s="66"/>
      <c r="G3843" s="63"/>
      <c r="H3843" s="67"/>
      <c r="I3843" s="68"/>
      <c r="J3843" s="68"/>
      <c r="K3843" s="32"/>
      <c r="L3843" s="75">
        <v>3843</v>
      </c>
      <c r="M3843" s="75"/>
      <c r="N3843" s="70"/>
      <c r="O3843" s="77" t="s">
        <v>179</v>
      </c>
      <c r="P3843" s="79">
        <v>45093.466377314813</v>
      </c>
      <c r="Q3843" s="77" t="s">
        <v>4617</v>
      </c>
      <c r="R3843" s="77">
        <v>0</v>
      </c>
      <c r="S3843" s="77">
        <v>5</v>
      </c>
      <c r="T3843" s="77">
        <v>1</v>
      </c>
      <c r="U3843" s="77">
        <v>0</v>
      </c>
      <c r="V3843" s="77">
        <v>1779</v>
      </c>
      <c r="W3843" s="82" t="s">
        <v>6882</v>
      </c>
      <c r="X3843" s="80" t="str">
        <f>HYPERLINK("https://www.moneytimes.com.br/sextou-com-direito-a-edredom-clima-quente-nos-mercados-negociacoes-da-oi-lucro-com-banco-do-brasil-e-outros-destaques-do-dia/")</f>
        <v>https://www.moneytimes.com.br/sextou-com-direito-a-edredom-clima-quente-nos-mercados-negociacoes-da-oi-lucro-com-banco-do-brasil-e-outros-destaques-do-dia/</v>
      </c>
      <c r="Y3843" s="77" t="s">
        <v>7053</v>
      </c>
      <c r="Z3843" s="77"/>
      <c r="AA3843" s="77"/>
      <c r="AB3843" s="77"/>
      <c r="AC3843" s="82" t="s">
        <v>8255</v>
      </c>
      <c r="AD3843" s="77" t="s">
        <v>8278</v>
      </c>
      <c r="AE3843" s="80" t="str">
        <f>HYPERLINK("https://twitter.com/leiamoneytimes/status/1669664011833561090")</f>
        <v>https://twitter.com/leiamoneytimes/status/1669664011833561090</v>
      </c>
      <c r="AF3843" s="79">
        <v>45093.466377314813</v>
      </c>
      <c r="AG3843" s="85">
        <v>45093</v>
      </c>
      <c r="AH3843" s="82" t="s">
        <v>11804</v>
      </c>
      <c r="AI3843" s="77" t="b">
        <v>0</v>
      </c>
      <c r="AJ3843" s="77"/>
      <c r="AK3843" s="77"/>
      <c r="AL3843" s="77"/>
      <c r="AM3843" s="77"/>
      <c r="AN3843" s="77"/>
      <c r="AO3843" s="77"/>
      <c r="AP3843" s="77"/>
      <c r="AQ3843" s="77"/>
      <c r="AR3843" s="77"/>
      <c r="AS3843" s="77"/>
      <c r="AT3843" s="77"/>
      <c r="AU3843" s="77"/>
      <c r="AV3843" s="80" t="str">
        <f>HYPERLINK("https://pbs.twimg.com/profile_images/1559883556846977024/bXHnQFY0_normal.jpg")</f>
        <v>https://pbs.twimg.com/profile_images/1559883556846977024/bXHnQFY0_normal.jpg</v>
      </c>
      <c r="AW3843" s="82" t="s">
        <v>16927</v>
      </c>
      <c r="AX3843" s="82" t="s">
        <v>16927</v>
      </c>
      <c r="AY3843" s="77"/>
      <c r="AZ3843" s="82" t="s">
        <v>17385</v>
      </c>
      <c r="BA3843" s="82" t="s">
        <v>17385</v>
      </c>
      <c r="BB3843" s="82" t="s">
        <v>17385</v>
      </c>
      <c r="BC3843" s="82" t="s">
        <v>16927</v>
      </c>
      <c r="BD3843" s="77">
        <v>51150679</v>
      </c>
      <c r="BE3843" s="77"/>
      <c r="BF3843" s="77"/>
      <c r="BG3843" s="77"/>
      <c r="BH3843" s="77"/>
      <c r="BI3843" s="77"/>
    </row>
    <row r="3844" spans="1:61" x14ac:dyDescent="0.25">
      <c r="A3844" s="62" t="s">
        <v>605</v>
      </c>
      <c r="B3844" s="62" t="s">
        <v>605</v>
      </c>
      <c r="C3844" s="63"/>
      <c r="D3844" s="64"/>
      <c r="E3844" s="65"/>
      <c r="F3844" s="66"/>
      <c r="G3844" s="63"/>
      <c r="H3844" s="67"/>
      <c r="I3844" s="68"/>
      <c r="J3844" s="68"/>
      <c r="K3844" s="32"/>
      <c r="L3844" s="75">
        <v>3844</v>
      </c>
      <c r="M3844" s="75"/>
      <c r="N3844" s="70"/>
      <c r="O3844" s="77" t="s">
        <v>179</v>
      </c>
      <c r="P3844" s="79">
        <v>45093.455995370372</v>
      </c>
      <c r="Q3844" s="77" t="s">
        <v>4618</v>
      </c>
      <c r="R3844" s="77">
        <v>0</v>
      </c>
      <c r="S3844" s="77">
        <v>4</v>
      </c>
      <c r="T3844" s="77">
        <v>1</v>
      </c>
      <c r="U3844" s="77">
        <v>0</v>
      </c>
      <c r="V3844" s="77">
        <v>1560</v>
      </c>
      <c r="W3844" s="82" t="s">
        <v>6598</v>
      </c>
      <c r="X3844" s="80" t="str">
        <f>HYPERLINK("https://www.moneytimes.com.br/bolsas-asiaticas-acoes-da-china-e-hong-kong-sobem-com-expectativa-de-estimulo-e-tem-mehor-semana-em-5-meses/")</f>
        <v>https://www.moneytimes.com.br/bolsas-asiaticas-acoes-da-china-e-hong-kong-sobem-com-expectativa-de-estimulo-e-tem-mehor-semana-em-5-meses/</v>
      </c>
      <c r="Y3844" s="77" t="s">
        <v>7053</v>
      </c>
      <c r="Z3844" s="77"/>
      <c r="AA3844" s="77"/>
      <c r="AB3844" s="77"/>
      <c r="AC3844" s="82" t="s">
        <v>8255</v>
      </c>
      <c r="AD3844" s="77" t="s">
        <v>8278</v>
      </c>
      <c r="AE3844" s="80" t="str">
        <f>HYPERLINK("https://twitter.com/leiamoneytimes/status/1669660247869255681")</f>
        <v>https://twitter.com/leiamoneytimes/status/1669660247869255681</v>
      </c>
      <c r="AF3844" s="79">
        <v>45093.455995370372</v>
      </c>
      <c r="AG3844" s="85">
        <v>45093</v>
      </c>
      <c r="AH3844" s="82" t="s">
        <v>11805</v>
      </c>
      <c r="AI3844" s="77" t="b">
        <v>0</v>
      </c>
      <c r="AJ3844" s="77"/>
      <c r="AK3844" s="77"/>
      <c r="AL3844" s="77"/>
      <c r="AM3844" s="77"/>
      <c r="AN3844" s="77"/>
      <c r="AO3844" s="77"/>
      <c r="AP3844" s="77"/>
      <c r="AQ3844" s="77"/>
      <c r="AR3844" s="77"/>
      <c r="AS3844" s="77"/>
      <c r="AT3844" s="77"/>
      <c r="AU3844" s="77"/>
      <c r="AV3844" s="80" t="str">
        <f>HYPERLINK("https://pbs.twimg.com/profile_images/1559883556846977024/bXHnQFY0_normal.jpg")</f>
        <v>https://pbs.twimg.com/profile_images/1559883556846977024/bXHnQFY0_normal.jpg</v>
      </c>
      <c r="AW3844" s="82" t="s">
        <v>16928</v>
      </c>
      <c r="AX3844" s="82" t="s">
        <v>16928</v>
      </c>
      <c r="AY3844" s="77"/>
      <c r="AZ3844" s="82" t="s">
        <v>17385</v>
      </c>
      <c r="BA3844" s="82" t="s">
        <v>17385</v>
      </c>
      <c r="BB3844" s="82" t="s">
        <v>17385</v>
      </c>
      <c r="BC3844" s="82" t="s">
        <v>16928</v>
      </c>
      <c r="BD3844" s="77">
        <v>51150679</v>
      </c>
      <c r="BE3844" s="77"/>
      <c r="BF3844" s="77"/>
      <c r="BG3844" s="77"/>
      <c r="BH3844" s="77"/>
      <c r="BI3844" s="77"/>
    </row>
    <row r="3845" spans="1:61" x14ac:dyDescent="0.25">
      <c r="A3845" s="62" t="s">
        <v>605</v>
      </c>
      <c r="B3845" s="62" t="s">
        <v>605</v>
      </c>
      <c r="C3845" s="63"/>
      <c r="D3845" s="64"/>
      <c r="E3845" s="65"/>
      <c r="F3845" s="66"/>
      <c r="G3845" s="63"/>
      <c r="H3845" s="67"/>
      <c r="I3845" s="68"/>
      <c r="J3845" s="68"/>
      <c r="K3845" s="32"/>
      <c r="L3845" s="75">
        <v>3845</v>
      </c>
      <c r="M3845" s="75"/>
      <c r="N3845" s="70"/>
      <c r="O3845" s="77" t="s">
        <v>179</v>
      </c>
      <c r="P3845" s="79">
        <v>45093.433333333334</v>
      </c>
      <c r="Q3845" s="77" t="s">
        <v>4619</v>
      </c>
      <c r="R3845" s="77">
        <v>0</v>
      </c>
      <c r="S3845" s="77">
        <v>8</v>
      </c>
      <c r="T3845" s="77">
        <v>1</v>
      </c>
      <c r="U3845" s="77">
        <v>0</v>
      </c>
      <c r="V3845" s="77">
        <v>2114</v>
      </c>
      <c r="W3845" s="82" t="s">
        <v>6883</v>
      </c>
      <c r="X3845" s="80" t="str">
        <f>HYPERLINK("https://www.moneytimes.com.br/tempo-real-ibovespa-pode-encerrar-a-semana-com-mais-uma-alta-nesta-sexta-feira-16/")</f>
        <v>https://www.moneytimes.com.br/tempo-real-ibovespa-pode-encerrar-a-semana-com-mais-uma-alta-nesta-sexta-feira-16/</v>
      </c>
      <c r="Y3845" s="77" t="s">
        <v>7053</v>
      </c>
      <c r="Z3845" s="77"/>
      <c r="AA3845" s="77"/>
      <c r="AB3845" s="77"/>
      <c r="AC3845" s="82" t="s">
        <v>8255</v>
      </c>
      <c r="AD3845" s="77" t="s">
        <v>8278</v>
      </c>
      <c r="AE3845" s="80" t="str">
        <f>HYPERLINK("https://twitter.com/leiamoneytimes/status/1669652036902703106")</f>
        <v>https://twitter.com/leiamoneytimes/status/1669652036902703106</v>
      </c>
      <c r="AF3845" s="79">
        <v>45093.433333333334</v>
      </c>
      <c r="AG3845" s="85">
        <v>45093</v>
      </c>
      <c r="AH3845" s="82" t="s">
        <v>11806</v>
      </c>
      <c r="AI3845" s="77" t="b">
        <v>0</v>
      </c>
      <c r="AJ3845" s="77"/>
      <c r="AK3845" s="77"/>
      <c r="AL3845" s="77"/>
      <c r="AM3845" s="77"/>
      <c r="AN3845" s="77"/>
      <c r="AO3845" s="77"/>
      <c r="AP3845" s="77"/>
      <c r="AQ3845" s="77"/>
      <c r="AR3845" s="77"/>
      <c r="AS3845" s="77"/>
      <c r="AT3845" s="77"/>
      <c r="AU3845" s="77"/>
      <c r="AV3845" s="80" t="str">
        <f>HYPERLINK("https://pbs.twimg.com/profile_images/1559883556846977024/bXHnQFY0_normal.jpg")</f>
        <v>https://pbs.twimg.com/profile_images/1559883556846977024/bXHnQFY0_normal.jpg</v>
      </c>
      <c r="AW3845" s="82" t="s">
        <v>16929</v>
      </c>
      <c r="AX3845" s="82" t="s">
        <v>16929</v>
      </c>
      <c r="AY3845" s="77"/>
      <c r="AZ3845" s="82" t="s">
        <v>17385</v>
      </c>
      <c r="BA3845" s="82" t="s">
        <v>17385</v>
      </c>
      <c r="BB3845" s="82" t="s">
        <v>17385</v>
      </c>
      <c r="BC3845" s="82" t="s">
        <v>16929</v>
      </c>
      <c r="BD3845" s="77">
        <v>51150679</v>
      </c>
      <c r="BE3845" s="77"/>
      <c r="BF3845" s="77"/>
      <c r="BG3845" s="77"/>
      <c r="BH3845" s="77"/>
      <c r="BI3845" s="77"/>
    </row>
    <row r="3846" spans="1:61" x14ac:dyDescent="0.25">
      <c r="A3846" s="62" t="s">
        <v>605</v>
      </c>
      <c r="B3846" s="62" t="s">
        <v>605</v>
      </c>
      <c r="C3846" s="63"/>
      <c r="D3846" s="64"/>
      <c r="E3846" s="65"/>
      <c r="F3846" s="66"/>
      <c r="G3846" s="63"/>
      <c r="H3846" s="67"/>
      <c r="I3846" s="68"/>
      <c r="J3846" s="68"/>
      <c r="K3846" s="32"/>
      <c r="L3846" s="75">
        <v>3846</v>
      </c>
      <c r="M3846" s="75"/>
      <c r="N3846" s="70"/>
      <c r="O3846" s="77" t="s">
        <v>179</v>
      </c>
      <c r="P3846" s="79">
        <v>45092.849062499998</v>
      </c>
      <c r="Q3846" s="77" t="s">
        <v>4620</v>
      </c>
      <c r="R3846" s="77">
        <v>0</v>
      </c>
      <c r="S3846" s="77">
        <v>1</v>
      </c>
      <c r="T3846" s="77">
        <v>1</v>
      </c>
      <c r="U3846" s="77">
        <v>0</v>
      </c>
      <c r="V3846" s="77">
        <v>1126</v>
      </c>
      <c r="W3846" s="82" t="s">
        <v>6551</v>
      </c>
      <c r="X3846" s="80" t="str">
        <f>HYPERLINK("https://www.moneytimes.com.br/ibovespa-hoje-fecha-alta-119-mil-pontos-petrobras-petr4-15-06-2023/")</f>
        <v>https://www.moneytimes.com.br/ibovespa-hoje-fecha-alta-119-mil-pontos-petrobras-petr4-15-06-2023/</v>
      </c>
      <c r="Y3846" s="77" t="s">
        <v>7053</v>
      </c>
      <c r="Z3846" s="77"/>
      <c r="AA3846" s="77"/>
      <c r="AB3846" s="77"/>
      <c r="AC3846" s="82" t="s">
        <v>8255</v>
      </c>
      <c r="AD3846" s="77" t="s">
        <v>8281</v>
      </c>
      <c r="AE3846" s="80" t="str">
        <f>HYPERLINK("https://twitter.com/leiamoneytimes/status/1669440302287933474")</f>
        <v>https://twitter.com/leiamoneytimes/status/1669440302287933474</v>
      </c>
      <c r="AF3846" s="79">
        <v>45092.849062499998</v>
      </c>
      <c r="AG3846" s="85">
        <v>45092</v>
      </c>
      <c r="AH3846" s="82" t="s">
        <v>11807</v>
      </c>
      <c r="AI3846" s="77" t="b">
        <v>0</v>
      </c>
      <c r="AJ3846" s="77"/>
      <c r="AK3846" s="77"/>
      <c r="AL3846" s="77"/>
      <c r="AM3846" s="77"/>
      <c r="AN3846" s="77"/>
      <c r="AO3846" s="77"/>
      <c r="AP3846" s="77"/>
      <c r="AQ3846" s="77"/>
      <c r="AR3846" s="77"/>
      <c r="AS3846" s="77"/>
      <c r="AT3846" s="77"/>
      <c r="AU3846" s="77"/>
      <c r="AV3846" s="80" t="str">
        <f>HYPERLINK("https://pbs.twimg.com/profile_images/1559883556846977024/bXHnQFY0_normal.jpg")</f>
        <v>https://pbs.twimg.com/profile_images/1559883556846977024/bXHnQFY0_normal.jpg</v>
      </c>
      <c r="AW3846" s="82" t="s">
        <v>16930</v>
      </c>
      <c r="AX3846" s="82" t="s">
        <v>16930</v>
      </c>
      <c r="AY3846" s="77"/>
      <c r="AZ3846" s="82" t="s">
        <v>17385</v>
      </c>
      <c r="BA3846" s="82" t="s">
        <v>17385</v>
      </c>
      <c r="BB3846" s="82" t="s">
        <v>17385</v>
      </c>
      <c r="BC3846" s="82" t="s">
        <v>16930</v>
      </c>
      <c r="BD3846" s="77">
        <v>51150679</v>
      </c>
      <c r="BE3846" s="77"/>
      <c r="BF3846" s="77"/>
      <c r="BG3846" s="77"/>
      <c r="BH3846" s="77"/>
      <c r="BI3846" s="77"/>
    </row>
    <row r="3847" spans="1:61" x14ac:dyDescent="0.25">
      <c r="A3847" s="62" t="s">
        <v>605</v>
      </c>
      <c r="B3847" s="62" t="s">
        <v>605</v>
      </c>
      <c r="C3847" s="63"/>
      <c r="D3847" s="64"/>
      <c r="E3847" s="65"/>
      <c r="F3847" s="66"/>
      <c r="G3847" s="63"/>
      <c r="H3847" s="67"/>
      <c r="I3847" s="68"/>
      <c r="J3847" s="68"/>
      <c r="K3847" s="32"/>
      <c r="L3847" s="75">
        <v>3847</v>
      </c>
      <c r="M3847" s="75"/>
      <c r="N3847" s="70"/>
      <c r="O3847" s="77" t="s">
        <v>179</v>
      </c>
      <c r="P3847" s="79">
        <v>45092.723692129628</v>
      </c>
      <c r="Q3847" s="77" t="s">
        <v>4621</v>
      </c>
      <c r="R3847" s="77">
        <v>0</v>
      </c>
      <c r="S3847" s="77">
        <v>1</v>
      </c>
      <c r="T3847" s="77">
        <v>1</v>
      </c>
      <c r="U3847" s="77">
        <v>0</v>
      </c>
      <c r="V3847" s="77">
        <v>1086</v>
      </c>
      <c r="W3847" s="82" t="s">
        <v>6625</v>
      </c>
      <c r="X3847" s="80" t="str">
        <f>HYPERLINK("https://www.moneytimes.com.br/bolsas-europeias-acoes-caem-apos-alta-de-juros-do-bce/")</f>
        <v>https://www.moneytimes.com.br/bolsas-europeias-acoes-caem-apos-alta-de-juros-do-bce/</v>
      </c>
      <c r="Y3847" s="77" t="s">
        <v>7053</v>
      </c>
      <c r="Z3847" s="77"/>
      <c r="AA3847" s="77"/>
      <c r="AB3847" s="77"/>
      <c r="AC3847" s="82" t="s">
        <v>8255</v>
      </c>
      <c r="AD3847" s="77" t="s">
        <v>8278</v>
      </c>
      <c r="AE3847" s="80" t="str">
        <f>HYPERLINK("https://twitter.com/leiamoneytimes/status/1669394870861955072")</f>
        <v>https://twitter.com/leiamoneytimes/status/1669394870861955072</v>
      </c>
      <c r="AF3847" s="79">
        <v>45092.723692129628</v>
      </c>
      <c r="AG3847" s="85">
        <v>45092</v>
      </c>
      <c r="AH3847" s="82" t="s">
        <v>11808</v>
      </c>
      <c r="AI3847" s="77" t="b">
        <v>0</v>
      </c>
      <c r="AJ3847" s="77"/>
      <c r="AK3847" s="77"/>
      <c r="AL3847" s="77"/>
      <c r="AM3847" s="77"/>
      <c r="AN3847" s="77"/>
      <c r="AO3847" s="77"/>
      <c r="AP3847" s="77"/>
      <c r="AQ3847" s="77"/>
      <c r="AR3847" s="77"/>
      <c r="AS3847" s="77"/>
      <c r="AT3847" s="77"/>
      <c r="AU3847" s="77"/>
      <c r="AV3847" s="80" t="str">
        <f>HYPERLINK("https://pbs.twimg.com/profile_images/1559883556846977024/bXHnQFY0_normal.jpg")</f>
        <v>https://pbs.twimg.com/profile_images/1559883556846977024/bXHnQFY0_normal.jpg</v>
      </c>
      <c r="AW3847" s="82" t="s">
        <v>16931</v>
      </c>
      <c r="AX3847" s="82" t="s">
        <v>16931</v>
      </c>
      <c r="AY3847" s="77"/>
      <c r="AZ3847" s="82" t="s">
        <v>17385</v>
      </c>
      <c r="BA3847" s="82" t="s">
        <v>17385</v>
      </c>
      <c r="BB3847" s="82" t="s">
        <v>17385</v>
      </c>
      <c r="BC3847" s="82" t="s">
        <v>16931</v>
      </c>
      <c r="BD3847" s="77">
        <v>51150679</v>
      </c>
      <c r="BE3847" s="77"/>
      <c r="BF3847" s="77"/>
      <c r="BG3847" s="77"/>
      <c r="BH3847" s="77"/>
      <c r="BI3847" s="77"/>
    </row>
    <row r="3848" spans="1:61" x14ac:dyDescent="0.25">
      <c r="A3848" s="62" t="s">
        <v>605</v>
      </c>
      <c r="B3848" s="62" t="s">
        <v>605</v>
      </c>
      <c r="C3848" s="63"/>
      <c r="D3848" s="64"/>
      <c r="E3848" s="65"/>
      <c r="F3848" s="66"/>
      <c r="G3848" s="63"/>
      <c r="H3848" s="67"/>
      <c r="I3848" s="68"/>
      <c r="J3848" s="68"/>
      <c r="K3848" s="32"/>
      <c r="L3848" s="75">
        <v>3848</v>
      </c>
      <c r="M3848" s="75"/>
      <c r="N3848" s="70"/>
      <c r="O3848" s="77" t="s">
        <v>179</v>
      </c>
      <c r="P3848" s="79">
        <v>45092.687013888892</v>
      </c>
      <c r="Q3848" s="77" t="s">
        <v>4622</v>
      </c>
      <c r="R3848" s="77">
        <v>0</v>
      </c>
      <c r="S3848" s="77">
        <v>1</v>
      </c>
      <c r="T3848" s="77">
        <v>1</v>
      </c>
      <c r="U3848" s="77">
        <v>0</v>
      </c>
      <c r="V3848" s="77">
        <v>1229</v>
      </c>
      <c r="W3848" s="82" t="s">
        <v>6884</v>
      </c>
      <c r="X3848" s="80" t="str">
        <f>HYPERLINK("https://www.moneytimes.com.br/ibovespa-braskem-brkm5-e-petrobras-petr4-avancam-nesta-quinta-15-entenda/")</f>
        <v>https://www.moneytimes.com.br/ibovespa-braskem-brkm5-e-petrobras-petr4-avancam-nesta-quinta-15-entenda/</v>
      </c>
      <c r="Y3848" s="77" t="s">
        <v>7053</v>
      </c>
      <c r="Z3848" s="77"/>
      <c r="AA3848" s="77"/>
      <c r="AB3848" s="77"/>
      <c r="AC3848" s="82" t="s">
        <v>8255</v>
      </c>
      <c r="AD3848" s="77" t="s">
        <v>8278</v>
      </c>
      <c r="AE3848" s="80" t="str">
        <f>HYPERLINK("https://twitter.com/leiamoneytimes/status/1669381576130428948")</f>
        <v>https://twitter.com/leiamoneytimes/status/1669381576130428948</v>
      </c>
      <c r="AF3848" s="79">
        <v>45092.687013888892</v>
      </c>
      <c r="AG3848" s="85">
        <v>45092</v>
      </c>
      <c r="AH3848" s="82" t="s">
        <v>11809</v>
      </c>
      <c r="AI3848" s="77" t="b">
        <v>0</v>
      </c>
      <c r="AJ3848" s="77"/>
      <c r="AK3848" s="77"/>
      <c r="AL3848" s="77"/>
      <c r="AM3848" s="77"/>
      <c r="AN3848" s="77"/>
      <c r="AO3848" s="77"/>
      <c r="AP3848" s="77"/>
      <c r="AQ3848" s="77"/>
      <c r="AR3848" s="77"/>
      <c r="AS3848" s="77"/>
      <c r="AT3848" s="77"/>
      <c r="AU3848" s="77"/>
      <c r="AV3848" s="80" t="str">
        <f>HYPERLINK("https://pbs.twimg.com/profile_images/1559883556846977024/bXHnQFY0_normal.jpg")</f>
        <v>https://pbs.twimg.com/profile_images/1559883556846977024/bXHnQFY0_normal.jpg</v>
      </c>
      <c r="AW3848" s="82" t="s">
        <v>16932</v>
      </c>
      <c r="AX3848" s="82" t="s">
        <v>16932</v>
      </c>
      <c r="AY3848" s="77"/>
      <c r="AZ3848" s="82" t="s">
        <v>17385</v>
      </c>
      <c r="BA3848" s="82" t="s">
        <v>17385</v>
      </c>
      <c r="BB3848" s="82" t="s">
        <v>17385</v>
      </c>
      <c r="BC3848" s="82" t="s">
        <v>16932</v>
      </c>
      <c r="BD3848" s="77">
        <v>51150679</v>
      </c>
      <c r="BE3848" s="77"/>
      <c r="BF3848" s="77"/>
      <c r="BG3848" s="77"/>
      <c r="BH3848" s="77"/>
      <c r="BI3848" s="77"/>
    </row>
    <row r="3849" spans="1:61" x14ac:dyDescent="0.25">
      <c r="A3849" s="62" t="s">
        <v>605</v>
      </c>
      <c r="B3849" s="62" t="s">
        <v>605</v>
      </c>
      <c r="C3849" s="63"/>
      <c r="D3849" s="64"/>
      <c r="E3849" s="65"/>
      <c r="F3849" s="66"/>
      <c r="G3849" s="63"/>
      <c r="H3849" s="67"/>
      <c r="I3849" s="68"/>
      <c r="J3849" s="68"/>
      <c r="K3849" s="32"/>
      <c r="L3849" s="75">
        <v>3849</v>
      </c>
      <c r="M3849" s="75"/>
      <c r="N3849" s="70"/>
      <c r="O3849" s="77" t="s">
        <v>179</v>
      </c>
      <c r="P3849" s="79">
        <v>45092.643425925926</v>
      </c>
      <c r="Q3849" s="77" t="s">
        <v>4623</v>
      </c>
      <c r="R3849" s="77">
        <v>5</v>
      </c>
      <c r="S3849" s="77">
        <v>36</v>
      </c>
      <c r="T3849" s="77">
        <v>3</v>
      </c>
      <c r="U3849" s="77">
        <v>0</v>
      </c>
      <c r="V3849" s="77">
        <v>3926</v>
      </c>
      <c r="W3849" s="82" t="s">
        <v>5601</v>
      </c>
      <c r="X3849" s="80" t="str">
        <f>HYPERLINK("https://www.moneytimes.com.br/gringos-compram-mais-de-r-6-bilhoes-em-acoes-na-b3-em-junho/")</f>
        <v>https://www.moneytimes.com.br/gringos-compram-mais-de-r-6-bilhoes-em-acoes-na-b3-em-junho/</v>
      </c>
      <c r="Y3849" s="77" t="s">
        <v>7053</v>
      </c>
      <c r="Z3849" s="77"/>
      <c r="AA3849" s="77"/>
      <c r="AB3849" s="77"/>
      <c r="AC3849" s="82" t="s">
        <v>8255</v>
      </c>
      <c r="AD3849" s="77" t="s">
        <v>8278</v>
      </c>
      <c r="AE3849" s="80" t="str">
        <f>HYPERLINK("https://twitter.com/leiamoneytimes/status/1669365781820235777")</f>
        <v>https://twitter.com/leiamoneytimes/status/1669365781820235777</v>
      </c>
      <c r="AF3849" s="79">
        <v>45092.643425925926</v>
      </c>
      <c r="AG3849" s="85">
        <v>45092</v>
      </c>
      <c r="AH3849" s="82" t="s">
        <v>11810</v>
      </c>
      <c r="AI3849" s="77" t="b">
        <v>0</v>
      </c>
      <c r="AJ3849" s="77"/>
      <c r="AK3849" s="77"/>
      <c r="AL3849" s="77"/>
      <c r="AM3849" s="77"/>
      <c r="AN3849" s="77"/>
      <c r="AO3849" s="77"/>
      <c r="AP3849" s="77"/>
      <c r="AQ3849" s="77"/>
      <c r="AR3849" s="77"/>
      <c r="AS3849" s="77"/>
      <c r="AT3849" s="77"/>
      <c r="AU3849" s="77"/>
      <c r="AV3849" s="80" t="str">
        <f>HYPERLINK("https://pbs.twimg.com/profile_images/1559883556846977024/bXHnQFY0_normal.jpg")</f>
        <v>https://pbs.twimg.com/profile_images/1559883556846977024/bXHnQFY0_normal.jpg</v>
      </c>
      <c r="AW3849" s="82" t="s">
        <v>16933</v>
      </c>
      <c r="AX3849" s="82" t="s">
        <v>16933</v>
      </c>
      <c r="AY3849" s="77"/>
      <c r="AZ3849" s="82" t="s">
        <v>17385</v>
      </c>
      <c r="BA3849" s="82" t="s">
        <v>17385</v>
      </c>
      <c r="BB3849" s="82" t="s">
        <v>17385</v>
      </c>
      <c r="BC3849" s="82" t="s">
        <v>16933</v>
      </c>
      <c r="BD3849" s="77">
        <v>51150679</v>
      </c>
      <c r="BE3849" s="77"/>
      <c r="BF3849" s="77"/>
      <c r="BG3849" s="77"/>
      <c r="BH3849" s="77"/>
      <c r="BI3849" s="77"/>
    </row>
    <row r="3850" spans="1:61" x14ac:dyDescent="0.25">
      <c r="A3850" s="62" t="s">
        <v>605</v>
      </c>
      <c r="B3850" s="62" t="s">
        <v>605</v>
      </c>
      <c r="C3850" s="63"/>
      <c r="D3850" s="64"/>
      <c r="E3850" s="65"/>
      <c r="F3850" s="66"/>
      <c r="G3850" s="63"/>
      <c r="H3850" s="67"/>
      <c r="I3850" s="68"/>
      <c r="J3850" s="68"/>
      <c r="K3850" s="32"/>
      <c r="L3850" s="75">
        <v>3850</v>
      </c>
      <c r="M3850" s="75"/>
      <c r="N3850" s="70"/>
      <c r="O3850" s="77" t="s">
        <v>179</v>
      </c>
      <c r="P3850" s="79">
        <v>45092.577361111114</v>
      </c>
      <c r="Q3850" s="77" t="s">
        <v>4624</v>
      </c>
      <c r="R3850" s="77">
        <v>0</v>
      </c>
      <c r="S3850" s="77">
        <v>6</v>
      </c>
      <c r="T3850" s="77">
        <v>1</v>
      </c>
      <c r="U3850" s="77">
        <v>0</v>
      </c>
      <c r="V3850" s="77">
        <v>1157</v>
      </c>
      <c r="W3850" s="82" t="s">
        <v>6829</v>
      </c>
      <c r="X3850" s="80" t="str">
        <f>HYPERLINK("https://www.moneytimes.com.br/cvc-cvcb3-salta-5-apos-oferta-que-pode-movimentar-r-315-milhoes/")</f>
        <v>https://www.moneytimes.com.br/cvc-cvcb3-salta-5-apos-oferta-que-pode-movimentar-r-315-milhoes/</v>
      </c>
      <c r="Y3850" s="77" t="s">
        <v>7053</v>
      </c>
      <c r="Z3850" s="77"/>
      <c r="AA3850" s="77"/>
      <c r="AB3850" s="77"/>
      <c r="AC3850" s="82" t="s">
        <v>8255</v>
      </c>
      <c r="AD3850" s="77" t="s">
        <v>8278</v>
      </c>
      <c r="AE3850" s="80" t="str">
        <f>HYPERLINK("https://twitter.com/leiamoneytimes/status/1669341839793455104")</f>
        <v>https://twitter.com/leiamoneytimes/status/1669341839793455104</v>
      </c>
      <c r="AF3850" s="79">
        <v>45092.577361111114</v>
      </c>
      <c r="AG3850" s="85">
        <v>45092</v>
      </c>
      <c r="AH3850" s="82" t="s">
        <v>11811</v>
      </c>
      <c r="AI3850" s="77" t="b">
        <v>0</v>
      </c>
      <c r="AJ3850" s="77"/>
      <c r="AK3850" s="77"/>
      <c r="AL3850" s="77"/>
      <c r="AM3850" s="77"/>
      <c r="AN3850" s="77"/>
      <c r="AO3850" s="77"/>
      <c r="AP3850" s="77"/>
      <c r="AQ3850" s="77"/>
      <c r="AR3850" s="77"/>
      <c r="AS3850" s="77"/>
      <c r="AT3850" s="77"/>
      <c r="AU3850" s="77"/>
      <c r="AV3850" s="80" t="str">
        <f>HYPERLINK("https://pbs.twimg.com/profile_images/1559883556846977024/bXHnQFY0_normal.jpg")</f>
        <v>https://pbs.twimg.com/profile_images/1559883556846977024/bXHnQFY0_normal.jpg</v>
      </c>
      <c r="AW3850" s="82" t="s">
        <v>16934</v>
      </c>
      <c r="AX3850" s="82" t="s">
        <v>16934</v>
      </c>
      <c r="AY3850" s="77"/>
      <c r="AZ3850" s="82" t="s">
        <v>17385</v>
      </c>
      <c r="BA3850" s="82" t="s">
        <v>17385</v>
      </c>
      <c r="BB3850" s="82" t="s">
        <v>17385</v>
      </c>
      <c r="BC3850" s="82" t="s">
        <v>16934</v>
      </c>
      <c r="BD3850" s="77">
        <v>51150679</v>
      </c>
      <c r="BE3850" s="77"/>
      <c r="BF3850" s="77"/>
      <c r="BG3850" s="77"/>
      <c r="BH3850" s="77"/>
      <c r="BI3850" s="77"/>
    </row>
    <row r="3851" spans="1:61" x14ac:dyDescent="0.25">
      <c r="A3851" s="62" t="s">
        <v>605</v>
      </c>
      <c r="B3851" s="62" t="s">
        <v>605</v>
      </c>
      <c r="C3851" s="63"/>
      <c r="D3851" s="64"/>
      <c r="E3851" s="65"/>
      <c r="F3851" s="66"/>
      <c r="G3851" s="63"/>
      <c r="H3851" s="67"/>
      <c r="I3851" s="68"/>
      <c r="J3851" s="68"/>
      <c r="K3851" s="32"/>
      <c r="L3851" s="75">
        <v>3851</v>
      </c>
      <c r="M3851" s="75"/>
      <c r="N3851" s="70"/>
      <c r="O3851" s="77" t="s">
        <v>179</v>
      </c>
      <c r="P3851" s="79">
        <v>45092.45821759259</v>
      </c>
      <c r="Q3851" s="77" t="s">
        <v>4625</v>
      </c>
      <c r="R3851" s="77">
        <v>0</v>
      </c>
      <c r="S3851" s="77">
        <v>6</v>
      </c>
      <c r="T3851" s="77">
        <v>1</v>
      </c>
      <c r="U3851" s="77">
        <v>0</v>
      </c>
      <c r="V3851" s="77">
        <v>1211</v>
      </c>
      <c r="W3851" s="82" t="s">
        <v>6564</v>
      </c>
      <c r="X3851" s="80" t="str">
        <f>HYPERLINK("https://www.moneytimes.com.br/bolsas-asiaticas-acoes-da-china-sobem-com-corte-nas-taxas-de-emprestimo-de-medio-prazo-e-expectativa-de-estimulo/")</f>
        <v>https://www.moneytimes.com.br/bolsas-asiaticas-acoes-da-china-sobem-com-corte-nas-taxas-de-emprestimo-de-medio-prazo-e-expectativa-de-estimulo/</v>
      </c>
      <c r="Y3851" s="77" t="s">
        <v>7053</v>
      </c>
      <c r="Z3851" s="77"/>
      <c r="AA3851" s="77"/>
      <c r="AB3851" s="77"/>
      <c r="AC3851" s="82" t="s">
        <v>8255</v>
      </c>
      <c r="AD3851" s="77" t="s">
        <v>8278</v>
      </c>
      <c r="AE3851" s="80" t="str">
        <f>HYPERLINK("https://twitter.com/leiamoneytimes/status/1669298664894865410")</f>
        <v>https://twitter.com/leiamoneytimes/status/1669298664894865410</v>
      </c>
      <c r="AF3851" s="79">
        <v>45092.45821759259</v>
      </c>
      <c r="AG3851" s="85">
        <v>45092</v>
      </c>
      <c r="AH3851" s="82" t="s">
        <v>11812</v>
      </c>
      <c r="AI3851" s="77" t="b">
        <v>0</v>
      </c>
      <c r="AJ3851" s="77"/>
      <c r="AK3851" s="77"/>
      <c r="AL3851" s="77"/>
      <c r="AM3851" s="77"/>
      <c r="AN3851" s="77"/>
      <c r="AO3851" s="77"/>
      <c r="AP3851" s="77"/>
      <c r="AQ3851" s="77"/>
      <c r="AR3851" s="77"/>
      <c r="AS3851" s="77"/>
      <c r="AT3851" s="77"/>
      <c r="AU3851" s="77"/>
      <c r="AV3851" s="80" t="str">
        <f>HYPERLINK("https://pbs.twimg.com/profile_images/1559883556846977024/bXHnQFY0_normal.jpg")</f>
        <v>https://pbs.twimg.com/profile_images/1559883556846977024/bXHnQFY0_normal.jpg</v>
      </c>
      <c r="AW3851" s="82" t="s">
        <v>16935</v>
      </c>
      <c r="AX3851" s="82" t="s">
        <v>16935</v>
      </c>
      <c r="AY3851" s="77"/>
      <c r="AZ3851" s="82" t="s">
        <v>17385</v>
      </c>
      <c r="BA3851" s="82" t="s">
        <v>17385</v>
      </c>
      <c r="BB3851" s="82" t="s">
        <v>17385</v>
      </c>
      <c r="BC3851" s="82" t="s">
        <v>16935</v>
      </c>
      <c r="BD3851" s="77">
        <v>51150679</v>
      </c>
      <c r="BE3851" s="77"/>
      <c r="BF3851" s="77"/>
      <c r="BG3851" s="77"/>
      <c r="BH3851" s="77"/>
      <c r="BI3851" s="77"/>
    </row>
    <row r="3852" spans="1:61" x14ac:dyDescent="0.25">
      <c r="A3852" s="62" t="s">
        <v>605</v>
      </c>
      <c r="B3852" s="62" t="s">
        <v>605</v>
      </c>
      <c r="C3852" s="63"/>
      <c r="D3852" s="64"/>
      <c r="E3852" s="65"/>
      <c r="F3852" s="66"/>
      <c r="G3852" s="63"/>
      <c r="H3852" s="67"/>
      <c r="I3852" s="68"/>
      <c r="J3852" s="68"/>
      <c r="K3852" s="32"/>
      <c r="L3852" s="75">
        <v>3852</v>
      </c>
      <c r="M3852" s="75"/>
      <c r="N3852" s="70"/>
      <c r="O3852" s="77" t="s">
        <v>179</v>
      </c>
      <c r="P3852" s="79">
        <v>45092.42392361111</v>
      </c>
      <c r="Q3852" s="77" t="s">
        <v>4626</v>
      </c>
      <c r="R3852" s="77">
        <v>0</v>
      </c>
      <c r="S3852" s="77">
        <v>13</v>
      </c>
      <c r="T3852" s="77">
        <v>1</v>
      </c>
      <c r="U3852" s="77">
        <v>1</v>
      </c>
      <c r="V3852" s="77">
        <v>1993</v>
      </c>
      <c r="W3852" s="82" t="s">
        <v>6883</v>
      </c>
      <c r="X3852" s="80" t="str">
        <f>HYPERLINK("https://www.moneytimes.com.br/tempo-real-ibovespa-pode-arriscar-nova-alta-nesta-quinta-feira-15/")</f>
        <v>https://www.moneytimes.com.br/tempo-real-ibovespa-pode-arriscar-nova-alta-nesta-quinta-feira-15/</v>
      </c>
      <c r="Y3852" s="77" t="s">
        <v>7053</v>
      </c>
      <c r="Z3852" s="77"/>
      <c r="AA3852" s="77"/>
      <c r="AB3852" s="77"/>
      <c r="AC3852" s="82" t="s">
        <v>8255</v>
      </c>
      <c r="AD3852" s="77" t="s">
        <v>8278</v>
      </c>
      <c r="AE3852" s="80" t="str">
        <f>HYPERLINK("https://twitter.com/leiamoneytimes/status/1669286236597485570")</f>
        <v>https://twitter.com/leiamoneytimes/status/1669286236597485570</v>
      </c>
      <c r="AF3852" s="79">
        <v>45092.42392361111</v>
      </c>
      <c r="AG3852" s="85">
        <v>45092</v>
      </c>
      <c r="AH3852" s="82" t="s">
        <v>11813</v>
      </c>
      <c r="AI3852" s="77" t="b">
        <v>0</v>
      </c>
      <c r="AJ3852" s="77"/>
      <c r="AK3852" s="77"/>
      <c r="AL3852" s="77"/>
      <c r="AM3852" s="77"/>
      <c r="AN3852" s="77"/>
      <c r="AO3852" s="77"/>
      <c r="AP3852" s="77"/>
      <c r="AQ3852" s="77"/>
      <c r="AR3852" s="77"/>
      <c r="AS3852" s="77"/>
      <c r="AT3852" s="77"/>
      <c r="AU3852" s="77"/>
      <c r="AV3852" s="80" t="str">
        <f>HYPERLINK("https://pbs.twimg.com/profile_images/1559883556846977024/bXHnQFY0_normal.jpg")</f>
        <v>https://pbs.twimg.com/profile_images/1559883556846977024/bXHnQFY0_normal.jpg</v>
      </c>
      <c r="AW3852" s="82" t="s">
        <v>16936</v>
      </c>
      <c r="AX3852" s="82" t="s">
        <v>16936</v>
      </c>
      <c r="AY3852" s="77"/>
      <c r="AZ3852" s="82" t="s">
        <v>17385</v>
      </c>
      <c r="BA3852" s="82" t="s">
        <v>17385</v>
      </c>
      <c r="BB3852" s="82" t="s">
        <v>17385</v>
      </c>
      <c r="BC3852" s="82" t="s">
        <v>16936</v>
      </c>
      <c r="BD3852" s="77">
        <v>51150679</v>
      </c>
      <c r="BE3852" s="77"/>
      <c r="BF3852" s="77"/>
      <c r="BG3852" s="77"/>
      <c r="BH3852" s="77"/>
      <c r="BI3852" s="77"/>
    </row>
    <row r="3853" spans="1:61" x14ac:dyDescent="0.25">
      <c r="A3853" s="62" t="s">
        <v>605</v>
      </c>
      <c r="B3853" s="62" t="s">
        <v>605</v>
      </c>
      <c r="C3853" s="63"/>
      <c r="D3853" s="64"/>
      <c r="E3853" s="65"/>
      <c r="F3853" s="66"/>
      <c r="G3853" s="63"/>
      <c r="H3853" s="67"/>
      <c r="I3853" s="68"/>
      <c r="J3853" s="68"/>
      <c r="K3853" s="32"/>
      <c r="L3853" s="75">
        <v>3853</v>
      </c>
      <c r="M3853" s="75"/>
      <c r="N3853" s="70"/>
      <c r="O3853" s="77" t="s">
        <v>179</v>
      </c>
      <c r="P3853" s="79">
        <v>45091.847997685189</v>
      </c>
      <c r="Q3853" s="77" t="s">
        <v>4627</v>
      </c>
      <c r="R3853" s="77">
        <v>0</v>
      </c>
      <c r="S3853" s="77">
        <v>8</v>
      </c>
      <c r="T3853" s="77">
        <v>1</v>
      </c>
      <c r="U3853" s="77">
        <v>0</v>
      </c>
      <c r="V3853" s="77">
        <v>1581</v>
      </c>
      <c r="W3853" s="82" t="s">
        <v>6551</v>
      </c>
      <c r="X3853" s="80" t="str">
        <f>HYPERLINK("https://www.moneytimes.com.br/ibovespa-hoje-fecha-alta-119-mil-pontos-federal-reserve-14-06-2023/")</f>
        <v>https://www.moneytimes.com.br/ibovespa-hoje-fecha-alta-119-mil-pontos-federal-reserve-14-06-2023/</v>
      </c>
      <c r="Y3853" s="77" t="s">
        <v>7053</v>
      </c>
      <c r="Z3853" s="77"/>
      <c r="AA3853" s="77"/>
      <c r="AB3853" s="77"/>
      <c r="AC3853" s="82" t="s">
        <v>8255</v>
      </c>
      <c r="AD3853" s="77" t="s">
        <v>8278</v>
      </c>
      <c r="AE3853" s="80" t="str">
        <f>HYPERLINK("https://twitter.com/leiamoneytimes/status/1669077530127597569")</f>
        <v>https://twitter.com/leiamoneytimes/status/1669077530127597569</v>
      </c>
      <c r="AF3853" s="79">
        <v>45091.847997685189</v>
      </c>
      <c r="AG3853" s="85">
        <v>45091</v>
      </c>
      <c r="AH3853" s="82" t="s">
        <v>11561</v>
      </c>
      <c r="AI3853" s="77" t="b">
        <v>0</v>
      </c>
      <c r="AJ3853" s="77"/>
      <c r="AK3853" s="77"/>
      <c r="AL3853" s="77"/>
      <c r="AM3853" s="77"/>
      <c r="AN3853" s="77"/>
      <c r="AO3853" s="77"/>
      <c r="AP3853" s="77"/>
      <c r="AQ3853" s="77"/>
      <c r="AR3853" s="77"/>
      <c r="AS3853" s="77"/>
      <c r="AT3853" s="77"/>
      <c r="AU3853" s="77"/>
      <c r="AV3853" s="80" t="str">
        <f>HYPERLINK("https://pbs.twimg.com/profile_images/1559883556846977024/bXHnQFY0_normal.jpg")</f>
        <v>https://pbs.twimg.com/profile_images/1559883556846977024/bXHnQFY0_normal.jpg</v>
      </c>
      <c r="AW3853" s="82" t="s">
        <v>16937</v>
      </c>
      <c r="AX3853" s="82" t="s">
        <v>16937</v>
      </c>
      <c r="AY3853" s="77"/>
      <c r="AZ3853" s="82" t="s">
        <v>17385</v>
      </c>
      <c r="BA3853" s="82" t="s">
        <v>17385</v>
      </c>
      <c r="BB3853" s="82" t="s">
        <v>17385</v>
      </c>
      <c r="BC3853" s="82" t="s">
        <v>16937</v>
      </c>
      <c r="BD3853" s="77">
        <v>51150679</v>
      </c>
      <c r="BE3853" s="77"/>
      <c r="BF3853" s="77"/>
      <c r="BG3853" s="77"/>
      <c r="BH3853" s="77"/>
      <c r="BI3853" s="77"/>
    </row>
    <row r="3854" spans="1:61" x14ac:dyDescent="0.25">
      <c r="A3854" s="62" t="s">
        <v>605</v>
      </c>
      <c r="B3854" s="62" t="s">
        <v>605</v>
      </c>
      <c r="C3854" s="63"/>
      <c r="D3854" s="64"/>
      <c r="E3854" s="65"/>
      <c r="F3854" s="66"/>
      <c r="G3854" s="63"/>
      <c r="H3854" s="67"/>
      <c r="I3854" s="68"/>
      <c r="J3854" s="68"/>
      <c r="K3854" s="32"/>
      <c r="L3854" s="75">
        <v>3854</v>
      </c>
      <c r="M3854" s="75"/>
      <c r="N3854" s="70"/>
      <c r="O3854" s="77" t="s">
        <v>179</v>
      </c>
      <c r="P3854" s="79">
        <v>45091.8</v>
      </c>
      <c r="Q3854" s="77" t="s">
        <v>4628</v>
      </c>
      <c r="R3854" s="77">
        <v>0</v>
      </c>
      <c r="S3854" s="77">
        <v>3</v>
      </c>
      <c r="T3854" s="77">
        <v>1</v>
      </c>
      <c r="U3854" s="77">
        <v>0</v>
      </c>
      <c r="V3854" s="77">
        <v>1257</v>
      </c>
      <c r="W3854" s="82" t="s">
        <v>6673</v>
      </c>
      <c r="X3854" s="80" t="str">
        <f>HYPERLINK("https://www.moneytimes.com.br/americanas-amer3-divulga-nova-lista-de-credores-apos-rombo-aumentar-em-r-25-bilhoes/")</f>
        <v>https://www.moneytimes.com.br/americanas-amer3-divulga-nova-lista-de-credores-apos-rombo-aumentar-em-r-25-bilhoes/</v>
      </c>
      <c r="Y3854" s="77" t="s">
        <v>7053</v>
      </c>
      <c r="Z3854" s="77"/>
      <c r="AA3854" s="77"/>
      <c r="AB3854" s="77"/>
      <c r="AC3854" s="82" t="s">
        <v>8255</v>
      </c>
      <c r="AD3854" s="77" t="s">
        <v>8278</v>
      </c>
      <c r="AE3854" s="80" t="str">
        <f>HYPERLINK("https://twitter.com/leiamoneytimes/status/1669060134675402752")</f>
        <v>https://twitter.com/leiamoneytimes/status/1669060134675402752</v>
      </c>
      <c r="AF3854" s="79">
        <v>45091.8</v>
      </c>
      <c r="AG3854" s="85">
        <v>45091</v>
      </c>
      <c r="AH3854" s="82" t="s">
        <v>11814</v>
      </c>
      <c r="AI3854" s="77" t="b">
        <v>0</v>
      </c>
      <c r="AJ3854" s="77"/>
      <c r="AK3854" s="77"/>
      <c r="AL3854" s="77"/>
      <c r="AM3854" s="77"/>
      <c r="AN3854" s="77"/>
      <c r="AO3854" s="77"/>
      <c r="AP3854" s="77"/>
      <c r="AQ3854" s="77"/>
      <c r="AR3854" s="77"/>
      <c r="AS3854" s="77"/>
      <c r="AT3854" s="77"/>
      <c r="AU3854" s="77"/>
      <c r="AV3854" s="80" t="str">
        <f>HYPERLINK("https://pbs.twimg.com/profile_images/1559883556846977024/bXHnQFY0_normal.jpg")</f>
        <v>https://pbs.twimg.com/profile_images/1559883556846977024/bXHnQFY0_normal.jpg</v>
      </c>
      <c r="AW3854" s="82" t="s">
        <v>16938</v>
      </c>
      <c r="AX3854" s="82" t="s">
        <v>16938</v>
      </c>
      <c r="AY3854" s="77"/>
      <c r="AZ3854" s="82" t="s">
        <v>17385</v>
      </c>
      <c r="BA3854" s="82" t="s">
        <v>17385</v>
      </c>
      <c r="BB3854" s="82" t="s">
        <v>17385</v>
      </c>
      <c r="BC3854" s="82" t="s">
        <v>16938</v>
      </c>
      <c r="BD3854" s="77">
        <v>51150679</v>
      </c>
      <c r="BE3854" s="77"/>
      <c r="BF3854" s="77"/>
      <c r="BG3854" s="77"/>
      <c r="BH3854" s="77"/>
      <c r="BI3854" s="77"/>
    </row>
    <row r="3855" spans="1:61" x14ac:dyDescent="0.25">
      <c r="A3855" s="62" t="s">
        <v>605</v>
      </c>
      <c r="B3855" s="62" t="s">
        <v>605</v>
      </c>
      <c r="C3855" s="63"/>
      <c r="D3855" s="64"/>
      <c r="E3855" s="65"/>
      <c r="F3855" s="66"/>
      <c r="G3855" s="63"/>
      <c r="H3855" s="67"/>
      <c r="I3855" s="68"/>
      <c r="J3855" s="68"/>
      <c r="K3855" s="32"/>
      <c r="L3855" s="75">
        <v>3855</v>
      </c>
      <c r="M3855" s="75"/>
      <c r="N3855" s="70"/>
      <c r="O3855" s="77" t="s">
        <v>179</v>
      </c>
      <c r="P3855" s="79">
        <v>45091.775671296295</v>
      </c>
      <c r="Q3855" s="77" t="s">
        <v>4629</v>
      </c>
      <c r="R3855" s="77">
        <v>1</v>
      </c>
      <c r="S3855" s="77">
        <v>1</v>
      </c>
      <c r="T3855" s="77">
        <v>1</v>
      </c>
      <c r="U3855" s="77">
        <v>1</v>
      </c>
      <c r="V3855" s="77">
        <v>1272</v>
      </c>
      <c r="W3855" s="82" t="s">
        <v>6570</v>
      </c>
      <c r="X3855" s="80" t="str">
        <f>HYPERLINK("https://www.moneytimes.com.br/de-novo-ceo-a-taylor-swift-o-que-explica-a-disparada-de-90-da-t4f-show3/")</f>
        <v>https://www.moneytimes.com.br/de-novo-ceo-a-taylor-swift-o-que-explica-a-disparada-de-90-da-t4f-show3/</v>
      </c>
      <c r="Y3855" s="77" t="s">
        <v>7053</v>
      </c>
      <c r="Z3855" s="77"/>
      <c r="AA3855" s="77"/>
      <c r="AB3855" s="77"/>
      <c r="AC3855" s="82" t="s">
        <v>8255</v>
      </c>
      <c r="AD3855" s="77" t="s">
        <v>8278</v>
      </c>
      <c r="AE3855" s="80" t="str">
        <f>HYPERLINK("https://twitter.com/leiamoneytimes/status/1669051320123154450")</f>
        <v>https://twitter.com/leiamoneytimes/status/1669051320123154450</v>
      </c>
      <c r="AF3855" s="79">
        <v>45091.775671296295</v>
      </c>
      <c r="AG3855" s="85">
        <v>45091</v>
      </c>
      <c r="AH3855" s="82" t="s">
        <v>11815</v>
      </c>
      <c r="AI3855" s="77" t="b">
        <v>0</v>
      </c>
      <c r="AJ3855" s="77"/>
      <c r="AK3855" s="77"/>
      <c r="AL3855" s="77"/>
      <c r="AM3855" s="77"/>
      <c r="AN3855" s="77"/>
      <c r="AO3855" s="77"/>
      <c r="AP3855" s="77"/>
      <c r="AQ3855" s="77"/>
      <c r="AR3855" s="77"/>
      <c r="AS3855" s="77"/>
      <c r="AT3855" s="77"/>
      <c r="AU3855" s="77"/>
      <c r="AV3855" s="80" t="str">
        <f>HYPERLINK("https://pbs.twimg.com/profile_images/1559883556846977024/bXHnQFY0_normal.jpg")</f>
        <v>https://pbs.twimg.com/profile_images/1559883556846977024/bXHnQFY0_normal.jpg</v>
      </c>
      <c r="AW3855" s="82" t="s">
        <v>16939</v>
      </c>
      <c r="AX3855" s="82" t="s">
        <v>16939</v>
      </c>
      <c r="AY3855" s="77"/>
      <c r="AZ3855" s="82" t="s">
        <v>17385</v>
      </c>
      <c r="BA3855" s="82" t="s">
        <v>17385</v>
      </c>
      <c r="BB3855" s="82" t="s">
        <v>17385</v>
      </c>
      <c r="BC3855" s="82" t="s">
        <v>16939</v>
      </c>
      <c r="BD3855" s="77">
        <v>51150679</v>
      </c>
      <c r="BE3855" s="77"/>
      <c r="BF3855" s="77"/>
      <c r="BG3855" s="77"/>
      <c r="BH3855" s="77"/>
      <c r="BI3855" s="77"/>
    </row>
    <row r="3856" spans="1:61" x14ac:dyDescent="0.25">
      <c r="A3856" s="62" t="s">
        <v>605</v>
      </c>
      <c r="B3856" s="62" t="s">
        <v>605</v>
      </c>
      <c r="C3856" s="63"/>
      <c r="D3856" s="64"/>
      <c r="E3856" s="65"/>
      <c r="F3856" s="66"/>
      <c r="G3856" s="63"/>
      <c r="H3856" s="67"/>
      <c r="I3856" s="68"/>
      <c r="J3856" s="68"/>
      <c r="K3856" s="32"/>
      <c r="L3856" s="75">
        <v>3856</v>
      </c>
      <c r="M3856" s="75"/>
      <c r="N3856" s="70"/>
      <c r="O3856" s="77" t="s">
        <v>179</v>
      </c>
      <c r="P3856" s="79">
        <v>45091.712002314816</v>
      </c>
      <c r="Q3856" s="77" t="s">
        <v>4630</v>
      </c>
      <c r="R3856" s="77">
        <v>1</v>
      </c>
      <c r="S3856" s="77">
        <v>5</v>
      </c>
      <c r="T3856" s="77">
        <v>1</v>
      </c>
      <c r="U3856" s="77">
        <v>0</v>
      </c>
      <c r="V3856" s="77">
        <v>1313</v>
      </c>
      <c r="W3856" s="82" t="s">
        <v>6885</v>
      </c>
      <c r="X3856" s="80" t="str">
        <f>HYPERLINK("https://www.moneytimes.com.br/bolsas-europeias-acoes-sobem-com-expectativa-de-pausa-pelo-fed/")</f>
        <v>https://www.moneytimes.com.br/bolsas-europeias-acoes-sobem-com-expectativa-de-pausa-pelo-fed/</v>
      </c>
      <c r="Y3856" s="77" t="s">
        <v>7053</v>
      </c>
      <c r="Z3856" s="77"/>
      <c r="AA3856" s="77"/>
      <c r="AB3856" s="77"/>
      <c r="AC3856" s="82" t="s">
        <v>8255</v>
      </c>
      <c r="AD3856" s="77" t="s">
        <v>8278</v>
      </c>
      <c r="AE3856" s="80" t="str">
        <f>HYPERLINK("https://twitter.com/leiamoneytimes/status/1669028245214306320")</f>
        <v>https://twitter.com/leiamoneytimes/status/1669028245214306320</v>
      </c>
      <c r="AF3856" s="79">
        <v>45091.712002314816</v>
      </c>
      <c r="AG3856" s="85">
        <v>45091</v>
      </c>
      <c r="AH3856" s="82" t="s">
        <v>11816</v>
      </c>
      <c r="AI3856" s="77" t="b">
        <v>0</v>
      </c>
      <c r="AJ3856" s="77"/>
      <c r="AK3856" s="77"/>
      <c r="AL3856" s="77"/>
      <c r="AM3856" s="77"/>
      <c r="AN3856" s="77"/>
      <c r="AO3856" s="77"/>
      <c r="AP3856" s="77"/>
      <c r="AQ3856" s="77"/>
      <c r="AR3856" s="77"/>
      <c r="AS3856" s="77"/>
      <c r="AT3856" s="77"/>
      <c r="AU3856" s="77"/>
      <c r="AV3856" s="80" t="str">
        <f>HYPERLINK("https://pbs.twimg.com/profile_images/1559883556846977024/bXHnQFY0_normal.jpg")</f>
        <v>https://pbs.twimg.com/profile_images/1559883556846977024/bXHnQFY0_normal.jpg</v>
      </c>
      <c r="AW3856" s="82" t="s">
        <v>16940</v>
      </c>
      <c r="AX3856" s="82" t="s">
        <v>16940</v>
      </c>
      <c r="AY3856" s="77"/>
      <c r="AZ3856" s="82" t="s">
        <v>17385</v>
      </c>
      <c r="BA3856" s="82" t="s">
        <v>17385</v>
      </c>
      <c r="BB3856" s="82" t="s">
        <v>17385</v>
      </c>
      <c r="BC3856" s="82" t="s">
        <v>16940</v>
      </c>
      <c r="BD3856" s="77">
        <v>51150679</v>
      </c>
      <c r="BE3856" s="77"/>
      <c r="BF3856" s="77"/>
      <c r="BG3856" s="77"/>
      <c r="BH3856" s="77"/>
      <c r="BI3856" s="77"/>
    </row>
    <row r="3857" spans="1:61" x14ac:dyDescent="0.25">
      <c r="A3857" s="62" t="s">
        <v>605</v>
      </c>
      <c r="B3857" s="62" t="s">
        <v>605</v>
      </c>
      <c r="C3857" s="63"/>
      <c r="D3857" s="64"/>
      <c r="E3857" s="65"/>
      <c r="F3857" s="66"/>
      <c r="G3857" s="63"/>
      <c r="H3857" s="67"/>
      <c r="I3857" s="68"/>
      <c r="J3857" s="68"/>
      <c r="K3857" s="32"/>
      <c r="L3857" s="75">
        <v>3857</v>
      </c>
      <c r="M3857" s="75"/>
      <c r="N3857" s="70"/>
      <c r="O3857" s="77" t="s">
        <v>179</v>
      </c>
      <c r="P3857" s="79">
        <v>45091.687268518515</v>
      </c>
      <c r="Q3857" s="77" t="s">
        <v>4631</v>
      </c>
      <c r="R3857" s="77">
        <v>0</v>
      </c>
      <c r="S3857" s="77">
        <v>1</v>
      </c>
      <c r="T3857" s="77">
        <v>1</v>
      </c>
      <c r="U3857" s="77">
        <v>0</v>
      </c>
      <c r="V3857" s="77">
        <v>1256</v>
      </c>
      <c r="W3857" s="82" t="s">
        <v>6551</v>
      </c>
      <c r="X3857" s="80" t="str">
        <f>HYPERLINK("https://www.moneytimes.com.br/rival-da-intelbras-intb3-positivo-posi3-salta-na-bolsa-com-entrada-em-novo-mercado/")</f>
        <v>https://www.moneytimes.com.br/rival-da-intelbras-intb3-positivo-posi3-salta-na-bolsa-com-entrada-em-novo-mercado/</v>
      </c>
      <c r="Y3857" s="77" t="s">
        <v>7053</v>
      </c>
      <c r="Z3857" s="77"/>
      <c r="AA3857" s="77"/>
      <c r="AB3857" s="77"/>
      <c r="AC3857" s="82" t="s">
        <v>8255</v>
      </c>
      <c r="AD3857" s="77" t="s">
        <v>8278</v>
      </c>
      <c r="AE3857" s="80" t="str">
        <f>HYPERLINK("https://twitter.com/leiamoneytimes/status/1669019284146724875")</f>
        <v>https://twitter.com/leiamoneytimes/status/1669019284146724875</v>
      </c>
      <c r="AF3857" s="79">
        <v>45091.687268518515</v>
      </c>
      <c r="AG3857" s="85">
        <v>45091</v>
      </c>
      <c r="AH3857" s="82" t="s">
        <v>11817</v>
      </c>
      <c r="AI3857" s="77" t="b">
        <v>0</v>
      </c>
      <c r="AJ3857" s="77"/>
      <c r="AK3857" s="77"/>
      <c r="AL3857" s="77"/>
      <c r="AM3857" s="77"/>
      <c r="AN3857" s="77"/>
      <c r="AO3857" s="77"/>
      <c r="AP3857" s="77"/>
      <c r="AQ3857" s="77"/>
      <c r="AR3857" s="77"/>
      <c r="AS3857" s="77"/>
      <c r="AT3857" s="77"/>
      <c r="AU3857" s="77"/>
      <c r="AV3857" s="80" t="str">
        <f>HYPERLINK("https://pbs.twimg.com/profile_images/1559883556846977024/bXHnQFY0_normal.jpg")</f>
        <v>https://pbs.twimg.com/profile_images/1559883556846977024/bXHnQFY0_normal.jpg</v>
      </c>
      <c r="AW3857" s="82" t="s">
        <v>16941</v>
      </c>
      <c r="AX3857" s="82" t="s">
        <v>16941</v>
      </c>
      <c r="AY3857" s="77"/>
      <c r="AZ3857" s="82" t="s">
        <v>17385</v>
      </c>
      <c r="BA3857" s="82" t="s">
        <v>17385</v>
      </c>
      <c r="BB3857" s="82" t="s">
        <v>17385</v>
      </c>
      <c r="BC3857" s="82" t="s">
        <v>16941</v>
      </c>
      <c r="BD3857" s="77">
        <v>51150679</v>
      </c>
      <c r="BE3857" s="77"/>
      <c r="BF3857" s="77"/>
      <c r="BG3857" s="77"/>
      <c r="BH3857" s="77"/>
      <c r="BI3857" s="77"/>
    </row>
    <row r="3858" spans="1:61" x14ac:dyDescent="0.25">
      <c r="A3858" s="62" t="s">
        <v>605</v>
      </c>
      <c r="B3858" s="62" t="s">
        <v>605</v>
      </c>
      <c r="C3858" s="63"/>
      <c r="D3858" s="64"/>
      <c r="E3858" s="65"/>
      <c r="F3858" s="66"/>
      <c r="G3858" s="63"/>
      <c r="H3858" s="67"/>
      <c r="I3858" s="68"/>
      <c r="J3858" s="68"/>
      <c r="K3858" s="32"/>
      <c r="L3858" s="75">
        <v>3858</v>
      </c>
      <c r="M3858" s="75"/>
      <c r="N3858" s="70"/>
      <c r="O3858" s="77" t="s">
        <v>179</v>
      </c>
      <c r="P3858" s="79">
        <v>45091.667581018519</v>
      </c>
      <c r="Q3858" s="77" t="s">
        <v>4632</v>
      </c>
      <c r="R3858" s="77">
        <v>0</v>
      </c>
      <c r="S3858" s="77">
        <v>1</v>
      </c>
      <c r="T3858" s="77">
        <v>2</v>
      </c>
      <c r="U3858" s="77">
        <v>0</v>
      </c>
      <c r="V3858" s="77">
        <v>1393</v>
      </c>
      <c r="W3858" s="82" t="s">
        <v>6886</v>
      </c>
      <c r="X3858" s="80" t="str">
        <f>HYPERLINK("https://www.moneytimes.com.br/ibovespa-o-que-anima-vale3-ggbr4-e-csna3-nesta-quarta-feira-14/")</f>
        <v>https://www.moneytimes.com.br/ibovespa-o-que-anima-vale3-ggbr4-e-csna3-nesta-quarta-feira-14/</v>
      </c>
      <c r="Y3858" s="77" t="s">
        <v>7053</v>
      </c>
      <c r="Z3858" s="77"/>
      <c r="AA3858" s="77"/>
      <c r="AB3858" s="77"/>
      <c r="AC3858" s="82" t="s">
        <v>8255</v>
      </c>
      <c r="AD3858" s="77" t="s">
        <v>8278</v>
      </c>
      <c r="AE3858" s="80" t="str">
        <f>HYPERLINK("https://twitter.com/leiamoneytimes/status/1669012147274219522")</f>
        <v>https://twitter.com/leiamoneytimes/status/1669012147274219522</v>
      </c>
      <c r="AF3858" s="79">
        <v>45091.667581018519</v>
      </c>
      <c r="AG3858" s="85">
        <v>45091</v>
      </c>
      <c r="AH3858" s="82" t="s">
        <v>11818</v>
      </c>
      <c r="AI3858" s="77" t="b">
        <v>0</v>
      </c>
      <c r="AJ3858" s="77"/>
      <c r="AK3858" s="77"/>
      <c r="AL3858" s="77"/>
      <c r="AM3858" s="77"/>
      <c r="AN3858" s="77"/>
      <c r="AO3858" s="77"/>
      <c r="AP3858" s="77"/>
      <c r="AQ3858" s="77"/>
      <c r="AR3858" s="77"/>
      <c r="AS3858" s="77"/>
      <c r="AT3858" s="77"/>
      <c r="AU3858" s="77"/>
      <c r="AV3858" s="80" t="str">
        <f>HYPERLINK("https://pbs.twimg.com/profile_images/1559883556846977024/bXHnQFY0_normal.jpg")</f>
        <v>https://pbs.twimg.com/profile_images/1559883556846977024/bXHnQFY0_normal.jpg</v>
      </c>
      <c r="AW3858" s="82" t="s">
        <v>16942</v>
      </c>
      <c r="AX3858" s="82" t="s">
        <v>16942</v>
      </c>
      <c r="AY3858" s="77"/>
      <c r="AZ3858" s="82" t="s">
        <v>17385</v>
      </c>
      <c r="BA3858" s="82" t="s">
        <v>17385</v>
      </c>
      <c r="BB3858" s="82" t="s">
        <v>17385</v>
      </c>
      <c r="BC3858" s="82" t="s">
        <v>16942</v>
      </c>
      <c r="BD3858" s="77">
        <v>51150679</v>
      </c>
      <c r="BE3858" s="77"/>
      <c r="BF3858" s="77"/>
      <c r="BG3858" s="77"/>
      <c r="BH3858" s="77"/>
      <c r="BI3858" s="77"/>
    </row>
    <row r="3859" spans="1:61" x14ac:dyDescent="0.25">
      <c r="A3859" s="62" t="s">
        <v>605</v>
      </c>
      <c r="B3859" s="62" t="s">
        <v>605</v>
      </c>
      <c r="C3859" s="63"/>
      <c r="D3859" s="64"/>
      <c r="E3859" s="65"/>
      <c r="F3859" s="66"/>
      <c r="G3859" s="63"/>
      <c r="H3859" s="67"/>
      <c r="I3859" s="68"/>
      <c r="J3859" s="68"/>
      <c r="K3859" s="32"/>
      <c r="L3859" s="75">
        <v>3859</v>
      </c>
      <c r="M3859" s="75"/>
      <c r="N3859" s="70"/>
      <c r="O3859" s="77" t="s">
        <v>179</v>
      </c>
      <c r="P3859" s="79">
        <v>45091.548831018517</v>
      </c>
      <c r="Q3859" s="77" t="s">
        <v>4633</v>
      </c>
      <c r="R3859" s="77">
        <v>0</v>
      </c>
      <c r="S3859" s="77">
        <v>4</v>
      </c>
      <c r="T3859" s="77">
        <v>1</v>
      </c>
      <c r="U3859" s="77">
        <v>0</v>
      </c>
      <c r="V3859" s="77">
        <v>1262</v>
      </c>
      <c r="W3859" s="82" t="s">
        <v>6887</v>
      </c>
      <c r="X3859" s="80" t="str">
        <f>HYPERLINK("https://www.moneytimes.com.br/ibovespa-ibov-tem-impulso-positivo-antes-de-decisao-do-fed-nesta-quarta-feira-14/")</f>
        <v>https://www.moneytimes.com.br/ibovespa-ibov-tem-impulso-positivo-antes-de-decisao-do-fed-nesta-quarta-feira-14/</v>
      </c>
      <c r="Y3859" s="77" t="s">
        <v>7053</v>
      </c>
      <c r="Z3859" s="77"/>
      <c r="AA3859" s="77"/>
      <c r="AB3859" s="77"/>
      <c r="AC3859" s="82" t="s">
        <v>8255</v>
      </c>
      <c r="AD3859" s="77" t="s">
        <v>8278</v>
      </c>
      <c r="AE3859" s="80" t="str">
        <f>HYPERLINK("https://twitter.com/leiamoneytimes/status/1668969115514437634")</f>
        <v>https://twitter.com/leiamoneytimes/status/1668969115514437634</v>
      </c>
      <c r="AF3859" s="79">
        <v>45091.548831018517</v>
      </c>
      <c r="AG3859" s="85">
        <v>45091</v>
      </c>
      <c r="AH3859" s="82" t="s">
        <v>11819</v>
      </c>
      <c r="AI3859" s="77" t="b">
        <v>0</v>
      </c>
      <c r="AJ3859" s="77"/>
      <c r="AK3859" s="77"/>
      <c r="AL3859" s="77"/>
      <c r="AM3859" s="77"/>
      <c r="AN3859" s="77"/>
      <c r="AO3859" s="77"/>
      <c r="AP3859" s="77"/>
      <c r="AQ3859" s="77"/>
      <c r="AR3859" s="77"/>
      <c r="AS3859" s="77"/>
      <c r="AT3859" s="77"/>
      <c r="AU3859" s="77"/>
      <c r="AV3859" s="80" t="str">
        <f>HYPERLINK("https://pbs.twimg.com/profile_images/1559883556846977024/bXHnQFY0_normal.jpg")</f>
        <v>https://pbs.twimg.com/profile_images/1559883556846977024/bXHnQFY0_normal.jpg</v>
      </c>
      <c r="AW3859" s="82" t="s">
        <v>16943</v>
      </c>
      <c r="AX3859" s="82" t="s">
        <v>16943</v>
      </c>
      <c r="AY3859" s="77"/>
      <c r="AZ3859" s="82" t="s">
        <v>17385</v>
      </c>
      <c r="BA3859" s="82" t="s">
        <v>17385</v>
      </c>
      <c r="BB3859" s="82" t="s">
        <v>17385</v>
      </c>
      <c r="BC3859" s="82" t="s">
        <v>16943</v>
      </c>
      <c r="BD3859" s="77">
        <v>51150679</v>
      </c>
      <c r="BE3859" s="77"/>
      <c r="BF3859" s="77"/>
      <c r="BG3859" s="77"/>
      <c r="BH3859" s="77"/>
      <c r="BI3859" s="77"/>
    </row>
    <row r="3860" spans="1:61" x14ac:dyDescent="0.25">
      <c r="A3860" s="62" t="s">
        <v>605</v>
      </c>
      <c r="B3860" s="62" t="s">
        <v>605</v>
      </c>
      <c r="C3860" s="63"/>
      <c r="D3860" s="64"/>
      <c r="E3860" s="65"/>
      <c r="F3860" s="66"/>
      <c r="G3860" s="63"/>
      <c r="H3860" s="67"/>
      <c r="I3860" s="68"/>
      <c r="J3860" s="68"/>
      <c r="K3860" s="32"/>
      <c r="L3860" s="75">
        <v>3860</v>
      </c>
      <c r="M3860" s="75"/>
      <c r="N3860" s="70"/>
      <c r="O3860" s="77" t="s">
        <v>179</v>
      </c>
      <c r="P3860" s="79">
        <v>45091.467685185184</v>
      </c>
      <c r="Q3860" s="77" t="s">
        <v>4634</v>
      </c>
      <c r="R3860" s="77">
        <v>0</v>
      </c>
      <c r="S3860" s="77">
        <v>8</v>
      </c>
      <c r="T3860" s="77">
        <v>1</v>
      </c>
      <c r="U3860" s="77">
        <v>0</v>
      </c>
      <c r="V3860" s="77">
        <v>1802</v>
      </c>
      <c r="W3860" s="82" t="s">
        <v>6555</v>
      </c>
      <c r="X3860" s="80" t="str">
        <f>HYPERLINK("https://www.moneytimes.com.br/resposta-da-petrobras-petr4-dados-da-3r-petroleum-rrrp3-e-outros-destaques-desta-quarta-14/")</f>
        <v>https://www.moneytimes.com.br/resposta-da-petrobras-petr4-dados-da-3r-petroleum-rrrp3-e-outros-destaques-desta-quarta-14/</v>
      </c>
      <c r="Y3860" s="77" t="s">
        <v>7053</v>
      </c>
      <c r="Z3860" s="77"/>
      <c r="AA3860" s="77"/>
      <c r="AB3860" s="77"/>
      <c r="AC3860" s="82" t="s">
        <v>8255</v>
      </c>
      <c r="AD3860" s="77" t="s">
        <v>8278</v>
      </c>
      <c r="AE3860" s="80" t="str">
        <f>HYPERLINK("https://twitter.com/leiamoneytimes/status/1668939709018435585")</f>
        <v>https://twitter.com/leiamoneytimes/status/1668939709018435585</v>
      </c>
      <c r="AF3860" s="79">
        <v>45091.467685185184</v>
      </c>
      <c r="AG3860" s="85">
        <v>45091</v>
      </c>
      <c r="AH3860" s="82" t="s">
        <v>11820</v>
      </c>
      <c r="AI3860" s="77" t="b">
        <v>0</v>
      </c>
      <c r="AJ3860" s="77"/>
      <c r="AK3860" s="77"/>
      <c r="AL3860" s="77"/>
      <c r="AM3860" s="77"/>
      <c r="AN3860" s="77"/>
      <c r="AO3860" s="77"/>
      <c r="AP3860" s="77"/>
      <c r="AQ3860" s="77"/>
      <c r="AR3860" s="77"/>
      <c r="AS3860" s="77"/>
      <c r="AT3860" s="77"/>
      <c r="AU3860" s="77"/>
      <c r="AV3860" s="80" t="str">
        <f>HYPERLINK("https://pbs.twimg.com/profile_images/1559883556846977024/bXHnQFY0_normal.jpg")</f>
        <v>https://pbs.twimg.com/profile_images/1559883556846977024/bXHnQFY0_normal.jpg</v>
      </c>
      <c r="AW3860" s="82" t="s">
        <v>16944</v>
      </c>
      <c r="AX3860" s="82" t="s">
        <v>16944</v>
      </c>
      <c r="AY3860" s="77"/>
      <c r="AZ3860" s="82" t="s">
        <v>17385</v>
      </c>
      <c r="BA3860" s="82" t="s">
        <v>17385</v>
      </c>
      <c r="BB3860" s="82" t="s">
        <v>17385</v>
      </c>
      <c r="BC3860" s="82" t="s">
        <v>16944</v>
      </c>
      <c r="BD3860" s="77">
        <v>51150679</v>
      </c>
      <c r="BE3860" s="77"/>
      <c r="BF3860" s="77"/>
      <c r="BG3860" s="77"/>
      <c r="BH3860" s="77"/>
      <c r="BI3860" s="77"/>
    </row>
    <row r="3861" spans="1:61" x14ac:dyDescent="0.25">
      <c r="A3861" s="62" t="s">
        <v>605</v>
      </c>
      <c r="B3861" s="62" t="s">
        <v>605</v>
      </c>
      <c r="C3861" s="63"/>
      <c r="D3861" s="64"/>
      <c r="E3861" s="65"/>
      <c r="F3861" s="66"/>
      <c r="G3861" s="63"/>
      <c r="H3861" s="67"/>
      <c r="I3861" s="68"/>
      <c r="J3861" s="68"/>
      <c r="K3861" s="32"/>
      <c r="L3861" s="75">
        <v>3861</v>
      </c>
      <c r="M3861" s="75"/>
      <c r="N3861" s="70"/>
      <c r="O3861" s="77" t="s">
        <v>179</v>
      </c>
      <c r="P3861" s="79">
        <v>45091.448009259257</v>
      </c>
      <c r="Q3861" s="77" t="s">
        <v>4635</v>
      </c>
      <c r="R3861" s="77">
        <v>0</v>
      </c>
      <c r="S3861" s="77">
        <v>1</v>
      </c>
      <c r="T3861" s="77">
        <v>1</v>
      </c>
      <c r="U3861" s="77">
        <v>0</v>
      </c>
      <c r="V3861" s="77">
        <v>1499</v>
      </c>
      <c r="W3861" s="82" t="s">
        <v>6598</v>
      </c>
      <c r="X3861" s="80" t="str">
        <f>HYPERLINK("https://www.moneytimes.com.br/bolsas-asiaticas-mercado-acionario-da-china-recua-antes-de-dados-de-atividade-e-com-expectativa-de-estimulo/")</f>
        <v>https://www.moneytimes.com.br/bolsas-asiaticas-mercado-acionario-da-china-recua-antes-de-dados-de-atividade-e-com-expectativa-de-estimulo/</v>
      </c>
      <c r="Y3861" s="77" t="s">
        <v>7053</v>
      </c>
      <c r="Z3861" s="77"/>
      <c r="AA3861" s="77"/>
      <c r="AB3861" s="77"/>
      <c r="AC3861" s="82" t="s">
        <v>8255</v>
      </c>
      <c r="AD3861" s="77" t="s">
        <v>8278</v>
      </c>
      <c r="AE3861" s="80" t="str">
        <f>HYPERLINK("https://twitter.com/leiamoneytimes/status/1668932577548222465")</f>
        <v>https://twitter.com/leiamoneytimes/status/1668932577548222465</v>
      </c>
      <c r="AF3861" s="79">
        <v>45091.448009259257</v>
      </c>
      <c r="AG3861" s="85">
        <v>45091</v>
      </c>
      <c r="AH3861" s="82" t="s">
        <v>11821</v>
      </c>
      <c r="AI3861" s="77" t="b">
        <v>0</v>
      </c>
      <c r="AJ3861" s="77"/>
      <c r="AK3861" s="77"/>
      <c r="AL3861" s="77"/>
      <c r="AM3861" s="77"/>
      <c r="AN3861" s="77"/>
      <c r="AO3861" s="77"/>
      <c r="AP3861" s="77"/>
      <c r="AQ3861" s="77"/>
      <c r="AR3861" s="77"/>
      <c r="AS3861" s="77"/>
      <c r="AT3861" s="77"/>
      <c r="AU3861" s="77"/>
      <c r="AV3861" s="80" t="str">
        <f>HYPERLINK("https://pbs.twimg.com/profile_images/1559883556846977024/bXHnQFY0_normal.jpg")</f>
        <v>https://pbs.twimg.com/profile_images/1559883556846977024/bXHnQFY0_normal.jpg</v>
      </c>
      <c r="AW3861" s="82" t="s">
        <v>16945</v>
      </c>
      <c r="AX3861" s="82" t="s">
        <v>16945</v>
      </c>
      <c r="AY3861" s="77"/>
      <c r="AZ3861" s="82" t="s">
        <v>17385</v>
      </c>
      <c r="BA3861" s="82" t="s">
        <v>17385</v>
      </c>
      <c r="BB3861" s="82" t="s">
        <v>17385</v>
      </c>
      <c r="BC3861" s="82" t="s">
        <v>16945</v>
      </c>
      <c r="BD3861" s="77">
        <v>51150679</v>
      </c>
      <c r="BE3861" s="77"/>
      <c r="BF3861" s="77"/>
      <c r="BG3861" s="77"/>
      <c r="BH3861" s="77"/>
      <c r="BI3861" s="77"/>
    </row>
    <row r="3862" spans="1:61" x14ac:dyDescent="0.25">
      <c r="A3862" s="62" t="s">
        <v>605</v>
      </c>
      <c r="B3862" s="62" t="s">
        <v>605</v>
      </c>
      <c r="C3862" s="63"/>
      <c r="D3862" s="64"/>
      <c r="E3862" s="65"/>
      <c r="F3862" s="66"/>
      <c r="G3862" s="63"/>
      <c r="H3862" s="67"/>
      <c r="I3862" s="68"/>
      <c r="J3862" s="68"/>
      <c r="K3862" s="32"/>
      <c r="L3862" s="75">
        <v>3862</v>
      </c>
      <c r="M3862" s="75"/>
      <c r="N3862" s="70"/>
      <c r="O3862" s="77" t="s">
        <v>179</v>
      </c>
      <c r="P3862" s="79">
        <v>45091.430254629631</v>
      </c>
      <c r="Q3862" s="77" t="s">
        <v>4636</v>
      </c>
      <c r="R3862" s="77">
        <v>0</v>
      </c>
      <c r="S3862" s="77">
        <v>0</v>
      </c>
      <c r="T3862" s="77">
        <v>1</v>
      </c>
      <c r="U3862" s="77">
        <v>0</v>
      </c>
      <c r="V3862" s="77">
        <v>1577</v>
      </c>
      <c r="W3862" s="82" t="s">
        <v>6883</v>
      </c>
      <c r="X3862" s="80" t="str">
        <f>HYPERLINK("https://www.moneytimes.com.br/tempo-real-ibovespa-tenta-se-recuperar-nesta-quarta-feira-14/")</f>
        <v>https://www.moneytimes.com.br/tempo-real-ibovespa-tenta-se-recuperar-nesta-quarta-feira-14/</v>
      </c>
      <c r="Y3862" s="77" t="s">
        <v>7053</v>
      </c>
      <c r="Z3862" s="77"/>
      <c r="AA3862" s="77"/>
      <c r="AB3862" s="77"/>
      <c r="AC3862" s="82" t="s">
        <v>8255</v>
      </c>
      <c r="AD3862" s="77" t="s">
        <v>8278</v>
      </c>
      <c r="AE3862" s="80" t="str">
        <f>HYPERLINK("https://twitter.com/leiamoneytimes/status/1668926143129346049")</f>
        <v>https://twitter.com/leiamoneytimes/status/1668926143129346049</v>
      </c>
      <c r="AF3862" s="79">
        <v>45091.430254629631</v>
      </c>
      <c r="AG3862" s="85">
        <v>45091</v>
      </c>
      <c r="AH3862" s="82" t="s">
        <v>11511</v>
      </c>
      <c r="AI3862" s="77" t="b">
        <v>0</v>
      </c>
      <c r="AJ3862" s="77"/>
      <c r="AK3862" s="77"/>
      <c r="AL3862" s="77"/>
      <c r="AM3862" s="77"/>
      <c r="AN3862" s="77"/>
      <c r="AO3862" s="77"/>
      <c r="AP3862" s="77"/>
      <c r="AQ3862" s="77"/>
      <c r="AR3862" s="77"/>
      <c r="AS3862" s="77"/>
      <c r="AT3862" s="77"/>
      <c r="AU3862" s="77"/>
      <c r="AV3862" s="80" t="str">
        <f>HYPERLINK("https://pbs.twimg.com/profile_images/1559883556846977024/bXHnQFY0_normal.jpg")</f>
        <v>https://pbs.twimg.com/profile_images/1559883556846977024/bXHnQFY0_normal.jpg</v>
      </c>
      <c r="AW3862" s="82" t="s">
        <v>16946</v>
      </c>
      <c r="AX3862" s="82" t="s">
        <v>16946</v>
      </c>
      <c r="AY3862" s="77"/>
      <c r="AZ3862" s="82" t="s">
        <v>17385</v>
      </c>
      <c r="BA3862" s="82" t="s">
        <v>17385</v>
      </c>
      <c r="BB3862" s="82" t="s">
        <v>17385</v>
      </c>
      <c r="BC3862" s="82" t="s">
        <v>16946</v>
      </c>
      <c r="BD3862" s="77">
        <v>51150679</v>
      </c>
      <c r="BE3862" s="77"/>
      <c r="BF3862" s="77"/>
      <c r="BG3862" s="77"/>
      <c r="BH3862" s="77"/>
      <c r="BI3862" s="77"/>
    </row>
    <row r="3863" spans="1:61" x14ac:dyDescent="0.25">
      <c r="A3863" s="62" t="s">
        <v>605</v>
      </c>
      <c r="B3863" s="62" t="s">
        <v>605</v>
      </c>
      <c r="C3863" s="63"/>
      <c r="D3863" s="64"/>
      <c r="E3863" s="65"/>
      <c r="F3863" s="66"/>
      <c r="G3863" s="63"/>
      <c r="H3863" s="67"/>
      <c r="I3863" s="68"/>
      <c r="J3863" s="68"/>
      <c r="K3863" s="32"/>
      <c r="L3863" s="75">
        <v>3863</v>
      </c>
      <c r="M3863" s="75"/>
      <c r="N3863" s="70"/>
      <c r="O3863" s="77" t="s">
        <v>179</v>
      </c>
      <c r="P3863" s="79">
        <v>45057.864108796297</v>
      </c>
      <c r="Q3863" s="77" t="s">
        <v>4637</v>
      </c>
      <c r="R3863" s="77">
        <v>0</v>
      </c>
      <c r="S3863" s="77">
        <v>2</v>
      </c>
      <c r="T3863" s="77">
        <v>1</v>
      </c>
      <c r="U3863" s="77">
        <v>0</v>
      </c>
      <c r="V3863" s="77">
        <v>1133</v>
      </c>
      <c r="W3863" s="82" t="s">
        <v>6557</v>
      </c>
      <c r="X3863" s="80" t="str">
        <f>HYPERLINK("https://www.moneytimes.com.br/ibovespa-o-empurraozinho-de-jean-paul-prates-que-ajudou-indice-a-bater-em-108-mil-pontos/")</f>
        <v>https://www.moneytimes.com.br/ibovespa-o-empurraozinho-de-jean-paul-prates-que-ajudou-indice-a-bater-em-108-mil-pontos/</v>
      </c>
      <c r="Y3863" s="77" t="s">
        <v>7053</v>
      </c>
      <c r="Z3863" s="77"/>
      <c r="AA3863" s="77"/>
      <c r="AB3863" s="77"/>
      <c r="AC3863" s="82" t="s">
        <v>8255</v>
      </c>
      <c r="AD3863" s="77" t="s">
        <v>8278</v>
      </c>
      <c r="AE3863" s="80" t="str">
        <f>HYPERLINK("https://twitter.com/leiamoneytimes/status/1656762181805916163")</f>
        <v>https://twitter.com/leiamoneytimes/status/1656762181805916163</v>
      </c>
      <c r="AF3863" s="79">
        <v>45057.864108796297</v>
      </c>
      <c r="AG3863" s="85">
        <v>45057</v>
      </c>
      <c r="AH3863" s="82" t="s">
        <v>11822</v>
      </c>
      <c r="AI3863" s="77" t="b">
        <v>0</v>
      </c>
      <c r="AJ3863" s="77"/>
      <c r="AK3863" s="77"/>
      <c r="AL3863" s="77"/>
      <c r="AM3863" s="77"/>
      <c r="AN3863" s="77"/>
      <c r="AO3863" s="77"/>
      <c r="AP3863" s="77"/>
      <c r="AQ3863" s="77"/>
      <c r="AR3863" s="77"/>
      <c r="AS3863" s="77"/>
      <c r="AT3863" s="77"/>
      <c r="AU3863" s="77"/>
      <c r="AV3863" s="80" t="str">
        <f>HYPERLINK("https://pbs.twimg.com/profile_images/1559883556846977024/bXHnQFY0_normal.jpg")</f>
        <v>https://pbs.twimg.com/profile_images/1559883556846977024/bXHnQFY0_normal.jpg</v>
      </c>
      <c r="AW3863" s="82" t="s">
        <v>16947</v>
      </c>
      <c r="AX3863" s="82" t="s">
        <v>16947</v>
      </c>
      <c r="AY3863" s="77"/>
      <c r="AZ3863" s="82" t="s">
        <v>17385</v>
      </c>
      <c r="BA3863" s="82" t="s">
        <v>17385</v>
      </c>
      <c r="BB3863" s="82" t="s">
        <v>17385</v>
      </c>
      <c r="BC3863" s="82" t="s">
        <v>16947</v>
      </c>
      <c r="BD3863" s="77">
        <v>51150679</v>
      </c>
      <c r="BE3863" s="77"/>
      <c r="BF3863" s="77"/>
      <c r="BG3863" s="77"/>
      <c r="BH3863" s="77"/>
      <c r="BI3863" s="77"/>
    </row>
    <row r="3864" spans="1:61" x14ac:dyDescent="0.25">
      <c r="A3864" s="62" t="s">
        <v>605</v>
      </c>
      <c r="B3864" s="62" t="s">
        <v>605</v>
      </c>
      <c r="C3864" s="63"/>
      <c r="D3864" s="64"/>
      <c r="E3864" s="65"/>
      <c r="F3864" s="66"/>
      <c r="G3864" s="63"/>
      <c r="H3864" s="67"/>
      <c r="I3864" s="68"/>
      <c r="J3864" s="68"/>
      <c r="K3864" s="32"/>
      <c r="L3864" s="75">
        <v>3864</v>
      </c>
      <c r="M3864" s="75"/>
      <c r="N3864" s="70"/>
      <c r="O3864" s="77" t="s">
        <v>179</v>
      </c>
      <c r="P3864" s="79">
        <v>45057.807638888888</v>
      </c>
      <c r="Q3864" s="77" t="s">
        <v>4638</v>
      </c>
      <c r="R3864" s="77">
        <v>3</v>
      </c>
      <c r="S3864" s="77">
        <v>27</v>
      </c>
      <c r="T3864" s="77">
        <v>2</v>
      </c>
      <c r="U3864" s="77">
        <v>3</v>
      </c>
      <c r="V3864" s="77">
        <v>2955</v>
      </c>
      <c r="W3864" s="82" t="s">
        <v>6617</v>
      </c>
      <c r="X3864" s="80" t="str">
        <f>HYPERLINK("https://www.moneytimes.com.br/petrobras-petr4-pagara-r-189-por-acao-em-dividendos/")</f>
        <v>https://www.moneytimes.com.br/petrobras-petr4-pagara-r-189-por-acao-em-dividendos/</v>
      </c>
      <c r="Y3864" s="77" t="s">
        <v>7053</v>
      </c>
      <c r="Z3864" s="77"/>
      <c r="AA3864" s="77"/>
      <c r="AB3864" s="77"/>
      <c r="AC3864" s="82" t="s">
        <v>8255</v>
      </c>
      <c r="AD3864" s="77" t="s">
        <v>8278</v>
      </c>
      <c r="AE3864" s="80" t="str">
        <f>HYPERLINK("https://twitter.com/leiamoneytimes/status/1656741715120726020")</f>
        <v>https://twitter.com/leiamoneytimes/status/1656741715120726020</v>
      </c>
      <c r="AF3864" s="79">
        <v>45057.807638888888</v>
      </c>
      <c r="AG3864" s="85">
        <v>45057</v>
      </c>
      <c r="AH3864" s="82" t="s">
        <v>11823</v>
      </c>
      <c r="AI3864" s="77" t="b">
        <v>0</v>
      </c>
      <c r="AJ3864" s="77"/>
      <c r="AK3864" s="77"/>
      <c r="AL3864" s="77"/>
      <c r="AM3864" s="77"/>
      <c r="AN3864" s="77"/>
      <c r="AO3864" s="77"/>
      <c r="AP3864" s="77"/>
      <c r="AQ3864" s="77"/>
      <c r="AR3864" s="77"/>
      <c r="AS3864" s="77"/>
      <c r="AT3864" s="77"/>
      <c r="AU3864" s="77"/>
      <c r="AV3864" s="80" t="str">
        <f>HYPERLINK("https://pbs.twimg.com/profile_images/1559883556846977024/bXHnQFY0_normal.jpg")</f>
        <v>https://pbs.twimg.com/profile_images/1559883556846977024/bXHnQFY0_normal.jpg</v>
      </c>
      <c r="AW3864" s="82" t="s">
        <v>16948</v>
      </c>
      <c r="AX3864" s="82" t="s">
        <v>16948</v>
      </c>
      <c r="AY3864" s="77"/>
      <c r="AZ3864" s="82" t="s">
        <v>17385</v>
      </c>
      <c r="BA3864" s="82" t="s">
        <v>17385</v>
      </c>
      <c r="BB3864" s="82" t="s">
        <v>17385</v>
      </c>
      <c r="BC3864" s="82" t="s">
        <v>16948</v>
      </c>
      <c r="BD3864" s="77">
        <v>51150679</v>
      </c>
      <c r="BE3864" s="77"/>
      <c r="BF3864" s="77"/>
      <c r="BG3864" s="77"/>
      <c r="BH3864" s="77"/>
      <c r="BI3864" s="77"/>
    </row>
    <row r="3865" spans="1:61" x14ac:dyDescent="0.25">
      <c r="A3865" s="62" t="s">
        <v>605</v>
      </c>
      <c r="B3865" s="62" t="s">
        <v>605</v>
      </c>
      <c r="C3865" s="63"/>
      <c r="D3865" s="64"/>
      <c r="E3865" s="65"/>
      <c r="F3865" s="66"/>
      <c r="G3865" s="63"/>
      <c r="H3865" s="67"/>
      <c r="I3865" s="68"/>
      <c r="J3865" s="68"/>
      <c r="K3865" s="32"/>
      <c r="L3865" s="75">
        <v>3865</v>
      </c>
      <c r="M3865" s="75"/>
      <c r="N3865" s="70"/>
      <c r="O3865" s="77" t="s">
        <v>179</v>
      </c>
      <c r="P3865" s="79">
        <v>45057.79278935185</v>
      </c>
      <c r="Q3865" s="77" t="s">
        <v>4639</v>
      </c>
      <c r="R3865" s="77">
        <v>2</v>
      </c>
      <c r="S3865" s="77">
        <v>8</v>
      </c>
      <c r="T3865" s="77">
        <v>2</v>
      </c>
      <c r="U3865" s="77">
        <v>0</v>
      </c>
      <c r="V3865" s="77">
        <v>2013</v>
      </c>
      <c r="W3865" s="82" t="s">
        <v>6888</v>
      </c>
      <c r="X3865" s="80" t="str">
        <f>HYPERLINK("https://www.moneytimes.com.br/petrobras-petr4-b3-suspende-negociacao-das-acoes/")</f>
        <v>https://www.moneytimes.com.br/petrobras-petr4-b3-suspende-negociacao-das-acoes/</v>
      </c>
      <c r="Y3865" s="77" t="s">
        <v>7053</v>
      </c>
      <c r="Z3865" s="77"/>
      <c r="AA3865" s="77"/>
      <c r="AB3865" s="77"/>
      <c r="AC3865" s="82" t="s">
        <v>8255</v>
      </c>
      <c r="AD3865" s="77" t="s">
        <v>8278</v>
      </c>
      <c r="AE3865" s="80" t="str">
        <f>HYPERLINK("https://twitter.com/leiamoneytimes/status/1656736333857947673")</f>
        <v>https://twitter.com/leiamoneytimes/status/1656736333857947673</v>
      </c>
      <c r="AF3865" s="79">
        <v>45057.79278935185</v>
      </c>
      <c r="AG3865" s="85">
        <v>45057</v>
      </c>
      <c r="AH3865" s="82" t="s">
        <v>11824</v>
      </c>
      <c r="AI3865" s="77" t="b">
        <v>0</v>
      </c>
      <c r="AJ3865" s="77"/>
      <c r="AK3865" s="77"/>
      <c r="AL3865" s="77"/>
      <c r="AM3865" s="77"/>
      <c r="AN3865" s="77"/>
      <c r="AO3865" s="77"/>
      <c r="AP3865" s="77"/>
      <c r="AQ3865" s="77"/>
      <c r="AR3865" s="77"/>
      <c r="AS3865" s="77"/>
      <c r="AT3865" s="77"/>
      <c r="AU3865" s="77"/>
      <c r="AV3865" s="80" t="str">
        <f>HYPERLINK("https://pbs.twimg.com/profile_images/1559883556846977024/bXHnQFY0_normal.jpg")</f>
        <v>https://pbs.twimg.com/profile_images/1559883556846977024/bXHnQFY0_normal.jpg</v>
      </c>
      <c r="AW3865" s="82" t="s">
        <v>16949</v>
      </c>
      <c r="AX3865" s="82" t="s">
        <v>16949</v>
      </c>
      <c r="AY3865" s="77"/>
      <c r="AZ3865" s="82" t="s">
        <v>17385</v>
      </c>
      <c r="BA3865" s="82" t="s">
        <v>17385</v>
      </c>
      <c r="BB3865" s="82" t="s">
        <v>17385</v>
      </c>
      <c r="BC3865" s="82" t="s">
        <v>16949</v>
      </c>
      <c r="BD3865" s="77">
        <v>51150679</v>
      </c>
      <c r="BE3865" s="77"/>
      <c r="BF3865" s="77"/>
      <c r="BG3865" s="77"/>
      <c r="BH3865" s="77"/>
      <c r="BI3865" s="77"/>
    </row>
    <row r="3866" spans="1:61" x14ac:dyDescent="0.25">
      <c r="A3866" s="62" t="s">
        <v>605</v>
      </c>
      <c r="B3866" s="62" t="s">
        <v>605</v>
      </c>
      <c r="C3866" s="63"/>
      <c r="D3866" s="64"/>
      <c r="E3866" s="65"/>
      <c r="F3866" s="66"/>
      <c r="G3866" s="63"/>
      <c r="H3866" s="67"/>
      <c r="I3866" s="68"/>
      <c r="J3866" s="68"/>
      <c r="K3866" s="32"/>
      <c r="L3866" s="75">
        <v>3866</v>
      </c>
      <c r="M3866" s="75"/>
      <c r="N3866" s="70"/>
      <c r="O3866" s="77" t="s">
        <v>179</v>
      </c>
      <c r="P3866" s="79">
        <v>45057.628333333334</v>
      </c>
      <c r="Q3866" s="77" t="s">
        <v>4640</v>
      </c>
      <c r="R3866" s="77">
        <v>0</v>
      </c>
      <c r="S3866" s="77">
        <v>0</v>
      </c>
      <c r="T3866" s="77">
        <v>1</v>
      </c>
      <c r="U3866" s="77">
        <v>0</v>
      </c>
      <c r="V3866" s="77">
        <v>1057</v>
      </c>
      <c r="W3866" s="82" t="s">
        <v>6889</v>
      </c>
      <c r="X3866" s="80" t="str">
        <f>HYPERLINK("https://www.moneytimes.com.br/dow-e-s-pacwest-lidera-perdas-em-bancos-regionais/")</f>
        <v>https://www.moneytimes.com.br/dow-e-s-pacwest-lidera-perdas-em-bancos-regionais/</v>
      </c>
      <c r="Y3866" s="77" t="s">
        <v>7053</v>
      </c>
      <c r="Z3866" s="77"/>
      <c r="AA3866" s="77"/>
      <c r="AB3866" s="77"/>
      <c r="AC3866" s="82" t="s">
        <v>8255</v>
      </c>
      <c r="AD3866" s="77" t="s">
        <v>8278</v>
      </c>
      <c r="AE3866" s="80" t="str">
        <f>HYPERLINK("https://twitter.com/leiamoneytimes/status/1656676736665534467")</f>
        <v>https://twitter.com/leiamoneytimes/status/1656676736665534467</v>
      </c>
      <c r="AF3866" s="79">
        <v>45057.628333333334</v>
      </c>
      <c r="AG3866" s="85">
        <v>45057</v>
      </c>
      <c r="AH3866" s="82" t="s">
        <v>11825</v>
      </c>
      <c r="AI3866" s="77" t="b">
        <v>0</v>
      </c>
      <c r="AJ3866" s="77"/>
      <c r="AK3866" s="77"/>
      <c r="AL3866" s="77"/>
      <c r="AM3866" s="77"/>
      <c r="AN3866" s="77"/>
      <c r="AO3866" s="77"/>
      <c r="AP3866" s="77"/>
      <c r="AQ3866" s="77"/>
      <c r="AR3866" s="77"/>
      <c r="AS3866" s="77"/>
      <c r="AT3866" s="77"/>
      <c r="AU3866" s="77"/>
      <c r="AV3866" s="80" t="str">
        <f>HYPERLINK("https://pbs.twimg.com/profile_images/1559883556846977024/bXHnQFY0_normal.jpg")</f>
        <v>https://pbs.twimg.com/profile_images/1559883556846977024/bXHnQFY0_normal.jpg</v>
      </c>
      <c r="AW3866" s="82" t="s">
        <v>16950</v>
      </c>
      <c r="AX3866" s="82" t="s">
        <v>16950</v>
      </c>
      <c r="AY3866" s="77"/>
      <c r="AZ3866" s="82" t="s">
        <v>17385</v>
      </c>
      <c r="BA3866" s="82" t="s">
        <v>17385</v>
      </c>
      <c r="BB3866" s="82" t="s">
        <v>17385</v>
      </c>
      <c r="BC3866" s="82" t="s">
        <v>16950</v>
      </c>
      <c r="BD3866" s="77">
        <v>51150679</v>
      </c>
      <c r="BE3866" s="77"/>
      <c r="BF3866" s="77"/>
      <c r="BG3866" s="77"/>
      <c r="BH3866" s="77"/>
      <c r="BI3866" s="77"/>
    </row>
    <row r="3867" spans="1:61" x14ac:dyDescent="0.25">
      <c r="A3867" s="62" t="s">
        <v>605</v>
      </c>
      <c r="B3867" s="62" t="s">
        <v>605</v>
      </c>
      <c r="C3867" s="63"/>
      <c r="D3867" s="64"/>
      <c r="E3867" s="65"/>
      <c r="F3867" s="66"/>
      <c r="G3867" s="63"/>
      <c r="H3867" s="67"/>
      <c r="I3867" s="68"/>
      <c r="J3867" s="68"/>
      <c r="K3867" s="32"/>
      <c r="L3867" s="75">
        <v>3867</v>
      </c>
      <c r="M3867" s="75"/>
      <c r="N3867" s="70"/>
      <c r="O3867" s="77" t="s">
        <v>179</v>
      </c>
      <c r="P3867" s="79">
        <v>45057.626574074071</v>
      </c>
      <c r="Q3867" s="77" t="s">
        <v>4641</v>
      </c>
      <c r="R3867" s="77">
        <v>0</v>
      </c>
      <c r="S3867" s="77">
        <v>1</v>
      </c>
      <c r="T3867" s="77">
        <v>1</v>
      </c>
      <c r="U3867" s="77">
        <v>0</v>
      </c>
      <c r="V3867" s="77">
        <v>1031</v>
      </c>
      <c r="W3867" s="82" t="s">
        <v>6559</v>
      </c>
      <c r="X3867" s="80" t="str">
        <f>HYPERLINK("https://www.moneytimes.com.br/gringos-compram-r-1-bi-em-acoes-na-b3-em-3-dias-e-reduzem-deficit-no-mes/")</f>
        <v>https://www.moneytimes.com.br/gringos-compram-r-1-bi-em-acoes-na-b3-em-3-dias-e-reduzem-deficit-no-mes/</v>
      </c>
      <c r="Y3867" s="77" t="s">
        <v>7053</v>
      </c>
      <c r="Z3867" s="77"/>
      <c r="AA3867" s="77"/>
      <c r="AB3867" s="77"/>
      <c r="AC3867" s="82" t="s">
        <v>8255</v>
      </c>
      <c r="AD3867" s="77" t="s">
        <v>8278</v>
      </c>
      <c r="AE3867" s="80" t="str">
        <f>HYPERLINK("https://twitter.com/leiamoneytimes/status/1656676099869528066")</f>
        <v>https://twitter.com/leiamoneytimes/status/1656676099869528066</v>
      </c>
      <c r="AF3867" s="79">
        <v>45057.626574074071</v>
      </c>
      <c r="AG3867" s="85">
        <v>45057</v>
      </c>
      <c r="AH3867" s="82" t="s">
        <v>11826</v>
      </c>
      <c r="AI3867" s="77" t="b">
        <v>0</v>
      </c>
      <c r="AJ3867" s="77"/>
      <c r="AK3867" s="77"/>
      <c r="AL3867" s="77"/>
      <c r="AM3867" s="77"/>
      <c r="AN3867" s="77"/>
      <c r="AO3867" s="77"/>
      <c r="AP3867" s="77"/>
      <c r="AQ3867" s="77"/>
      <c r="AR3867" s="77"/>
      <c r="AS3867" s="77"/>
      <c r="AT3867" s="77"/>
      <c r="AU3867" s="77"/>
      <c r="AV3867" s="80" t="str">
        <f>HYPERLINK("https://pbs.twimg.com/profile_images/1559883556846977024/bXHnQFY0_normal.jpg")</f>
        <v>https://pbs.twimg.com/profile_images/1559883556846977024/bXHnQFY0_normal.jpg</v>
      </c>
      <c r="AW3867" s="82" t="s">
        <v>16951</v>
      </c>
      <c r="AX3867" s="82" t="s">
        <v>16951</v>
      </c>
      <c r="AY3867" s="77"/>
      <c r="AZ3867" s="82" t="s">
        <v>17385</v>
      </c>
      <c r="BA3867" s="82" t="s">
        <v>17385</v>
      </c>
      <c r="BB3867" s="82" t="s">
        <v>17385</v>
      </c>
      <c r="BC3867" s="82" t="s">
        <v>16951</v>
      </c>
      <c r="BD3867" s="77">
        <v>51150679</v>
      </c>
      <c r="BE3867" s="77"/>
      <c r="BF3867" s="77"/>
      <c r="BG3867" s="77"/>
      <c r="BH3867" s="77"/>
      <c r="BI3867" s="77"/>
    </row>
    <row r="3868" spans="1:61" x14ac:dyDescent="0.25">
      <c r="A3868" s="62" t="s">
        <v>605</v>
      </c>
      <c r="B3868" s="62" t="s">
        <v>605</v>
      </c>
      <c r="C3868" s="63"/>
      <c r="D3868" s="64"/>
      <c r="E3868" s="65"/>
      <c r="F3868" s="66"/>
      <c r="G3868" s="63"/>
      <c r="H3868" s="67"/>
      <c r="I3868" s="68"/>
      <c r="J3868" s="68"/>
      <c r="K3868" s="32"/>
      <c r="L3868" s="75">
        <v>3868</v>
      </c>
      <c r="M3868" s="75"/>
      <c r="N3868" s="70"/>
      <c r="O3868" s="77" t="s">
        <v>179</v>
      </c>
      <c r="P3868" s="79">
        <v>45057.619618055556</v>
      </c>
      <c r="Q3868" s="77" t="s">
        <v>4642</v>
      </c>
      <c r="R3868" s="77">
        <v>0</v>
      </c>
      <c r="S3868" s="77">
        <v>0</v>
      </c>
      <c r="T3868" s="77">
        <v>1</v>
      </c>
      <c r="U3868" s="77">
        <v>0</v>
      </c>
      <c r="V3868" s="77">
        <v>1038</v>
      </c>
      <c r="W3868" s="82" t="s">
        <v>6760</v>
      </c>
      <c r="X3868" s="80" t="str">
        <f>HYPERLINK("https://www.moneytimes.com.br/ibovespa-por-que-petrobras-petr4-e-vale-vale3-recuam-nesta-quinta-11/")</f>
        <v>https://www.moneytimes.com.br/ibovespa-por-que-petrobras-petr4-e-vale-vale3-recuam-nesta-quinta-11/</v>
      </c>
      <c r="Y3868" s="77" t="s">
        <v>7053</v>
      </c>
      <c r="Z3868" s="77"/>
      <c r="AA3868" s="77"/>
      <c r="AB3868" s="77"/>
      <c r="AC3868" s="82" t="s">
        <v>8255</v>
      </c>
      <c r="AD3868" s="77" t="s">
        <v>8281</v>
      </c>
      <c r="AE3868" s="80" t="str">
        <f>HYPERLINK("https://twitter.com/leiamoneytimes/status/1656673578203648004")</f>
        <v>https://twitter.com/leiamoneytimes/status/1656673578203648004</v>
      </c>
      <c r="AF3868" s="79">
        <v>45057.619618055556</v>
      </c>
      <c r="AG3868" s="85">
        <v>45057</v>
      </c>
      <c r="AH3868" s="82" t="s">
        <v>11827</v>
      </c>
      <c r="AI3868" s="77" t="b">
        <v>0</v>
      </c>
      <c r="AJ3868" s="77"/>
      <c r="AK3868" s="77"/>
      <c r="AL3868" s="77"/>
      <c r="AM3868" s="77"/>
      <c r="AN3868" s="77"/>
      <c r="AO3868" s="77"/>
      <c r="AP3868" s="77"/>
      <c r="AQ3868" s="77"/>
      <c r="AR3868" s="77"/>
      <c r="AS3868" s="77"/>
      <c r="AT3868" s="77"/>
      <c r="AU3868" s="77"/>
      <c r="AV3868" s="80" t="str">
        <f>HYPERLINK("https://pbs.twimg.com/profile_images/1559883556846977024/bXHnQFY0_normal.jpg")</f>
        <v>https://pbs.twimg.com/profile_images/1559883556846977024/bXHnQFY0_normal.jpg</v>
      </c>
      <c r="AW3868" s="82" t="s">
        <v>16952</v>
      </c>
      <c r="AX3868" s="82" t="s">
        <v>16952</v>
      </c>
      <c r="AY3868" s="77"/>
      <c r="AZ3868" s="82" t="s">
        <v>17385</v>
      </c>
      <c r="BA3868" s="82" t="s">
        <v>17385</v>
      </c>
      <c r="BB3868" s="82" t="s">
        <v>17385</v>
      </c>
      <c r="BC3868" s="82" t="s">
        <v>16952</v>
      </c>
      <c r="BD3868" s="77">
        <v>51150679</v>
      </c>
      <c r="BE3868" s="77"/>
      <c r="BF3868" s="77"/>
      <c r="BG3868" s="77"/>
      <c r="BH3868" s="77"/>
      <c r="BI3868" s="77"/>
    </row>
    <row r="3869" spans="1:61" x14ac:dyDescent="0.25">
      <c r="A3869" s="62" t="s">
        <v>605</v>
      </c>
      <c r="B3869" s="62" t="s">
        <v>605</v>
      </c>
      <c r="C3869" s="63"/>
      <c r="D3869" s="64"/>
      <c r="E3869" s="65"/>
      <c r="F3869" s="66"/>
      <c r="G3869" s="63"/>
      <c r="H3869" s="67"/>
      <c r="I3869" s="68"/>
      <c r="J3869" s="68"/>
      <c r="K3869" s="32"/>
      <c r="L3869" s="75">
        <v>3869</v>
      </c>
      <c r="M3869" s="75"/>
      <c r="N3869" s="70"/>
      <c r="O3869" s="77" t="s">
        <v>179</v>
      </c>
      <c r="P3869" s="79">
        <v>45057.595914351848</v>
      </c>
      <c r="Q3869" s="77" t="s">
        <v>4643</v>
      </c>
      <c r="R3869" s="77">
        <v>0</v>
      </c>
      <c r="S3869" s="77">
        <v>2</v>
      </c>
      <c r="T3869" s="77">
        <v>1</v>
      </c>
      <c r="U3869" s="77">
        <v>0</v>
      </c>
      <c r="V3869" s="77">
        <v>1044</v>
      </c>
      <c r="W3869" s="82" t="s">
        <v>6551</v>
      </c>
      <c r="X3869" s="80" t="str">
        <f>HYPERLINK("https://www.moneytimes.com.br/magazine-luiza-mglu3-fecha-acordo-de-r-1-bilhao-com-seguradora-cardif-acoes-sobem/")</f>
        <v>https://www.moneytimes.com.br/magazine-luiza-mglu3-fecha-acordo-de-r-1-bilhao-com-seguradora-cardif-acoes-sobem/</v>
      </c>
      <c r="Y3869" s="77" t="s">
        <v>7053</v>
      </c>
      <c r="Z3869" s="77"/>
      <c r="AA3869" s="77"/>
      <c r="AB3869" s="77"/>
      <c r="AC3869" s="82" t="s">
        <v>8255</v>
      </c>
      <c r="AD3869" s="77" t="s">
        <v>8278</v>
      </c>
      <c r="AE3869" s="80" t="str">
        <f>HYPERLINK("https://twitter.com/leiamoneytimes/status/1656664989208559616")</f>
        <v>https://twitter.com/leiamoneytimes/status/1656664989208559616</v>
      </c>
      <c r="AF3869" s="79">
        <v>45057.595914351848</v>
      </c>
      <c r="AG3869" s="85">
        <v>45057</v>
      </c>
      <c r="AH3869" s="82" t="s">
        <v>11828</v>
      </c>
      <c r="AI3869" s="77" t="b">
        <v>0</v>
      </c>
      <c r="AJ3869" s="77"/>
      <c r="AK3869" s="77"/>
      <c r="AL3869" s="77"/>
      <c r="AM3869" s="77"/>
      <c r="AN3869" s="77"/>
      <c r="AO3869" s="77"/>
      <c r="AP3869" s="77"/>
      <c r="AQ3869" s="77"/>
      <c r="AR3869" s="77"/>
      <c r="AS3869" s="77"/>
      <c r="AT3869" s="77"/>
      <c r="AU3869" s="77"/>
      <c r="AV3869" s="80" t="str">
        <f>HYPERLINK("https://pbs.twimg.com/profile_images/1559883556846977024/bXHnQFY0_normal.jpg")</f>
        <v>https://pbs.twimg.com/profile_images/1559883556846977024/bXHnQFY0_normal.jpg</v>
      </c>
      <c r="AW3869" s="82" t="s">
        <v>16953</v>
      </c>
      <c r="AX3869" s="82" t="s">
        <v>16953</v>
      </c>
      <c r="AY3869" s="77"/>
      <c r="AZ3869" s="82" t="s">
        <v>17385</v>
      </c>
      <c r="BA3869" s="82" t="s">
        <v>17385</v>
      </c>
      <c r="BB3869" s="82" t="s">
        <v>17385</v>
      </c>
      <c r="BC3869" s="82" t="s">
        <v>16953</v>
      </c>
      <c r="BD3869" s="77">
        <v>51150679</v>
      </c>
      <c r="BE3869" s="77"/>
      <c r="BF3869" s="77"/>
      <c r="BG3869" s="77"/>
      <c r="BH3869" s="77"/>
      <c r="BI3869" s="77"/>
    </row>
    <row r="3870" spans="1:61" x14ac:dyDescent="0.25">
      <c r="A3870" s="62" t="s">
        <v>605</v>
      </c>
      <c r="B3870" s="62" t="s">
        <v>605</v>
      </c>
      <c r="C3870" s="63"/>
      <c r="D3870" s="64"/>
      <c r="E3870" s="65"/>
      <c r="F3870" s="66"/>
      <c r="G3870" s="63"/>
      <c r="H3870" s="67"/>
      <c r="I3870" s="68"/>
      <c r="J3870" s="68"/>
      <c r="K3870" s="32"/>
      <c r="L3870" s="75">
        <v>3870</v>
      </c>
      <c r="M3870" s="75"/>
      <c r="N3870" s="70"/>
      <c r="O3870" s="77" t="s">
        <v>179</v>
      </c>
      <c r="P3870" s="79">
        <v>45057.496157407404</v>
      </c>
      <c r="Q3870" s="77" t="s">
        <v>4644</v>
      </c>
      <c r="R3870" s="77">
        <v>0</v>
      </c>
      <c r="S3870" s="77">
        <v>4</v>
      </c>
      <c r="T3870" s="77">
        <v>1</v>
      </c>
      <c r="U3870" s="77">
        <v>0</v>
      </c>
      <c r="V3870" s="77">
        <v>1230</v>
      </c>
      <c r="W3870" s="82" t="s">
        <v>6890</v>
      </c>
      <c r="X3870" s="80" t="str">
        <f>HYPERLINK("https://www.moneytimes.com.br/novos-investimentos-da-petrobras-petr4-empresa-de-lemann-recompra-acoes-e-outros-destaques-de-quinta-11/")</f>
        <v>https://www.moneytimes.com.br/novos-investimentos-da-petrobras-petr4-empresa-de-lemann-recompra-acoes-e-outros-destaques-de-quinta-11/</v>
      </c>
      <c r="Y3870" s="77" t="s">
        <v>7053</v>
      </c>
      <c r="Z3870" s="77"/>
      <c r="AA3870" s="77"/>
      <c r="AB3870" s="77"/>
      <c r="AC3870" s="82" t="s">
        <v>8255</v>
      </c>
      <c r="AD3870" s="77" t="s">
        <v>8278</v>
      </c>
      <c r="AE3870" s="80" t="str">
        <f>HYPERLINK("https://twitter.com/leiamoneytimes/status/1656628836941934592")</f>
        <v>https://twitter.com/leiamoneytimes/status/1656628836941934592</v>
      </c>
      <c r="AF3870" s="79">
        <v>45057.496157407404</v>
      </c>
      <c r="AG3870" s="85">
        <v>45057</v>
      </c>
      <c r="AH3870" s="82" t="s">
        <v>11829</v>
      </c>
      <c r="AI3870" s="77" t="b">
        <v>0</v>
      </c>
      <c r="AJ3870" s="77"/>
      <c r="AK3870" s="77"/>
      <c r="AL3870" s="77"/>
      <c r="AM3870" s="77"/>
      <c r="AN3870" s="77"/>
      <c r="AO3870" s="77"/>
      <c r="AP3870" s="77"/>
      <c r="AQ3870" s="77"/>
      <c r="AR3870" s="77"/>
      <c r="AS3870" s="77"/>
      <c r="AT3870" s="77"/>
      <c r="AU3870" s="77"/>
      <c r="AV3870" s="80" t="str">
        <f>HYPERLINK("https://pbs.twimg.com/profile_images/1559883556846977024/bXHnQFY0_normal.jpg")</f>
        <v>https://pbs.twimg.com/profile_images/1559883556846977024/bXHnQFY0_normal.jpg</v>
      </c>
      <c r="AW3870" s="82" t="s">
        <v>16954</v>
      </c>
      <c r="AX3870" s="82" t="s">
        <v>16954</v>
      </c>
      <c r="AY3870" s="77"/>
      <c r="AZ3870" s="82" t="s">
        <v>17385</v>
      </c>
      <c r="BA3870" s="82" t="s">
        <v>17385</v>
      </c>
      <c r="BB3870" s="82" t="s">
        <v>17385</v>
      </c>
      <c r="BC3870" s="82" t="s">
        <v>16954</v>
      </c>
      <c r="BD3870" s="77">
        <v>51150679</v>
      </c>
      <c r="BE3870" s="77"/>
      <c r="BF3870" s="77"/>
      <c r="BG3870" s="77"/>
      <c r="BH3870" s="77"/>
      <c r="BI3870" s="77"/>
    </row>
    <row r="3871" spans="1:61" x14ac:dyDescent="0.25">
      <c r="A3871" s="62" t="s">
        <v>605</v>
      </c>
      <c r="B3871" s="62" t="s">
        <v>605</v>
      </c>
      <c r="C3871" s="63"/>
      <c r="D3871" s="64"/>
      <c r="E3871" s="65"/>
      <c r="F3871" s="66"/>
      <c r="G3871" s="63"/>
      <c r="H3871" s="67"/>
      <c r="I3871" s="68"/>
      <c r="J3871" s="68"/>
      <c r="K3871" s="32"/>
      <c r="L3871" s="75">
        <v>3871</v>
      </c>
      <c r="M3871" s="75"/>
      <c r="N3871" s="70"/>
      <c r="O3871" s="77" t="s">
        <v>179</v>
      </c>
      <c r="P3871" s="79">
        <v>45056.806747685187</v>
      </c>
      <c r="Q3871" s="77" t="s">
        <v>4645</v>
      </c>
      <c r="R3871" s="77">
        <v>1</v>
      </c>
      <c r="S3871" s="77">
        <v>3</v>
      </c>
      <c r="T3871" s="77">
        <v>1</v>
      </c>
      <c r="U3871" s="77">
        <v>0</v>
      </c>
      <c r="V3871" s="77">
        <v>1230</v>
      </c>
      <c r="W3871" s="82" t="s">
        <v>6580</v>
      </c>
      <c r="X3871" s="80" t="str">
        <f>HYPERLINK("https://www.moneytimes.com.br/dividendos-x-recompras-empresas-quase-igualam-valores-e-afetam-remuneracao-do-acionista-entenda/")</f>
        <v>https://www.moneytimes.com.br/dividendos-x-recompras-empresas-quase-igualam-valores-e-afetam-remuneracao-do-acionista-entenda/</v>
      </c>
      <c r="Y3871" s="77" t="s">
        <v>7053</v>
      </c>
      <c r="Z3871" s="77"/>
      <c r="AA3871" s="77"/>
      <c r="AB3871" s="77"/>
      <c r="AC3871" s="82" t="s">
        <v>8255</v>
      </c>
      <c r="AD3871" s="77" t="s">
        <v>8278</v>
      </c>
      <c r="AE3871" s="80" t="str">
        <f>HYPERLINK("https://twitter.com/leiamoneytimes/status/1656379006764064770")</f>
        <v>https://twitter.com/leiamoneytimes/status/1656379006764064770</v>
      </c>
      <c r="AF3871" s="79">
        <v>45056.806747685187</v>
      </c>
      <c r="AG3871" s="85">
        <v>45056</v>
      </c>
      <c r="AH3871" s="82" t="s">
        <v>11830</v>
      </c>
      <c r="AI3871" s="77" t="b">
        <v>0</v>
      </c>
      <c r="AJ3871" s="77"/>
      <c r="AK3871" s="77"/>
      <c r="AL3871" s="77"/>
      <c r="AM3871" s="77"/>
      <c r="AN3871" s="77"/>
      <c r="AO3871" s="77"/>
      <c r="AP3871" s="77"/>
      <c r="AQ3871" s="77"/>
      <c r="AR3871" s="77"/>
      <c r="AS3871" s="77"/>
      <c r="AT3871" s="77"/>
      <c r="AU3871" s="77"/>
      <c r="AV3871" s="80" t="str">
        <f>HYPERLINK("https://pbs.twimg.com/profile_images/1559883556846977024/bXHnQFY0_normal.jpg")</f>
        <v>https://pbs.twimg.com/profile_images/1559883556846977024/bXHnQFY0_normal.jpg</v>
      </c>
      <c r="AW3871" s="82" t="s">
        <v>16955</v>
      </c>
      <c r="AX3871" s="82" t="s">
        <v>16955</v>
      </c>
      <c r="AY3871" s="77"/>
      <c r="AZ3871" s="82" t="s">
        <v>17385</v>
      </c>
      <c r="BA3871" s="82" t="s">
        <v>17385</v>
      </c>
      <c r="BB3871" s="82" t="s">
        <v>17385</v>
      </c>
      <c r="BC3871" s="82" t="s">
        <v>16955</v>
      </c>
      <c r="BD3871" s="77">
        <v>51150679</v>
      </c>
      <c r="BE3871" s="77"/>
      <c r="BF3871" s="77"/>
      <c r="BG3871" s="77"/>
      <c r="BH3871" s="77"/>
      <c r="BI3871" s="77"/>
    </row>
    <row r="3872" spans="1:61" x14ac:dyDescent="0.25">
      <c r="A3872" s="62" t="s">
        <v>605</v>
      </c>
      <c r="B3872" s="62" t="s">
        <v>605</v>
      </c>
      <c r="C3872" s="63"/>
      <c r="D3872" s="64"/>
      <c r="E3872" s="65"/>
      <c r="F3872" s="66"/>
      <c r="G3872" s="63"/>
      <c r="H3872" s="67"/>
      <c r="I3872" s="68"/>
      <c r="J3872" s="68"/>
      <c r="K3872" s="32"/>
      <c r="L3872" s="75">
        <v>3872</v>
      </c>
      <c r="M3872" s="75"/>
      <c r="N3872" s="70"/>
      <c r="O3872" s="77" t="s">
        <v>179</v>
      </c>
      <c r="P3872" s="79">
        <v>45056.742928240739</v>
      </c>
      <c r="Q3872" s="77" t="s">
        <v>4646</v>
      </c>
      <c r="R3872" s="77">
        <v>0</v>
      </c>
      <c r="S3872" s="77">
        <v>1</v>
      </c>
      <c r="T3872" s="77">
        <v>0</v>
      </c>
      <c r="U3872" s="77">
        <v>0</v>
      </c>
      <c r="V3872" s="77">
        <v>932</v>
      </c>
      <c r="W3872" s="82" t="s">
        <v>6891</v>
      </c>
      <c r="X3872" s="80" t="str">
        <f>HYPERLINK("https://www.moneytimes.com.br/fundo-dos-emirados-arabes-aposta-bilhoes-contra-acoes-dos-eua/")</f>
        <v>https://www.moneytimes.com.br/fundo-dos-emirados-arabes-aposta-bilhoes-contra-acoes-dos-eua/</v>
      </c>
      <c r="Y3872" s="77" t="s">
        <v>7053</v>
      </c>
      <c r="Z3872" s="77"/>
      <c r="AA3872" s="77"/>
      <c r="AB3872" s="77"/>
      <c r="AC3872" s="82" t="s">
        <v>8255</v>
      </c>
      <c r="AD3872" s="77" t="s">
        <v>8278</v>
      </c>
      <c r="AE3872" s="80" t="str">
        <f>HYPERLINK("https://twitter.com/leiamoneytimes/status/1656355878373670912")</f>
        <v>https://twitter.com/leiamoneytimes/status/1656355878373670912</v>
      </c>
      <c r="AF3872" s="79">
        <v>45056.742928240739</v>
      </c>
      <c r="AG3872" s="85">
        <v>45056</v>
      </c>
      <c r="AH3872" s="82" t="s">
        <v>11831</v>
      </c>
      <c r="AI3872" s="77" t="b">
        <v>0</v>
      </c>
      <c r="AJ3872" s="77"/>
      <c r="AK3872" s="77"/>
      <c r="AL3872" s="77"/>
      <c r="AM3872" s="77"/>
      <c r="AN3872" s="77"/>
      <c r="AO3872" s="77"/>
      <c r="AP3872" s="77"/>
      <c r="AQ3872" s="77"/>
      <c r="AR3872" s="77"/>
      <c r="AS3872" s="77"/>
      <c r="AT3872" s="77"/>
      <c r="AU3872" s="77"/>
      <c r="AV3872" s="80" t="str">
        <f>HYPERLINK("https://pbs.twimg.com/profile_images/1559883556846977024/bXHnQFY0_normal.jpg")</f>
        <v>https://pbs.twimg.com/profile_images/1559883556846977024/bXHnQFY0_normal.jpg</v>
      </c>
      <c r="AW3872" s="82" t="s">
        <v>16956</v>
      </c>
      <c r="AX3872" s="82" t="s">
        <v>16956</v>
      </c>
      <c r="AY3872" s="77"/>
      <c r="AZ3872" s="82" t="s">
        <v>17385</v>
      </c>
      <c r="BA3872" s="82" t="s">
        <v>17385</v>
      </c>
      <c r="BB3872" s="82" t="s">
        <v>17385</v>
      </c>
      <c r="BC3872" s="82" t="s">
        <v>16956</v>
      </c>
      <c r="BD3872" s="77">
        <v>51150679</v>
      </c>
      <c r="BE3872" s="77"/>
      <c r="BF3872" s="77"/>
      <c r="BG3872" s="77"/>
      <c r="BH3872" s="77"/>
      <c r="BI3872" s="77"/>
    </row>
    <row r="3873" spans="1:61" x14ac:dyDescent="0.25">
      <c r="A3873" s="62" t="s">
        <v>605</v>
      </c>
      <c r="B3873" s="62" t="s">
        <v>605</v>
      </c>
      <c r="C3873" s="63"/>
      <c r="D3873" s="64"/>
      <c r="E3873" s="65"/>
      <c r="F3873" s="66"/>
      <c r="G3873" s="63"/>
      <c r="H3873" s="67"/>
      <c r="I3873" s="68"/>
      <c r="J3873" s="68"/>
      <c r="K3873" s="32"/>
      <c r="L3873" s="75">
        <v>3873</v>
      </c>
      <c r="M3873" s="75"/>
      <c r="N3873" s="70"/>
      <c r="O3873" s="77" t="s">
        <v>179</v>
      </c>
      <c r="P3873" s="79">
        <v>45056.728379629632</v>
      </c>
      <c r="Q3873" s="77" t="s">
        <v>4647</v>
      </c>
      <c r="R3873" s="77">
        <v>0</v>
      </c>
      <c r="S3873" s="77">
        <v>2</v>
      </c>
      <c r="T3873" s="77">
        <v>1</v>
      </c>
      <c r="U3873" s="77">
        <v>1</v>
      </c>
      <c r="V3873" s="77">
        <v>915</v>
      </c>
      <c r="W3873" s="82" t="s">
        <v>6892</v>
      </c>
      <c r="X3873" s="80" t="str">
        <f>HYPERLINK("https://www.moneytimes.com.br/airbnb-sofre-tombo-recorde-com-perspectiva-de-viagens-fraca/")</f>
        <v>https://www.moneytimes.com.br/airbnb-sofre-tombo-recorde-com-perspectiva-de-viagens-fraca/</v>
      </c>
      <c r="Y3873" s="77" t="s">
        <v>7053</v>
      </c>
      <c r="Z3873" s="77"/>
      <c r="AA3873" s="77"/>
      <c r="AB3873" s="77"/>
      <c r="AC3873" s="82" t="s">
        <v>8255</v>
      </c>
      <c r="AD3873" s="77" t="s">
        <v>8278</v>
      </c>
      <c r="AE3873" s="80" t="str">
        <f>HYPERLINK("https://twitter.com/leiamoneytimes/status/1656350603407130638")</f>
        <v>https://twitter.com/leiamoneytimes/status/1656350603407130638</v>
      </c>
      <c r="AF3873" s="79">
        <v>45056.728379629632</v>
      </c>
      <c r="AG3873" s="85">
        <v>45056</v>
      </c>
      <c r="AH3873" s="82" t="s">
        <v>10349</v>
      </c>
      <c r="AI3873" s="77" t="b">
        <v>0</v>
      </c>
      <c r="AJ3873" s="77"/>
      <c r="AK3873" s="77"/>
      <c r="AL3873" s="77"/>
      <c r="AM3873" s="77"/>
      <c r="AN3873" s="77"/>
      <c r="AO3873" s="77"/>
      <c r="AP3873" s="77"/>
      <c r="AQ3873" s="77"/>
      <c r="AR3873" s="77"/>
      <c r="AS3873" s="77"/>
      <c r="AT3873" s="77"/>
      <c r="AU3873" s="77"/>
      <c r="AV3873" s="80" t="str">
        <f>HYPERLINK("https://pbs.twimg.com/profile_images/1559883556846977024/bXHnQFY0_normal.jpg")</f>
        <v>https://pbs.twimg.com/profile_images/1559883556846977024/bXHnQFY0_normal.jpg</v>
      </c>
      <c r="AW3873" s="82" t="s">
        <v>16957</v>
      </c>
      <c r="AX3873" s="82" t="s">
        <v>16957</v>
      </c>
      <c r="AY3873" s="77"/>
      <c r="AZ3873" s="82" t="s">
        <v>17385</v>
      </c>
      <c r="BA3873" s="82" t="s">
        <v>17385</v>
      </c>
      <c r="BB3873" s="82" t="s">
        <v>17385</v>
      </c>
      <c r="BC3873" s="82" t="s">
        <v>16957</v>
      </c>
      <c r="BD3873" s="77">
        <v>51150679</v>
      </c>
      <c r="BE3873" s="77"/>
      <c r="BF3873" s="77"/>
      <c r="BG3873" s="77"/>
      <c r="BH3873" s="77"/>
      <c r="BI3873" s="77"/>
    </row>
    <row r="3874" spans="1:61" x14ac:dyDescent="0.25">
      <c r="A3874" s="62" t="s">
        <v>605</v>
      </c>
      <c r="B3874" s="62" t="s">
        <v>605</v>
      </c>
      <c r="C3874" s="63"/>
      <c r="D3874" s="64"/>
      <c r="E3874" s="65"/>
      <c r="F3874" s="66"/>
      <c r="G3874" s="63"/>
      <c r="H3874" s="67"/>
      <c r="I3874" s="68"/>
      <c r="J3874" s="68"/>
      <c r="K3874" s="32"/>
      <c r="L3874" s="75">
        <v>3874</v>
      </c>
      <c r="M3874" s="75"/>
      <c r="N3874" s="70"/>
      <c r="O3874" s="77" t="s">
        <v>179</v>
      </c>
      <c r="P3874" s="79">
        <v>45056.65079861111</v>
      </c>
      <c r="Q3874" s="77" t="s">
        <v>4648</v>
      </c>
      <c r="R3874" s="77">
        <v>0</v>
      </c>
      <c r="S3874" s="77">
        <v>3</v>
      </c>
      <c r="T3874" s="77">
        <v>1</v>
      </c>
      <c r="U3874" s="77">
        <v>0</v>
      </c>
      <c r="V3874" s="77">
        <v>1405</v>
      </c>
      <c r="W3874" s="82" t="s">
        <v>6893</v>
      </c>
      <c r="X3874" s="80" t="str">
        <f>HYPERLINK("https://www.moneytimes.com.br/ibovespa-por-que-mglu3-e-viia3-voltam-a-subir-vale3-recua-nesta-quarta-10/")</f>
        <v>https://www.moneytimes.com.br/ibovespa-por-que-mglu3-e-viia3-voltam-a-subir-vale3-recua-nesta-quarta-10/</v>
      </c>
      <c r="Y3874" s="77" t="s">
        <v>7053</v>
      </c>
      <c r="Z3874" s="77"/>
      <c r="AA3874" s="77"/>
      <c r="AB3874" s="77"/>
      <c r="AC3874" s="82" t="s">
        <v>8255</v>
      </c>
      <c r="AD3874" s="77" t="s">
        <v>8278</v>
      </c>
      <c r="AE3874" s="80" t="str">
        <f>HYPERLINK("https://twitter.com/leiamoneytimes/status/1656322490182823937")</f>
        <v>https://twitter.com/leiamoneytimes/status/1656322490182823937</v>
      </c>
      <c r="AF3874" s="79">
        <v>45056.65079861111</v>
      </c>
      <c r="AG3874" s="85">
        <v>45056</v>
      </c>
      <c r="AH3874" s="82" t="s">
        <v>11832</v>
      </c>
      <c r="AI3874" s="77" t="b">
        <v>0</v>
      </c>
      <c r="AJ3874" s="77"/>
      <c r="AK3874" s="77"/>
      <c r="AL3874" s="77"/>
      <c r="AM3874" s="77"/>
      <c r="AN3874" s="77"/>
      <c r="AO3874" s="77"/>
      <c r="AP3874" s="77"/>
      <c r="AQ3874" s="77"/>
      <c r="AR3874" s="77"/>
      <c r="AS3874" s="77"/>
      <c r="AT3874" s="77"/>
      <c r="AU3874" s="77"/>
      <c r="AV3874" s="80" t="str">
        <f>HYPERLINK("https://pbs.twimg.com/profile_images/1559883556846977024/bXHnQFY0_normal.jpg")</f>
        <v>https://pbs.twimg.com/profile_images/1559883556846977024/bXHnQFY0_normal.jpg</v>
      </c>
      <c r="AW3874" s="82" t="s">
        <v>16958</v>
      </c>
      <c r="AX3874" s="82" t="s">
        <v>16958</v>
      </c>
      <c r="AY3874" s="77"/>
      <c r="AZ3874" s="82" t="s">
        <v>17385</v>
      </c>
      <c r="BA3874" s="82" t="s">
        <v>17385</v>
      </c>
      <c r="BB3874" s="82" t="s">
        <v>17385</v>
      </c>
      <c r="BC3874" s="82" t="s">
        <v>16958</v>
      </c>
      <c r="BD3874" s="77">
        <v>51150679</v>
      </c>
      <c r="BE3874" s="77"/>
      <c r="BF3874" s="77"/>
      <c r="BG3874" s="77"/>
      <c r="BH3874" s="77"/>
      <c r="BI3874" s="77"/>
    </row>
    <row r="3875" spans="1:61" x14ac:dyDescent="0.25">
      <c r="A3875" s="62" t="s">
        <v>605</v>
      </c>
      <c r="B3875" s="62" t="s">
        <v>605</v>
      </c>
      <c r="C3875" s="63"/>
      <c r="D3875" s="64"/>
      <c r="E3875" s="65"/>
      <c r="F3875" s="66"/>
      <c r="G3875" s="63"/>
      <c r="H3875" s="67"/>
      <c r="I3875" s="68"/>
      <c r="J3875" s="68"/>
      <c r="K3875" s="32"/>
      <c r="L3875" s="75">
        <v>3875</v>
      </c>
      <c r="M3875" s="75"/>
      <c r="N3875" s="70"/>
      <c r="O3875" s="77" t="s">
        <v>179</v>
      </c>
      <c r="P3875" s="79">
        <v>45056.499085648145</v>
      </c>
      <c r="Q3875" s="77" t="s">
        <v>4649</v>
      </c>
      <c r="R3875" s="77">
        <v>0</v>
      </c>
      <c r="S3875" s="77">
        <v>2</v>
      </c>
      <c r="T3875" s="77">
        <v>2</v>
      </c>
      <c r="U3875" s="77">
        <v>0</v>
      </c>
      <c r="V3875" s="77">
        <v>959</v>
      </c>
      <c r="W3875" s="82" t="s">
        <v>6765</v>
      </c>
      <c r="X3875" s="80" t="str">
        <f>HYPERLINK("https://www.moneytimes.com.br/braskem-brkm5-abre-o-jogo-e-confirma-interessado-na-aquisicao-confira/")</f>
        <v>https://www.moneytimes.com.br/braskem-brkm5-abre-o-jogo-e-confirma-interessado-na-aquisicao-confira/</v>
      </c>
      <c r="Y3875" s="77" t="s">
        <v>7053</v>
      </c>
      <c r="Z3875" s="77"/>
      <c r="AA3875" s="77"/>
      <c r="AB3875" s="77"/>
      <c r="AC3875" s="82" t="s">
        <v>8255</v>
      </c>
      <c r="AD3875" s="77" t="s">
        <v>8278</v>
      </c>
      <c r="AE3875" s="80" t="str">
        <f>HYPERLINK("https://twitter.com/leiamoneytimes/status/1656267512642777089")</f>
        <v>https://twitter.com/leiamoneytimes/status/1656267512642777089</v>
      </c>
      <c r="AF3875" s="79">
        <v>45056.499085648145</v>
      </c>
      <c r="AG3875" s="85">
        <v>45056</v>
      </c>
      <c r="AH3875" s="82" t="s">
        <v>11833</v>
      </c>
      <c r="AI3875" s="77" t="b">
        <v>0</v>
      </c>
      <c r="AJ3875" s="77"/>
      <c r="AK3875" s="77"/>
      <c r="AL3875" s="77"/>
      <c r="AM3875" s="77"/>
      <c r="AN3875" s="77"/>
      <c r="AO3875" s="77"/>
      <c r="AP3875" s="77"/>
      <c r="AQ3875" s="77"/>
      <c r="AR3875" s="77"/>
      <c r="AS3875" s="77"/>
      <c r="AT3875" s="77"/>
      <c r="AU3875" s="77"/>
      <c r="AV3875" s="80" t="str">
        <f>HYPERLINK("https://pbs.twimg.com/profile_images/1559883556846977024/bXHnQFY0_normal.jpg")</f>
        <v>https://pbs.twimg.com/profile_images/1559883556846977024/bXHnQFY0_normal.jpg</v>
      </c>
      <c r="AW3875" s="82" t="s">
        <v>16959</v>
      </c>
      <c r="AX3875" s="82" t="s">
        <v>16959</v>
      </c>
      <c r="AY3875" s="77"/>
      <c r="AZ3875" s="82" t="s">
        <v>17385</v>
      </c>
      <c r="BA3875" s="82" t="s">
        <v>17385</v>
      </c>
      <c r="BB3875" s="82" t="s">
        <v>17385</v>
      </c>
      <c r="BC3875" s="82" t="s">
        <v>16959</v>
      </c>
      <c r="BD3875" s="77">
        <v>51150679</v>
      </c>
      <c r="BE3875" s="77"/>
      <c r="BF3875" s="77"/>
      <c r="BG3875" s="77"/>
      <c r="BH3875" s="77"/>
      <c r="BI3875" s="77"/>
    </row>
    <row r="3876" spans="1:61" x14ac:dyDescent="0.25">
      <c r="A3876" s="62" t="s">
        <v>605</v>
      </c>
      <c r="B3876" s="62" t="s">
        <v>605</v>
      </c>
      <c r="C3876" s="63"/>
      <c r="D3876" s="64"/>
      <c r="E3876" s="65"/>
      <c r="F3876" s="66"/>
      <c r="G3876" s="63"/>
      <c r="H3876" s="67"/>
      <c r="I3876" s="68"/>
      <c r="J3876" s="68"/>
      <c r="K3876" s="32"/>
      <c r="L3876" s="75">
        <v>3876</v>
      </c>
      <c r="M3876" s="75"/>
      <c r="N3876" s="70"/>
      <c r="O3876" s="77" t="s">
        <v>179</v>
      </c>
      <c r="P3876" s="79">
        <v>45055.853437500002</v>
      </c>
      <c r="Q3876" s="77" t="s">
        <v>4650</v>
      </c>
      <c r="R3876" s="77">
        <v>1</v>
      </c>
      <c r="S3876" s="77">
        <v>12</v>
      </c>
      <c r="T3876" s="77">
        <v>2</v>
      </c>
      <c r="U3876" s="77">
        <v>1</v>
      </c>
      <c r="V3876" s="77">
        <v>2703</v>
      </c>
      <c r="W3876" s="82" t="s">
        <v>5539</v>
      </c>
      <c r="X3876" s="80" t="str">
        <f>HYPERLINK("https://www.moneytimes.com.br/a-fala-da-ministra-de-lula-que-fez-o-ibovespa-disparar-e-levou-mglu3-e-viia3-juntos/")</f>
        <v>https://www.moneytimes.com.br/a-fala-da-ministra-de-lula-que-fez-o-ibovespa-disparar-e-levou-mglu3-e-viia3-juntos/</v>
      </c>
      <c r="Y3876" s="77" t="s">
        <v>7053</v>
      </c>
      <c r="Z3876" s="77"/>
      <c r="AA3876" s="77"/>
      <c r="AB3876" s="77"/>
      <c r="AC3876" s="82" t="s">
        <v>8255</v>
      </c>
      <c r="AD3876" s="77" t="s">
        <v>8278</v>
      </c>
      <c r="AE3876" s="80" t="str">
        <f>HYPERLINK("https://twitter.com/leiamoneytimes/status/1656033535394807809")</f>
        <v>https://twitter.com/leiamoneytimes/status/1656033535394807809</v>
      </c>
      <c r="AF3876" s="79">
        <v>45055.853437500002</v>
      </c>
      <c r="AG3876" s="85">
        <v>45055</v>
      </c>
      <c r="AH3876" s="82" t="s">
        <v>11834</v>
      </c>
      <c r="AI3876" s="77" t="b">
        <v>0</v>
      </c>
      <c r="AJ3876" s="77"/>
      <c r="AK3876" s="77"/>
      <c r="AL3876" s="77"/>
      <c r="AM3876" s="77"/>
      <c r="AN3876" s="77"/>
      <c r="AO3876" s="77"/>
      <c r="AP3876" s="77"/>
      <c r="AQ3876" s="77"/>
      <c r="AR3876" s="77"/>
      <c r="AS3876" s="77"/>
      <c r="AT3876" s="77"/>
      <c r="AU3876" s="77"/>
      <c r="AV3876" s="80" t="str">
        <f>HYPERLINK("https://pbs.twimg.com/profile_images/1559883556846977024/bXHnQFY0_normal.jpg")</f>
        <v>https://pbs.twimg.com/profile_images/1559883556846977024/bXHnQFY0_normal.jpg</v>
      </c>
      <c r="AW3876" s="82" t="s">
        <v>16960</v>
      </c>
      <c r="AX3876" s="82" t="s">
        <v>16960</v>
      </c>
      <c r="AY3876" s="77"/>
      <c r="AZ3876" s="82" t="s">
        <v>17385</v>
      </c>
      <c r="BA3876" s="82" t="s">
        <v>17385</v>
      </c>
      <c r="BB3876" s="82" t="s">
        <v>17385</v>
      </c>
      <c r="BC3876" s="82" t="s">
        <v>16960</v>
      </c>
      <c r="BD3876" s="77">
        <v>51150679</v>
      </c>
      <c r="BE3876" s="77"/>
      <c r="BF3876" s="77"/>
      <c r="BG3876" s="77"/>
      <c r="BH3876" s="77"/>
      <c r="BI3876" s="77"/>
    </row>
    <row r="3877" spans="1:61" x14ac:dyDescent="0.25">
      <c r="A3877" s="62" t="s">
        <v>605</v>
      </c>
      <c r="B3877" s="62" t="s">
        <v>605</v>
      </c>
      <c r="C3877" s="63"/>
      <c r="D3877" s="64"/>
      <c r="E3877" s="65"/>
      <c r="F3877" s="66"/>
      <c r="G3877" s="63"/>
      <c r="H3877" s="67"/>
      <c r="I3877" s="68"/>
      <c r="J3877" s="68"/>
      <c r="K3877" s="32"/>
      <c r="L3877" s="75">
        <v>3877</v>
      </c>
      <c r="M3877" s="75"/>
      <c r="N3877" s="70"/>
      <c r="O3877" s="77" t="s">
        <v>179</v>
      </c>
      <c r="P3877" s="79">
        <v>45055.811423611114</v>
      </c>
      <c r="Q3877" s="77" t="s">
        <v>4651</v>
      </c>
      <c r="R3877" s="77">
        <v>0</v>
      </c>
      <c r="S3877" s="77">
        <v>1</v>
      </c>
      <c r="T3877" s="77">
        <v>1</v>
      </c>
      <c r="U3877" s="77">
        <v>0</v>
      </c>
      <c r="V3877" s="77">
        <v>1043</v>
      </c>
      <c r="W3877" s="82" t="s">
        <v>6894</v>
      </c>
      <c r="X3877" s="80" t="str">
        <f>HYPERLINK("https://www.moneytimes.com.br/pacwest-retoma-folego-apos-liderar-perdas-em-acoes-de-bancos-regionais-nos-eua/")</f>
        <v>https://www.moneytimes.com.br/pacwest-retoma-folego-apos-liderar-perdas-em-acoes-de-bancos-regionais-nos-eua/</v>
      </c>
      <c r="Y3877" s="77" t="s">
        <v>7053</v>
      </c>
      <c r="Z3877" s="77"/>
      <c r="AA3877" s="77"/>
      <c r="AB3877" s="77"/>
      <c r="AC3877" s="82" t="s">
        <v>8255</v>
      </c>
      <c r="AD3877" s="77" t="s">
        <v>8278</v>
      </c>
      <c r="AE3877" s="80" t="str">
        <f>HYPERLINK("https://twitter.com/leiamoneytimes/status/1656018311296032768")</f>
        <v>https://twitter.com/leiamoneytimes/status/1656018311296032768</v>
      </c>
      <c r="AF3877" s="79">
        <v>45055.811423611114</v>
      </c>
      <c r="AG3877" s="85">
        <v>45055</v>
      </c>
      <c r="AH3877" s="82" t="s">
        <v>11835</v>
      </c>
      <c r="AI3877" s="77" t="b">
        <v>0</v>
      </c>
      <c r="AJ3877" s="77"/>
      <c r="AK3877" s="77"/>
      <c r="AL3877" s="77"/>
      <c r="AM3877" s="77"/>
      <c r="AN3877" s="77"/>
      <c r="AO3877" s="77"/>
      <c r="AP3877" s="77"/>
      <c r="AQ3877" s="77"/>
      <c r="AR3877" s="77"/>
      <c r="AS3877" s="77"/>
      <c r="AT3877" s="77"/>
      <c r="AU3877" s="77"/>
      <c r="AV3877" s="80" t="str">
        <f>HYPERLINK("https://pbs.twimg.com/profile_images/1559883556846977024/bXHnQFY0_normal.jpg")</f>
        <v>https://pbs.twimg.com/profile_images/1559883556846977024/bXHnQFY0_normal.jpg</v>
      </c>
      <c r="AW3877" s="82" t="s">
        <v>16961</v>
      </c>
      <c r="AX3877" s="82" t="s">
        <v>16961</v>
      </c>
      <c r="AY3877" s="77"/>
      <c r="AZ3877" s="82" t="s">
        <v>17385</v>
      </c>
      <c r="BA3877" s="82" t="s">
        <v>17385</v>
      </c>
      <c r="BB3877" s="82" t="s">
        <v>17385</v>
      </c>
      <c r="BC3877" s="82" t="s">
        <v>16961</v>
      </c>
      <c r="BD3877" s="77">
        <v>51150679</v>
      </c>
      <c r="BE3877" s="77"/>
      <c r="BF3877" s="77"/>
      <c r="BG3877" s="77"/>
      <c r="BH3877" s="77"/>
      <c r="BI3877" s="77"/>
    </row>
    <row r="3878" spans="1:61" x14ac:dyDescent="0.25">
      <c r="A3878" s="62" t="s">
        <v>605</v>
      </c>
      <c r="B3878" s="62" t="s">
        <v>605</v>
      </c>
      <c r="C3878" s="63"/>
      <c r="D3878" s="64"/>
      <c r="E3878" s="65"/>
      <c r="F3878" s="66"/>
      <c r="G3878" s="63"/>
      <c r="H3878" s="67"/>
      <c r="I3878" s="68"/>
      <c r="J3878" s="68"/>
      <c r="K3878" s="32"/>
      <c r="L3878" s="75">
        <v>3878</v>
      </c>
      <c r="M3878" s="75"/>
      <c r="N3878" s="70"/>
      <c r="O3878" s="77" t="s">
        <v>179</v>
      </c>
      <c r="P3878" s="79">
        <v>45055.804120370369</v>
      </c>
      <c r="Q3878" s="77" t="s">
        <v>4652</v>
      </c>
      <c r="R3878" s="77">
        <v>0</v>
      </c>
      <c r="S3878" s="77">
        <v>2</v>
      </c>
      <c r="T3878" s="77">
        <v>1</v>
      </c>
      <c r="U3878" s="77">
        <v>0</v>
      </c>
      <c r="V3878" s="77">
        <v>1001</v>
      </c>
      <c r="W3878" s="82" t="s">
        <v>5601</v>
      </c>
      <c r="X3878" s="80" t="str">
        <f>HYPERLINK("https://www.moneytimes.com.br/gringos-fazem-primeira-compra-de-acoes-na-b3-no-mes-confira-saldo-parcial-de-maio/")</f>
        <v>https://www.moneytimes.com.br/gringos-fazem-primeira-compra-de-acoes-na-b3-no-mes-confira-saldo-parcial-de-maio/</v>
      </c>
      <c r="Y3878" s="77" t="s">
        <v>7053</v>
      </c>
      <c r="Z3878" s="77"/>
      <c r="AA3878" s="77"/>
      <c r="AB3878" s="77"/>
      <c r="AC3878" s="82" t="s">
        <v>8255</v>
      </c>
      <c r="AD3878" s="77" t="s">
        <v>8278</v>
      </c>
      <c r="AE3878" s="80" t="str">
        <f>HYPERLINK("https://twitter.com/leiamoneytimes/status/1656015664472104968")</f>
        <v>https://twitter.com/leiamoneytimes/status/1656015664472104968</v>
      </c>
      <c r="AF3878" s="79">
        <v>45055.804120370369</v>
      </c>
      <c r="AG3878" s="85">
        <v>45055</v>
      </c>
      <c r="AH3878" s="82" t="s">
        <v>11836</v>
      </c>
      <c r="AI3878" s="77" t="b">
        <v>0</v>
      </c>
      <c r="AJ3878" s="77"/>
      <c r="AK3878" s="77"/>
      <c r="AL3878" s="77"/>
      <c r="AM3878" s="77"/>
      <c r="AN3878" s="77"/>
      <c r="AO3878" s="77"/>
      <c r="AP3878" s="77"/>
      <c r="AQ3878" s="77"/>
      <c r="AR3878" s="77"/>
      <c r="AS3878" s="77"/>
      <c r="AT3878" s="77"/>
      <c r="AU3878" s="77"/>
      <c r="AV3878" s="80" t="str">
        <f>HYPERLINK("https://pbs.twimg.com/profile_images/1559883556846977024/bXHnQFY0_normal.jpg")</f>
        <v>https://pbs.twimg.com/profile_images/1559883556846977024/bXHnQFY0_normal.jpg</v>
      </c>
      <c r="AW3878" s="82" t="s">
        <v>16962</v>
      </c>
      <c r="AX3878" s="82" t="s">
        <v>16962</v>
      </c>
      <c r="AY3878" s="77"/>
      <c r="AZ3878" s="82" t="s">
        <v>17385</v>
      </c>
      <c r="BA3878" s="82" t="s">
        <v>17385</v>
      </c>
      <c r="BB3878" s="82" t="s">
        <v>17385</v>
      </c>
      <c r="BC3878" s="82" t="s">
        <v>16962</v>
      </c>
      <c r="BD3878" s="77">
        <v>51150679</v>
      </c>
      <c r="BE3878" s="77"/>
      <c r="BF3878" s="77"/>
      <c r="BG3878" s="77"/>
      <c r="BH3878" s="77"/>
      <c r="BI3878" s="77"/>
    </row>
    <row r="3879" spans="1:61" x14ac:dyDescent="0.25">
      <c r="A3879" s="62" t="s">
        <v>605</v>
      </c>
      <c r="B3879" s="62" t="s">
        <v>605</v>
      </c>
      <c r="C3879" s="63"/>
      <c r="D3879" s="64"/>
      <c r="E3879" s="65"/>
      <c r="F3879" s="66"/>
      <c r="G3879" s="63"/>
      <c r="H3879" s="67"/>
      <c r="I3879" s="68"/>
      <c r="J3879" s="68"/>
      <c r="K3879" s="32"/>
      <c r="L3879" s="75">
        <v>3879</v>
      </c>
      <c r="M3879" s="75"/>
      <c r="N3879" s="70"/>
      <c r="O3879" s="77" t="s">
        <v>179</v>
      </c>
      <c r="P3879" s="79">
        <v>45055.708726851852</v>
      </c>
      <c r="Q3879" s="77" t="s">
        <v>4653</v>
      </c>
      <c r="R3879" s="77">
        <v>0</v>
      </c>
      <c r="S3879" s="77">
        <v>1</v>
      </c>
      <c r="T3879" s="77">
        <v>1</v>
      </c>
      <c r="U3879" s="77">
        <v>0</v>
      </c>
      <c r="V3879" s="77">
        <v>972</v>
      </c>
      <c r="W3879" s="82" t="s">
        <v>6569</v>
      </c>
      <c r="X3879" s="80" t="str">
        <f>HYPERLINK("https://www.moneytimes.com.br/acoes-europeias-caem-com-balancos-pessimistas-sbb-atinge-minima-em-cinco-anos/")</f>
        <v>https://www.moneytimes.com.br/acoes-europeias-caem-com-balancos-pessimistas-sbb-atinge-minima-em-cinco-anos/</v>
      </c>
      <c r="Y3879" s="77" t="s">
        <v>7053</v>
      </c>
      <c r="Z3879" s="77"/>
      <c r="AA3879" s="77"/>
      <c r="AB3879" s="77"/>
      <c r="AC3879" s="82" t="s">
        <v>8255</v>
      </c>
      <c r="AD3879" s="77" t="s">
        <v>8278</v>
      </c>
      <c r="AE3879" s="80" t="str">
        <f>HYPERLINK("https://twitter.com/leiamoneytimes/status/1655981095148453912")</f>
        <v>https://twitter.com/leiamoneytimes/status/1655981095148453912</v>
      </c>
      <c r="AF3879" s="79">
        <v>45055.708726851852</v>
      </c>
      <c r="AG3879" s="85">
        <v>45055</v>
      </c>
      <c r="AH3879" s="82" t="s">
        <v>11837</v>
      </c>
      <c r="AI3879" s="77" t="b">
        <v>0</v>
      </c>
      <c r="AJ3879" s="77"/>
      <c r="AK3879" s="77"/>
      <c r="AL3879" s="77"/>
      <c r="AM3879" s="77"/>
      <c r="AN3879" s="77"/>
      <c r="AO3879" s="77"/>
      <c r="AP3879" s="77"/>
      <c r="AQ3879" s="77"/>
      <c r="AR3879" s="77"/>
      <c r="AS3879" s="77"/>
      <c r="AT3879" s="77"/>
      <c r="AU3879" s="77"/>
      <c r="AV3879" s="80" t="str">
        <f>HYPERLINK("https://pbs.twimg.com/profile_images/1559883556846977024/bXHnQFY0_normal.jpg")</f>
        <v>https://pbs.twimg.com/profile_images/1559883556846977024/bXHnQFY0_normal.jpg</v>
      </c>
      <c r="AW3879" s="82" t="s">
        <v>16963</v>
      </c>
      <c r="AX3879" s="82" t="s">
        <v>16963</v>
      </c>
      <c r="AY3879" s="77"/>
      <c r="AZ3879" s="82" t="s">
        <v>17385</v>
      </c>
      <c r="BA3879" s="82" t="s">
        <v>17385</v>
      </c>
      <c r="BB3879" s="82" t="s">
        <v>17385</v>
      </c>
      <c r="BC3879" s="82" t="s">
        <v>16963</v>
      </c>
      <c r="BD3879" s="77">
        <v>51150679</v>
      </c>
      <c r="BE3879" s="77"/>
      <c r="BF3879" s="77"/>
      <c r="BG3879" s="77"/>
      <c r="BH3879" s="77"/>
      <c r="BI3879" s="77"/>
    </row>
    <row r="3880" spans="1:61" x14ac:dyDescent="0.25">
      <c r="A3880" s="62" t="s">
        <v>605</v>
      </c>
      <c r="B3880" s="62" t="s">
        <v>605</v>
      </c>
      <c r="C3880" s="63"/>
      <c r="D3880" s="64"/>
      <c r="E3880" s="65"/>
      <c r="F3880" s="66"/>
      <c r="G3880" s="63"/>
      <c r="H3880" s="67"/>
      <c r="I3880" s="68"/>
      <c r="J3880" s="68"/>
      <c r="K3880" s="32"/>
      <c r="L3880" s="75">
        <v>3880</v>
      </c>
      <c r="M3880" s="75"/>
      <c r="N3880" s="70"/>
      <c r="O3880" s="77" t="s">
        <v>179</v>
      </c>
      <c r="P3880" s="79">
        <v>45055.676087962966</v>
      </c>
      <c r="Q3880" s="77" t="s">
        <v>4654</v>
      </c>
      <c r="R3880" s="77">
        <v>0</v>
      </c>
      <c r="S3880" s="77">
        <v>2</v>
      </c>
      <c r="T3880" s="77">
        <v>1</v>
      </c>
      <c r="U3880" s="77">
        <v>0</v>
      </c>
      <c r="V3880" s="77">
        <v>1181</v>
      </c>
      <c r="W3880" s="82" t="s">
        <v>6551</v>
      </c>
      <c r="X3880" s="80" t="str">
        <f>HYPERLINK("https://www.moneytimes.com.br/ibovespa-mglu3-dispara-9-e-tims3-recua-45-nesta-terca-9-entenda/")</f>
        <v>https://www.moneytimes.com.br/ibovespa-mglu3-dispara-9-e-tims3-recua-45-nesta-terca-9-entenda/</v>
      </c>
      <c r="Y3880" s="77" t="s">
        <v>7053</v>
      </c>
      <c r="Z3880" s="77"/>
      <c r="AA3880" s="77"/>
      <c r="AB3880" s="77"/>
      <c r="AC3880" s="82" t="s">
        <v>8255</v>
      </c>
      <c r="AD3880" s="77" t="s">
        <v>8278</v>
      </c>
      <c r="AE3880" s="80" t="str">
        <f>HYPERLINK("https://twitter.com/leiamoneytimes/status/1655969267781599232")</f>
        <v>https://twitter.com/leiamoneytimes/status/1655969267781599232</v>
      </c>
      <c r="AF3880" s="79">
        <v>45055.676087962966</v>
      </c>
      <c r="AG3880" s="85">
        <v>45055</v>
      </c>
      <c r="AH3880" s="82" t="s">
        <v>11838</v>
      </c>
      <c r="AI3880" s="77" t="b">
        <v>0</v>
      </c>
      <c r="AJ3880" s="77"/>
      <c r="AK3880" s="77"/>
      <c r="AL3880" s="77"/>
      <c r="AM3880" s="77"/>
      <c r="AN3880" s="77"/>
      <c r="AO3880" s="77"/>
      <c r="AP3880" s="77"/>
      <c r="AQ3880" s="77"/>
      <c r="AR3880" s="77"/>
      <c r="AS3880" s="77"/>
      <c r="AT3880" s="77"/>
      <c r="AU3880" s="77"/>
      <c r="AV3880" s="80" t="str">
        <f>HYPERLINK("https://pbs.twimg.com/profile_images/1559883556846977024/bXHnQFY0_normal.jpg")</f>
        <v>https://pbs.twimg.com/profile_images/1559883556846977024/bXHnQFY0_normal.jpg</v>
      </c>
      <c r="AW3880" s="82" t="s">
        <v>16964</v>
      </c>
      <c r="AX3880" s="82" t="s">
        <v>16964</v>
      </c>
      <c r="AY3880" s="77"/>
      <c r="AZ3880" s="82" t="s">
        <v>17385</v>
      </c>
      <c r="BA3880" s="82" t="s">
        <v>17385</v>
      </c>
      <c r="BB3880" s="82" t="s">
        <v>17385</v>
      </c>
      <c r="BC3880" s="82" t="s">
        <v>16964</v>
      </c>
      <c r="BD3880" s="77">
        <v>51150679</v>
      </c>
      <c r="BE3880" s="77"/>
      <c r="BF3880" s="77"/>
      <c r="BG3880" s="77"/>
      <c r="BH3880" s="77"/>
      <c r="BI3880" s="77"/>
    </row>
    <row r="3881" spans="1:61" x14ac:dyDescent="0.25">
      <c r="A3881" s="62" t="s">
        <v>605</v>
      </c>
      <c r="B3881" s="62" t="s">
        <v>605</v>
      </c>
      <c r="C3881" s="63"/>
      <c r="D3881" s="64"/>
      <c r="E3881" s="65"/>
      <c r="F3881" s="66"/>
      <c r="G3881" s="63"/>
      <c r="H3881" s="67"/>
      <c r="I3881" s="68"/>
      <c r="J3881" s="68"/>
      <c r="K3881" s="32"/>
      <c r="L3881" s="75">
        <v>3881</v>
      </c>
      <c r="M3881" s="75"/>
      <c r="N3881" s="70"/>
      <c r="O3881" s="77" t="s">
        <v>179</v>
      </c>
      <c r="P3881" s="79">
        <v>45055.62363425926</v>
      </c>
      <c r="Q3881" s="77" t="s">
        <v>4655</v>
      </c>
      <c r="R3881" s="77">
        <v>0</v>
      </c>
      <c r="S3881" s="77">
        <v>2</v>
      </c>
      <c r="T3881" s="77">
        <v>0</v>
      </c>
      <c r="U3881" s="77">
        <v>0</v>
      </c>
      <c r="V3881" s="77">
        <v>898</v>
      </c>
      <c r="W3881" s="82" t="s">
        <v>6895</v>
      </c>
      <c r="X3881" s="80" t="str">
        <f>HYPERLINK("https://www.moneytimes.com.br/wall-street-cai-com-previsoes-fracas-de-empresas-e-a-espera-de-negociacoes-sobre-teto-da-divida-nos-eua/")</f>
        <v>https://www.moneytimes.com.br/wall-street-cai-com-previsoes-fracas-de-empresas-e-a-espera-de-negociacoes-sobre-teto-da-divida-nos-eua/</v>
      </c>
      <c r="Y3881" s="77" t="s">
        <v>7053</v>
      </c>
      <c r="Z3881" s="77"/>
      <c r="AA3881" s="77"/>
      <c r="AB3881" s="77"/>
      <c r="AC3881" s="82" t="s">
        <v>8255</v>
      </c>
      <c r="AD3881" s="77" t="s">
        <v>8278</v>
      </c>
      <c r="AE3881" s="80" t="str">
        <f>HYPERLINK("https://twitter.com/leiamoneytimes/status/1655950260081143813")</f>
        <v>https://twitter.com/leiamoneytimes/status/1655950260081143813</v>
      </c>
      <c r="AF3881" s="79">
        <v>45055.62363425926</v>
      </c>
      <c r="AG3881" s="85">
        <v>45055</v>
      </c>
      <c r="AH3881" s="82" t="s">
        <v>11839</v>
      </c>
      <c r="AI3881" s="77" t="b">
        <v>0</v>
      </c>
      <c r="AJ3881" s="77"/>
      <c r="AK3881" s="77"/>
      <c r="AL3881" s="77"/>
      <c r="AM3881" s="77"/>
      <c r="AN3881" s="77"/>
      <c r="AO3881" s="77"/>
      <c r="AP3881" s="77"/>
      <c r="AQ3881" s="77"/>
      <c r="AR3881" s="77"/>
      <c r="AS3881" s="77"/>
      <c r="AT3881" s="77"/>
      <c r="AU3881" s="77"/>
      <c r="AV3881" s="80" t="str">
        <f>HYPERLINK("https://pbs.twimg.com/profile_images/1559883556846977024/bXHnQFY0_normal.jpg")</f>
        <v>https://pbs.twimg.com/profile_images/1559883556846977024/bXHnQFY0_normal.jpg</v>
      </c>
      <c r="AW3881" s="82" t="s">
        <v>16965</v>
      </c>
      <c r="AX3881" s="82" t="s">
        <v>16965</v>
      </c>
      <c r="AY3881" s="77"/>
      <c r="AZ3881" s="82" t="s">
        <v>17385</v>
      </c>
      <c r="BA3881" s="82" t="s">
        <v>17385</v>
      </c>
      <c r="BB3881" s="82" t="s">
        <v>17385</v>
      </c>
      <c r="BC3881" s="82" t="s">
        <v>16965</v>
      </c>
      <c r="BD3881" s="77">
        <v>51150679</v>
      </c>
      <c r="BE3881" s="77"/>
      <c r="BF3881" s="77"/>
      <c r="BG3881" s="77"/>
      <c r="BH3881" s="77"/>
      <c r="BI3881" s="77"/>
    </row>
    <row r="3882" spans="1:61" x14ac:dyDescent="0.25">
      <c r="A3882" s="62" t="s">
        <v>605</v>
      </c>
      <c r="B3882" s="62" t="s">
        <v>605</v>
      </c>
      <c r="C3882" s="63"/>
      <c r="D3882" s="64"/>
      <c r="E3882" s="65"/>
      <c r="F3882" s="66"/>
      <c r="G3882" s="63"/>
      <c r="H3882" s="67"/>
      <c r="I3882" s="68"/>
      <c r="J3882" s="68"/>
      <c r="K3882" s="32"/>
      <c r="L3882" s="75">
        <v>3882</v>
      </c>
      <c r="M3882" s="75"/>
      <c r="N3882" s="70"/>
      <c r="O3882" s="77" t="s">
        <v>179</v>
      </c>
      <c r="P3882" s="79">
        <v>45055.52789351852</v>
      </c>
      <c r="Q3882" s="77" t="s">
        <v>4656</v>
      </c>
      <c r="R3882" s="77">
        <v>0</v>
      </c>
      <c r="S3882" s="77">
        <v>5</v>
      </c>
      <c r="T3882" s="77">
        <v>1</v>
      </c>
      <c r="U3882" s="77">
        <v>0</v>
      </c>
      <c r="V3882" s="77">
        <v>1061</v>
      </c>
      <c r="W3882" s="82" t="s">
        <v>6765</v>
      </c>
      <c r="X3882" s="80" t="str">
        <f>HYPERLINK("https://www.moneytimes.com.br/braskem-brkm5-abre-a-boca-sobre-potencial-venda-de-participacao/")</f>
        <v>https://www.moneytimes.com.br/braskem-brkm5-abre-a-boca-sobre-potencial-venda-de-participacao/</v>
      </c>
      <c r="Y3882" s="77" t="s">
        <v>7053</v>
      </c>
      <c r="Z3882" s="77"/>
      <c r="AA3882" s="77"/>
      <c r="AB3882" s="77"/>
      <c r="AC3882" s="82" t="s">
        <v>8255</v>
      </c>
      <c r="AD3882" s="77" t="s">
        <v>8278</v>
      </c>
      <c r="AE3882" s="80" t="str">
        <f>HYPERLINK("https://twitter.com/leiamoneytimes/status/1655915561778331648")</f>
        <v>https://twitter.com/leiamoneytimes/status/1655915561778331648</v>
      </c>
      <c r="AF3882" s="79">
        <v>45055.52789351852</v>
      </c>
      <c r="AG3882" s="85">
        <v>45055</v>
      </c>
      <c r="AH3882" s="82" t="s">
        <v>11840</v>
      </c>
      <c r="AI3882" s="77" t="b">
        <v>0</v>
      </c>
      <c r="AJ3882" s="77"/>
      <c r="AK3882" s="77"/>
      <c r="AL3882" s="77"/>
      <c r="AM3882" s="77"/>
      <c r="AN3882" s="77"/>
      <c r="AO3882" s="77"/>
      <c r="AP3882" s="77"/>
      <c r="AQ3882" s="77"/>
      <c r="AR3882" s="77"/>
      <c r="AS3882" s="77"/>
      <c r="AT3882" s="77"/>
      <c r="AU3882" s="77"/>
      <c r="AV3882" s="80" t="str">
        <f>HYPERLINK("https://pbs.twimg.com/profile_images/1559883556846977024/bXHnQFY0_normal.jpg")</f>
        <v>https://pbs.twimg.com/profile_images/1559883556846977024/bXHnQFY0_normal.jpg</v>
      </c>
      <c r="AW3882" s="82" t="s">
        <v>16966</v>
      </c>
      <c r="AX3882" s="82" t="s">
        <v>16966</v>
      </c>
      <c r="AY3882" s="77"/>
      <c r="AZ3882" s="82" t="s">
        <v>17385</v>
      </c>
      <c r="BA3882" s="82" t="s">
        <v>17385</v>
      </c>
      <c r="BB3882" s="82" t="s">
        <v>17385</v>
      </c>
      <c r="BC3882" s="82" t="s">
        <v>16966</v>
      </c>
      <c r="BD3882" s="77">
        <v>51150679</v>
      </c>
      <c r="BE3882" s="77"/>
      <c r="BF3882" s="77"/>
      <c r="BG3882" s="77"/>
      <c r="BH3882" s="77"/>
      <c r="BI3882" s="77"/>
    </row>
    <row r="3883" spans="1:61" x14ac:dyDescent="0.25">
      <c r="A3883" s="62" t="s">
        <v>605</v>
      </c>
      <c r="B3883" s="62" t="s">
        <v>605</v>
      </c>
      <c r="C3883" s="63"/>
      <c r="D3883" s="64"/>
      <c r="E3883" s="65"/>
      <c r="F3883" s="66"/>
      <c r="G3883" s="63"/>
      <c r="H3883" s="67"/>
      <c r="I3883" s="68"/>
      <c r="J3883" s="68"/>
      <c r="K3883" s="32"/>
      <c r="L3883" s="75">
        <v>3883</v>
      </c>
      <c r="M3883" s="75"/>
      <c r="N3883" s="70"/>
      <c r="O3883" s="77" t="s">
        <v>179</v>
      </c>
      <c r="P3883" s="79">
        <v>45055.475104166668</v>
      </c>
      <c r="Q3883" s="77" t="s">
        <v>4657</v>
      </c>
      <c r="R3883" s="77">
        <v>0</v>
      </c>
      <c r="S3883" s="77">
        <v>3</v>
      </c>
      <c r="T3883" s="77">
        <v>1</v>
      </c>
      <c r="U3883" s="77">
        <v>0</v>
      </c>
      <c r="V3883" s="77">
        <v>1380</v>
      </c>
      <c r="W3883" s="82" t="s">
        <v>6896</v>
      </c>
      <c r="X3883" s="80" t="str">
        <f>HYPERLINK("https://www.moneytimes.com.br/o-movimento-do-magazine-luiza-mglu3-as-descobertas-da-prio-prio3-e-outros-destaques-desta-terca-9/")</f>
        <v>https://www.moneytimes.com.br/o-movimento-do-magazine-luiza-mglu3-as-descobertas-da-prio-prio3-e-outros-destaques-desta-terca-9/</v>
      </c>
      <c r="Y3883" s="77" t="s">
        <v>7053</v>
      </c>
      <c r="Z3883" s="77"/>
      <c r="AA3883" s="77"/>
      <c r="AB3883" s="77"/>
      <c r="AC3883" s="82" t="s">
        <v>8255</v>
      </c>
      <c r="AD3883" s="77" t="s">
        <v>8278</v>
      </c>
      <c r="AE3883" s="80" t="str">
        <f>HYPERLINK("https://twitter.com/leiamoneytimes/status/1655896433306869761")</f>
        <v>https://twitter.com/leiamoneytimes/status/1655896433306869761</v>
      </c>
      <c r="AF3883" s="79">
        <v>45055.475104166668</v>
      </c>
      <c r="AG3883" s="85">
        <v>45055</v>
      </c>
      <c r="AH3883" s="82" t="s">
        <v>9467</v>
      </c>
      <c r="AI3883" s="77" t="b">
        <v>0</v>
      </c>
      <c r="AJ3883" s="77"/>
      <c r="AK3883" s="77"/>
      <c r="AL3883" s="77"/>
      <c r="AM3883" s="77"/>
      <c r="AN3883" s="77"/>
      <c r="AO3883" s="77"/>
      <c r="AP3883" s="77"/>
      <c r="AQ3883" s="77"/>
      <c r="AR3883" s="77"/>
      <c r="AS3883" s="77"/>
      <c r="AT3883" s="77"/>
      <c r="AU3883" s="77"/>
      <c r="AV3883" s="80" t="str">
        <f>HYPERLINK("https://pbs.twimg.com/profile_images/1559883556846977024/bXHnQFY0_normal.jpg")</f>
        <v>https://pbs.twimg.com/profile_images/1559883556846977024/bXHnQFY0_normal.jpg</v>
      </c>
      <c r="AW3883" s="82" t="s">
        <v>16967</v>
      </c>
      <c r="AX3883" s="82" t="s">
        <v>16967</v>
      </c>
      <c r="AY3883" s="77"/>
      <c r="AZ3883" s="82" t="s">
        <v>17385</v>
      </c>
      <c r="BA3883" s="82" t="s">
        <v>17385</v>
      </c>
      <c r="BB3883" s="82" t="s">
        <v>17385</v>
      </c>
      <c r="BC3883" s="82" t="s">
        <v>16967</v>
      </c>
      <c r="BD3883" s="77">
        <v>51150679</v>
      </c>
      <c r="BE3883" s="77"/>
      <c r="BF3883" s="77"/>
      <c r="BG3883" s="77"/>
      <c r="BH3883" s="77"/>
      <c r="BI3883" s="77"/>
    </row>
    <row r="3884" spans="1:61" x14ac:dyDescent="0.25">
      <c r="A3884" s="62" t="s">
        <v>605</v>
      </c>
      <c r="B3884" s="62" t="s">
        <v>605</v>
      </c>
      <c r="C3884" s="63"/>
      <c r="D3884" s="64"/>
      <c r="E3884" s="65"/>
      <c r="F3884" s="66"/>
      <c r="G3884" s="63"/>
      <c r="H3884" s="67"/>
      <c r="I3884" s="68"/>
      <c r="J3884" s="68"/>
      <c r="K3884" s="32"/>
      <c r="L3884" s="75">
        <v>3884</v>
      </c>
      <c r="M3884" s="75"/>
      <c r="N3884" s="70"/>
      <c r="O3884" s="77" t="s">
        <v>179</v>
      </c>
      <c r="P3884" s="79">
        <v>45197.577488425923</v>
      </c>
      <c r="Q3884" s="77" t="s">
        <v>4658</v>
      </c>
      <c r="R3884" s="77">
        <v>0</v>
      </c>
      <c r="S3884" s="77">
        <v>1</v>
      </c>
      <c r="T3884" s="77">
        <v>1</v>
      </c>
      <c r="U3884" s="77">
        <v>0</v>
      </c>
      <c r="V3884" s="77">
        <v>635</v>
      </c>
      <c r="W3884" s="82" t="s">
        <v>6729</v>
      </c>
      <c r="X3884" s="80" t="str">
        <f>HYPERLINK("https://www.moneytimes.com.br/10-acoes-para-investir-e-buscar-lucros-em-outubro-segundo-a-agora/?ttmt")</f>
        <v>https://www.moneytimes.com.br/10-acoes-para-investir-e-buscar-lucros-em-outubro-segundo-a-agora/?ttmt</v>
      </c>
      <c r="Y3884" s="77" t="s">
        <v>7053</v>
      </c>
      <c r="Z3884" s="77"/>
      <c r="AA3884" s="77"/>
      <c r="AB3884" s="77"/>
      <c r="AC3884" s="82" t="s">
        <v>8232</v>
      </c>
      <c r="AD3884" s="77" t="s">
        <v>8278</v>
      </c>
      <c r="AE3884" s="80" t="str">
        <f>HYPERLINK("https://twitter.com/leiamoneytimes/status/1707392611726630990")</f>
        <v>https://twitter.com/leiamoneytimes/status/1707392611726630990</v>
      </c>
      <c r="AF3884" s="79">
        <v>45197.577488425923</v>
      </c>
      <c r="AG3884" s="85">
        <v>45197</v>
      </c>
      <c r="AH3884" s="82" t="s">
        <v>11841</v>
      </c>
      <c r="AI3884" s="77" t="b">
        <v>0</v>
      </c>
      <c r="AJ3884" s="77"/>
      <c r="AK3884" s="77"/>
      <c r="AL3884" s="77"/>
      <c r="AM3884" s="77"/>
      <c r="AN3884" s="77"/>
      <c r="AO3884" s="77"/>
      <c r="AP3884" s="77"/>
      <c r="AQ3884" s="77"/>
      <c r="AR3884" s="77"/>
      <c r="AS3884" s="77"/>
      <c r="AT3884" s="77"/>
      <c r="AU3884" s="77"/>
      <c r="AV3884" s="80" t="str">
        <f>HYPERLINK("https://pbs.twimg.com/profile_images/1559883556846977024/bXHnQFY0_normal.jpg")</f>
        <v>https://pbs.twimg.com/profile_images/1559883556846977024/bXHnQFY0_normal.jpg</v>
      </c>
      <c r="AW3884" s="82" t="s">
        <v>16968</v>
      </c>
      <c r="AX3884" s="82" t="s">
        <v>16968</v>
      </c>
      <c r="AY3884" s="77"/>
      <c r="AZ3884" s="82" t="s">
        <v>17385</v>
      </c>
      <c r="BA3884" s="82" t="s">
        <v>17385</v>
      </c>
      <c r="BB3884" s="82" t="s">
        <v>17385</v>
      </c>
      <c r="BC3884" s="82" t="s">
        <v>16968</v>
      </c>
      <c r="BD3884" s="77">
        <v>51150679</v>
      </c>
      <c r="BE3884" s="77"/>
      <c r="BF3884" s="77"/>
      <c r="BG3884" s="77"/>
      <c r="BH3884" s="77"/>
      <c r="BI3884" s="77"/>
    </row>
    <row r="3885" spans="1:61" x14ac:dyDescent="0.25">
      <c r="A3885" s="62" t="s">
        <v>605</v>
      </c>
      <c r="B3885" s="62" t="s">
        <v>605</v>
      </c>
      <c r="C3885" s="63"/>
      <c r="D3885" s="64"/>
      <c r="E3885" s="65"/>
      <c r="F3885" s="66"/>
      <c r="G3885" s="63"/>
      <c r="H3885" s="67"/>
      <c r="I3885" s="68"/>
      <c r="J3885" s="68"/>
      <c r="K3885" s="32"/>
      <c r="L3885" s="75">
        <v>3885</v>
      </c>
      <c r="M3885" s="75"/>
      <c r="N3885" s="70"/>
      <c r="O3885" s="77" t="s">
        <v>179</v>
      </c>
      <c r="P3885" s="79">
        <v>45143.618483796294</v>
      </c>
      <c r="Q3885" s="77" t="s">
        <v>4659</v>
      </c>
      <c r="R3885" s="77">
        <v>0</v>
      </c>
      <c r="S3885" s="77">
        <v>3</v>
      </c>
      <c r="T3885" s="77">
        <v>1</v>
      </c>
      <c r="U3885" s="77">
        <v>0</v>
      </c>
      <c r="V3885" s="77">
        <v>1118</v>
      </c>
      <c r="W3885" s="82" t="s">
        <v>6897</v>
      </c>
      <c r="X3885" s="80" t="str">
        <f>HYPERLINK("https://www.moneytimes.com.br/pt-busca-cargos-no-comando-da-petrobras-petr4-e-indica-assessor-de-deputada/")</f>
        <v>https://www.moneytimes.com.br/pt-busca-cargos-no-comando-da-petrobras-petr4-e-indica-assessor-de-deputada/</v>
      </c>
      <c r="Y3885" s="77" t="s">
        <v>7053</v>
      </c>
      <c r="Z3885" s="77"/>
      <c r="AA3885" s="77"/>
      <c r="AB3885" s="77"/>
      <c r="AC3885" s="82" t="s">
        <v>8255</v>
      </c>
      <c r="AD3885" s="77" t="s">
        <v>8278</v>
      </c>
      <c r="AE3885" s="80" t="str">
        <f>HYPERLINK("https://twitter.com/leiamoneytimes/status/1687838522747609088")</f>
        <v>https://twitter.com/leiamoneytimes/status/1687838522747609088</v>
      </c>
      <c r="AF3885" s="79">
        <v>45143.618483796294</v>
      </c>
      <c r="AG3885" s="85">
        <v>45143</v>
      </c>
      <c r="AH3885" s="82" t="s">
        <v>11842</v>
      </c>
      <c r="AI3885" s="77" t="b">
        <v>0</v>
      </c>
      <c r="AJ3885" s="77"/>
      <c r="AK3885" s="77"/>
      <c r="AL3885" s="77"/>
      <c r="AM3885" s="77"/>
      <c r="AN3885" s="77"/>
      <c r="AO3885" s="77"/>
      <c r="AP3885" s="77"/>
      <c r="AQ3885" s="77"/>
      <c r="AR3885" s="77"/>
      <c r="AS3885" s="77"/>
      <c r="AT3885" s="77"/>
      <c r="AU3885" s="77"/>
      <c r="AV3885" s="80" t="str">
        <f>HYPERLINK("https://pbs.twimg.com/profile_images/1559883556846977024/bXHnQFY0_normal.jpg")</f>
        <v>https://pbs.twimg.com/profile_images/1559883556846977024/bXHnQFY0_normal.jpg</v>
      </c>
      <c r="AW3885" s="82" t="s">
        <v>16969</v>
      </c>
      <c r="AX3885" s="82" t="s">
        <v>16969</v>
      </c>
      <c r="AY3885" s="77"/>
      <c r="AZ3885" s="82" t="s">
        <v>17385</v>
      </c>
      <c r="BA3885" s="82" t="s">
        <v>17385</v>
      </c>
      <c r="BB3885" s="82" t="s">
        <v>17385</v>
      </c>
      <c r="BC3885" s="82" t="s">
        <v>16969</v>
      </c>
      <c r="BD3885" s="77">
        <v>51150679</v>
      </c>
      <c r="BE3885" s="77"/>
      <c r="BF3885" s="77"/>
      <c r="BG3885" s="77"/>
      <c r="BH3885" s="77"/>
      <c r="BI3885" s="77"/>
    </row>
    <row r="3886" spans="1:61" x14ac:dyDescent="0.25">
      <c r="A3886" s="62" t="s">
        <v>605</v>
      </c>
      <c r="B3886" s="62" t="s">
        <v>605</v>
      </c>
      <c r="C3886" s="63"/>
      <c r="D3886" s="64"/>
      <c r="E3886" s="65"/>
      <c r="F3886" s="66"/>
      <c r="G3886" s="63"/>
      <c r="H3886" s="67"/>
      <c r="I3886" s="68"/>
      <c r="J3886" s="68"/>
      <c r="K3886" s="32"/>
      <c r="L3886" s="75">
        <v>3886</v>
      </c>
      <c r="M3886" s="75"/>
      <c r="N3886" s="70"/>
      <c r="O3886" s="77" t="s">
        <v>179</v>
      </c>
      <c r="P3886" s="79">
        <v>45142.656145833331</v>
      </c>
      <c r="Q3886" s="77" t="s">
        <v>4660</v>
      </c>
      <c r="R3886" s="77">
        <v>0</v>
      </c>
      <c r="S3886" s="77">
        <v>1</v>
      </c>
      <c r="T3886" s="77">
        <v>1</v>
      </c>
      <c r="U3886" s="77">
        <v>0</v>
      </c>
      <c r="V3886" s="77">
        <v>1209</v>
      </c>
      <c r="W3886" s="82" t="s">
        <v>6898</v>
      </c>
      <c r="X3886" s="80" t="str">
        <f>HYPERLINK("https://www.moneytimes.com.br/ibovespa-hoje-agora-bradesco-petrobras-brf-04-08-2023/")</f>
        <v>https://www.moneytimes.com.br/ibovespa-hoje-agora-bradesco-petrobras-brf-04-08-2023/</v>
      </c>
      <c r="Y3886" s="77" t="s">
        <v>7053</v>
      </c>
      <c r="Z3886" s="77"/>
      <c r="AA3886" s="77"/>
      <c r="AB3886" s="77"/>
      <c r="AC3886" s="82" t="s">
        <v>8255</v>
      </c>
      <c r="AD3886" s="77" t="s">
        <v>8281</v>
      </c>
      <c r="AE3886" s="80" t="str">
        <f>HYPERLINK("https://twitter.com/leiamoneytimes/status/1687489783918981120")</f>
        <v>https://twitter.com/leiamoneytimes/status/1687489783918981120</v>
      </c>
      <c r="AF3886" s="79">
        <v>45142.656145833331</v>
      </c>
      <c r="AG3886" s="85">
        <v>45142</v>
      </c>
      <c r="AH3886" s="82" t="s">
        <v>11843</v>
      </c>
      <c r="AI3886" s="77" t="b">
        <v>0</v>
      </c>
      <c r="AJ3886" s="77"/>
      <c r="AK3886" s="77"/>
      <c r="AL3886" s="77"/>
      <c r="AM3886" s="77"/>
      <c r="AN3886" s="77"/>
      <c r="AO3886" s="77"/>
      <c r="AP3886" s="77"/>
      <c r="AQ3886" s="77"/>
      <c r="AR3886" s="77"/>
      <c r="AS3886" s="77"/>
      <c r="AT3886" s="77"/>
      <c r="AU3886" s="77"/>
      <c r="AV3886" s="80" t="str">
        <f>HYPERLINK("https://pbs.twimg.com/profile_images/1559883556846977024/bXHnQFY0_normal.jpg")</f>
        <v>https://pbs.twimg.com/profile_images/1559883556846977024/bXHnQFY0_normal.jpg</v>
      </c>
      <c r="AW3886" s="82" t="s">
        <v>16970</v>
      </c>
      <c r="AX3886" s="82" t="s">
        <v>16970</v>
      </c>
      <c r="AY3886" s="77"/>
      <c r="AZ3886" s="82" t="s">
        <v>17385</v>
      </c>
      <c r="BA3886" s="82" t="s">
        <v>17385</v>
      </c>
      <c r="BB3886" s="82" t="s">
        <v>17385</v>
      </c>
      <c r="BC3886" s="82" t="s">
        <v>16970</v>
      </c>
      <c r="BD3886" s="77">
        <v>51150679</v>
      </c>
      <c r="BE3886" s="77"/>
      <c r="BF3886" s="77"/>
      <c r="BG3886" s="77"/>
      <c r="BH3886" s="77"/>
      <c r="BI3886" s="77"/>
    </row>
    <row r="3887" spans="1:61" x14ac:dyDescent="0.25">
      <c r="A3887" s="62" t="s">
        <v>605</v>
      </c>
      <c r="B3887" s="62" t="s">
        <v>605</v>
      </c>
      <c r="C3887" s="63"/>
      <c r="D3887" s="64"/>
      <c r="E3887" s="65"/>
      <c r="F3887" s="66"/>
      <c r="G3887" s="63"/>
      <c r="H3887" s="67"/>
      <c r="I3887" s="68"/>
      <c r="J3887" s="68"/>
      <c r="K3887" s="32"/>
      <c r="L3887" s="75">
        <v>3887</v>
      </c>
      <c r="M3887" s="75"/>
      <c r="N3887" s="70"/>
      <c r="O3887" s="77" t="s">
        <v>179</v>
      </c>
      <c r="P3887" s="79">
        <v>45139.809305555558</v>
      </c>
      <c r="Q3887" s="77" t="s">
        <v>4661</v>
      </c>
      <c r="R3887" s="77">
        <v>1</v>
      </c>
      <c r="S3887" s="77">
        <v>2</v>
      </c>
      <c r="T3887" s="77">
        <v>0</v>
      </c>
      <c r="U3887" s="77">
        <v>0</v>
      </c>
      <c r="V3887" s="77">
        <v>1099</v>
      </c>
      <c r="W3887" s="82" t="s">
        <v>6899</v>
      </c>
      <c r="X3887" s="80" t="str">
        <f>HYPERLINK("https://www.moneytimes.com.br/seth-klarman-dez-licoes-de-uma-lenda-do-mercado-financeiro/")</f>
        <v>https://www.moneytimes.com.br/seth-klarman-dez-licoes-de-uma-lenda-do-mercado-financeiro/</v>
      </c>
      <c r="Y3887" s="77" t="s">
        <v>7053</v>
      </c>
      <c r="Z3887" s="77"/>
      <c r="AA3887" s="77"/>
      <c r="AB3887" s="77"/>
      <c r="AC3887" s="82" t="s">
        <v>8255</v>
      </c>
      <c r="AD3887" s="77" t="s">
        <v>8278</v>
      </c>
      <c r="AE3887" s="80" t="str">
        <f>HYPERLINK("https://twitter.com/leiamoneytimes/status/1686458122951344134")</f>
        <v>https://twitter.com/leiamoneytimes/status/1686458122951344134</v>
      </c>
      <c r="AF3887" s="79">
        <v>45139.809305555558</v>
      </c>
      <c r="AG3887" s="85">
        <v>45139</v>
      </c>
      <c r="AH3887" s="82" t="s">
        <v>11844</v>
      </c>
      <c r="AI3887" s="77" t="b">
        <v>0</v>
      </c>
      <c r="AJ3887" s="77"/>
      <c r="AK3887" s="77"/>
      <c r="AL3887" s="77"/>
      <c r="AM3887" s="77"/>
      <c r="AN3887" s="77"/>
      <c r="AO3887" s="77"/>
      <c r="AP3887" s="77"/>
      <c r="AQ3887" s="77"/>
      <c r="AR3887" s="77"/>
      <c r="AS3887" s="77"/>
      <c r="AT3887" s="77"/>
      <c r="AU3887" s="77"/>
      <c r="AV3887" s="80" t="str">
        <f>HYPERLINK("https://pbs.twimg.com/profile_images/1559883556846977024/bXHnQFY0_normal.jpg")</f>
        <v>https://pbs.twimg.com/profile_images/1559883556846977024/bXHnQFY0_normal.jpg</v>
      </c>
      <c r="AW3887" s="82" t="s">
        <v>16971</v>
      </c>
      <c r="AX3887" s="82" t="s">
        <v>16971</v>
      </c>
      <c r="AY3887" s="77"/>
      <c r="AZ3887" s="82" t="s">
        <v>17385</v>
      </c>
      <c r="BA3887" s="82" t="s">
        <v>17385</v>
      </c>
      <c r="BB3887" s="82" t="s">
        <v>17385</v>
      </c>
      <c r="BC3887" s="82" t="s">
        <v>16971</v>
      </c>
      <c r="BD3887" s="77">
        <v>51150679</v>
      </c>
      <c r="BE3887" s="77"/>
      <c r="BF3887" s="77"/>
      <c r="BG3887" s="77"/>
      <c r="BH3887" s="77"/>
      <c r="BI3887" s="77"/>
    </row>
    <row r="3888" spans="1:61" x14ac:dyDescent="0.25">
      <c r="A3888" s="62" t="s">
        <v>605</v>
      </c>
      <c r="B3888" s="62" t="s">
        <v>605</v>
      </c>
      <c r="C3888" s="63"/>
      <c r="D3888" s="64"/>
      <c r="E3888" s="65"/>
      <c r="F3888" s="66"/>
      <c r="G3888" s="63"/>
      <c r="H3888" s="67"/>
      <c r="I3888" s="68"/>
      <c r="J3888" s="68"/>
      <c r="K3888" s="32"/>
      <c r="L3888" s="75">
        <v>3888</v>
      </c>
      <c r="M3888" s="75"/>
      <c r="N3888" s="70"/>
      <c r="O3888" s="77" t="s">
        <v>179</v>
      </c>
      <c r="P3888" s="79">
        <v>45139.653784722221</v>
      </c>
      <c r="Q3888" s="77" t="s">
        <v>4662</v>
      </c>
      <c r="R3888" s="77">
        <v>0</v>
      </c>
      <c r="S3888" s="77">
        <v>3</v>
      </c>
      <c r="T3888" s="77">
        <v>1</v>
      </c>
      <c r="U3888" s="77">
        <v>0</v>
      </c>
      <c r="V3888" s="77">
        <v>1117</v>
      </c>
      <c r="W3888" s="82" t="s">
        <v>6900</v>
      </c>
      <c r="X3888" s="80" t="str">
        <f>HYPERLINK("https://www.moneytimes.com.br/ibovespa-hoje-agora-sabesp-minerva-01-08-2023/")</f>
        <v>https://www.moneytimes.com.br/ibovespa-hoje-agora-sabesp-minerva-01-08-2023/</v>
      </c>
      <c r="Y3888" s="77" t="s">
        <v>7053</v>
      </c>
      <c r="Z3888" s="77"/>
      <c r="AA3888" s="77"/>
      <c r="AB3888" s="77"/>
      <c r="AC3888" s="82" t="s">
        <v>8255</v>
      </c>
      <c r="AD3888" s="77" t="s">
        <v>8278</v>
      </c>
      <c r="AE3888" s="80" t="str">
        <f>HYPERLINK("https://twitter.com/leiamoneytimes/status/1686401765648814080")</f>
        <v>https://twitter.com/leiamoneytimes/status/1686401765648814080</v>
      </c>
      <c r="AF3888" s="79">
        <v>45139.653784722221</v>
      </c>
      <c r="AG3888" s="85">
        <v>45139</v>
      </c>
      <c r="AH3888" s="82" t="s">
        <v>11845</v>
      </c>
      <c r="AI3888" s="77" t="b">
        <v>0</v>
      </c>
      <c r="AJ3888" s="77"/>
      <c r="AK3888" s="77"/>
      <c r="AL3888" s="77"/>
      <c r="AM3888" s="77"/>
      <c r="AN3888" s="77"/>
      <c r="AO3888" s="77"/>
      <c r="AP3888" s="77"/>
      <c r="AQ3888" s="77"/>
      <c r="AR3888" s="77"/>
      <c r="AS3888" s="77"/>
      <c r="AT3888" s="77"/>
      <c r="AU3888" s="77"/>
      <c r="AV3888" s="80" t="str">
        <f>HYPERLINK("https://pbs.twimg.com/profile_images/1559883556846977024/bXHnQFY0_normal.jpg")</f>
        <v>https://pbs.twimg.com/profile_images/1559883556846977024/bXHnQFY0_normal.jpg</v>
      </c>
      <c r="AW3888" s="82" t="s">
        <v>16972</v>
      </c>
      <c r="AX3888" s="82" t="s">
        <v>16972</v>
      </c>
      <c r="AY3888" s="77"/>
      <c r="AZ3888" s="82" t="s">
        <v>17385</v>
      </c>
      <c r="BA3888" s="82" t="s">
        <v>17385</v>
      </c>
      <c r="BB3888" s="82" t="s">
        <v>17385</v>
      </c>
      <c r="BC3888" s="82" t="s">
        <v>16972</v>
      </c>
      <c r="BD3888" s="77">
        <v>51150679</v>
      </c>
      <c r="BE3888" s="77"/>
      <c r="BF3888" s="77"/>
      <c r="BG3888" s="77"/>
      <c r="BH3888" s="77"/>
      <c r="BI3888" s="77"/>
    </row>
    <row r="3889" spans="1:61" x14ac:dyDescent="0.25">
      <c r="A3889" s="62" t="s">
        <v>605</v>
      </c>
      <c r="B3889" s="62" t="s">
        <v>605</v>
      </c>
      <c r="C3889" s="63"/>
      <c r="D3889" s="64"/>
      <c r="E3889" s="65"/>
      <c r="F3889" s="66"/>
      <c r="G3889" s="63"/>
      <c r="H3889" s="67"/>
      <c r="I3889" s="68"/>
      <c r="J3889" s="68"/>
      <c r="K3889" s="32"/>
      <c r="L3889" s="75">
        <v>3889</v>
      </c>
      <c r="M3889" s="75"/>
      <c r="N3889" s="70"/>
      <c r="O3889" s="77" t="s">
        <v>179</v>
      </c>
      <c r="P3889" s="79">
        <v>45138.894259259258</v>
      </c>
      <c r="Q3889" s="77" t="s">
        <v>4663</v>
      </c>
      <c r="R3889" s="77">
        <v>3</v>
      </c>
      <c r="S3889" s="77">
        <v>12</v>
      </c>
      <c r="T3889" s="77">
        <v>1</v>
      </c>
      <c r="U3889" s="77">
        <v>0</v>
      </c>
      <c r="V3889" s="77">
        <v>1854</v>
      </c>
      <c r="W3889" s="82" t="s">
        <v>6584</v>
      </c>
      <c r="X3889" s="80" t="str">
        <f>HYPERLINK("https://www.moneytimes.com.br/weg-wege3-desembolsa-mais-de-r-80-milhoes-para-expandir-operacoes-em-santa-catarina/")</f>
        <v>https://www.moneytimes.com.br/weg-wege3-desembolsa-mais-de-r-80-milhoes-para-expandir-operacoes-em-santa-catarina/</v>
      </c>
      <c r="Y3889" s="77" t="s">
        <v>7053</v>
      </c>
      <c r="Z3889" s="77"/>
      <c r="AA3889" s="77"/>
      <c r="AB3889" s="77"/>
      <c r="AC3889" s="82" t="s">
        <v>8255</v>
      </c>
      <c r="AD3889" s="77" t="s">
        <v>8278</v>
      </c>
      <c r="AE3889" s="80" t="str">
        <f>HYPERLINK("https://twitter.com/leiamoneytimes/status/1686126522908737536")</f>
        <v>https://twitter.com/leiamoneytimes/status/1686126522908737536</v>
      </c>
      <c r="AF3889" s="79">
        <v>45138.894259259258</v>
      </c>
      <c r="AG3889" s="85">
        <v>45138</v>
      </c>
      <c r="AH3889" s="82" t="s">
        <v>11846</v>
      </c>
      <c r="AI3889" s="77" t="b">
        <v>0</v>
      </c>
      <c r="AJ3889" s="77"/>
      <c r="AK3889" s="77"/>
      <c r="AL3889" s="77"/>
      <c r="AM3889" s="77"/>
      <c r="AN3889" s="77"/>
      <c r="AO3889" s="77"/>
      <c r="AP3889" s="77"/>
      <c r="AQ3889" s="77"/>
      <c r="AR3889" s="77"/>
      <c r="AS3889" s="77"/>
      <c r="AT3889" s="77"/>
      <c r="AU3889" s="77"/>
      <c r="AV3889" s="80" t="str">
        <f>HYPERLINK("https://pbs.twimg.com/profile_images/1559883556846977024/bXHnQFY0_normal.jpg")</f>
        <v>https://pbs.twimg.com/profile_images/1559883556846977024/bXHnQFY0_normal.jpg</v>
      </c>
      <c r="AW3889" s="82" t="s">
        <v>16973</v>
      </c>
      <c r="AX3889" s="82" t="s">
        <v>16973</v>
      </c>
      <c r="AY3889" s="77"/>
      <c r="AZ3889" s="82" t="s">
        <v>17385</v>
      </c>
      <c r="BA3889" s="82" t="s">
        <v>17385</v>
      </c>
      <c r="BB3889" s="82" t="s">
        <v>17385</v>
      </c>
      <c r="BC3889" s="82" t="s">
        <v>16973</v>
      </c>
      <c r="BD3889" s="77">
        <v>51150679</v>
      </c>
      <c r="BE3889" s="77"/>
      <c r="BF3889" s="77"/>
      <c r="BG3889" s="77"/>
      <c r="BH3889" s="77"/>
      <c r="BI3889" s="77"/>
    </row>
    <row r="3890" spans="1:61" x14ac:dyDescent="0.25">
      <c r="A3890" s="62" t="s">
        <v>605</v>
      </c>
      <c r="B3890" s="62" t="s">
        <v>605</v>
      </c>
      <c r="C3890" s="63"/>
      <c r="D3890" s="64"/>
      <c r="E3890" s="65"/>
      <c r="F3890" s="66"/>
      <c r="G3890" s="63"/>
      <c r="H3890" s="67"/>
      <c r="I3890" s="68"/>
      <c r="J3890" s="68"/>
      <c r="K3890" s="32"/>
      <c r="L3890" s="75">
        <v>3890</v>
      </c>
      <c r="M3890" s="75"/>
      <c r="N3890" s="70"/>
      <c r="O3890" s="77" t="s">
        <v>179</v>
      </c>
      <c r="P3890" s="79">
        <v>45138.845671296294</v>
      </c>
      <c r="Q3890" s="77" t="s">
        <v>4664</v>
      </c>
      <c r="R3890" s="77">
        <v>0</v>
      </c>
      <c r="S3890" s="77">
        <v>2</v>
      </c>
      <c r="T3890" s="77">
        <v>1</v>
      </c>
      <c r="U3890" s="77">
        <v>0</v>
      </c>
      <c r="V3890" s="77">
        <v>1113</v>
      </c>
      <c r="W3890" s="82" t="s">
        <v>6551</v>
      </c>
      <c r="X3890" s="80" t="str">
        <f>HYPERLINK("https://www.moneytimes.com.br/ibovespa-hoje-fecha-alta-petrobras-petr3-petr4-copom-31-07-2023/")</f>
        <v>https://www.moneytimes.com.br/ibovespa-hoje-fecha-alta-petrobras-petr3-petr4-copom-31-07-2023/</v>
      </c>
      <c r="Y3890" s="77" t="s">
        <v>7053</v>
      </c>
      <c r="Z3890" s="77"/>
      <c r="AA3890" s="77"/>
      <c r="AB3890" s="77"/>
      <c r="AC3890" s="82" t="s">
        <v>8255</v>
      </c>
      <c r="AD3890" s="77" t="s">
        <v>8278</v>
      </c>
      <c r="AE3890" s="80" t="str">
        <f>HYPERLINK("https://twitter.com/leiamoneytimes/status/1686108916231356416")</f>
        <v>https://twitter.com/leiamoneytimes/status/1686108916231356416</v>
      </c>
      <c r="AF3890" s="79">
        <v>45138.845671296294</v>
      </c>
      <c r="AG3890" s="85">
        <v>45138</v>
      </c>
      <c r="AH3890" s="82" t="s">
        <v>11847</v>
      </c>
      <c r="AI3890" s="77" t="b">
        <v>0</v>
      </c>
      <c r="AJ3890" s="77"/>
      <c r="AK3890" s="77"/>
      <c r="AL3890" s="77"/>
      <c r="AM3890" s="77"/>
      <c r="AN3890" s="77"/>
      <c r="AO3890" s="77"/>
      <c r="AP3890" s="77"/>
      <c r="AQ3890" s="77"/>
      <c r="AR3890" s="77"/>
      <c r="AS3890" s="77"/>
      <c r="AT3890" s="77"/>
      <c r="AU3890" s="77"/>
      <c r="AV3890" s="80" t="str">
        <f>HYPERLINK("https://pbs.twimg.com/profile_images/1559883556846977024/bXHnQFY0_normal.jpg")</f>
        <v>https://pbs.twimg.com/profile_images/1559883556846977024/bXHnQFY0_normal.jpg</v>
      </c>
      <c r="AW3890" s="82" t="s">
        <v>16974</v>
      </c>
      <c r="AX3890" s="82" t="s">
        <v>16974</v>
      </c>
      <c r="AY3890" s="77"/>
      <c r="AZ3890" s="82" t="s">
        <v>17385</v>
      </c>
      <c r="BA3890" s="82" t="s">
        <v>17385</v>
      </c>
      <c r="BB3890" s="82" t="s">
        <v>17385</v>
      </c>
      <c r="BC3890" s="82" t="s">
        <v>16974</v>
      </c>
      <c r="BD3890" s="77">
        <v>51150679</v>
      </c>
      <c r="BE3890" s="77"/>
      <c r="BF3890" s="77"/>
      <c r="BG3890" s="77"/>
      <c r="BH3890" s="77"/>
      <c r="BI3890" s="77"/>
    </row>
    <row r="3891" spans="1:61" x14ac:dyDescent="0.25">
      <c r="A3891" s="62" t="s">
        <v>605</v>
      </c>
      <c r="B3891" s="62" t="s">
        <v>605</v>
      </c>
      <c r="C3891" s="63"/>
      <c r="D3891" s="64"/>
      <c r="E3891" s="65"/>
      <c r="F3891" s="66"/>
      <c r="G3891" s="63"/>
      <c r="H3891" s="67"/>
      <c r="I3891" s="68"/>
      <c r="J3891" s="68"/>
      <c r="K3891" s="32"/>
      <c r="L3891" s="75">
        <v>3891</v>
      </c>
      <c r="M3891" s="75"/>
      <c r="N3891" s="70"/>
      <c r="O3891" s="77" t="s">
        <v>179</v>
      </c>
      <c r="P3891" s="79">
        <v>45137.667233796295</v>
      </c>
      <c r="Q3891" s="77" t="s">
        <v>4665</v>
      </c>
      <c r="R3891" s="77">
        <v>1</v>
      </c>
      <c r="S3891" s="77">
        <v>8</v>
      </c>
      <c r="T3891" s="77">
        <v>1</v>
      </c>
      <c r="U3891" s="77">
        <v>0</v>
      </c>
      <c r="V3891" s="77">
        <v>2366</v>
      </c>
      <c r="W3891" s="82" t="s">
        <v>6901</v>
      </c>
      <c r="X3891" s="80" t="str">
        <f>HYPERLINK("https://www.moneytimes.com.br/4-acoes-pagadoras-de-dividendos-que-sao-chamariz-de-bilionarios/")</f>
        <v>https://www.moneytimes.com.br/4-acoes-pagadoras-de-dividendos-que-sao-chamariz-de-bilionarios/</v>
      </c>
      <c r="Y3891" s="77" t="s">
        <v>7053</v>
      </c>
      <c r="Z3891" s="77"/>
      <c r="AA3891" s="77"/>
      <c r="AB3891" s="77"/>
      <c r="AC3891" s="82" t="s">
        <v>8255</v>
      </c>
      <c r="AD3891" s="77" t="s">
        <v>8278</v>
      </c>
      <c r="AE3891" s="80" t="str">
        <f>HYPERLINK("https://twitter.com/leiamoneytimes/status/1685681864026079232")</f>
        <v>https://twitter.com/leiamoneytimes/status/1685681864026079232</v>
      </c>
      <c r="AF3891" s="79">
        <v>45137.667233796295</v>
      </c>
      <c r="AG3891" s="85">
        <v>45137</v>
      </c>
      <c r="AH3891" s="82" t="s">
        <v>11848</v>
      </c>
      <c r="AI3891" s="77" t="b">
        <v>0</v>
      </c>
      <c r="AJ3891" s="77"/>
      <c r="AK3891" s="77"/>
      <c r="AL3891" s="77"/>
      <c r="AM3891" s="77"/>
      <c r="AN3891" s="77"/>
      <c r="AO3891" s="77"/>
      <c r="AP3891" s="77"/>
      <c r="AQ3891" s="77"/>
      <c r="AR3891" s="77"/>
      <c r="AS3891" s="77"/>
      <c r="AT3891" s="77"/>
      <c r="AU3891" s="77"/>
      <c r="AV3891" s="80" t="str">
        <f>HYPERLINK("https://pbs.twimg.com/profile_images/1559883556846977024/bXHnQFY0_normal.jpg")</f>
        <v>https://pbs.twimg.com/profile_images/1559883556846977024/bXHnQFY0_normal.jpg</v>
      </c>
      <c r="AW3891" s="82" t="s">
        <v>16975</v>
      </c>
      <c r="AX3891" s="82" t="s">
        <v>16975</v>
      </c>
      <c r="AY3891" s="77"/>
      <c r="AZ3891" s="82" t="s">
        <v>17385</v>
      </c>
      <c r="BA3891" s="82" t="s">
        <v>17385</v>
      </c>
      <c r="BB3891" s="82" t="s">
        <v>17385</v>
      </c>
      <c r="BC3891" s="82" t="s">
        <v>16975</v>
      </c>
      <c r="BD3891" s="77">
        <v>51150679</v>
      </c>
      <c r="BE3891" s="77"/>
      <c r="BF3891" s="77"/>
      <c r="BG3891" s="77"/>
      <c r="BH3891" s="77"/>
      <c r="BI3891" s="77"/>
    </row>
    <row r="3892" spans="1:61" x14ac:dyDescent="0.25">
      <c r="A3892" s="62" t="s">
        <v>605</v>
      </c>
      <c r="B3892" s="62" t="s">
        <v>605</v>
      </c>
      <c r="C3892" s="63"/>
      <c r="D3892" s="64"/>
      <c r="E3892" s="65"/>
      <c r="F3892" s="66"/>
      <c r="G3892" s="63"/>
      <c r="H3892" s="67"/>
      <c r="I3892" s="68"/>
      <c r="J3892" s="68"/>
      <c r="K3892" s="32"/>
      <c r="L3892" s="75">
        <v>3892</v>
      </c>
      <c r="M3892" s="75"/>
      <c r="N3892" s="70"/>
      <c r="O3892" s="77" t="s">
        <v>179</v>
      </c>
      <c r="P3892" s="79">
        <v>45136.7656712963</v>
      </c>
      <c r="Q3892" s="77" t="s">
        <v>4666</v>
      </c>
      <c r="R3892" s="77">
        <v>1</v>
      </c>
      <c r="S3892" s="77">
        <v>6</v>
      </c>
      <c r="T3892" s="77">
        <v>1</v>
      </c>
      <c r="U3892" s="77">
        <v>0</v>
      </c>
      <c r="V3892" s="77">
        <v>1851</v>
      </c>
      <c r="W3892" s="82" t="s">
        <v>6902</v>
      </c>
      <c r="X3892" s="80" t="str">
        <f>HYPERLINK("https://www.moneytimes.com.br/kabum-x-magalu-fundadores-entram-com-pedido-de-arbitragem-para-reverter-negocio-com-varejista/")</f>
        <v>https://www.moneytimes.com.br/kabum-x-magalu-fundadores-entram-com-pedido-de-arbitragem-para-reverter-negocio-com-varejista/</v>
      </c>
      <c r="Y3892" s="77" t="s">
        <v>7053</v>
      </c>
      <c r="Z3892" s="77"/>
      <c r="AA3892" s="77"/>
      <c r="AB3892" s="77"/>
      <c r="AC3892" s="82" t="s">
        <v>8255</v>
      </c>
      <c r="AD3892" s="77" t="s">
        <v>8278</v>
      </c>
      <c r="AE3892" s="80" t="str">
        <f>HYPERLINK("https://twitter.com/leiamoneytimes/status/1685355150515343360")</f>
        <v>https://twitter.com/leiamoneytimes/status/1685355150515343360</v>
      </c>
      <c r="AF3892" s="79">
        <v>45136.7656712963</v>
      </c>
      <c r="AG3892" s="85">
        <v>45136</v>
      </c>
      <c r="AH3892" s="82" t="s">
        <v>11849</v>
      </c>
      <c r="AI3892" s="77" t="b">
        <v>0</v>
      </c>
      <c r="AJ3892" s="77"/>
      <c r="AK3892" s="77"/>
      <c r="AL3892" s="77"/>
      <c r="AM3892" s="77"/>
      <c r="AN3892" s="77"/>
      <c r="AO3892" s="77"/>
      <c r="AP3892" s="77"/>
      <c r="AQ3892" s="77"/>
      <c r="AR3892" s="77"/>
      <c r="AS3892" s="77"/>
      <c r="AT3892" s="77"/>
      <c r="AU3892" s="77"/>
      <c r="AV3892" s="80" t="str">
        <f>HYPERLINK("https://pbs.twimg.com/profile_images/1559883556846977024/bXHnQFY0_normal.jpg")</f>
        <v>https://pbs.twimg.com/profile_images/1559883556846977024/bXHnQFY0_normal.jpg</v>
      </c>
      <c r="AW3892" s="82" t="s">
        <v>16976</v>
      </c>
      <c r="AX3892" s="82" t="s">
        <v>16976</v>
      </c>
      <c r="AY3892" s="77"/>
      <c r="AZ3892" s="82" t="s">
        <v>17385</v>
      </c>
      <c r="BA3892" s="82" t="s">
        <v>17385</v>
      </c>
      <c r="BB3892" s="82" t="s">
        <v>17385</v>
      </c>
      <c r="BC3892" s="82" t="s">
        <v>16976</v>
      </c>
      <c r="BD3892" s="77">
        <v>51150679</v>
      </c>
      <c r="BE3892" s="77"/>
      <c r="BF3892" s="77"/>
      <c r="BG3892" s="77"/>
      <c r="BH3892" s="77"/>
      <c r="BI3892" s="77"/>
    </row>
    <row r="3893" spans="1:61" x14ac:dyDescent="0.25">
      <c r="A3893" s="62" t="s">
        <v>605</v>
      </c>
      <c r="B3893" s="62" t="s">
        <v>605</v>
      </c>
      <c r="C3893" s="63"/>
      <c r="D3893" s="64"/>
      <c r="E3893" s="65"/>
      <c r="F3893" s="66"/>
      <c r="G3893" s="63"/>
      <c r="H3893" s="67"/>
      <c r="I3893" s="68"/>
      <c r="J3893" s="68"/>
      <c r="K3893" s="32"/>
      <c r="L3893" s="75">
        <v>3893</v>
      </c>
      <c r="M3893" s="75"/>
      <c r="N3893" s="70"/>
      <c r="O3893" s="77" t="s">
        <v>179</v>
      </c>
      <c r="P3893" s="79">
        <v>45121.847071759257</v>
      </c>
      <c r="Q3893" s="77" t="s">
        <v>4667</v>
      </c>
      <c r="R3893" s="77">
        <v>0</v>
      </c>
      <c r="S3893" s="77">
        <v>0</v>
      </c>
      <c r="T3893" s="77">
        <v>1</v>
      </c>
      <c r="U3893" s="77">
        <v>0</v>
      </c>
      <c r="V3893" s="77">
        <v>1128</v>
      </c>
      <c r="W3893" s="82" t="s">
        <v>6551</v>
      </c>
      <c r="X3893" s="80" t="str">
        <f>HYPERLINK("https://www.moneytimes.com.br/ibovespa-hoje-fecha-queda-varejo-14-07-2023/")</f>
        <v>https://www.moneytimes.com.br/ibovespa-hoje-fecha-queda-varejo-14-07-2023/</v>
      </c>
      <c r="Y3893" s="77" t="s">
        <v>7053</v>
      </c>
      <c r="Z3893" s="77"/>
      <c r="AA3893" s="77"/>
      <c r="AB3893" s="77"/>
      <c r="AC3893" s="82" t="s">
        <v>8255</v>
      </c>
      <c r="AD3893" s="77" t="s">
        <v>8278</v>
      </c>
      <c r="AE3893" s="80" t="str">
        <f>HYPERLINK("https://twitter.com/leiamoneytimes/status/1679948828966031361")</f>
        <v>https://twitter.com/leiamoneytimes/status/1679948828966031361</v>
      </c>
      <c r="AF3893" s="79">
        <v>45121.847071759257</v>
      </c>
      <c r="AG3893" s="85">
        <v>45121</v>
      </c>
      <c r="AH3893" s="82" t="s">
        <v>11850</v>
      </c>
      <c r="AI3893" s="77" t="b">
        <v>0</v>
      </c>
      <c r="AJ3893" s="77"/>
      <c r="AK3893" s="77"/>
      <c r="AL3893" s="77"/>
      <c r="AM3893" s="77"/>
      <c r="AN3893" s="77"/>
      <c r="AO3893" s="77"/>
      <c r="AP3893" s="77"/>
      <c r="AQ3893" s="77"/>
      <c r="AR3893" s="77"/>
      <c r="AS3893" s="77"/>
      <c r="AT3893" s="77"/>
      <c r="AU3893" s="77"/>
      <c r="AV3893" s="80" t="str">
        <f>HYPERLINK("https://pbs.twimg.com/profile_images/1559883556846977024/bXHnQFY0_normal.jpg")</f>
        <v>https://pbs.twimg.com/profile_images/1559883556846977024/bXHnQFY0_normal.jpg</v>
      </c>
      <c r="AW3893" s="82" t="s">
        <v>16977</v>
      </c>
      <c r="AX3893" s="82" t="s">
        <v>16977</v>
      </c>
      <c r="AY3893" s="77"/>
      <c r="AZ3893" s="82" t="s">
        <v>17385</v>
      </c>
      <c r="BA3893" s="82" t="s">
        <v>17385</v>
      </c>
      <c r="BB3893" s="82" t="s">
        <v>17385</v>
      </c>
      <c r="BC3893" s="82" t="s">
        <v>16977</v>
      </c>
      <c r="BD3893" s="77">
        <v>51150679</v>
      </c>
      <c r="BE3893" s="77"/>
      <c r="BF3893" s="77"/>
      <c r="BG3893" s="77"/>
      <c r="BH3893" s="77"/>
      <c r="BI3893" s="77"/>
    </row>
    <row r="3894" spans="1:61" x14ac:dyDescent="0.25">
      <c r="A3894" s="62" t="s">
        <v>605</v>
      </c>
      <c r="B3894" s="62" t="s">
        <v>605</v>
      </c>
      <c r="C3894" s="63"/>
      <c r="D3894" s="64"/>
      <c r="E3894" s="65"/>
      <c r="F3894" s="66"/>
      <c r="G3894" s="63"/>
      <c r="H3894" s="67"/>
      <c r="I3894" s="68"/>
      <c r="J3894" s="68"/>
      <c r="K3894" s="32"/>
      <c r="L3894" s="75">
        <v>3894</v>
      </c>
      <c r="M3894" s="75"/>
      <c r="N3894" s="70"/>
      <c r="O3894" s="77" t="s">
        <v>179</v>
      </c>
      <c r="P3894" s="79">
        <v>45120.95239583333</v>
      </c>
      <c r="Q3894" s="77" t="s">
        <v>4668</v>
      </c>
      <c r="R3894" s="77">
        <v>0</v>
      </c>
      <c r="S3894" s="77">
        <v>7</v>
      </c>
      <c r="T3894" s="77">
        <v>1</v>
      </c>
      <c r="U3894" s="77">
        <v>0</v>
      </c>
      <c r="V3894" s="77">
        <v>1620</v>
      </c>
      <c r="W3894" s="82" t="s">
        <v>6869</v>
      </c>
      <c r="X3894" s="80" t="str">
        <f>HYPERLINK("https://www.moneytimes.com.br/follow-on-da-mrv-mrve3-bomba-e-levanta-uma-bolada-diz-jornal-veja-preco-da-acao/")</f>
        <v>https://www.moneytimes.com.br/follow-on-da-mrv-mrve3-bomba-e-levanta-uma-bolada-diz-jornal-veja-preco-da-acao/</v>
      </c>
      <c r="Y3894" s="77" t="s">
        <v>7053</v>
      </c>
      <c r="Z3894" s="77"/>
      <c r="AA3894" s="77"/>
      <c r="AB3894" s="77"/>
      <c r="AC3894" s="82" t="s">
        <v>8255</v>
      </c>
      <c r="AD3894" s="77" t="s">
        <v>8278</v>
      </c>
      <c r="AE3894" s="80" t="str">
        <f>HYPERLINK("https://twitter.com/leiamoneytimes/status/1679624610008948736")</f>
        <v>https://twitter.com/leiamoneytimes/status/1679624610008948736</v>
      </c>
      <c r="AF3894" s="79">
        <v>45120.95239583333</v>
      </c>
      <c r="AG3894" s="85">
        <v>45120</v>
      </c>
      <c r="AH3894" s="82" t="s">
        <v>11851</v>
      </c>
      <c r="AI3894" s="77" t="b">
        <v>0</v>
      </c>
      <c r="AJ3894" s="77"/>
      <c r="AK3894" s="77"/>
      <c r="AL3894" s="77"/>
      <c r="AM3894" s="77"/>
      <c r="AN3894" s="77"/>
      <c r="AO3894" s="77"/>
      <c r="AP3894" s="77"/>
      <c r="AQ3894" s="77"/>
      <c r="AR3894" s="77"/>
      <c r="AS3894" s="77"/>
      <c r="AT3894" s="77"/>
      <c r="AU3894" s="77"/>
      <c r="AV3894" s="80" t="str">
        <f>HYPERLINK("https://pbs.twimg.com/profile_images/1559883556846977024/bXHnQFY0_normal.jpg")</f>
        <v>https://pbs.twimg.com/profile_images/1559883556846977024/bXHnQFY0_normal.jpg</v>
      </c>
      <c r="AW3894" s="82" t="s">
        <v>16978</v>
      </c>
      <c r="AX3894" s="82" t="s">
        <v>16978</v>
      </c>
      <c r="AY3894" s="77"/>
      <c r="AZ3894" s="82" t="s">
        <v>17385</v>
      </c>
      <c r="BA3894" s="82" t="s">
        <v>17385</v>
      </c>
      <c r="BB3894" s="82" t="s">
        <v>17385</v>
      </c>
      <c r="BC3894" s="82" t="s">
        <v>16978</v>
      </c>
      <c r="BD3894" s="77">
        <v>51150679</v>
      </c>
      <c r="BE3894" s="77"/>
      <c r="BF3894" s="77"/>
      <c r="BG3894" s="77"/>
      <c r="BH3894" s="77"/>
      <c r="BI3894" s="77"/>
    </row>
    <row r="3895" spans="1:61" x14ac:dyDescent="0.25">
      <c r="A3895" s="62" t="s">
        <v>605</v>
      </c>
      <c r="B3895" s="62" t="s">
        <v>605</v>
      </c>
      <c r="C3895" s="63"/>
      <c r="D3895" s="64"/>
      <c r="E3895" s="65"/>
      <c r="F3895" s="66"/>
      <c r="G3895" s="63"/>
      <c r="H3895" s="67"/>
      <c r="I3895" s="68"/>
      <c r="J3895" s="68"/>
      <c r="K3895" s="32"/>
      <c r="L3895" s="75">
        <v>3895</v>
      </c>
      <c r="M3895" s="75"/>
      <c r="N3895" s="70"/>
      <c r="O3895" s="77" t="s">
        <v>179</v>
      </c>
      <c r="P3895" s="79">
        <v>45120.846562500003</v>
      </c>
      <c r="Q3895" s="77" t="s">
        <v>4669</v>
      </c>
      <c r="R3895" s="77">
        <v>0</v>
      </c>
      <c r="S3895" s="77">
        <v>1</v>
      </c>
      <c r="T3895" s="77">
        <v>1</v>
      </c>
      <c r="U3895" s="77">
        <v>0</v>
      </c>
      <c r="V3895" s="77">
        <v>1063</v>
      </c>
      <c r="W3895" s="82" t="s">
        <v>6551</v>
      </c>
      <c r="X3895" s="80" t="str">
        <f>HYPERLINK("https://www.moneytimes.com.br/ibovespa-hoje-fecha-alta-wall-street-vale-vale3-petrobras-petr4-13-07-2023/")</f>
        <v>https://www.moneytimes.com.br/ibovespa-hoje-fecha-alta-wall-street-vale-vale3-petrobras-petr4-13-07-2023/</v>
      </c>
      <c r="Y3895" s="77" t="s">
        <v>7053</v>
      </c>
      <c r="Z3895" s="77"/>
      <c r="AA3895" s="77"/>
      <c r="AB3895" s="77"/>
      <c r="AC3895" s="82" t="s">
        <v>8255</v>
      </c>
      <c r="AD3895" s="77" t="s">
        <v>8278</v>
      </c>
      <c r="AE3895" s="80" t="str">
        <f>HYPERLINK("https://twitter.com/leiamoneytimes/status/1679586256953434115")</f>
        <v>https://twitter.com/leiamoneytimes/status/1679586256953434115</v>
      </c>
      <c r="AF3895" s="79">
        <v>45120.846562500003</v>
      </c>
      <c r="AG3895" s="85">
        <v>45120</v>
      </c>
      <c r="AH3895" s="82" t="s">
        <v>11432</v>
      </c>
      <c r="AI3895" s="77" t="b">
        <v>0</v>
      </c>
      <c r="AJ3895" s="77"/>
      <c r="AK3895" s="77"/>
      <c r="AL3895" s="77"/>
      <c r="AM3895" s="77"/>
      <c r="AN3895" s="77"/>
      <c r="AO3895" s="77"/>
      <c r="AP3895" s="77"/>
      <c r="AQ3895" s="77"/>
      <c r="AR3895" s="77"/>
      <c r="AS3895" s="77"/>
      <c r="AT3895" s="77"/>
      <c r="AU3895" s="77"/>
      <c r="AV3895" s="80" t="str">
        <f>HYPERLINK("https://pbs.twimg.com/profile_images/1559883556846977024/bXHnQFY0_normal.jpg")</f>
        <v>https://pbs.twimg.com/profile_images/1559883556846977024/bXHnQFY0_normal.jpg</v>
      </c>
      <c r="AW3895" s="82" t="s">
        <v>16979</v>
      </c>
      <c r="AX3895" s="82" t="s">
        <v>16979</v>
      </c>
      <c r="AY3895" s="77"/>
      <c r="AZ3895" s="82" t="s">
        <v>17385</v>
      </c>
      <c r="BA3895" s="82" t="s">
        <v>17385</v>
      </c>
      <c r="BB3895" s="82" t="s">
        <v>17385</v>
      </c>
      <c r="BC3895" s="82" t="s">
        <v>16979</v>
      </c>
      <c r="BD3895" s="77">
        <v>51150679</v>
      </c>
      <c r="BE3895" s="77"/>
      <c r="BF3895" s="77"/>
      <c r="BG3895" s="77"/>
      <c r="BH3895" s="77"/>
      <c r="BI3895" s="77"/>
    </row>
    <row r="3896" spans="1:61" x14ac:dyDescent="0.25">
      <c r="A3896" s="62" t="s">
        <v>605</v>
      </c>
      <c r="B3896" s="62" t="s">
        <v>605</v>
      </c>
      <c r="C3896" s="63"/>
      <c r="D3896" s="64"/>
      <c r="E3896" s="65"/>
      <c r="F3896" s="66"/>
      <c r="G3896" s="63"/>
      <c r="H3896" s="67"/>
      <c r="I3896" s="68"/>
      <c r="J3896" s="68"/>
      <c r="K3896" s="32"/>
      <c r="L3896" s="75">
        <v>3896</v>
      </c>
      <c r="M3896" s="75"/>
      <c r="N3896" s="70"/>
      <c r="O3896" s="77" t="s">
        <v>179</v>
      </c>
      <c r="P3896" s="79">
        <v>45120.668240740742</v>
      </c>
      <c r="Q3896" s="77" t="s">
        <v>4670</v>
      </c>
      <c r="R3896" s="77">
        <v>0</v>
      </c>
      <c r="S3896" s="77">
        <v>4</v>
      </c>
      <c r="T3896" s="77">
        <v>1</v>
      </c>
      <c r="U3896" s="77">
        <v>0</v>
      </c>
      <c r="V3896" s="77">
        <v>1275</v>
      </c>
      <c r="W3896" s="82" t="s">
        <v>6661</v>
      </c>
      <c r="X3896" s="80" t="str">
        <f>HYPERLINK("https://www.moneytimes.com.br/ibovespa-por-que-vale-vale3-e-petrobras-petr4-sobem-cyrela-cyre3-dispara-entenda/")</f>
        <v>https://www.moneytimes.com.br/ibovespa-por-que-vale-vale3-e-petrobras-petr4-sobem-cyrela-cyre3-dispara-entenda/</v>
      </c>
      <c r="Y3896" s="77" t="s">
        <v>7053</v>
      </c>
      <c r="Z3896" s="77"/>
      <c r="AA3896" s="77"/>
      <c r="AB3896" s="77"/>
      <c r="AC3896" s="82" t="s">
        <v>8255</v>
      </c>
      <c r="AD3896" s="77" t="s">
        <v>8278</v>
      </c>
      <c r="AE3896" s="80" t="str">
        <f>HYPERLINK("https://twitter.com/leiamoneytimes/status/1679521636217679879")</f>
        <v>https://twitter.com/leiamoneytimes/status/1679521636217679879</v>
      </c>
      <c r="AF3896" s="79">
        <v>45120.668240740742</v>
      </c>
      <c r="AG3896" s="85">
        <v>45120</v>
      </c>
      <c r="AH3896" s="82" t="s">
        <v>11852</v>
      </c>
      <c r="AI3896" s="77" t="b">
        <v>0</v>
      </c>
      <c r="AJ3896" s="77"/>
      <c r="AK3896" s="77"/>
      <c r="AL3896" s="77"/>
      <c r="AM3896" s="77"/>
      <c r="AN3896" s="77"/>
      <c r="AO3896" s="77"/>
      <c r="AP3896" s="77"/>
      <c r="AQ3896" s="77"/>
      <c r="AR3896" s="77"/>
      <c r="AS3896" s="77"/>
      <c r="AT3896" s="77"/>
      <c r="AU3896" s="77"/>
      <c r="AV3896" s="80" t="str">
        <f>HYPERLINK("https://pbs.twimg.com/profile_images/1559883556846977024/bXHnQFY0_normal.jpg")</f>
        <v>https://pbs.twimg.com/profile_images/1559883556846977024/bXHnQFY0_normal.jpg</v>
      </c>
      <c r="AW3896" s="82" t="s">
        <v>16980</v>
      </c>
      <c r="AX3896" s="82" t="s">
        <v>16980</v>
      </c>
      <c r="AY3896" s="77"/>
      <c r="AZ3896" s="82" t="s">
        <v>17385</v>
      </c>
      <c r="BA3896" s="82" t="s">
        <v>17385</v>
      </c>
      <c r="BB3896" s="82" t="s">
        <v>17385</v>
      </c>
      <c r="BC3896" s="82" t="s">
        <v>16980</v>
      </c>
      <c r="BD3896" s="77">
        <v>51150679</v>
      </c>
      <c r="BE3896" s="77"/>
      <c r="BF3896" s="77"/>
      <c r="BG3896" s="77"/>
      <c r="BH3896" s="77"/>
      <c r="BI3896" s="77"/>
    </row>
    <row r="3897" spans="1:61" x14ac:dyDescent="0.25">
      <c r="A3897" s="62" t="s">
        <v>605</v>
      </c>
      <c r="B3897" s="62" t="s">
        <v>605</v>
      </c>
      <c r="C3897" s="63"/>
      <c r="D3897" s="64"/>
      <c r="E3897" s="65"/>
      <c r="F3897" s="66"/>
      <c r="G3897" s="63"/>
      <c r="H3897" s="67"/>
      <c r="I3897" s="68"/>
      <c r="J3897" s="68"/>
      <c r="K3897" s="32"/>
      <c r="L3897" s="75">
        <v>3897</v>
      </c>
      <c r="M3897" s="75"/>
      <c r="N3897" s="70"/>
      <c r="O3897" s="77" t="s">
        <v>179</v>
      </c>
      <c r="P3897" s="79">
        <v>45120.661574074074</v>
      </c>
      <c r="Q3897" s="77" t="s">
        <v>4671</v>
      </c>
      <c r="R3897" s="77">
        <v>0</v>
      </c>
      <c r="S3897" s="77">
        <v>1</v>
      </c>
      <c r="T3897" s="77">
        <v>1</v>
      </c>
      <c r="U3897" s="77">
        <v>0</v>
      </c>
      <c r="V3897" s="77">
        <v>1074</v>
      </c>
      <c r="W3897" s="82" t="s">
        <v>6903</v>
      </c>
      <c r="X3897" s="80" t="str">
        <f>HYPERLINK("https://www.moneytimes.com.br/blackrock-maior-gestora-do-mundo-compra-acoes-de-vencedora-da-bolsa-brasileira/")</f>
        <v>https://www.moneytimes.com.br/blackrock-maior-gestora-do-mundo-compra-acoes-de-vencedora-da-bolsa-brasileira/</v>
      </c>
      <c r="Y3897" s="77" t="s">
        <v>7053</v>
      </c>
      <c r="Z3897" s="77"/>
      <c r="AA3897" s="77"/>
      <c r="AB3897" s="77"/>
      <c r="AC3897" s="82" t="s">
        <v>8255</v>
      </c>
      <c r="AD3897" s="77" t="s">
        <v>8278</v>
      </c>
      <c r="AE3897" s="80" t="str">
        <f>HYPERLINK("https://twitter.com/leiamoneytimes/status/1679519218692239360")</f>
        <v>https://twitter.com/leiamoneytimes/status/1679519218692239360</v>
      </c>
      <c r="AF3897" s="79">
        <v>45120.661574074074</v>
      </c>
      <c r="AG3897" s="85">
        <v>45120</v>
      </c>
      <c r="AH3897" s="82" t="s">
        <v>11853</v>
      </c>
      <c r="AI3897" s="77" t="b">
        <v>0</v>
      </c>
      <c r="AJ3897" s="77"/>
      <c r="AK3897" s="77"/>
      <c r="AL3897" s="77"/>
      <c r="AM3897" s="77"/>
      <c r="AN3897" s="77"/>
      <c r="AO3897" s="77"/>
      <c r="AP3897" s="77"/>
      <c r="AQ3897" s="77"/>
      <c r="AR3897" s="77"/>
      <c r="AS3897" s="77"/>
      <c r="AT3897" s="77"/>
      <c r="AU3897" s="77"/>
      <c r="AV3897" s="80" t="str">
        <f>HYPERLINK("https://pbs.twimg.com/profile_images/1559883556846977024/bXHnQFY0_normal.jpg")</f>
        <v>https://pbs.twimg.com/profile_images/1559883556846977024/bXHnQFY0_normal.jpg</v>
      </c>
      <c r="AW3897" s="82" t="s">
        <v>16981</v>
      </c>
      <c r="AX3897" s="82" t="s">
        <v>16981</v>
      </c>
      <c r="AY3897" s="77"/>
      <c r="AZ3897" s="82" t="s">
        <v>17385</v>
      </c>
      <c r="BA3897" s="82" t="s">
        <v>17385</v>
      </c>
      <c r="BB3897" s="82" t="s">
        <v>17385</v>
      </c>
      <c r="BC3897" s="82" t="s">
        <v>16981</v>
      </c>
      <c r="BD3897" s="77">
        <v>51150679</v>
      </c>
      <c r="BE3897" s="77"/>
      <c r="BF3897" s="77"/>
      <c r="BG3897" s="77"/>
      <c r="BH3897" s="77"/>
      <c r="BI3897" s="77"/>
    </row>
    <row r="3898" spans="1:61" x14ac:dyDescent="0.25">
      <c r="A3898" s="62" t="s">
        <v>605</v>
      </c>
      <c r="B3898" s="62" t="s">
        <v>605</v>
      </c>
      <c r="C3898" s="63"/>
      <c r="D3898" s="64"/>
      <c r="E3898" s="65"/>
      <c r="F3898" s="66"/>
      <c r="G3898" s="63"/>
      <c r="H3898" s="67"/>
      <c r="I3898" s="68"/>
      <c r="J3898" s="68"/>
      <c r="K3898" s="32"/>
      <c r="L3898" s="75">
        <v>3898</v>
      </c>
      <c r="M3898" s="75"/>
      <c r="N3898" s="70"/>
      <c r="O3898" s="77" t="s">
        <v>179</v>
      </c>
      <c r="P3898" s="79">
        <v>45111.666400462964</v>
      </c>
      <c r="Q3898" s="77" t="s">
        <v>4672</v>
      </c>
      <c r="R3898" s="77">
        <v>0</v>
      </c>
      <c r="S3898" s="77">
        <v>6</v>
      </c>
      <c r="T3898" s="77">
        <v>1</v>
      </c>
      <c r="U3898" s="77">
        <v>0</v>
      </c>
      <c r="V3898" s="77">
        <v>1274</v>
      </c>
      <c r="W3898" s="82" t="s">
        <v>6904</v>
      </c>
      <c r="X3898" s="80" t="str">
        <f>HYPERLINK("https://www.moneytimes.com.br/ibovespa-braskem-brkm5-lidera-as-altas-enquanto-azul-azul4-recua-entenda/")</f>
        <v>https://www.moneytimes.com.br/ibovespa-braskem-brkm5-lidera-as-altas-enquanto-azul-azul4-recua-entenda/</v>
      </c>
      <c r="Y3898" s="77" t="s">
        <v>7053</v>
      </c>
      <c r="Z3898" s="77"/>
      <c r="AA3898" s="77"/>
      <c r="AB3898" s="77"/>
      <c r="AC3898" s="82" t="s">
        <v>8255</v>
      </c>
      <c r="AD3898" s="77" t="s">
        <v>8278</v>
      </c>
      <c r="AE3898" s="80" t="str">
        <f>HYPERLINK("https://twitter.com/leiamoneytimes/status/1676259476582572032")</f>
        <v>https://twitter.com/leiamoneytimes/status/1676259476582572032</v>
      </c>
      <c r="AF3898" s="79">
        <v>45111.666400462964</v>
      </c>
      <c r="AG3898" s="85">
        <v>45111</v>
      </c>
      <c r="AH3898" s="82" t="s">
        <v>11854</v>
      </c>
      <c r="AI3898" s="77" t="b">
        <v>0</v>
      </c>
      <c r="AJ3898" s="77"/>
      <c r="AK3898" s="77"/>
      <c r="AL3898" s="77"/>
      <c r="AM3898" s="77"/>
      <c r="AN3898" s="77"/>
      <c r="AO3898" s="77"/>
      <c r="AP3898" s="77"/>
      <c r="AQ3898" s="77"/>
      <c r="AR3898" s="77"/>
      <c r="AS3898" s="77"/>
      <c r="AT3898" s="77"/>
      <c r="AU3898" s="77"/>
      <c r="AV3898" s="80" t="str">
        <f>HYPERLINK("https://pbs.twimg.com/profile_images/1559883556846977024/bXHnQFY0_normal.jpg")</f>
        <v>https://pbs.twimg.com/profile_images/1559883556846977024/bXHnQFY0_normal.jpg</v>
      </c>
      <c r="AW3898" s="82" t="s">
        <v>16982</v>
      </c>
      <c r="AX3898" s="82" t="s">
        <v>16982</v>
      </c>
      <c r="AY3898" s="77"/>
      <c r="AZ3898" s="82" t="s">
        <v>17385</v>
      </c>
      <c r="BA3898" s="82" t="s">
        <v>17385</v>
      </c>
      <c r="BB3898" s="82" t="s">
        <v>17385</v>
      </c>
      <c r="BC3898" s="82" t="s">
        <v>16982</v>
      </c>
      <c r="BD3898" s="77">
        <v>51150679</v>
      </c>
      <c r="BE3898" s="77"/>
      <c r="BF3898" s="77"/>
      <c r="BG3898" s="77"/>
      <c r="BH3898" s="77"/>
      <c r="BI3898" s="77"/>
    </row>
    <row r="3899" spans="1:61" x14ac:dyDescent="0.25">
      <c r="A3899" s="62" t="s">
        <v>605</v>
      </c>
      <c r="B3899" s="62" t="s">
        <v>605</v>
      </c>
      <c r="C3899" s="63"/>
      <c r="D3899" s="64"/>
      <c r="E3899" s="65"/>
      <c r="F3899" s="66"/>
      <c r="G3899" s="63"/>
      <c r="H3899" s="67"/>
      <c r="I3899" s="68"/>
      <c r="J3899" s="68"/>
      <c r="K3899" s="32"/>
      <c r="L3899" s="75">
        <v>3899</v>
      </c>
      <c r="M3899" s="75"/>
      <c r="N3899" s="70"/>
      <c r="O3899" s="77" t="s">
        <v>179</v>
      </c>
      <c r="P3899" s="79">
        <v>45111.663969907408</v>
      </c>
      <c r="Q3899" s="77" t="s">
        <v>4673</v>
      </c>
      <c r="R3899" s="77">
        <v>0</v>
      </c>
      <c r="S3899" s="77">
        <v>4</v>
      </c>
      <c r="T3899" s="77">
        <v>1</v>
      </c>
      <c r="U3899" s="77">
        <v>0</v>
      </c>
      <c r="V3899" s="77">
        <v>1141</v>
      </c>
      <c r="W3899" s="82" t="s">
        <v>6905</v>
      </c>
      <c r="X3899" s="80" t="str">
        <f>HYPERLINK("https://www.moneytimes.com.br/casino-recebe-ofertas-para-fortalecer-base-de-capital-em-paris-acao-salta-16/")</f>
        <v>https://www.moneytimes.com.br/casino-recebe-ofertas-para-fortalecer-base-de-capital-em-paris-acao-salta-16/</v>
      </c>
      <c r="Y3899" s="77" t="s">
        <v>7053</v>
      </c>
      <c r="Z3899" s="77"/>
      <c r="AA3899" s="77"/>
      <c r="AB3899" s="77"/>
      <c r="AC3899" s="82" t="s">
        <v>8255</v>
      </c>
      <c r="AD3899" s="77" t="s">
        <v>8278</v>
      </c>
      <c r="AE3899" s="80" t="str">
        <f>HYPERLINK("https://twitter.com/leiamoneytimes/status/1676258595992748039")</f>
        <v>https://twitter.com/leiamoneytimes/status/1676258595992748039</v>
      </c>
      <c r="AF3899" s="79">
        <v>45111.663969907408</v>
      </c>
      <c r="AG3899" s="85">
        <v>45111</v>
      </c>
      <c r="AH3899" s="82" t="s">
        <v>8336</v>
      </c>
      <c r="AI3899" s="77" t="b">
        <v>0</v>
      </c>
      <c r="AJ3899" s="77"/>
      <c r="AK3899" s="77"/>
      <c r="AL3899" s="77"/>
      <c r="AM3899" s="77"/>
      <c r="AN3899" s="77"/>
      <c r="AO3899" s="77"/>
      <c r="AP3899" s="77"/>
      <c r="AQ3899" s="77"/>
      <c r="AR3899" s="77"/>
      <c r="AS3899" s="77"/>
      <c r="AT3899" s="77"/>
      <c r="AU3899" s="77"/>
      <c r="AV3899" s="80" t="str">
        <f>HYPERLINK("https://pbs.twimg.com/profile_images/1559883556846977024/bXHnQFY0_normal.jpg")</f>
        <v>https://pbs.twimg.com/profile_images/1559883556846977024/bXHnQFY0_normal.jpg</v>
      </c>
      <c r="AW3899" s="82" t="s">
        <v>16983</v>
      </c>
      <c r="AX3899" s="82" t="s">
        <v>16983</v>
      </c>
      <c r="AY3899" s="77"/>
      <c r="AZ3899" s="82" t="s">
        <v>17385</v>
      </c>
      <c r="BA3899" s="82" t="s">
        <v>17385</v>
      </c>
      <c r="BB3899" s="82" t="s">
        <v>17385</v>
      </c>
      <c r="BC3899" s="82" t="s">
        <v>16983</v>
      </c>
      <c r="BD3899" s="77">
        <v>51150679</v>
      </c>
      <c r="BE3899" s="77"/>
      <c r="BF3899" s="77"/>
      <c r="BG3899" s="77"/>
      <c r="BH3899" s="77"/>
      <c r="BI3899" s="77"/>
    </row>
    <row r="3900" spans="1:61" x14ac:dyDescent="0.25">
      <c r="A3900" s="62" t="s">
        <v>605</v>
      </c>
      <c r="B3900" s="62" t="s">
        <v>605</v>
      </c>
      <c r="C3900" s="63"/>
      <c r="D3900" s="64"/>
      <c r="E3900" s="65"/>
      <c r="F3900" s="66"/>
      <c r="G3900" s="63"/>
      <c r="H3900" s="67"/>
      <c r="I3900" s="68"/>
      <c r="J3900" s="68"/>
      <c r="K3900" s="32"/>
      <c r="L3900" s="75">
        <v>3900</v>
      </c>
      <c r="M3900" s="75"/>
      <c r="N3900" s="70"/>
      <c r="O3900" s="77" t="s">
        <v>179</v>
      </c>
      <c r="P3900" s="79">
        <v>45111.506840277776</v>
      </c>
      <c r="Q3900" s="77" t="s">
        <v>4674</v>
      </c>
      <c r="R3900" s="77">
        <v>2</v>
      </c>
      <c r="S3900" s="77">
        <v>4</v>
      </c>
      <c r="T3900" s="77">
        <v>0</v>
      </c>
      <c r="U3900" s="77">
        <v>0</v>
      </c>
      <c r="V3900" s="77">
        <v>1396</v>
      </c>
      <c r="W3900" s="82" t="s">
        <v>6906</v>
      </c>
      <c r="X3900" s="80" t="str">
        <f>HYPERLINK("https://www.moneytimes.com.br/vale-vale3-itau-itub4-e-mais-3-acoes-para-lucrar-com-dividendos-este-mes-segundo-a-empiricus-research/")</f>
        <v>https://www.moneytimes.com.br/vale-vale3-itau-itub4-e-mais-3-acoes-para-lucrar-com-dividendos-este-mes-segundo-a-empiricus-research/</v>
      </c>
      <c r="Y3900" s="77" t="s">
        <v>7053</v>
      </c>
      <c r="Z3900" s="77"/>
      <c r="AA3900" s="77"/>
      <c r="AB3900" s="77"/>
      <c r="AC3900" s="82" t="s">
        <v>8255</v>
      </c>
      <c r="AD3900" s="77" t="s">
        <v>8278</v>
      </c>
      <c r="AE3900" s="80" t="str">
        <f>HYPERLINK("https://twitter.com/leiamoneytimes/status/1676201653953871873")</f>
        <v>https://twitter.com/leiamoneytimes/status/1676201653953871873</v>
      </c>
      <c r="AF3900" s="79">
        <v>45111.506840277776</v>
      </c>
      <c r="AG3900" s="85">
        <v>45111</v>
      </c>
      <c r="AH3900" s="82" t="s">
        <v>11855</v>
      </c>
      <c r="AI3900" s="77" t="b">
        <v>0</v>
      </c>
      <c r="AJ3900" s="77"/>
      <c r="AK3900" s="77"/>
      <c r="AL3900" s="77"/>
      <c r="AM3900" s="77"/>
      <c r="AN3900" s="77"/>
      <c r="AO3900" s="77"/>
      <c r="AP3900" s="77"/>
      <c r="AQ3900" s="77"/>
      <c r="AR3900" s="77"/>
      <c r="AS3900" s="77"/>
      <c r="AT3900" s="77"/>
      <c r="AU3900" s="77"/>
      <c r="AV3900" s="80" t="str">
        <f>HYPERLINK("https://pbs.twimg.com/profile_images/1559883556846977024/bXHnQFY0_normal.jpg")</f>
        <v>https://pbs.twimg.com/profile_images/1559883556846977024/bXHnQFY0_normal.jpg</v>
      </c>
      <c r="AW3900" s="82" t="s">
        <v>16984</v>
      </c>
      <c r="AX3900" s="82" t="s">
        <v>16984</v>
      </c>
      <c r="AY3900" s="77"/>
      <c r="AZ3900" s="82" t="s">
        <v>17385</v>
      </c>
      <c r="BA3900" s="82" t="s">
        <v>17385</v>
      </c>
      <c r="BB3900" s="82" t="s">
        <v>17385</v>
      </c>
      <c r="BC3900" s="82" t="s">
        <v>16984</v>
      </c>
      <c r="BD3900" s="77">
        <v>51150679</v>
      </c>
      <c r="BE3900" s="77"/>
      <c r="BF3900" s="77"/>
      <c r="BG3900" s="77"/>
      <c r="BH3900" s="77"/>
      <c r="BI3900" s="77"/>
    </row>
    <row r="3901" spans="1:61" x14ac:dyDescent="0.25">
      <c r="A3901" s="62" t="s">
        <v>605</v>
      </c>
      <c r="B3901" s="62" t="s">
        <v>605</v>
      </c>
      <c r="C3901" s="63"/>
      <c r="D3901" s="64"/>
      <c r="E3901" s="65"/>
      <c r="F3901" s="66"/>
      <c r="G3901" s="63"/>
      <c r="H3901" s="67"/>
      <c r="I3901" s="68"/>
      <c r="J3901" s="68"/>
      <c r="K3901" s="32"/>
      <c r="L3901" s="75">
        <v>3901</v>
      </c>
      <c r="M3901" s="75"/>
      <c r="N3901" s="70"/>
      <c r="O3901" s="77" t="s">
        <v>179</v>
      </c>
      <c r="P3901" s="79">
        <v>45096.588391203702</v>
      </c>
      <c r="Q3901" s="77" t="s">
        <v>4675</v>
      </c>
      <c r="R3901" s="77">
        <v>0</v>
      </c>
      <c r="S3901" s="77">
        <v>7</v>
      </c>
      <c r="T3901" s="77">
        <v>2</v>
      </c>
      <c r="U3901" s="77">
        <v>1</v>
      </c>
      <c r="V3901" s="77">
        <v>7635</v>
      </c>
      <c r="W3901" s="82" t="s">
        <v>6692</v>
      </c>
      <c r="X3901" s="80" t="str">
        <f>HYPERLINK("https://www.moneytimes.com.br/por-que-a-light-ligt3-despenca-11-nesta-segunda-feira-19/")</f>
        <v>https://www.moneytimes.com.br/por-que-a-light-ligt3-despenca-11-nesta-segunda-feira-19/</v>
      </c>
      <c r="Y3901" s="77" t="s">
        <v>7053</v>
      </c>
      <c r="Z3901" s="77"/>
      <c r="AA3901" s="77"/>
      <c r="AB3901" s="77"/>
      <c r="AC3901" s="82" t="s">
        <v>8255</v>
      </c>
      <c r="AD3901" s="77" t="s">
        <v>8278</v>
      </c>
      <c r="AE3901" s="80" t="str">
        <f>HYPERLINK("https://twitter.com/leiamoneytimes/status/1670795390893928454")</f>
        <v>https://twitter.com/leiamoneytimes/status/1670795390893928454</v>
      </c>
      <c r="AF3901" s="79">
        <v>45096.588391203702</v>
      </c>
      <c r="AG3901" s="85">
        <v>45096</v>
      </c>
      <c r="AH3901" s="82" t="s">
        <v>11856</v>
      </c>
      <c r="AI3901" s="77" t="b">
        <v>0</v>
      </c>
      <c r="AJ3901" s="77"/>
      <c r="AK3901" s="77"/>
      <c r="AL3901" s="77"/>
      <c r="AM3901" s="77"/>
      <c r="AN3901" s="77"/>
      <c r="AO3901" s="77"/>
      <c r="AP3901" s="77"/>
      <c r="AQ3901" s="77"/>
      <c r="AR3901" s="77"/>
      <c r="AS3901" s="77"/>
      <c r="AT3901" s="77"/>
      <c r="AU3901" s="77"/>
      <c r="AV3901" s="80" t="str">
        <f>HYPERLINK("https://pbs.twimg.com/profile_images/1559883556846977024/bXHnQFY0_normal.jpg")</f>
        <v>https://pbs.twimg.com/profile_images/1559883556846977024/bXHnQFY0_normal.jpg</v>
      </c>
      <c r="AW3901" s="82" t="s">
        <v>16985</v>
      </c>
      <c r="AX3901" s="82" t="s">
        <v>16985</v>
      </c>
      <c r="AY3901" s="77"/>
      <c r="AZ3901" s="82" t="s">
        <v>17385</v>
      </c>
      <c r="BA3901" s="82" t="s">
        <v>17385</v>
      </c>
      <c r="BB3901" s="82" t="s">
        <v>17385</v>
      </c>
      <c r="BC3901" s="82" t="s">
        <v>16985</v>
      </c>
      <c r="BD3901" s="77">
        <v>51150679</v>
      </c>
      <c r="BE3901" s="77"/>
      <c r="BF3901" s="77"/>
      <c r="BG3901" s="77"/>
      <c r="BH3901" s="77"/>
      <c r="BI3901" s="77"/>
    </row>
    <row r="3902" spans="1:61" x14ac:dyDescent="0.25">
      <c r="A3902" s="62" t="s">
        <v>605</v>
      </c>
      <c r="B3902" s="62" t="s">
        <v>605</v>
      </c>
      <c r="C3902" s="63"/>
      <c r="D3902" s="64"/>
      <c r="E3902" s="65"/>
      <c r="F3902" s="66"/>
      <c r="G3902" s="63"/>
      <c r="H3902" s="67"/>
      <c r="I3902" s="68"/>
      <c r="J3902" s="68"/>
      <c r="K3902" s="32"/>
      <c r="L3902" s="75">
        <v>3902</v>
      </c>
      <c r="M3902" s="75"/>
      <c r="N3902" s="70"/>
      <c r="O3902" s="77" t="s">
        <v>179</v>
      </c>
      <c r="P3902" s="79">
        <v>45096.466099537036</v>
      </c>
      <c r="Q3902" s="77" t="s">
        <v>4676</v>
      </c>
      <c r="R3902" s="77">
        <v>0</v>
      </c>
      <c r="S3902" s="77">
        <v>3</v>
      </c>
      <c r="T3902" s="77">
        <v>1</v>
      </c>
      <c r="U3902" s="77">
        <v>0</v>
      </c>
      <c r="V3902" s="77">
        <v>1457</v>
      </c>
      <c r="W3902" s="82" t="s">
        <v>6598</v>
      </c>
      <c r="X3902" s="80" t="str">
        <f>HYPERLINK("https://www.moneytimes.com.br/bolsas-asiaticas-acoes-da-china-caem-enquanto-mercados-aguardam-mais-estimulos/")</f>
        <v>https://www.moneytimes.com.br/bolsas-asiaticas-acoes-da-china-caem-enquanto-mercados-aguardam-mais-estimulos/</v>
      </c>
      <c r="Y3902" s="77" t="s">
        <v>7053</v>
      </c>
      <c r="Z3902" s="77"/>
      <c r="AA3902" s="77"/>
      <c r="AB3902" s="77"/>
      <c r="AC3902" s="82" t="s">
        <v>8255</v>
      </c>
      <c r="AD3902" s="77" t="s">
        <v>8278</v>
      </c>
      <c r="AE3902" s="80" t="str">
        <f>HYPERLINK("https://twitter.com/leiamoneytimes/status/1670751071776436224")</f>
        <v>https://twitter.com/leiamoneytimes/status/1670751071776436224</v>
      </c>
      <c r="AF3902" s="79">
        <v>45096.466099537036</v>
      </c>
      <c r="AG3902" s="85">
        <v>45096</v>
      </c>
      <c r="AH3902" s="82" t="s">
        <v>11857</v>
      </c>
      <c r="AI3902" s="77" t="b">
        <v>0</v>
      </c>
      <c r="AJ3902" s="77"/>
      <c r="AK3902" s="77"/>
      <c r="AL3902" s="77"/>
      <c r="AM3902" s="77"/>
      <c r="AN3902" s="77"/>
      <c r="AO3902" s="77"/>
      <c r="AP3902" s="77"/>
      <c r="AQ3902" s="77"/>
      <c r="AR3902" s="77"/>
      <c r="AS3902" s="77"/>
      <c r="AT3902" s="77"/>
      <c r="AU3902" s="77"/>
      <c r="AV3902" s="80" t="str">
        <f>HYPERLINK("https://pbs.twimg.com/profile_images/1559883556846977024/bXHnQFY0_normal.jpg")</f>
        <v>https://pbs.twimg.com/profile_images/1559883556846977024/bXHnQFY0_normal.jpg</v>
      </c>
      <c r="AW3902" s="82" t="s">
        <v>16986</v>
      </c>
      <c r="AX3902" s="82" t="s">
        <v>16986</v>
      </c>
      <c r="AY3902" s="77"/>
      <c r="AZ3902" s="82" t="s">
        <v>17385</v>
      </c>
      <c r="BA3902" s="82" t="s">
        <v>17385</v>
      </c>
      <c r="BB3902" s="82" t="s">
        <v>17385</v>
      </c>
      <c r="BC3902" s="82" t="s">
        <v>16986</v>
      </c>
      <c r="BD3902" s="77">
        <v>51150679</v>
      </c>
      <c r="BE3902" s="77"/>
      <c r="BF3902" s="77"/>
      <c r="BG3902" s="77"/>
      <c r="BH3902" s="77"/>
      <c r="BI3902" s="77"/>
    </row>
    <row r="3903" spans="1:61" x14ac:dyDescent="0.25">
      <c r="A3903" s="62" t="s">
        <v>605</v>
      </c>
      <c r="B3903" s="62" t="s">
        <v>605</v>
      </c>
      <c r="C3903" s="63"/>
      <c r="D3903" s="64"/>
      <c r="E3903" s="65"/>
      <c r="F3903" s="66"/>
      <c r="G3903" s="63"/>
      <c r="H3903" s="67"/>
      <c r="I3903" s="68"/>
      <c r="J3903" s="68"/>
      <c r="K3903" s="32"/>
      <c r="L3903" s="75">
        <v>3903</v>
      </c>
      <c r="M3903" s="75"/>
      <c r="N3903" s="70"/>
      <c r="O3903" s="77" t="s">
        <v>179</v>
      </c>
      <c r="P3903" s="79">
        <v>45096.424178240741</v>
      </c>
      <c r="Q3903" s="77" t="s">
        <v>4677</v>
      </c>
      <c r="R3903" s="77">
        <v>0</v>
      </c>
      <c r="S3903" s="77">
        <v>5</v>
      </c>
      <c r="T3903" s="77">
        <v>1</v>
      </c>
      <c r="U3903" s="77">
        <v>0</v>
      </c>
      <c r="V3903" s="77">
        <v>1965</v>
      </c>
      <c r="W3903" s="82" t="s">
        <v>6883</v>
      </c>
      <c r="X3903" s="80" t="str">
        <f>HYPERLINK("https://www.moneytimes.com.br/tempo-real-ibovespa-tenta-recuperacao-nesta-segunda-feira-19-com-copom-a-vista/")</f>
        <v>https://www.moneytimes.com.br/tempo-real-ibovespa-tenta-recuperacao-nesta-segunda-feira-19-com-copom-a-vista/</v>
      </c>
      <c r="Y3903" s="77" t="s">
        <v>7053</v>
      </c>
      <c r="Z3903" s="77"/>
      <c r="AA3903" s="77"/>
      <c r="AB3903" s="77"/>
      <c r="AC3903" s="82" t="s">
        <v>8255</v>
      </c>
      <c r="AD3903" s="77" t="s">
        <v>8278</v>
      </c>
      <c r="AE3903" s="80" t="str">
        <f>HYPERLINK("https://twitter.com/leiamoneytimes/status/1670735882859474948")</f>
        <v>https://twitter.com/leiamoneytimes/status/1670735882859474948</v>
      </c>
      <c r="AF3903" s="79">
        <v>45096.424178240741</v>
      </c>
      <c r="AG3903" s="85">
        <v>45096</v>
      </c>
      <c r="AH3903" s="82" t="s">
        <v>11858</v>
      </c>
      <c r="AI3903" s="77" t="b">
        <v>0</v>
      </c>
      <c r="AJ3903" s="77"/>
      <c r="AK3903" s="77"/>
      <c r="AL3903" s="77"/>
      <c r="AM3903" s="77"/>
      <c r="AN3903" s="77"/>
      <c r="AO3903" s="77"/>
      <c r="AP3903" s="77"/>
      <c r="AQ3903" s="77"/>
      <c r="AR3903" s="77"/>
      <c r="AS3903" s="77"/>
      <c r="AT3903" s="77"/>
      <c r="AU3903" s="77"/>
      <c r="AV3903" s="80" t="str">
        <f>HYPERLINK("https://pbs.twimg.com/profile_images/1559883556846977024/bXHnQFY0_normal.jpg")</f>
        <v>https://pbs.twimg.com/profile_images/1559883556846977024/bXHnQFY0_normal.jpg</v>
      </c>
      <c r="AW3903" s="82" t="s">
        <v>16987</v>
      </c>
      <c r="AX3903" s="82" t="s">
        <v>16987</v>
      </c>
      <c r="AY3903" s="77"/>
      <c r="AZ3903" s="82" t="s">
        <v>17385</v>
      </c>
      <c r="BA3903" s="82" t="s">
        <v>17385</v>
      </c>
      <c r="BB3903" s="82" t="s">
        <v>17385</v>
      </c>
      <c r="BC3903" s="82" t="s">
        <v>16987</v>
      </c>
      <c r="BD3903" s="77">
        <v>51150679</v>
      </c>
      <c r="BE3903" s="77"/>
      <c r="BF3903" s="77"/>
      <c r="BG3903" s="77"/>
      <c r="BH3903" s="77"/>
      <c r="BI3903" s="77"/>
    </row>
    <row r="3904" spans="1:61" x14ac:dyDescent="0.25">
      <c r="A3904" s="62" t="s">
        <v>605</v>
      </c>
      <c r="B3904" s="62" t="s">
        <v>605</v>
      </c>
      <c r="C3904" s="63"/>
      <c r="D3904" s="64"/>
      <c r="E3904" s="65"/>
      <c r="F3904" s="66"/>
      <c r="G3904" s="63"/>
      <c r="H3904" s="67"/>
      <c r="I3904" s="68"/>
      <c r="J3904" s="68"/>
      <c r="K3904" s="32"/>
      <c r="L3904" s="75">
        <v>3904</v>
      </c>
      <c r="M3904" s="75"/>
      <c r="N3904" s="70"/>
      <c r="O3904" s="77" t="s">
        <v>179</v>
      </c>
      <c r="P3904" s="79">
        <v>45089.681307870371</v>
      </c>
      <c r="Q3904" s="77" t="s">
        <v>4678</v>
      </c>
      <c r="R3904" s="77">
        <v>0</v>
      </c>
      <c r="S3904" s="77">
        <v>6</v>
      </c>
      <c r="T3904" s="77">
        <v>1</v>
      </c>
      <c r="U3904" s="77">
        <v>0</v>
      </c>
      <c r="V3904" s="77">
        <v>2088</v>
      </c>
      <c r="W3904" s="82" t="s">
        <v>6907</v>
      </c>
      <c r="X3904" s="80" t="str">
        <f>HYPERLINK("https://www.moneytimes.com.br/vale-vale3-e-outras-acoes-ligadas-ao-minerio-de-ferro-enfrentam-dia-dificil-na-bolsa-banco-faz-alerta/")</f>
        <v>https://www.moneytimes.com.br/vale-vale3-e-outras-acoes-ligadas-ao-minerio-de-ferro-enfrentam-dia-dificil-na-bolsa-banco-faz-alerta/</v>
      </c>
      <c r="Y3904" s="77" t="s">
        <v>7053</v>
      </c>
      <c r="Z3904" s="77"/>
      <c r="AA3904" s="77"/>
      <c r="AB3904" s="77"/>
      <c r="AC3904" s="82" t="s">
        <v>8255</v>
      </c>
      <c r="AD3904" s="77" t="s">
        <v>8278</v>
      </c>
      <c r="AE3904" s="80" t="str">
        <f>HYPERLINK("https://twitter.com/leiamoneytimes/status/1668292347531018240")</f>
        <v>https://twitter.com/leiamoneytimes/status/1668292347531018240</v>
      </c>
      <c r="AF3904" s="79">
        <v>45089.681307870371</v>
      </c>
      <c r="AG3904" s="85">
        <v>45089</v>
      </c>
      <c r="AH3904" s="82" t="s">
        <v>11859</v>
      </c>
      <c r="AI3904" s="77" t="b">
        <v>0</v>
      </c>
      <c r="AJ3904" s="77"/>
      <c r="AK3904" s="77"/>
      <c r="AL3904" s="77"/>
      <c r="AM3904" s="77"/>
      <c r="AN3904" s="77"/>
      <c r="AO3904" s="77"/>
      <c r="AP3904" s="77"/>
      <c r="AQ3904" s="77"/>
      <c r="AR3904" s="77"/>
      <c r="AS3904" s="77"/>
      <c r="AT3904" s="77"/>
      <c r="AU3904" s="77"/>
      <c r="AV3904" s="80" t="str">
        <f>HYPERLINK("https://pbs.twimg.com/profile_images/1559883556846977024/bXHnQFY0_normal.jpg")</f>
        <v>https://pbs.twimg.com/profile_images/1559883556846977024/bXHnQFY0_normal.jpg</v>
      </c>
      <c r="AW3904" s="82" t="s">
        <v>16988</v>
      </c>
      <c r="AX3904" s="82" t="s">
        <v>16988</v>
      </c>
      <c r="AY3904" s="77"/>
      <c r="AZ3904" s="82" t="s">
        <v>17385</v>
      </c>
      <c r="BA3904" s="82" t="s">
        <v>17385</v>
      </c>
      <c r="BB3904" s="82" t="s">
        <v>17385</v>
      </c>
      <c r="BC3904" s="82" t="s">
        <v>16988</v>
      </c>
      <c r="BD3904" s="77">
        <v>51150679</v>
      </c>
      <c r="BE3904" s="77"/>
      <c r="BF3904" s="77"/>
      <c r="BG3904" s="77"/>
      <c r="BH3904" s="77"/>
      <c r="BI3904" s="77"/>
    </row>
    <row r="3905" spans="1:61" x14ac:dyDescent="0.25">
      <c r="A3905" s="62" t="s">
        <v>605</v>
      </c>
      <c r="B3905" s="62" t="s">
        <v>605</v>
      </c>
      <c r="C3905" s="63"/>
      <c r="D3905" s="64"/>
      <c r="E3905" s="65"/>
      <c r="F3905" s="66"/>
      <c r="G3905" s="63"/>
      <c r="H3905" s="67"/>
      <c r="I3905" s="68"/>
      <c r="J3905" s="68"/>
      <c r="K3905" s="32"/>
      <c r="L3905" s="75">
        <v>3905</v>
      </c>
      <c r="M3905" s="75"/>
      <c r="N3905" s="70"/>
      <c r="O3905" s="77" t="s">
        <v>179</v>
      </c>
      <c r="P3905" s="79">
        <v>45089.669583333336</v>
      </c>
      <c r="Q3905" s="77" t="s">
        <v>4679</v>
      </c>
      <c r="R3905" s="77">
        <v>0</v>
      </c>
      <c r="S3905" s="77">
        <v>7</v>
      </c>
      <c r="T3905" s="77">
        <v>1</v>
      </c>
      <c r="U3905" s="77">
        <v>0</v>
      </c>
      <c r="V3905" s="77">
        <v>2097</v>
      </c>
      <c r="W3905" s="82" t="s">
        <v>6908</v>
      </c>
      <c r="X3905" s="80" t="str">
        <f>HYPERLINK("https://www.moneytimes.com.br/empresa-que-pode-ser-comprada-dispara-nesta-segunda-e-nao-e-a-braskem-brkm5/")</f>
        <v>https://www.moneytimes.com.br/empresa-que-pode-ser-comprada-dispara-nesta-segunda-e-nao-e-a-braskem-brkm5/</v>
      </c>
      <c r="Y3905" s="77" t="s">
        <v>7053</v>
      </c>
      <c r="Z3905" s="77"/>
      <c r="AA3905" s="77"/>
      <c r="AB3905" s="77"/>
      <c r="AC3905" s="82" t="s">
        <v>8255</v>
      </c>
      <c r="AD3905" s="77" t="s">
        <v>8278</v>
      </c>
      <c r="AE3905" s="80" t="str">
        <f>HYPERLINK("https://twitter.com/leiamoneytimes/status/1668288097228922883")</f>
        <v>https://twitter.com/leiamoneytimes/status/1668288097228922883</v>
      </c>
      <c r="AF3905" s="79">
        <v>45089.669583333336</v>
      </c>
      <c r="AG3905" s="85">
        <v>45089</v>
      </c>
      <c r="AH3905" s="82" t="s">
        <v>11860</v>
      </c>
      <c r="AI3905" s="77" t="b">
        <v>0</v>
      </c>
      <c r="AJ3905" s="77"/>
      <c r="AK3905" s="77"/>
      <c r="AL3905" s="77"/>
      <c r="AM3905" s="77"/>
      <c r="AN3905" s="77"/>
      <c r="AO3905" s="77"/>
      <c r="AP3905" s="77"/>
      <c r="AQ3905" s="77"/>
      <c r="AR3905" s="77"/>
      <c r="AS3905" s="77"/>
      <c r="AT3905" s="77"/>
      <c r="AU3905" s="77"/>
      <c r="AV3905" s="80" t="str">
        <f>HYPERLINK("https://pbs.twimg.com/profile_images/1559883556846977024/bXHnQFY0_normal.jpg")</f>
        <v>https://pbs.twimg.com/profile_images/1559883556846977024/bXHnQFY0_normal.jpg</v>
      </c>
      <c r="AW3905" s="82" t="s">
        <v>16989</v>
      </c>
      <c r="AX3905" s="82" t="s">
        <v>16989</v>
      </c>
      <c r="AY3905" s="77"/>
      <c r="AZ3905" s="82" t="s">
        <v>17385</v>
      </c>
      <c r="BA3905" s="82" t="s">
        <v>17385</v>
      </c>
      <c r="BB3905" s="82" t="s">
        <v>17385</v>
      </c>
      <c r="BC3905" s="82" t="s">
        <v>16989</v>
      </c>
      <c r="BD3905" s="77">
        <v>51150679</v>
      </c>
      <c r="BE3905" s="77"/>
      <c r="BF3905" s="77"/>
      <c r="BG3905" s="77"/>
      <c r="BH3905" s="77"/>
      <c r="BI3905" s="77"/>
    </row>
    <row r="3906" spans="1:61" x14ac:dyDescent="0.25">
      <c r="A3906" s="62" t="s">
        <v>605</v>
      </c>
      <c r="B3906" s="62" t="s">
        <v>605</v>
      </c>
      <c r="C3906" s="63"/>
      <c r="D3906" s="64"/>
      <c r="E3906" s="65"/>
      <c r="F3906" s="66"/>
      <c r="G3906" s="63"/>
      <c r="H3906" s="67"/>
      <c r="I3906" s="68"/>
      <c r="J3906" s="68"/>
      <c r="K3906" s="32"/>
      <c r="L3906" s="75">
        <v>3906</v>
      </c>
      <c r="M3906" s="75"/>
      <c r="N3906" s="70"/>
      <c r="O3906" s="77" t="s">
        <v>179</v>
      </c>
      <c r="P3906" s="79">
        <v>45089.619108796294</v>
      </c>
      <c r="Q3906" s="77" t="s">
        <v>4680</v>
      </c>
      <c r="R3906" s="77">
        <v>0</v>
      </c>
      <c r="S3906" s="77">
        <v>2</v>
      </c>
      <c r="T3906" s="77">
        <v>1</v>
      </c>
      <c r="U3906" s="77">
        <v>0</v>
      </c>
      <c r="V3906" s="77">
        <v>1702</v>
      </c>
      <c r="W3906" s="82" t="s">
        <v>6708</v>
      </c>
      <c r="X3906" s="80" t="str">
        <f>HYPERLINK("https://www.moneytimes.com.br/3r-petroleum-rrrp3-dois-fatores-que-pesam-sobre-as-acoes-nesta-segunda-12/")</f>
        <v>https://www.moneytimes.com.br/3r-petroleum-rrrp3-dois-fatores-que-pesam-sobre-as-acoes-nesta-segunda-12/</v>
      </c>
      <c r="Y3906" s="77" t="s">
        <v>7053</v>
      </c>
      <c r="Z3906" s="77"/>
      <c r="AA3906" s="77"/>
      <c r="AB3906" s="77"/>
      <c r="AC3906" s="82" t="s">
        <v>8255</v>
      </c>
      <c r="AD3906" s="77" t="s">
        <v>8278</v>
      </c>
      <c r="AE3906" s="80" t="str">
        <f>HYPERLINK("https://twitter.com/leiamoneytimes/status/1668269808566038529")</f>
        <v>https://twitter.com/leiamoneytimes/status/1668269808566038529</v>
      </c>
      <c r="AF3906" s="79">
        <v>45089.619108796294</v>
      </c>
      <c r="AG3906" s="85">
        <v>45089</v>
      </c>
      <c r="AH3906" s="82" t="s">
        <v>11861</v>
      </c>
      <c r="AI3906" s="77" t="b">
        <v>0</v>
      </c>
      <c r="AJ3906" s="77"/>
      <c r="AK3906" s="77"/>
      <c r="AL3906" s="77"/>
      <c r="AM3906" s="77"/>
      <c r="AN3906" s="77"/>
      <c r="AO3906" s="77"/>
      <c r="AP3906" s="77"/>
      <c r="AQ3906" s="77"/>
      <c r="AR3906" s="77"/>
      <c r="AS3906" s="77"/>
      <c r="AT3906" s="77"/>
      <c r="AU3906" s="77"/>
      <c r="AV3906" s="80" t="str">
        <f>HYPERLINK("https://pbs.twimg.com/profile_images/1559883556846977024/bXHnQFY0_normal.jpg")</f>
        <v>https://pbs.twimg.com/profile_images/1559883556846977024/bXHnQFY0_normal.jpg</v>
      </c>
      <c r="AW3906" s="82" t="s">
        <v>16990</v>
      </c>
      <c r="AX3906" s="82" t="s">
        <v>16990</v>
      </c>
      <c r="AY3906" s="77"/>
      <c r="AZ3906" s="82" t="s">
        <v>17385</v>
      </c>
      <c r="BA3906" s="82" t="s">
        <v>17385</v>
      </c>
      <c r="BB3906" s="82" t="s">
        <v>17385</v>
      </c>
      <c r="BC3906" s="82" t="s">
        <v>16990</v>
      </c>
      <c r="BD3906" s="77">
        <v>51150679</v>
      </c>
      <c r="BE3906" s="77"/>
      <c r="BF3906" s="77"/>
      <c r="BG3906" s="77"/>
      <c r="BH3906" s="77"/>
      <c r="BI3906" s="77"/>
    </row>
    <row r="3907" spans="1:61" x14ac:dyDescent="0.25">
      <c r="A3907" s="62" t="s">
        <v>605</v>
      </c>
      <c r="B3907" s="62" t="s">
        <v>605</v>
      </c>
      <c r="C3907" s="63"/>
      <c r="D3907" s="64"/>
      <c r="E3907" s="65"/>
      <c r="F3907" s="66"/>
      <c r="G3907" s="63"/>
      <c r="H3907" s="67"/>
      <c r="I3907" s="68"/>
      <c r="J3907" s="68"/>
      <c r="K3907" s="32"/>
      <c r="L3907" s="75">
        <v>3907</v>
      </c>
      <c r="M3907" s="75"/>
      <c r="N3907" s="70"/>
      <c r="O3907" s="77" t="s">
        <v>179</v>
      </c>
      <c r="P3907" s="79">
        <v>45089.472500000003</v>
      </c>
      <c r="Q3907" s="77" t="s">
        <v>4681</v>
      </c>
      <c r="R3907" s="77">
        <v>0</v>
      </c>
      <c r="S3907" s="77">
        <v>9</v>
      </c>
      <c r="T3907" s="77">
        <v>1</v>
      </c>
      <c r="U3907" s="77">
        <v>0</v>
      </c>
      <c r="V3907" s="77">
        <v>2217</v>
      </c>
      <c r="W3907" s="82" t="s">
        <v>6909</v>
      </c>
      <c r="X3907" s="80" t="str">
        <f>HYPERLINK("https://www.moneytimes.com.br/proposta-de-compra-da-braskem-brkm5-dividendos-da-semana-e-mais-destaques-desta-segunda-12/")</f>
        <v>https://www.moneytimes.com.br/proposta-de-compra-da-braskem-brkm5-dividendos-da-semana-e-mais-destaques-desta-segunda-12/</v>
      </c>
      <c r="Y3907" s="77" t="s">
        <v>7053</v>
      </c>
      <c r="Z3907" s="77"/>
      <c r="AA3907" s="77"/>
      <c r="AB3907" s="77"/>
      <c r="AC3907" s="82" t="s">
        <v>8255</v>
      </c>
      <c r="AD3907" s="77" t="s">
        <v>8278</v>
      </c>
      <c r="AE3907" s="80" t="str">
        <f>HYPERLINK("https://twitter.com/leiamoneytimes/status/1668216676834242561")</f>
        <v>https://twitter.com/leiamoneytimes/status/1668216676834242561</v>
      </c>
      <c r="AF3907" s="79">
        <v>45089.472500000003</v>
      </c>
      <c r="AG3907" s="85">
        <v>45089</v>
      </c>
      <c r="AH3907" s="82" t="s">
        <v>11862</v>
      </c>
      <c r="AI3907" s="77" t="b">
        <v>0</v>
      </c>
      <c r="AJ3907" s="77"/>
      <c r="AK3907" s="77"/>
      <c r="AL3907" s="77"/>
      <c r="AM3907" s="77"/>
      <c r="AN3907" s="77"/>
      <c r="AO3907" s="77"/>
      <c r="AP3907" s="77"/>
      <c r="AQ3907" s="77"/>
      <c r="AR3907" s="77"/>
      <c r="AS3907" s="77"/>
      <c r="AT3907" s="77"/>
      <c r="AU3907" s="77"/>
      <c r="AV3907" s="80" t="str">
        <f>HYPERLINK("https://pbs.twimg.com/profile_images/1559883556846977024/bXHnQFY0_normal.jpg")</f>
        <v>https://pbs.twimg.com/profile_images/1559883556846977024/bXHnQFY0_normal.jpg</v>
      </c>
      <c r="AW3907" s="82" t="s">
        <v>16991</v>
      </c>
      <c r="AX3907" s="82" t="s">
        <v>16991</v>
      </c>
      <c r="AY3907" s="77"/>
      <c r="AZ3907" s="82" t="s">
        <v>17385</v>
      </c>
      <c r="BA3907" s="82" t="s">
        <v>17385</v>
      </c>
      <c r="BB3907" s="82" t="s">
        <v>17385</v>
      </c>
      <c r="BC3907" s="82" t="s">
        <v>16991</v>
      </c>
      <c r="BD3907" s="77">
        <v>51150679</v>
      </c>
      <c r="BE3907" s="77"/>
      <c r="BF3907" s="77"/>
      <c r="BG3907" s="77"/>
      <c r="BH3907" s="77"/>
      <c r="BI3907" s="77"/>
    </row>
    <row r="3908" spans="1:61" x14ac:dyDescent="0.25">
      <c r="A3908" s="62" t="s">
        <v>605</v>
      </c>
      <c r="B3908" s="62" t="s">
        <v>605</v>
      </c>
      <c r="C3908" s="63"/>
      <c r="D3908" s="64"/>
      <c r="E3908" s="65"/>
      <c r="F3908" s="66"/>
      <c r="G3908" s="63"/>
      <c r="H3908" s="67"/>
      <c r="I3908" s="68"/>
      <c r="J3908" s="68"/>
      <c r="K3908" s="32"/>
      <c r="L3908" s="75">
        <v>3908</v>
      </c>
      <c r="M3908" s="75"/>
      <c r="N3908" s="70"/>
      <c r="O3908" s="77" t="s">
        <v>179</v>
      </c>
      <c r="P3908" s="79">
        <v>45089.454675925925</v>
      </c>
      <c r="Q3908" s="77" t="s">
        <v>4682</v>
      </c>
      <c r="R3908" s="77">
        <v>0</v>
      </c>
      <c r="S3908" s="77">
        <v>2</v>
      </c>
      <c r="T3908" s="77">
        <v>1</v>
      </c>
      <c r="U3908" s="77">
        <v>0</v>
      </c>
      <c r="V3908" s="77">
        <v>1434</v>
      </c>
      <c r="W3908" s="82" t="s">
        <v>6564</v>
      </c>
      <c r="X3908" s="80" t="str">
        <f>HYPERLINK("https://www.moneytimes.com.br/bolsas-asiaticas-acoes-da-china-e-hong-kong-fecham-quase-estaveis-enquanto-investidores-se-preparam-para-novos-dados/")</f>
        <v>https://www.moneytimes.com.br/bolsas-asiaticas-acoes-da-china-e-hong-kong-fecham-quase-estaveis-enquanto-investidores-se-preparam-para-novos-dados/</v>
      </c>
      <c r="Y3908" s="77" t="s">
        <v>7053</v>
      </c>
      <c r="Z3908" s="77"/>
      <c r="AA3908" s="77"/>
      <c r="AB3908" s="77"/>
      <c r="AC3908" s="82" t="s">
        <v>8255</v>
      </c>
      <c r="AD3908" s="77" t="s">
        <v>8278</v>
      </c>
      <c r="AE3908" s="80" t="str">
        <f>HYPERLINK("https://twitter.com/leiamoneytimes/status/1668210216494612481")</f>
        <v>https://twitter.com/leiamoneytimes/status/1668210216494612481</v>
      </c>
      <c r="AF3908" s="79">
        <v>45089.454675925925</v>
      </c>
      <c r="AG3908" s="85">
        <v>45089</v>
      </c>
      <c r="AH3908" s="82" t="s">
        <v>11863</v>
      </c>
      <c r="AI3908" s="77" t="b">
        <v>0</v>
      </c>
      <c r="AJ3908" s="77"/>
      <c r="AK3908" s="77"/>
      <c r="AL3908" s="77"/>
      <c r="AM3908" s="77"/>
      <c r="AN3908" s="77"/>
      <c r="AO3908" s="77"/>
      <c r="AP3908" s="77"/>
      <c r="AQ3908" s="77"/>
      <c r="AR3908" s="77"/>
      <c r="AS3908" s="77"/>
      <c r="AT3908" s="77"/>
      <c r="AU3908" s="77"/>
      <c r="AV3908" s="80" t="str">
        <f>HYPERLINK("https://pbs.twimg.com/profile_images/1559883556846977024/bXHnQFY0_normal.jpg")</f>
        <v>https://pbs.twimg.com/profile_images/1559883556846977024/bXHnQFY0_normal.jpg</v>
      </c>
      <c r="AW3908" s="82" t="s">
        <v>16992</v>
      </c>
      <c r="AX3908" s="82" t="s">
        <v>16992</v>
      </c>
      <c r="AY3908" s="77"/>
      <c r="AZ3908" s="82" t="s">
        <v>17385</v>
      </c>
      <c r="BA3908" s="82" t="s">
        <v>17385</v>
      </c>
      <c r="BB3908" s="82" t="s">
        <v>17385</v>
      </c>
      <c r="BC3908" s="82" t="s">
        <v>16992</v>
      </c>
      <c r="BD3908" s="77">
        <v>51150679</v>
      </c>
      <c r="BE3908" s="77"/>
      <c r="BF3908" s="77"/>
      <c r="BG3908" s="77"/>
      <c r="BH3908" s="77"/>
      <c r="BI3908" s="77"/>
    </row>
    <row r="3909" spans="1:61" x14ac:dyDescent="0.25">
      <c r="A3909" s="62" t="s">
        <v>605</v>
      </c>
      <c r="B3909" s="62" t="s">
        <v>605</v>
      </c>
      <c r="C3909" s="63"/>
      <c r="D3909" s="64"/>
      <c r="E3909" s="65"/>
      <c r="F3909" s="66"/>
      <c r="G3909" s="63"/>
      <c r="H3909" s="67"/>
      <c r="I3909" s="68"/>
      <c r="J3909" s="68"/>
      <c r="K3909" s="32"/>
      <c r="L3909" s="75">
        <v>3909</v>
      </c>
      <c r="M3909" s="75"/>
      <c r="N3909" s="70"/>
      <c r="O3909" s="77" t="s">
        <v>179</v>
      </c>
      <c r="P3909" s="79">
        <v>45089.421122685184</v>
      </c>
      <c r="Q3909" s="77" t="s">
        <v>4683</v>
      </c>
      <c r="R3909" s="77">
        <v>0</v>
      </c>
      <c r="S3909" s="77">
        <v>5</v>
      </c>
      <c r="T3909" s="77">
        <v>1</v>
      </c>
      <c r="U3909" s="77">
        <v>0</v>
      </c>
      <c r="V3909" s="77">
        <v>2591</v>
      </c>
      <c r="W3909" s="82" t="s">
        <v>5209</v>
      </c>
      <c r="X3909" s="80" t="str">
        <f>HYPERLINK("https://www.moneytimes.com.br/tempo-real-ibovespa-perder-forca-nesta-segunda-feira-12/")</f>
        <v>https://www.moneytimes.com.br/tempo-real-ibovespa-perder-forca-nesta-segunda-feira-12/</v>
      </c>
      <c r="Y3909" s="77" t="s">
        <v>7053</v>
      </c>
      <c r="Z3909" s="77"/>
      <c r="AA3909" s="77"/>
      <c r="AB3909" s="77"/>
      <c r="AC3909" s="82" t="s">
        <v>8255</v>
      </c>
      <c r="AD3909" s="77" t="s">
        <v>8278</v>
      </c>
      <c r="AE3909" s="80" t="str">
        <f>HYPERLINK("https://twitter.com/leiamoneytimes/status/1668198057198997504")</f>
        <v>https://twitter.com/leiamoneytimes/status/1668198057198997504</v>
      </c>
      <c r="AF3909" s="79">
        <v>45089.421122685184</v>
      </c>
      <c r="AG3909" s="85">
        <v>45089</v>
      </c>
      <c r="AH3909" s="82" t="s">
        <v>11864</v>
      </c>
      <c r="AI3909" s="77" t="b">
        <v>0</v>
      </c>
      <c r="AJ3909" s="77"/>
      <c r="AK3909" s="77"/>
      <c r="AL3909" s="77"/>
      <c r="AM3909" s="77"/>
      <c r="AN3909" s="77"/>
      <c r="AO3909" s="77"/>
      <c r="AP3909" s="77"/>
      <c r="AQ3909" s="77"/>
      <c r="AR3909" s="77"/>
      <c r="AS3909" s="77"/>
      <c r="AT3909" s="77"/>
      <c r="AU3909" s="77"/>
      <c r="AV3909" s="80" t="str">
        <f>HYPERLINK("https://pbs.twimg.com/profile_images/1559883556846977024/bXHnQFY0_normal.jpg")</f>
        <v>https://pbs.twimg.com/profile_images/1559883556846977024/bXHnQFY0_normal.jpg</v>
      </c>
      <c r="AW3909" s="82" t="s">
        <v>16993</v>
      </c>
      <c r="AX3909" s="82" t="s">
        <v>16993</v>
      </c>
      <c r="AY3909" s="77"/>
      <c r="AZ3909" s="82" t="s">
        <v>17385</v>
      </c>
      <c r="BA3909" s="82" t="s">
        <v>17385</v>
      </c>
      <c r="BB3909" s="82" t="s">
        <v>17385</v>
      </c>
      <c r="BC3909" s="82" t="s">
        <v>16993</v>
      </c>
      <c r="BD3909" s="77">
        <v>51150679</v>
      </c>
      <c r="BE3909" s="77"/>
      <c r="BF3909" s="77"/>
      <c r="BG3909" s="77"/>
      <c r="BH3909" s="77"/>
      <c r="BI3909" s="77"/>
    </row>
    <row r="3910" spans="1:61" x14ac:dyDescent="0.25">
      <c r="A3910" s="62" t="s">
        <v>605</v>
      </c>
      <c r="B3910" s="62" t="s">
        <v>605</v>
      </c>
      <c r="C3910" s="63"/>
      <c r="D3910" s="64"/>
      <c r="E3910" s="65"/>
      <c r="F3910" s="66"/>
      <c r="G3910" s="63"/>
      <c r="H3910" s="67"/>
      <c r="I3910" s="68"/>
      <c r="J3910" s="68"/>
      <c r="K3910" s="32"/>
      <c r="L3910" s="75">
        <v>3910</v>
      </c>
      <c r="M3910" s="75"/>
      <c r="N3910" s="70"/>
      <c r="O3910" s="77" t="s">
        <v>179</v>
      </c>
      <c r="P3910" s="79">
        <v>45088.792303240742</v>
      </c>
      <c r="Q3910" s="77" t="s">
        <v>4684</v>
      </c>
      <c r="R3910" s="77">
        <v>1</v>
      </c>
      <c r="S3910" s="77">
        <v>15</v>
      </c>
      <c r="T3910" s="77">
        <v>1</v>
      </c>
      <c r="U3910" s="77">
        <v>1</v>
      </c>
      <c r="V3910" s="77">
        <v>3150</v>
      </c>
      <c r="W3910" s="82" t="s">
        <v>6910</v>
      </c>
      <c r="X3910" s="80" t="str">
        <f>HYPERLINK("https://www.moneytimes.com.br/dividendos-petrobras-petr4-banco-do-brasil-bbas3-e-mais-6-pagam-r-24-bi-esta-semana-veja-quem-tem-direito/")</f>
        <v>https://www.moneytimes.com.br/dividendos-petrobras-petr4-banco-do-brasil-bbas3-e-mais-6-pagam-r-24-bi-esta-semana-veja-quem-tem-direito/</v>
      </c>
      <c r="Y3910" s="77" t="s">
        <v>7053</v>
      </c>
      <c r="Z3910" s="77"/>
      <c r="AA3910" s="77"/>
      <c r="AB3910" s="77"/>
      <c r="AC3910" s="82" t="s">
        <v>8255</v>
      </c>
      <c r="AD3910" s="77" t="s">
        <v>8278</v>
      </c>
      <c r="AE3910" s="80" t="str">
        <f>HYPERLINK("https://twitter.com/leiamoneytimes/status/1667970182365474817")</f>
        <v>https://twitter.com/leiamoneytimes/status/1667970182365474817</v>
      </c>
      <c r="AF3910" s="79">
        <v>45088.792303240742</v>
      </c>
      <c r="AG3910" s="85">
        <v>45088</v>
      </c>
      <c r="AH3910" s="82" t="s">
        <v>11865</v>
      </c>
      <c r="AI3910" s="77" t="b">
        <v>0</v>
      </c>
      <c r="AJ3910" s="77"/>
      <c r="AK3910" s="77"/>
      <c r="AL3910" s="77"/>
      <c r="AM3910" s="77"/>
      <c r="AN3910" s="77"/>
      <c r="AO3910" s="77"/>
      <c r="AP3910" s="77"/>
      <c r="AQ3910" s="77"/>
      <c r="AR3910" s="77"/>
      <c r="AS3910" s="77"/>
      <c r="AT3910" s="77"/>
      <c r="AU3910" s="77"/>
      <c r="AV3910" s="80" t="str">
        <f>HYPERLINK("https://pbs.twimg.com/profile_images/1559883556846977024/bXHnQFY0_normal.jpg")</f>
        <v>https://pbs.twimg.com/profile_images/1559883556846977024/bXHnQFY0_normal.jpg</v>
      </c>
      <c r="AW3910" s="82" t="s">
        <v>16994</v>
      </c>
      <c r="AX3910" s="82" t="s">
        <v>16994</v>
      </c>
      <c r="AY3910" s="77"/>
      <c r="AZ3910" s="82" t="s">
        <v>17385</v>
      </c>
      <c r="BA3910" s="82" t="s">
        <v>17385</v>
      </c>
      <c r="BB3910" s="82" t="s">
        <v>17385</v>
      </c>
      <c r="BC3910" s="82" t="s">
        <v>16994</v>
      </c>
      <c r="BD3910" s="77">
        <v>51150679</v>
      </c>
      <c r="BE3910" s="77"/>
      <c r="BF3910" s="77"/>
      <c r="BG3910" s="77"/>
      <c r="BH3910" s="77"/>
      <c r="BI3910" s="77"/>
    </row>
    <row r="3911" spans="1:61" x14ac:dyDescent="0.25">
      <c r="A3911" s="62" t="s">
        <v>605</v>
      </c>
      <c r="B3911" s="62" t="s">
        <v>605</v>
      </c>
      <c r="C3911" s="63"/>
      <c r="D3911" s="64"/>
      <c r="E3911" s="65"/>
      <c r="F3911" s="66"/>
      <c r="G3911" s="63"/>
      <c r="H3911" s="67"/>
      <c r="I3911" s="68"/>
      <c r="J3911" s="68"/>
      <c r="K3911" s="32"/>
      <c r="L3911" s="75">
        <v>3911</v>
      </c>
      <c r="M3911" s="75"/>
      <c r="N3911" s="70"/>
      <c r="O3911" s="77" t="s">
        <v>179</v>
      </c>
      <c r="P3911" s="79">
        <v>45078.681712962964</v>
      </c>
      <c r="Q3911" s="77" t="s">
        <v>4685</v>
      </c>
      <c r="R3911" s="77">
        <v>0</v>
      </c>
      <c r="S3911" s="77">
        <v>2</v>
      </c>
      <c r="T3911" s="77">
        <v>0</v>
      </c>
      <c r="U3911" s="77">
        <v>0</v>
      </c>
      <c r="V3911" s="77">
        <v>1203</v>
      </c>
      <c r="W3911" s="82" t="s">
        <v>6911</v>
      </c>
      <c r="X3911" s="80" t="str">
        <f>HYPERLINK("https://www.moneytimes.com.br/ibovespa-meliuz-cash3-lidera-as-quedas-e-yduqs-yduq3-dispara-nesta-quinta-1-entenda/")</f>
        <v>https://www.moneytimes.com.br/ibovespa-meliuz-cash3-lidera-as-quedas-e-yduqs-yduq3-dispara-nesta-quinta-1-entenda/</v>
      </c>
      <c r="Y3911" s="77" t="s">
        <v>7053</v>
      </c>
      <c r="Z3911" s="77"/>
      <c r="AA3911" s="77"/>
      <c r="AB3911" s="77"/>
      <c r="AC3911" s="82" t="s">
        <v>8255</v>
      </c>
      <c r="AD3911" s="77" t="s">
        <v>8281</v>
      </c>
      <c r="AE3911" s="80" t="str">
        <f>HYPERLINK("https://twitter.com/leiamoneytimes/status/1664306226518212609")</f>
        <v>https://twitter.com/leiamoneytimes/status/1664306226518212609</v>
      </c>
      <c r="AF3911" s="79">
        <v>45078.681712962964</v>
      </c>
      <c r="AG3911" s="85">
        <v>45078</v>
      </c>
      <c r="AH3911" s="82" t="s">
        <v>11866</v>
      </c>
      <c r="AI3911" s="77" t="b">
        <v>0</v>
      </c>
      <c r="AJ3911" s="77"/>
      <c r="AK3911" s="77"/>
      <c r="AL3911" s="77"/>
      <c r="AM3911" s="77"/>
      <c r="AN3911" s="77"/>
      <c r="AO3911" s="77"/>
      <c r="AP3911" s="77"/>
      <c r="AQ3911" s="77"/>
      <c r="AR3911" s="77"/>
      <c r="AS3911" s="77"/>
      <c r="AT3911" s="77"/>
      <c r="AU3911" s="77"/>
      <c r="AV3911" s="80" t="str">
        <f>HYPERLINK("https://pbs.twimg.com/profile_images/1559883556846977024/bXHnQFY0_normal.jpg")</f>
        <v>https://pbs.twimg.com/profile_images/1559883556846977024/bXHnQFY0_normal.jpg</v>
      </c>
      <c r="AW3911" s="82" t="s">
        <v>16995</v>
      </c>
      <c r="AX3911" s="82" t="s">
        <v>16995</v>
      </c>
      <c r="AY3911" s="77"/>
      <c r="AZ3911" s="82" t="s">
        <v>17385</v>
      </c>
      <c r="BA3911" s="82" t="s">
        <v>17385</v>
      </c>
      <c r="BB3911" s="82" t="s">
        <v>17385</v>
      </c>
      <c r="BC3911" s="82" t="s">
        <v>16995</v>
      </c>
      <c r="BD3911" s="77">
        <v>51150679</v>
      </c>
      <c r="BE3911" s="77"/>
      <c r="BF3911" s="77"/>
      <c r="BG3911" s="77"/>
      <c r="BH3911" s="77"/>
      <c r="BI3911" s="77"/>
    </row>
    <row r="3912" spans="1:61" x14ac:dyDescent="0.25">
      <c r="A3912" s="62" t="s">
        <v>605</v>
      </c>
      <c r="B3912" s="62" t="s">
        <v>605</v>
      </c>
      <c r="C3912" s="63"/>
      <c r="D3912" s="64"/>
      <c r="E3912" s="65"/>
      <c r="F3912" s="66"/>
      <c r="G3912" s="63"/>
      <c r="H3912" s="67"/>
      <c r="I3912" s="68"/>
      <c r="J3912" s="68"/>
      <c r="K3912" s="32"/>
      <c r="L3912" s="75">
        <v>3912</v>
      </c>
      <c r="M3912" s="75"/>
      <c r="N3912" s="70"/>
      <c r="O3912" s="77" t="s">
        <v>179</v>
      </c>
      <c r="P3912" s="79">
        <v>45078.615474537037</v>
      </c>
      <c r="Q3912" s="77" t="s">
        <v>4686</v>
      </c>
      <c r="R3912" s="77">
        <v>0</v>
      </c>
      <c r="S3912" s="77">
        <v>1</v>
      </c>
      <c r="T3912" s="77">
        <v>0</v>
      </c>
      <c r="U3912" s="77">
        <v>0</v>
      </c>
      <c r="V3912" s="77">
        <v>886</v>
      </c>
      <c r="W3912" s="82" t="s">
        <v>6912</v>
      </c>
      <c r="X3912" s="80" t="str">
        <f>HYPERLINK("https://www.moneytimes.com.br/acoes-da-europa-estao-mais-atraentes-que-dos-eua-diz-bernstein/")</f>
        <v>https://www.moneytimes.com.br/acoes-da-europa-estao-mais-atraentes-que-dos-eua-diz-bernstein/</v>
      </c>
      <c r="Y3912" s="77" t="s">
        <v>7053</v>
      </c>
      <c r="Z3912" s="77"/>
      <c r="AA3912" s="77"/>
      <c r="AB3912" s="77"/>
      <c r="AC3912" s="82" t="s">
        <v>8255</v>
      </c>
      <c r="AD3912" s="77" t="s">
        <v>8278</v>
      </c>
      <c r="AE3912" s="80" t="str">
        <f>HYPERLINK("https://twitter.com/leiamoneytimes/status/1664282223334543361")</f>
        <v>https://twitter.com/leiamoneytimes/status/1664282223334543361</v>
      </c>
      <c r="AF3912" s="79">
        <v>45078.615474537037</v>
      </c>
      <c r="AG3912" s="85">
        <v>45078</v>
      </c>
      <c r="AH3912" s="82" t="s">
        <v>11867</v>
      </c>
      <c r="AI3912" s="77" t="b">
        <v>0</v>
      </c>
      <c r="AJ3912" s="77"/>
      <c r="AK3912" s="77"/>
      <c r="AL3912" s="77"/>
      <c r="AM3912" s="77"/>
      <c r="AN3912" s="77"/>
      <c r="AO3912" s="77"/>
      <c r="AP3912" s="77"/>
      <c r="AQ3912" s="77"/>
      <c r="AR3912" s="77"/>
      <c r="AS3912" s="77"/>
      <c r="AT3912" s="77"/>
      <c r="AU3912" s="77"/>
      <c r="AV3912" s="80" t="str">
        <f>HYPERLINK("https://pbs.twimg.com/profile_images/1559883556846977024/bXHnQFY0_normal.jpg")</f>
        <v>https://pbs.twimg.com/profile_images/1559883556846977024/bXHnQFY0_normal.jpg</v>
      </c>
      <c r="AW3912" s="82" t="s">
        <v>16996</v>
      </c>
      <c r="AX3912" s="82" t="s">
        <v>16996</v>
      </c>
      <c r="AY3912" s="77"/>
      <c r="AZ3912" s="82" t="s">
        <v>17385</v>
      </c>
      <c r="BA3912" s="82" t="s">
        <v>17385</v>
      </c>
      <c r="BB3912" s="82" t="s">
        <v>17385</v>
      </c>
      <c r="BC3912" s="82" t="s">
        <v>16996</v>
      </c>
      <c r="BD3912" s="77">
        <v>51150679</v>
      </c>
      <c r="BE3912" s="77"/>
      <c r="BF3912" s="77"/>
      <c r="BG3912" s="77"/>
      <c r="BH3912" s="77"/>
      <c r="BI3912" s="77"/>
    </row>
    <row r="3913" spans="1:61" x14ac:dyDescent="0.25">
      <c r="A3913" s="62" t="s">
        <v>605</v>
      </c>
      <c r="B3913" s="62" t="s">
        <v>605</v>
      </c>
      <c r="C3913" s="63"/>
      <c r="D3913" s="64"/>
      <c r="E3913" s="65"/>
      <c r="F3913" s="66"/>
      <c r="G3913" s="63"/>
      <c r="H3913" s="67"/>
      <c r="I3913" s="68"/>
      <c r="J3913" s="68"/>
      <c r="K3913" s="32"/>
      <c r="L3913" s="75">
        <v>3913</v>
      </c>
      <c r="M3913" s="75"/>
      <c r="N3913" s="70"/>
      <c r="O3913" s="77" t="s">
        <v>179</v>
      </c>
      <c r="P3913" s="79">
        <v>45078.608622685184</v>
      </c>
      <c r="Q3913" s="77" t="s">
        <v>4687</v>
      </c>
      <c r="R3913" s="77">
        <v>0</v>
      </c>
      <c r="S3913" s="77">
        <v>0</v>
      </c>
      <c r="T3913" s="77">
        <v>0</v>
      </c>
      <c r="U3913" s="77">
        <v>0</v>
      </c>
      <c r="V3913" s="77">
        <v>924</v>
      </c>
      <c r="W3913" s="82" t="s">
        <v>5482</v>
      </c>
      <c r="X3913" s="80" t="str">
        <f>HYPERLINK("https://www.moneytimes.com.br/ibovespa-o-grande-risco-para-a-bolsa-em-junho-segundo-o-btg/")</f>
        <v>https://www.moneytimes.com.br/ibovespa-o-grande-risco-para-a-bolsa-em-junho-segundo-o-btg/</v>
      </c>
      <c r="Y3913" s="77" t="s">
        <v>7053</v>
      </c>
      <c r="Z3913" s="77"/>
      <c r="AA3913" s="77"/>
      <c r="AB3913" s="77"/>
      <c r="AC3913" s="82" t="s">
        <v>8255</v>
      </c>
      <c r="AD3913" s="77" t="s">
        <v>8278</v>
      </c>
      <c r="AE3913" s="80" t="str">
        <f>HYPERLINK("https://twitter.com/leiamoneytimes/status/1664279741011226628")</f>
        <v>https://twitter.com/leiamoneytimes/status/1664279741011226628</v>
      </c>
      <c r="AF3913" s="79">
        <v>45078.608622685184</v>
      </c>
      <c r="AG3913" s="85">
        <v>45078</v>
      </c>
      <c r="AH3913" s="82" t="s">
        <v>11868</v>
      </c>
      <c r="AI3913" s="77" t="b">
        <v>0</v>
      </c>
      <c r="AJ3913" s="77"/>
      <c r="AK3913" s="77"/>
      <c r="AL3913" s="77"/>
      <c r="AM3913" s="77"/>
      <c r="AN3913" s="77"/>
      <c r="AO3913" s="77"/>
      <c r="AP3913" s="77"/>
      <c r="AQ3913" s="77"/>
      <c r="AR3913" s="77"/>
      <c r="AS3913" s="77"/>
      <c r="AT3913" s="77"/>
      <c r="AU3913" s="77"/>
      <c r="AV3913" s="80" t="str">
        <f>HYPERLINK("https://pbs.twimg.com/profile_images/1559883556846977024/bXHnQFY0_normal.jpg")</f>
        <v>https://pbs.twimg.com/profile_images/1559883556846977024/bXHnQFY0_normal.jpg</v>
      </c>
      <c r="AW3913" s="82" t="s">
        <v>16997</v>
      </c>
      <c r="AX3913" s="82" t="s">
        <v>16997</v>
      </c>
      <c r="AY3913" s="77"/>
      <c r="AZ3913" s="82" t="s">
        <v>17385</v>
      </c>
      <c r="BA3913" s="82" t="s">
        <v>17385</v>
      </c>
      <c r="BB3913" s="82" t="s">
        <v>17385</v>
      </c>
      <c r="BC3913" s="82" t="s">
        <v>16997</v>
      </c>
      <c r="BD3913" s="77">
        <v>51150679</v>
      </c>
      <c r="BE3913" s="77"/>
      <c r="BF3913" s="77"/>
      <c r="BG3913" s="77"/>
      <c r="BH3913" s="77"/>
      <c r="BI3913" s="77"/>
    </row>
    <row r="3914" spans="1:61" x14ac:dyDescent="0.25">
      <c r="A3914" s="62" t="s">
        <v>605</v>
      </c>
      <c r="B3914" s="62" t="s">
        <v>605</v>
      </c>
      <c r="C3914" s="63"/>
      <c r="D3914" s="64"/>
      <c r="E3914" s="65"/>
      <c r="F3914" s="66"/>
      <c r="G3914" s="63"/>
      <c r="H3914" s="67"/>
      <c r="I3914" s="68"/>
      <c r="J3914" s="68"/>
      <c r="K3914" s="32"/>
      <c r="L3914" s="75">
        <v>3914</v>
      </c>
      <c r="M3914" s="75"/>
      <c r="N3914" s="70"/>
      <c r="O3914" s="77" t="s">
        <v>179</v>
      </c>
      <c r="P3914" s="79">
        <v>45078.549675925926</v>
      </c>
      <c r="Q3914" s="77" t="s">
        <v>4688</v>
      </c>
      <c r="R3914" s="77">
        <v>0</v>
      </c>
      <c r="S3914" s="77">
        <v>3</v>
      </c>
      <c r="T3914" s="77">
        <v>0</v>
      </c>
      <c r="U3914" s="77">
        <v>0</v>
      </c>
      <c r="V3914" s="77">
        <v>1129</v>
      </c>
      <c r="W3914" s="82" t="s">
        <v>6645</v>
      </c>
      <c r="X3914" s="80" t="str">
        <f>HYPERLINK("https://www.moneytimes.com.br/ibovespa-ibov-busca-folego-para-abrir-junho-no-azul-digerindo-dados-do-pib-brasileiro/")</f>
        <v>https://www.moneytimes.com.br/ibovespa-ibov-busca-folego-para-abrir-junho-no-azul-digerindo-dados-do-pib-brasileiro/</v>
      </c>
      <c r="Y3914" s="77" t="s">
        <v>7053</v>
      </c>
      <c r="Z3914" s="77"/>
      <c r="AA3914" s="77"/>
      <c r="AB3914" s="77"/>
      <c r="AC3914" s="82" t="s">
        <v>8255</v>
      </c>
      <c r="AD3914" s="77" t="s">
        <v>8278</v>
      </c>
      <c r="AE3914" s="80" t="str">
        <f>HYPERLINK("https://twitter.com/leiamoneytimes/status/1664258378892210176")</f>
        <v>https://twitter.com/leiamoneytimes/status/1664258378892210176</v>
      </c>
      <c r="AF3914" s="79">
        <v>45078.549675925926</v>
      </c>
      <c r="AG3914" s="85">
        <v>45078</v>
      </c>
      <c r="AH3914" s="82" t="s">
        <v>11869</v>
      </c>
      <c r="AI3914" s="77" t="b">
        <v>0</v>
      </c>
      <c r="AJ3914" s="77"/>
      <c r="AK3914" s="77"/>
      <c r="AL3914" s="77"/>
      <c r="AM3914" s="77"/>
      <c r="AN3914" s="77"/>
      <c r="AO3914" s="77"/>
      <c r="AP3914" s="77"/>
      <c r="AQ3914" s="77"/>
      <c r="AR3914" s="77"/>
      <c r="AS3914" s="77"/>
      <c r="AT3914" s="77"/>
      <c r="AU3914" s="77"/>
      <c r="AV3914" s="80" t="str">
        <f>HYPERLINK("https://pbs.twimg.com/profile_images/1559883556846977024/bXHnQFY0_normal.jpg")</f>
        <v>https://pbs.twimg.com/profile_images/1559883556846977024/bXHnQFY0_normal.jpg</v>
      </c>
      <c r="AW3914" s="82" t="s">
        <v>16998</v>
      </c>
      <c r="AX3914" s="82" t="s">
        <v>16998</v>
      </c>
      <c r="AY3914" s="77"/>
      <c r="AZ3914" s="82" t="s">
        <v>17385</v>
      </c>
      <c r="BA3914" s="82" t="s">
        <v>17385</v>
      </c>
      <c r="BB3914" s="82" t="s">
        <v>17385</v>
      </c>
      <c r="BC3914" s="82" t="s">
        <v>16998</v>
      </c>
      <c r="BD3914" s="77">
        <v>51150679</v>
      </c>
      <c r="BE3914" s="77"/>
      <c r="BF3914" s="77"/>
      <c r="BG3914" s="77"/>
      <c r="BH3914" s="77"/>
      <c r="BI3914" s="77"/>
    </row>
    <row r="3915" spans="1:61" x14ac:dyDescent="0.25">
      <c r="A3915" s="62" t="s">
        <v>605</v>
      </c>
      <c r="B3915" s="62" t="s">
        <v>605</v>
      </c>
      <c r="C3915" s="63"/>
      <c r="D3915" s="64"/>
      <c r="E3915" s="65"/>
      <c r="F3915" s="66"/>
      <c r="G3915" s="63"/>
      <c r="H3915" s="67"/>
      <c r="I3915" s="68"/>
      <c r="J3915" s="68"/>
      <c r="K3915" s="32"/>
      <c r="L3915" s="75">
        <v>3915</v>
      </c>
      <c r="M3915" s="75"/>
      <c r="N3915" s="70"/>
      <c r="O3915" s="77" t="s">
        <v>179</v>
      </c>
      <c r="P3915" s="79">
        <v>45078.515706018516</v>
      </c>
      <c r="Q3915" s="77" t="s">
        <v>4689</v>
      </c>
      <c r="R3915" s="77">
        <v>0</v>
      </c>
      <c r="S3915" s="77">
        <v>1</v>
      </c>
      <c r="T3915" s="77">
        <v>0</v>
      </c>
      <c r="U3915" s="77">
        <v>0</v>
      </c>
      <c r="V3915" s="77">
        <v>966</v>
      </c>
      <c r="W3915" s="82" t="s">
        <v>6559</v>
      </c>
      <c r="X3915" s="80" t="str">
        <f>HYPERLINK("https://www.moneytimes.com.br/gringos-compram-acoes-na-b3-mas-aportes-nao-devem-salvar-maio-entenda/")</f>
        <v>https://www.moneytimes.com.br/gringos-compram-acoes-na-b3-mas-aportes-nao-devem-salvar-maio-entenda/</v>
      </c>
      <c r="Y3915" s="77" t="s">
        <v>7053</v>
      </c>
      <c r="Z3915" s="77"/>
      <c r="AA3915" s="77"/>
      <c r="AB3915" s="77"/>
      <c r="AC3915" s="82" t="s">
        <v>8255</v>
      </c>
      <c r="AD3915" s="77" t="s">
        <v>8278</v>
      </c>
      <c r="AE3915" s="80" t="str">
        <f>HYPERLINK("https://twitter.com/leiamoneytimes/status/1664246069079728128")</f>
        <v>https://twitter.com/leiamoneytimes/status/1664246069079728128</v>
      </c>
      <c r="AF3915" s="79">
        <v>45078.515706018516</v>
      </c>
      <c r="AG3915" s="85">
        <v>45078</v>
      </c>
      <c r="AH3915" s="82" t="s">
        <v>11870</v>
      </c>
      <c r="AI3915" s="77" t="b">
        <v>0</v>
      </c>
      <c r="AJ3915" s="77"/>
      <c r="AK3915" s="77"/>
      <c r="AL3915" s="77"/>
      <c r="AM3915" s="77"/>
      <c r="AN3915" s="77"/>
      <c r="AO3915" s="77"/>
      <c r="AP3915" s="77"/>
      <c r="AQ3915" s="77"/>
      <c r="AR3915" s="77"/>
      <c r="AS3915" s="77"/>
      <c r="AT3915" s="77"/>
      <c r="AU3915" s="77"/>
      <c r="AV3915" s="80" t="str">
        <f>HYPERLINK("https://pbs.twimg.com/profile_images/1559883556846977024/bXHnQFY0_normal.jpg")</f>
        <v>https://pbs.twimg.com/profile_images/1559883556846977024/bXHnQFY0_normal.jpg</v>
      </c>
      <c r="AW3915" s="82" t="s">
        <v>16999</v>
      </c>
      <c r="AX3915" s="82" t="s">
        <v>16999</v>
      </c>
      <c r="AY3915" s="77"/>
      <c r="AZ3915" s="82" t="s">
        <v>17385</v>
      </c>
      <c r="BA3915" s="82" t="s">
        <v>17385</v>
      </c>
      <c r="BB3915" s="82" t="s">
        <v>17385</v>
      </c>
      <c r="BC3915" s="82" t="s">
        <v>16999</v>
      </c>
      <c r="BD3915" s="77">
        <v>51150679</v>
      </c>
      <c r="BE3915" s="77"/>
      <c r="BF3915" s="77"/>
      <c r="BG3915" s="77"/>
      <c r="BH3915" s="77"/>
      <c r="BI3915" s="77"/>
    </row>
    <row r="3916" spans="1:61" x14ac:dyDescent="0.25">
      <c r="A3916" s="62" t="s">
        <v>605</v>
      </c>
      <c r="B3916" s="62" t="s">
        <v>605</v>
      </c>
      <c r="C3916" s="63"/>
      <c r="D3916" s="64"/>
      <c r="E3916" s="65"/>
      <c r="F3916" s="66"/>
      <c r="G3916" s="63"/>
      <c r="H3916" s="67"/>
      <c r="I3916" s="68"/>
      <c r="J3916" s="68"/>
      <c r="K3916" s="32"/>
      <c r="L3916" s="75">
        <v>3916</v>
      </c>
      <c r="M3916" s="75"/>
      <c r="N3916" s="70"/>
      <c r="O3916" s="77" t="s">
        <v>179</v>
      </c>
      <c r="P3916" s="79">
        <v>45078.468333333331</v>
      </c>
      <c r="Q3916" s="77" t="s">
        <v>4690</v>
      </c>
      <c r="R3916" s="77">
        <v>0</v>
      </c>
      <c r="S3916" s="77">
        <v>9</v>
      </c>
      <c r="T3916" s="77">
        <v>0</v>
      </c>
      <c r="U3916" s="77">
        <v>0</v>
      </c>
      <c r="V3916" s="77">
        <v>1461</v>
      </c>
      <c r="W3916" s="82" t="s">
        <v>6913</v>
      </c>
      <c r="X3916" s="80" t="str">
        <f>HYPERLINK("https://www.moneytimes.com.br/vale3-anuncia-acordo-da-samarco-e-petr4-inicia-producao-confira-os-destaques-desta-quinta-1/")</f>
        <v>https://www.moneytimes.com.br/vale3-anuncia-acordo-da-samarco-e-petr4-inicia-producao-confira-os-destaques-desta-quinta-1/</v>
      </c>
      <c r="Y3916" s="77" t="s">
        <v>7053</v>
      </c>
      <c r="Z3916" s="77"/>
      <c r="AA3916" s="77"/>
      <c r="AB3916" s="77"/>
      <c r="AC3916" s="82" t="s">
        <v>8255</v>
      </c>
      <c r="AD3916" s="77" t="s">
        <v>8278</v>
      </c>
      <c r="AE3916" s="80" t="str">
        <f>HYPERLINK("https://twitter.com/leiamoneytimes/status/1664228901546065921")</f>
        <v>https://twitter.com/leiamoneytimes/status/1664228901546065921</v>
      </c>
      <c r="AF3916" s="79">
        <v>45078.468333333331</v>
      </c>
      <c r="AG3916" s="85">
        <v>45078</v>
      </c>
      <c r="AH3916" s="82" t="s">
        <v>11871</v>
      </c>
      <c r="AI3916" s="77" t="b">
        <v>0</v>
      </c>
      <c r="AJ3916" s="77"/>
      <c r="AK3916" s="77"/>
      <c r="AL3916" s="77"/>
      <c r="AM3916" s="77"/>
      <c r="AN3916" s="77"/>
      <c r="AO3916" s="77"/>
      <c r="AP3916" s="77"/>
      <c r="AQ3916" s="77"/>
      <c r="AR3916" s="77"/>
      <c r="AS3916" s="77"/>
      <c r="AT3916" s="77"/>
      <c r="AU3916" s="77"/>
      <c r="AV3916" s="80" t="str">
        <f>HYPERLINK("https://pbs.twimg.com/profile_images/1559883556846977024/bXHnQFY0_normal.jpg")</f>
        <v>https://pbs.twimg.com/profile_images/1559883556846977024/bXHnQFY0_normal.jpg</v>
      </c>
      <c r="AW3916" s="82" t="s">
        <v>17000</v>
      </c>
      <c r="AX3916" s="82" t="s">
        <v>17000</v>
      </c>
      <c r="AY3916" s="77"/>
      <c r="AZ3916" s="82" t="s">
        <v>17385</v>
      </c>
      <c r="BA3916" s="82" t="s">
        <v>17385</v>
      </c>
      <c r="BB3916" s="82" t="s">
        <v>17385</v>
      </c>
      <c r="BC3916" s="82" t="s">
        <v>17000</v>
      </c>
      <c r="BD3916" s="77">
        <v>51150679</v>
      </c>
      <c r="BE3916" s="77"/>
      <c r="BF3916" s="77"/>
      <c r="BG3916" s="77"/>
      <c r="BH3916" s="77"/>
      <c r="BI3916" s="77"/>
    </row>
    <row r="3917" spans="1:61" x14ac:dyDescent="0.25">
      <c r="A3917" s="62" t="s">
        <v>605</v>
      </c>
      <c r="B3917" s="62" t="s">
        <v>605</v>
      </c>
      <c r="C3917" s="63"/>
      <c r="D3917" s="64"/>
      <c r="E3917" s="65"/>
      <c r="F3917" s="66"/>
      <c r="G3917" s="63"/>
      <c r="H3917" s="67"/>
      <c r="I3917" s="68"/>
      <c r="J3917" s="68"/>
      <c r="K3917" s="32"/>
      <c r="L3917" s="75">
        <v>3917</v>
      </c>
      <c r="M3917" s="75"/>
      <c r="N3917" s="70"/>
      <c r="O3917" s="77" t="s">
        <v>179</v>
      </c>
      <c r="P3917" s="79">
        <v>45078.457881944443</v>
      </c>
      <c r="Q3917" s="77" t="s">
        <v>4691</v>
      </c>
      <c r="R3917" s="77">
        <v>0</v>
      </c>
      <c r="S3917" s="77">
        <v>2</v>
      </c>
      <c r="T3917" s="77">
        <v>0</v>
      </c>
      <c r="U3917" s="77">
        <v>0</v>
      </c>
      <c r="V3917" s="77">
        <v>950</v>
      </c>
      <c r="W3917" s="82" t="s">
        <v>6564</v>
      </c>
      <c r="X3917" s="80" t="str">
        <f>HYPERLINK("https://www.moneytimes.com.br/bolsas-asiaticas-acoes-da-china-devolvem-ganhos-e-fica-mistas-apesar-de-crescimento-da-atividade-industrial/")</f>
        <v>https://www.moneytimes.com.br/bolsas-asiaticas-acoes-da-china-devolvem-ganhos-e-fica-mistas-apesar-de-crescimento-da-atividade-industrial/</v>
      </c>
      <c r="Y3917" s="77" t="s">
        <v>7053</v>
      </c>
      <c r="Z3917" s="77"/>
      <c r="AA3917" s="77"/>
      <c r="AB3917" s="77"/>
      <c r="AC3917" s="82" t="s">
        <v>8255</v>
      </c>
      <c r="AD3917" s="77" t="s">
        <v>8278</v>
      </c>
      <c r="AE3917" s="80" t="str">
        <f>HYPERLINK("https://twitter.com/leiamoneytimes/status/1664225113770737664")</f>
        <v>https://twitter.com/leiamoneytimes/status/1664225113770737664</v>
      </c>
      <c r="AF3917" s="79">
        <v>45078.457881944443</v>
      </c>
      <c r="AG3917" s="85">
        <v>45078</v>
      </c>
      <c r="AH3917" s="82" t="s">
        <v>8312</v>
      </c>
      <c r="AI3917" s="77" t="b">
        <v>0</v>
      </c>
      <c r="AJ3917" s="77"/>
      <c r="AK3917" s="77"/>
      <c r="AL3917" s="77"/>
      <c r="AM3917" s="77"/>
      <c r="AN3917" s="77"/>
      <c r="AO3917" s="77"/>
      <c r="AP3917" s="77"/>
      <c r="AQ3917" s="77"/>
      <c r="AR3917" s="77"/>
      <c r="AS3917" s="77"/>
      <c r="AT3917" s="77"/>
      <c r="AU3917" s="77"/>
      <c r="AV3917" s="80" t="str">
        <f>HYPERLINK("https://pbs.twimg.com/profile_images/1559883556846977024/bXHnQFY0_normal.jpg")</f>
        <v>https://pbs.twimg.com/profile_images/1559883556846977024/bXHnQFY0_normal.jpg</v>
      </c>
      <c r="AW3917" s="82" t="s">
        <v>17001</v>
      </c>
      <c r="AX3917" s="82" t="s">
        <v>17001</v>
      </c>
      <c r="AY3917" s="77"/>
      <c r="AZ3917" s="82" t="s">
        <v>17385</v>
      </c>
      <c r="BA3917" s="82" t="s">
        <v>17385</v>
      </c>
      <c r="BB3917" s="82" t="s">
        <v>17385</v>
      </c>
      <c r="BC3917" s="82" t="s">
        <v>17001</v>
      </c>
      <c r="BD3917" s="77">
        <v>51150679</v>
      </c>
      <c r="BE3917" s="77"/>
      <c r="BF3917" s="77"/>
      <c r="BG3917" s="77"/>
      <c r="BH3917" s="77"/>
      <c r="BI3917" s="77"/>
    </row>
    <row r="3918" spans="1:61" x14ac:dyDescent="0.25">
      <c r="A3918" s="62" t="s">
        <v>605</v>
      </c>
      <c r="B3918" s="62" t="s">
        <v>605</v>
      </c>
      <c r="C3918" s="63"/>
      <c r="D3918" s="64"/>
      <c r="E3918" s="65"/>
      <c r="F3918" s="66"/>
      <c r="G3918" s="63"/>
      <c r="H3918" s="67"/>
      <c r="I3918" s="68"/>
      <c r="J3918" s="68"/>
      <c r="K3918" s="32"/>
      <c r="L3918" s="75">
        <v>3918</v>
      </c>
      <c r="M3918" s="75"/>
      <c r="N3918" s="70"/>
      <c r="O3918" s="77" t="s">
        <v>179</v>
      </c>
      <c r="P3918" s="79">
        <v>45074.66746527778</v>
      </c>
      <c r="Q3918" s="77" t="s">
        <v>4692</v>
      </c>
      <c r="R3918" s="77">
        <v>1</v>
      </c>
      <c r="S3918" s="77">
        <v>8</v>
      </c>
      <c r="T3918" s="77">
        <v>0</v>
      </c>
      <c r="U3918" s="77">
        <v>0</v>
      </c>
      <c r="V3918" s="77">
        <v>2217</v>
      </c>
      <c r="W3918" s="82" t="s">
        <v>6914</v>
      </c>
      <c r="X3918" s="80" t="str">
        <f>HYPERLINK("https://www.moneytimes.com.br/empresa-de-lemann-compra-acoes-e-vende-bens-mas-fortuna-do-bilionario-e-ultrapassada-entenda/")</f>
        <v>https://www.moneytimes.com.br/empresa-de-lemann-compra-acoes-e-vende-bens-mas-fortuna-do-bilionario-e-ultrapassada-entenda/</v>
      </c>
      <c r="Y3918" s="77" t="s">
        <v>7053</v>
      </c>
      <c r="Z3918" s="77"/>
      <c r="AA3918" s="77"/>
      <c r="AB3918" s="77"/>
      <c r="AC3918" s="82" t="s">
        <v>8255</v>
      </c>
      <c r="AD3918" s="77" t="s">
        <v>8278</v>
      </c>
      <c r="AE3918" s="80" t="str">
        <f>HYPERLINK("https://twitter.com/leiamoneytimes/status/1662851514375757825")</f>
        <v>https://twitter.com/leiamoneytimes/status/1662851514375757825</v>
      </c>
      <c r="AF3918" s="79">
        <v>45074.66746527778</v>
      </c>
      <c r="AG3918" s="85">
        <v>45074</v>
      </c>
      <c r="AH3918" s="82" t="s">
        <v>11872</v>
      </c>
      <c r="AI3918" s="77" t="b">
        <v>0</v>
      </c>
      <c r="AJ3918" s="77"/>
      <c r="AK3918" s="77"/>
      <c r="AL3918" s="77"/>
      <c r="AM3918" s="77"/>
      <c r="AN3918" s="77"/>
      <c r="AO3918" s="77"/>
      <c r="AP3918" s="77"/>
      <c r="AQ3918" s="77"/>
      <c r="AR3918" s="77"/>
      <c r="AS3918" s="77"/>
      <c r="AT3918" s="77"/>
      <c r="AU3918" s="77"/>
      <c r="AV3918" s="80" t="str">
        <f>HYPERLINK("https://pbs.twimg.com/profile_images/1559883556846977024/bXHnQFY0_normal.jpg")</f>
        <v>https://pbs.twimg.com/profile_images/1559883556846977024/bXHnQFY0_normal.jpg</v>
      </c>
      <c r="AW3918" s="82" t="s">
        <v>17002</v>
      </c>
      <c r="AX3918" s="82" t="s">
        <v>17002</v>
      </c>
      <c r="AY3918" s="77"/>
      <c r="AZ3918" s="82" t="s">
        <v>17385</v>
      </c>
      <c r="BA3918" s="82" t="s">
        <v>17385</v>
      </c>
      <c r="BB3918" s="82" t="s">
        <v>17385</v>
      </c>
      <c r="BC3918" s="82" t="s">
        <v>17002</v>
      </c>
      <c r="BD3918" s="77">
        <v>51150679</v>
      </c>
      <c r="BE3918" s="77"/>
      <c r="BF3918" s="77"/>
      <c r="BG3918" s="77"/>
      <c r="BH3918" s="77"/>
      <c r="BI3918" s="77"/>
    </row>
    <row r="3919" spans="1:61" x14ac:dyDescent="0.25">
      <c r="A3919" s="62" t="s">
        <v>605</v>
      </c>
      <c r="B3919" s="62" t="s">
        <v>605</v>
      </c>
      <c r="C3919" s="63"/>
      <c r="D3919" s="64"/>
      <c r="E3919" s="65"/>
      <c r="F3919" s="66"/>
      <c r="G3919" s="63"/>
      <c r="H3919" s="67"/>
      <c r="I3919" s="68"/>
      <c r="J3919" s="68"/>
      <c r="K3919" s="32"/>
      <c r="L3919" s="75">
        <v>3919</v>
      </c>
      <c r="M3919" s="75"/>
      <c r="N3919" s="70"/>
      <c r="O3919" s="77" t="s">
        <v>179</v>
      </c>
      <c r="P3919" s="79">
        <v>45073.834108796298</v>
      </c>
      <c r="Q3919" s="77" t="s">
        <v>4693</v>
      </c>
      <c r="R3919" s="77">
        <v>0</v>
      </c>
      <c r="S3919" s="77">
        <v>11</v>
      </c>
      <c r="T3919" s="77">
        <v>0</v>
      </c>
      <c r="U3919" s="77">
        <v>0</v>
      </c>
      <c r="V3919" s="77">
        <v>2643</v>
      </c>
      <c r="W3919" s="82" t="s">
        <v>6580</v>
      </c>
      <c r="X3919" s="80" t="str">
        <f>HYPERLINK("https://www.moneytimes.com.br/dividendos-e-jcp-bradesco-bbdc4-itau-itub4-e-mais-10-empresas-pagam-r-9094-mi-na-proxima-semana/")</f>
        <v>https://www.moneytimes.com.br/dividendos-e-jcp-bradesco-bbdc4-itau-itub4-e-mais-10-empresas-pagam-r-9094-mi-na-proxima-semana/</v>
      </c>
      <c r="Y3919" s="77" t="s">
        <v>7053</v>
      </c>
      <c r="Z3919" s="77"/>
      <c r="AA3919" s="77"/>
      <c r="AB3919" s="77"/>
      <c r="AC3919" s="82" t="s">
        <v>8255</v>
      </c>
      <c r="AD3919" s="77" t="s">
        <v>8278</v>
      </c>
      <c r="AE3919" s="80" t="str">
        <f>HYPERLINK("https://twitter.com/leiamoneytimes/status/1662549516141187072")</f>
        <v>https://twitter.com/leiamoneytimes/status/1662549516141187072</v>
      </c>
      <c r="AF3919" s="79">
        <v>45073.834108796298</v>
      </c>
      <c r="AG3919" s="85">
        <v>45073</v>
      </c>
      <c r="AH3919" s="82" t="s">
        <v>11695</v>
      </c>
      <c r="AI3919" s="77" t="b">
        <v>0</v>
      </c>
      <c r="AJ3919" s="77"/>
      <c r="AK3919" s="77"/>
      <c r="AL3919" s="77"/>
      <c r="AM3919" s="77"/>
      <c r="AN3919" s="77"/>
      <c r="AO3919" s="77"/>
      <c r="AP3919" s="77"/>
      <c r="AQ3919" s="77"/>
      <c r="AR3919" s="77"/>
      <c r="AS3919" s="77"/>
      <c r="AT3919" s="77"/>
      <c r="AU3919" s="77"/>
      <c r="AV3919" s="80" t="str">
        <f>HYPERLINK("https://pbs.twimg.com/profile_images/1559883556846977024/bXHnQFY0_normal.jpg")</f>
        <v>https://pbs.twimg.com/profile_images/1559883556846977024/bXHnQFY0_normal.jpg</v>
      </c>
      <c r="AW3919" s="82" t="s">
        <v>17003</v>
      </c>
      <c r="AX3919" s="82" t="s">
        <v>17003</v>
      </c>
      <c r="AY3919" s="77"/>
      <c r="AZ3919" s="82" t="s">
        <v>17385</v>
      </c>
      <c r="BA3919" s="82" t="s">
        <v>17385</v>
      </c>
      <c r="BB3919" s="82" t="s">
        <v>17385</v>
      </c>
      <c r="BC3919" s="82" t="s">
        <v>17003</v>
      </c>
      <c r="BD3919" s="77">
        <v>51150679</v>
      </c>
      <c r="BE3919" s="77"/>
      <c r="BF3919" s="77"/>
      <c r="BG3919" s="77"/>
      <c r="BH3919" s="77"/>
      <c r="BI3919" s="77"/>
    </row>
    <row r="3920" spans="1:61" x14ac:dyDescent="0.25">
      <c r="A3920" s="62" t="s">
        <v>605</v>
      </c>
      <c r="B3920" s="62" t="s">
        <v>605</v>
      </c>
      <c r="C3920" s="63"/>
      <c r="D3920" s="64"/>
      <c r="E3920" s="65"/>
      <c r="F3920" s="66"/>
      <c r="G3920" s="63"/>
      <c r="H3920" s="67"/>
      <c r="I3920" s="68"/>
      <c r="J3920" s="68"/>
      <c r="K3920" s="32"/>
      <c r="L3920" s="75">
        <v>3920</v>
      </c>
      <c r="M3920" s="75"/>
      <c r="N3920" s="70"/>
      <c r="O3920" s="77" t="s">
        <v>179</v>
      </c>
      <c r="P3920" s="79">
        <v>45072.84884259259</v>
      </c>
      <c r="Q3920" s="77" t="s">
        <v>4694</v>
      </c>
      <c r="R3920" s="77">
        <v>0</v>
      </c>
      <c r="S3920" s="77">
        <v>0</v>
      </c>
      <c r="T3920" s="77">
        <v>1</v>
      </c>
      <c r="U3920" s="77">
        <v>0</v>
      </c>
      <c r="V3920" s="77">
        <v>1145</v>
      </c>
      <c r="W3920" s="82" t="s">
        <v>6551</v>
      </c>
      <c r="X3920" s="80" t="str">
        <f>HYPERLINK("https://www.moneytimes.com.br/ibovespa-hoje-fecha-alta-inflacao-eua-brasil-vale-vale3-26-05-2023/")</f>
        <v>https://www.moneytimes.com.br/ibovespa-hoje-fecha-alta-inflacao-eua-brasil-vale-vale3-26-05-2023/</v>
      </c>
      <c r="Y3920" s="77" t="s">
        <v>7053</v>
      </c>
      <c r="Z3920" s="77"/>
      <c r="AA3920" s="77"/>
      <c r="AB3920" s="77"/>
      <c r="AC3920" s="82" t="s">
        <v>8255</v>
      </c>
      <c r="AD3920" s="77" t="s">
        <v>8278</v>
      </c>
      <c r="AE3920" s="80" t="str">
        <f>HYPERLINK("https://twitter.com/leiamoneytimes/status/1662192465003139078")</f>
        <v>https://twitter.com/leiamoneytimes/status/1662192465003139078</v>
      </c>
      <c r="AF3920" s="79">
        <v>45072.84884259259</v>
      </c>
      <c r="AG3920" s="85">
        <v>45072</v>
      </c>
      <c r="AH3920" s="82" t="s">
        <v>11873</v>
      </c>
      <c r="AI3920" s="77" t="b">
        <v>0</v>
      </c>
      <c r="AJ3920" s="77"/>
      <c r="AK3920" s="77"/>
      <c r="AL3920" s="77"/>
      <c r="AM3920" s="77"/>
      <c r="AN3920" s="77"/>
      <c r="AO3920" s="77"/>
      <c r="AP3920" s="77"/>
      <c r="AQ3920" s="77"/>
      <c r="AR3920" s="77"/>
      <c r="AS3920" s="77"/>
      <c r="AT3920" s="77"/>
      <c r="AU3920" s="77"/>
      <c r="AV3920" s="80" t="str">
        <f>HYPERLINK("https://pbs.twimg.com/profile_images/1559883556846977024/bXHnQFY0_normal.jpg")</f>
        <v>https://pbs.twimg.com/profile_images/1559883556846977024/bXHnQFY0_normal.jpg</v>
      </c>
      <c r="AW3920" s="82" t="s">
        <v>17004</v>
      </c>
      <c r="AX3920" s="82" t="s">
        <v>17004</v>
      </c>
      <c r="AY3920" s="77"/>
      <c r="AZ3920" s="82" t="s">
        <v>17385</v>
      </c>
      <c r="BA3920" s="82" t="s">
        <v>17385</v>
      </c>
      <c r="BB3920" s="82" t="s">
        <v>17385</v>
      </c>
      <c r="BC3920" s="82" t="s">
        <v>17004</v>
      </c>
      <c r="BD3920" s="77">
        <v>51150679</v>
      </c>
      <c r="BE3920" s="77"/>
      <c r="BF3920" s="77"/>
      <c r="BG3920" s="77"/>
      <c r="BH3920" s="77"/>
      <c r="BI3920" s="77"/>
    </row>
    <row r="3921" spans="1:61" x14ac:dyDescent="0.25">
      <c r="A3921" s="62" t="s">
        <v>605</v>
      </c>
      <c r="B3921" s="62" t="s">
        <v>605</v>
      </c>
      <c r="C3921" s="63"/>
      <c r="D3921" s="64"/>
      <c r="E3921" s="65"/>
      <c r="F3921" s="66"/>
      <c r="G3921" s="63"/>
      <c r="H3921" s="67"/>
      <c r="I3921" s="68"/>
      <c r="J3921" s="68"/>
      <c r="K3921" s="32"/>
      <c r="L3921" s="75">
        <v>3921</v>
      </c>
      <c r="M3921" s="75"/>
      <c r="N3921" s="70"/>
      <c r="O3921" s="77" t="s">
        <v>179</v>
      </c>
      <c r="P3921" s="79">
        <v>45072.809155092589</v>
      </c>
      <c r="Q3921" s="77" t="s">
        <v>4695</v>
      </c>
      <c r="R3921" s="77">
        <v>1</v>
      </c>
      <c r="S3921" s="77">
        <v>1</v>
      </c>
      <c r="T3921" s="77">
        <v>0</v>
      </c>
      <c r="U3921" s="77">
        <v>0</v>
      </c>
      <c r="V3921" s="77">
        <v>1092</v>
      </c>
      <c r="W3921" s="82" t="s">
        <v>6915</v>
      </c>
      <c r="X3921" s="80" t="str">
        <f>HYPERLINK("https://www.moneytimes.com.br/shein-consumidores-mandam-recado-e-analista-ve-tendencia-que-pode-afetar-empresa/")</f>
        <v>https://www.moneytimes.com.br/shein-consumidores-mandam-recado-e-analista-ve-tendencia-que-pode-afetar-empresa/</v>
      </c>
      <c r="Y3921" s="77" t="s">
        <v>7053</v>
      </c>
      <c r="Z3921" s="77"/>
      <c r="AA3921" s="77"/>
      <c r="AB3921" s="77"/>
      <c r="AC3921" s="82" t="s">
        <v>8255</v>
      </c>
      <c r="AD3921" s="77" t="s">
        <v>8278</v>
      </c>
      <c r="AE3921" s="80" t="str">
        <f>HYPERLINK("https://twitter.com/leiamoneytimes/status/1662178082482995232")</f>
        <v>https://twitter.com/leiamoneytimes/status/1662178082482995232</v>
      </c>
      <c r="AF3921" s="79">
        <v>45072.809155092589</v>
      </c>
      <c r="AG3921" s="85">
        <v>45072</v>
      </c>
      <c r="AH3921" s="82" t="s">
        <v>11874</v>
      </c>
      <c r="AI3921" s="77" t="b">
        <v>0</v>
      </c>
      <c r="AJ3921" s="77"/>
      <c r="AK3921" s="77"/>
      <c r="AL3921" s="77"/>
      <c r="AM3921" s="77"/>
      <c r="AN3921" s="77"/>
      <c r="AO3921" s="77"/>
      <c r="AP3921" s="77"/>
      <c r="AQ3921" s="77"/>
      <c r="AR3921" s="77"/>
      <c r="AS3921" s="77"/>
      <c r="AT3921" s="77"/>
      <c r="AU3921" s="77"/>
      <c r="AV3921" s="80" t="str">
        <f>HYPERLINK("https://pbs.twimg.com/profile_images/1559883556846977024/bXHnQFY0_normal.jpg")</f>
        <v>https://pbs.twimg.com/profile_images/1559883556846977024/bXHnQFY0_normal.jpg</v>
      </c>
      <c r="AW3921" s="82" t="s">
        <v>17005</v>
      </c>
      <c r="AX3921" s="82" t="s">
        <v>17005</v>
      </c>
      <c r="AY3921" s="77"/>
      <c r="AZ3921" s="82" t="s">
        <v>17385</v>
      </c>
      <c r="BA3921" s="82" t="s">
        <v>17385</v>
      </c>
      <c r="BB3921" s="82" t="s">
        <v>17385</v>
      </c>
      <c r="BC3921" s="82" t="s">
        <v>17005</v>
      </c>
      <c r="BD3921" s="77">
        <v>51150679</v>
      </c>
      <c r="BE3921" s="77"/>
      <c r="BF3921" s="77"/>
      <c r="BG3921" s="77"/>
      <c r="BH3921" s="77"/>
      <c r="BI3921" s="77"/>
    </row>
    <row r="3922" spans="1:61" x14ac:dyDescent="0.25">
      <c r="A3922" s="62" t="s">
        <v>605</v>
      </c>
      <c r="B3922" s="62" t="s">
        <v>605</v>
      </c>
      <c r="C3922" s="63"/>
      <c r="D3922" s="64"/>
      <c r="E3922" s="65"/>
      <c r="F3922" s="66"/>
      <c r="G3922" s="63"/>
      <c r="H3922" s="67"/>
      <c r="I3922" s="68"/>
      <c r="J3922" s="68"/>
      <c r="K3922" s="32"/>
      <c r="L3922" s="75">
        <v>3922</v>
      </c>
      <c r="M3922" s="75"/>
      <c r="N3922" s="70"/>
      <c r="O3922" s="77" t="s">
        <v>179</v>
      </c>
      <c r="P3922" s="79">
        <v>45072.751574074071</v>
      </c>
      <c r="Q3922" s="77" t="s">
        <v>4696</v>
      </c>
      <c r="R3922" s="77">
        <v>0</v>
      </c>
      <c r="S3922" s="77">
        <v>5</v>
      </c>
      <c r="T3922" s="77">
        <v>1</v>
      </c>
      <c r="U3922" s="77">
        <v>0</v>
      </c>
      <c r="V3922" s="77">
        <v>1250</v>
      </c>
      <c r="W3922" s="82" t="s">
        <v>6551</v>
      </c>
      <c r="X3922" s="80" t="str">
        <f>HYPERLINK("https://www.moneytimes.com.br/acoes-da-ford-sobem-7-apos-acordo-com-tesla-sobre-carregadores-para-carros-eletricos/")</f>
        <v>https://www.moneytimes.com.br/acoes-da-ford-sobem-7-apos-acordo-com-tesla-sobre-carregadores-para-carros-eletricos/</v>
      </c>
      <c r="Y3922" s="77" t="s">
        <v>7053</v>
      </c>
      <c r="Z3922" s="77"/>
      <c r="AA3922" s="77"/>
      <c r="AB3922" s="77"/>
      <c r="AC3922" s="82" t="s">
        <v>8255</v>
      </c>
      <c r="AD3922" s="77" t="s">
        <v>8278</v>
      </c>
      <c r="AE3922" s="80" t="str">
        <f>HYPERLINK("https://twitter.com/leiamoneytimes/status/1662157216215101442")</f>
        <v>https://twitter.com/leiamoneytimes/status/1662157216215101442</v>
      </c>
      <c r="AF3922" s="79">
        <v>45072.751574074071</v>
      </c>
      <c r="AG3922" s="85">
        <v>45072</v>
      </c>
      <c r="AH3922" s="82" t="s">
        <v>11875</v>
      </c>
      <c r="AI3922" s="77" t="b">
        <v>0</v>
      </c>
      <c r="AJ3922" s="77"/>
      <c r="AK3922" s="77"/>
      <c r="AL3922" s="77"/>
      <c r="AM3922" s="77"/>
      <c r="AN3922" s="77"/>
      <c r="AO3922" s="77"/>
      <c r="AP3922" s="77"/>
      <c r="AQ3922" s="77"/>
      <c r="AR3922" s="77"/>
      <c r="AS3922" s="77"/>
      <c r="AT3922" s="77"/>
      <c r="AU3922" s="77"/>
      <c r="AV3922" s="80" t="str">
        <f>HYPERLINK("https://pbs.twimg.com/profile_images/1559883556846977024/bXHnQFY0_normal.jpg")</f>
        <v>https://pbs.twimg.com/profile_images/1559883556846977024/bXHnQFY0_normal.jpg</v>
      </c>
      <c r="AW3922" s="82" t="s">
        <v>17006</v>
      </c>
      <c r="AX3922" s="82" t="s">
        <v>17006</v>
      </c>
      <c r="AY3922" s="77"/>
      <c r="AZ3922" s="82" t="s">
        <v>17385</v>
      </c>
      <c r="BA3922" s="82" t="s">
        <v>17385</v>
      </c>
      <c r="BB3922" s="82" t="s">
        <v>17385</v>
      </c>
      <c r="BC3922" s="82" t="s">
        <v>17006</v>
      </c>
      <c r="BD3922" s="77">
        <v>51150679</v>
      </c>
      <c r="BE3922" s="77"/>
      <c r="BF3922" s="77"/>
      <c r="BG3922" s="77"/>
      <c r="BH3922" s="77"/>
      <c r="BI3922" s="77"/>
    </row>
    <row r="3923" spans="1:61" x14ac:dyDescent="0.25">
      <c r="A3923" s="62" t="s">
        <v>605</v>
      </c>
      <c r="B3923" s="62" t="s">
        <v>605</v>
      </c>
      <c r="C3923" s="63"/>
      <c r="D3923" s="64"/>
      <c r="E3923" s="65"/>
      <c r="F3923" s="66"/>
      <c r="G3923" s="63"/>
      <c r="H3923" s="67"/>
      <c r="I3923" s="68"/>
      <c r="J3923" s="68"/>
      <c r="K3923" s="32"/>
      <c r="L3923" s="75">
        <v>3923</v>
      </c>
      <c r="M3923" s="75"/>
      <c r="N3923" s="70"/>
      <c r="O3923" s="77" t="s">
        <v>179</v>
      </c>
      <c r="P3923" s="79">
        <v>45072.704479166663</v>
      </c>
      <c r="Q3923" s="77" t="s">
        <v>4697</v>
      </c>
      <c r="R3923" s="77">
        <v>1</v>
      </c>
      <c r="S3923" s="77">
        <v>2</v>
      </c>
      <c r="T3923" s="77">
        <v>0</v>
      </c>
      <c r="U3923" s="77">
        <v>0</v>
      </c>
      <c r="V3923" s="77">
        <v>936</v>
      </c>
      <c r="W3923" s="82" t="s">
        <v>6916</v>
      </c>
      <c r="X3923" s="80" t="str">
        <f>HYPERLINK("https://www.moneytimes.com.br/bolsas-europeias-acoes-registram-melhor-dia-em-2-meses-com-tecnologia-mas-tem-perdas-semanais/")</f>
        <v>https://www.moneytimes.com.br/bolsas-europeias-acoes-registram-melhor-dia-em-2-meses-com-tecnologia-mas-tem-perdas-semanais/</v>
      </c>
      <c r="Y3923" s="77" t="s">
        <v>7053</v>
      </c>
      <c r="Z3923" s="77"/>
      <c r="AA3923" s="77"/>
      <c r="AB3923" s="77"/>
      <c r="AC3923" s="82" t="s">
        <v>8255</v>
      </c>
      <c r="AD3923" s="77" t="s">
        <v>8278</v>
      </c>
      <c r="AE3923" s="80" t="str">
        <f>HYPERLINK("https://twitter.com/leiamoneytimes/status/1662140148908277777")</f>
        <v>https://twitter.com/leiamoneytimes/status/1662140148908277777</v>
      </c>
      <c r="AF3923" s="79">
        <v>45072.704479166663</v>
      </c>
      <c r="AG3923" s="85">
        <v>45072</v>
      </c>
      <c r="AH3923" s="82" t="s">
        <v>11876</v>
      </c>
      <c r="AI3923" s="77" t="b">
        <v>0</v>
      </c>
      <c r="AJ3923" s="77"/>
      <c r="AK3923" s="77"/>
      <c r="AL3923" s="77"/>
      <c r="AM3923" s="77"/>
      <c r="AN3923" s="77"/>
      <c r="AO3923" s="77"/>
      <c r="AP3923" s="77"/>
      <c r="AQ3923" s="77"/>
      <c r="AR3923" s="77"/>
      <c r="AS3923" s="77"/>
      <c r="AT3923" s="77"/>
      <c r="AU3923" s="77"/>
      <c r="AV3923" s="80" t="str">
        <f>HYPERLINK("https://pbs.twimg.com/profile_images/1559883556846977024/bXHnQFY0_normal.jpg")</f>
        <v>https://pbs.twimg.com/profile_images/1559883556846977024/bXHnQFY0_normal.jpg</v>
      </c>
      <c r="AW3923" s="82" t="s">
        <v>17007</v>
      </c>
      <c r="AX3923" s="82" t="s">
        <v>17007</v>
      </c>
      <c r="AY3923" s="77"/>
      <c r="AZ3923" s="82" t="s">
        <v>17385</v>
      </c>
      <c r="BA3923" s="82" t="s">
        <v>17385</v>
      </c>
      <c r="BB3923" s="82" t="s">
        <v>17385</v>
      </c>
      <c r="BC3923" s="82" t="s">
        <v>17007</v>
      </c>
      <c r="BD3923" s="77">
        <v>51150679</v>
      </c>
      <c r="BE3923" s="77"/>
      <c r="BF3923" s="77"/>
      <c r="BG3923" s="77"/>
      <c r="BH3923" s="77"/>
      <c r="BI3923" s="77"/>
    </row>
    <row r="3924" spans="1:61" x14ac:dyDescent="0.25">
      <c r="A3924" s="62" t="s">
        <v>605</v>
      </c>
      <c r="B3924" s="62" t="s">
        <v>605</v>
      </c>
      <c r="C3924" s="63"/>
      <c r="D3924" s="64"/>
      <c r="E3924" s="65"/>
      <c r="F3924" s="66"/>
      <c r="G3924" s="63"/>
      <c r="H3924" s="67"/>
      <c r="I3924" s="68"/>
      <c r="J3924" s="68"/>
      <c r="K3924" s="32"/>
      <c r="L3924" s="75">
        <v>3924</v>
      </c>
      <c r="M3924" s="75"/>
      <c r="N3924" s="70"/>
      <c r="O3924" s="77" t="s">
        <v>179</v>
      </c>
      <c r="P3924" s="79">
        <v>45062.791006944448</v>
      </c>
      <c r="Q3924" s="77" t="s">
        <v>4698</v>
      </c>
      <c r="R3924" s="77">
        <v>1</v>
      </c>
      <c r="S3924" s="77">
        <v>4</v>
      </c>
      <c r="T3924" s="77">
        <v>1</v>
      </c>
      <c r="U3924" s="77">
        <v>0</v>
      </c>
      <c r="V3924" s="77">
        <v>1436</v>
      </c>
      <c r="W3924" s="82" t="s">
        <v>6580</v>
      </c>
      <c r="X3924" s="80" t="str">
        <f>HYPERLINK("https://www.moneytimes.com.br/petrobras-petr4-valor-de-mercado-cai-r-924-bi-desde-as-eleicoes-quem-saiu-perdendo/")</f>
        <v>https://www.moneytimes.com.br/petrobras-petr4-valor-de-mercado-cai-r-924-bi-desde-as-eleicoes-quem-saiu-perdendo/</v>
      </c>
      <c r="Y3924" s="77" t="s">
        <v>7053</v>
      </c>
      <c r="Z3924" s="77"/>
      <c r="AA3924" s="77"/>
      <c r="AB3924" s="77"/>
      <c r="AC3924" s="82" t="s">
        <v>8255</v>
      </c>
      <c r="AD3924" s="77" t="s">
        <v>8278</v>
      </c>
      <c r="AE3924" s="80" t="str">
        <f>HYPERLINK("https://twitter.com/leiamoneytimes/status/1658547628794077197")</f>
        <v>https://twitter.com/leiamoneytimes/status/1658547628794077197</v>
      </c>
      <c r="AF3924" s="79">
        <v>45062.791006944448</v>
      </c>
      <c r="AG3924" s="85">
        <v>45062</v>
      </c>
      <c r="AH3924" s="82" t="s">
        <v>11877</v>
      </c>
      <c r="AI3924" s="77" t="b">
        <v>0</v>
      </c>
      <c r="AJ3924" s="77"/>
      <c r="AK3924" s="77"/>
      <c r="AL3924" s="77"/>
      <c r="AM3924" s="77"/>
      <c r="AN3924" s="77"/>
      <c r="AO3924" s="77"/>
      <c r="AP3924" s="77"/>
      <c r="AQ3924" s="77"/>
      <c r="AR3924" s="77"/>
      <c r="AS3924" s="77"/>
      <c r="AT3924" s="77"/>
      <c r="AU3924" s="77"/>
      <c r="AV3924" s="80" t="str">
        <f>HYPERLINK("https://pbs.twimg.com/profile_images/1559883556846977024/bXHnQFY0_normal.jpg")</f>
        <v>https://pbs.twimg.com/profile_images/1559883556846977024/bXHnQFY0_normal.jpg</v>
      </c>
      <c r="AW3924" s="82" t="s">
        <v>17008</v>
      </c>
      <c r="AX3924" s="82" t="s">
        <v>17008</v>
      </c>
      <c r="AY3924" s="77"/>
      <c r="AZ3924" s="82" t="s">
        <v>17385</v>
      </c>
      <c r="BA3924" s="82" t="s">
        <v>17385</v>
      </c>
      <c r="BB3924" s="82" t="s">
        <v>17385</v>
      </c>
      <c r="BC3924" s="82" t="s">
        <v>17008</v>
      </c>
      <c r="BD3924" s="77">
        <v>51150679</v>
      </c>
      <c r="BE3924" s="77"/>
      <c r="BF3924" s="77"/>
      <c r="BG3924" s="77"/>
      <c r="BH3924" s="77"/>
      <c r="BI3924" s="77"/>
    </row>
    <row r="3925" spans="1:61" x14ac:dyDescent="0.25">
      <c r="A3925" s="62" t="s">
        <v>605</v>
      </c>
      <c r="B3925" s="62" t="s">
        <v>605</v>
      </c>
      <c r="C3925" s="63"/>
      <c r="D3925" s="64"/>
      <c r="E3925" s="65"/>
      <c r="F3925" s="66"/>
      <c r="G3925" s="63"/>
      <c r="H3925" s="67"/>
      <c r="I3925" s="68"/>
      <c r="J3925" s="68"/>
      <c r="K3925" s="32"/>
      <c r="L3925" s="75">
        <v>3925</v>
      </c>
      <c r="M3925" s="75"/>
      <c r="N3925" s="70"/>
      <c r="O3925" s="77" t="s">
        <v>179</v>
      </c>
      <c r="P3925" s="79">
        <v>45062.733831018515</v>
      </c>
      <c r="Q3925" s="77" t="s">
        <v>4699</v>
      </c>
      <c r="R3925" s="77">
        <v>0</v>
      </c>
      <c r="S3925" s="77">
        <v>0</v>
      </c>
      <c r="T3925" s="77">
        <v>0</v>
      </c>
      <c r="U3925" s="77">
        <v>0</v>
      </c>
      <c r="V3925" s="77">
        <v>1010</v>
      </c>
      <c r="W3925" s="82" t="s">
        <v>6917</v>
      </c>
      <c r="X3925" s="80" t="str">
        <f>HYPERLINK("https://www.moneytimes.com.br/mercado-acionario-europeu-tem-queda-com-embracer-na-lanterna/")</f>
        <v>https://www.moneytimes.com.br/mercado-acionario-europeu-tem-queda-com-embracer-na-lanterna/</v>
      </c>
      <c r="Y3925" s="77" t="s">
        <v>7053</v>
      </c>
      <c r="Z3925" s="77"/>
      <c r="AA3925" s="77"/>
      <c r="AB3925" s="77"/>
      <c r="AC3925" s="82" t="s">
        <v>8255</v>
      </c>
      <c r="AD3925" s="77" t="s">
        <v>8278</v>
      </c>
      <c r="AE3925" s="80" t="str">
        <f>HYPERLINK("https://twitter.com/leiamoneytimes/status/1658526906453458951")</f>
        <v>https://twitter.com/leiamoneytimes/status/1658526906453458951</v>
      </c>
      <c r="AF3925" s="79">
        <v>45062.733831018515</v>
      </c>
      <c r="AG3925" s="85">
        <v>45062</v>
      </c>
      <c r="AH3925" s="82" t="s">
        <v>11878</v>
      </c>
      <c r="AI3925" s="77" t="b">
        <v>0</v>
      </c>
      <c r="AJ3925" s="77"/>
      <c r="AK3925" s="77"/>
      <c r="AL3925" s="77"/>
      <c r="AM3925" s="77"/>
      <c r="AN3925" s="77"/>
      <c r="AO3925" s="77"/>
      <c r="AP3925" s="77"/>
      <c r="AQ3925" s="77"/>
      <c r="AR3925" s="77"/>
      <c r="AS3925" s="77"/>
      <c r="AT3925" s="77"/>
      <c r="AU3925" s="77"/>
      <c r="AV3925" s="80" t="str">
        <f>HYPERLINK("https://pbs.twimg.com/profile_images/1559883556846977024/bXHnQFY0_normal.jpg")</f>
        <v>https://pbs.twimg.com/profile_images/1559883556846977024/bXHnQFY0_normal.jpg</v>
      </c>
      <c r="AW3925" s="82" t="s">
        <v>17009</v>
      </c>
      <c r="AX3925" s="82" t="s">
        <v>17009</v>
      </c>
      <c r="AY3925" s="77"/>
      <c r="AZ3925" s="82" t="s">
        <v>17385</v>
      </c>
      <c r="BA3925" s="82" t="s">
        <v>17385</v>
      </c>
      <c r="BB3925" s="82" t="s">
        <v>17385</v>
      </c>
      <c r="BC3925" s="82" t="s">
        <v>17009</v>
      </c>
      <c r="BD3925" s="77">
        <v>51150679</v>
      </c>
      <c r="BE3925" s="77"/>
      <c r="BF3925" s="77"/>
      <c r="BG3925" s="77"/>
      <c r="BH3925" s="77"/>
      <c r="BI3925" s="77"/>
    </row>
    <row r="3926" spans="1:61" x14ac:dyDescent="0.25">
      <c r="A3926" s="62" t="s">
        <v>605</v>
      </c>
      <c r="B3926" s="62" t="s">
        <v>605</v>
      </c>
      <c r="C3926" s="63"/>
      <c r="D3926" s="64"/>
      <c r="E3926" s="65"/>
      <c r="F3926" s="66"/>
      <c r="G3926" s="63"/>
      <c r="H3926" s="67"/>
      <c r="I3926" s="68"/>
      <c r="J3926" s="68"/>
      <c r="K3926" s="32"/>
      <c r="L3926" s="75">
        <v>3926</v>
      </c>
      <c r="M3926" s="75"/>
      <c r="N3926" s="70"/>
      <c r="O3926" s="77" t="s">
        <v>179</v>
      </c>
      <c r="P3926" s="79">
        <v>45062.688356481478</v>
      </c>
      <c r="Q3926" s="77" t="s">
        <v>4700</v>
      </c>
      <c r="R3926" s="77">
        <v>1</v>
      </c>
      <c r="S3926" s="77">
        <v>7</v>
      </c>
      <c r="T3926" s="77">
        <v>0</v>
      </c>
      <c r="U3926" s="77">
        <v>0</v>
      </c>
      <c r="V3926" s="77">
        <v>1910</v>
      </c>
      <c r="W3926" s="82" t="s">
        <v>6742</v>
      </c>
      <c r="X3926" s="80" t="str">
        <f>HYPERLINK("https://www.moneytimes.com.br/por-que-a-rrrp3-vai-na-contramao-da-petr4-e-despenca-6-nesta-terca-16/")</f>
        <v>https://www.moneytimes.com.br/por-que-a-rrrp3-vai-na-contramao-da-petr4-e-despenca-6-nesta-terca-16/</v>
      </c>
      <c r="Y3926" s="77" t="s">
        <v>7053</v>
      </c>
      <c r="Z3926" s="77"/>
      <c r="AA3926" s="77"/>
      <c r="AB3926" s="77"/>
      <c r="AC3926" s="82" t="s">
        <v>8255</v>
      </c>
      <c r="AD3926" s="77" t="s">
        <v>8278</v>
      </c>
      <c r="AE3926" s="80" t="str">
        <f>HYPERLINK("https://twitter.com/leiamoneytimes/status/1658510429746855938")</f>
        <v>https://twitter.com/leiamoneytimes/status/1658510429746855938</v>
      </c>
      <c r="AF3926" s="79">
        <v>45062.688356481478</v>
      </c>
      <c r="AG3926" s="85">
        <v>45062</v>
      </c>
      <c r="AH3926" s="82" t="s">
        <v>11879</v>
      </c>
      <c r="AI3926" s="77" t="b">
        <v>0</v>
      </c>
      <c r="AJ3926" s="77"/>
      <c r="AK3926" s="77"/>
      <c r="AL3926" s="77"/>
      <c r="AM3926" s="77"/>
      <c r="AN3926" s="77"/>
      <c r="AO3926" s="77"/>
      <c r="AP3926" s="77"/>
      <c r="AQ3926" s="77"/>
      <c r="AR3926" s="77"/>
      <c r="AS3926" s="77"/>
      <c r="AT3926" s="77"/>
      <c r="AU3926" s="77"/>
      <c r="AV3926" s="80" t="str">
        <f>HYPERLINK("https://pbs.twimg.com/profile_images/1559883556846977024/bXHnQFY0_normal.jpg")</f>
        <v>https://pbs.twimg.com/profile_images/1559883556846977024/bXHnQFY0_normal.jpg</v>
      </c>
      <c r="AW3926" s="82" t="s">
        <v>17010</v>
      </c>
      <c r="AX3926" s="82" t="s">
        <v>17010</v>
      </c>
      <c r="AY3926" s="77"/>
      <c r="AZ3926" s="82" t="s">
        <v>17385</v>
      </c>
      <c r="BA3926" s="82" t="s">
        <v>17385</v>
      </c>
      <c r="BB3926" s="82" t="s">
        <v>17385</v>
      </c>
      <c r="BC3926" s="82" t="s">
        <v>17010</v>
      </c>
      <c r="BD3926" s="77">
        <v>51150679</v>
      </c>
      <c r="BE3926" s="77"/>
      <c r="BF3926" s="77"/>
      <c r="BG3926" s="77"/>
      <c r="BH3926" s="77"/>
      <c r="BI3926" s="77"/>
    </row>
    <row r="3927" spans="1:61" x14ac:dyDescent="0.25">
      <c r="A3927" s="62" t="s">
        <v>605</v>
      </c>
      <c r="B3927" s="62" t="s">
        <v>605</v>
      </c>
      <c r="C3927" s="63"/>
      <c r="D3927" s="64"/>
      <c r="E3927" s="65"/>
      <c r="F3927" s="66"/>
      <c r="G3927" s="63"/>
      <c r="H3927" s="67"/>
      <c r="I3927" s="68"/>
      <c r="J3927" s="68"/>
      <c r="K3927" s="32"/>
      <c r="L3927" s="75">
        <v>3927</v>
      </c>
      <c r="M3927" s="75"/>
      <c r="N3927" s="70"/>
      <c r="O3927" s="77" t="s">
        <v>179</v>
      </c>
      <c r="P3927" s="79">
        <v>45062.672442129631</v>
      </c>
      <c r="Q3927" s="77" t="s">
        <v>4701</v>
      </c>
      <c r="R3927" s="77">
        <v>0</v>
      </c>
      <c r="S3927" s="77">
        <v>4</v>
      </c>
      <c r="T3927" s="77">
        <v>0</v>
      </c>
      <c r="U3927" s="77">
        <v>1</v>
      </c>
      <c r="V3927" s="77">
        <v>1908</v>
      </c>
      <c r="W3927" s="82" t="s">
        <v>6900</v>
      </c>
      <c r="X3927" s="80" t="str">
        <f>HYPERLINK("https://www.moneytimes.com.br/ibovespa-o-que-esta-por-tras-da-queda-de-15-do-mglu3-e-da-disparada-de-10-de-hapv3/")</f>
        <v>https://www.moneytimes.com.br/ibovespa-o-que-esta-por-tras-da-queda-de-15-do-mglu3-e-da-disparada-de-10-de-hapv3/</v>
      </c>
      <c r="Y3927" s="77" t="s">
        <v>7053</v>
      </c>
      <c r="Z3927" s="77"/>
      <c r="AA3927" s="77"/>
      <c r="AB3927" s="77"/>
      <c r="AC3927" s="82" t="s">
        <v>8255</v>
      </c>
      <c r="AD3927" s="77" t="s">
        <v>8278</v>
      </c>
      <c r="AE3927" s="80" t="str">
        <f>HYPERLINK("https://twitter.com/leiamoneytimes/status/1658504660884287490")</f>
        <v>https://twitter.com/leiamoneytimes/status/1658504660884287490</v>
      </c>
      <c r="AF3927" s="79">
        <v>45062.672442129631</v>
      </c>
      <c r="AG3927" s="85">
        <v>45062</v>
      </c>
      <c r="AH3927" s="82" t="s">
        <v>11880</v>
      </c>
      <c r="AI3927" s="77" t="b">
        <v>0</v>
      </c>
      <c r="AJ3927" s="77"/>
      <c r="AK3927" s="77"/>
      <c r="AL3927" s="77"/>
      <c r="AM3927" s="77"/>
      <c r="AN3927" s="77"/>
      <c r="AO3927" s="77"/>
      <c r="AP3927" s="77"/>
      <c r="AQ3927" s="77"/>
      <c r="AR3927" s="77"/>
      <c r="AS3927" s="77"/>
      <c r="AT3927" s="77"/>
      <c r="AU3927" s="77"/>
      <c r="AV3927" s="80" t="str">
        <f>HYPERLINK("https://pbs.twimg.com/profile_images/1559883556846977024/bXHnQFY0_normal.jpg")</f>
        <v>https://pbs.twimg.com/profile_images/1559883556846977024/bXHnQFY0_normal.jpg</v>
      </c>
      <c r="AW3927" s="82" t="s">
        <v>17011</v>
      </c>
      <c r="AX3927" s="82" t="s">
        <v>17011</v>
      </c>
      <c r="AY3927" s="77"/>
      <c r="AZ3927" s="82" t="s">
        <v>17385</v>
      </c>
      <c r="BA3927" s="82" t="s">
        <v>17385</v>
      </c>
      <c r="BB3927" s="82" t="s">
        <v>17385</v>
      </c>
      <c r="BC3927" s="82" t="s">
        <v>17011</v>
      </c>
      <c r="BD3927" s="77">
        <v>51150679</v>
      </c>
      <c r="BE3927" s="77"/>
      <c r="BF3927" s="77"/>
      <c r="BG3927" s="77"/>
      <c r="BH3927" s="77"/>
      <c r="BI3927" s="77"/>
    </row>
    <row r="3928" spans="1:61" x14ac:dyDescent="0.25">
      <c r="A3928" s="62" t="s">
        <v>605</v>
      </c>
      <c r="B3928" s="62" t="s">
        <v>605</v>
      </c>
      <c r="C3928" s="63"/>
      <c r="D3928" s="64"/>
      <c r="E3928" s="65"/>
      <c r="F3928" s="66"/>
      <c r="G3928" s="63"/>
      <c r="H3928" s="67"/>
      <c r="I3928" s="68"/>
      <c r="J3928" s="68"/>
      <c r="K3928" s="32"/>
      <c r="L3928" s="75">
        <v>3928</v>
      </c>
      <c r="M3928" s="75"/>
      <c r="N3928" s="70"/>
      <c r="O3928" s="77" t="s">
        <v>179</v>
      </c>
      <c r="P3928" s="79">
        <v>45062.62327546296</v>
      </c>
      <c r="Q3928" s="77" t="s">
        <v>4702</v>
      </c>
      <c r="R3928" s="77">
        <v>0</v>
      </c>
      <c r="S3928" s="77">
        <v>3</v>
      </c>
      <c r="T3928" s="77">
        <v>0</v>
      </c>
      <c r="U3928" s="77">
        <v>0</v>
      </c>
      <c r="V3928" s="77">
        <v>1169</v>
      </c>
      <c r="W3928" s="82" t="s">
        <v>6701</v>
      </c>
      <c r="X3928" s="80" t="str">
        <f>HYPERLINK("https://www.moneytimes.com.br/wall-street-cai-com-previsao-da-home-depot-e-dados-de-vendas-no-varejo/")</f>
        <v>https://www.moneytimes.com.br/wall-street-cai-com-previsao-da-home-depot-e-dados-de-vendas-no-varejo/</v>
      </c>
      <c r="Y3928" s="77" t="s">
        <v>7053</v>
      </c>
      <c r="Z3928" s="77"/>
      <c r="AA3928" s="77"/>
      <c r="AB3928" s="77"/>
      <c r="AC3928" s="82" t="s">
        <v>8255</v>
      </c>
      <c r="AD3928" s="77" t="s">
        <v>8278</v>
      </c>
      <c r="AE3928" s="80" t="str">
        <f>HYPERLINK("https://twitter.com/leiamoneytimes/status/1658486843523084291")</f>
        <v>https://twitter.com/leiamoneytimes/status/1658486843523084291</v>
      </c>
      <c r="AF3928" s="79">
        <v>45062.62327546296</v>
      </c>
      <c r="AG3928" s="85">
        <v>45062</v>
      </c>
      <c r="AH3928" s="82" t="s">
        <v>11881</v>
      </c>
      <c r="AI3928" s="77" t="b">
        <v>0</v>
      </c>
      <c r="AJ3928" s="77"/>
      <c r="AK3928" s="77"/>
      <c r="AL3928" s="77"/>
      <c r="AM3928" s="77"/>
      <c r="AN3928" s="77"/>
      <c r="AO3928" s="77"/>
      <c r="AP3928" s="77"/>
      <c r="AQ3928" s="77"/>
      <c r="AR3928" s="77"/>
      <c r="AS3928" s="77"/>
      <c r="AT3928" s="77"/>
      <c r="AU3928" s="77"/>
      <c r="AV3928" s="80" t="str">
        <f>HYPERLINK("https://pbs.twimg.com/profile_images/1559883556846977024/bXHnQFY0_normal.jpg")</f>
        <v>https://pbs.twimg.com/profile_images/1559883556846977024/bXHnQFY0_normal.jpg</v>
      </c>
      <c r="AW3928" s="82" t="s">
        <v>17012</v>
      </c>
      <c r="AX3928" s="82" t="s">
        <v>17012</v>
      </c>
      <c r="AY3928" s="77"/>
      <c r="AZ3928" s="82" t="s">
        <v>17385</v>
      </c>
      <c r="BA3928" s="82" t="s">
        <v>17385</v>
      </c>
      <c r="BB3928" s="82" t="s">
        <v>17385</v>
      </c>
      <c r="BC3928" s="82" t="s">
        <v>17012</v>
      </c>
      <c r="BD3928" s="77">
        <v>51150679</v>
      </c>
      <c r="BE3928" s="77"/>
      <c r="BF3928" s="77"/>
      <c r="BG3928" s="77"/>
      <c r="BH3928" s="77"/>
      <c r="BI3928" s="77"/>
    </row>
    <row r="3929" spans="1:61" x14ac:dyDescent="0.25">
      <c r="A3929" s="62" t="s">
        <v>605</v>
      </c>
      <c r="B3929" s="62" t="s">
        <v>605</v>
      </c>
      <c r="C3929" s="63"/>
      <c r="D3929" s="64"/>
      <c r="E3929" s="65"/>
      <c r="F3929" s="66"/>
      <c r="G3929" s="63"/>
      <c r="H3929" s="67"/>
      <c r="I3929" s="68"/>
      <c r="J3929" s="68"/>
      <c r="K3929" s="32"/>
      <c r="L3929" s="75">
        <v>3929</v>
      </c>
      <c r="M3929" s="75"/>
      <c r="N3929" s="70"/>
      <c r="O3929" s="77" t="s">
        <v>179</v>
      </c>
      <c r="P3929" s="79">
        <v>45062.591585648152</v>
      </c>
      <c r="Q3929" s="77" t="s">
        <v>4703</v>
      </c>
      <c r="R3929" s="77">
        <v>0</v>
      </c>
      <c r="S3929" s="77">
        <v>9</v>
      </c>
      <c r="T3929" s="77">
        <v>0</v>
      </c>
      <c r="U3929" s="77">
        <v>0</v>
      </c>
      <c r="V3929" s="77">
        <v>1417</v>
      </c>
      <c r="W3929" s="82" t="s">
        <v>6559</v>
      </c>
      <c r="X3929" s="80" t="str">
        <f>HYPERLINK("https://www.moneytimes.com.br/gringos-compram-r-15-bi-em-acoes-na-b3-em-uma-semana-e-interrompem-sell-in-may/")</f>
        <v>https://www.moneytimes.com.br/gringos-compram-r-15-bi-em-acoes-na-b3-em-uma-semana-e-interrompem-sell-in-may/</v>
      </c>
      <c r="Y3929" s="77" t="s">
        <v>7053</v>
      </c>
      <c r="Z3929" s="77"/>
      <c r="AA3929" s="77"/>
      <c r="AB3929" s="77"/>
      <c r="AC3929" s="82" t="s">
        <v>8255</v>
      </c>
      <c r="AD3929" s="77" t="s">
        <v>8278</v>
      </c>
      <c r="AE3929" s="80" t="str">
        <f>HYPERLINK("https://twitter.com/leiamoneytimes/status/1658475358893789184")</f>
        <v>https://twitter.com/leiamoneytimes/status/1658475358893789184</v>
      </c>
      <c r="AF3929" s="79">
        <v>45062.591585648152</v>
      </c>
      <c r="AG3929" s="85">
        <v>45062</v>
      </c>
      <c r="AH3929" s="82" t="s">
        <v>11882</v>
      </c>
      <c r="AI3929" s="77" t="b">
        <v>0</v>
      </c>
      <c r="AJ3929" s="77"/>
      <c r="AK3929" s="77"/>
      <c r="AL3929" s="77"/>
      <c r="AM3929" s="77"/>
      <c r="AN3929" s="77"/>
      <c r="AO3929" s="77"/>
      <c r="AP3929" s="77"/>
      <c r="AQ3929" s="77"/>
      <c r="AR3929" s="77"/>
      <c r="AS3929" s="77"/>
      <c r="AT3929" s="77"/>
      <c r="AU3929" s="77"/>
      <c r="AV3929" s="80" t="str">
        <f>HYPERLINK("https://pbs.twimg.com/profile_images/1559883556846977024/bXHnQFY0_normal.jpg")</f>
        <v>https://pbs.twimg.com/profile_images/1559883556846977024/bXHnQFY0_normal.jpg</v>
      </c>
      <c r="AW3929" s="82" t="s">
        <v>17013</v>
      </c>
      <c r="AX3929" s="82" t="s">
        <v>17013</v>
      </c>
      <c r="AY3929" s="77"/>
      <c r="AZ3929" s="82" t="s">
        <v>17385</v>
      </c>
      <c r="BA3929" s="82" t="s">
        <v>17385</v>
      </c>
      <c r="BB3929" s="82" t="s">
        <v>17385</v>
      </c>
      <c r="BC3929" s="82" t="s">
        <v>17013</v>
      </c>
      <c r="BD3929" s="77">
        <v>51150679</v>
      </c>
      <c r="BE3929" s="77"/>
      <c r="BF3929" s="77"/>
      <c r="BG3929" s="77"/>
      <c r="BH3929" s="77"/>
      <c r="BI3929" s="77"/>
    </row>
    <row r="3930" spans="1:61" x14ac:dyDescent="0.25">
      <c r="A3930" s="62" t="s">
        <v>605</v>
      </c>
      <c r="B3930" s="62" t="s">
        <v>605</v>
      </c>
      <c r="C3930" s="63"/>
      <c r="D3930" s="64"/>
      <c r="E3930" s="65"/>
      <c r="F3930" s="66"/>
      <c r="G3930" s="63"/>
      <c r="H3930" s="67"/>
      <c r="I3930" s="68"/>
      <c r="J3930" s="68"/>
      <c r="K3930" s="32"/>
      <c r="L3930" s="75">
        <v>3930</v>
      </c>
      <c r="M3930" s="75"/>
      <c r="N3930" s="70"/>
      <c r="O3930" s="77" t="s">
        <v>179</v>
      </c>
      <c r="P3930" s="79">
        <v>45062.578287037039</v>
      </c>
      <c r="Q3930" s="77" t="s">
        <v>4704</v>
      </c>
      <c r="R3930" s="77">
        <v>0</v>
      </c>
      <c r="S3930" s="77">
        <v>13</v>
      </c>
      <c r="T3930" s="77">
        <v>2</v>
      </c>
      <c r="U3930" s="77">
        <v>0</v>
      </c>
      <c r="V3930" s="77">
        <v>3172</v>
      </c>
      <c r="W3930" s="82" t="s">
        <v>6613</v>
      </c>
      <c r="X3930" s="80" t="str">
        <f>HYPERLINK("https://www.moneytimes.com.br/petrobras-petr3petr4-dispara-nesta-terca-16-apos-nova-politica-de-precos/")</f>
        <v>https://www.moneytimes.com.br/petrobras-petr3petr4-dispara-nesta-terca-16-apos-nova-politica-de-precos/</v>
      </c>
      <c r="Y3930" s="77" t="s">
        <v>7053</v>
      </c>
      <c r="Z3930" s="77"/>
      <c r="AA3930" s="77"/>
      <c r="AB3930" s="77"/>
      <c r="AC3930" s="82" t="s">
        <v>8255</v>
      </c>
      <c r="AD3930" s="77" t="s">
        <v>8278</v>
      </c>
      <c r="AE3930" s="80" t="str">
        <f>HYPERLINK("https://twitter.com/leiamoneytimes/status/1658470540774985728")</f>
        <v>https://twitter.com/leiamoneytimes/status/1658470540774985728</v>
      </c>
      <c r="AF3930" s="79">
        <v>45062.578287037039</v>
      </c>
      <c r="AG3930" s="85">
        <v>45062</v>
      </c>
      <c r="AH3930" s="82" t="s">
        <v>10809</v>
      </c>
      <c r="AI3930" s="77" t="b">
        <v>0</v>
      </c>
      <c r="AJ3930" s="77"/>
      <c r="AK3930" s="77"/>
      <c r="AL3930" s="77"/>
      <c r="AM3930" s="77"/>
      <c r="AN3930" s="77"/>
      <c r="AO3930" s="77"/>
      <c r="AP3930" s="77"/>
      <c r="AQ3930" s="77"/>
      <c r="AR3930" s="77"/>
      <c r="AS3930" s="77"/>
      <c r="AT3930" s="77"/>
      <c r="AU3930" s="77"/>
      <c r="AV3930" s="80" t="str">
        <f>HYPERLINK("https://pbs.twimg.com/profile_images/1559883556846977024/bXHnQFY0_normal.jpg")</f>
        <v>https://pbs.twimg.com/profile_images/1559883556846977024/bXHnQFY0_normal.jpg</v>
      </c>
      <c r="AW3930" s="82" t="s">
        <v>17014</v>
      </c>
      <c r="AX3930" s="82" t="s">
        <v>17014</v>
      </c>
      <c r="AY3930" s="77"/>
      <c r="AZ3930" s="82" t="s">
        <v>17385</v>
      </c>
      <c r="BA3930" s="82" t="s">
        <v>17385</v>
      </c>
      <c r="BB3930" s="82" t="s">
        <v>17385</v>
      </c>
      <c r="BC3930" s="82" t="s">
        <v>17014</v>
      </c>
      <c r="BD3930" s="77">
        <v>51150679</v>
      </c>
      <c r="BE3930" s="77"/>
      <c r="BF3930" s="77"/>
      <c r="BG3930" s="77"/>
      <c r="BH3930" s="77"/>
      <c r="BI3930" s="77"/>
    </row>
    <row r="3931" spans="1:61" x14ac:dyDescent="0.25">
      <c r="A3931" s="62" t="s">
        <v>605</v>
      </c>
      <c r="B3931" s="62" t="s">
        <v>605</v>
      </c>
      <c r="C3931" s="63"/>
      <c r="D3931" s="64"/>
      <c r="E3931" s="65"/>
      <c r="F3931" s="66"/>
      <c r="G3931" s="63"/>
      <c r="H3931" s="67"/>
      <c r="I3931" s="68"/>
      <c r="J3931" s="68"/>
      <c r="K3931" s="32"/>
      <c r="L3931" s="75">
        <v>3931</v>
      </c>
      <c r="M3931" s="75"/>
      <c r="N3931" s="70"/>
      <c r="O3931" s="77" t="s">
        <v>179</v>
      </c>
      <c r="P3931" s="79">
        <v>45061.973032407404</v>
      </c>
      <c r="Q3931" s="77" t="s">
        <v>4705</v>
      </c>
      <c r="R3931" s="77">
        <v>1</v>
      </c>
      <c r="S3931" s="77">
        <v>9</v>
      </c>
      <c r="T3931" s="77">
        <v>0</v>
      </c>
      <c r="U3931" s="77">
        <v>0</v>
      </c>
      <c r="V3931" s="77">
        <v>2325</v>
      </c>
      <c r="W3931" s="82" t="s">
        <v>6918</v>
      </c>
      <c r="X3931" s="80" t="str">
        <f>HYPERLINK("https://www.moneytimes.com.br/acoes-e-titulos-em-dolar-da-turquia-caem-com-erdogan-na-lideranca-para-o-2oturno-de-eleicoes/")</f>
        <v>https://www.moneytimes.com.br/acoes-e-titulos-em-dolar-da-turquia-caem-com-erdogan-na-lideranca-para-o-2oturno-de-eleicoes/</v>
      </c>
      <c r="Y3931" s="77" t="s">
        <v>7053</v>
      </c>
      <c r="Z3931" s="77"/>
      <c r="AA3931" s="77"/>
      <c r="AB3931" s="77"/>
      <c r="AC3931" s="82" t="s">
        <v>8255</v>
      </c>
      <c r="AD3931" s="77" t="s">
        <v>8278</v>
      </c>
      <c r="AE3931" s="80" t="str">
        <f>HYPERLINK("https://twitter.com/leiamoneytimes/status/1658251205020205058")</f>
        <v>https://twitter.com/leiamoneytimes/status/1658251205020205058</v>
      </c>
      <c r="AF3931" s="79">
        <v>45061.973032407404</v>
      </c>
      <c r="AG3931" s="85">
        <v>45061</v>
      </c>
      <c r="AH3931" s="82" t="s">
        <v>11883</v>
      </c>
      <c r="AI3931" s="77" t="b">
        <v>0</v>
      </c>
      <c r="AJ3931" s="77"/>
      <c r="AK3931" s="77"/>
      <c r="AL3931" s="77"/>
      <c r="AM3931" s="77"/>
      <c r="AN3931" s="77"/>
      <c r="AO3931" s="77"/>
      <c r="AP3931" s="77"/>
      <c r="AQ3931" s="77"/>
      <c r="AR3931" s="77"/>
      <c r="AS3931" s="77"/>
      <c r="AT3931" s="77"/>
      <c r="AU3931" s="77"/>
      <c r="AV3931" s="80" t="str">
        <f>HYPERLINK("https://pbs.twimg.com/profile_images/1559883556846977024/bXHnQFY0_normal.jpg")</f>
        <v>https://pbs.twimg.com/profile_images/1559883556846977024/bXHnQFY0_normal.jpg</v>
      </c>
      <c r="AW3931" s="82" t="s">
        <v>17015</v>
      </c>
      <c r="AX3931" s="82" t="s">
        <v>17015</v>
      </c>
      <c r="AY3931" s="77"/>
      <c r="AZ3931" s="82" t="s">
        <v>17385</v>
      </c>
      <c r="BA3931" s="82" t="s">
        <v>17385</v>
      </c>
      <c r="BB3931" s="82" t="s">
        <v>17385</v>
      </c>
      <c r="BC3931" s="82" t="s">
        <v>17015</v>
      </c>
      <c r="BD3931" s="77">
        <v>51150679</v>
      </c>
      <c r="BE3931" s="77"/>
      <c r="BF3931" s="77"/>
      <c r="BG3931" s="77"/>
      <c r="BH3931" s="77"/>
      <c r="BI3931" s="77"/>
    </row>
    <row r="3932" spans="1:61" x14ac:dyDescent="0.25">
      <c r="A3932" s="62" t="s">
        <v>605</v>
      </c>
      <c r="B3932" s="62" t="s">
        <v>605</v>
      </c>
      <c r="C3932" s="63"/>
      <c r="D3932" s="64"/>
      <c r="E3932" s="65"/>
      <c r="F3932" s="66"/>
      <c r="G3932" s="63"/>
      <c r="H3932" s="67"/>
      <c r="I3932" s="68"/>
      <c r="J3932" s="68"/>
      <c r="K3932" s="32"/>
      <c r="L3932" s="75">
        <v>3932</v>
      </c>
      <c r="M3932" s="75"/>
      <c r="N3932" s="70"/>
      <c r="O3932" s="77" t="s">
        <v>179</v>
      </c>
      <c r="P3932" s="79">
        <v>45061.904872685183</v>
      </c>
      <c r="Q3932" s="77" t="s">
        <v>4706</v>
      </c>
      <c r="R3932" s="77">
        <v>1</v>
      </c>
      <c r="S3932" s="77">
        <v>26</v>
      </c>
      <c r="T3932" s="77">
        <v>0</v>
      </c>
      <c r="U3932" s="77">
        <v>0</v>
      </c>
      <c r="V3932" s="77">
        <v>4088</v>
      </c>
      <c r="W3932" s="82" t="s">
        <v>6591</v>
      </c>
      <c r="X3932" s="80" t="str">
        <f>HYPERLINK("https://www.moneytimes.com.br/taurus-tasa4-lucro-tomba-82-a-r-354-milhoes-no-1t23/")</f>
        <v>https://www.moneytimes.com.br/taurus-tasa4-lucro-tomba-82-a-r-354-milhoes-no-1t23/</v>
      </c>
      <c r="Y3932" s="77" t="s">
        <v>7053</v>
      </c>
      <c r="Z3932" s="77"/>
      <c r="AA3932" s="77"/>
      <c r="AB3932" s="77"/>
      <c r="AC3932" s="82" t="s">
        <v>8255</v>
      </c>
      <c r="AD3932" s="77" t="s">
        <v>8278</v>
      </c>
      <c r="AE3932" s="80" t="str">
        <f>HYPERLINK("https://twitter.com/leiamoneytimes/status/1658226502775832578")</f>
        <v>https://twitter.com/leiamoneytimes/status/1658226502775832578</v>
      </c>
      <c r="AF3932" s="79">
        <v>45061.904872685183</v>
      </c>
      <c r="AG3932" s="85">
        <v>45061</v>
      </c>
      <c r="AH3932" s="82" t="s">
        <v>11884</v>
      </c>
      <c r="AI3932" s="77" t="b">
        <v>0</v>
      </c>
      <c r="AJ3932" s="77"/>
      <c r="AK3932" s="77"/>
      <c r="AL3932" s="77"/>
      <c r="AM3932" s="77"/>
      <c r="AN3932" s="77"/>
      <c r="AO3932" s="77"/>
      <c r="AP3932" s="77"/>
      <c r="AQ3932" s="77"/>
      <c r="AR3932" s="77"/>
      <c r="AS3932" s="77"/>
      <c r="AT3932" s="77"/>
      <c r="AU3932" s="77"/>
      <c r="AV3932" s="80" t="str">
        <f>HYPERLINK("https://pbs.twimg.com/profile_images/1559883556846977024/bXHnQFY0_normal.jpg")</f>
        <v>https://pbs.twimg.com/profile_images/1559883556846977024/bXHnQFY0_normal.jpg</v>
      </c>
      <c r="AW3932" s="82" t="s">
        <v>17016</v>
      </c>
      <c r="AX3932" s="82" t="s">
        <v>17016</v>
      </c>
      <c r="AY3932" s="77"/>
      <c r="AZ3932" s="82" t="s">
        <v>17385</v>
      </c>
      <c r="BA3932" s="82" t="s">
        <v>17385</v>
      </c>
      <c r="BB3932" s="82" t="s">
        <v>17385</v>
      </c>
      <c r="BC3932" s="82" t="s">
        <v>17016</v>
      </c>
      <c r="BD3932" s="77">
        <v>51150679</v>
      </c>
      <c r="BE3932" s="77"/>
      <c r="BF3932" s="77"/>
      <c r="BG3932" s="77"/>
      <c r="BH3932" s="77"/>
      <c r="BI3932" s="77"/>
    </row>
    <row r="3933" spans="1:61" x14ac:dyDescent="0.25">
      <c r="A3933" s="62" t="s">
        <v>605</v>
      </c>
      <c r="B3933" s="62" t="s">
        <v>605</v>
      </c>
      <c r="C3933" s="63"/>
      <c r="D3933" s="64"/>
      <c r="E3933" s="65"/>
      <c r="F3933" s="66"/>
      <c r="G3933" s="63"/>
      <c r="H3933" s="67"/>
      <c r="I3933" s="68"/>
      <c r="J3933" s="68"/>
      <c r="K3933" s="32"/>
      <c r="L3933" s="75">
        <v>3933</v>
      </c>
      <c r="M3933" s="75"/>
      <c r="N3933" s="70"/>
      <c r="O3933" s="77" t="s">
        <v>179</v>
      </c>
      <c r="P3933" s="79">
        <v>45061.904872685183</v>
      </c>
      <c r="Q3933" s="77" t="s">
        <v>4707</v>
      </c>
      <c r="R3933" s="77">
        <v>0</v>
      </c>
      <c r="S3933" s="77">
        <v>1</v>
      </c>
      <c r="T3933" s="77">
        <v>0</v>
      </c>
      <c r="U3933" s="77">
        <v>0</v>
      </c>
      <c r="V3933" s="77">
        <v>1704</v>
      </c>
      <c r="W3933" s="82" t="s">
        <v>6591</v>
      </c>
      <c r="X3933" s="80" t="str">
        <f>HYPERLINK("https://www.moneytimes.com.br/dividendos-construtora-vai-pagar-milhoes-apos-lucro-derreter-no-1t23-veja-como-receber/")</f>
        <v>https://www.moneytimes.com.br/dividendos-construtora-vai-pagar-milhoes-apos-lucro-derreter-no-1t23-veja-como-receber/</v>
      </c>
      <c r="Y3933" s="77" t="s">
        <v>7053</v>
      </c>
      <c r="Z3933" s="77"/>
      <c r="AA3933" s="77"/>
      <c r="AB3933" s="77"/>
      <c r="AC3933" s="82" t="s">
        <v>8255</v>
      </c>
      <c r="AD3933" s="77" t="s">
        <v>8278</v>
      </c>
      <c r="AE3933" s="80" t="str">
        <f>HYPERLINK("https://twitter.com/leiamoneytimes/status/1658226502226288641")</f>
        <v>https://twitter.com/leiamoneytimes/status/1658226502226288641</v>
      </c>
      <c r="AF3933" s="79">
        <v>45061.904872685183</v>
      </c>
      <c r="AG3933" s="85">
        <v>45061</v>
      </c>
      <c r="AH3933" s="82" t="s">
        <v>11884</v>
      </c>
      <c r="AI3933" s="77" t="b">
        <v>0</v>
      </c>
      <c r="AJ3933" s="77"/>
      <c r="AK3933" s="77"/>
      <c r="AL3933" s="77"/>
      <c r="AM3933" s="77"/>
      <c r="AN3933" s="77"/>
      <c r="AO3933" s="77"/>
      <c r="AP3933" s="77"/>
      <c r="AQ3933" s="77"/>
      <c r="AR3933" s="77"/>
      <c r="AS3933" s="77"/>
      <c r="AT3933" s="77"/>
      <c r="AU3933" s="77"/>
      <c r="AV3933" s="80" t="str">
        <f>HYPERLINK("https://pbs.twimg.com/profile_images/1559883556846977024/bXHnQFY0_normal.jpg")</f>
        <v>https://pbs.twimg.com/profile_images/1559883556846977024/bXHnQFY0_normal.jpg</v>
      </c>
      <c r="AW3933" s="82" t="s">
        <v>17017</v>
      </c>
      <c r="AX3933" s="82" t="s">
        <v>17017</v>
      </c>
      <c r="AY3933" s="77"/>
      <c r="AZ3933" s="82" t="s">
        <v>17385</v>
      </c>
      <c r="BA3933" s="82" t="s">
        <v>17385</v>
      </c>
      <c r="BB3933" s="82" t="s">
        <v>17385</v>
      </c>
      <c r="BC3933" s="82" t="s">
        <v>17017</v>
      </c>
      <c r="BD3933" s="77">
        <v>51150679</v>
      </c>
      <c r="BE3933" s="77"/>
      <c r="BF3933" s="77"/>
      <c r="BG3933" s="77"/>
      <c r="BH3933" s="77"/>
      <c r="BI3933" s="77"/>
    </row>
    <row r="3934" spans="1:61" x14ac:dyDescent="0.25">
      <c r="A3934" s="62" t="s">
        <v>605</v>
      </c>
      <c r="B3934" s="62" t="s">
        <v>605</v>
      </c>
      <c r="C3934" s="63"/>
      <c r="D3934" s="64"/>
      <c r="E3934" s="65"/>
      <c r="F3934" s="66"/>
      <c r="G3934" s="63"/>
      <c r="H3934" s="67"/>
      <c r="I3934" s="68"/>
      <c r="J3934" s="68"/>
      <c r="K3934" s="32"/>
      <c r="L3934" s="75">
        <v>3934</v>
      </c>
      <c r="M3934" s="75"/>
      <c r="N3934" s="70"/>
      <c r="O3934" s="77" t="s">
        <v>179</v>
      </c>
      <c r="P3934" s="79">
        <v>45061.773726851854</v>
      </c>
      <c r="Q3934" s="77" t="s">
        <v>4708</v>
      </c>
      <c r="R3934" s="77">
        <v>0</v>
      </c>
      <c r="S3934" s="77">
        <v>4</v>
      </c>
      <c r="T3934" s="77">
        <v>0</v>
      </c>
      <c r="U3934" s="77">
        <v>0</v>
      </c>
      <c r="V3934" s="77">
        <v>1297</v>
      </c>
      <c r="W3934" s="82" t="s">
        <v>6549</v>
      </c>
      <c r="X3934" s="80" t="str">
        <f>HYPERLINK("https://www.moneytimes.com.br/gringos-voltam-a-vender-acoes-na-b3-e-elevem-deficit-no-mes-veja-quem-compra/")</f>
        <v>https://www.moneytimes.com.br/gringos-voltam-a-vender-acoes-na-b3-e-elevem-deficit-no-mes-veja-quem-compra/</v>
      </c>
      <c r="Y3934" s="77" t="s">
        <v>7053</v>
      </c>
      <c r="Z3934" s="77"/>
      <c r="AA3934" s="77"/>
      <c r="AB3934" s="77"/>
      <c r="AC3934" s="82" t="s">
        <v>8255</v>
      </c>
      <c r="AD3934" s="77" t="s">
        <v>8278</v>
      </c>
      <c r="AE3934" s="80" t="str">
        <f>HYPERLINK("https://twitter.com/leiamoneytimes/status/1658178976123084813")</f>
        <v>https://twitter.com/leiamoneytimes/status/1658178976123084813</v>
      </c>
      <c r="AF3934" s="79">
        <v>45061.773726851854</v>
      </c>
      <c r="AG3934" s="85">
        <v>45061</v>
      </c>
      <c r="AH3934" s="82" t="s">
        <v>11885</v>
      </c>
      <c r="AI3934" s="77" t="b">
        <v>0</v>
      </c>
      <c r="AJ3934" s="77"/>
      <c r="AK3934" s="77"/>
      <c r="AL3934" s="77"/>
      <c r="AM3934" s="77"/>
      <c r="AN3934" s="77"/>
      <c r="AO3934" s="77"/>
      <c r="AP3934" s="77"/>
      <c r="AQ3934" s="77"/>
      <c r="AR3934" s="77"/>
      <c r="AS3934" s="77"/>
      <c r="AT3934" s="77"/>
      <c r="AU3934" s="77"/>
      <c r="AV3934" s="80" t="str">
        <f>HYPERLINK("https://pbs.twimg.com/profile_images/1559883556846977024/bXHnQFY0_normal.jpg")</f>
        <v>https://pbs.twimg.com/profile_images/1559883556846977024/bXHnQFY0_normal.jpg</v>
      </c>
      <c r="AW3934" s="82" t="s">
        <v>17018</v>
      </c>
      <c r="AX3934" s="82" t="s">
        <v>17018</v>
      </c>
      <c r="AY3934" s="77"/>
      <c r="AZ3934" s="82" t="s">
        <v>17385</v>
      </c>
      <c r="BA3934" s="82" t="s">
        <v>17385</v>
      </c>
      <c r="BB3934" s="82" t="s">
        <v>17385</v>
      </c>
      <c r="BC3934" s="82" t="s">
        <v>17018</v>
      </c>
      <c r="BD3934" s="77">
        <v>51150679</v>
      </c>
      <c r="BE3934" s="77"/>
      <c r="BF3934" s="77"/>
      <c r="BG3934" s="77"/>
      <c r="BH3934" s="77"/>
      <c r="BI3934" s="77"/>
    </row>
    <row r="3935" spans="1:61" x14ac:dyDescent="0.25">
      <c r="A3935" s="62" t="s">
        <v>605</v>
      </c>
      <c r="B3935" s="62" t="s">
        <v>605</v>
      </c>
      <c r="C3935" s="63"/>
      <c r="D3935" s="64"/>
      <c r="E3935" s="65"/>
      <c r="F3935" s="66"/>
      <c r="G3935" s="63"/>
      <c r="H3935" s="67"/>
      <c r="I3935" s="68"/>
      <c r="J3935" s="68"/>
      <c r="K3935" s="32"/>
      <c r="L3935" s="75">
        <v>3935</v>
      </c>
      <c r="M3935" s="75"/>
      <c r="N3935" s="70"/>
      <c r="O3935" s="77" t="s">
        <v>179</v>
      </c>
      <c r="P3935" s="79">
        <v>45061.71570601852</v>
      </c>
      <c r="Q3935" s="77" t="s">
        <v>4709</v>
      </c>
      <c r="R3935" s="77">
        <v>0</v>
      </c>
      <c r="S3935" s="77">
        <v>4</v>
      </c>
      <c r="T3935" s="77">
        <v>0</v>
      </c>
      <c r="U3935" s="77">
        <v>0</v>
      </c>
      <c r="V3935" s="77">
        <v>1345</v>
      </c>
      <c r="W3935" s="82" t="s">
        <v>6569</v>
      </c>
      <c r="X3935" s="80" t="str">
        <f>HYPERLINK("https://www.moneytimes.com.br/bolsas-europeias-acoes-sobem-com-investidores-avaliando-politica-e-dados-economicos/")</f>
        <v>https://www.moneytimes.com.br/bolsas-europeias-acoes-sobem-com-investidores-avaliando-politica-e-dados-economicos/</v>
      </c>
      <c r="Y3935" s="77" t="s">
        <v>7053</v>
      </c>
      <c r="Z3935" s="77"/>
      <c r="AA3935" s="77"/>
      <c r="AB3935" s="77"/>
      <c r="AC3935" s="82" t="s">
        <v>8255</v>
      </c>
      <c r="AD3935" s="77" t="s">
        <v>8278</v>
      </c>
      <c r="AE3935" s="80" t="str">
        <f>HYPERLINK("https://twitter.com/leiamoneytimes/status/1658157951939489803")</f>
        <v>https://twitter.com/leiamoneytimes/status/1658157951939489803</v>
      </c>
      <c r="AF3935" s="79">
        <v>45061.71570601852</v>
      </c>
      <c r="AG3935" s="85">
        <v>45061</v>
      </c>
      <c r="AH3935" s="82" t="s">
        <v>11886</v>
      </c>
      <c r="AI3935" s="77" t="b">
        <v>0</v>
      </c>
      <c r="AJ3935" s="77"/>
      <c r="AK3935" s="77"/>
      <c r="AL3935" s="77"/>
      <c r="AM3935" s="77"/>
      <c r="AN3935" s="77"/>
      <c r="AO3935" s="77"/>
      <c r="AP3935" s="77"/>
      <c r="AQ3935" s="77"/>
      <c r="AR3935" s="77"/>
      <c r="AS3935" s="77"/>
      <c r="AT3935" s="77"/>
      <c r="AU3935" s="77"/>
      <c r="AV3935" s="80" t="str">
        <f>HYPERLINK("https://pbs.twimg.com/profile_images/1559883556846977024/bXHnQFY0_normal.jpg")</f>
        <v>https://pbs.twimg.com/profile_images/1559883556846977024/bXHnQFY0_normal.jpg</v>
      </c>
      <c r="AW3935" s="82" t="s">
        <v>17019</v>
      </c>
      <c r="AX3935" s="82" t="s">
        <v>17019</v>
      </c>
      <c r="AY3935" s="77"/>
      <c r="AZ3935" s="82" t="s">
        <v>17385</v>
      </c>
      <c r="BA3935" s="82" t="s">
        <v>17385</v>
      </c>
      <c r="BB3935" s="82" t="s">
        <v>17385</v>
      </c>
      <c r="BC3935" s="82" t="s">
        <v>17019</v>
      </c>
      <c r="BD3935" s="77">
        <v>51150679</v>
      </c>
      <c r="BE3935" s="77"/>
      <c r="BF3935" s="77"/>
      <c r="BG3935" s="77"/>
      <c r="BH3935" s="77"/>
      <c r="BI3935" s="77"/>
    </row>
    <row r="3936" spans="1:61" x14ac:dyDescent="0.25">
      <c r="A3936" s="62" t="s">
        <v>605</v>
      </c>
      <c r="B3936" s="62" t="s">
        <v>605</v>
      </c>
      <c r="C3936" s="63"/>
      <c r="D3936" s="64"/>
      <c r="E3936" s="65"/>
      <c r="F3936" s="66"/>
      <c r="G3936" s="63"/>
      <c r="H3936" s="67"/>
      <c r="I3936" s="68"/>
      <c r="J3936" s="68"/>
      <c r="K3936" s="32"/>
      <c r="L3936" s="75">
        <v>3936</v>
      </c>
      <c r="M3936" s="75"/>
      <c r="N3936" s="70"/>
      <c r="O3936" s="77" t="s">
        <v>179</v>
      </c>
      <c r="P3936" s="79">
        <v>45061.676157407404</v>
      </c>
      <c r="Q3936" s="77" t="s">
        <v>4710</v>
      </c>
      <c r="R3936" s="77">
        <v>1</v>
      </c>
      <c r="S3936" s="77">
        <v>6</v>
      </c>
      <c r="T3936" s="77">
        <v>0</v>
      </c>
      <c r="U3936" s="77">
        <v>0</v>
      </c>
      <c r="V3936" s="77">
        <v>1802</v>
      </c>
      <c r="W3936" s="82" t="s">
        <v>6919</v>
      </c>
      <c r="X3936" s="80" t="str">
        <f>HYPERLINK("https://www.moneytimes.com.br/ibovespa-petr4-recua-e-mglu3-avanca-nesta-segunda-15-entenda/")</f>
        <v>https://www.moneytimes.com.br/ibovespa-petr4-recua-e-mglu3-avanca-nesta-segunda-15-entenda/</v>
      </c>
      <c r="Y3936" s="77" t="s">
        <v>7053</v>
      </c>
      <c r="Z3936" s="77"/>
      <c r="AA3936" s="77"/>
      <c r="AB3936" s="77"/>
      <c r="AC3936" s="82" t="s">
        <v>8255</v>
      </c>
      <c r="AD3936" s="77" t="s">
        <v>8278</v>
      </c>
      <c r="AE3936" s="80" t="str">
        <f>HYPERLINK("https://twitter.com/leiamoneytimes/status/1658143621806211074")</f>
        <v>https://twitter.com/leiamoneytimes/status/1658143621806211074</v>
      </c>
      <c r="AF3936" s="79">
        <v>45061.676157407404</v>
      </c>
      <c r="AG3936" s="85">
        <v>45061</v>
      </c>
      <c r="AH3936" s="82" t="s">
        <v>11530</v>
      </c>
      <c r="AI3936" s="77" t="b">
        <v>0</v>
      </c>
      <c r="AJ3936" s="77"/>
      <c r="AK3936" s="77"/>
      <c r="AL3936" s="77"/>
      <c r="AM3936" s="77"/>
      <c r="AN3936" s="77"/>
      <c r="AO3936" s="77"/>
      <c r="AP3936" s="77"/>
      <c r="AQ3936" s="77"/>
      <c r="AR3936" s="77"/>
      <c r="AS3936" s="77"/>
      <c r="AT3936" s="77"/>
      <c r="AU3936" s="77"/>
      <c r="AV3936" s="80" t="str">
        <f>HYPERLINK("https://pbs.twimg.com/profile_images/1559883556846977024/bXHnQFY0_normal.jpg")</f>
        <v>https://pbs.twimg.com/profile_images/1559883556846977024/bXHnQFY0_normal.jpg</v>
      </c>
      <c r="AW3936" s="82" t="s">
        <v>17020</v>
      </c>
      <c r="AX3936" s="82" t="s">
        <v>17020</v>
      </c>
      <c r="AY3936" s="77"/>
      <c r="AZ3936" s="82" t="s">
        <v>17385</v>
      </c>
      <c r="BA3936" s="82" t="s">
        <v>17385</v>
      </c>
      <c r="BB3936" s="82" t="s">
        <v>17385</v>
      </c>
      <c r="BC3936" s="82" t="s">
        <v>17020</v>
      </c>
      <c r="BD3936" s="77">
        <v>51150679</v>
      </c>
      <c r="BE3936" s="77"/>
      <c r="BF3936" s="77"/>
      <c r="BG3936" s="77"/>
      <c r="BH3936" s="77"/>
      <c r="BI3936" s="77"/>
    </row>
    <row r="3937" spans="1:61" x14ac:dyDescent="0.25">
      <c r="A3937" s="62" t="s">
        <v>605</v>
      </c>
      <c r="B3937" s="62" t="s">
        <v>605</v>
      </c>
      <c r="C3937" s="63"/>
      <c r="D3937" s="64"/>
      <c r="E3937" s="65"/>
      <c r="F3937" s="66"/>
      <c r="G3937" s="63"/>
      <c r="H3937" s="67"/>
      <c r="I3937" s="68"/>
      <c r="J3937" s="68"/>
      <c r="K3937" s="32"/>
      <c r="L3937" s="75">
        <v>3937</v>
      </c>
      <c r="M3937" s="75"/>
      <c r="N3937" s="70"/>
      <c r="O3937" s="77" t="s">
        <v>179</v>
      </c>
      <c r="P3937" s="79">
        <v>45049.429467592592</v>
      </c>
      <c r="Q3937" s="77" t="s">
        <v>4711</v>
      </c>
      <c r="R3937" s="77">
        <v>1</v>
      </c>
      <c r="S3937" s="77">
        <v>5</v>
      </c>
      <c r="T3937" s="77">
        <v>1</v>
      </c>
      <c r="U3937" s="77">
        <v>0</v>
      </c>
      <c r="V3937" s="77">
        <v>1537</v>
      </c>
      <c r="W3937" s="82" t="s">
        <v>6597</v>
      </c>
      <c r="X3937" s="80" t="str">
        <f>HYPERLINK("https://www.moneytimes.com.br/petroleo-afunda-2-e-bolsas-de-valores-em-cima-do-muro-nesta-super-quarta/")</f>
        <v>https://www.moneytimes.com.br/petroleo-afunda-2-e-bolsas-de-valores-em-cima-do-muro-nesta-super-quarta/</v>
      </c>
      <c r="Y3937" s="77" t="s">
        <v>7053</v>
      </c>
      <c r="Z3937" s="77"/>
      <c r="AA3937" s="77"/>
      <c r="AB3937" s="77"/>
      <c r="AC3937" s="82" t="s">
        <v>8255</v>
      </c>
      <c r="AD3937" s="77" t="s">
        <v>8278</v>
      </c>
      <c r="AE3937" s="80" t="str">
        <f>HYPERLINK("https://twitter.com/leiamoneytimes/status/1653705568144486401")</f>
        <v>https://twitter.com/leiamoneytimes/status/1653705568144486401</v>
      </c>
      <c r="AF3937" s="79">
        <v>45049.429467592592</v>
      </c>
      <c r="AG3937" s="85">
        <v>45049</v>
      </c>
      <c r="AH3937" s="82" t="s">
        <v>11887</v>
      </c>
      <c r="AI3937" s="77" t="b">
        <v>0</v>
      </c>
      <c r="AJ3937" s="77"/>
      <c r="AK3937" s="77"/>
      <c r="AL3937" s="77"/>
      <c r="AM3937" s="77"/>
      <c r="AN3937" s="77"/>
      <c r="AO3937" s="77"/>
      <c r="AP3937" s="77"/>
      <c r="AQ3937" s="77"/>
      <c r="AR3937" s="77"/>
      <c r="AS3937" s="77"/>
      <c r="AT3937" s="77"/>
      <c r="AU3937" s="77"/>
      <c r="AV3937" s="80" t="str">
        <f>HYPERLINK("https://pbs.twimg.com/profile_images/1559883556846977024/bXHnQFY0_normal.jpg")</f>
        <v>https://pbs.twimg.com/profile_images/1559883556846977024/bXHnQFY0_normal.jpg</v>
      </c>
      <c r="AW3937" s="82" t="s">
        <v>17021</v>
      </c>
      <c r="AX3937" s="82" t="s">
        <v>17021</v>
      </c>
      <c r="AY3937" s="77"/>
      <c r="AZ3937" s="82" t="s">
        <v>17385</v>
      </c>
      <c r="BA3937" s="82" t="s">
        <v>17385</v>
      </c>
      <c r="BB3937" s="82" t="s">
        <v>17385</v>
      </c>
      <c r="BC3937" s="82" t="s">
        <v>17021</v>
      </c>
      <c r="BD3937" s="77">
        <v>51150679</v>
      </c>
      <c r="BE3937" s="77"/>
      <c r="BF3937" s="77"/>
      <c r="BG3937" s="77"/>
      <c r="BH3937" s="77"/>
      <c r="BI3937" s="77"/>
    </row>
    <row r="3938" spans="1:61" x14ac:dyDescent="0.25">
      <c r="A3938" s="62" t="s">
        <v>605</v>
      </c>
      <c r="B3938" s="62" t="s">
        <v>605</v>
      </c>
      <c r="C3938" s="63"/>
      <c r="D3938" s="64"/>
      <c r="E3938" s="65"/>
      <c r="F3938" s="66"/>
      <c r="G3938" s="63"/>
      <c r="H3938" s="67"/>
      <c r="I3938" s="68"/>
      <c r="J3938" s="68"/>
      <c r="K3938" s="32"/>
      <c r="L3938" s="75">
        <v>3938</v>
      </c>
      <c r="M3938" s="75"/>
      <c r="N3938" s="70"/>
      <c r="O3938" s="77" t="s">
        <v>179</v>
      </c>
      <c r="P3938" s="79">
        <v>45048.840104166666</v>
      </c>
      <c r="Q3938" s="77" t="s">
        <v>4712</v>
      </c>
      <c r="R3938" s="77">
        <v>0</v>
      </c>
      <c r="S3938" s="77">
        <v>3</v>
      </c>
      <c r="T3938" s="77">
        <v>1</v>
      </c>
      <c r="U3938" s="77">
        <v>0</v>
      </c>
      <c r="V3938" s="77">
        <v>1445</v>
      </c>
      <c r="W3938" s="82" t="s">
        <v>6920</v>
      </c>
      <c r="X3938" s="80" t="str">
        <f>HYPERLINK("https://www.moneytimes.com.br/ciel3-csan3-e-mais-5-empresas-pagam-r-33-bi-em-dividendos-e-jcp-ainda-da-para-aproveitar-veja-como/")</f>
        <v>https://www.moneytimes.com.br/ciel3-csan3-e-mais-5-empresas-pagam-r-33-bi-em-dividendos-e-jcp-ainda-da-para-aproveitar-veja-como/</v>
      </c>
      <c r="Y3938" s="77" t="s">
        <v>7053</v>
      </c>
      <c r="Z3938" s="77"/>
      <c r="AA3938" s="77"/>
      <c r="AB3938" s="77"/>
      <c r="AC3938" s="82" t="s">
        <v>8255</v>
      </c>
      <c r="AD3938" s="77" t="s">
        <v>8278</v>
      </c>
      <c r="AE3938" s="80" t="str">
        <f>HYPERLINK("https://twitter.com/leiamoneytimes/status/1653491989403377665")</f>
        <v>https://twitter.com/leiamoneytimes/status/1653491989403377665</v>
      </c>
      <c r="AF3938" s="79">
        <v>45048.840104166666</v>
      </c>
      <c r="AG3938" s="85">
        <v>45048</v>
      </c>
      <c r="AH3938" s="82" t="s">
        <v>11888</v>
      </c>
      <c r="AI3938" s="77" t="b">
        <v>0</v>
      </c>
      <c r="AJ3938" s="77"/>
      <c r="AK3938" s="77"/>
      <c r="AL3938" s="77"/>
      <c r="AM3938" s="77"/>
      <c r="AN3938" s="77"/>
      <c r="AO3938" s="77"/>
      <c r="AP3938" s="77"/>
      <c r="AQ3938" s="77"/>
      <c r="AR3938" s="77"/>
      <c r="AS3938" s="77"/>
      <c r="AT3938" s="77"/>
      <c r="AU3938" s="77"/>
      <c r="AV3938" s="80" t="str">
        <f>HYPERLINK("https://pbs.twimg.com/profile_images/1559883556846977024/bXHnQFY0_normal.jpg")</f>
        <v>https://pbs.twimg.com/profile_images/1559883556846977024/bXHnQFY0_normal.jpg</v>
      </c>
      <c r="AW3938" s="82" t="s">
        <v>17022</v>
      </c>
      <c r="AX3938" s="82" t="s">
        <v>17022</v>
      </c>
      <c r="AY3938" s="77"/>
      <c r="AZ3938" s="82" t="s">
        <v>17385</v>
      </c>
      <c r="BA3938" s="82" t="s">
        <v>17385</v>
      </c>
      <c r="BB3938" s="82" t="s">
        <v>17385</v>
      </c>
      <c r="BC3938" s="82" t="s">
        <v>17022</v>
      </c>
      <c r="BD3938" s="77">
        <v>51150679</v>
      </c>
      <c r="BE3938" s="77"/>
      <c r="BF3938" s="77"/>
      <c r="BG3938" s="77"/>
      <c r="BH3938" s="77"/>
      <c r="BI3938" s="77"/>
    </row>
    <row r="3939" spans="1:61" x14ac:dyDescent="0.25">
      <c r="A3939" s="62" t="s">
        <v>605</v>
      </c>
      <c r="B3939" s="62" t="s">
        <v>605</v>
      </c>
      <c r="C3939" s="63"/>
      <c r="D3939" s="64"/>
      <c r="E3939" s="65"/>
      <c r="F3939" s="66"/>
      <c r="G3939" s="63"/>
      <c r="H3939" s="67"/>
      <c r="I3939" s="68"/>
      <c r="J3939" s="68"/>
      <c r="K3939" s="32"/>
      <c r="L3939" s="75">
        <v>3939</v>
      </c>
      <c r="M3939" s="75"/>
      <c r="N3939" s="70"/>
      <c r="O3939" s="77" t="s">
        <v>179</v>
      </c>
      <c r="P3939" s="79">
        <v>45048.82980324074</v>
      </c>
      <c r="Q3939" s="77" t="s">
        <v>4713</v>
      </c>
      <c r="R3939" s="77">
        <v>1</v>
      </c>
      <c r="S3939" s="77">
        <v>2</v>
      </c>
      <c r="T3939" s="77">
        <v>1</v>
      </c>
      <c r="U3939" s="77">
        <v>0</v>
      </c>
      <c r="V3939" s="77">
        <v>1086</v>
      </c>
      <c r="W3939" s="82" t="s">
        <v>6921</v>
      </c>
      <c r="X3939" s="80" t="str">
        <f>HYPERLINK("https://www.moneytimes.com.br/nos-eua-nyse-suspende-negociacoes-do-first-republic-e-cancelara-listagem-do-banco/")</f>
        <v>https://www.moneytimes.com.br/nos-eua-nyse-suspende-negociacoes-do-first-republic-e-cancelara-listagem-do-banco/</v>
      </c>
      <c r="Y3939" s="77" t="s">
        <v>7053</v>
      </c>
      <c r="Z3939" s="77"/>
      <c r="AA3939" s="77"/>
      <c r="AB3939" s="77"/>
      <c r="AC3939" s="82" t="s">
        <v>8255</v>
      </c>
      <c r="AD3939" s="77" t="s">
        <v>8278</v>
      </c>
      <c r="AE3939" s="80" t="str">
        <f>HYPERLINK("https://twitter.com/leiamoneytimes/status/1653488257827590151")</f>
        <v>https://twitter.com/leiamoneytimes/status/1653488257827590151</v>
      </c>
      <c r="AF3939" s="79">
        <v>45048.82980324074</v>
      </c>
      <c r="AG3939" s="85">
        <v>45048</v>
      </c>
      <c r="AH3939" s="82" t="s">
        <v>11889</v>
      </c>
      <c r="AI3939" s="77" t="b">
        <v>0</v>
      </c>
      <c r="AJ3939" s="77"/>
      <c r="AK3939" s="77"/>
      <c r="AL3939" s="77"/>
      <c r="AM3939" s="77"/>
      <c r="AN3939" s="77"/>
      <c r="AO3939" s="77"/>
      <c r="AP3939" s="77"/>
      <c r="AQ3939" s="77"/>
      <c r="AR3939" s="77"/>
      <c r="AS3939" s="77"/>
      <c r="AT3939" s="77"/>
      <c r="AU3939" s="77"/>
      <c r="AV3939" s="80" t="str">
        <f>HYPERLINK("https://pbs.twimg.com/profile_images/1559883556846977024/bXHnQFY0_normal.jpg")</f>
        <v>https://pbs.twimg.com/profile_images/1559883556846977024/bXHnQFY0_normal.jpg</v>
      </c>
      <c r="AW3939" s="82" t="s">
        <v>17023</v>
      </c>
      <c r="AX3939" s="82" t="s">
        <v>17023</v>
      </c>
      <c r="AY3939" s="77"/>
      <c r="AZ3939" s="82" t="s">
        <v>17385</v>
      </c>
      <c r="BA3939" s="82" t="s">
        <v>17385</v>
      </c>
      <c r="BB3939" s="82" t="s">
        <v>17385</v>
      </c>
      <c r="BC3939" s="82" t="s">
        <v>17023</v>
      </c>
      <c r="BD3939" s="77">
        <v>51150679</v>
      </c>
      <c r="BE3939" s="77"/>
      <c r="BF3939" s="77"/>
      <c r="BG3939" s="77"/>
      <c r="BH3939" s="77"/>
      <c r="BI3939" s="77"/>
    </row>
    <row r="3940" spans="1:61" x14ac:dyDescent="0.25">
      <c r="A3940" s="62" t="s">
        <v>605</v>
      </c>
      <c r="B3940" s="62" t="s">
        <v>605</v>
      </c>
      <c r="C3940" s="63"/>
      <c r="D3940" s="64"/>
      <c r="E3940" s="65"/>
      <c r="F3940" s="66"/>
      <c r="G3940" s="63"/>
      <c r="H3940" s="67"/>
      <c r="I3940" s="68"/>
      <c r="J3940" s="68"/>
      <c r="K3940" s="32"/>
      <c r="L3940" s="75">
        <v>3940</v>
      </c>
      <c r="M3940" s="75"/>
      <c r="N3940" s="70"/>
      <c r="O3940" s="77" t="s">
        <v>179</v>
      </c>
      <c r="P3940" s="79">
        <v>45048.722453703704</v>
      </c>
      <c r="Q3940" s="77" t="s">
        <v>4714</v>
      </c>
      <c r="R3940" s="77">
        <v>1</v>
      </c>
      <c r="S3940" s="77">
        <v>5</v>
      </c>
      <c r="T3940" s="77">
        <v>1</v>
      </c>
      <c r="U3940" s="77">
        <v>0</v>
      </c>
      <c r="V3940" s="77">
        <v>1204</v>
      </c>
      <c r="W3940" s="82" t="s">
        <v>6625</v>
      </c>
      <c r="X3940" s="80" t="str">
        <f>HYPERLINK("https://www.moneytimes.com.br/acoes-europeias-fecham-em-minima-em-1-mes-com-queda-do-petroleo-pearson-despenca/")</f>
        <v>https://www.moneytimes.com.br/acoes-europeias-fecham-em-minima-em-1-mes-com-queda-do-petroleo-pearson-despenca/</v>
      </c>
      <c r="Y3940" s="77" t="s">
        <v>7053</v>
      </c>
      <c r="Z3940" s="77"/>
      <c r="AA3940" s="77"/>
      <c r="AB3940" s="77"/>
      <c r="AC3940" s="82" t="s">
        <v>8255</v>
      </c>
      <c r="AD3940" s="77" t="s">
        <v>8278</v>
      </c>
      <c r="AE3940" s="80" t="str">
        <f>HYPERLINK("https://twitter.com/leiamoneytimes/status/1653449353640411150")</f>
        <v>https://twitter.com/leiamoneytimes/status/1653449353640411150</v>
      </c>
      <c r="AF3940" s="79">
        <v>45048.722453703704</v>
      </c>
      <c r="AG3940" s="85">
        <v>45048</v>
      </c>
      <c r="AH3940" s="82" t="s">
        <v>11890</v>
      </c>
      <c r="AI3940" s="77" t="b">
        <v>0</v>
      </c>
      <c r="AJ3940" s="77"/>
      <c r="AK3940" s="77"/>
      <c r="AL3940" s="77"/>
      <c r="AM3940" s="77"/>
      <c r="AN3940" s="77"/>
      <c r="AO3940" s="77"/>
      <c r="AP3940" s="77"/>
      <c r="AQ3940" s="77"/>
      <c r="AR3940" s="77"/>
      <c r="AS3940" s="77"/>
      <c r="AT3940" s="77"/>
      <c r="AU3940" s="77"/>
      <c r="AV3940" s="80" t="str">
        <f>HYPERLINK("https://pbs.twimg.com/profile_images/1559883556846977024/bXHnQFY0_normal.jpg")</f>
        <v>https://pbs.twimg.com/profile_images/1559883556846977024/bXHnQFY0_normal.jpg</v>
      </c>
      <c r="AW3940" s="82" t="s">
        <v>17024</v>
      </c>
      <c r="AX3940" s="82" t="s">
        <v>17024</v>
      </c>
      <c r="AY3940" s="77"/>
      <c r="AZ3940" s="82" t="s">
        <v>17385</v>
      </c>
      <c r="BA3940" s="82" t="s">
        <v>17385</v>
      </c>
      <c r="BB3940" s="82" t="s">
        <v>17385</v>
      </c>
      <c r="BC3940" s="82" t="s">
        <v>17024</v>
      </c>
      <c r="BD3940" s="77">
        <v>51150679</v>
      </c>
      <c r="BE3940" s="77"/>
      <c r="BF3940" s="77"/>
      <c r="BG3940" s="77"/>
      <c r="BH3940" s="77"/>
      <c r="BI3940" s="77"/>
    </row>
    <row r="3941" spans="1:61" x14ac:dyDescent="0.25">
      <c r="A3941" s="62" t="s">
        <v>605</v>
      </c>
      <c r="B3941" s="62" t="s">
        <v>605</v>
      </c>
      <c r="C3941" s="63"/>
      <c r="D3941" s="64"/>
      <c r="E3941" s="65"/>
      <c r="F3941" s="66"/>
      <c r="G3941" s="63"/>
      <c r="H3941" s="67"/>
      <c r="I3941" s="68"/>
      <c r="J3941" s="68"/>
      <c r="K3941" s="32"/>
      <c r="L3941" s="75">
        <v>3941</v>
      </c>
      <c r="M3941" s="75"/>
      <c r="N3941" s="70"/>
      <c r="O3941" s="77" t="s">
        <v>179</v>
      </c>
      <c r="P3941" s="79">
        <v>45048.639513888891</v>
      </c>
      <c r="Q3941" s="77" t="s">
        <v>4715</v>
      </c>
      <c r="R3941" s="77">
        <v>0</v>
      </c>
      <c r="S3941" s="77">
        <v>3</v>
      </c>
      <c r="T3941" s="77">
        <v>1</v>
      </c>
      <c r="U3941" s="77">
        <v>0</v>
      </c>
      <c r="V3941" s="77">
        <v>1528</v>
      </c>
      <c r="W3941" s="82" t="s">
        <v>6922</v>
      </c>
      <c r="X3941" s="80" t="str">
        <f>HYPERLINK("https://www.moneytimes.com.br/petr4-rrrp3-e-prio3-os-fatores-por-tras-da-queda-das-acoes-das-petroleiras-nesta-terca-2/")</f>
        <v>https://www.moneytimes.com.br/petr4-rrrp3-e-prio3-os-fatores-por-tras-da-queda-das-acoes-das-petroleiras-nesta-terca-2/</v>
      </c>
      <c r="Y3941" s="77" t="s">
        <v>7053</v>
      </c>
      <c r="Z3941" s="77"/>
      <c r="AA3941" s="77"/>
      <c r="AB3941" s="77"/>
      <c r="AC3941" s="82" t="s">
        <v>8255</v>
      </c>
      <c r="AD3941" s="77" t="s">
        <v>8278</v>
      </c>
      <c r="AE3941" s="80" t="str">
        <f>HYPERLINK("https://twitter.com/leiamoneytimes/status/1653419298566668288")</f>
        <v>https://twitter.com/leiamoneytimes/status/1653419298566668288</v>
      </c>
      <c r="AF3941" s="79">
        <v>45048.639513888891</v>
      </c>
      <c r="AG3941" s="85">
        <v>45048</v>
      </c>
      <c r="AH3941" s="82" t="s">
        <v>11891</v>
      </c>
      <c r="AI3941" s="77" t="b">
        <v>0</v>
      </c>
      <c r="AJ3941" s="77"/>
      <c r="AK3941" s="77"/>
      <c r="AL3941" s="77"/>
      <c r="AM3941" s="77"/>
      <c r="AN3941" s="77"/>
      <c r="AO3941" s="77"/>
      <c r="AP3941" s="77"/>
      <c r="AQ3941" s="77"/>
      <c r="AR3941" s="77"/>
      <c r="AS3941" s="77"/>
      <c r="AT3941" s="77"/>
      <c r="AU3941" s="77"/>
      <c r="AV3941" s="80" t="str">
        <f>HYPERLINK("https://pbs.twimg.com/profile_images/1559883556846977024/bXHnQFY0_normal.jpg")</f>
        <v>https://pbs.twimg.com/profile_images/1559883556846977024/bXHnQFY0_normal.jpg</v>
      </c>
      <c r="AW3941" s="82" t="s">
        <v>17025</v>
      </c>
      <c r="AX3941" s="82" t="s">
        <v>17025</v>
      </c>
      <c r="AY3941" s="77"/>
      <c r="AZ3941" s="82" t="s">
        <v>17385</v>
      </c>
      <c r="BA3941" s="82" t="s">
        <v>17385</v>
      </c>
      <c r="BB3941" s="82" t="s">
        <v>17385</v>
      </c>
      <c r="BC3941" s="82" t="s">
        <v>17025</v>
      </c>
      <c r="BD3941" s="77">
        <v>51150679</v>
      </c>
      <c r="BE3941" s="77"/>
      <c r="BF3941" s="77"/>
      <c r="BG3941" s="77"/>
      <c r="BH3941" s="77"/>
      <c r="BI3941" s="77"/>
    </row>
    <row r="3942" spans="1:61" x14ac:dyDescent="0.25">
      <c r="A3942" s="62" t="s">
        <v>605</v>
      </c>
      <c r="B3942" s="62" t="s">
        <v>605</v>
      </c>
      <c r="C3942" s="63"/>
      <c r="D3942" s="64"/>
      <c r="E3942" s="65"/>
      <c r="F3942" s="66"/>
      <c r="G3942" s="63"/>
      <c r="H3942" s="67"/>
      <c r="I3942" s="68"/>
      <c r="J3942" s="68"/>
      <c r="K3942" s="32"/>
      <c r="L3942" s="75">
        <v>3942</v>
      </c>
      <c r="M3942" s="75"/>
      <c r="N3942" s="70"/>
      <c r="O3942" s="77" t="s">
        <v>179</v>
      </c>
      <c r="P3942" s="79">
        <v>45048.59946759259</v>
      </c>
      <c r="Q3942" s="77" t="s">
        <v>4716</v>
      </c>
      <c r="R3942" s="77">
        <v>0</v>
      </c>
      <c r="S3942" s="77">
        <v>3</v>
      </c>
      <c r="T3942" s="77">
        <v>1</v>
      </c>
      <c r="U3942" s="77">
        <v>0</v>
      </c>
      <c r="V3942" s="77">
        <v>1051</v>
      </c>
      <c r="W3942" s="82" t="s">
        <v>6668</v>
      </c>
      <c r="X3942" s="80" t="str">
        <f>HYPERLINK("https://www.moneytimes.com.br/enauta-enat3-regista-maior-producao-do-ano-em-abril-mas-acoes-caem-3-entenda/")</f>
        <v>https://www.moneytimes.com.br/enauta-enat3-regista-maior-producao-do-ano-em-abril-mas-acoes-caem-3-entenda/</v>
      </c>
      <c r="Y3942" s="77" t="s">
        <v>7053</v>
      </c>
      <c r="Z3942" s="77"/>
      <c r="AA3942" s="77"/>
      <c r="AB3942" s="77"/>
      <c r="AC3942" s="82" t="s">
        <v>8255</v>
      </c>
      <c r="AD3942" s="77" t="s">
        <v>8278</v>
      </c>
      <c r="AE3942" s="80" t="str">
        <f>HYPERLINK("https://twitter.com/leiamoneytimes/status/1653404787755438082")</f>
        <v>https://twitter.com/leiamoneytimes/status/1653404787755438082</v>
      </c>
      <c r="AF3942" s="79">
        <v>45048.59946759259</v>
      </c>
      <c r="AG3942" s="85">
        <v>45048</v>
      </c>
      <c r="AH3942" s="82" t="s">
        <v>10215</v>
      </c>
      <c r="AI3942" s="77" t="b">
        <v>0</v>
      </c>
      <c r="AJ3942" s="77"/>
      <c r="AK3942" s="77"/>
      <c r="AL3942" s="77"/>
      <c r="AM3942" s="77"/>
      <c r="AN3942" s="77"/>
      <c r="AO3942" s="77"/>
      <c r="AP3942" s="77"/>
      <c r="AQ3942" s="77"/>
      <c r="AR3942" s="77"/>
      <c r="AS3942" s="77"/>
      <c r="AT3942" s="77"/>
      <c r="AU3942" s="77"/>
      <c r="AV3942" s="80" t="str">
        <f>HYPERLINK("https://pbs.twimg.com/profile_images/1559883556846977024/bXHnQFY0_normal.jpg")</f>
        <v>https://pbs.twimg.com/profile_images/1559883556846977024/bXHnQFY0_normal.jpg</v>
      </c>
      <c r="AW3942" s="82" t="s">
        <v>17026</v>
      </c>
      <c r="AX3942" s="82" t="s">
        <v>17026</v>
      </c>
      <c r="AY3942" s="77"/>
      <c r="AZ3942" s="82" t="s">
        <v>17385</v>
      </c>
      <c r="BA3942" s="82" t="s">
        <v>17385</v>
      </c>
      <c r="BB3942" s="82" t="s">
        <v>17385</v>
      </c>
      <c r="BC3942" s="82" t="s">
        <v>17026</v>
      </c>
      <c r="BD3942" s="77">
        <v>51150679</v>
      </c>
      <c r="BE3942" s="77"/>
      <c r="BF3942" s="77"/>
      <c r="BG3942" s="77"/>
      <c r="BH3942" s="77"/>
      <c r="BI3942" s="77"/>
    </row>
    <row r="3943" spans="1:61" x14ac:dyDescent="0.25">
      <c r="A3943" s="62" t="s">
        <v>605</v>
      </c>
      <c r="B3943" s="62" t="s">
        <v>605</v>
      </c>
      <c r="C3943" s="63"/>
      <c r="D3943" s="64"/>
      <c r="E3943" s="65"/>
      <c r="F3943" s="66"/>
      <c r="G3943" s="63"/>
      <c r="H3943" s="67"/>
      <c r="I3943" s="68"/>
      <c r="J3943" s="68"/>
      <c r="K3943" s="32"/>
      <c r="L3943" s="75">
        <v>3943</v>
      </c>
      <c r="M3943" s="75"/>
      <c r="N3943" s="70"/>
      <c r="O3943" s="77" t="s">
        <v>179</v>
      </c>
      <c r="P3943" s="79">
        <v>45048.552939814814</v>
      </c>
      <c r="Q3943" s="77" t="s">
        <v>4717</v>
      </c>
      <c r="R3943" s="77">
        <v>0</v>
      </c>
      <c r="S3943" s="77">
        <v>4</v>
      </c>
      <c r="T3943" s="77">
        <v>1</v>
      </c>
      <c r="U3943" s="77">
        <v>0</v>
      </c>
      <c r="V3943" s="77">
        <v>1220</v>
      </c>
      <c r="W3943" s="82" t="s">
        <v>6923</v>
      </c>
      <c r="X3943" s="80" t="str">
        <f>HYPERLINK("https://www.moneytimes.com.br/ibovespa-ibov-opera-de-olho-na-super-quarta-indice-abre-em-queda-nesta-terca-2/")</f>
        <v>https://www.moneytimes.com.br/ibovespa-ibov-opera-de-olho-na-super-quarta-indice-abre-em-queda-nesta-terca-2/</v>
      </c>
      <c r="Y3943" s="77" t="s">
        <v>7053</v>
      </c>
      <c r="Z3943" s="77"/>
      <c r="AA3943" s="77"/>
      <c r="AB3943" s="77"/>
      <c r="AC3943" s="82" t="s">
        <v>8255</v>
      </c>
      <c r="AD3943" s="77" t="s">
        <v>8278</v>
      </c>
      <c r="AE3943" s="80" t="str">
        <f>HYPERLINK("https://twitter.com/leiamoneytimes/status/1653387927034929153")</f>
        <v>https://twitter.com/leiamoneytimes/status/1653387927034929153</v>
      </c>
      <c r="AF3943" s="79">
        <v>45048.552939814814</v>
      </c>
      <c r="AG3943" s="85">
        <v>45048</v>
      </c>
      <c r="AH3943" s="82" t="s">
        <v>11892</v>
      </c>
      <c r="AI3943" s="77" t="b">
        <v>0</v>
      </c>
      <c r="AJ3943" s="77"/>
      <c r="AK3943" s="77"/>
      <c r="AL3943" s="77"/>
      <c r="AM3943" s="77"/>
      <c r="AN3943" s="77"/>
      <c r="AO3943" s="77"/>
      <c r="AP3943" s="77"/>
      <c r="AQ3943" s="77"/>
      <c r="AR3943" s="77"/>
      <c r="AS3943" s="77"/>
      <c r="AT3943" s="77"/>
      <c r="AU3943" s="77"/>
      <c r="AV3943" s="80" t="str">
        <f>HYPERLINK("https://pbs.twimg.com/profile_images/1559883556846977024/bXHnQFY0_normal.jpg")</f>
        <v>https://pbs.twimg.com/profile_images/1559883556846977024/bXHnQFY0_normal.jpg</v>
      </c>
      <c r="AW3943" s="82" t="s">
        <v>17027</v>
      </c>
      <c r="AX3943" s="82" t="s">
        <v>17027</v>
      </c>
      <c r="AY3943" s="77"/>
      <c r="AZ3943" s="82" t="s">
        <v>17385</v>
      </c>
      <c r="BA3943" s="82" t="s">
        <v>17385</v>
      </c>
      <c r="BB3943" s="82" t="s">
        <v>17385</v>
      </c>
      <c r="BC3943" s="82" t="s">
        <v>17027</v>
      </c>
      <c r="BD3943" s="77">
        <v>51150679</v>
      </c>
      <c r="BE3943" s="77"/>
      <c r="BF3943" s="77"/>
      <c r="BG3943" s="77"/>
      <c r="BH3943" s="77"/>
      <c r="BI3943" s="77"/>
    </row>
    <row r="3944" spans="1:61" x14ac:dyDescent="0.25">
      <c r="A3944" s="62" t="s">
        <v>605</v>
      </c>
      <c r="B3944" s="62" t="s">
        <v>605</v>
      </c>
      <c r="C3944" s="63"/>
      <c r="D3944" s="64"/>
      <c r="E3944" s="65"/>
      <c r="F3944" s="66"/>
      <c r="G3944" s="63"/>
      <c r="H3944" s="67"/>
      <c r="I3944" s="68"/>
      <c r="J3944" s="68"/>
      <c r="K3944" s="32"/>
      <c r="L3944" s="75">
        <v>3944</v>
      </c>
      <c r="M3944" s="75"/>
      <c r="N3944" s="70"/>
      <c r="O3944" s="77" t="s">
        <v>179</v>
      </c>
      <c r="P3944" s="79">
        <v>45048.439375000002</v>
      </c>
      <c r="Q3944" s="77" t="s">
        <v>4718</v>
      </c>
      <c r="R3944" s="77">
        <v>1</v>
      </c>
      <c r="S3944" s="77">
        <v>3</v>
      </c>
      <c r="T3944" s="77">
        <v>1</v>
      </c>
      <c r="U3944" s="77">
        <v>0</v>
      </c>
      <c r="V3944" s="77">
        <v>1388</v>
      </c>
      <c r="W3944" s="82" t="s">
        <v>6597</v>
      </c>
      <c r="X3944" s="80" t="str">
        <f>HYPERLINK("https://www.moneytimes.com.br/ibovespa-vai-subir-neste-inicio-de-maio-veja-o-que-indica-etf-brasileiro-listado-nos-eua/")</f>
        <v>https://www.moneytimes.com.br/ibovespa-vai-subir-neste-inicio-de-maio-veja-o-que-indica-etf-brasileiro-listado-nos-eua/</v>
      </c>
      <c r="Y3944" s="77" t="s">
        <v>7053</v>
      </c>
      <c r="Z3944" s="77"/>
      <c r="AA3944" s="77"/>
      <c r="AB3944" s="77"/>
      <c r="AC3944" s="82" t="s">
        <v>8255</v>
      </c>
      <c r="AD3944" s="77" t="s">
        <v>8278</v>
      </c>
      <c r="AE3944" s="80" t="str">
        <f>HYPERLINK("https://twitter.com/leiamoneytimes/status/1653346770414456839")</f>
        <v>https://twitter.com/leiamoneytimes/status/1653346770414456839</v>
      </c>
      <c r="AF3944" s="79">
        <v>45048.439375000002</v>
      </c>
      <c r="AG3944" s="85">
        <v>45048</v>
      </c>
      <c r="AH3944" s="82" t="s">
        <v>11893</v>
      </c>
      <c r="AI3944" s="77" t="b">
        <v>0</v>
      </c>
      <c r="AJ3944" s="77"/>
      <c r="AK3944" s="77"/>
      <c r="AL3944" s="77"/>
      <c r="AM3944" s="77"/>
      <c r="AN3944" s="77"/>
      <c r="AO3944" s="77"/>
      <c r="AP3944" s="77"/>
      <c r="AQ3944" s="77"/>
      <c r="AR3944" s="77"/>
      <c r="AS3944" s="77"/>
      <c r="AT3944" s="77"/>
      <c r="AU3944" s="77"/>
      <c r="AV3944" s="80" t="str">
        <f>HYPERLINK("https://pbs.twimg.com/profile_images/1559883556846977024/bXHnQFY0_normal.jpg")</f>
        <v>https://pbs.twimg.com/profile_images/1559883556846977024/bXHnQFY0_normal.jpg</v>
      </c>
      <c r="AW3944" s="82" t="s">
        <v>17028</v>
      </c>
      <c r="AX3944" s="82" t="s">
        <v>17028</v>
      </c>
      <c r="AY3944" s="77"/>
      <c r="AZ3944" s="82" t="s">
        <v>17385</v>
      </c>
      <c r="BA3944" s="82" t="s">
        <v>17385</v>
      </c>
      <c r="BB3944" s="82" t="s">
        <v>17385</v>
      </c>
      <c r="BC3944" s="82" t="s">
        <v>17028</v>
      </c>
      <c r="BD3944" s="77">
        <v>51150679</v>
      </c>
      <c r="BE3944" s="77"/>
      <c r="BF3944" s="77"/>
      <c r="BG3944" s="77"/>
      <c r="BH3944" s="77"/>
      <c r="BI3944" s="77"/>
    </row>
    <row r="3945" spans="1:61" x14ac:dyDescent="0.25">
      <c r="A3945" s="62" t="s">
        <v>605</v>
      </c>
      <c r="B3945" s="62" t="s">
        <v>605</v>
      </c>
      <c r="C3945" s="63"/>
      <c r="D3945" s="64"/>
      <c r="E3945" s="65"/>
      <c r="F3945" s="66"/>
      <c r="G3945" s="63"/>
      <c r="H3945" s="67"/>
      <c r="I3945" s="68"/>
      <c r="J3945" s="68"/>
      <c r="K3945" s="32"/>
      <c r="L3945" s="75">
        <v>3945</v>
      </c>
      <c r="M3945" s="75"/>
      <c r="N3945" s="70"/>
      <c r="O3945" s="77" t="s">
        <v>179</v>
      </c>
      <c r="P3945" s="79">
        <v>45047.780324074076</v>
      </c>
      <c r="Q3945" s="77" t="s">
        <v>4719</v>
      </c>
      <c r="R3945" s="77">
        <v>1</v>
      </c>
      <c r="S3945" s="77">
        <v>10</v>
      </c>
      <c r="T3945" s="77">
        <v>1</v>
      </c>
      <c r="U3945" s="77">
        <v>0</v>
      </c>
      <c r="V3945" s="77">
        <v>2189</v>
      </c>
      <c r="W3945" s="82" t="s">
        <v>6673</v>
      </c>
      <c r="X3945" s="80" t="str">
        <f>HYPERLINK("https://www.moneytimes.com.br/ceo-da-americanas-amer3-renuncia-ao-cargo/")</f>
        <v>https://www.moneytimes.com.br/ceo-da-americanas-amer3-renuncia-ao-cargo/</v>
      </c>
      <c r="Y3945" s="77" t="s">
        <v>7053</v>
      </c>
      <c r="Z3945" s="77"/>
      <c r="AA3945" s="77"/>
      <c r="AB3945" s="77"/>
      <c r="AC3945" s="82" t="s">
        <v>8255</v>
      </c>
      <c r="AD3945" s="77" t="s">
        <v>8278</v>
      </c>
      <c r="AE3945" s="80" t="str">
        <f>HYPERLINK("https://twitter.com/leiamoneytimes/status/1653107939995967507")</f>
        <v>https://twitter.com/leiamoneytimes/status/1653107939995967507</v>
      </c>
      <c r="AF3945" s="79">
        <v>45047.780324074076</v>
      </c>
      <c r="AG3945" s="85">
        <v>45047</v>
      </c>
      <c r="AH3945" s="82" t="s">
        <v>11894</v>
      </c>
      <c r="AI3945" s="77" t="b">
        <v>0</v>
      </c>
      <c r="AJ3945" s="77"/>
      <c r="AK3945" s="77"/>
      <c r="AL3945" s="77"/>
      <c r="AM3945" s="77"/>
      <c r="AN3945" s="77"/>
      <c r="AO3945" s="77"/>
      <c r="AP3945" s="77"/>
      <c r="AQ3945" s="77"/>
      <c r="AR3945" s="77"/>
      <c r="AS3945" s="77"/>
      <c r="AT3945" s="77"/>
      <c r="AU3945" s="77"/>
      <c r="AV3945" s="80" t="str">
        <f>HYPERLINK("https://pbs.twimg.com/profile_images/1559883556846977024/bXHnQFY0_normal.jpg")</f>
        <v>https://pbs.twimg.com/profile_images/1559883556846977024/bXHnQFY0_normal.jpg</v>
      </c>
      <c r="AW3945" s="82" t="s">
        <v>17029</v>
      </c>
      <c r="AX3945" s="82" t="s">
        <v>17029</v>
      </c>
      <c r="AY3945" s="77"/>
      <c r="AZ3945" s="82" t="s">
        <v>17385</v>
      </c>
      <c r="BA3945" s="82" t="s">
        <v>17385</v>
      </c>
      <c r="BB3945" s="82" t="s">
        <v>17385</v>
      </c>
      <c r="BC3945" s="82" t="s">
        <v>17029</v>
      </c>
      <c r="BD3945" s="77">
        <v>51150679</v>
      </c>
      <c r="BE3945" s="77"/>
      <c r="BF3945" s="77"/>
      <c r="BG3945" s="77"/>
      <c r="BH3945" s="77"/>
      <c r="BI3945" s="77"/>
    </row>
    <row r="3946" spans="1:61" x14ac:dyDescent="0.25">
      <c r="A3946" s="62" t="s">
        <v>697</v>
      </c>
      <c r="B3946" s="62" t="s">
        <v>605</v>
      </c>
      <c r="C3946" s="63"/>
      <c r="D3946" s="64"/>
      <c r="E3946" s="65"/>
      <c r="F3946" s="66"/>
      <c r="G3946" s="63"/>
      <c r="H3946" s="67"/>
      <c r="I3946" s="68"/>
      <c r="J3946" s="68"/>
      <c r="K3946" s="32"/>
      <c r="L3946" s="75">
        <v>3946</v>
      </c>
      <c r="M3946" s="75"/>
      <c r="N3946" s="70"/>
      <c r="O3946" s="77" t="s">
        <v>803</v>
      </c>
      <c r="P3946" s="79">
        <v>45192.667002314818</v>
      </c>
      <c r="Q3946" s="77" t="s">
        <v>4720</v>
      </c>
      <c r="R3946" s="77">
        <v>1</v>
      </c>
      <c r="S3946" s="77">
        <v>0</v>
      </c>
      <c r="T3946" s="77">
        <v>0</v>
      </c>
      <c r="U3946" s="77">
        <v>0</v>
      </c>
      <c r="V3946" s="77"/>
      <c r="W3946" s="82" t="s">
        <v>4835</v>
      </c>
      <c r="X3946" s="77"/>
      <c r="Y3946" s="77"/>
      <c r="Z3946" s="77" t="s">
        <v>605</v>
      </c>
      <c r="AA3946" s="77"/>
      <c r="AB3946" s="77"/>
      <c r="AC3946" s="82" t="s">
        <v>8234</v>
      </c>
      <c r="AD3946" s="77" t="s">
        <v>8278</v>
      </c>
      <c r="AE3946" s="80" t="str">
        <f>HYPERLINK("https://twitter.com/capivaranab3/status/1705613113083445689")</f>
        <v>https://twitter.com/capivaranab3/status/1705613113083445689</v>
      </c>
      <c r="AF3946" s="79">
        <v>45192.667002314818</v>
      </c>
      <c r="AG3946" s="85">
        <v>45192</v>
      </c>
      <c r="AH3946" s="82" t="s">
        <v>11895</v>
      </c>
      <c r="AI3946" s="77" t="b">
        <v>0</v>
      </c>
      <c r="AJ3946" s="77"/>
      <c r="AK3946" s="77"/>
      <c r="AL3946" s="77"/>
      <c r="AM3946" s="77"/>
      <c r="AN3946" s="77"/>
      <c r="AO3946" s="77"/>
      <c r="AP3946" s="77"/>
      <c r="AQ3946" s="77"/>
      <c r="AR3946" s="77"/>
      <c r="AS3946" s="77"/>
      <c r="AT3946" s="77"/>
      <c r="AU3946" s="77"/>
      <c r="AV3946" s="80" t="str">
        <f>HYPERLINK("https://pbs.twimg.com/profile_images/1586364365028167680/ecKJ-tR1_normal.jpg")</f>
        <v>https://pbs.twimg.com/profile_images/1586364365028167680/ecKJ-tR1_normal.jpg</v>
      </c>
      <c r="AW3946" s="82" t="s">
        <v>17030</v>
      </c>
      <c r="AX3946" s="82" t="s">
        <v>17030</v>
      </c>
      <c r="AY3946" s="77"/>
      <c r="AZ3946" s="82" t="s">
        <v>17385</v>
      </c>
      <c r="BA3946" s="82" t="s">
        <v>17385</v>
      </c>
      <c r="BB3946" s="82" t="s">
        <v>16767</v>
      </c>
      <c r="BC3946" s="82" t="s">
        <v>16767</v>
      </c>
      <c r="BD3946" s="77">
        <v>2781389394</v>
      </c>
      <c r="BE3946" s="77"/>
      <c r="BF3946" s="77"/>
      <c r="BG3946" s="77"/>
      <c r="BH3946" s="77"/>
      <c r="BI3946" s="77"/>
    </row>
    <row r="3947" spans="1:61" x14ac:dyDescent="0.25">
      <c r="A3947" s="62" t="s">
        <v>698</v>
      </c>
      <c r="B3947" s="62" t="s">
        <v>698</v>
      </c>
      <c r="C3947" s="63"/>
      <c r="D3947" s="64"/>
      <c r="E3947" s="65"/>
      <c r="F3947" s="66"/>
      <c r="G3947" s="63"/>
      <c r="H3947" s="67"/>
      <c r="I3947" s="68"/>
      <c r="J3947" s="68"/>
      <c r="K3947" s="32"/>
      <c r="L3947" s="75">
        <v>3947</v>
      </c>
      <c r="M3947" s="75"/>
      <c r="N3947" s="70"/>
      <c r="O3947" s="77" t="s">
        <v>179</v>
      </c>
      <c r="P3947" s="79">
        <v>45050.7812962963</v>
      </c>
      <c r="Q3947" s="77" t="s">
        <v>4721</v>
      </c>
      <c r="R3947" s="77">
        <v>0</v>
      </c>
      <c r="S3947" s="77">
        <v>0</v>
      </c>
      <c r="T3947" s="77">
        <v>0</v>
      </c>
      <c r="U3947" s="77">
        <v>0</v>
      </c>
      <c r="V3947" s="77">
        <v>43</v>
      </c>
      <c r="W3947" s="82" t="s">
        <v>6924</v>
      </c>
      <c r="X3947" s="80" t="str">
        <f>HYPERLINK("http://www.correiopopular.news/vernot.php?id=54505")</f>
        <v>http://www.correiopopular.news/vernot.php?id=54505</v>
      </c>
      <c r="Y3947" s="77" t="s">
        <v>7145</v>
      </c>
      <c r="Z3947" s="77"/>
      <c r="AA3947" s="77" t="s">
        <v>8162</v>
      </c>
      <c r="AB3947" s="77" t="s">
        <v>8225</v>
      </c>
      <c r="AC3947" s="82" t="s">
        <v>8232</v>
      </c>
      <c r="AD3947" s="77" t="s">
        <v>8278</v>
      </c>
      <c r="AE3947" s="80" t="str">
        <f>HYPERLINK("https://twitter.com/correiopopular_/status/1654195453074853912")</f>
        <v>https://twitter.com/correiopopular_/status/1654195453074853912</v>
      </c>
      <c r="AF3947" s="79">
        <v>45050.7812962963</v>
      </c>
      <c r="AG3947" s="85">
        <v>45050</v>
      </c>
      <c r="AH3947" s="82" t="s">
        <v>11896</v>
      </c>
      <c r="AI3947" s="77" t="b">
        <v>0</v>
      </c>
      <c r="AJ3947" s="77"/>
      <c r="AK3947" s="77"/>
      <c r="AL3947" s="77"/>
      <c r="AM3947" s="77"/>
      <c r="AN3947" s="77"/>
      <c r="AO3947" s="77"/>
      <c r="AP3947" s="77"/>
      <c r="AQ3947" s="77" t="s">
        <v>13047</v>
      </c>
      <c r="AR3947" s="77"/>
      <c r="AS3947" s="77"/>
      <c r="AT3947" s="77"/>
      <c r="AU3947" s="77"/>
      <c r="AV3947" s="80" t="str">
        <f>HYPERLINK("https://pbs.twimg.com/media/FvThymGX0AgId_G.jpg")</f>
        <v>https://pbs.twimg.com/media/FvThymGX0AgId_G.jpg</v>
      </c>
      <c r="AW3947" s="82" t="s">
        <v>17031</v>
      </c>
      <c r="AX3947" s="82" t="s">
        <v>17031</v>
      </c>
      <c r="AY3947" s="77"/>
      <c r="AZ3947" s="82" t="s">
        <v>17385</v>
      </c>
      <c r="BA3947" s="82" t="s">
        <v>17385</v>
      </c>
      <c r="BB3947" s="82" t="s">
        <v>17385</v>
      </c>
      <c r="BC3947" s="82" t="s">
        <v>17031</v>
      </c>
      <c r="BD3947" s="77">
        <v>236985635</v>
      </c>
      <c r="BE3947" s="77"/>
      <c r="BF3947" s="77"/>
      <c r="BG3947" s="77"/>
      <c r="BH3947" s="77"/>
      <c r="BI3947" s="77"/>
    </row>
    <row r="3948" spans="1:61" x14ac:dyDescent="0.25">
      <c r="A3948" s="62" t="s">
        <v>699</v>
      </c>
      <c r="B3948" s="62" t="s">
        <v>699</v>
      </c>
      <c r="C3948" s="63"/>
      <c r="D3948" s="64"/>
      <c r="E3948" s="65"/>
      <c r="F3948" s="66"/>
      <c r="G3948" s="63"/>
      <c r="H3948" s="67"/>
      <c r="I3948" s="68"/>
      <c r="J3948" s="68"/>
      <c r="K3948" s="32"/>
      <c r="L3948" s="75">
        <v>3948</v>
      </c>
      <c r="M3948" s="75"/>
      <c r="N3948" s="70"/>
      <c r="O3948" s="77" t="s">
        <v>179</v>
      </c>
      <c r="P3948" s="79">
        <v>45056.80091435185</v>
      </c>
      <c r="Q3948" s="77" t="s">
        <v>4722</v>
      </c>
      <c r="R3948" s="77">
        <v>0</v>
      </c>
      <c r="S3948" s="77">
        <v>0</v>
      </c>
      <c r="T3948" s="77">
        <v>0</v>
      </c>
      <c r="U3948" s="77">
        <v>0</v>
      </c>
      <c r="V3948" s="77">
        <v>15</v>
      </c>
      <c r="W3948" s="82" t="s">
        <v>6925</v>
      </c>
      <c r="X3948" s="80" t="str">
        <f>HYPERLINK("https://empreenderemgoias.com.br/2023/05/10/recompra-de-acoes-bate-recorde-no-brasil-e-no-mundo/")</f>
        <v>https://empreenderemgoias.com.br/2023/05/10/recompra-de-acoes-bate-recorde-no-brasil-e-no-mundo/</v>
      </c>
      <c r="Y3948" s="77" t="s">
        <v>7053</v>
      </c>
      <c r="Z3948" s="77"/>
      <c r="AA3948" s="77"/>
      <c r="AB3948" s="77"/>
      <c r="AC3948" s="82" t="s">
        <v>8232</v>
      </c>
      <c r="AD3948" s="77" t="s">
        <v>8278</v>
      </c>
      <c r="AE3948" s="80" t="str">
        <f>HYPERLINK("https://twitter.com/empreendegoias/status/1656376889555009540")</f>
        <v>https://twitter.com/empreendegoias/status/1656376889555009540</v>
      </c>
      <c r="AF3948" s="79">
        <v>45056.80091435185</v>
      </c>
      <c r="AG3948" s="85">
        <v>45056</v>
      </c>
      <c r="AH3948" s="82" t="s">
        <v>11897</v>
      </c>
      <c r="AI3948" s="77" t="b">
        <v>0</v>
      </c>
      <c r="AJ3948" s="77"/>
      <c r="AK3948" s="77"/>
      <c r="AL3948" s="77"/>
      <c r="AM3948" s="77"/>
      <c r="AN3948" s="77"/>
      <c r="AO3948" s="77"/>
      <c r="AP3948" s="77"/>
      <c r="AQ3948" s="77"/>
      <c r="AR3948" s="77"/>
      <c r="AS3948" s="77"/>
      <c r="AT3948" s="77"/>
      <c r="AU3948" s="77"/>
      <c r="AV3948" s="80" t="str">
        <f>HYPERLINK("https://pbs.twimg.com/profile_images/824599140302811136/SZ6VQJwb_normal.jpg")</f>
        <v>https://pbs.twimg.com/profile_images/824599140302811136/SZ6VQJwb_normal.jpg</v>
      </c>
      <c r="AW3948" s="82" t="s">
        <v>17032</v>
      </c>
      <c r="AX3948" s="82" t="s">
        <v>17032</v>
      </c>
      <c r="AY3948" s="77"/>
      <c r="AZ3948" s="82" t="s">
        <v>17385</v>
      </c>
      <c r="BA3948" s="82" t="s">
        <v>17385</v>
      </c>
      <c r="BB3948" s="82" t="s">
        <v>17385</v>
      </c>
      <c r="BC3948" s="82" t="s">
        <v>17032</v>
      </c>
      <c r="BD3948" s="82" t="s">
        <v>17698</v>
      </c>
      <c r="BE3948" s="77"/>
      <c r="BF3948" s="77"/>
      <c r="BG3948" s="77"/>
      <c r="BH3948" s="77"/>
      <c r="BI3948" s="77"/>
    </row>
    <row r="3949" spans="1:61" x14ac:dyDescent="0.25">
      <c r="A3949" s="62" t="s">
        <v>700</v>
      </c>
      <c r="B3949" s="62" t="s">
        <v>700</v>
      </c>
      <c r="C3949" s="63"/>
      <c r="D3949" s="64"/>
      <c r="E3949" s="65"/>
      <c r="F3949" s="66"/>
      <c r="G3949" s="63"/>
      <c r="H3949" s="67"/>
      <c r="I3949" s="68"/>
      <c r="J3949" s="68"/>
      <c r="K3949" s="32"/>
      <c r="L3949" s="75">
        <v>3949</v>
      </c>
      <c r="M3949" s="75"/>
      <c r="N3949" s="70"/>
      <c r="O3949" s="77" t="s">
        <v>179</v>
      </c>
      <c r="P3949" s="79">
        <v>45111.83693287037</v>
      </c>
      <c r="Q3949" s="77" t="s">
        <v>4723</v>
      </c>
      <c r="R3949" s="77">
        <v>0</v>
      </c>
      <c r="S3949" s="77">
        <v>0</v>
      </c>
      <c r="T3949" s="77">
        <v>0</v>
      </c>
      <c r="U3949" s="77">
        <v>0</v>
      </c>
      <c r="V3949" s="77">
        <v>104</v>
      </c>
      <c r="W3949" s="82" t="s">
        <v>6926</v>
      </c>
      <c r="X3949" s="77"/>
      <c r="Y3949" s="77"/>
      <c r="Z3949" s="77"/>
      <c r="AA3949" s="77" t="s">
        <v>8163</v>
      </c>
      <c r="AB3949" s="77" t="s">
        <v>8225</v>
      </c>
      <c r="AC3949" s="82" t="s">
        <v>8235</v>
      </c>
      <c r="AD3949" s="77" t="s">
        <v>8278</v>
      </c>
      <c r="AE3949" s="80" t="str">
        <f>HYPERLINK("https://twitter.com/agenciacma/status/1676321278070861825")</f>
        <v>https://twitter.com/agenciacma/status/1676321278070861825</v>
      </c>
      <c r="AF3949" s="79">
        <v>45111.83693287037</v>
      </c>
      <c r="AG3949" s="85">
        <v>45111</v>
      </c>
      <c r="AH3949" s="82" t="s">
        <v>11898</v>
      </c>
      <c r="AI3949" s="77" t="b">
        <v>0</v>
      </c>
      <c r="AJ3949" s="77"/>
      <c r="AK3949" s="77"/>
      <c r="AL3949" s="77"/>
      <c r="AM3949" s="77"/>
      <c r="AN3949" s="77"/>
      <c r="AO3949" s="77"/>
      <c r="AP3949" s="77"/>
      <c r="AQ3949" s="77" t="s">
        <v>13048</v>
      </c>
      <c r="AR3949" s="77"/>
      <c r="AS3949" s="77"/>
      <c r="AT3949" s="77"/>
      <c r="AU3949" s="77"/>
      <c r="AV3949" s="80" t="str">
        <f>HYPERLINK("https://pbs.twimg.com/media/F0N9UcUXgAEQU-N.png")</f>
        <v>https://pbs.twimg.com/media/F0N9UcUXgAEQU-N.png</v>
      </c>
      <c r="AW3949" s="82" t="s">
        <v>17033</v>
      </c>
      <c r="AX3949" s="82" t="s">
        <v>17033</v>
      </c>
      <c r="AY3949" s="77"/>
      <c r="AZ3949" s="82" t="s">
        <v>17385</v>
      </c>
      <c r="BA3949" s="82" t="s">
        <v>17385</v>
      </c>
      <c r="BB3949" s="82" t="s">
        <v>17385</v>
      </c>
      <c r="BC3949" s="82" t="s">
        <v>17033</v>
      </c>
      <c r="BD3949" s="77">
        <v>619476869</v>
      </c>
      <c r="BE3949" s="77"/>
      <c r="BF3949" s="77"/>
      <c r="BG3949" s="77"/>
      <c r="BH3949" s="77"/>
      <c r="BI3949" s="77"/>
    </row>
    <row r="3950" spans="1:61" x14ac:dyDescent="0.25">
      <c r="A3950" s="62" t="s">
        <v>700</v>
      </c>
      <c r="B3950" s="62" t="s">
        <v>700</v>
      </c>
      <c r="C3950" s="63"/>
      <c r="D3950" s="64"/>
      <c r="E3950" s="65"/>
      <c r="F3950" s="66"/>
      <c r="G3950" s="63"/>
      <c r="H3950" s="67"/>
      <c r="I3950" s="68"/>
      <c r="J3950" s="68"/>
      <c r="K3950" s="32"/>
      <c r="L3950" s="75">
        <v>3950</v>
      </c>
      <c r="M3950" s="75"/>
      <c r="N3950" s="70"/>
      <c r="O3950" s="77" t="s">
        <v>179</v>
      </c>
      <c r="P3950" s="79">
        <v>45111.83693287037</v>
      </c>
      <c r="Q3950" s="77" t="s">
        <v>4724</v>
      </c>
      <c r="R3950" s="77">
        <v>0</v>
      </c>
      <c r="S3950" s="77">
        <v>1</v>
      </c>
      <c r="T3950" s="77">
        <v>0</v>
      </c>
      <c r="U3950" s="77">
        <v>0</v>
      </c>
      <c r="V3950" s="77">
        <v>101</v>
      </c>
      <c r="W3950" s="82" t="s">
        <v>6926</v>
      </c>
      <c r="X3950" s="77"/>
      <c r="Y3950" s="77"/>
      <c r="Z3950" s="77"/>
      <c r="AA3950" s="77" t="s">
        <v>8164</v>
      </c>
      <c r="AB3950" s="77" t="s">
        <v>8225</v>
      </c>
      <c r="AC3950" s="82" t="s">
        <v>8235</v>
      </c>
      <c r="AD3950" s="77" t="s">
        <v>8278</v>
      </c>
      <c r="AE3950" s="80" t="str">
        <f>HYPERLINK("https://twitter.com/agenciacma/status/1676321274442788867")</f>
        <v>https://twitter.com/agenciacma/status/1676321274442788867</v>
      </c>
      <c r="AF3950" s="79">
        <v>45111.83693287037</v>
      </c>
      <c r="AG3950" s="85">
        <v>45111</v>
      </c>
      <c r="AH3950" s="82" t="s">
        <v>11898</v>
      </c>
      <c r="AI3950" s="77" t="b">
        <v>0</v>
      </c>
      <c r="AJ3950" s="77"/>
      <c r="AK3950" s="77"/>
      <c r="AL3950" s="77"/>
      <c r="AM3950" s="77"/>
      <c r="AN3950" s="77"/>
      <c r="AO3950" s="77"/>
      <c r="AP3950" s="77"/>
      <c r="AQ3950" s="77" t="s">
        <v>13049</v>
      </c>
      <c r="AR3950" s="77"/>
      <c r="AS3950" s="77"/>
      <c r="AT3950" s="77"/>
      <c r="AU3950" s="77"/>
      <c r="AV3950" s="80" t="str">
        <f>HYPERLINK("https://pbs.twimg.com/media/F0N9UMWWwAEFTNX.png")</f>
        <v>https://pbs.twimg.com/media/F0N9UMWWwAEFTNX.png</v>
      </c>
      <c r="AW3950" s="82" t="s">
        <v>17034</v>
      </c>
      <c r="AX3950" s="82" t="s">
        <v>17034</v>
      </c>
      <c r="AY3950" s="77"/>
      <c r="AZ3950" s="82" t="s">
        <v>17385</v>
      </c>
      <c r="BA3950" s="82" t="s">
        <v>17385</v>
      </c>
      <c r="BB3950" s="82" t="s">
        <v>17385</v>
      </c>
      <c r="BC3950" s="82" t="s">
        <v>17034</v>
      </c>
      <c r="BD3950" s="77">
        <v>619476869</v>
      </c>
      <c r="BE3950" s="77"/>
      <c r="BF3950" s="77"/>
      <c r="BG3950" s="77"/>
      <c r="BH3950" s="77"/>
      <c r="BI3950" s="77"/>
    </row>
    <row r="3951" spans="1:61" x14ac:dyDescent="0.25">
      <c r="A3951" s="62" t="s">
        <v>701</v>
      </c>
      <c r="B3951" s="62" t="s">
        <v>701</v>
      </c>
      <c r="C3951" s="63"/>
      <c r="D3951" s="64"/>
      <c r="E3951" s="65"/>
      <c r="F3951" s="66"/>
      <c r="G3951" s="63"/>
      <c r="H3951" s="67"/>
      <c r="I3951" s="68"/>
      <c r="J3951" s="68"/>
      <c r="K3951" s="32"/>
      <c r="L3951" s="75">
        <v>3951</v>
      </c>
      <c r="M3951" s="75"/>
      <c r="N3951" s="70"/>
      <c r="O3951" s="77" t="s">
        <v>179</v>
      </c>
      <c r="P3951" s="79">
        <v>45063.902395833335</v>
      </c>
      <c r="Q3951" s="77" t="s">
        <v>4725</v>
      </c>
      <c r="R3951" s="77">
        <v>0</v>
      </c>
      <c r="S3951" s="77">
        <v>0</v>
      </c>
      <c r="T3951" s="77">
        <v>0</v>
      </c>
      <c r="U3951" s="77">
        <v>0</v>
      </c>
      <c r="V3951" s="77">
        <v>32</v>
      </c>
      <c r="W3951" s="82" t="s">
        <v>6927</v>
      </c>
      <c r="X3951" s="80" t="str">
        <f>HYPERLINK("https://youtu.be/2KDF_N6lQ54")</f>
        <v>https://youtu.be/2KDF_N6lQ54</v>
      </c>
      <c r="Y3951" s="77" t="s">
        <v>7064</v>
      </c>
      <c r="Z3951" s="77"/>
      <c r="AA3951" s="77"/>
      <c r="AB3951" s="77"/>
      <c r="AC3951" s="82" t="s">
        <v>8232</v>
      </c>
      <c r="AD3951" s="77" t="s">
        <v>8278</v>
      </c>
      <c r="AE3951" s="80" t="str">
        <f>HYPERLINK("https://twitter.com/alyson_davalle/status/1658950383492898822")</f>
        <v>https://twitter.com/alyson_davalle/status/1658950383492898822</v>
      </c>
      <c r="AF3951" s="79">
        <v>45063.902395833335</v>
      </c>
      <c r="AG3951" s="85">
        <v>45063</v>
      </c>
      <c r="AH3951" s="82" t="s">
        <v>11899</v>
      </c>
      <c r="AI3951" s="77" t="b">
        <v>0</v>
      </c>
      <c r="AJ3951" s="77"/>
      <c r="AK3951" s="77"/>
      <c r="AL3951" s="77"/>
      <c r="AM3951" s="77"/>
      <c r="AN3951" s="77"/>
      <c r="AO3951" s="77"/>
      <c r="AP3951" s="77"/>
      <c r="AQ3951" s="77"/>
      <c r="AR3951" s="77"/>
      <c r="AS3951" s="77"/>
      <c r="AT3951" s="77"/>
      <c r="AU3951" s="77"/>
      <c r="AV3951" s="80" t="str">
        <f>HYPERLINK("https://pbs.twimg.com/profile_images/1557504655822929922/6S_5Ovvj_normal.jpg")</f>
        <v>https://pbs.twimg.com/profile_images/1557504655822929922/6S_5Ovvj_normal.jpg</v>
      </c>
      <c r="AW3951" s="82" t="s">
        <v>17035</v>
      </c>
      <c r="AX3951" s="82" t="s">
        <v>17035</v>
      </c>
      <c r="AY3951" s="77"/>
      <c r="AZ3951" s="82" t="s">
        <v>17385</v>
      </c>
      <c r="BA3951" s="82" t="s">
        <v>17385</v>
      </c>
      <c r="BB3951" s="82" t="s">
        <v>17385</v>
      </c>
      <c r="BC3951" s="82" t="s">
        <v>17035</v>
      </c>
      <c r="BD3951" s="77">
        <v>41846500</v>
      </c>
      <c r="BE3951" s="77"/>
      <c r="BF3951" s="77"/>
      <c r="BG3951" s="77"/>
      <c r="BH3951" s="77"/>
      <c r="BI3951" s="77"/>
    </row>
    <row r="3952" spans="1:61" x14ac:dyDescent="0.25">
      <c r="A3952" s="62" t="s">
        <v>702</v>
      </c>
      <c r="B3952" s="62" t="s">
        <v>702</v>
      </c>
      <c r="C3952" s="63"/>
      <c r="D3952" s="64"/>
      <c r="E3952" s="65"/>
      <c r="F3952" s="66"/>
      <c r="G3952" s="63"/>
      <c r="H3952" s="67"/>
      <c r="I3952" s="68"/>
      <c r="J3952" s="68"/>
      <c r="K3952" s="32"/>
      <c r="L3952" s="75">
        <v>3952</v>
      </c>
      <c r="M3952" s="75"/>
      <c r="N3952" s="70"/>
      <c r="O3952" s="77" t="s">
        <v>179</v>
      </c>
      <c r="P3952" s="79">
        <v>45102.031180555554</v>
      </c>
      <c r="Q3952" s="77" t="s">
        <v>4726</v>
      </c>
      <c r="R3952" s="77">
        <v>0</v>
      </c>
      <c r="S3952" s="77">
        <v>0</v>
      </c>
      <c r="T3952" s="77">
        <v>0</v>
      </c>
      <c r="U3952" s="77">
        <v>0</v>
      </c>
      <c r="V3952" s="77">
        <v>20</v>
      </c>
      <c r="W3952" s="82" t="s">
        <v>6928</v>
      </c>
      <c r="X3952" s="77"/>
      <c r="Y3952" s="77"/>
      <c r="Z3952" s="77"/>
      <c r="AA3952" s="77" t="s">
        <v>8165</v>
      </c>
      <c r="AB3952" s="77" t="s">
        <v>8225</v>
      </c>
      <c r="AC3952" s="82" t="s">
        <v>8234</v>
      </c>
      <c r="AD3952" s="77" t="s">
        <v>8278</v>
      </c>
      <c r="AE3952" s="80" t="str">
        <f>HYPERLINK("https://twitter.com/corridasdetouro/status/1672767790363693056")</f>
        <v>https://twitter.com/corridasdetouro/status/1672767790363693056</v>
      </c>
      <c r="AF3952" s="79">
        <v>45102.031180555554</v>
      </c>
      <c r="AG3952" s="85">
        <v>45102</v>
      </c>
      <c r="AH3952" s="82" t="s">
        <v>11900</v>
      </c>
      <c r="AI3952" s="77" t="b">
        <v>0</v>
      </c>
      <c r="AJ3952" s="77"/>
      <c r="AK3952" s="77"/>
      <c r="AL3952" s="77"/>
      <c r="AM3952" s="77"/>
      <c r="AN3952" s="77"/>
      <c r="AO3952" s="77"/>
      <c r="AP3952" s="77"/>
      <c r="AQ3952" s="77" t="s">
        <v>13050</v>
      </c>
      <c r="AR3952" s="77"/>
      <c r="AS3952" s="77"/>
      <c r="AT3952" s="77"/>
      <c r="AU3952" s="77"/>
      <c r="AV3952" s="80" t="str">
        <f>HYPERLINK("https://pbs.twimg.com/media/FzbdcKmXwAADxSf.jpg")</f>
        <v>https://pbs.twimg.com/media/FzbdcKmXwAADxSf.jpg</v>
      </c>
      <c r="AW3952" s="82" t="s">
        <v>17036</v>
      </c>
      <c r="AX3952" s="82" t="s">
        <v>17036</v>
      </c>
      <c r="AY3952" s="77"/>
      <c r="AZ3952" s="82" t="s">
        <v>17385</v>
      </c>
      <c r="BA3952" s="82" t="s">
        <v>17385</v>
      </c>
      <c r="BB3952" s="82" t="s">
        <v>17385</v>
      </c>
      <c r="BC3952" s="82" t="s">
        <v>17036</v>
      </c>
      <c r="BD3952" s="82" t="s">
        <v>17699</v>
      </c>
      <c r="BE3952" s="77"/>
      <c r="BF3952" s="77"/>
      <c r="BG3952" s="77"/>
      <c r="BH3952" s="77"/>
      <c r="BI3952" s="77"/>
    </row>
    <row r="3953" spans="1:61" x14ac:dyDescent="0.25">
      <c r="A3953" s="62" t="s">
        <v>703</v>
      </c>
      <c r="B3953" s="62" t="s">
        <v>703</v>
      </c>
      <c r="C3953" s="63"/>
      <c r="D3953" s="64"/>
      <c r="E3953" s="65"/>
      <c r="F3953" s="66"/>
      <c r="G3953" s="63"/>
      <c r="H3953" s="67"/>
      <c r="I3953" s="68"/>
      <c r="J3953" s="68"/>
      <c r="K3953" s="32"/>
      <c r="L3953" s="75">
        <v>3953</v>
      </c>
      <c r="M3953" s="75"/>
      <c r="N3953" s="70"/>
      <c r="O3953" s="77" t="s">
        <v>179</v>
      </c>
      <c r="P3953" s="79">
        <v>45176.895821759259</v>
      </c>
      <c r="Q3953" s="77" t="s">
        <v>4727</v>
      </c>
      <c r="R3953" s="77">
        <v>0</v>
      </c>
      <c r="S3953" s="77">
        <v>0</v>
      </c>
      <c r="T3953" s="77">
        <v>0</v>
      </c>
      <c r="U3953" s="77">
        <v>0</v>
      </c>
      <c r="V3953" s="77">
        <v>32</v>
      </c>
      <c r="W3953" s="82" t="s">
        <v>6929</v>
      </c>
      <c r="X3953" s="80" t="str">
        <f>HYPERLINK("https://www.brasilmineral.com.br/noticias/kinross-renova-programa-de-emissao-ncib")</f>
        <v>https://www.brasilmineral.com.br/noticias/kinross-renova-programa-de-emissao-ncib</v>
      </c>
      <c r="Y3953" s="77" t="s">
        <v>7053</v>
      </c>
      <c r="Z3953" s="77"/>
      <c r="AA3953" s="77"/>
      <c r="AB3953" s="77"/>
      <c r="AC3953" s="82" t="s">
        <v>8234</v>
      </c>
      <c r="AD3953" s="77" t="s">
        <v>8278</v>
      </c>
      <c r="AE3953" s="80" t="str">
        <f>HYPERLINK("https://twitter.com/brazilmineral/status/1699897826698785117")</f>
        <v>https://twitter.com/brazilmineral/status/1699897826698785117</v>
      </c>
      <c r="AF3953" s="79">
        <v>45176.895821759259</v>
      </c>
      <c r="AG3953" s="85">
        <v>45176</v>
      </c>
      <c r="AH3953" s="82" t="s">
        <v>11901</v>
      </c>
      <c r="AI3953" s="77" t="b">
        <v>0</v>
      </c>
      <c r="AJ3953" s="77"/>
      <c r="AK3953" s="77"/>
      <c r="AL3953" s="77"/>
      <c r="AM3953" s="77"/>
      <c r="AN3953" s="77"/>
      <c r="AO3953" s="77"/>
      <c r="AP3953" s="77"/>
      <c r="AQ3953" s="77"/>
      <c r="AR3953" s="77"/>
      <c r="AS3953" s="77"/>
      <c r="AT3953" s="77"/>
      <c r="AU3953" s="77"/>
      <c r="AV3953" s="80" t="str">
        <f>HYPERLINK("https://pbs.twimg.com/profile_images/1277626636767301637/6CwbB-f6_normal.jpg")</f>
        <v>https://pbs.twimg.com/profile_images/1277626636767301637/6CwbB-f6_normal.jpg</v>
      </c>
      <c r="AW3953" s="82" t="s">
        <v>17037</v>
      </c>
      <c r="AX3953" s="82" t="s">
        <v>17037</v>
      </c>
      <c r="AY3953" s="77"/>
      <c r="AZ3953" s="82" t="s">
        <v>17385</v>
      </c>
      <c r="BA3953" s="82" t="s">
        <v>17385</v>
      </c>
      <c r="BB3953" s="82" t="s">
        <v>17385</v>
      </c>
      <c r="BC3953" s="82" t="s">
        <v>17037</v>
      </c>
      <c r="BD3953" s="82" t="s">
        <v>17700</v>
      </c>
      <c r="BE3953" s="77"/>
      <c r="BF3953" s="77"/>
      <c r="BG3953" s="77"/>
      <c r="BH3953" s="77"/>
      <c r="BI3953" s="77"/>
    </row>
    <row r="3954" spans="1:61" x14ac:dyDescent="0.25">
      <c r="A3954" s="62" t="s">
        <v>704</v>
      </c>
      <c r="B3954" s="62" t="s">
        <v>704</v>
      </c>
      <c r="C3954" s="63"/>
      <c r="D3954" s="64"/>
      <c r="E3954" s="65"/>
      <c r="F3954" s="66"/>
      <c r="G3954" s="63"/>
      <c r="H3954" s="67"/>
      <c r="I3954" s="68"/>
      <c r="J3954" s="68"/>
      <c r="K3954" s="32"/>
      <c r="L3954" s="75">
        <v>3954</v>
      </c>
      <c r="M3954" s="75"/>
      <c r="N3954" s="70"/>
      <c r="O3954" s="77" t="s">
        <v>179</v>
      </c>
      <c r="P3954" s="79">
        <v>45084.886238425926</v>
      </c>
      <c r="Q3954" s="77" t="s">
        <v>4728</v>
      </c>
      <c r="R3954" s="77">
        <v>0</v>
      </c>
      <c r="S3954" s="77">
        <v>0</v>
      </c>
      <c r="T3954" s="77">
        <v>0</v>
      </c>
      <c r="U3954" s="77">
        <v>0</v>
      </c>
      <c r="V3954" s="77">
        <v>11</v>
      </c>
      <c r="W3954" s="82" t="s">
        <v>6930</v>
      </c>
      <c r="X3954" s="77"/>
      <c r="Y3954" s="77"/>
      <c r="Z3954" s="77"/>
      <c r="AA3954" s="77" t="s">
        <v>8166</v>
      </c>
      <c r="AB3954" s="77" t="s">
        <v>8225</v>
      </c>
      <c r="AC3954" s="82" t="s">
        <v>8277</v>
      </c>
      <c r="AD3954" s="77" t="s">
        <v>8278</v>
      </c>
      <c r="AE3954" s="80" t="str">
        <f>HYPERLINK("https://twitter.com/ronaldolundgren/status/1666554672700686337")</f>
        <v>https://twitter.com/ronaldolundgren/status/1666554672700686337</v>
      </c>
      <c r="AF3954" s="79">
        <v>45084.886238425926</v>
      </c>
      <c r="AG3954" s="85">
        <v>45084</v>
      </c>
      <c r="AH3954" s="82" t="s">
        <v>11902</v>
      </c>
      <c r="AI3954" s="77" t="b">
        <v>0</v>
      </c>
      <c r="AJ3954" s="77"/>
      <c r="AK3954" s="77"/>
      <c r="AL3954" s="77"/>
      <c r="AM3954" s="77"/>
      <c r="AN3954" s="77"/>
      <c r="AO3954" s="77"/>
      <c r="AP3954" s="77"/>
      <c r="AQ3954" s="77" t="s">
        <v>13051</v>
      </c>
      <c r="AR3954" s="77"/>
      <c r="AS3954" s="77"/>
      <c r="AT3954" s="77"/>
      <c r="AU3954" s="77"/>
      <c r="AV3954" s="80" t="str">
        <f>HYPERLINK("https://pbs.twimg.com/media/FyDKpL9WYAUEBL1.jpg")</f>
        <v>https://pbs.twimg.com/media/FyDKpL9WYAUEBL1.jpg</v>
      </c>
      <c r="AW3954" s="82" t="s">
        <v>17038</v>
      </c>
      <c r="AX3954" s="82" t="s">
        <v>17038</v>
      </c>
      <c r="AY3954" s="77"/>
      <c r="AZ3954" s="82" t="s">
        <v>17385</v>
      </c>
      <c r="BA3954" s="82" t="s">
        <v>17385</v>
      </c>
      <c r="BB3954" s="82" t="s">
        <v>17385</v>
      </c>
      <c r="BC3954" s="82" t="s">
        <v>17038</v>
      </c>
      <c r="BD3954" s="77">
        <v>3127710448</v>
      </c>
      <c r="BE3954" s="77"/>
      <c r="BF3954" s="77"/>
      <c r="BG3954" s="77"/>
      <c r="BH3954" s="77"/>
      <c r="BI3954" s="77"/>
    </row>
    <row r="3955" spans="1:61" x14ac:dyDescent="0.25">
      <c r="A3955" s="62" t="s">
        <v>705</v>
      </c>
      <c r="B3955" s="62" t="s">
        <v>705</v>
      </c>
      <c r="C3955" s="63"/>
      <c r="D3955" s="64"/>
      <c r="E3955" s="65"/>
      <c r="F3955" s="66"/>
      <c r="G3955" s="63"/>
      <c r="H3955" s="67"/>
      <c r="I3955" s="68"/>
      <c r="J3955" s="68"/>
      <c r="K3955" s="32"/>
      <c r="L3955" s="75">
        <v>3955</v>
      </c>
      <c r="M3955" s="75"/>
      <c r="N3955" s="70"/>
      <c r="O3955" s="77" t="s">
        <v>179</v>
      </c>
      <c r="P3955" s="79">
        <v>45158.933796296296</v>
      </c>
      <c r="Q3955" s="77" t="s">
        <v>4729</v>
      </c>
      <c r="R3955" s="77">
        <v>0</v>
      </c>
      <c r="S3955" s="77">
        <v>0</v>
      </c>
      <c r="T3955" s="77">
        <v>0</v>
      </c>
      <c r="U3955" s="77">
        <v>0</v>
      </c>
      <c r="V3955" s="77">
        <v>117</v>
      </c>
      <c r="W3955" s="82" t="s">
        <v>6931</v>
      </c>
      <c r="X3955" s="77"/>
      <c r="Y3955" s="77"/>
      <c r="Z3955" s="77"/>
      <c r="AA3955" s="77" t="s">
        <v>8167</v>
      </c>
      <c r="AB3955" s="77" t="s">
        <v>8225</v>
      </c>
      <c r="AC3955" s="82" t="s">
        <v>8234</v>
      </c>
      <c r="AD3955" s="77" t="s">
        <v>8278</v>
      </c>
      <c r="AE3955" s="80" t="str">
        <f>HYPERLINK("https://twitter.com/duduhrosa13/status/1693388607594078416")</f>
        <v>https://twitter.com/duduhrosa13/status/1693388607594078416</v>
      </c>
      <c r="AF3955" s="79">
        <v>45158.933796296296</v>
      </c>
      <c r="AG3955" s="85">
        <v>45158</v>
      </c>
      <c r="AH3955" s="82" t="s">
        <v>11903</v>
      </c>
      <c r="AI3955" s="77" t="b">
        <v>0</v>
      </c>
      <c r="AJ3955" s="77"/>
      <c r="AK3955" s="77"/>
      <c r="AL3955" s="77"/>
      <c r="AM3955" s="77"/>
      <c r="AN3955" s="77"/>
      <c r="AO3955" s="77"/>
      <c r="AP3955" s="77"/>
      <c r="AQ3955" s="77" t="s">
        <v>13052</v>
      </c>
      <c r="AR3955" s="77"/>
      <c r="AS3955" s="77"/>
      <c r="AT3955" s="77"/>
      <c r="AU3955" s="77"/>
      <c r="AV3955" s="80" t="str">
        <f>HYPERLINK("https://pbs.twimg.com/media/F4Af9rlXoAAbQrA.jpg")</f>
        <v>https://pbs.twimg.com/media/F4Af9rlXoAAbQrA.jpg</v>
      </c>
      <c r="AW3955" s="82" t="s">
        <v>17039</v>
      </c>
      <c r="AX3955" s="82" t="s">
        <v>17039</v>
      </c>
      <c r="AY3955" s="77"/>
      <c r="AZ3955" s="82" t="s">
        <v>17385</v>
      </c>
      <c r="BA3955" s="82" t="s">
        <v>17385</v>
      </c>
      <c r="BB3955" s="82" t="s">
        <v>17385</v>
      </c>
      <c r="BC3955" s="82" t="s">
        <v>17039</v>
      </c>
      <c r="BD3955" s="77">
        <v>244707852</v>
      </c>
      <c r="BE3955" s="77"/>
      <c r="BF3955" s="77"/>
      <c r="BG3955" s="77"/>
      <c r="BH3955" s="77"/>
      <c r="BI3955" s="77"/>
    </row>
    <row r="3956" spans="1:61" x14ac:dyDescent="0.25">
      <c r="A3956" s="62" t="s">
        <v>706</v>
      </c>
      <c r="B3956" s="62" t="s">
        <v>706</v>
      </c>
      <c r="C3956" s="63"/>
      <c r="D3956" s="64"/>
      <c r="E3956" s="65"/>
      <c r="F3956" s="66"/>
      <c r="G3956" s="63"/>
      <c r="H3956" s="67"/>
      <c r="I3956" s="68"/>
      <c r="J3956" s="68"/>
      <c r="K3956" s="32"/>
      <c r="L3956" s="75">
        <v>3956</v>
      </c>
      <c r="M3956" s="75"/>
      <c r="N3956" s="70"/>
      <c r="O3956" s="77" t="s">
        <v>179</v>
      </c>
      <c r="P3956" s="79">
        <v>45100.960138888891</v>
      </c>
      <c r="Q3956" s="77" t="s">
        <v>4730</v>
      </c>
      <c r="R3956" s="77">
        <v>260</v>
      </c>
      <c r="S3956" s="77">
        <v>1174</v>
      </c>
      <c r="T3956" s="77">
        <v>59</v>
      </c>
      <c r="U3956" s="77">
        <v>9</v>
      </c>
      <c r="V3956" s="77">
        <v>14632</v>
      </c>
      <c r="W3956" s="77"/>
      <c r="X3956" s="80" t="str">
        <f>HYPERLINK("https://www.brasil247.com/economia/efeito-lula-ibovespa-tem-9-altas-semanais-consecutivas-pela-primeira-vez-na-historia-apesar-de-bc")</f>
        <v>https://www.brasil247.com/economia/efeito-lula-ibovespa-tem-9-altas-semanais-consecutivas-pela-primeira-vez-na-historia-apesar-de-bc</v>
      </c>
      <c r="Y3956" s="77" t="s">
        <v>7146</v>
      </c>
      <c r="Z3956" s="77"/>
      <c r="AA3956" s="77"/>
      <c r="AB3956" s="77"/>
      <c r="AC3956" s="82" t="s">
        <v>8232</v>
      </c>
      <c r="AD3956" s="77" t="s">
        <v>8278</v>
      </c>
      <c r="AE3956" s="80" t="str">
        <f>HYPERLINK("https://twitter.com/brasil247/status/1672379656970948609")</f>
        <v>https://twitter.com/brasil247/status/1672379656970948609</v>
      </c>
      <c r="AF3956" s="79">
        <v>45100.960138888891</v>
      </c>
      <c r="AG3956" s="85">
        <v>45100</v>
      </c>
      <c r="AH3956" s="82" t="s">
        <v>11904</v>
      </c>
      <c r="AI3956" s="77" t="b">
        <v>0</v>
      </c>
      <c r="AJ3956" s="77"/>
      <c r="AK3956" s="77"/>
      <c r="AL3956" s="77"/>
      <c r="AM3956" s="77"/>
      <c r="AN3956" s="77"/>
      <c r="AO3956" s="77"/>
      <c r="AP3956" s="77"/>
      <c r="AQ3956" s="77"/>
      <c r="AR3956" s="77"/>
      <c r="AS3956" s="77"/>
      <c r="AT3956" s="77"/>
      <c r="AU3956" s="77"/>
      <c r="AV3956" s="80" t="str">
        <f>HYPERLINK("https://pbs.twimg.com/profile_images/1274756492344856578/vk0smlDr_normal.jpg")</f>
        <v>https://pbs.twimg.com/profile_images/1274756492344856578/vk0smlDr_normal.jpg</v>
      </c>
      <c r="AW3956" s="82" t="s">
        <v>17040</v>
      </c>
      <c r="AX3956" s="82" t="s">
        <v>17040</v>
      </c>
      <c r="AY3956" s="77"/>
      <c r="AZ3956" s="82" t="s">
        <v>17385</v>
      </c>
      <c r="BA3956" s="82" t="s">
        <v>17385</v>
      </c>
      <c r="BB3956" s="82" t="s">
        <v>17385</v>
      </c>
      <c r="BC3956" s="82" t="s">
        <v>17040</v>
      </c>
      <c r="BD3956" s="77">
        <v>248890506</v>
      </c>
      <c r="BE3956" s="77"/>
      <c r="BF3956" s="77"/>
      <c r="BG3956" s="77"/>
      <c r="BH3956" s="77"/>
      <c r="BI3956" s="77"/>
    </row>
    <row r="3957" spans="1:61" x14ac:dyDescent="0.25">
      <c r="A3957" s="62" t="s">
        <v>707</v>
      </c>
      <c r="B3957" s="62" t="s">
        <v>707</v>
      </c>
      <c r="C3957" s="63"/>
      <c r="D3957" s="64"/>
      <c r="E3957" s="65"/>
      <c r="F3957" s="66"/>
      <c r="G3957" s="63"/>
      <c r="H3957" s="67"/>
      <c r="I3957" s="68"/>
      <c r="J3957" s="68"/>
      <c r="K3957" s="32"/>
      <c r="L3957" s="75">
        <v>3957</v>
      </c>
      <c r="M3957" s="75"/>
      <c r="N3957" s="70"/>
      <c r="O3957" s="77" t="s">
        <v>179</v>
      </c>
      <c r="P3957" s="79">
        <v>45096.344976851855</v>
      </c>
      <c r="Q3957" s="77" t="s">
        <v>4731</v>
      </c>
      <c r="R3957" s="77">
        <v>0</v>
      </c>
      <c r="S3957" s="77">
        <v>0</v>
      </c>
      <c r="T3957" s="77">
        <v>0</v>
      </c>
      <c r="U3957" s="77">
        <v>0</v>
      </c>
      <c r="V3957" s="77">
        <v>53</v>
      </c>
      <c r="W3957" s="82" t="s">
        <v>6932</v>
      </c>
      <c r="X3957" s="77"/>
      <c r="Y3957" s="77"/>
      <c r="Z3957" s="77"/>
      <c r="AA3957" s="77" t="s">
        <v>8168</v>
      </c>
      <c r="AB3957" s="77" t="s">
        <v>8225</v>
      </c>
      <c r="AC3957" s="82" t="s">
        <v>8233</v>
      </c>
      <c r="AD3957" s="77" t="s">
        <v>8278</v>
      </c>
      <c r="AE3957" s="80" t="str">
        <f>HYPERLINK("https://twitter.com/rafael__costa__/status/1670707177453912065")</f>
        <v>https://twitter.com/rafael__costa__/status/1670707177453912065</v>
      </c>
      <c r="AF3957" s="79">
        <v>45096.344976851855</v>
      </c>
      <c r="AG3957" s="85">
        <v>45096</v>
      </c>
      <c r="AH3957" s="82" t="s">
        <v>11905</v>
      </c>
      <c r="AI3957" s="77" t="b">
        <v>0</v>
      </c>
      <c r="AJ3957" s="77"/>
      <c r="AK3957" s="77"/>
      <c r="AL3957" s="77"/>
      <c r="AM3957" s="77"/>
      <c r="AN3957" s="77"/>
      <c r="AO3957" s="77"/>
      <c r="AP3957" s="77"/>
      <c r="AQ3957" s="77" t="s">
        <v>13053</v>
      </c>
      <c r="AR3957" s="77"/>
      <c r="AS3957" s="77"/>
      <c r="AT3957" s="77"/>
      <c r="AU3957" s="77"/>
      <c r="AV3957" s="80" t="str">
        <f>HYPERLINK("https://pbs.twimg.com/media/Fy-LUlaXoAMw0R9.jpg")</f>
        <v>https://pbs.twimg.com/media/Fy-LUlaXoAMw0R9.jpg</v>
      </c>
      <c r="AW3957" s="82" t="s">
        <v>17041</v>
      </c>
      <c r="AX3957" s="82" t="s">
        <v>17041</v>
      </c>
      <c r="AY3957" s="77"/>
      <c r="AZ3957" s="82" t="s">
        <v>17385</v>
      </c>
      <c r="BA3957" s="82" t="s">
        <v>17385</v>
      </c>
      <c r="BB3957" s="82" t="s">
        <v>17385</v>
      </c>
      <c r="BC3957" s="82" t="s">
        <v>17041</v>
      </c>
      <c r="BD3957" s="82" t="s">
        <v>17383</v>
      </c>
      <c r="BE3957" s="77"/>
      <c r="BF3957" s="77"/>
      <c r="BG3957" s="77"/>
      <c r="BH3957" s="77"/>
      <c r="BI3957" s="77"/>
    </row>
    <row r="3958" spans="1:61" x14ac:dyDescent="0.25">
      <c r="A3958" s="62" t="s">
        <v>707</v>
      </c>
      <c r="B3958" s="62" t="s">
        <v>707</v>
      </c>
      <c r="C3958" s="63"/>
      <c r="D3958" s="64"/>
      <c r="E3958" s="65"/>
      <c r="F3958" s="66"/>
      <c r="G3958" s="63"/>
      <c r="H3958" s="67"/>
      <c r="I3958" s="68"/>
      <c r="J3958" s="68"/>
      <c r="K3958" s="32"/>
      <c r="L3958" s="75">
        <v>3958</v>
      </c>
      <c r="M3958" s="75"/>
      <c r="N3958" s="70"/>
      <c r="O3958" s="77" t="s">
        <v>179</v>
      </c>
      <c r="P3958" s="79">
        <v>45089.659039351849</v>
      </c>
      <c r="Q3958" s="77" t="s">
        <v>4732</v>
      </c>
      <c r="R3958" s="77">
        <v>0</v>
      </c>
      <c r="S3958" s="77">
        <v>1</v>
      </c>
      <c r="T3958" s="77">
        <v>0</v>
      </c>
      <c r="U3958" s="77">
        <v>0</v>
      </c>
      <c r="V3958" s="77">
        <v>108</v>
      </c>
      <c r="W3958" s="82" t="s">
        <v>6933</v>
      </c>
      <c r="X3958" s="77"/>
      <c r="Y3958" s="77"/>
      <c r="Z3958" s="77"/>
      <c r="AA3958" s="77" t="s">
        <v>8169</v>
      </c>
      <c r="AB3958" s="77" t="s">
        <v>8227</v>
      </c>
      <c r="AC3958" s="82" t="s">
        <v>8233</v>
      </c>
      <c r="AD3958" s="77" t="s">
        <v>8278</v>
      </c>
      <c r="AE3958" s="80" t="str">
        <f>HYPERLINK("https://twitter.com/rafael__costa__/status/1668284275177693185")</f>
        <v>https://twitter.com/rafael__costa__/status/1668284275177693185</v>
      </c>
      <c r="AF3958" s="79">
        <v>45089.659039351849</v>
      </c>
      <c r="AG3958" s="85">
        <v>45089</v>
      </c>
      <c r="AH3958" s="82" t="s">
        <v>11906</v>
      </c>
      <c r="AI3958" s="77" t="b">
        <v>0</v>
      </c>
      <c r="AJ3958" s="77"/>
      <c r="AK3958" s="77"/>
      <c r="AL3958" s="77"/>
      <c r="AM3958" s="77"/>
      <c r="AN3958" s="77"/>
      <c r="AO3958" s="77"/>
      <c r="AP3958" s="77"/>
      <c r="AQ3958" s="77" t="s">
        <v>13054</v>
      </c>
      <c r="AR3958" s="77">
        <v>13072</v>
      </c>
      <c r="AS3958" s="77"/>
      <c r="AT3958" s="77"/>
      <c r="AU3958" s="77"/>
      <c r="AV3958" s="80" t="str">
        <f>HYPERLINK("https://pbs.twimg.com/ext_tw_video_thumb/1668284246883020800/pu/img/s1ilrD50RJ6AEPAw.jpg")</f>
        <v>https://pbs.twimg.com/ext_tw_video_thumb/1668284246883020800/pu/img/s1ilrD50RJ6AEPAw.jpg</v>
      </c>
      <c r="AW3958" s="82" t="s">
        <v>17042</v>
      </c>
      <c r="AX3958" s="82" t="s">
        <v>17042</v>
      </c>
      <c r="AY3958" s="77"/>
      <c r="AZ3958" s="82" t="s">
        <v>17385</v>
      </c>
      <c r="BA3958" s="82" t="s">
        <v>17385</v>
      </c>
      <c r="BB3958" s="82" t="s">
        <v>17385</v>
      </c>
      <c r="BC3958" s="82" t="s">
        <v>17042</v>
      </c>
      <c r="BD3958" s="82" t="s">
        <v>17383</v>
      </c>
      <c r="BE3958" s="77"/>
      <c r="BF3958" s="77"/>
      <c r="BG3958" s="77"/>
      <c r="BH3958" s="77"/>
      <c r="BI3958" s="77"/>
    </row>
    <row r="3959" spans="1:61" x14ac:dyDescent="0.25">
      <c r="A3959" s="62" t="s">
        <v>707</v>
      </c>
      <c r="B3959" s="62" t="s">
        <v>707</v>
      </c>
      <c r="C3959" s="63"/>
      <c r="D3959" s="64"/>
      <c r="E3959" s="65"/>
      <c r="F3959" s="66"/>
      <c r="G3959" s="63"/>
      <c r="H3959" s="67"/>
      <c r="I3959" s="68"/>
      <c r="J3959" s="68"/>
      <c r="K3959" s="32"/>
      <c r="L3959" s="75">
        <v>3959</v>
      </c>
      <c r="M3959" s="75"/>
      <c r="N3959" s="70"/>
      <c r="O3959" s="77" t="s">
        <v>179</v>
      </c>
      <c r="P3959" s="79">
        <v>45048.913715277777</v>
      </c>
      <c r="Q3959" s="77" t="s">
        <v>4733</v>
      </c>
      <c r="R3959" s="77">
        <v>0</v>
      </c>
      <c r="S3959" s="77">
        <v>0</v>
      </c>
      <c r="T3959" s="77">
        <v>1</v>
      </c>
      <c r="U3959" s="77">
        <v>0</v>
      </c>
      <c r="V3959" s="77">
        <v>122</v>
      </c>
      <c r="W3959" s="82" t="s">
        <v>6934</v>
      </c>
      <c r="X3959" s="77"/>
      <c r="Y3959" s="77"/>
      <c r="Z3959" s="77"/>
      <c r="AA3959" s="77" t="s">
        <v>8170</v>
      </c>
      <c r="AB3959" s="77" t="s">
        <v>8227</v>
      </c>
      <c r="AC3959" s="82" t="s">
        <v>8233</v>
      </c>
      <c r="AD3959" s="77" t="s">
        <v>8278</v>
      </c>
      <c r="AE3959" s="80" t="str">
        <f>HYPERLINK("https://twitter.com/rafael__costa__/status/1653518664233107457")</f>
        <v>https://twitter.com/rafael__costa__/status/1653518664233107457</v>
      </c>
      <c r="AF3959" s="79">
        <v>45048.913715277777</v>
      </c>
      <c r="AG3959" s="85">
        <v>45048</v>
      </c>
      <c r="AH3959" s="82" t="s">
        <v>11907</v>
      </c>
      <c r="AI3959" s="77" t="b">
        <v>0</v>
      </c>
      <c r="AJ3959" s="77"/>
      <c r="AK3959" s="77"/>
      <c r="AL3959" s="77"/>
      <c r="AM3959" s="77"/>
      <c r="AN3959" s="77"/>
      <c r="AO3959" s="77"/>
      <c r="AP3959" s="77"/>
      <c r="AQ3959" s="77" t="s">
        <v>13055</v>
      </c>
      <c r="AR3959" s="77">
        <v>28249</v>
      </c>
      <c r="AS3959" s="77"/>
      <c r="AT3959" s="77"/>
      <c r="AU3959" s="77"/>
      <c r="AV3959" s="80" t="str">
        <f>HYPERLINK("https://pbs.twimg.com/ext_tw_video_thumb/1653518629755928578/pu/img/4S1DKfv16AfoU4Qg.jpg")</f>
        <v>https://pbs.twimg.com/ext_tw_video_thumb/1653518629755928578/pu/img/4S1DKfv16AfoU4Qg.jpg</v>
      </c>
      <c r="AW3959" s="82" t="s">
        <v>17043</v>
      </c>
      <c r="AX3959" s="82" t="s">
        <v>17043</v>
      </c>
      <c r="AY3959" s="77"/>
      <c r="AZ3959" s="82" t="s">
        <v>17385</v>
      </c>
      <c r="BA3959" s="82" t="s">
        <v>17385</v>
      </c>
      <c r="BB3959" s="82" t="s">
        <v>17385</v>
      </c>
      <c r="BC3959" s="82" t="s">
        <v>17043</v>
      </c>
      <c r="BD3959" s="82" t="s">
        <v>17383</v>
      </c>
      <c r="BE3959" s="77"/>
      <c r="BF3959" s="77"/>
      <c r="BG3959" s="77"/>
      <c r="BH3959" s="77"/>
      <c r="BI3959" s="77"/>
    </row>
    <row r="3960" spans="1:61" x14ac:dyDescent="0.25">
      <c r="A3960" s="62" t="s">
        <v>707</v>
      </c>
      <c r="B3960" s="62" t="s">
        <v>707</v>
      </c>
      <c r="C3960" s="63"/>
      <c r="D3960" s="64"/>
      <c r="E3960" s="65"/>
      <c r="F3960" s="66"/>
      <c r="G3960" s="63"/>
      <c r="H3960" s="67"/>
      <c r="I3960" s="68"/>
      <c r="J3960" s="68"/>
      <c r="K3960" s="32"/>
      <c r="L3960" s="75">
        <v>3960</v>
      </c>
      <c r="M3960" s="75"/>
      <c r="N3960" s="70"/>
      <c r="O3960" s="77" t="s">
        <v>800</v>
      </c>
      <c r="P3960" s="79">
        <v>45118.352060185185</v>
      </c>
      <c r="Q3960" s="77" t="s">
        <v>4734</v>
      </c>
      <c r="R3960" s="77">
        <v>0</v>
      </c>
      <c r="S3960" s="77">
        <v>0</v>
      </c>
      <c r="T3960" s="77">
        <v>1</v>
      </c>
      <c r="U3960" s="77">
        <v>0</v>
      </c>
      <c r="V3960" s="77">
        <v>16</v>
      </c>
      <c r="W3960" s="82" t="s">
        <v>6935</v>
      </c>
      <c r="X3960" s="77"/>
      <c r="Y3960" s="77"/>
      <c r="Z3960" s="77"/>
      <c r="AA3960" s="77"/>
      <c r="AB3960" s="77"/>
      <c r="AC3960" s="82" t="s">
        <v>8233</v>
      </c>
      <c r="AD3960" s="77" t="s">
        <v>8278</v>
      </c>
      <c r="AE3960" s="80" t="str">
        <f>HYPERLINK("https://twitter.com/rafael__costa__/status/1678682280363999232")</f>
        <v>https://twitter.com/rafael__costa__/status/1678682280363999232</v>
      </c>
      <c r="AF3960" s="79">
        <v>45118.352060185185</v>
      </c>
      <c r="AG3960" s="85">
        <v>45118</v>
      </c>
      <c r="AH3960" s="82" t="s">
        <v>11908</v>
      </c>
      <c r="AI3960" s="77"/>
      <c r="AJ3960" s="77"/>
      <c r="AK3960" s="77"/>
      <c r="AL3960" s="77"/>
      <c r="AM3960" s="77"/>
      <c r="AN3960" s="77"/>
      <c r="AO3960" s="77"/>
      <c r="AP3960" s="77"/>
      <c r="AQ3960" s="77"/>
      <c r="AR3960" s="77"/>
      <c r="AS3960" s="77"/>
      <c r="AT3960" s="77"/>
      <c r="AU3960" s="77"/>
      <c r="AV3960" s="80" t="str">
        <f>HYPERLINK("https://pbs.twimg.com/profile_images/1460727419829116929/1hfB_OTD_normal.jpg")</f>
        <v>https://pbs.twimg.com/profile_images/1460727419829116929/1hfB_OTD_normal.jpg</v>
      </c>
      <c r="AW3960" s="82" t="s">
        <v>17044</v>
      </c>
      <c r="AX3960" s="82" t="s">
        <v>17299</v>
      </c>
      <c r="AY3960" s="82" t="s">
        <v>17383</v>
      </c>
      <c r="AZ3960" s="82" t="s">
        <v>17427</v>
      </c>
      <c r="BA3960" s="82" t="s">
        <v>17385</v>
      </c>
      <c r="BB3960" s="82" t="s">
        <v>17385</v>
      </c>
      <c r="BC3960" s="82" t="s">
        <v>17427</v>
      </c>
      <c r="BD3960" s="82" t="s">
        <v>17383</v>
      </c>
      <c r="BE3960" s="77"/>
      <c r="BF3960" s="77"/>
      <c r="BG3960" s="77"/>
      <c r="BH3960" s="77"/>
      <c r="BI3960" s="77"/>
    </row>
    <row r="3961" spans="1:61" x14ac:dyDescent="0.25">
      <c r="A3961" s="62" t="s">
        <v>707</v>
      </c>
      <c r="B3961" s="62" t="s">
        <v>707</v>
      </c>
      <c r="C3961" s="63"/>
      <c r="D3961" s="64"/>
      <c r="E3961" s="65"/>
      <c r="F3961" s="66"/>
      <c r="G3961" s="63"/>
      <c r="H3961" s="67"/>
      <c r="I3961" s="68"/>
      <c r="J3961" s="68"/>
      <c r="K3961" s="32"/>
      <c r="L3961" s="75">
        <v>3961</v>
      </c>
      <c r="M3961" s="75"/>
      <c r="N3961" s="70"/>
      <c r="O3961" s="77" t="s">
        <v>179</v>
      </c>
      <c r="P3961" s="79">
        <v>45117.85769675926</v>
      </c>
      <c r="Q3961" s="77" t="s">
        <v>4735</v>
      </c>
      <c r="R3961" s="77">
        <v>1</v>
      </c>
      <c r="S3961" s="77">
        <v>1</v>
      </c>
      <c r="T3961" s="77">
        <v>3</v>
      </c>
      <c r="U3961" s="77">
        <v>0</v>
      </c>
      <c r="V3961" s="77">
        <v>141</v>
      </c>
      <c r="W3961" s="82" t="s">
        <v>6936</v>
      </c>
      <c r="X3961" s="77"/>
      <c r="Y3961" s="77"/>
      <c r="Z3961" s="77"/>
      <c r="AA3961" s="77" t="s">
        <v>8171</v>
      </c>
      <c r="AB3961" s="77" t="s">
        <v>8227</v>
      </c>
      <c r="AC3961" s="82" t="s">
        <v>8233</v>
      </c>
      <c r="AD3961" s="77" t="s">
        <v>8278</v>
      </c>
      <c r="AE3961" s="80" t="str">
        <f>HYPERLINK("https://twitter.com/rafael__costa__/status/1678503127866130433")</f>
        <v>https://twitter.com/rafael__costa__/status/1678503127866130433</v>
      </c>
      <c r="AF3961" s="79">
        <v>45117.85769675926</v>
      </c>
      <c r="AG3961" s="85">
        <v>45117</v>
      </c>
      <c r="AH3961" s="82" t="s">
        <v>8406</v>
      </c>
      <c r="AI3961" s="77" t="b">
        <v>0</v>
      </c>
      <c r="AJ3961" s="77"/>
      <c r="AK3961" s="77"/>
      <c r="AL3961" s="77"/>
      <c r="AM3961" s="77"/>
      <c r="AN3961" s="77"/>
      <c r="AO3961" s="77"/>
      <c r="AP3961" s="77"/>
      <c r="AQ3961" s="77" t="s">
        <v>13056</v>
      </c>
      <c r="AR3961" s="77">
        <v>32888</v>
      </c>
      <c r="AS3961" s="77"/>
      <c r="AT3961" s="77"/>
      <c r="AU3961" s="77"/>
      <c r="AV3961" s="80" t="str">
        <f>HYPERLINK("https://pbs.twimg.com/ext_tw_video_thumb/1678503034295336968/pu/img/32WlWXenRCjZNK7t.jpg")</f>
        <v>https://pbs.twimg.com/ext_tw_video_thumb/1678503034295336968/pu/img/32WlWXenRCjZNK7t.jpg</v>
      </c>
      <c r="AW3961" s="82" t="s">
        <v>17045</v>
      </c>
      <c r="AX3961" s="82" t="s">
        <v>17045</v>
      </c>
      <c r="AY3961" s="77"/>
      <c r="AZ3961" s="82" t="s">
        <v>17385</v>
      </c>
      <c r="BA3961" s="82" t="s">
        <v>17385</v>
      </c>
      <c r="BB3961" s="82" t="s">
        <v>17385</v>
      </c>
      <c r="BC3961" s="82" t="s">
        <v>17045</v>
      </c>
      <c r="BD3961" s="82" t="s">
        <v>17383</v>
      </c>
      <c r="BE3961" s="77"/>
      <c r="BF3961" s="77"/>
      <c r="BG3961" s="77"/>
      <c r="BH3961" s="77"/>
      <c r="BI3961" s="77"/>
    </row>
    <row r="3962" spans="1:61" x14ac:dyDescent="0.25">
      <c r="A3962" s="62" t="s">
        <v>707</v>
      </c>
      <c r="B3962" s="62" t="s">
        <v>707</v>
      </c>
      <c r="C3962" s="63"/>
      <c r="D3962" s="64"/>
      <c r="E3962" s="65"/>
      <c r="F3962" s="66"/>
      <c r="G3962" s="63"/>
      <c r="H3962" s="67"/>
      <c r="I3962" s="68"/>
      <c r="J3962" s="68"/>
      <c r="K3962" s="32"/>
      <c r="L3962" s="75">
        <v>3962</v>
      </c>
      <c r="M3962" s="75"/>
      <c r="N3962" s="70"/>
      <c r="O3962" s="77" t="s">
        <v>179</v>
      </c>
      <c r="P3962" s="79">
        <v>45095.030474537038</v>
      </c>
      <c r="Q3962" s="77" t="s">
        <v>4736</v>
      </c>
      <c r="R3962" s="77">
        <v>0</v>
      </c>
      <c r="S3962" s="77">
        <v>0</v>
      </c>
      <c r="T3962" s="77">
        <v>1</v>
      </c>
      <c r="U3962" s="77">
        <v>0</v>
      </c>
      <c r="V3962" s="77">
        <v>147</v>
      </c>
      <c r="W3962" s="82" t="s">
        <v>6937</v>
      </c>
      <c r="X3962" s="77"/>
      <c r="Y3962" s="77"/>
      <c r="Z3962" s="77"/>
      <c r="AA3962" s="77" t="s">
        <v>8172</v>
      </c>
      <c r="AB3962" s="77" t="s">
        <v>8227</v>
      </c>
      <c r="AC3962" s="82" t="s">
        <v>8233</v>
      </c>
      <c r="AD3962" s="77" t="s">
        <v>8278</v>
      </c>
      <c r="AE3962" s="80" t="str">
        <f>HYPERLINK("https://twitter.com/rafael__costa__/status/1670230821041582080")</f>
        <v>https://twitter.com/rafael__costa__/status/1670230821041582080</v>
      </c>
      <c r="AF3962" s="79">
        <v>45095.030474537038</v>
      </c>
      <c r="AG3962" s="85">
        <v>45095</v>
      </c>
      <c r="AH3962" s="82" t="s">
        <v>11909</v>
      </c>
      <c r="AI3962" s="77" t="b">
        <v>0</v>
      </c>
      <c r="AJ3962" s="77"/>
      <c r="AK3962" s="77"/>
      <c r="AL3962" s="77"/>
      <c r="AM3962" s="77"/>
      <c r="AN3962" s="77"/>
      <c r="AO3962" s="77"/>
      <c r="AP3962" s="77"/>
      <c r="AQ3962" s="77" t="s">
        <v>13057</v>
      </c>
      <c r="AR3962" s="77">
        <v>10255</v>
      </c>
      <c r="AS3962" s="77"/>
      <c r="AT3962" s="77"/>
      <c r="AU3962" s="77"/>
      <c r="AV3962" s="80" t="str">
        <f>HYPERLINK("https://pbs.twimg.com/ext_tw_video_thumb/1670230796957892609/pu/img/ZaVzTCvKMJDsNh-f.jpg")</f>
        <v>https://pbs.twimg.com/ext_tw_video_thumb/1670230796957892609/pu/img/ZaVzTCvKMJDsNh-f.jpg</v>
      </c>
      <c r="AW3962" s="82" t="s">
        <v>17046</v>
      </c>
      <c r="AX3962" s="82" t="s">
        <v>17046</v>
      </c>
      <c r="AY3962" s="77"/>
      <c r="AZ3962" s="82" t="s">
        <v>17385</v>
      </c>
      <c r="BA3962" s="82" t="s">
        <v>17385</v>
      </c>
      <c r="BB3962" s="82" t="s">
        <v>17385</v>
      </c>
      <c r="BC3962" s="82" t="s">
        <v>17046</v>
      </c>
      <c r="BD3962" s="82" t="s">
        <v>17383</v>
      </c>
      <c r="BE3962" s="77"/>
      <c r="BF3962" s="77"/>
      <c r="BG3962" s="77"/>
      <c r="BH3962" s="77"/>
      <c r="BI3962" s="77"/>
    </row>
    <row r="3963" spans="1:61" x14ac:dyDescent="0.25">
      <c r="A3963" s="62" t="s">
        <v>707</v>
      </c>
      <c r="B3963" s="62" t="s">
        <v>707</v>
      </c>
      <c r="C3963" s="63"/>
      <c r="D3963" s="64"/>
      <c r="E3963" s="65"/>
      <c r="F3963" s="66"/>
      <c r="G3963" s="63"/>
      <c r="H3963" s="67"/>
      <c r="I3963" s="68"/>
      <c r="J3963" s="68"/>
      <c r="K3963" s="32"/>
      <c r="L3963" s="75">
        <v>3963</v>
      </c>
      <c r="M3963" s="75"/>
      <c r="N3963" s="70"/>
      <c r="O3963" s="77" t="s">
        <v>179</v>
      </c>
      <c r="P3963" s="79">
        <v>45091.918171296296</v>
      </c>
      <c r="Q3963" s="77" t="s">
        <v>4737</v>
      </c>
      <c r="R3963" s="77">
        <v>0</v>
      </c>
      <c r="S3963" s="77">
        <v>0</v>
      </c>
      <c r="T3963" s="77">
        <v>0</v>
      </c>
      <c r="U3963" s="77">
        <v>0</v>
      </c>
      <c r="V3963" s="77">
        <v>79</v>
      </c>
      <c r="W3963" s="82" t="s">
        <v>6936</v>
      </c>
      <c r="X3963" s="77"/>
      <c r="Y3963" s="77"/>
      <c r="Z3963" s="77"/>
      <c r="AA3963" s="77" t="s">
        <v>8173</v>
      </c>
      <c r="AB3963" s="77" t="s">
        <v>8227</v>
      </c>
      <c r="AC3963" s="82" t="s">
        <v>8233</v>
      </c>
      <c r="AD3963" s="77" t="s">
        <v>8278</v>
      </c>
      <c r="AE3963" s="80" t="str">
        <f>HYPERLINK("https://twitter.com/rafael__costa__/status/1669102960666726407")</f>
        <v>https://twitter.com/rafael__costa__/status/1669102960666726407</v>
      </c>
      <c r="AF3963" s="79">
        <v>45091.918171296296</v>
      </c>
      <c r="AG3963" s="85">
        <v>45091</v>
      </c>
      <c r="AH3963" s="82" t="s">
        <v>11910</v>
      </c>
      <c r="AI3963" s="77" t="b">
        <v>0</v>
      </c>
      <c r="AJ3963" s="77"/>
      <c r="AK3963" s="77"/>
      <c r="AL3963" s="77"/>
      <c r="AM3963" s="77"/>
      <c r="AN3963" s="77"/>
      <c r="AO3963" s="77"/>
      <c r="AP3963" s="77"/>
      <c r="AQ3963" s="77" t="s">
        <v>13058</v>
      </c>
      <c r="AR3963" s="77">
        <v>39331</v>
      </c>
      <c r="AS3963" s="77"/>
      <c r="AT3963" s="77"/>
      <c r="AU3963" s="77"/>
      <c r="AV3963" s="80" t="str">
        <f>HYPERLINK("https://pbs.twimg.com/ext_tw_video_thumb/1669102927481282563/pu/img/D2aeGZo7Xm9rha-v.jpg")</f>
        <v>https://pbs.twimg.com/ext_tw_video_thumb/1669102927481282563/pu/img/D2aeGZo7Xm9rha-v.jpg</v>
      </c>
      <c r="AW3963" s="82" t="s">
        <v>17047</v>
      </c>
      <c r="AX3963" s="82" t="s">
        <v>17047</v>
      </c>
      <c r="AY3963" s="77"/>
      <c r="AZ3963" s="82" t="s">
        <v>17385</v>
      </c>
      <c r="BA3963" s="82" t="s">
        <v>17385</v>
      </c>
      <c r="BB3963" s="82" t="s">
        <v>17385</v>
      </c>
      <c r="BC3963" s="82" t="s">
        <v>17047</v>
      </c>
      <c r="BD3963" s="82" t="s">
        <v>17383</v>
      </c>
      <c r="BE3963" s="77"/>
      <c r="BF3963" s="77"/>
      <c r="BG3963" s="77"/>
      <c r="BH3963" s="77"/>
      <c r="BI3963" s="77"/>
    </row>
    <row r="3964" spans="1:61" x14ac:dyDescent="0.25">
      <c r="A3964" s="62" t="s">
        <v>707</v>
      </c>
      <c r="B3964" s="62" t="s">
        <v>707</v>
      </c>
      <c r="C3964" s="63"/>
      <c r="D3964" s="64"/>
      <c r="E3964" s="65"/>
      <c r="F3964" s="66"/>
      <c r="G3964" s="63"/>
      <c r="H3964" s="67"/>
      <c r="I3964" s="68"/>
      <c r="J3964" s="68"/>
      <c r="K3964" s="32"/>
      <c r="L3964" s="75">
        <v>3964</v>
      </c>
      <c r="M3964" s="75"/>
      <c r="N3964" s="70"/>
      <c r="O3964" s="77" t="s">
        <v>179</v>
      </c>
      <c r="P3964" s="79">
        <v>45056.907581018517</v>
      </c>
      <c r="Q3964" s="77" t="s">
        <v>4738</v>
      </c>
      <c r="R3964" s="77">
        <v>0</v>
      </c>
      <c r="S3964" s="77">
        <v>1</v>
      </c>
      <c r="T3964" s="77">
        <v>3</v>
      </c>
      <c r="U3964" s="77">
        <v>0</v>
      </c>
      <c r="V3964" s="77">
        <v>400</v>
      </c>
      <c r="W3964" s="82" t="s">
        <v>6938</v>
      </c>
      <c r="X3964" s="77"/>
      <c r="Y3964" s="77"/>
      <c r="Z3964" s="77"/>
      <c r="AA3964" s="77" t="s">
        <v>8174</v>
      </c>
      <c r="AB3964" s="77" t="s">
        <v>8227</v>
      </c>
      <c r="AC3964" s="82" t="s">
        <v>8233</v>
      </c>
      <c r="AD3964" s="77" t="s">
        <v>8278</v>
      </c>
      <c r="AE3964" s="80" t="str">
        <f>HYPERLINK("https://twitter.com/rafael__costa__/status/1656415544629768192")</f>
        <v>https://twitter.com/rafael__costa__/status/1656415544629768192</v>
      </c>
      <c r="AF3964" s="79">
        <v>45056.907581018517</v>
      </c>
      <c r="AG3964" s="85">
        <v>45056</v>
      </c>
      <c r="AH3964" s="82" t="s">
        <v>11911</v>
      </c>
      <c r="AI3964" s="77" t="b">
        <v>0</v>
      </c>
      <c r="AJ3964" s="77"/>
      <c r="AK3964" s="77"/>
      <c r="AL3964" s="77"/>
      <c r="AM3964" s="77"/>
      <c r="AN3964" s="77"/>
      <c r="AO3964" s="77"/>
      <c r="AP3964" s="77"/>
      <c r="AQ3964" s="77" t="s">
        <v>13059</v>
      </c>
      <c r="AR3964" s="77">
        <v>28205</v>
      </c>
      <c r="AS3964" s="77"/>
      <c r="AT3964" s="77"/>
      <c r="AU3964" s="77"/>
      <c r="AV3964" s="80" t="str">
        <f>HYPERLINK("https://pbs.twimg.com/ext_tw_video_thumb/1656415512102830082/pu/img/1LYKJpqR4l5Th4w-.jpg")</f>
        <v>https://pbs.twimg.com/ext_tw_video_thumb/1656415512102830082/pu/img/1LYKJpqR4l5Th4w-.jpg</v>
      </c>
      <c r="AW3964" s="82" t="s">
        <v>17048</v>
      </c>
      <c r="AX3964" s="82" t="s">
        <v>17048</v>
      </c>
      <c r="AY3964" s="77"/>
      <c r="AZ3964" s="82" t="s">
        <v>17385</v>
      </c>
      <c r="BA3964" s="82" t="s">
        <v>17385</v>
      </c>
      <c r="BB3964" s="82" t="s">
        <v>17385</v>
      </c>
      <c r="BC3964" s="82" t="s">
        <v>17048</v>
      </c>
      <c r="BD3964" s="82" t="s">
        <v>17383</v>
      </c>
      <c r="BE3964" s="77"/>
      <c r="BF3964" s="77"/>
      <c r="BG3964" s="77"/>
      <c r="BH3964" s="77"/>
      <c r="BI3964" s="77"/>
    </row>
    <row r="3965" spans="1:61" x14ac:dyDescent="0.25">
      <c r="A3965" s="62" t="s">
        <v>707</v>
      </c>
      <c r="B3965" s="62" t="s">
        <v>707</v>
      </c>
      <c r="C3965" s="63"/>
      <c r="D3965" s="64"/>
      <c r="E3965" s="65"/>
      <c r="F3965" s="66"/>
      <c r="G3965" s="63"/>
      <c r="H3965" s="67"/>
      <c r="I3965" s="68"/>
      <c r="J3965" s="68"/>
      <c r="K3965" s="32"/>
      <c r="L3965" s="75">
        <v>3965</v>
      </c>
      <c r="M3965" s="75"/>
      <c r="N3965" s="70"/>
      <c r="O3965" s="77" t="s">
        <v>179</v>
      </c>
      <c r="P3965" s="79">
        <v>45055.895381944443</v>
      </c>
      <c r="Q3965" s="77" t="s">
        <v>4739</v>
      </c>
      <c r="R3965" s="77">
        <v>0</v>
      </c>
      <c r="S3965" s="77">
        <v>0</v>
      </c>
      <c r="T3965" s="77">
        <v>0</v>
      </c>
      <c r="U3965" s="77">
        <v>0</v>
      </c>
      <c r="V3965" s="77">
        <v>208</v>
      </c>
      <c r="W3965" s="82" t="s">
        <v>6939</v>
      </c>
      <c r="X3965" s="77"/>
      <c r="Y3965" s="77"/>
      <c r="Z3965" s="77"/>
      <c r="AA3965" s="77" t="s">
        <v>8175</v>
      </c>
      <c r="AB3965" s="77" t="s">
        <v>8227</v>
      </c>
      <c r="AC3965" s="82" t="s">
        <v>8233</v>
      </c>
      <c r="AD3965" s="77" t="s">
        <v>8278</v>
      </c>
      <c r="AE3965" s="80" t="str">
        <f>HYPERLINK("https://twitter.com/rafael__costa__/status/1656048736743636992")</f>
        <v>https://twitter.com/rafael__costa__/status/1656048736743636992</v>
      </c>
      <c r="AF3965" s="79">
        <v>45055.895381944443</v>
      </c>
      <c r="AG3965" s="85">
        <v>45055</v>
      </c>
      <c r="AH3965" s="82" t="s">
        <v>11912</v>
      </c>
      <c r="AI3965" s="77" t="b">
        <v>0</v>
      </c>
      <c r="AJ3965" s="77"/>
      <c r="AK3965" s="77"/>
      <c r="AL3965" s="77"/>
      <c r="AM3965" s="77"/>
      <c r="AN3965" s="77"/>
      <c r="AO3965" s="77"/>
      <c r="AP3965" s="77"/>
      <c r="AQ3965" s="77" t="s">
        <v>13060</v>
      </c>
      <c r="AR3965" s="77">
        <v>40633</v>
      </c>
      <c r="AS3965" s="77"/>
      <c r="AT3965" s="77"/>
      <c r="AU3965" s="77"/>
      <c r="AV3965" s="80" t="str">
        <f>HYPERLINK("https://pbs.twimg.com/ext_tw_video_thumb/1656048680254701569/pu/img/Bf4YLe0nEIWfXrFu.jpg")</f>
        <v>https://pbs.twimg.com/ext_tw_video_thumb/1656048680254701569/pu/img/Bf4YLe0nEIWfXrFu.jpg</v>
      </c>
      <c r="AW3965" s="82" t="s">
        <v>17049</v>
      </c>
      <c r="AX3965" s="82" t="s">
        <v>17049</v>
      </c>
      <c r="AY3965" s="77"/>
      <c r="AZ3965" s="82" t="s">
        <v>17385</v>
      </c>
      <c r="BA3965" s="82" t="s">
        <v>17385</v>
      </c>
      <c r="BB3965" s="82" t="s">
        <v>17385</v>
      </c>
      <c r="BC3965" s="82" t="s">
        <v>17049</v>
      </c>
      <c r="BD3965" s="82" t="s">
        <v>17383</v>
      </c>
      <c r="BE3965" s="77"/>
      <c r="BF3965" s="77"/>
      <c r="BG3965" s="77"/>
      <c r="BH3965" s="77"/>
      <c r="BI3965" s="77"/>
    </row>
    <row r="3966" spans="1:61" x14ac:dyDescent="0.25">
      <c r="A3966" s="62" t="s">
        <v>707</v>
      </c>
      <c r="B3966" s="62" t="s">
        <v>707</v>
      </c>
      <c r="C3966" s="63"/>
      <c r="D3966" s="64"/>
      <c r="E3966" s="65"/>
      <c r="F3966" s="66"/>
      <c r="G3966" s="63"/>
      <c r="H3966" s="67"/>
      <c r="I3966" s="68"/>
      <c r="J3966" s="68"/>
      <c r="K3966" s="32"/>
      <c r="L3966" s="75">
        <v>3966</v>
      </c>
      <c r="M3966" s="75"/>
      <c r="N3966" s="70"/>
      <c r="O3966" s="77" t="s">
        <v>800</v>
      </c>
      <c r="P3966" s="79">
        <v>45133.343368055554</v>
      </c>
      <c r="Q3966" s="77" t="s">
        <v>4740</v>
      </c>
      <c r="R3966" s="77">
        <v>0</v>
      </c>
      <c r="S3966" s="77">
        <v>0</v>
      </c>
      <c r="T3966" s="77">
        <v>1</v>
      </c>
      <c r="U3966" s="77">
        <v>0</v>
      </c>
      <c r="V3966" s="77">
        <v>70</v>
      </c>
      <c r="W3966" s="82" t="s">
        <v>6940</v>
      </c>
      <c r="X3966" s="77"/>
      <c r="Y3966" s="77"/>
      <c r="Z3966" s="77"/>
      <c r="AA3966" s="77"/>
      <c r="AB3966" s="77"/>
      <c r="AC3966" s="82" t="s">
        <v>8233</v>
      </c>
      <c r="AD3966" s="77" t="s">
        <v>8278</v>
      </c>
      <c r="AE3966" s="80" t="str">
        <f>HYPERLINK("https://twitter.com/rafael__costa__/status/1684114947473567744")</f>
        <v>https://twitter.com/rafael__costa__/status/1684114947473567744</v>
      </c>
      <c r="AF3966" s="79">
        <v>45133.343368055554</v>
      </c>
      <c r="AG3966" s="85">
        <v>45133</v>
      </c>
      <c r="AH3966" s="82" t="s">
        <v>11913</v>
      </c>
      <c r="AI3966" s="77"/>
      <c r="AJ3966" s="77"/>
      <c r="AK3966" s="77"/>
      <c r="AL3966" s="77"/>
      <c r="AM3966" s="77"/>
      <c r="AN3966" s="77"/>
      <c r="AO3966" s="77"/>
      <c r="AP3966" s="77"/>
      <c r="AQ3966" s="77"/>
      <c r="AR3966" s="77"/>
      <c r="AS3966" s="77"/>
      <c r="AT3966" s="77"/>
      <c r="AU3966" s="77"/>
      <c r="AV3966" s="80" t="str">
        <f>HYPERLINK("https://pbs.twimg.com/profile_images/1460727419829116929/1hfB_OTD_normal.jpg")</f>
        <v>https://pbs.twimg.com/profile_images/1460727419829116929/1hfB_OTD_normal.jpg</v>
      </c>
      <c r="AW3966" s="82" t="s">
        <v>17050</v>
      </c>
      <c r="AX3966" s="82" t="s">
        <v>17300</v>
      </c>
      <c r="AY3966" s="82" t="s">
        <v>17383</v>
      </c>
      <c r="AZ3966" s="82" t="s">
        <v>17428</v>
      </c>
      <c r="BA3966" s="82" t="s">
        <v>17385</v>
      </c>
      <c r="BB3966" s="82" t="s">
        <v>17385</v>
      </c>
      <c r="BC3966" s="82" t="s">
        <v>17428</v>
      </c>
      <c r="BD3966" s="82" t="s">
        <v>17383</v>
      </c>
      <c r="BE3966" s="77"/>
      <c r="BF3966" s="77"/>
      <c r="BG3966" s="77"/>
      <c r="BH3966" s="77"/>
      <c r="BI3966" s="77"/>
    </row>
    <row r="3967" spans="1:61" x14ac:dyDescent="0.25">
      <c r="A3967" s="62" t="s">
        <v>707</v>
      </c>
      <c r="B3967" s="62" t="s">
        <v>707</v>
      </c>
      <c r="C3967" s="63"/>
      <c r="D3967" s="64"/>
      <c r="E3967" s="65"/>
      <c r="F3967" s="66"/>
      <c r="G3967" s="63"/>
      <c r="H3967" s="67"/>
      <c r="I3967" s="68"/>
      <c r="J3967" s="68"/>
      <c r="K3967" s="32"/>
      <c r="L3967" s="75">
        <v>3967</v>
      </c>
      <c r="M3967" s="75"/>
      <c r="N3967" s="70"/>
      <c r="O3967" s="77" t="s">
        <v>179</v>
      </c>
      <c r="P3967" s="79">
        <v>45106.352060185185</v>
      </c>
      <c r="Q3967" s="77" t="s">
        <v>4741</v>
      </c>
      <c r="R3967" s="77">
        <v>0</v>
      </c>
      <c r="S3967" s="77">
        <v>0</v>
      </c>
      <c r="T3967" s="77">
        <v>1</v>
      </c>
      <c r="U3967" s="77">
        <v>0</v>
      </c>
      <c r="V3967" s="77">
        <v>32</v>
      </c>
      <c r="W3967" s="82" t="s">
        <v>6941</v>
      </c>
      <c r="X3967" s="77"/>
      <c r="Y3967" s="77"/>
      <c r="Z3967" s="77"/>
      <c r="AA3967" s="77" t="s">
        <v>8176</v>
      </c>
      <c r="AB3967" s="77" t="s">
        <v>8225</v>
      </c>
      <c r="AC3967" s="82" t="s">
        <v>8233</v>
      </c>
      <c r="AD3967" s="77" t="s">
        <v>8278</v>
      </c>
      <c r="AE3967" s="80" t="str">
        <f>HYPERLINK("https://twitter.com/rafael__costa__/status/1674333623200145409")</f>
        <v>https://twitter.com/rafael__costa__/status/1674333623200145409</v>
      </c>
      <c r="AF3967" s="79">
        <v>45106.352060185185</v>
      </c>
      <c r="AG3967" s="85">
        <v>45106</v>
      </c>
      <c r="AH3967" s="82" t="s">
        <v>11908</v>
      </c>
      <c r="AI3967" s="77" t="b">
        <v>0</v>
      </c>
      <c r="AJ3967" s="77"/>
      <c r="AK3967" s="77"/>
      <c r="AL3967" s="77"/>
      <c r="AM3967" s="77"/>
      <c r="AN3967" s="77"/>
      <c r="AO3967" s="77"/>
      <c r="AP3967" s="77"/>
      <c r="AQ3967" s="77" t="s">
        <v>13061</v>
      </c>
      <c r="AR3967" s="77"/>
      <c r="AS3967" s="77"/>
      <c r="AT3967" s="77"/>
      <c r="AU3967" s="77"/>
      <c r="AV3967" s="80" t="str">
        <f>HYPERLINK("https://pbs.twimg.com/media/FzxtjisX0AAS4PX.jpg")</f>
        <v>https://pbs.twimg.com/media/FzxtjisX0AAS4PX.jpg</v>
      </c>
      <c r="AW3967" s="82" t="s">
        <v>17051</v>
      </c>
      <c r="AX3967" s="82" t="s">
        <v>17051</v>
      </c>
      <c r="AY3967" s="77"/>
      <c r="AZ3967" s="82" t="s">
        <v>17385</v>
      </c>
      <c r="BA3967" s="82" t="s">
        <v>17385</v>
      </c>
      <c r="BB3967" s="82" t="s">
        <v>17385</v>
      </c>
      <c r="BC3967" s="82" t="s">
        <v>17051</v>
      </c>
      <c r="BD3967" s="82" t="s">
        <v>17383</v>
      </c>
      <c r="BE3967" s="77"/>
      <c r="BF3967" s="77"/>
      <c r="BG3967" s="77"/>
      <c r="BH3967" s="77"/>
      <c r="BI3967" s="77"/>
    </row>
    <row r="3968" spans="1:61" x14ac:dyDescent="0.25">
      <c r="A3968" s="62" t="s">
        <v>707</v>
      </c>
      <c r="B3968" s="62" t="s">
        <v>707</v>
      </c>
      <c r="C3968" s="63"/>
      <c r="D3968" s="64"/>
      <c r="E3968" s="65"/>
      <c r="F3968" s="66"/>
      <c r="G3968" s="63"/>
      <c r="H3968" s="67"/>
      <c r="I3968" s="68"/>
      <c r="J3968" s="68"/>
      <c r="K3968" s="32"/>
      <c r="L3968" s="75">
        <v>3968</v>
      </c>
      <c r="M3968" s="75"/>
      <c r="N3968" s="70"/>
      <c r="O3968" s="77" t="s">
        <v>179</v>
      </c>
      <c r="P3968" s="79">
        <v>45105.956909722219</v>
      </c>
      <c r="Q3968" s="77" t="s">
        <v>4742</v>
      </c>
      <c r="R3968" s="77">
        <v>0</v>
      </c>
      <c r="S3968" s="77">
        <v>3</v>
      </c>
      <c r="T3968" s="77">
        <v>12</v>
      </c>
      <c r="U3968" s="77">
        <v>0</v>
      </c>
      <c r="V3968" s="77">
        <v>185</v>
      </c>
      <c r="W3968" s="82" t="s">
        <v>6936</v>
      </c>
      <c r="X3968" s="77"/>
      <c r="Y3968" s="77"/>
      <c r="Z3968" s="77"/>
      <c r="AA3968" s="77" t="s">
        <v>8177</v>
      </c>
      <c r="AB3968" s="77" t="s">
        <v>8227</v>
      </c>
      <c r="AC3968" s="82" t="s">
        <v>8233</v>
      </c>
      <c r="AD3968" s="77" t="s">
        <v>8278</v>
      </c>
      <c r="AE3968" s="80" t="str">
        <f>HYPERLINK("https://twitter.com/rafael__costa__/status/1674190427669364736")</f>
        <v>https://twitter.com/rafael__costa__/status/1674190427669364736</v>
      </c>
      <c r="AF3968" s="79">
        <v>45105.956909722219</v>
      </c>
      <c r="AG3968" s="85">
        <v>45105</v>
      </c>
      <c r="AH3968" s="82" t="s">
        <v>11914</v>
      </c>
      <c r="AI3968" s="77" t="b">
        <v>0</v>
      </c>
      <c r="AJ3968" s="77"/>
      <c r="AK3968" s="77"/>
      <c r="AL3968" s="77"/>
      <c r="AM3968" s="77"/>
      <c r="AN3968" s="77"/>
      <c r="AO3968" s="77"/>
      <c r="AP3968" s="77"/>
      <c r="AQ3968" s="77" t="s">
        <v>13062</v>
      </c>
      <c r="AR3968" s="77">
        <v>43933</v>
      </c>
      <c r="AS3968" s="77"/>
      <c r="AT3968" s="77"/>
      <c r="AU3968" s="77"/>
      <c r="AV3968" s="80" t="str">
        <f>HYPERLINK("https://pbs.twimg.com/ext_tw_video_thumb/1674190373780963333/pu/img/wlLiKUFr3gMsWY-m.jpg")</f>
        <v>https://pbs.twimg.com/ext_tw_video_thumb/1674190373780963333/pu/img/wlLiKUFr3gMsWY-m.jpg</v>
      </c>
      <c r="AW3968" s="82" t="s">
        <v>17052</v>
      </c>
      <c r="AX3968" s="82" t="s">
        <v>17052</v>
      </c>
      <c r="AY3968" s="77"/>
      <c r="AZ3968" s="82" t="s">
        <v>17385</v>
      </c>
      <c r="BA3968" s="82" t="s">
        <v>17385</v>
      </c>
      <c r="BB3968" s="82" t="s">
        <v>17385</v>
      </c>
      <c r="BC3968" s="82" t="s">
        <v>17052</v>
      </c>
      <c r="BD3968" s="82" t="s">
        <v>17383</v>
      </c>
      <c r="BE3968" s="77"/>
      <c r="BF3968" s="77"/>
      <c r="BG3968" s="77"/>
      <c r="BH3968" s="77"/>
      <c r="BI3968" s="77"/>
    </row>
    <row r="3969" spans="1:61" x14ac:dyDescent="0.25">
      <c r="A3969" s="62" t="s">
        <v>707</v>
      </c>
      <c r="B3969" s="62" t="s">
        <v>707</v>
      </c>
      <c r="C3969" s="63"/>
      <c r="D3969" s="64"/>
      <c r="E3969" s="65"/>
      <c r="F3969" s="66"/>
      <c r="G3969" s="63"/>
      <c r="H3969" s="67"/>
      <c r="I3969" s="68"/>
      <c r="J3969" s="68"/>
      <c r="K3969" s="32"/>
      <c r="L3969" s="75">
        <v>3969</v>
      </c>
      <c r="M3969" s="75"/>
      <c r="N3969" s="70"/>
      <c r="O3969" s="77" t="s">
        <v>179</v>
      </c>
      <c r="P3969" s="79">
        <v>45104.861539351848</v>
      </c>
      <c r="Q3969" s="77" t="s">
        <v>4743</v>
      </c>
      <c r="R3969" s="77">
        <v>0</v>
      </c>
      <c r="S3969" s="77">
        <v>0</v>
      </c>
      <c r="T3969" s="77">
        <v>1</v>
      </c>
      <c r="U3969" s="77">
        <v>0</v>
      </c>
      <c r="V3969" s="77">
        <v>29</v>
      </c>
      <c r="W3969" s="82" t="s">
        <v>6936</v>
      </c>
      <c r="X3969" s="77"/>
      <c r="Y3969" s="77"/>
      <c r="Z3969" s="77"/>
      <c r="AA3969" s="77" t="s">
        <v>8178</v>
      </c>
      <c r="AB3969" s="77" t="s">
        <v>8225</v>
      </c>
      <c r="AC3969" s="82" t="s">
        <v>8233</v>
      </c>
      <c r="AD3969" s="77" t="s">
        <v>8278</v>
      </c>
      <c r="AE3969" s="80" t="str">
        <f>HYPERLINK("https://twitter.com/rafael__costa__/status/1673793479053303808")</f>
        <v>https://twitter.com/rafael__costa__/status/1673793479053303808</v>
      </c>
      <c r="AF3969" s="79">
        <v>45104.861539351848</v>
      </c>
      <c r="AG3969" s="85">
        <v>45104</v>
      </c>
      <c r="AH3969" s="82" t="s">
        <v>11271</v>
      </c>
      <c r="AI3969" s="77" t="b">
        <v>0</v>
      </c>
      <c r="AJ3969" s="77"/>
      <c r="AK3969" s="77"/>
      <c r="AL3969" s="77"/>
      <c r="AM3969" s="77"/>
      <c r="AN3969" s="77"/>
      <c r="AO3969" s="77"/>
      <c r="AP3969" s="77"/>
      <c r="AQ3969" s="77" t="s">
        <v>13063</v>
      </c>
      <c r="AR3969" s="77"/>
      <c r="AS3969" s="77"/>
      <c r="AT3969" s="77"/>
      <c r="AU3969" s="77"/>
      <c r="AV3969" s="80" t="str">
        <f>HYPERLINK("https://pbs.twimg.com/media/FzqCTBqWwAMOoJ_.jpg")</f>
        <v>https://pbs.twimg.com/media/FzqCTBqWwAMOoJ_.jpg</v>
      </c>
      <c r="AW3969" s="82" t="s">
        <v>17053</v>
      </c>
      <c r="AX3969" s="82" t="s">
        <v>17053</v>
      </c>
      <c r="AY3969" s="77"/>
      <c r="AZ3969" s="82" t="s">
        <v>17385</v>
      </c>
      <c r="BA3969" s="82" t="s">
        <v>17385</v>
      </c>
      <c r="BB3969" s="82" t="s">
        <v>17385</v>
      </c>
      <c r="BC3969" s="82" t="s">
        <v>17053</v>
      </c>
      <c r="BD3969" s="82" t="s">
        <v>17383</v>
      </c>
      <c r="BE3969" s="77"/>
      <c r="BF3969" s="77"/>
      <c r="BG3969" s="77"/>
      <c r="BH3969" s="77"/>
      <c r="BI3969" s="77"/>
    </row>
    <row r="3970" spans="1:61" x14ac:dyDescent="0.25">
      <c r="A3970" s="62" t="s">
        <v>707</v>
      </c>
      <c r="B3970" s="62" t="s">
        <v>707</v>
      </c>
      <c r="C3970" s="63"/>
      <c r="D3970" s="64"/>
      <c r="E3970" s="65"/>
      <c r="F3970" s="66"/>
      <c r="G3970" s="63"/>
      <c r="H3970" s="67"/>
      <c r="I3970" s="68"/>
      <c r="J3970" s="68"/>
      <c r="K3970" s="32"/>
      <c r="L3970" s="75">
        <v>3970</v>
      </c>
      <c r="M3970" s="75"/>
      <c r="N3970" s="70"/>
      <c r="O3970" s="77" t="s">
        <v>179</v>
      </c>
      <c r="P3970" s="79">
        <v>45104.646516203706</v>
      </c>
      <c r="Q3970" s="77" t="s">
        <v>4744</v>
      </c>
      <c r="R3970" s="77">
        <v>1</v>
      </c>
      <c r="S3970" s="77">
        <v>1</v>
      </c>
      <c r="T3970" s="77">
        <v>4</v>
      </c>
      <c r="U3970" s="77">
        <v>0</v>
      </c>
      <c r="V3970" s="77">
        <v>142</v>
      </c>
      <c r="W3970" s="82" t="s">
        <v>6936</v>
      </c>
      <c r="X3970" s="77"/>
      <c r="Y3970" s="77"/>
      <c r="Z3970" s="77"/>
      <c r="AA3970" s="77" t="s">
        <v>8179</v>
      </c>
      <c r="AB3970" s="77" t="s">
        <v>8227</v>
      </c>
      <c r="AC3970" s="82" t="s">
        <v>8233</v>
      </c>
      <c r="AD3970" s="77" t="s">
        <v>8278</v>
      </c>
      <c r="AE3970" s="80" t="str">
        <f>HYPERLINK("https://twitter.com/rafael__costa__/status/1673715557932081160")</f>
        <v>https://twitter.com/rafael__costa__/status/1673715557932081160</v>
      </c>
      <c r="AF3970" s="79">
        <v>45104.646516203706</v>
      </c>
      <c r="AG3970" s="85">
        <v>45104</v>
      </c>
      <c r="AH3970" s="82" t="s">
        <v>11915</v>
      </c>
      <c r="AI3970" s="77" t="b">
        <v>0</v>
      </c>
      <c r="AJ3970" s="77"/>
      <c r="AK3970" s="77"/>
      <c r="AL3970" s="77"/>
      <c r="AM3970" s="77"/>
      <c r="AN3970" s="77"/>
      <c r="AO3970" s="77"/>
      <c r="AP3970" s="77"/>
      <c r="AQ3970" s="77" t="s">
        <v>13064</v>
      </c>
      <c r="AR3970" s="77">
        <v>11817</v>
      </c>
      <c r="AS3970" s="77"/>
      <c r="AT3970" s="77"/>
      <c r="AU3970" s="77"/>
      <c r="AV3970" s="80" t="str">
        <f>HYPERLINK("https://pbs.twimg.com/ext_tw_video_thumb/1673715526827139077/pu/img/ut4nYNanIkemKtmI.jpg")</f>
        <v>https://pbs.twimg.com/ext_tw_video_thumb/1673715526827139077/pu/img/ut4nYNanIkemKtmI.jpg</v>
      </c>
      <c r="AW3970" s="82" t="s">
        <v>17054</v>
      </c>
      <c r="AX3970" s="82" t="s">
        <v>17054</v>
      </c>
      <c r="AY3970" s="77"/>
      <c r="AZ3970" s="82" t="s">
        <v>17385</v>
      </c>
      <c r="BA3970" s="82" t="s">
        <v>17385</v>
      </c>
      <c r="BB3970" s="82" t="s">
        <v>17385</v>
      </c>
      <c r="BC3970" s="82" t="s">
        <v>17054</v>
      </c>
      <c r="BD3970" s="82" t="s">
        <v>17383</v>
      </c>
      <c r="BE3970" s="77"/>
      <c r="BF3970" s="77"/>
      <c r="BG3970" s="77"/>
      <c r="BH3970" s="77"/>
      <c r="BI3970" s="77"/>
    </row>
    <row r="3971" spans="1:61" x14ac:dyDescent="0.25">
      <c r="A3971" s="62" t="s">
        <v>707</v>
      </c>
      <c r="B3971" s="62" t="s">
        <v>707</v>
      </c>
      <c r="C3971" s="63"/>
      <c r="D3971" s="64"/>
      <c r="E3971" s="65"/>
      <c r="F3971" s="66"/>
      <c r="G3971" s="63"/>
      <c r="H3971" s="67"/>
      <c r="I3971" s="68"/>
      <c r="J3971" s="68"/>
      <c r="K3971" s="32"/>
      <c r="L3971" s="75">
        <v>3971</v>
      </c>
      <c r="M3971" s="75"/>
      <c r="N3971" s="70"/>
      <c r="O3971" s="77" t="s">
        <v>179</v>
      </c>
      <c r="P3971" s="79">
        <v>45083.864502314813</v>
      </c>
      <c r="Q3971" s="77" t="s">
        <v>4745</v>
      </c>
      <c r="R3971" s="77">
        <v>0</v>
      </c>
      <c r="S3971" s="77">
        <v>1</v>
      </c>
      <c r="T3971" s="77">
        <v>0</v>
      </c>
      <c r="U3971" s="77">
        <v>0</v>
      </c>
      <c r="V3971" s="77">
        <v>156</v>
      </c>
      <c r="W3971" s="82" t="s">
        <v>6942</v>
      </c>
      <c r="X3971" s="77"/>
      <c r="Y3971" s="77"/>
      <c r="Z3971" s="77"/>
      <c r="AA3971" s="77" t="s">
        <v>8180</v>
      </c>
      <c r="AB3971" s="77" t="s">
        <v>8227</v>
      </c>
      <c r="AC3971" s="82" t="s">
        <v>8233</v>
      </c>
      <c r="AD3971" s="77" t="s">
        <v>8278</v>
      </c>
      <c r="AE3971" s="80" t="str">
        <f>HYPERLINK("https://twitter.com/rafael__costa__/status/1666184406225018883")</f>
        <v>https://twitter.com/rafael__costa__/status/1666184406225018883</v>
      </c>
      <c r="AF3971" s="79">
        <v>45083.864502314813</v>
      </c>
      <c r="AG3971" s="85">
        <v>45083</v>
      </c>
      <c r="AH3971" s="82" t="s">
        <v>11916</v>
      </c>
      <c r="AI3971" s="77" t="b">
        <v>0</v>
      </c>
      <c r="AJ3971" s="77"/>
      <c r="AK3971" s="77"/>
      <c r="AL3971" s="77"/>
      <c r="AM3971" s="77"/>
      <c r="AN3971" s="77"/>
      <c r="AO3971" s="77"/>
      <c r="AP3971" s="77"/>
      <c r="AQ3971" s="77" t="s">
        <v>13065</v>
      </c>
      <c r="AR3971" s="77">
        <v>36166</v>
      </c>
      <c r="AS3971" s="77"/>
      <c r="AT3971" s="77"/>
      <c r="AU3971" s="77"/>
      <c r="AV3971" s="80" t="str">
        <f>HYPERLINK("https://pbs.twimg.com/ext_tw_video_thumb/1666184343344095237/pu/img/lxJYLSr7P0-P6Ts2.jpg")</f>
        <v>https://pbs.twimg.com/ext_tw_video_thumb/1666184343344095237/pu/img/lxJYLSr7P0-P6Ts2.jpg</v>
      </c>
      <c r="AW3971" s="82" t="s">
        <v>17055</v>
      </c>
      <c r="AX3971" s="82" t="s">
        <v>17055</v>
      </c>
      <c r="AY3971" s="77"/>
      <c r="AZ3971" s="82" t="s">
        <v>17385</v>
      </c>
      <c r="BA3971" s="82" t="s">
        <v>17385</v>
      </c>
      <c r="BB3971" s="82" t="s">
        <v>17385</v>
      </c>
      <c r="BC3971" s="82" t="s">
        <v>17055</v>
      </c>
      <c r="BD3971" s="82" t="s">
        <v>17383</v>
      </c>
      <c r="BE3971" s="77"/>
      <c r="BF3971" s="77"/>
      <c r="BG3971" s="77"/>
      <c r="BH3971" s="77"/>
      <c r="BI3971" s="77"/>
    </row>
    <row r="3972" spans="1:61" x14ac:dyDescent="0.25">
      <c r="A3972" s="62" t="s">
        <v>707</v>
      </c>
      <c r="B3972" s="62" t="s">
        <v>707</v>
      </c>
      <c r="C3972" s="63"/>
      <c r="D3972" s="64"/>
      <c r="E3972" s="65"/>
      <c r="F3972" s="66"/>
      <c r="G3972" s="63"/>
      <c r="H3972" s="67"/>
      <c r="I3972" s="68"/>
      <c r="J3972" s="68"/>
      <c r="K3972" s="32"/>
      <c r="L3972" s="75">
        <v>3972</v>
      </c>
      <c r="M3972" s="75"/>
      <c r="N3972" s="70"/>
      <c r="O3972" s="77" t="s">
        <v>179</v>
      </c>
      <c r="P3972" s="79">
        <v>45083.700775462959</v>
      </c>
      <c r="Q3972" s="77" t="s">
        <v>4746</v>
      </c>
      <c r="R3972" s="77">
        <v>0</v>
      </c>
      <c r="S3972" s="77">
        <v>0</v>
      </c>
      <c r="T3972" s="77">
        <v>0</v>
      </c>
      <c r="U3972" s="77">
        <v>0</v>
      </c>
      <c r="V3972" s="77">
        <v>19</v>
      </c>
      <c r="W3972" s="82" t="s">
        <v>6943</v>
      </c>
      <c r="X3972" s="77"/>
      <c r="Y3972" s="77"/>
      <c r="Z3972" s="77"/>
      <c r="AA3972" s="77" t="s">
        <v>8181</v>
      </c>
      <c r="AB3972" s="77" t="s">
        <v>8225</v>
      </c>
      <c r="AC3972" s="82" t="s">
        <v>8233</v>
      </c>
      <c r="AD3972" s="77" t="s">
        <v>8278</v>
      </c>
      <c r="AE3972" s="80" t="str">
        <f>HYPERLINK("https://twitter.com/rafael__costa__/status/1666125074846318593")</f>
        <v>https://twitter.com/rafael__costa__/status/1666125074846318593</v>
      </c>
      <c r="AF3972" s="79">
        <v>45083.700775462959</v>
      </c>
      <c r="AG3972" s="85">
        <v>45083</v>
      </c>
      <c r="AH3972" s="82" t="s">
        <v>11917</v>
      </c>
      <c r="AI3972" s="77" t="b">
        <v>0</v>
      </c>
      <c r="AJ3972" s="77"/>
      <c r="AK3972" s="77"/>
      <c r="AL3972" s="77"/>
      <c r="AM3972" s="77"/>
      <c r="AN3972" s="77"/>
      <c r="AO3972" s="77"/>
      <c r="AP3972" s="77"/>
      <c r="AQ3972" s="77" t="s">
        <v>13066</v>
      </c>
      <c r="AR3972" s="77"/>
      <c r="AS3972" s="77"/>
      <c r="AT3972" s="77"/>
      <c r="AU3972" s="77"/>
      <c r="AV3972" s="80" t="str">
        <f>HYPERLINK("https://pbs.twimg.com/media/Fx9D7EoWcAADtUz.jpg")</f>
        <v>https://pbs.twimg.com/media/Fx9D7EoWcAADtUz.jpg</v>
      </c>
      <c r="AW3972" s="82" t="s">
        <v>17056</v>
      </c>
      <c r="AX3972" s="82" t="s">
        <v>17056</v>
      </c>
      <c r="AY3972" s="77"/>
      <c r="AZ3972" s="82" t="s">
        <v>17385</v>
      </c>
      <c r="BA3972" s="82" t="s">
        <v>17385</v>
      </c>
      <c r="BB3972" s="82" t="s">
        <v>17385</v>
      </c>
      <c r="BC3972" s="82" t="s">
        <v>17056</v>
      </c>
      <c r="BD3972" s="82" t="s">
        <v>17383</v>
      </c>
      <c r="BE3972" s="77"/>
      <c r="BF3972" s="77"/>
      <c r="BG3972" s="77"/>
      <c r="BH3972" s="77"/>
      <c r="BI3972" s="77"/>
    </row>
    <row r="3973" spans="1:61" x14ac:dyDescent="0.25">
      <c r="A3973" s="62" t="s">
        <v>707</v>
      </c>
      <c r="B3973" s="62" t="s">
        <v>707</v>
      </c>
      <c r="C3973" s="63"/>
      <c r="D3973" s="64"/>
      <c r="E3973" s="65"/>
      <c r="F3973" s="66"/>
      <c r="G3973" s="63"/>
      <c r="H3973" s="67"/>
      <c r="I3973" s="68"/>
      <c r="J3973" s="68"/>
      <c r="K3973" s="32"/>
      <c r="L3973" s="75">
        <v>3973</v>
      </c>
      <c r="M3973" s="75"/>
      <c r="N3973" s="70"/>
      <c r="O3973" s="77" t="s">
        <v>800</v>
      </c>
      <c r="P3973" s="79">
        <v>45082.62400462963</v>
      </c>
      <c r="Q3973" s="77" t="s">
        <v>4747</v>
      </c>
      <c r="R3973" s="77">
        <v>0</v>
      </c>
      <c r="S3973" s="77">
        <v>1</v>
      </c>
      <c r="T3973" s="77">
        <v>1</v>
      </c>
      <c r="U3973" s="77">
        <v>0</v>
      </c>
      <c r="V3973" s="77">
        <v>141</v>
      </c>
      <c r="W3973" s="82" t="s">
        <v>6944</v>
      </c>
      <c r="X3973" s="77"/>
      <c r="Y3973" s="77"/>
      <c r="Z3973" s="77"/>
      <c r="AA3973" s="77" t="s">
        <v>8182</v>
      </c>
      <c r="AB3973" s="77" t="s">
        <v>8225</v>
      </c>
      <c r="AC3973" s="82" t="s">
        <v>8233</v>
      </c>
      <c r="AD3973" s="77" t="s">
        <v>8278</v>
      </c>
      <c r="AE3973" s="80" t="str">
        <f>HYPERLINK("https://twitter.com/rafael__costa__/status/1665734867504574468")</f>
        <v>https://twitter.com/rafael__costa__/status/1665734867504574468</v>
      </c>
      <c r="AF3973" s="79">
        <v>45082.62400462963</v>
      </c>
      <c r="AG3973" s="85">
        <v>45082</v>
      </c>
      <c r="AH3973" s="82" t="s">
        <v>11918</v>
      </c>
      <c r="AI3973" s="77" t="b">
        <v>0</v>
      </c>
      <c r="AJ3973" s="77"/>
      <c r="AK3973" s="77"/>
      <c r="AL3973" s="77"/>
      <c r="AM3973" s="77"/>
      <c r="AN3973" s="77"/>
      <c r="AO3973" s="77"/>
      <c r="AP3973" s="77"/>
      <c r="AQ3973" s="77" t="s">
        <v>13067</v>
      </c>
      <c r="AR3973" s="77"/>
      <c r="AS3973" s="77"/>
      <c r="AT3973" s="77"/>
      <c r="AU3973" s="77"/>
      <c r="AV3973" s="80" t="str">
        <f>HYPERLINK("https://pbs.twimg.com/media/Fx3hCGyWIAAcFqI.jpg")</f>
        <v>https://pbs.twimg.com/media/Fx3hCGyWIAAcFqI.jpg</v>
      </c>
      <c r="AW3973" s="82" t="s">
        <v>17057</v>
      </c>
      <c r="AX3973" s="82" t="s">
        <v>17301</v>
      </c>
      <c r="AY3973" s="82" t="s">
        <v>17383</v>
      </c>
      <c r="AZ3973" s="82" t="s">
        <v>17301</v>
      </c>
      <c r="BA3973" s="82" t="s">
        <v>17385</v>
      </c>
      <c r="BB3973" s="82" t="s">
        <v>17385</v>
      </c>
      <c r="BC3973" s="82" t="s">
        <v>17301</v>
      </c>
      <c r="BD3973" s="82" t="s">
        <v>17383</v>
      </c>
      <c r="BE3973" s="77"/>
      <c r="BF3973" s="77"/>
      <c r="BG3973" s="77"/>
      <c r="BH3973" s="77"/>
      <c r="BI3973" s="77"/>
    </row>
    <row r="3974" spans="1:61" x14ac:dyDescent="0.25">
      <c r="A3974" s="62" t="s">
        <v>707</v>
      </c>
      <c r="B3974" s="62" t="s">
        <v>707</v>
      </c>
      <c r="C3974" s="63"/>
      <c r="D3974" s="64"/>
      <c r="E3974" s="65"/>
      <c r="F3974" s="66"/>
      <c r="G3974" s="63"/>
      <c r="H3974" s="67"/>
      <c r="I3974" s="68"/>
      <c r="J3974" s="68"/>
      <c r="K3974" s="32"/>
      <c r="L3974" s="75">
        <v>3974</v>
      </c>
      <c r="M3974" s="75"/>
      <c r="N3974" s="70"/>
      <c r="O3974" s="77" t="s">
        <v>179</v>
      </c>
      <c r="P3974" s="79">
        <v>45068.354525462964</v>
      </c>
      <c r="Q3974" s="77" t="s">
        <v>4748</v>
      </c>
      <c r="R3974" s="77">
        <v>0</v>
      </c>
      <c r="S3974" s="77">
        <v>1</v>
      </c>
      <c r="T3974" s="77">
        <v>4</v>
      </c>
      <c r="U3974" s="77">
        <v>0</v>
      </c>
      <c r="V3974" s="77">
        <v>72</v>
      </c>
      <c r="W3974" s="82" t="s">
        <v>6945</v>
      </c>
      <c r="X3974" s="77"/>
      <c r="Y3974" s="77"/>
      <c r="Z3974" s="77"/>
      <c r="AA3974" s="77" t="s">
        <v>8183</v>
      </c>
      <c r="AB3974" s="77" t="s">
        <v>8225</v>
      </c>
      <c r="AC3974" s="82" t="s">
        <v>8233</v>
      </c>
      <c r="AD3974" s="77" t="s">
        <v>8278</v>
      </c>
      <c r="AE3974" s="80" t="str">
        <f>HYPERLINK("https://twitter.com/rafael__costa__/status/1660563780332298244")</f>
        <v>https://twitter.com/rafael__costa__/status/1660563780332298244</v>
      </c>
      <c r="AF3974" s="79">
        <v>45068.354525462964</v>
      </c>
      <c r="AG3974" s="85">
        <v>45068</v>
      </c>
      <c r="AH3974" s="82" t="s">
        <v>11919</v>
      </c>
      <c r="AI3974" s="77" t="b">
        <v>0</v>
      </c>
      <c r="AJ3974" s="77"/>
      <c r="AK3974" s="77"/>
      <c r="AL3974" s="77"/>
      <c r="AM3974" s="77"/>
      <c r="AN3974" s="77"/>
      <c r="AO3974" s="77"/>
      <c r="AP3974" s="77"/>
      <c r="AQ3974" s="77" t="s">
        <v>13068</v>
      </c>
      <c r="AR3974" s="77"/>
      <c r="AS3974" s="77"/>
      <c r="AT3974" s="77"/>
      <c r="AU3974" s="77"/>
      <c r="AV3974" s="80" t="str">
        <f>HYPERLINK("https://pbs.twimg.com/media/FwuB9HYWYAAkBmP.jpg")</f>
        <v>https://pbs.twimg.com/media/FwuB9HYWYAAkBmP.jpg</v>
      </c>
      <c r="AW3974" s="82" t="s">
        <v>17058</v>
      </c>
      <c r="AX3974" s="82" t="s">
        <v>17058</v>
      </c>
      <c r="AY3974" s="77"/>
      <c r="AZ3974" s="82" t="s">
        <v>17385</v>
      </c>
      <c r="BA3974" s="82" t="s">
        <v>17385</v>
      </c>
      <c r="BB3974" s="82" t="s">
        <v>17385</v>
      </c>
      <c r="BC3974" s="82" t="s">
        <v>17058</v>
      </c>
      <c r="BD3974" s="82" t="s">
        <v>17383</v>
      </c>
      <c r="BE3974" s="77"/>
      <c r="BF3974" s="77"/>
      <c r="BG3974" s="77"/>
      <c r="BH3974" s="77"/>
      <c r="BI3974" s="77"/>
    </row>
    <row r="3975" spans="1:61" x14ac:dyDescent="0.25">
      <c r="A3975" s="62" t="s">
        <v>707</v>
      </c>
      <c r="B3975" s="62" t="s">
        <v>707</v>
      </c>
      <c r="C3975" s="63"/>
      <c r="D3975" s="64"/>
      <c r="E3975" s="65"/>
      <c r="F3975" s="66"/>
      <c r="G3975" s="63"/>
      <c r="H3975" s="67"/>
      <c r="I3975" s="68"/>
      <c r="J3975" s="68"/>
      <c r="K3975" s="32"/>
      <c r="L3975" s="75">
        <v>3975</v>
      </c>
      <c r="M3975" s="75"/>
      <c r="N3975" s="70"/>
      <c r="O3975" s="77" t="s">
        <v>179</v>
      </c>
      <c r="P3975" s="79">
        <v>45152.0703125</v>
      </c>
      <c r="Q3975" s="77" t="s">
        <v>4749</v>
      </c>
      <c r="R3975" s="77">
        <v>0</v>
      </c>
      <c r="S3975" s="77">
        <v>0</v>
      </c>
      <c r="T3975" s="77">
        <v>0</v>
      </c>
      <c r="U3975" s="77">
        <v>0</v>
      </c>
      <c r="V3975" s="77">
        <v>81</v>
      </c>
      <c r="W3975" s="82" t="s">
        <v>6936</v>
      </c>
      <c r="X3975" s="77"/>
      <c r="Y3975" s="77"/>
      <c r="Z3975" s="77"/>
      <c r="AA3975" s="77" t="s">
        <v>8184</v>
      </c>
      <c r="AB3975" s="77" t="s">
        <v>8227</v>
      </c>
      <c r="AC3975" s="82" t="s">
        <v>8233</v>
      </c>
      <c r="AD3975" s="77" t="s">
        <v>8278</v>
      </c>
      <c r="AE3975" s="80" t="str">
        <f>HYPERLINK("https://twitter.com/rafael__costa__/status/1690901366913335296")</f>
        <v>https://twitter.com/rafael__costa__/status/1690901366913335296</v>
      </c>
      <c r="AF3975" s="79">
        <v>45152.0703125</v>
      </c>
      <c r="AG3975" s="85">
        <v>45152</v>
      </c>
      <c r="AH3975" s="82" t="s">
        <v>11920</v>
      </c>
      <c r="AI3975" s="77" t="b">
        <v>0</v>
      </c>
      <c r="AJ3975" s="77"/>
      <c r="AK3975" s="77"/>
      <c r="AL3975" s="77"/>
      <c r="AM3975" s="77"/>
      <c r="AN3975" s="77"/>
      <c r="AO3975" s="77"/>
      <c r="AP3975" s="77"/>
      <c r="AQ3975" s="77" t="s">
        <v>13069</v>
      </c>
      <c r="AR3975" s="77">
        <v>77600</v>
      </c>
      <c r="AS3975" s="77"/>
      <c r="AT3975" s="77"/>
      <c r="AU3975" s="77"/>
      <c r="AV3975" s="80" t="str">
        <f>HYPERLINK("https://pbs.twimg.com/ext_tw_video_thumb/1690901195114618881/pu/img/sZIJyaNe613V59Ja.jpg")</f>
        <v>https://pbs.twimg.com/ext_tw_video_thumb/1690901195114618881/pu/img/sZIJyaNe613V59Ja.jpg</v>
      </c>
      <c r="AW3975" s="82" t="s">
        <v>17059</v>
      </c>
      <c r="AX3975" s="82" t="s">
        <v>17059</v>
      </c>
      <c r="AY3975" s="77"/>
      <c r="AZ3975" s="82" t="s">
        <v>17385</v>
      </c>
      <c r="BA3975" s="82" t="s">
        <v>17385</v>
      </c>
      <c r="BB3975" s="82" t="s">
        <v>17385</v>
      </c>
      <c r="BC3975" s="82" t="s">
        <v>17059</v>
      </c>
      <c r="BD3975" s="82" t="s">
        <v>17383</v>
      </c>
      <c r="BE3975" s="77"/>
      <c r="BF3975" s="77"/>
      <c r="BG3975" s="77"/>
      <c r="BH3975" s="77"/>
      <c r="BI3975" s="77"/>
    </row>
    <row r="3976" spans="1:61" x14ac:dyDescent="0.25">
      <c r="A3976" s="62" t="s">
        <v>707</v>
      </c>
      <c r="B3976" s="62" t="s">
        <v>707</v>
      </c>
      <c r="C3976" s="63"/>
      <c r="D3976" s="64"/>
      <c r="E3976" s="65"/>
      <c r="F3976" s="66"/>
      <c r="G3976" s="63"/>
      <c r="H3976" s="67"/>
      <c r="I3976" s="68"/>
      <c r="J3976" s="68"/>
      <c r="K3976" s="32"/>
      <c r="L3976" s="75">
        <v>3976</v>
      </c>
      <c r="M3976" s="75"/>
      <c r="N3976" s="70"/>
      <c r="O3976" s="77" t="s">
        <v>179</v>
      </c>
      <c r="P3976" s="79">
        <v>45108.785983796297</v>
      </c>
      <c r="Q3976" s="77" t="s">
        <v>4750</v>
      </c>
      <c r="R3976" s="77">
        <v>0</v>
      </c>
      <c r="S3976" s="77">
        <v>0</v>
      </c>
      <c r="T3976" s="77">
        <v>0</v>
      </c>
      <c r="U3976" s="77">
        <v>0</v>
      </c>
      <c r="V3976" s="77">
        <v>65</v>
      </c>
      <c r="W3976" s="82" t="s">
        <v>6946</v>
      </c>
      <c r="X3976" s="77"/>
      <c r="Y3976" s="77"/>
      <c r="Z3976" s="77"/>
      <c r="AA3976" s="77" t="s">
        <v>8185</v>
      </c>
      <c r="AB3976" s="77" t="s">
        <v>8227</v>
      </c>
      <c r="AC3976" s="82" t="s">
        <v>8233</v>
      </c>
      <c r="AD3976" s="77" t="s">
        <v>8278</v>
      </c>
      <c r="AE3976" s="80" t="str">
        <f>HYPERLINK("https://twitter.com/rafael__costa__/status/1675215647490359296")</f>
        <v>https://twitter.com/rafael__costa__/status/1675215647490359296</v>
      </c>
      <c r="AF3976" s="79">
        <v>45108.785983796297</v>
      </c>
      <c r="AG3976" s="85">
        <v>45108</v>
      </c>
      <c r="AH3976" s="82" t="s">
        <v>9502</v>
      </c>
      <c r="AI3976" s="77" t="b">
        <v>0</v>
      </c>
      <c r="AJ3976" s="77"/>
      <c r="AK3976" s="77"/>
      <c r="AL3976" s="77"/>
      <c r="AM3976" s="77"/>
      <c r="AN3976" s="77"/>
      <c r="AO3976" s="77"/>
      <c r="AP3976" s="77"/>
      <c r="AQ3976" s="77" t="s">
        <v>13070</v>
      </c>
      <c r="AR3976" s="77">
        <v>29766</v>
      </c>
      <c r="AS3976" s="77"/>
      <c r="AT3976" s="77"/>
      <c r="AU3976" s="77"/>
      <c r="AV3976" s="80" t="str">
        <f>HYPERLINK("https://pbs.twimg.com/ext_tw_video_thumb/1675215589302849536/pu/img/ocySAfQHAmIR8a0v.jpg")</f>
        <v>https://pbs.twimg.com/ext_tw_video_thumb/1675215589302849536/pu/img/ocySAfQHAmIR8a0v.jpg</v>
      </c>
      <c r="AW3976" s="82" t="s">
        <v>17060</v>
      </c>
      <c r="AX3976" s="82" t="s">
        <v>17060</v>
      </c>
      <c r="AY3976" s="77"/>
      <c r="AZ3976" s="82" t="s">
        <v>17385</v>
      </c>
      <c r="BA3976" s="82" t="s">
        <v>17385</v>
      </c>
      <c r="BB3976" s="82" t="s">
        <v>17385</v>
      </c>
      <c r="BC3976" s="82" t="s">
        <v>17060</v>
      </c>
      <c r="BD3976" s="82" t="s">
        <v>17383</v>
      </c>
      <c r="BE3976" s="77"/>
      <c r="BF3976" s="77"/>
      <c r="BG3976" s="77"/>
      <c r="BH3976" s="77"/>
      <c r="BI3976" s="77"/>
    </row>
    <row r="3977" spans="1:61" x14ac:dyDescent="0.25">
      <c r="A3977" s="62" t="s">
        <v>707</v>
      </c>
      <c r="B3977" s="62" t="s">
        <v>707</v>
      </c>
      <c r="C3977" s="63"/>
      <c r="D3977" s="64"/>
      <c r="E3977" s="65"/>
      <c r="F3977" s="66"/>
      <c r="G3977" s="63"/>
      <c r="H3977" s="67"/>
      <c r="I3977" s="68"/>
      <c r="J3977" s="68"/>
      <c r="K3977" s="32"/>
      <c r="L3977" s="75">
        <v>3977</v>
      </c>
      <c r="M3977" s="75"/>
      <c r="N3977" s="70"/>
      <c r="O3977" s="77" t="s">
        <v>179</v>
      </c>
      <c r="P3977" s="79">
        <v>45084.641342592593</v>
      </c>
      <c r="Q3977" s="77" t="s">
        <v>4751</v>
      </c>
      <c r="R3977" s="77">
        <v>0</v>
      </c>
      <c r="S3977" s="77">
        <v>0</v>
      </c>
      <c r="T3977" s="77">
        <v>0</v>
      </c>
      <c r="U3977" s="77">
        <v>0</v>
      </c>
      <c r="V3977" s="77">
        <v>38</v>
      </c>
      <c r="W3977" s="82" t="s">
        <v>6947</v>
      </c>
      <c r="X3977" s="77"/>
      <c r="Y3977" s="77"/>
      <c r="Z3977" s="77"/>
      <c r="AA3977" s="77" t="s">
        <v>8186</v>
      </c>
      <c r="AB3977" s="77" t="s">
        <v>8225</v>
      </c>
      <c r="AC3977" s="82" t="s">
        <v>8233</v>
      </c>
      <c r="AD3977" s="77" t="s">
        <v>8278</v>
      </c>
      <c r="AE3977" s="80" t="str">
        <f>HYPERLINK("https://twitter.com/rafael__costa__/status/1666465925590130688")</f>
        <v>https://twitter.com/rafael__costa__/status/1666465925590130688</v>
      </c>
      <c r="AF3977" s="79">
        <v>45084.641342592593</v>
      </c>
      <c r="AG3977" s="85">
        <v>45084</v>
      </c>
      <c r="AH3977" s="82" t="s">
        <v>11921</v>
      </c>
      <c r="AI3977" s="77" t="b">
        <v>0</v>
      </c>
      <c r="AJ3977" s="77"/>
      <c r="AK3977" s="77"/>
      <c r="AL3977" s="77"/>
      <c r="AM3977" s="77"/>
      <c r="AN3977" s="77"/>
      <c r="AO3977" s="77"/>
      <c r="AP3977" s="77"/>
      <c r="AQ3977" s="77" t="s">
        <v>13071</v>
      </c>
      <c r="AR3977" s="77"/>
      <c r="AS3977" s="77"/>
      <c r="AT3977" s="77"/>
      <c r="AU3977" s="77"/>
      <c r="AV3977" s="80" t="str">
        <f>HYPERLINK("https://pbs.twimg.com/media/FyB563KXgAEgNjp.jpg")</f>
        <v>https://pbs.twimg.com/media/FyB563KXgAEgNjp.jpg</v>
      </c>
      <c r="AW3977" s="82" t="s">
        <v>17061</v>
      </c>
      <c r="AX3977" s="82" t="s">
        <v>17061</v>
      </c>
      <c r="AY3977" s="77"/>
      <c r="AZ3977" s="82" t="s">
        <v>17385</v>
      </c>
      <c r="BA3977" s="82" t="s">
        <v>17385</v>
      </c>
      <c r="BB3977" s="82" t="s">
        <v>17385</v>
      </c>
      <c r="BC3977" s="82" t="s">
        <v>17061</v>
      </c>
      <c r="BD3977" s="82" t="s">
        <v>17383</v>
      </c>
      <c r="BE3977" s="77"/>
      <c r="BF3977" s="77"/>
      <c r="BG3977" s="77"/>
      <c r="BH3977" s="77"/>
      <c r="BI3977" s="77"/>
    </row>
    <row r="3978" spans="1:61" x14ac:dyDescent="0.25">
      <c r="A3978" s="62" t="s">
        <v>707</v>
      </c>
      <c r="B3978" s="62" t="s">
        <v>707</v>
      </c>
      <c r="C3978" s="63"/>
      <c r="D3978" s="64"/>
      <c r="E3978" s="65"/>
      <c r="F3978" s="66"/>
      <c r="G3978" s="63"/>
      <c r="H3978" s="67"/>
      <c r="I3978" s="68"/>
      <c r="J3978" s="68"/>
      <c r="K3978" s="32"/>
      <c r="L3978" s="75">
        <v>3978</v>
      </c>
      <c r="M3978" s="75"/>
      <c r="N3978" s="70"/>
      <c r="O3978" s="77" t="s">
        <v>179</v>
      </c>
      <c r="P3978" s="79">
        <v>45053.577581018515</v>
      </c>
      <c r="Q3978" s="77" t="s">
        <v>4752</v>
      </c>
      <c r="R3978" s="77">
        <v>0</v>
      </c>
      <c r="S3978" s="77">
        <v>1</v>
      </c>
      <c r="T3978" s="77">
        <v>2</v>
      </c>
      <c r="U3978" s="77">
        <v>0</v>
      </c>
      <c r="V3978" s="77">
        <v>53</v>
      </c>
      <c r="W3978" s="82" t="s">
        <v>6936</v>
      </c>
      <c r="X3978" s="77"/>
      <c r="Y3978" s="77"/>
      <c r="Z3978" s="77"/>
      <c r="AA3978" s="77" t="s">
        <v>8187</v>
      </c>
      <c r="AB3978" s="77" t="s">
        <v>8225</v>
      </c>
      <c r="AC3978" s="82" t="s">
        <v>8233</v>
      </c>
      <c r="AD3978" s="77" t="s">
        <v>8278</v>
      </c>
      <c r="AE3978" s="80" t="str">
        <f>HYPERLINK("https://twitter.com/rafael__costa__/status/1655208793041403904")</f>
        <v>https://twitter.com/rafael__costa__/status/1655208793041403904</v>
      </c>
      <c r="AF3978" s="79">
        <v>45053.577581018515</v>
      </c>
      <c r="AG3978" s="85">
        <v>45053</v>
      </c>
      <c r="AH3978" s="82" t="s">
        <v>11922</v>
      </c>
      <c r="AI3978" s="77" t="b">
        <v>0</v>
      </c>
      <c r="AJ3978" s="77"/>
      <c r="AK3978" s="77"/>
      <c r="AL3978" s="77"/>
      <c r="AM3978" s="77"/>
      <c r="AN3978" s="77"/>
      <c r="AO3978" s="77"/>
      <c r="AP3978" s="77"/>
      <c r="AQ3978" s="77" t="s">
        <v>13072</v>
      </c>
      <c r="AR3978" s="77"/>
      <c r="AS3978" s="77"/>
      <c r="AT3978" s="77"/>
      <c r="AU3978" s="77"/>
      <c r="AV3978" s="80" t="str">
        <f>HYPERLINK("https://pbs.twimg.com/media/Fvh7n6gXgAI9nnq.jpg")</f>
        <v>https://pbs.twimg.com/media/Fvh7n6gXgAI9nnq.jpg</v>
      </c>
      <c r="AW3978" s="82" t="s">
        <v>17062</v>
      </c>
      <c r="AX3978" s="82" t="s">
        <v>17062</v>
      </c>
      <c r="AY3978" s="77"/>
      <c r="AZ3978" s="82" t="s">
        <v>17385</v>
      </c>
      <c r="BA3978" s="82" t="s">
        <v>17385</v>
      </c>
      <c r="BB3978" s="82" t="s">
        <v>17385</v>
      </c>
      <c r="BC3978" s="82" t="s">
        <v>17062</v>
      </c>
      <c r="BD3978" s="82" t="s">
        <v>17383</v>
      </c>
      <c r="BE3978" s="77"/>
      <c r="BF3978" s="77"/>
      <c r="BG3978" s="77"/>
      <c r="BH3978" s="77"/>
      <c r="BI3978" s="77"/>
    </row>
    <row r="3979" spans="1:61" x14ac:dyDescent="0.25">
      <c r="A3979" s="62" t="s">
        <v>707</v>
      </c>
      <c r="B3979" s="62" t="s">
        <v>707</v>
      </c>
      <c r="C3979" s="63"/>
      <c r="D3979" s="64"/>
      <c r="E3979" s="65"/>
      <c r="F3979" s="66"/>
      <c r="G3979" s="63"/>
      <c r="H3979" s="67"/>
      <c r="I3979" s="68"/>
      <c r="J3979" s="68"/>
      <c r="K3979" s="32"/>
      <c r="L3979" s="75">
        <v>3979</v>
      </c>
      <c r="M3979" s="75"/>
      <c r="N3979" s="70"/>
      <c r="O3979" s="77" t="s">
        <v>179</v>
      </c>
      <c r="P3979" s="79">
        <v>45049.94263888889</v>
      </c>
      <c r="Q3979" s="77" t="s">
        <v>4753</v>
      </c>
      <c r="R3979" s="77">
        <v>0</v>
      </c>
      <c r="S3979" s="77">
        <v>1</v>
      </c>
      <c r="T3979" s="77">
        <v>0</v>
      </c>
      <c r="U3979" s="77">
        <v>0</v>
      </c>
      <c r="V3979" s="77">
        <v>130</v>
      </c>
      <c r="W3979" s="82" t="s">
        <v>6948</v>
      </c>
      <c r="X3979" s="77"/>
      <c r="Y3979" s="77"/>
      <c r="Z3979" s="77"/>
      <c r="AA3979" s="77" t="s">
        <v>8188</v>
      </c>
      <c r="AB3979" s="77" t="s">
        <v>8227</v>
      </c>
      <c r="AC3979" s="82" t="s">
        <v>8233</v>
      </c>
      <c r="AD3979" s="77" t="s">
        <v>8278</v>
      </c>
      <c r="AE3979" s="80" t="str">
        <f>HYPERLINK("https://twitter.com/rafael__costa__/status/1653891533320474625")</f>
        <v>https://twitter.com/rafael__costa__/status/1653891533320474625</v>
      </c>
      <c r="AF3979" s="79">
        <v>45049.94263888889</v>
      </c>
      <c r="AG3979" s="85">
        <v>45049</v>
      </c>
      <c r="AH3979" s="82" t="s">
        <v>11923</v>
      </c>
      <c r="AI3979" s="77" t="b">
        <v>0</v>
      </c>
      <c r="AJ3979" s="77"/>
      <c r="AK3979" s="77"/>
      <c r="AL3979" s="77"/>
      <c r="AM3979" s="77"/>
      <c r="AN3979" s="77"/>
      <c r="AO3979" s="77"/>
      <c r="AP3979" s="77"/>
      <c r="AQ3979" s="77" t="s">
        <v>13073</v>
      </c>
      <c r="AR3979" s="77">
        <v>76966</v>
      </c>
      <c r="AS3979" s="77"/>
      <c r="AT3979" s="77"/>
      <c r="AU3979" s="77"/>
      <c r="AV3979" s="80" t="str">
        <f>HYPERLINK("https://pbs.twimg.com/ext_tw_video_thumb/1653891452252876801/pu/img/3HJx1IVA6LHjefMC.jpg")</f>
        <v>https://pbs.twimg.com/ext_tw_video_thumb/1653891452252876801/pu/img/3HJx1IVA6LHjefMC.jpg</v>
      </c>
      <c r="AW3979" s="82" t="s">
        <v>17063</v>
      </c>
      <c r="AX3979" s="82" t="s">
        <v>17063</v>
      </c>
      <c r="AY3979" s="77"/>
      <c r="AZ3979" s="82" t="s">
        <v>17385</v>
      </c>
      <c r="BA3979" s="82" t="s">
        <v>17385</v>
      </c>
      <c r="BB3979" s="82" t="s">
        <v>17385</v>
      </c>
      <c r="BC3979" s="82" t="s">
        <v>17063</v>
      </c>
      <c r="BD3979" s="82" t="s">
        <v>17383</v>
      </c>
      <c r="BE3979" s="77"/>
      <c r="BF3979" s="77"/>
      <c r="BG3979" s="77"/>
      <c r="BH3979" s="77"/>
      <c r="BI3979" s="77"/>
    </row>
    <row r="3980" spans="1:61" x14ac:dyDescent="0.25">
      <c r="A3980" s="62" t="s">
        <v>707</v>
      </c>
      <c r="B3980" s="62" t="s">
        <v>707</v>
      </c>
      <c r="C3980" s="63"/>
      <c r="D3980" s="64"/>
      <c r="E3980" s="65"/>
      <c r="F3980" s="66"/>
      <c r="G3980" s="63"/>
      <c r="H3980" s="67"/>
      <c r="I3980" s="68"/>
      <c r="J3980" s="68"/>
      <c r="K3980" s="32"/>
      <c r="L3980" s="75">
        <v>3980</v>
      </c>
      <c r="M3980" s="75"/>
      <c r="N3980" s="70"/>
      <c r="O3980" s="77" t="s">
        <v>800</v>
      </c>
      <c r="P3980" s="79">
        <v>45158.466168981482</v>
      </c>
      <c r="Q3980" s="77" t="s">
        <v>4754</v>
      </c>
      <c r="R3980" s="77">
        <v>0</v>
      </c>
      <c r="S3980" s="77">
        <v>0</v>
      </c>
      <c r="T3980" s="77">
        <v>1</v>
      </c>
      <c r="U3980" s="77">
        <v>0</v>
      </c>
      <c r="V3980" s="77">
        <v>41</v>
      </c>
      <c r="W3980" s="82" t="s">
        <v>6949</v>
      </c>
      <c r="X3980" s="77"/>
      <c r="Y3980" s="77"/>
      <c r="Z3980" s="77"/>
      <c r="AA3980" s="77"/>
      <c r="AB3980" s="77"/>
      <c r="AC3980" s="82" t="s">
        <v>8233</v>
      </c>
      <c r="AD3980" s="77" t="s">
        <v>8278</v>
      </c>
      <c r="AE3980" s="80" t="str">
        <f>HYPERLINK("https://twitter.com/rafael__costa__/status/1693219146773725598")</f>
        <v>https://twitter.com/rafael__costa__/status/1693219146773725598</v>
      </c>
      <c r="AF3980" s="79">
        <v>45158.466168981482</v>
      </c>
      <c r="AG3980" s="85">
        <v>45158</v>
      </c>
      <c r="AH3980" s="82" t="s">
        <v>11924</v>
      </c>
      <c r="AI3980" s="77"/>
      <c r="AJ3980" s="77"/>
      <c r="AK3980" s="77"/>
      <c r="AL3980" s="77"/>
      <c r="AM3980" s="77"/>
      <c r="AN3980" s="77"/>
      <c r="AO3980" s="77"/>
      <c r="AP3980" s="77"/>
      <c r="AQ3980" s="77"/>
      <c r="AR3980" s="77"/>
      <c r="AS3980" s="77"/>
      <c r="AT3980" s="77"/>
      <c r="AU3980" s="77"/>
      <c r="AV3980" s="80" t="str">
        <f>HYPERLINK("https://pbs.twimg.com/profile_images/1460727419829116929/1hfB_OTD_normal.jpg")</f>
        <v>https://pbs.twimg.com/profile_images/1460727419829116929/1hfB_OTD_normal.jpg</v>
      </c>
      <c r="AW3980" s="82" t="s">
        <v>17064</v>
      </c>
      <c r="AX3980" s="82" t="s">
        <v>17302</v>
      </c>
      <c r="AY3980" s="82" t="s">
        <v>17383</v>
      </c>
      <c r="AZ3980" s="82" t="s">
        <v>17429</v>
      </c>
      <c r="BA3980" s="82" t="s">
        <v>17385</v>
      </c>
      <c r="BB3980" s="82" t="s">
        <v>17385</v>
      </c>
      <c r="BC3980" s="82" t="s">
        <v>17429</v>
      </c>
      <c r="BD3980" s="82" t="s">
        <v>17383</v>
      </c>
      <c r="BE3980" s="77"/>
      <c r="BF3980" s="77"/>
      <c r="BG3980" s="77"/>
      <c r="BH3980" s="77"/>
      <c r="BI3980" s="77"/>
    </row>
    <row r="3981" spans="1:61" x14ac:dyDescent="0.25">
      <c r="A3981" s="62" t="s">
        <v>707</v>
      </c>
      <c r="B3981" s="62" t="s">
        <v>707</v>
      </c>
      <c r="C3981" s="63"/>
      <c r="D3981" s="64"/>
      <c r="E3981" s="65"/>
      <c r="F3981" s="66"/>
      <c r="G3981" s="63"/>
      <c r="H3981" s="67"/>
      <c r="I3981" s="68"/>
      <c r="J3981" s="68"/>
      <c r="K3981" s="32"/>
      <c r="L3981" s="75">
        <v>3981</v>
      </c>
      <c r="M3981" s="75"/>
      <c r="N3981" s="70"/>
      <c r="O3981" s="77" t="s">
        <v>179</v>
      </c>
      <c r="P3981" s="79">
        <v>45111.381782407407</v>
      </c>
      <c r="Q3981" s="77" t="s">
        <v>4755</v>
      </c>
      <c r="R3981" s="77">
        <v>0</v>
      </c>
      <c r="S3981" s="77">
        <v>1</v>
      </c>
      <c r="T3981" s="77">
        <v>0</v>
      </c>
      <c r="U3981" s="77">
        <v>0</v>
      </c>
      <c r="V3981" s="77">
        <v>38</v>
      </c>
      <c r="W3981" s="82" t="s">
        <v>6936</v>
      </c>
      <c r="X3981" s="77"/>
      <c r="Y3981" s="77"/>
      <c r="Z3981" s="77"/>
      <c r="AA3981" s="77" t="s">
        <v>8189</v>
      </c>
      <c r="AB3981" s="77" t="s">
        <v>8225</v>
      </c>
      <c r="AC3981" s="82" t="s">
        <v>8233</v>
      </c>
      <c r="AD3981" s="77" t="s">
        <v>8278</v>
      </c>
      <c r="AE3981" s="80" t="str">
        <f>HYPERLINK("https://twitter.com/rafael__costa__/status/1676156337179316224")</f>
        <v>https://twitter.com/rafael__costa__/status/1676156337179316224</v>
      </c>
      <c r="AF3981" s="79">
        <v>45111.381782407407</v>
      </c>
      <c r="AG3981" s="85">
        <v>45111</v>
      </c>
      <c r="AH3981" s="82" t="s">
        <v>11925</v>
      </c>
      <c r="AI3981" s="77" t="b">
        <v>0</v>
      </c>
      <c r="AJ3981" s="77"/>
      <c r="AK3981" s="77"/>
      <c r="AL3981" s="77"/>
      <c r="AM3981" s="77"/>
      <c r="AN3981" s="77"/>
      <c r="AO3981" s="77"/>
      <c r="AP3981" s="77"/>
      <c r="AQ3981" s="77" t="s">
        <v>13074</v>
      </c>
      <c r="AR3981" s="77"/>
      <c r="AS3981" s="77"/>
      <c r="AT3981" s="77"/>
      <c r="AU3981" s="77"/>
      <c r="AV3981" s="80" t="str">
        <f>HYPERLINK("https://pbs.twimg.com/media/F0LnTcdXwAEZ3Q5.jpg")</f>
        <v>https://pbs.twimg.com/media/F0LnTcdXwAEZ3Q5.jpg</v>
      </c>
      <c r="AW3981" s="82" t="s">
        <v>17065</v>
      </c>
      <c r="AX3981" s="82" t="s">
        <v>17065</v>
      </c>
      <c r="AY3981" s="77"/>
      <c r="AZ3981" s="82" t="s">
        <v>17385</v>
      </c>
      <c r="BA3981" s="82" t="s">
        <v>17385</v>
      </c>
      <c r="BB3981" s="82" t="s">
        <v>17385</v>
      </c>
      <c r="BC3981" s="82" t="s">
        <v>17065</v>
      </c>
      <c r="BD3981" s="82" t="s">
        <v>17383</v>
      </c>
      <c r="BE3981" s="77"/>
      <c r="BF3981" s="77"/>
      <c r="BG3981" s="77"/>
      <c r="BH3981" s="77"/>
      <c r="BI3981" s="77"/>
    </row>
    <row r="3982" spans="1:61" x14ac:dyDescent="0.25">
      <c r="A3982" s="62" t="s">
        <v>707</v>
      </c>
      <c r="B3982" s="62" t="s">
        <v>707</v>
      </c>
      <c r="C3982" s="63"/>
      <c r="D3982" s="64"/>
      <c r="E3982" s="65"/>
      <c r="F3982" s="66"/>
      <c r="G3982" s="63"/>
      <c r="H3982" s="67"/>
      <c r="I3982" s="68"/>
      <c r="J3982" s="68"/>
      <c r="K3982" s="32"/>
      <c r="L3982" s="75">
        <v>3982</v>
      </c>
      <c r="M3982" s="75"/>
      <c r="N3982" s="70"/>
      <c r="O3982" s="77" t="s">
        <v>179</v>
      </c>
      <c r="P3982" s="79">
        <v>45071.721076388887</v>
      </c>
      <c r="Q3982" s="77" t="s">
        <v>4756</v>
      </c>
      <c r="R3982" s="77">
        <v>0</v>
      </c>
      <c r="S3982" s="77">
        <v>0</v>
      </c>
      <c r="T3982" s="77">
        <v>1</v>
      </c>
      <c r="U3982" s="77">
        <v>0</v>
      </c>
      <c r="V3982" s="77">
        <v>116</v>
      </c>
      <c r="W3982" s="82" t="s">
        <v>6950</v>
      </c>
      <c r="X3982" s="77"/>
      <c r="Y3982" s="77"/>
      <c r="Z3982" s="77"/>
      <c r="AA3982" s="77" t="s">
        <v>8190</v>
      </c>
      <c r="AB3982" s="77" t="s">
        <v>8227</v>
      </c>
      <c r="AC3982" s="82" t="s">
        <v>8233</v>
      </c>
      <c r="AD3982" s="77" t="s">
        <v>8278</v>
      </c>
      <c r="AE3982" s="80" t="str">
        <f>HYPERLINK("https://twitter.com/rafael__costa__/status/1661783775087321089")</f>
        <v>https://twitter.com/rafael__costa__/status/1661783775087321089</v>
      </c>
      <c r="AF3982" s="79">
        <v>45071.721076388887</v>
      </c>
      <c r="AG3982" s="85">
        <v>45071</v>
      </c>
      <c r="AH3982" s="82" t="s">
        <v>11926</v>
      </c>
      <c r="AI3982" s="77" t="b">
        <v>0</v>
      </c>
      <c r="AJ3982" s="77"/>
      <c r="AK3982" s="77"/>
      <c r="AL3982" s="77"/>
      <c r="AM3982" s="77"/>
      <c r="AN3982" s="77"/>
      <c r="AO3982" s="77"/>
      <c r="AP3982" s="77"/>
      <c r="AQ3982" s="77" t="s">
        <v>13075</v>
      </c>
      <c r="AR3982" s="77">
        <v>47966</v>
      </c>
      <c r="AS3982" s="77"/>
      <c r="AT3982" s="77"/>
      <c r="AU3982" s="77"/>
      <c r="AV3982" s="80" t="str">
        <f>HYPERLINK("https://pbs.twimg.com/ext_tw_video_thumb/1661783673186791430/pu/img/WbI28FMPmd436cht.jpg")</f>
        <v>https://pbs.twimg.com/ext_tw_video_thumb/1661783673186791430/pu/img/WbI28FMPmd436cht.jpg</v>
      </c>
      <c r="AW3982" s="82" t="s">
        <v>17066</v>
      </c>
      <c r="AX3982" s="82" t="s">
        <v>17066</v>
      </c>
      <c r="AY3982" s="77"/>
      <c r="AZ3982" s="82" t="s">
        <v>17385</v>
      </c>
      <c r="BA3982" s="82" t="s">
        <v>17385</v>
      </c>
      <c r="BB3982" s="82" t="s">
        <v>17385</v>
      </c>
      <c r="BC3982" s="82" t="s">
        <v>17066</v>
      </c>
      <c r="BD3982" s="82" t="s">
        <v>17383</v>
      </c>
      <c r="BE3982" s="77"/>
      <c r="BF3982" s="77"/>
      <c r="BG3982" s="77"/>
      <c r="BH3982" s="77"/>
      <c r="BI3982" s="77"/>
    </row>
    <row r="3983" spans="1:61" x14ac:dyDescent="0.25">
      <c r="A3983" s="62" t="s">
        <v>707</v>
      </c>
      <c r="B3983" s="62" t="s">
        <v>707</v>
      </c>
      <c r="C3983" s="63"/>
      <c r="D3983" s="64"/>
      <c r="E3983" s="65"/>
      <c r="F3983" s="66"/>
      <c r="G3983" s="63"/>
      <c r="H3983" s="67"/>
      <c r="I3983" s="68"/>
      <c r="J3983" s="68"/>
      <c r="K3983" s="32"/>
      <c r="L3983" s="75">
        <v>3983</v>
      </c>
      <c r="M3983" s="75"/>
      <c r="N3983" s="70"/>
      <c r="O3983" s="77" t="s">
        <v>179</v>
      </c>
      <c r="P3983" s="79">
        <v>45054.615347222221</v>
      </c>
      <c r="Q3983" s="77" t="s">
        <v>4757</v>
      </c>
      <c r="R3983" s="77">
        <v>0</v>
      </c>
      <c r="S3983" s="77">
        <v>1</v>
      </c>
      <c r="T3983" s="77">
        <v>1</v>
      </c>
      <c r="U3983" s="77">
        <v>0</v>
      </c>
      <c r="V3983" s="77">
        <v>149</v>
      </c>
      <c r="W3983" s="82" t="s">
        <v>6951</v>
      </c>
      <c r="X3983" s="77"/>
      <c r="Y3983" s="77"/>
      <c r="Z3983" s="77"/>
      <c r="AA3983" s="77" t="s">
        <v>8191</v>
      </c>
      <c r="AB3983" s="77" t="s">
        <v>8227</v>
      </c>
      <c r="AC3983" s="82" t="s">
        <v>8233</v>
      </c>
      <c r="AD3983" s="77" t="s">
        <v>8278</v>
      </c>
      <c r="AE3983" s="80" t="str">
        <f>HYPERLINK("https://twitter.com/rafael__costa__/status/1655584866539302917")</f>
        <v>https://twitter.com/rafael__costa__/status/1655584866539302917</v>
      </c>
      <c r="AF3983" s="79">
        <v>45054.615347222221</v>
      </c>
      <c r="AG3983" s="85">
        <v>45054</v>
      </c>
      <c r="AH3983" s="82" t="s">
        <v>11927</v>
      </c>
      <c r="AI3983" s="77" t="b">
        <v>0</v>
      </c>
      <c r="AJ3983" s="77"/>
      <c r="AK3983" s="77"/>
      <c r="AL3983" s="77"/>
      <c r="AM3983" s="77"/>
      <c r="AN3983" s="77"/>
      <c r="AO3983" s="77"/>
      <c r="AP3983" s="77"/>
      <c r="AQ3983" s="77" t="s">
        <v>13076</v>
      </c>
      <c r="AR3983" s="77">
        <v>45001</v>
      </c>
      <c r="AS3983" s="77"/>
      <c r="AT3983" s="77"/>
      <c r="AU3983" s="77"/>
      <c r="AV3983" s="80" t="str">
        <f>HYPERLINK("https://pbs.twimg.com/ext_tw_video_thumb/1655584820452270081/pu/img/SHUkpVpvKRKEcKwI.jpg")</f>
        <v>https://pbs.twimg.com/ext_tw_video_thumb/1655584820452270081/pu/img/SHUkpVpvKRKEcKwI.jpg</v>
      </c>
      <c r="AW3983" s="82" t="s">
        <v>17067</v>
      </c>
      <c r="AX3983" s="82" t="s">
        <v>17067</v>
      </c>
      <c r="AY3983" s="77"/>
      <c r="AZ3983" s="82" t="s">
        <v>17385</v>
      </c>
      <c r="BA3983" s="82" t="s">
        <v>17385</v>
      </c>
      <c r="BB3983" s="82" t="s">
        <v>17385</v>
      </c>
      <c r="BC3983" s="82" t="s">
        <v>17067</v>
      </c>
      <c r="BD3983" s="82" t="s">
        <v>17383</v>
      </c>
      <c r="BE3983" s="77"/>
      <c r="BF3983" s="77"/>
      <c r="BG3983" s="77"/>
      <c r="BH3983" s="77"/>
      <c r="BI3983" s="77"/>
    </row>
    <row r="3984" spans="1:61" x14ac:dyDescent="0.25">
      <c r="A3984" s="62" t="s">
        <v>707</v>
      </c>
      <c r="B3984" s="62" t="s">
        <v>707</v>
      </c>
      <c r="C3984" s="63"/>
      <c r="D3984" s="64"/>
      <c r="E3984" s="65"/>
      <c r="F3984" s="66"/>
      <c r="G3984" s="63"/>
      <c r="H3984" s="67"/>
      <c r="I3984" s="68"/>
      <c r="J3984" s="68"/>
      <c r="K3984" s="32"/>
      <c r="L3984" s="75">
        <v>3984</v>
      </c>
      <c r="M3984" s="75"/>
      <c r="N3984" s="70"/>
      <c r="O3984" s="77" t="s">
        <v>800</v>
      </c>
      <c r="P3984" s="79">
        <v>45169.361620370371</v>
      </c>
      <c r="Q3984" s="77" t="s">
        <v>4758</v>
      </c>
      <c r="R3984" s="77">
        <v>0</v>
      </c>
      <c r="S3984" s="77">
        <v>0</v>
      </c>
      <c r="T3984" s="77">
        <v>1</v>
      </c>
      <c r="U3984" s="77">
        <v>0</v>
      </c>
      <c r="V3984" s="77">
        <v>55</v>
      </c>
      <c r="W3984" s="82" t="s">
        <v>6952</v>
      </c>
      <c r="X3984" s="77"/>
      <c r="Y3984" s="77"/>
      <c r="Z3984" s="77"/>
      <c r="AA3984" s="77"/>
      <c r="AB3984" s="77"/>
      <c r="AC3984" s="82" t="s">
        <v>8233</v>
      </c>
      <c r="AD3984" s="77" t="s">
        <v>8278</v>
      </c>
      <c r="AE3984" s="80" t="str">
        <f>HYPERLINK("https://twitter.com/rafael__costa__/status/1697167526294118681")</f>
        <v>https://twitter.com/rafael__costa__/status/1697167526294118681</v>
      </c>
      <c r="AF3984" s="79">
        <v>45169.361620370371</v>
      </c>
      <c r="AG3984" s="85">
        <v>45169</v>
      </c>
      <c r="AH3984" s="82" t="s">
        <v>11928</v>
      </c>
      <c r="AI3984" s="77"/>
      <c r="AJ3984" s="77"/>
      <c r="AK3984" s="77"/>
      <c r="AL3984" s="77"/>
      <c r="AM3984" s="77"/>
      <c r="AN3984" s="77"/>
      <c r="AO3984" s="77"/>
      <c r="AP3984" s="77"/>
      <c r="AQ3984" s="77"/>
      <c r="AR3984" s="77"/>
      <c r="AS3984" s="77"/>
      <c r="AT3984" s="77"/>
      <c r="AU3984" s="77"/>
      <c r="AV3984" s="80" t="str">
        <f>HYPERLINK("https://pbs.twimg.com/profile_images/1460727419829116929/1hfB_OTD_normal.jpg")</f>
        <v>https://pbs.twimg.com/profile_images/1460727419829116929/1hfB_OTD_normal.jpg</v>
      </c>
      <c r="AW3984" s="82" t="s">
        <v>17068</v>
      </c>
      <c r="AX3984" s="82" t="s">
        <v>17303</v>
      </c>
      <c r="AY3984" s="82" t="s">
        <v>17383</v>
      </c>
      <c r="AZ3984" s="82" t="s">
        <v>17430</v>
      </c>
      <c r="BA3984" s="82" t="s">
        <v>17385</v>
      </c>
      <c r="BB3984" s="82" t="s">
        <v>17385</v>
      </c>
      <c r="BC3984" s="82" t="s">
        <v>17430</v>
      </c>
      <c r="BD3984" s="82" t="s">
        <v>17383</v>
      </c>
      <c r="BE3984" s="77"/>
      <c r="BF3984" s="77"/>
      <c r="BG3984" s="77"/>
      <c r="BH3984" s="77"/>
      <c r="BI3984" s="77"/>
    </row>
    <row r="3985" spans="1:61" x14ac:dyDescent="0.25">
      <c r="A3985" s="62" t="s">
        <v>707</v>
      </c>
      <c r="B3985" s="62" t="s">
        <v>707</v>
      </c>
      <c r="C3985" s="63"/>
      <c r="D3985" s="64"/>
      <c r="E3985" s="65"/>
      <c r="F3985" s="66"/>
      <c r="G3985" s="63"/>
      <c r="H3985" s="67"/>
      <c r="I3985" s="68"/>
      <c r="J3985" s="68"/>
      <c r="K3985" s="32"/>
      <c r="L3985" s="75">
        <v>3985</v>
      </c>
      <c r="M3985" s="75"/>
      <c r="N3985" s="70"/>
      <c r="O3985" s="77" t="s">
        <v>179</v>
      </c>
      <c r="P3985" s="79">
        <v>45140.94226851852</v>
      </c>
      <c r="Q3985" s="77" t="s">
        <v>4759</v>
      </c>
      <c r="R3985" s="77">
        <v>0</v>
      </c>
      <c r="S3985" s="77">
        <v>0</v>
      </c>
      <c r="T3985" s="77">
        <v>0</v>
      </c>
      <c r="U3985" s="77">
        <v>0</v>
      </c>
      <c r="V3985" s="77">
        <v>83</v>
      </c>
      <c r="W3985" s="82" t="s">
        <v>6936</v>
      </c>
      <c r="X3985" s="77"/>
      <c r="Y3985" s="77"/>
      <c r="Z3985" s="77"/>
      <c r="AA3985" s="77" t="s">
        <v>8192</v>
      </c>
      <c r="AB3985" s="77" t="s">
        <v>8225</v>
      </c>
      <c r="AC3985" s="82" t="s">
        <v>8233</v>
      </c>
      <c r="AD3985" s="77" t="s">
        <v>8278</v>
      </c>
      <c r="AE3985" s="80" t="str">
        <f>HYPERLINK("https://twitter.com/rafael__costa__/status/1686868695954378752")</f>
        <v>https://twitter.com/rafael__costa__/status/1686868695954378752</v>
      </c>
      <c r="AF3985" s="79">
        <v>45140.94226851852</v>
      </c>
      <c r="AG3985" s="85">
        <v>45140</v>
      </c>
      <c r="AH3985" s="82" t="s">
        <v>11929</v>
      </c>
      <c r="AI3985" s="77" t="b">
        <v>0</v>
      </c>
      <c r="AJ3985" s="77"/>
      <c r="AK3985" s="77"/>
      <c r="AL3985" s="77"/>
      <c r="AM3985" s="77"/>
      <c r="AN3985" s="77"/>
      <c r="AO3985" s="77"/>
      <c r="AP3985" s="77"/>
      <c r="AQ3985" s="77" t="s">
        <v>13077</v>
      </c>
      <c r="AR3985" s="77"/>
      <c r="AS3985" s="77"/>
      <c r="AT3985" s="77"/>
      <c r="AU3985" s="77"/>
      <c r="AV3985" s="80" t="str">
        <f>HYPERLINK("https://pbs.twimg.com/media/F2j2IinWYAEEG-2.jpg")</f>
        <v>https://pbs.twimg.com/media/F2j2IinWYAEEG-2.jpg</v>
      </c>
      <c r="AW3985" s="82" t="s">
        <v>17069</v>
      </c>
      <c r="AX3985" s="82" t="s">
        <v>17069</v>
      </c>
      <c r="AY3985" s="77"/>
      <c r="AZ3985" s="82" t="s">
        <v>17385</v>
      </c>
      <c r="BA3985" s="82" t="s">
        <v>17385</v>
      </c>
      <c r="BB3985" s="82" t="s">
        <v>17385</v>
      </c>
      <c r="BC3985" s="82" t="s">
        <v>17069</v>
      </c>
      <c r="BD3985" s="82" t="s">
        <v>17383</v>
      </c>
      <c r="BE3985" s="77"/>
      <c r="BF3985" s="77"/>
      <c r="BG3985" s="77"/>
      <c r="BH3985" s="77"/>
      <c r="BI3985" s="77"/>
    </row>
    <row r="3986" spans="1:61" x14ac:dyDescent="0.25">
      <c r="A3986" s="62" t="s">
        <v>707</v>
      </c>
      <c r="B3986" s="62" t="s">
        <v>707</v>
      </c>
      <c r="C3986" s="63"/>
      <c r="D3986" s="64"/>
      <c r="E3986" s="65"/>
      <c r="F3986" s="66"/>
      <c r="G3986" s="63"/>
      <c r="H3986" s="67"/>
      <c r="I3986" s="68"/>
      <c r="J3986" s="68"/>
      <c r="K3986" s="32"/>
      <c r="L3986" s="75">
        <v>3986</v>
      </c>
      <c r="M3986" s="75"/>
      <c r="N3986" s="70"/>
      <c r="O3986" s="77" t="s">
        <v>179</v>
      </c>
      <c r="P3986" s="79">
        <v>45126.859652777777</v>
      </c>
      <c r="Q3986" s="77" t="s">
        <v>4760</v>
      </c>
      <c r="R3986" s="77">
        <v>0</v>
      </c>
      <c r="S3986" s="77">
        <v>2</v>
      </c>
      <c r="T3986" s="77">
        <v>7</v>
      </c>
      <c r="U3986" s="77">
        <v>0</v>
      </c>
      <c r="V3986" s="77">
        <v>160</v>
      </c>
      <c r="W3986" s="82" t="s">
        <v>6936</v>
      </c>
      <c r="X3986" s="77"/>
      <c r="Y3986" s="77"/>
      <c r="Z3986" s="77"/>
      <c r="AA3986" s="77" t="s">
        <v>8193</v>
      </c>
      <c r="AB3986" s="77" t="s">
        <v>8227</v>
      </c>
      <c r="AC3986" s="82" t="s">
        <v>8233</v>
      </c>
      <c r="AD3986" s="77" t="s">
        <v>8278</v>
      </c>
      <c r="AE3986" s="80" t="str">
        <f>HYPERLINK("https://twitter.com/rafael__costa__/status/1681765329628790787")</f>
        <v>https://twitter.com/rafael__costa__/status/1681765329628790787</v>
      </c>
      <c r="AF3986" s="79">
        <v>45126.859652777777</v>
      </c>
      <c r="AG3986" s="85">
        <v>45126</v>
      </c>
      <c r="AH3986" s="82" t="s">
        <v>11930</v>
      </c>
      <c r="AI3986" s="77" t="b">
        <v>0</v>
      </c>
      <c r="AJ3986" s="77"/>
      <c r="AK3986" s="77"/>
      <c r="AL3986" s="77"/>
      <c r="AM3986" s="77"/>
      <c r="AN3986" s="77"/>
      <c r="AO3986" s="77"/>
      <c r="AP3986" s="77"/>
      <c r="AQ3986" s="77" t="s">
        <v>13078</v>
      </c>
      <c r="AR3986" s="77">
        <v>8010</v>
      </c>
      <c r="AS3986" s="77"/>
      <c r="AT3986" s="77"/>
      <c r="AU3986" s="77"/>
      <c r="AV3986" s="80" t="str">
        <f>HYPERLINK("https://pbs.twimg.com/ext_tw_video_thumb/1681765310829920257/pu/img/adPWWYbaF5VgmgZa.jpg")</f>
        <v>https://pbs.twimg.com/ext_tw_video_thumb/1681765310829920257/pu/img/adPWWYbaF5VgmgZa.jpg</v>
      </c>
      <c r="AW3986" s="82" t="s">
        <v>17070</v>
      </c>
      <c r="AX3986" s="82" t="s">
        <v>17070</v>
      </c>
      <c r="AY3986" s="77"/>
      <c r="AZ3986" s="82" t="s">
        <v>17385</v>
      </c>
      <c r="BA3986" s="82" t="s">
        <v>17385</v>
      </c>
      <c r="BB3986" s="82" t="s">
        <v>17385</v>
      </c>
      <c r="BC3986" s="82" t="s">
        <v>17070</v>
      </c>
      <c r="BD3986" s="82" t="s">
        <v>17383</v>
      </c>
      <c r="BE3986" s="77"/>
      <c r="BF3986" s="77"/>
      <c r="BG3986" s="77"/>
      <c r="BH3986" s="77"/>
      <c r="BI3986" s="77"/>
    </row>
    <row r="3987" spans="1:61" x14ac:dyDescent="0.25">
      <c r="A3987" s="62" t="s">
        <v>707</v>
      </c>
      <c r="B3987" s="62" t="s">
        <v>707</v>
      </c>
      <c r="C3987" s="63"/>
      <c r="D3987" s="64"/>
      <c r="E3987" s="65"/>
      <c r="F3987" s="66"/>
      <c r="G3987" s="63"/>
      <c r="H3987" s="67"/>
      <c r="I3987" s="68"/>
      <c r="J3987" s="68"/>
      <c r="K3987" s="32"/>
      <c r="L3987" s="75">
        <v>3987</v>
      </c>
      <c r="M3987" s="75"/>
      <c r="N3987" s="70"/>
      <c r="O3987" s="77" t="s">
        <v>800</v>
      </c>
      <c r="P3987" s="79">
        <v>45126.447974537034</v>
      </c>
      <c r="Q3987" s="77" t="s">
        <v>4761</v>
      </c>
      <c r="R3987" s="77">
        <v>0</v>
      </c>
      <c r="S3987" s="77">
        <v>0</v>
      </c>
      <c r="T3987" s="77">
        <v>1</v>
      </c>
      <c r="U3987" s="77">
        <v>0</v>
      </c>
      <c r="V3987" s="77">
        <v>30</v>
      </c>
      <c r="W3987" s="82" t="s">
        <v>6953</v>
      </c>
      <c r="X3987" s="77"/>
      <c r="Y3987" s="77"/>
      <c r="Z3987" s="77"/>
      <c r="AA3987" s="77"/>
      <c r="AB3987" s="77"/>
      <c r="AC3987" s="82" t="s">
        <v>8233</v>
      </c>
      <c r="AD3987" s="77" t="s">
        <v>8278</v>
      </c>
      <c r="AE3987" s="80" t="str">
        <f>HYPERLINK("https://twitter.com/rafael__costa__/status/1681616141972537346")</f>
        <v>https://twitter.com/rafael__costa__/status/1681616141972537346</v>
      </c>
      <c r="AF3987" s="79">
        <v>45126.447974537034</v>
      </c>
      <c r="AG3987" s="85">
        <v>45126</v>
      </c>
      <c r="AH3987" s="82" t="s">
        <v>11931</v>
      </c>
      <c r="AI3987" s="77"/>
      <c r="AJ3987" s="77"/>
      <c r="AK3987" s="77"/>
      <c r="AL3987" s="77"/>
      <c r="AM3987" s="77"/>
      <c r="AN3987" s="77"/>
      <c r="AO3987" s="77"/>
      <c r="AP3987" s="77"/>
      <c r="AQ3987" s="77"/>
      <c r="AR3987" s="77"/>
      <c r="AS3987" s="77"/>
      <c r="AT3987" s="77"/>
      <c r="AU3987" s="77"/>
      <c r="AV3987" s="80" t="str">
        <f>HYPERLINK("https://pbs.twimg.com/profile_images/1460727419829116929/1hfB_OTD_normal.jpg")</f>
        <v>https://pbs.twimg.com/profile_images/1460727419829116929/1hfB_OTD_normal.jpg</v>
      </c>
      <c r="AW3987" s="82" t="s">
        <v>17071</v>
      </c>
      <c r="AX3987" s="82" t="s">
        <v>17304</v>
      </c>
      <c r="AY3987" s="82" t="s">
        <v>17383</v>
      </c>
      <c r="AZ3987" s="82" t="s">
        <v>17431</v>
      </c>
      <c r="BA3987" s="82" t="s">
        <v>17385</v>
      </c>
      <c r="BB3987" s="82" t="s">
        <v>17385</v>
      </c>
      <c r="BC3987" s="82" t="s">
        <v>17431</v>
      </c>
      <c r="BD3987" s="82" t="s">
        <v>17383</v>
      </c>
      <c r="BE3987" s="77"/>
      <c r="BF3987" s="77"/>
      <c r="BG3987" s="77"/>
      <c r="BH3987" s="77"/>
      <c r="BI3987" s="77"/>
    </row>
    <row r="3988" spans="1:61" x14ac:dyDescent="0.25">
      <c r="A3988" s="62" t="s">
        <v>707</v>
      </c>
      <c r="B3988" s="62" t="s">
        <v>707</v>
      </c>
      <c r="C3988" s="63"/>
      <c r="D3988" s="64"/>
      <c r="E3988" s="65"/>
      <c r="F3988" s="66"/>
      <c r="G3988" s="63"/>
      <c r="H3988" s="67"/>
      <c r="I3988" s="68"/>
      <c r="J3988" s="68"/>
      <c r="K3988" s="32"/>
      <c r="L3988" s="75">
        <v>3988</v>
      </c>
      <c r="M3988" s="75"/>
      <c r="N3988" s="70"/>
      <c r="O3988" s="77" t="s">
        <v>179</v>
      </c>
      <c r="P3988" s="79">
        <v>45097.864282407405</v>
      </c>
      <c r="Q3988" s="77" t="s">
        <v>4762</v>
      </c>
      <c r="R3988" s="77">
        <v>0</v>
      </c>
      <c r="S3988" s="77">
        <v>2</v>
      </c>
      <c r="T3988" s="77">
        <v>3</v>
      </c>
      <c r="U3988" s="77">
        <v>0</v>
      </c>
      <c r="V3988" s="77">
        <v>159</v>
      </c>
      <c r="W3988" s="82" t="s">
        <v>6936</v>
      </c>
      <c r="X3988" s="77"/>
      <c r="Y3988" s="77"/>
      <c r="Z3988" s="77"/>
      <c r="AA3988" s="77" t="s">
        <v>8194</v>
      </c>
      <c r="AB3988" s="77" t="s">
        <v>8227</v>
      </c>
      <c r="AC3988" s="82" t="s">
        <v>8233</v>
      </c>
      <c r="AD3988" s="77" t="s">
        <v>8278</v>
      </c>
      <c r="AE3988" s="80" t="str">
        <f>HYPERLINK("https://twitter.com/rafael__costa__/status/1671257758069567489")</f>
        <v>https://twitter.com/rafael__costa__/status/1671257758069567489</v>
      </c>
      <c r="AF3988" s="79">
        <v>45097.864282407405</v>
      </c>
      <c r="AG3988" s="85">
        <v>45097</v>
      </c>
      <c r="AH3988" s="82" t="s">
        <v>11932</v>
      </c>
      <c r="AI3988" s="77" t="b">
        <v>0</v>
      </c>
      <c r="AJ3988" s="77"/>
      <c r="AK3988" s="77"/>
      <c r="AL3988" s="77"/>
      <c r="AM3988" s="77"/>
      <c r="AN3988" s="77"/>
      <c r="AO3988" s="77"/>
      <c r="AP3988" s="77"/>
      <c r="AQ3988" s="77" t="s">
        <v>13079</v>
      </c>
      <c r="AR3988" s="77">
        <v>6033</v>
      </c>
      <c r="AS3988" s="77"/>
      <c r="AT3988" s="77"/>
      <c r="AU3988" s="77"/>
      <c r="AV3988" s="80" t="str">
        <f>HYPERLINK("https://pbs.twimg.com/ext_tw_video_thumb/1671257735579533314/pu/img/SluJN82OlQa-_K8r.jpg")</f>
        <v>https://pbs.twimg.com/ext_tw_video_thumb/1671257735579533314/pu/img/SluJN82OlQa-_K8r.jpg</v>
      </c>
      <c r="AW3988" s="82" t="s">
        <v>17072</v>
      </c>
      <c r="AX3988" s="82" t="s">
        <v>17072</v>
      </c>
      <c r="AY3988" s="77"/>
      <c r="AZ3988" s="82" t="s">
        <v>17385</v>
      </c>
      <c r="BA3988" s="82" t="s">
        <v>17385</v>
      </c>
      <c r="BB3988" s="82" t="s">
        <v>17385</v>
      </c>
      <c r="BC3988" s="82" t="s">
        <v>17072</v>
      </c>
      <c r="BD3988" s="82" t="s">
        <v>17383</v>
      </c>
      <c r="BE3988" s="77"/>
      <c r="BF3988" s="77"/>
      <c r="BG3988" s="77"/>
      <c r="BH3988" s="77"/>
      <c r="BI3988" s="77"/>
    </row>
    <row r="3989" spans="1:61" x14ac:dyDescent="0.25">
      <c r="A3989" s="62" t="s">
        <v>707</v>
      </c>
      <c r="B3989" s="62" t="s">
        <v>707</v>
      </c>
      <c r="C3989" s="63"/>
      <c r="D3989" s="64"/>
      <c r="E3989" s="65"/>
      <c r="F3989" s="66"/>
      <c r="G3989" s="63"/>
      <c r="H3989" s="67"/>
      <c r="I3989" s="68"/>
      <c r="J3989" s="68"/>
      <c r="K3989" s="32"/>
      <c r="L3989" s="75">
        <v>3989</v>
      </c>
      <c r="M3989" s="75"/>
      <c r="N3989" s="70"/>
      <c r="O3989" s="77" t="s">
        <v>179</v>
      </c>
      <c r="P3989" s="79">
        <v>45079.631574074076</v>
      </c>
      <c r="Q3989" s="77" t="s">
        <v>4763</v>
      </c>
      <c r="R3989" s="77">
        <v>1</v>
      </c>
      <c r="S3989" s="77">
        <v>1</v>
      </c>
      <c r="T3989" s="77">
        <v>1</v>
      </c>
      <c r="U3989" s="77">
        <v>0</v>
      </c>
      <c r="V3989" s="77">
        <v>66</v>
      </c>
      <c r="W3989" s="82" t="s">
        <v>6936</v>
      </c>
      <c r="X3989" s="77"/>
      <c r="Y3989" s="77"/>
      <c r="Z3989" s="77"/>
      <c r="AA3989" s="77" t="s">
        <v>8195</v>
      </c>
      <c r="AB3989" s="77" t="s">
        <v>8225</v>
      </c>
      <c r="AC3989" s="82" t="s">
        <v>8233</v>
      </c>
      <c r="AD3989" s="77" t="s">
        <v>8278</v>
      </c>
      <c r="AE3989" s="80" t="str">
        <f>HYPERLINK("https://twitter.com/rafael__costa__/status/1664650445686546435")</f>
        <v>https://twitter.com/rafael__costa__/status/1664650445686546435</v>
      </c>
      <c r="AF3989" s="79">
        <v>45079.631574074076</v>
      </c>
      <c r="AG3989" s="85">
        <v>45079</v>
      </c>
      <c r="AH3989" s="82" t="s">
        <v>11933</v>
      </c>
      <c r="AI3989" s="77" t="b">
        <v>0</v>
      </c>
      <c r="AJ3989" s="77"/>
      <c r="AK3989" s="77"/>
      <c r="AL3989" s="77"/>
      <c r="AM3989" s="77"/>
      <c r="AN3989" s="77"/>
      <c r="AO3989" s="77"/>
      <c r="AP3989" s="77"/>
      <c r="AQ3989" s="77" t="s">
        <v>13080</v>
      </c>
      <c r="AR3989" s="77"/>
      <c r="AS3989" s="77"/>
      <c r="AT3989" s="77"/>
      <c r="AU3989" s="77"/>
      <c r="AV3989" s="80" t="str">
        <f>HYPERLINK("https://pbs.twimg.com/media/FxoGwc3XwAEHiV6.jpg")</f>
        <v>https://pbs.twimg.com/media/FxoGwc3XwAEHiV6.jpg</v>
      </c>
      <c r="AW3989" s="82" t="s">
        <v>17073</v>
      </c>
      <c r="AX3989" s="82" t="s">
        <v>17073</v>
      </c>
      <c r="AY3989" s="77"/>
      <c r="AZ3989" s="82" t="s">
        <v>17385</v>
      </c>
      <c r="BA3989" s="82" t="s">
        <v>17385</v>
      </c>
      <c r="BB3989" s="82" t="s">
        <v>17385</v>
      </c>
      <c r="BC3989" s="82" t="s">
        <v>17073</v>
      </c>
      <c r="BD3989" s="82" t="s">
        <v>17383</v>
      </c>
      <c r="BE3989" s="77"/>
      <c r="BF3989" s="77"/>
      <c r="BG3989" s="77"/>
      <c r="BH3989" s="77"/>
      <c r="BI3989" s="77"/>
    </row>
    <row r="3990" spans="1:61" x14ac:dyDescent="0.25">
      <c r="A3990" s="62" t="s">
        <v>707</v>
      </c>
      <c r="B3990" s="62" t="s">
        <v>707</v>
      </c>
      <c r="C3990" s="63"/>
      <c r="D3990" s="64"/>
      <c r="E3990" s="65"/>
      <c r="F3990" s="66"/>
      <c r="G3990" s="63"/>
      <c r="H3990" s="67"/>
      <c r="I3990" s="68"/>
      <c r="J3990" s="68"/>
      <c r="K3990" s="32"/>
      <c r="L3990" s="75">
        <v>3990</v>
      </c>
      <c r="M3990" s="75"/>
      <c r="N3990" s="70"/>
      <c r="O3990" s="77" t="s">
        <v>800</v>
      </c>
      <c r="P3990" s="79">
        <v>45173.404548611114</v>
      </c>
      <c r="Q3990" s="77" t="s">
        <v>4764</v>
      </c>
      <c r="R3990" s="77">
        <v>0</v>
      </c>
      <c r="S3990" s="77">
        <v>0</v>
      </c>
      <c r="T3990" s="77">
        <v>1</v>
      </c>
      <c r="U3990" s="77">
        <v>0</v>
      </c>
      <c r="V3990" s="77">
        <v>24</v>
      </c>
      <c r="W3990" s="82" t="s">
        <v>6954</v>
      </c>
      <c r="X3990" s="77"/>
      <c r="Y3990" s="77"/>
      <c r="Z3990" s="77"/>
      <c r="AA3990" s="77"/>
      <c r="AB3990" s="77"/>
      <c r="AC3990" s="82" t="s">
        <v>8233</v>
      </c>
      <c r="AD3990" s="77" t="s">
        <v>8278</v>
      </c>
      <c r="AE3990" s="80" t="str">
        <f>HYPERLINK("https://twitter.com/rafael__costa__/status/1698632635046641861")</f>
        <v>https://twitter.com/rafael__costa__/status/1698632635046641861</v>
      </c>
      <c r="AF3990" s="79">
        <v>45173.404548611114</v>
      </c>
      <c r="AG3990" s="85">
        <v>45173</v>
      </c>
      <c r="AH3990" s="82" t="s">
        <v>11934</v>
      </c>
      <c r="AI3990" s="77"/>
      <c r="AJ3990" s="77"/>
      <c r="AK3990" s="77"/>
      <c r="AL3990" s="77"/>
      <c r="AM3990" s="77"/>
      <c r="AN3990" s="77"/>
      <c r="AO3990" s="77"/>
      <c r="AP3990" s="77"/>
      <c r="AQ3990" s="77"/>
      <c r="AR3990" s="77"/>
      <c r="AS3990" s="77"/>
      <c r="AT3990" s="77"/>
      <c r="AU3990" s="77"/>
      <c r="AV3990" s="80" t="str">
        <f>HYPERLINK("https://pbs.twimg.com/profile_images/1460727419829116929/1hfB_OTD_normal.jpg")</f>
        <v>https://pbs.twimg.com/profile_images/1460727419829116929/1hfB_OTD_normal.jpg</v>
      </c>
      <c r="AW3990" s="82" t="s">
        <v>17074</v>
      </c>
      <c r="AX3990" s="82" t="s">
        <v>17305</v>
      </c>
      <c r="AY3990" s="82" t="s">
        <v>17383</v>
      </c>
      <c r="AZ3990" s="82" t="s">
        <v>17432</v>
      </c>
      <c r="BA3990" s="82" t="s">
        <v>17385</v>
      </c>
      <c r="BB3990" s="82" t="s">
        <v>17385</v>
      </c>
      <c r="BC3990" s="82" t="s">
        <v>17432</v>
      </c>
      <c r="BD3990" s="82" t="s">
        <v>17383</v>
      </c>
      <c r="BE3990" s="77"/>
      <c r="BF3990" s="77"/>
      <c r="BG3990" s="77"/>
      <c r="BH3990" s="77"/>
      <c r="BI3990" s="77"/>
    </row>
    <row r="3991" spans="1:61" x14ac:dyDescent="0.25">
      <c r="A3991" s="62" t="s">
        <v>707</v>
      </c>
      <c r="B3991" s="62" t="s">
        <v>707</v>
      </c>
      <c r="C3991" s="63"/>
      <c r="D3991" s="64"/>
      <c r="E3991" s="65"/>
      <c r="F3991" s="66"/>
      <c r="G3991" s="63"/>
      <c r="H3991" s="67"/>
      <c r="I3991" s="68"/>
      <c r="J3991" s="68"/>
      <c r="K3991" s="32"/>
      <c r="L3991" s="75">
        <v>3991</v>
      </c>
      <c r="M3991" s="75"/>
      <c r="N3991" s="70"/>
      <c r="O3991" s="77" t="s">
        <v>800</v>
      </c>
      <c r="P3991" s="79">
        <v>45161.351469907408</v>
      </c>
      <c r="Q3991" s="77" t="s">
        <v>4734</v>
      </c>
      <c r="R3991" s="77">
        <v>0</v>
      </c>
      <c r="S3991" s="77">
        <v>0</v>
      </c>
      <c r="T3991" s="77">
        <v>1</v>
      </c>
      <c r="U3991" s="77">
        <v>0</v>
      </c>
      <c r="V3991" s="77">
        <v>40</v>
      </c>
      <c r="W3991" s="82" t="s">
        <v>6935</v>
      </c>
      <c r="X3991" s="77"/>
      <c r="Y3991" s="77"/>
      <c r="Z3991" s="77"/>
      <c r="AA3991" s="77"/>
      <c r="AB3991" s="77"/>
      <c r="AC3991" s="82" t="s">
        <v>8233</v>
      </c>
      <c r="AD3991" s="77" t="s">
        <v>8278</v>
      </c>
      <c r="AE3991" s="80" t="str">
        <f>HYPERLINK("https://twitter.com/rafael__costa__/status/1694264744893456871")</f>
        <v>https://twitter.com/rafael__costa__/status/1694264744893456871</v>
      </c>
      <c r="AF3991" s="79">
        <v>45161.351469907408</v>
      </c>
      <c r="AG3991" s="85">
        <v>45161</v>
      </c>
      <c r="AH3991" s="82" t="s">
        <v>11935</v>
      </c>
      <c r="AI3991" s="77"/>
      <c r="AJ3991" s="77"/>
      <c r="AK3991" s="77"/>
      <c r="AL3991" s="77"/>
      <c r="AM3991" s="77"/>
      <c r="AN3991" s="77"/>
      <c r="AO3991" s="77"/>
      <c r="AP3991" s="77"/>
      <c r="AQ3991" s="77"/>
      <c r="AR3991" s="77"/>
      <c r="AS3991" s="77"/>
      <c r="AT3991" s="77"/>
      <c r="AU3991" s="77"/>
      <c r="AV3991" s="80" t="str">
        <f>HYPERLINK("https://pbs.twimg.com/profile_images/1460727419829116929/1hfB_OTD_normal.jpg")</f>
        <v>https://pbs.twimg.com/profile_images/1460727419829116929/1hfB_OTD_normal.jpg</v>
      </c>
      <c r="AW3991" s="82" t="s">
        <v>17075</v>
      </c>
      <c r="AX3991" s="82" t="s">
        <v>17306</v>
      </c>
      <c r="AY3991" s="82" t="s">
        <v>17383</v>
      </c>
      <c r="AZ3991" s="82" t="s">
        <v>17433</v>
      </c>
      <c r="BA3991" s="82" t="s">
        <v>17385</v>
      </c>
      <c r="BB3991" s="82" t="s">
        <v>17385</v>
      </c>
      <c r="BC3991" s="82" t="s">
        <v>17433</v>
      </c>
      <c r="BD3991" s="82" t="s">
        <v>17383</v>
      </c>
      <c r="BE3991" s="77"/>
      <c r="BF3991" s="77"/>
      <c r="BG3991" s="77"/>
      <c r="BH3991" s="77"/>
      <c r="BI3991" s="77"/>
    </row>
    <row r="3992" spans="1:61" x14ac:dyDescent="0.25">
      <c r="A3992" s="62" t="s">
        <v>707</v>
      </c>
      <c r="B3992" s="62" t="s">
        <v>707</v>
      </c>
      <c r="C3992" s="63"/>
      <c r="D3992" s="64"/>
      <c r="E3992" s="65"/>
      <c r="F3992" s="66"/>
      <c r="G3992" s="63"/>
      <c r="H3992" s="67"/>
      <c r="I3992" s="68"/>
      <c r="J3992" s="68"/>
      <c r="K3992" s="32"/>
      <c r="L3992" s="75">
        <v>3992</v>
      </c>
      <c r="M3992" s="75"/>
      <c r="N3992" s="70"/>
      <c r="O3992" s="77" t="s">
        <v>179</v>
      </c>
      <c r="P3992" s="79">
        <v>45103.627916666665</v>
      </c>
      <c r="Q3992" s="77" t="s">
        <v>4765</v>
      </c>
      <c r="R3992" s="77">
        <v>0</v>
      </c>
      <c r="S3992" s="77">
        <v>0</v>
      </c>
      <c r="T3992" s="77">
        <v>0</v>
      </c>
      <c r="U3992" s="77">
        <v>0</v>
      </c>
      <c r="V3992" s="77">
        <v>102</v>
      </c>
      <c r="W3992" s="82" t="s">
        <v>6936</v>
      </c>
      <c r="X3992" s="77"/>
      <c r="Y3992" s="77"/>
      <c r="Z3992" s="77"/>
      <c r="AA3992" s="77" t="s">
        <v>8196</v>
      </c>
      <c r="AB3992" s="77" t="s">
        <v>8227</v>
      </c>
      <c r="AC3992" s="82" t="s">
        <v>8233</v>
      </c>
      <c r="AD3992" s="77" t="s">
        <v>8278</v>
      </c>
      <c r="AE3992" s="80" t="str">
        <f>HYPERLINK("https://twitter.com/rafael__costa__/status/1673346430403051520")</f>
        <v>https://twitter.com/rafael__costa__/status/1673346430403051520</v>
      </c>
      <c r="AF3992" s="79">
        <v>45103.627916666665</v>
      </c>
      <c r="AG3992" s="85">
        <v>45103</v>
      </c>
      <c r="AH3992" s="82" t="s">
        <v>11936</v>
      </c>
      <c r="AI3992" s="77" t="b">
        <v>0</v>
      </c>
      <c r="AJ3992" s="77"/>
      <c r="AK3992" s="77"/>
      <c r="AL3992" s="77"/>
      <c r="AM3992" s="77"/>
      <c r="AN3992" s="77"/>
      <c r="AO3992" s="77"/>
      <c r="AP3992" s="77"/>
      <c r="AQ3992" s="77" t="s">
        <v>13081</v>
      </c>
      <c r="AR3992" s="77">
        <v>44600</v>
      </c>
      <c r="AS3992" s="77"/>
      <c r="AT3992" s="77"/>
      <c r="AU3992" s="77"/>
      <c r="AV3992" s="80" t="str">
        <f>HYPERLINK("https://pbs.twimg.com/ext_tw_video_thumb/1673346370768363522/pu/img/sga7pwDh9T3Z-VI9.jpg")</f>
        <v>https://pbs.twimg.com/ext_tw_video_thumb/1673346370768363522/pu/img/sga7pwDh9T3Z-VI9.jpg</v>
      </c>
      <c r="AW3992" s="82" t="s">
        <v>17076</v>
      </c>
      <c r="AX3992" s="82" t="s">
        <v>17076</v>
      </c>
      <c r="AY3992" s="77"/>
      <c r="AZ3992" s="82" t="s">
        <v>17385</v>
      </c>
      <c r="BA3992" s="82" t="s">
        <v>17385</v>
      </c>
      <c r="BB3992" s="82" t="s">
        <v>17385</v>
      </c>
      <c r="BC3992" s="82" t="s">
        <v>17076</v>
      </c>
      <c r="BD3992" s="82" t="s">
        <v>17383</v>
      </c>
      <c r="BE3992" s="77"/>
      <c r="BF3992" s="77"/>
      <c r="BG3992" s="77"/>
      <c r="BH3992" s="77"/>
      <c r="BI3992" s="77"/>
    </row>
    <row r="3993" spans="1:61" x14ac:dyDescent="0.25">
      <c r="A3993" s="62" t="s">
        <v>707</v>
      </c>
      <c r="B3993" s="62" t="s">
        <v>707</v>
      </c>
      <c r="C3993" s="63"/>
      <c r="D3993" s="64"/>
      <c r="E3993" s="65"/>
      <c r="F3993" s="66"/>
      <c r="G3993" s="63"/>
      <c r="H3993" s="67"/>
      <c r="I3993" s="68"/>
      <c r="J3993" s="68"/>
      <c r="K3993" s="32"/>
      <c r="L3993" s="75">
        <v>3993</v>
      </c>
      <c r="M3993" s="75"/>
      <c r="N3993" s="70"/>
      <c r="O3993" s="77" t="s">
        <v>179</v>
      </c>
      <c r="P3993" s="79">
        <v>45102.591249999998</v>
      </c>
      <c r="Q3993" s="77" t="s">
        <v>4766</v>
      </c>
      <c r="R3993" s="77">
        <v>0</v>
      </c>
      <c r="S3993" s="77">
        <v>0</v>
      </c>
      <c r="T3993" s="77">
        <v>0</v>
      </c>
      <c r="U3993" s="77">
        <v>0</v>
      </c>
      <c r="V3993" s="77">
        <v>37</v>
      </c>
      <c r="W3993" s="82" t="s">
        <v>6936</v>
      </c>
      <c r="X3993" s="77"/>
      <c r="Y3993" s="77"/>
      <c r="Z3993" s="77"/>
      <c r="AA3993" s="77" t="s">
        <v>8197</v>
      </c>
      <c r="AB3993" s="77" t="s">
        <v>8225</v>
      </c>
      <c r="AC3993" s="82" t="s">
        <v>8233</v>
      </c>
      <c r="AD3993" s="77" t="s">
        <v>8278</v>
      </c>
      <c r="AE3993" s="80" t="str">
        <f>HYPERLINK("https://twitter.com/rafael__costa__/status/1672970753765933058")</f>
        <v>https://twitter.com/rafael__costa__/status/1672970753765933058</v>
      </c>
      <c r="AF3993" s="79">
        <v>45102.591249999998</v>
      </c>
      <c r="AG3993" s="85">
        <v>45102</v>
      </c>
      <c r="AH3993" s="82" t="s">
        <v>11937</v>
      </c>
      <c r="AI3993" s="77" t="b">
        <v>0</v>
      </c>
      <c r="AJ3993" s="77"/>
      <c r="AK3993" s="77"/>
      <c r="AL3993" s="77"/>
      <c r="AM3993" s="77"/>
      <c r="AN3993" s="77"/>
      <c r="AO3993" s="77"/>
      <c r="AP3993" s="77"/>
      <c r="AQ3993" s="77" t="s">
        <v>13082</v>
      </c>
      <c r="AR3993" s="77"/>
      <c r="AS3993" s="77"/>
      <c r="AT3993" s="77"/>
      <c r="AU3993" s="77"/>
      <c r="AV3993" s="80" t="str">
        <f>HYPERLINK("https://pbs.twimg.com/media/FzeWCFaWcAAmoTx.jpg")</f>
        <v>https://pbs.twimg.com/media/FzeWCFaWcAAmoTx.jpg</v>
      </c>
      <c r="AW3993" s="82" t="s">
        <v>17077</v>
      </c>
      <c r="AX3993" s="82" t="s">
        <v>17077</v>
      </c>
      <c r="AY3993" s="77"/>
      <c r="AZ3993" s="82" t="s">
        <v>17385</v>
      </c>
      <c r="BA3993" s="82" t="s">
        <v>17385</v>
      </c>
      <c r="BB3993" s="82" t="s">
        <v>17385</v>
      </c>
      <c r="BC3993" s="82" t="s">
        <v>17077</v>
      </c>
      <c r="BD3993" s="82" t="s">
        <v>17383</v>
      </c>
      <c r="BE3993" s="77"/>
      <c r="BF3993" s="77"/>
      <c r="BG3993" s="77"/>
      <c r="BH3993" s="77"/>
      <c r="BI3993" s="77"/>
    </row>
    <row r="3994" spans="1:61" x14ac:dyDescent="0.25">
      <c r="A3994" s="62" t="s">
        <v>707</v>
      </c>
      <c r="B3994" s="62" t="s">
        <v>707</v>
      </c>
      <c r="C3994" s="63"/>
      <c r="D3994" s="64"/>
      <c r="E3994" s="65"/>
      <c r="F3994" s="66"/>
      <c r="G3994" s="63"/>
      <c r="H3994" s="67"/>
      <c r="I3994" s="68"/>
      <c r="J3994" s="68"/>
      <c r="K3994" s="32"/>
      <c r="L3994" s="75">
        <v>3994</v>
      </c>
      <c r="M3994" s="75"/>
      <c r="N3994" s="70"/>
      <c r="O3994" s="77" t="s">
        <v>179</v>
      </c>
      <c r="P3994" s="79">
        <v>45101.745486111111</v>
      </c>
      <c r="Q3994" s="77" t="s">
        <v>4767</v>
      </c>
      <c r="R3994" s="77">
        <v>0</v>
      </c>
      <c r="S3994" s="77">
        <v>0</v>
      </c>
      <c r="T3994" s="77">
        <v>5</v>
      </c>
      <c r="U3994" s="77">
        <v>0</v>
      </c>
      <c r="V3994" s="77">
        <v>144</v>
      </c>
      <c r="W3994" s="82" t="s">
        <v>6955</v>
      </c>
      <c r="X3994" s="77"/>
      <c r="Y3994" s="77"/>
      <c r="Z3994" s="77"/>
      <c r="AA3994" s="77" t="s">
        <v>8198</v>
      </c>
      <c r="AB3994" s="77" t="s">
        <v>8227</v>
      </c>
      <c r="AC3994" s="82" t="s">
        <v>8233</v>
      </c>
      <c r="AD3994" s="77" t="s">
        <v>8281</v>
      </c>
      <c r="AE3994" s="80" t="str">
        <f>HYPERLINK("https://twitter.com/rafael__costa__/status/1672664257706573826")</f>
        <v>https://twitter.com/rafael__costa__/status/1672664257706573826</v>
      </c>
      <c r="AF3994" s="79">
        <v>45101.745486111111</v>
      </c>
      <c r="AG3994" s="85">
        <v>45101</v>
      </c>
      <c r="AH3994" s="82" t="s">
        <v>11938</v>
      </c>
      <c r="AI3994" s="77" t="b">
        <v>0</v>
      </c>
      <c r="AJ3994" s="77"/>
      <c r="AK3994" s="77"/>
      <c r="AL3994" s="77"/>
      <c r="AM3994" s="77"/>
      <c r="AN3994" s="77"/>
      <c r="AO3994" s="77"/>
      <c r="AP3994" s="77"/>
      <c r="AQ3994" s="77" t="s">
        <v>13083</v>
      </c>
      <c r="AR3994" s="77">
        <v>34633</v>
      </c>
      <c r="AS3994" s="77"/>
      <c r="AT3994" s="77"/>
      <c r="AU3994" s="77"/>
      <c r="AV3994" s="80" t="str">
        <f>HYPERLINK("https://pbs.twimg.com/ext_tw_video_thumb/1672664213616046081/pu/img/mLBelHmhA__fgw5V.jpg")</f>
        <v>https://pbs.twimg.com/ext_tw_video_thumb/1672664213616046081/pu/img/mLBelHmhA__fgw5V.jpg</v>
      </c>
      <c r="AW3994" s="82" t="s">
        <v>17078</v>
      </c>
      <c r="AX3994" s="82" t="s">
        <v>17078</v>
      </c>
      <c r="AY3994" s="77"/>
      <c r="AZ3994" s="82" t="s">
        <v>17385</v>
      </c>
      <c r="BA3994" s="82" t="s">
        <v>17385</v>
      </c>
      <c r="BB3994" s="82" t="s">
        <v>17385</v>
      </c>
      <c r="BC3994" s="82" t="s">
        <v>17078</v>
      </c>
      <c r="BD3994" s="82" t="s">
        <v>17383</v>
      </c>
      <c r="BE3994" s="77"/>
      <c r="BF3994" s="77"/>
      <c r="BG3994" s="77"/>
      <c r="BH3994" s="77"/>
      <c r="BI3994" s="77"/>
    </row>
    <row r="3995" spans="1:61" x14ac:dyDescent="0.25">
      <c r="A3995" s="62" t="s">
        <v>707</v>
      </c>
      <c r="B3995" s="62" t="s">
        <v>707</v>
      </c>
      <c r="C3995" s="63"/>
      <c r="D3995" s="64"/>
      <c r="E3995" s="65"/>
      <c r="F3995" s="66"/>
      <c r="G3995" s="63"/>
      <c r="H3995" s="67"/>
      <c r="I3995" s="68"/>
      <c r="J3995" s="68"/>
      <c r="K3995" s="32"/>
      <c r="L3995" s="75">
        <v>3995</v>
      </c>
      <c r="M3995" s="75"/>
      <c r="N3995" s="70"/>
      <c r="O3995" s="77" t="s">
        <v>179</v>
      </c>
      <c r="P3995" s="79">
        <v>45082.415277777778</v>
      </c>
      <c r="Q3995" s="77" t="s">
        <v>4768</v>
      </c>
      <c r="R3995" s="77">
        <v>0</v>
      </c>
      <c r="S3995" s="77">
        <v>0</v>
      </c>
      <c r="T3995" s="77">
        <v>0</v>
      </c>
      <c r="U3995" s="77">
        <v>0</v>
      </c>
      <c r="V3995" s="77">
        <v>97</v>
      </c>
      <c r="W3995" s="82" t="s">
        <v>6956</v>
      </c>
      <c r="X3995" s="77"/>
      <c r="Y3995" s="77"/>
      <c r="Z3995" s="77"/>
      <c r="AA3995" s="77" t="s">
        <v>8199</v>
      </c>
      <c r="AB3995" s="77" t="s">
        <v>8227</v>
      </c>
      <c r="AC3995" s="82" t="s">
        <v>8233</v>
      </c>
      <c r="AD3995" s="77" t="s">
        <v>8278</v>
      </c>
      <c r="AE3995" s="80" t="str">
        <f>HYPERLINK("https://twitter.com/rafael__costa__/status/1665659224624381952")</f>
        <v>https://twitter.com/rafael__costa__/status/1665659224624381952</v>
      </c>
      <c r="AF3995" s="79">
        <v>45082.415277777778</v>
      </c>
      <c r="AG3995" s="85">
        <v>45082</v>
      </c>
      <c r="AH3995" s="82" t="s">
        <v>11939</v>
      </c>
      <c r="AI3995" s="77" t="b">
        <v>0</v>
      </c>
      <c r="AJ3995" s="77"/>
      <c r="AK3995" s="77"/>
      <c r="AL3995" s="77"/>
      <c r="AM3995" s="77"/>
      <c r="AN3995" s="77"/>
      <c r="AO3995" s="77"/>
      <c r="AP3995" s="77"/>
      <c r="AQ3995" s="77" t="s">
        <v>13084</v>
      </c>
      <c r="AR3995" s="77">
        <v>6533</v>
      </c>
      <c r="AS3995" s="77"/>
      <c r="AT3995" s="77"/>
      <c r="AU3995" s="77"/>
      <c r="AV3995" s="80" t="str">
        <f>HYPERLINK("https://pbs.twimg.com/ext_tw_video_thumb/1665659209436807168/pu/img/5NRG72RfJLhsCoch.jpg")</f>
        <v>https://pbs.twimg.com/ext_tw_video_thumb/1665659209436807168/pu/img/5NRG72RfJLhsCoch.jpg</v>
      </c>
      <c r="AW3995" s="82" t="s">
        <v>17079</v>
      </c>
      <c r="AX3995" s="82" t="s">
        <v>17079</v>
      </c>
      <c r="AY3995" s="77"/>
      <c r="AZ3995" s="82" t="s">
        <v>17385</v>
      </c>
      <c r="BA3995" s="82" t="s">
        <v>17385</v>
      </c>
      <c r="BB3995" s="82" t="s">
        <v>17385</v>
      </c>
      <c r="BC3995" s="82" t="s">
        <v>17079</v>
      </c>
      <c r="BD3995" s="82" t="s">
        <v>17383</v>
      </c>
      <c r="BE3995" s="77"/>
      <c r="BF3995" s="77"/>
      <c r="BG3995" s="77"/>
      <c r="BH3995" s="77"/>
      <c r="BI3995" s="77"/>
    </row>
    <row r="3996" spans="1:61" x14ac:dyDescent="0.25">
      <c r="A3996" s="62" t="s">
        <v>707</v>
      </c>
      <c r="B3996" s="62" t="s">
        <v>707</v>
      </c>
      <c r="C3996" s="63"/>
      <c r="D3996" s="64"/>
      <c r="E3996" s="65"/>
      <c r="F3996" s="66"/>
      <c r="G3996" s="63"/>
      <c r="H3996" s="67"/>
      <c r="I3996" s="68"/>
      <c r="J3996" s="68"/>
      <c r="K3996" s="32"/>
      <c r="L3996" s="75">
        <v>3996</v>
      </c>
      <c r="M3996" s="75"/>
      <c r="N3996" s="70"/>
      <c r="O3996" s="77" t="s">
        <v>179</v>
      </c>
      <c r="P3996" s="79">
        <v>45081.638958333337</v>
      </c>
      <c r="Q3996" s="77" t="s">
        <v>4769</v>
      </c>
      <c r="R3996" s="77">
        <v>0</v>
      </c>
      <c r="S3996" s="77">
        <v>1</v>
      </c>
      <c r="T3996" s="77">
        <v>1</v>
      </c>
      <c r="U3996" s="77">
        <v>0</v>
      </c>
      <c r="V3996" s="77">
        <v>103</v>
      </c>
      <c r="W3996" s="82" t="s">
        <v>6936</v>
      </c>
      <c r="X3996" s="77"/>
      <c r="Y3996" s="77"/>
      <c r="Z3996" s="77"/>
      <c r="AA3996" s="77" t="s">
        <v>8200</v>
      </c>
      <c r="AB3996" s="77" t="s">
        <v>8227</v>
      </c>
      <c r="AC3996" s="82" t="s">
        <v>8233</v>
      </c>
      <c r="AD3996" s="77" t="s">
        <v>8278</v>
      </c>
      <c r="AE3996" s="80" t="str">
        <f>HYPERLINK("https://twitter.com/rafael__costa__/status/1665377896758755332")</f>
        <v>https://twitter.com/rafael__costa__/status/1665377896758755332</v>
      </c>
      <c r="AF3996" s="79">
        <v>45081.638958333337</v>
      </c>
      <c r="AG3996" s="85">
        <v>45081</v>
      </c>
      <c r="AH3996" s="82" t="s">
        <v>11940</v>
      </c>
      <c r="AI3996" s="77" t="b">
        <v>0</v>
      </c>
      <c r="AJ3996" s="77"/>
      <c r="AK3996" s="77"/>
      <c r="AL3996" s="77"/>
      <c r="AM3996" s="77"/>
      <c r="AN3996" s="77"/>
      <c r="AO3996" s="77"/>
      <c r="AP3996" s="77"/>
      <c r="AQ3996" s="77" t="s">
        <v>13085</v>
      </c>
      <c r="AR3996" s="77">
        <v>13550</v>
      </c>
      <c r="AS3996" s="77"/>
      <c r="AT3996" s="77"/>
      <c r="AU3996" s="77"/>
      <c r="AV3996" s="80" t="str">
        <f>HYPERLINK("https://pbs.twimg.com/ext_tw_video_thumb/1665377858619940864/pu/img/UAwdUkTTmLeYchXz.jpg")</f>
        <v>https://pbs.twimg.com/ext_tw_video_thumb/1665377858619940864/pu/img/UAwdUkTTmLeYchXz.jpg</v>
      </c>
      <c r="AW3996" s="82" t="s">
        <v>17080</v>
      </c>
      <c r="AX3996" s="82" t="s">
        <v>17080</v>
      </c>
      <c r="AY3996" s="77"/>
      <c r="AZ3996" s="82" t="s">
        <v>17385</v>
      </c>
      <c r="BA3996" s="82" t="s">
        <v>17385</v>
      </c>
      <c r="BB3996" s="82" t="s">
        <v>17385</v>
      </c>
      <c r="BC3996" s="82" t="s">
        <v>17080</v>
      </c>
      <c r="BD3996" s="82" t="s">
        <v>17383</v>
      </c>
      <c r="BE3996" s="77"/>
      <c r="BF3996" s="77"/>
      <c r="BG3996" s="77"/>
      <c r="BH3996" s="77"/>
      <c r="BI3996" s="77"/>
    </row>
    <row r="3997" spans="1:61" x14ac:dyDescent="0.25">
      <c r="A3997" s="62" t="s">
        <v>707</v>
      </c>
      <c r="B3997" s="62" t="s">
        <v>707</v>
      </c>
      <c r="C3997" s="63"/>
      <c r="D3997" s="64"/>
      <c r="E3997" s="65"/>
      <c r="F3997" s="66"/>
      <c r="G3997" s="63"/>
      <c r="H3997" s="67"/>
      <c r="I3997" s="68"/>
      <c r="J3997" s="68"/>
      <c r="K3997" s="32"/>
      <c r="L3997" s="75">
        <v>3997</v>
      </c>
      <c r="M3997" s="75"/>
      <c r="N3997" s="70"/>
      <c r="O3997" s="77" t="s">
        <v>800</v>
      </c>
      <c r="P3997" s="79">
        <v>45064.429965277777</v>
      </c>
      <c r="Q3997" s="77" t="s">
        <v>4770</v>
      </c>
      <c r="R3997" s="77">
        <v>0</v>
      </c>
      <c r="S3997" s="77">
        <v>0</v>
      </c>
      <c r="T3997" s="77">
        <v>1</v>
      </c>
      <c r="U3997" s="77">
        <v>0</v>
      </c>
      <c r="V3997" s="77">
        <v>13</v>
      </c>
      <c r="W3997" s="82" t="s">
        <v>6957</v>
      </c>
      <c r="X3997" s="77"/>
      <c r="Y3997" s="77"/>
      <c r="Z3997" s="77"/>
      <c r="AA3997" s="77"/>
      <c r="AB3997" s="77"/>
      <c r="AC3997" s="82" t="s">
        <v>8233</v>
      </c>
      <c r="AD3997" s="77" t="s">
        <v>8278</v>
      </c>
      <c r="AE3997" s="80" t="str">
        <f>HYPERLINK("https://twitter.com/rafael__costa__/status/1659141567699886081")</f>
        <v>https://twitter.com/rafael__costa__/status/1659141567699886081</v>
      </c>
      <c r="AF3997" s="79">
        <v>45064.429965277777</v>
      </c>
      <c r="AG3997" s="85">
        <v>45064</v>
      </c>
      <c r="AH3997" s="82" t="s">
        <v>11941</v>
      </c>
      <c r="AI3997" s="77"/>
      <c r="AJ3997" s="77"/>
      <c r="AK3997" s="77"/>
      <c r="AL3997" s="77"/>
      <c r="AM3997" s="77"/>
      <c r="AN3997" s="77"/>
      <c r="AO3997" s="77"/>
      <c r="AP3997" s="77"/>
      <c r="AQ3997" s="77"/>
      <c r="AR3997" s="77"/>
      <c r="AS3997" s="77"/>
      <c r="AT3997" s="77"/>
      <c r="AU3997" s="77"/>
      <c r="AV3997" s="80" t="str">
        <f>HYPERLINK("https://pbs.twimg.com/profile_images/1460727419829116929/1hfB_OTD_normal.jpg")</f>
        <v>https://pbs.twimg.com/profile_images/1460727419829116929/1hfB_OTD_normal.jpg</v>
      </c>
      <c r="AW3997" s="82" t="s">
        <v>17081</v>
      </c>
      <c r="AX3997" s="82" t="s">
        <v>17307</v>
      </c>
      <c r="AY3997" s="82" t="s">
        <v>17383</v>
      </c>
      <c r="AZ3997" s="82" t="s">
        <v>17434</v>
      </c>
      <c r="BA3997" s="82" t="s">
        <v>17385</v>
      </c>
      <c r="BB3997" s="82" t="s">
        <v>17385</v>
      </c>
      <c r="BC3997" s="82" t="s">
        <v>17434</v>
      </c>
      <c r="BD3997" s="82" t="s">
        <v>17383</v>
      </c>
      <c r="BE3997" s="77"/>
      <c r="BF3997" s="77"/>
      <c r="BG3997" s="77"/>
      <c r="BH3997" s="77"/>
      <c r="BI3997" s="77"/>
    </row>
    <row r="3998" spans="1:61" x14ac:dyDescent="0.25">
      <c r="A3998" s="62" t="s">
        <v>707</v>
      </c>
      <c r="B3998" s="62" t="s">
        <v>707</v>
      </c>
      <c r="C3998" s="63"/>
      <c r="D3998" s="64"/>
      <c r="E3998" s="65"/>
      <c r="F3998" s="66"/>
      <c r="G3998" s="63"/>
      <c r="H3998" s="67"/>
      <c r="I3998" s="68"/>
      <c r="J3998" s="68"/>
      <c r="K3998" s="32"/>
      <c r="L3998" s="75">
        <v>3998</v>
      </c>
      <c r="M3998" s="75"/>
      <c r="N3998" s="70"/>
      <c r="O3998" s="77" t="s">
        <v>179</v>
      </c>
      <c r="P3998" s="79">
        <v>45063.914953703701</v>
      </c>
      <c r="Q3998" s="77" t="s">
        <v>4771</v>
      </c>
      <c r="R3998" s="77">
        <v>0</v>
      </c>
      <c r="S3998" s="77">
        <v>0</v>
      </c>
      <c r="T3998" s="77">
        <v>1</v>
      </c>
      <c r="U3998" s="77">
        <v>0</v>
      </c>
      <c r="V3998" s="77">
        <v>82</v>
      </c>
      <c r="W3998" s="82" t="s">
        <v>6958</v>
      </c>
      <c r="X3998" s="77"/>
      <c r="Y3998" s="77"/>
      <c r="Z3998" s="77"/>
      <c r="AA3998" s="77" t="s">
        <v>8201</v>
      </c>
      <c r="AB3998" s="77" t="s">
        <v>8227</v>
      </c>
      <c r="AC3998" s="82" t="s">
        <v>8233</v>
      </c>
      <c r="AD3998" s="77" t="s">
        <v>8278</v>
      </c>
      <c r="AE3998" s="80" t="str">
        <f>HYPERLINK("https://twitter.com/rafael__costa__/status/1658954934228860928")</f>
        <v>https://twitter.com/rafael__costa__/status/1658954934228860928</v>
      </c>
      <c r="AF3998" s="79">
        <v>45063.914953703701</v>
      </c>
      <c r="AG3998" s="85">
        <v>45063</v>
      </c>
      <c r="AH3998" s="82" t="s">
        <v>9334</v>
      </c>
      <c r="AI3998" s="77" t="b">
        <v>0</v>
      </c>
      <c r="AJ3998" s="77"/>
      <c r="AK3998" s="77"/>
      <c r="AL3998" s="77"/>
      <c r="AM3998" s="77"/>
      <c r="AN3998" s="77"/>
      <c r="AO3998" s="77"/>
      <c r="AP3998" s="77"/>
      <c r="AQ3998" s="77" t="s">
        <v>13086</v>
      </c>
      <c r="AR3998" s="77">
        <v>48733</v>
      </c>
      <c r="AS3998" s="77"/>
      <c r="AT3998" s="77"/>
      <c r="AU3998" s="77"/>
      <c r="AV3998" s="80" t="str">
        <f>HYPERLINK("https://pbs.twimg.com/ext_tw_video_thumb/1658954871469400064/pu/img/2h_BpLB9xqyOYZ2b.jpg")</f>
        <v>https://pbs.twimg.com/ext_tw_video_thumb/1658954871469400064/pu/img/2h_BpLB9xqyOYZ2b.jpg</v>
      </c>
      <c r="AW3998" s="82" t="s">
        <v>17082</v>
      </c>
      <c r="AX3998" s="82" t="s">
        <v>17082</v>
      </c>
      <c r="AY3998" s="77"/>
      <c r="AZ3998" s="82" t="s">
        <v>17385</v>
      </c>
      <c r="BA3998" s="82" t="s">
        <v>17385</v>
      </c>
      <c r="BB3998" s="82" t="s">
        <v>17385</v>
      </c>
      <c r="BC3998" s="82" t="s">
        <v>17082</v>
      </c>
      <c r="BD3998" s="82" t="s">
        <v>17383</v>
      </c>
      <c r="BE3998" s="77"/>
      <c r="BF3998" s="77"/>
      <c r="BG3998" s="77"/>
      <c r="BH3998" s="77"/>
      <c r="BI3998" s="77"/>
    </row>
    <row r="3999" spans="1:61" x14ac:dyDescent="0.25">
      <c r="A3999" s="62" t="s">
        <v>707</v>
      </c>
      <c r="B3999" s="62" t="s">
        <v>707</v>
      </c>
      <c r="C3999" s="63"/>
      <c r="D3999" s="64"/>
      <c r="E3999" s="65"/>
      <c r="F3999" s="66"/>
      <c r="G3999" s="63"/>
      <c r="H3999" s="67"/>
      <c r="I3999" s="68"/>
      <c r="J3999" s="68"/>
      <c r="K3999" s="32"/>
      <c r="L3999" s="75">
        <v>3999</v>
      </c>
      <c r="M3999" s="75"/>
      <c r="N3999" s="70"/>
      <c r="O3999" s="77" t="s">
        <v>179</v>
      </c>
      <c r="P3999" s="79">
        <v>45062.909062500003</v>
      </c>
      <c r="Q3999" s="77" t="s">
        <v>4772</v>
      </c>
      <c r="R3999" s="77">
        <v>0</v>
      </c>
      <c r="S3999" s="77">
        <v>0</v>
      </c>
      <c r="T3999" s="77">
        <v>0</v>
      </c>
      <c r="U3999" s="77">
        <v>0</v>
      </c>
      <c r="V3999" s="77">
        <v>140</v>
      </c>
      <c r="W3999" s="82" t="s">
        <v>6959</v>
      </c>
      <c r="X3999" s="77"/>
      <c r="Y3999" s="77"/>
      <c r="Z3999" s="77"/>
      <c r="AA3999" s="77" t="s">
        <v>8202</v>
      </c>
      <c r="AB3999" s="77" t="s">
        <v>8227</v>
      </c>
      <c r="AC3999" s="82" t="s">
        <v>8233</v>
      </c>
      <c r="AD3999" s="77" t="s">
        <v>8278</v>
      </c>
      <c r="AE3999" s="80" t="str">
        <f>HYPERLINK("https://twitter.com/rafael__costa__/status/1658590411902926848")</f>
        <v>https://twitter.com/rafael__costa__/status/1658590411902926848</v>
      </c>
      <c r="AF3999" s="79">
        <v>45062.909062500003</v>
      </c>
      <c r="AG3999" s="85">
        <v>45062</v>
      </c>
      <c r="AH3999" s="82" t="s">
        <v>11942</v>
      </c>
      <c r="AI3999" s="77" t="b">
        <v>0</v>
      </c>
      <c r="AJ3999" s="77"/>
      <c r="AK3999" s="77"/>
      <c r="AL3999" s="77"/>
      <c r="AM3999" s="77"/>
      <c r="AN3999" s="77"/>
      <c r="AO3999" s="77"/>
      <c r="AP3999" s="77"/>
      <c r="AQ3999" s="77" t="s">
        <v>13087</v>
      </c>
      <c r="AR3999" s="77">
        <v>34500</v>
      </c>
      <c r="AS3999" s="77"/>
      <c r="AT3999" s="77"/>
      <c r="AU3999" s="77"/>
      <c r="AV3999" s="80" t="str">
        <f>HYPERLINK("https://pbs.twimg.com/ext_tw_video_thumb/1658590380768591873/pu/img/CGLADzCGyTOloeB7.jpg")</f>
        <v>https://pbs.twimg.com/ext_tw_video_thumb/1658590380768591873/pu/img/CGLADzCGyTOloeB7.jpg</v>
      </c>
      <c r="AW3999" s="82" t="s">
        <v>17083</v>
      </c>
      <c r="AX3999" s="82" t="s">
        <v>17083</v>
      </c>
      <c r="AY3999" s="77"/>
      <c r="AZ3999" s="82" t="s">
        <v>17385</v>
      </c>
      <c r="BA3999" s="82" t="s">
        <v>17385</v>
      </c>
      <c r="BB3999" s="82" t="s">
        <v>17385</v>
      </c>
      <c r="BC3999" s="82" t="s">
        <v>17083</v>
      </c>
      <c r="BD3999" s="82" t="s">
        <v>17383</v>
      </c>
      <c r="BE3999" s="77"/>
      <c r="BF3999" s="77"/>
      <c r="BG3999" s="77"/>
      <c r="BH3999" s="77"/>
      <c r="BI3999" s="77"/>
    </row>
    <row r="4000" spans="1:61" x14ac:dyDescent="0.25">
      <c r="A4000" s="62" t="s">
        <v>707</v>
      </c>
      <c r="B4000" s="62" t="s">
        <v>707</v>
      </c>
      <c r="C4000" s="63"/>
      <c r="D4000" s="64"/>
      <c r="E4000" s="65"/>
      <c r="F4000" s="66"/>
      <c r="G4000" s="63"/>
      <c r="H4000" s="67"/>
      <c r="I4000" s="68"/>
      <c r="J4000" s="68"/>
      <c r="K4000" s="32"/>
      <c r="L4000" s="75">
        <v>4000</v>
      </c>
      <c r="M4000" s="75"/>
      <c r="N4000" s="70"/>
      <c r="O4000" s="77" t="s">
        <v>179</v>
      </c>
      <c r="P4000" s="79">
        <v>45179.532997685186</v>
      </c>
      <c r="Q4000" s="77" t="s">
        <v>4773</v>
      </c>
      <c r="R4000" s="77">
        <v>0</v>
      </c>
      <c r="S4000" s="77">
        <v>0</v>
      </c>
      <c r="T4000" s="77">
        <v>0</v>
      </c>
      <c r="U4000" s="77">
        <v>0</v>
      </c>
      <c r="V4000" s="77">
        <v>137</v>
      </c>
      <c r="W4000" s="82" t="s">
        <v>6936</v>
      </c>
      <c r="X4000" s="77"/>
      <c r="Y4000" s="77"/>
      <c r="Z4000" s="77"/>
      <c r="AA4000" s="77" t="s">
        <v>8203</v>
      </c>
      <c r="AB4000" s="77" t="s">
        <v>8227</v>
      </c>
      <c r="AC4000" s="82" t="s">
        <v>8233</v>
      </c>
      <c r="AD4000" s="77" t="s">
        <v>8278</v>
      </c>
      <c r="AE4000" s="80" t="str">
        <f>HYPERLINK("https://twitter.com/rafael__costa__/status/1700853510030418258")</f>
        <v>https://twitter.com/rafael__costa__/status/1700853510030418258</v>
      </c>
      <c r="AF4000" s="79">
        <v>45179.532997685186</v>
      </c>
      <c r="AG4000" s="85">
        <v>45179</v>
      </c>
      <c r="AH4000" s="82" t="s">
        <v>11943</v>
      </c>
      <c r="AI4000" s="77" t="b">
        <v>0</v>
      </c>
      <c r="AJ4000" s="77"/>
      <c r="AK4000" s="77"/>
      <c r="AL4000" s="77"/>
      <c r="AM4000" s="77"/>
      <c r="AN4000" s="77"/>
      <c r="AO4000" s="77"/>
      <c r="AP4000" s="77"/>
      <c r="AQ4000" s="77" t="s">
        <v>13088</v>
      </c>
      <c r="AR4000" s="77">
        <v>10650</v>
      </c>
      <c r="AS4000" s="77"/>
      <c r="AT4000" s="77"/>
      <c r="AU4000" s="77"/>
      <c r="AV4000" s="80" t="str">
        <f>HYPERLINK("https://pbs.twimg.com/ext_tw_video_thumb/1700853466761957378/pu/img/r_a5OOSfBgkDxt16.jpg")</f>
        <v>https://pbs.twimg.com/ext_tw_video_thumb/1700853466761957378/pu/img/r_a5OOSfBgkDxt16.jpg</v>
      </c>
      <c r="AW4000" s="82" t="s">
        <v>17084</v>
      </c>
      <c r="AX4000" s="82" t="s">
        <v>17084</v>
      </c>
      <c r="AY4000" s="77"/>
      <c r="AZ4000" s="82" t="s">
        <v>17385</v>
      </c>
      <c r="BA4000" s="82" t="s">
        <v>17385</v>
      </c>
      <c r="BB4000" s="82" t="s">
        <v>17385</v>
      </c>
      <c r="BC4000" s="82" t="s">
        <v>17084</v>
      </c>
      <c r="BD4000" s="82" t="s">
        <v>17383</v>
      </c>
      <c r="BE4000" s="77"/>
      <c r="BF4000" s="77"/>
      <c r="BG4000" s="77"/>
      <c r="BH4000" s="77"/>
      <c r="BI4000" s="77"/>
    </row>
    <row r="4001" spans="1:61" x14ac:dyDescent="0.25">
      <c r="A4001" s="62" t="s">
        <v>707</v>
      </c>
      <c r="B4001" s="62" t="s">
        <v>707</v>
      </c>
      <c r="C4001" s="63"/>
      <c r="D4001" s="64"/>
      <c r="E4001" s="65"/>
      <c r="F4001" s="66"/>
      <c r="G4001" s="63"/>
      <c r="H4001" s="67"/>
      <c r="I4001" s="68"/>
      <c r="J4001" s="68"/>
      <c r="K4001" s="32"/>
      <c r="L4001" s="75">
        <v>4001</v>
      </c>
      <c r="M4001" s="75"/>
      <c r="N4001" s="70"/>
      <c r="O4001" s="77" t="s">
        <v>179</v>
      </c>
      <c r="P4001" s="79">
        <v>45090.389097222222</v>
      </c>
      <c r="Q4001" s="77" t="s">
        <v>4774</v>
      </c>
      <c r="R4001" s="77">
        <v>0</v>
      </c>
      <c r="S4001" s="77">
        <v>1</v>
      </c>
      <c r="T4001" s="77">
        <v>1</v>
      </c>
      <c r="U4001" s="77">
        <v>0</v>
      </c>
      <c r="V4001" s="77">
        <v>89</v>
      </c>
      <c r="W4001" s="82" t="s">
        <v>6960</v>
      </c>
      <c r="X4001" s="77"/>
      <c r="Y4001" s="77"/>
      <c r="Z4001" s="77"/>
      <c r="AA4001" s="77" t="s">
        <v>8204</v>
      </c>
      <c r="AB4001" s="77" t="s">
        <v>8225</v>
      </c>
      <c r="AC4001" s="82" t="s">
        <v>8233</v>
      </c>
      <c r="AD4001" s="77" t="s">
        <v>8278</v>
      </c>
      <c r="AE4001" s="80" t="str">
        <f>HYPERLINK("https://twitter.com/rafael__costa__/status/1668548839161069568")</f>
        <v>https://twitter.com/rafael__costa__/status/1668548839161069568</v>
      </c>
      <c r="AF4001" s="79">
        <v>45090.389097222222</v>
      </c>
      <c r="AG4001" s="85">
        <v>45090</v>
      </c>
      <c r="AH4001" s="82" t="s">
        <v>11944</v>
      </c>
      <c r="AI4001" s="77" t="b">
        <v>0</v>
      </c>
      <c r="AJ4001" s="77"/>
      <c r="AK4001" s="77"/>
      <c r="AL4001" s="77"/>
      <c r="AM4001" s="77"/>
      <c r="AN4001" s="77"/>
      <c r="AO4001" s="77"/>
      <c r="AP4001" s="77"/>
      <c r="AQ4001" s="77" t="s">
        <v>13089</v>
      </c>
      <c r="AR4001" s="77"/>
      <c r="AS4001" s="77"/>
      <c r="AT4001" s="77"/>
      <c r="AU4001" s="77"/>
      <c r="AV4001" s="80" t="str">
        <f>HYPERLINK("https://pbs.twimg.com/media/FyfgUugX0AMDXv0.jpg")</f>
        <v>https://pbs.twimg.com/media/FyfgUugX0AMDXv0.jpg</v>
      </c>
      <c r="AW4001" s="82" t="s">
        <v>17085</v>
      </c>
      <c r="AX4001" s="82" t="s">
        <v>17085</v>
      </c>
      <c r="AY4001" s="77"/>
      <c r="AZ4001" s="82" t="s">
        <v>17385</v>
      </c>
      <c r="BA4001" s="82" t="s">
        <v>17385</v>
      </c>
      <c r="BB4001" s="82" t="s">
        <v>17385</v>
      </c>
      <c r="BC4001" s="82" t="s">
        <v>17085</v>
      </c>
      <c r="BD4001" s="82" t="s">
        <v>17383</v>
      </c>
      <c r="BE4001" s="77"/>
      <c r="BF4001" s="77"/>
      <c r="BG4001" s="77"/>
      <c r="BH4001" s="77"/>
      <c r="BI4001" s="77"/>
    </row>
    <row r="4002" spans="1:61" x14ac:dyDescent="0.25">
      <c r="A4002" s="62" t="s">
        <v>707</v>
      </c>
      <c r="B4002" s="62" t="s">
        <v>707</v>
      </c>
      <c r="C4002" s="63"/>
      <c r="D4002" s="64"/>
      <c r="E4002" s="65"/>
      <c r="F4002" s="66"/>
      <c r="G4002" s="63"/>
      <c r="H4002" s="67"/>
      <c r="I4002" s="68"/>
      <c r="J4002" s="68"/>
      <c r="K4002" s="32"/>
      <c r="L4002" s="75">
        <v>4002</v>
      </c>
      <c r="M4002" s="75"/>
      <c r="N4002" s="70"/>
      <c r="O4002" s="77" t="s">
        <v>179</v>
      </c>
      <c r="P4002" s="79">
        <v>45077.861157407409</v>
      </c>
      <c r="Q4002" s="77" t="s">
        <v>4775</v>
      </c>
      <c r="R4002" s="77">
        <v>0</v>
      </c>
      <c r="S4002" s="77">
        <v>0</v>
      </c>
      <c r="T4002" s="77">
        <v>2</v>
      </c>
      <c r="U4002" s="77">
        <v>0</v>
      </c>
      <c r="V4002" s="77">
        <v>151</v>
      </c>
      <c r="W4002" s="82" t="s">
        <v>6961</v>
      </c>
      <c r="X4002" s="77"/>
      <c r="Y4002" s="77"/>
      <c r="Z4002" s="77"/>
      <c r="AA4002" s="77" t="s">
        <v>8205</v>
      </c>
      <c r="AB4002" s="77" t="s">
        <v>8227</v>
      </c>
      <c r="AC4002" s="82" t="s">
        <v>8233</v>
      </c>
      <c r="AD4002" s="77" t="s">
        <v>8278</v>
      </c>
      <c r="AE4002" s="80" t="str">
        <f>HYPERLINK("https://twitter.com/rafael__costa__/status/1664008866982494209")</f>
        <v>https://twitter.com/rafael__costa__/status/1664008866982494209</v>
      </c>
      <c r="AF4002" s="79">
        <v>45077.861157407409</v>
      </c>
      <c r="AG4002" s="85">
        <v>45077</v>
      </c>
      <c r="AH4002" s="82" t="s">
        <v>11945</v>
      </c>
      <c r="AI4002" s="77" t="b">
        <v>0</v>
      </c>
      <c r="AJ4002" s="77"/>
      <c r="AK4002" s="77"/>
      <c r="AL4002" s="77"/>
      <c r="AM4002" s="77"/>
      <c r="AN4002" s="77"/>
      <c r="AO4002" s="77"/>
      <c r="AP4002" s="77"/>
      <c r="AQ4002" s="77" t="s">
        <v>13090</v>
      </c>
      <c r="AR4002" s="77">
        <v>60033</v>
      </c>
      <c r="AS4002" s="77"/>
      <c r="AT4002" s="77"/>
      <c r="AU4002" s="77"/>
      <c r="AV4002" s="80" t="str">
        <f>HYPERLINK("https://pbs.twimg.com/ext_tw_video_thumb/1664008816873070597/pu/img/Iq5ZjEDKkLnHfWV3.jpg")</f>
        <v>https://pbs.twimg.com/ext_tw_video_thumb/1664008816873070597/pu/img/Iq5ZjEDKkLnHfWV3.jpg</v>
      </c>
      <c r="AW4002" s="82" t="s">
        <v>17086</v>
      </c>
      <c r="AX4002" s="82" t="s">
        <v>17086</v>
      </c>
      <c r="AY4002" s="77"/>
      <c r="AZ4002" s="82" t="s">
        <v>17385</v>
      </c>
      <c r="BA4002" s="82" t="s">
        <v>17385</v>
      </c>
      <c r="BB4002" s="82" t="s">
        <v>17385</v>
      </c>
      <c r="BC4002" s="82" t="s">
        <v>17086</v>
      </c>
      <c r="BD4002" s="82" t="s">
        <v>17383</v>
      </c>
      <c r="BE4002" s="77"/>
      <c r="BF4002" s="77"/>
      <c r="BG4002" s="77"/>
      <c r="BH4002" s="77"/>
      <c r="BI4002" s="77"/>
    </row>
    <row r="4003" spans="1:61" x14ac:dyDescent="0.25">
      <c r="A4003" s="62" t="s">
        <v>707</v>
      </c>
      <c r="B4003" s="62" t="s">
        <v>707</v>
      </c>
      <c r="C4003" s="63"/>
      <c r="D4003" s="64"/>
      <c r="E4003" s="65"/>
      <c r="F4003" s="66"/>
      <c r="G4003" s="63"/>
      <c r="H4003" s="67"/>
      <c r="I4003" s="68"/>
      <c r="J4003" s="68"/>
      <c r="K4003" s="32"/>
      <c r="L4003" s="75">
        <v>4003</v>
      </c>
      <c r="M4003" s="75"/>
      <c r="N4003" s="70"/>
      <c r="O4003" s="77" t="s">
        <v>800</v>
      </c>
      <c r="P4003" s="79">
        <v>45077.347233796296</v>
      </c>
      <c r="Q4003" s="77" t="s">
        <v>4776</v>
      </c>
      <c r="R4003" s="77">
        <v>0</v>
      </c>
      <c r="S4003" s="77">
        <v>0</v>
      </c>
      <c r="T4003" s="77">
        <v>1</v>
      </c>
      <c r="U4003" s="77">
        <v>0</v>
      </c>
      <c r="V4003" s="77">
        <v>20</v>
      </c>
      <c r="W4003" s="82" t="s">
        <v>6953</v>
      </c>
      <c r="X4003" s="77"/>
      <c r="Y4003" s="77"/>
      <c r="Z4003" s="77"/>
      <c r="AA4003" s="77"/>
      <c r="AB4003" s="77"/>
      <c r="AC4003" s="82" t="s">
        <v>8233</v>
      </c>
      <c r="AD4003" s="77" t="s">
        <v>8278</v>
      </c>
      <c r="AE4003" s="80" t="str">
        <f>HYPERLINK("https://twitter.com/rafael__costa__/status/1663822628509843460")</f>
        <v>https://twitter.com/rafael__costa__/status/1663822628509843460</v>
      </c>
      <c r="AF4003" s="79">
        <v>45077.347233796296</v>
      </c>
      <c r="AG4003" s="85">
        <v>45077</v>
      </c>
      <c r="AH4003" s="82" t="s">
        <v>11946</v>
      </c>
      <c r="AI4003" s="77"/>
      <c r="AJ4003" s="77"/>
      <c r="AK4003" s="77"/>
      <c r="AL4003" s="77"/>
      <c r="AM4003" s="77"/>
      <c r="AN4003" s="77"/>
      <c r="AO4003" s="77"/>
      <c r="AP4003" s="77"/>
      <c r="AQ4003" s="77"/>
      <c r="AR4003" s="77"/>
      <c r="AS4003" s="77"/>
      <c r="AT4003" s="77"/>
      <c r="AU4003" s="77"/>
      <c r="AV4003" s="80" t="str">
        <f>HYPERLINK("https://pbs.twimg.com/profile_images/1460727419829116929/1hfB_OTD_normal.jpg")</f>
        <v>https://pbs.twimg.com/profile_images/1460727419829116929/1hfB_OTD_normal.jpg</v>
      </c>
      <c r="AW4003" s="82" t="s">
        <v>17087</v>
      </c>
      <c r="AX4003" s="82" t="s">
        <v>17308</v>
      </c>
      <c r="AY4003" s="82" t="s">
        <v>17383</v>
      </c>
      <c r="AZ4003" s="82" t="s">
        <v>17435</v>
      </c>
      <c r="BA4003" s="82" t="s">
        <v>17385</v>
      </c>
      <c r="BB4003" s="82" t="s">
        <v>17385</v>
      </c>
      <c r="BC4003" s="82" t="s">
        <v>17435</v>
      </c>
      <c r="BD4003" s="82" t="s">
        <v>17383</v>
      </c>
      <c r="BE4003" s="77"/>
      <c r="BF4003" s="77"/>
      <c r="BG4003" s="77"/>
      <c r="BH4003" s="77"/>
      <c r="BI4003" s="77"/>
    </row>
    <row r="4004" spans="1:61" x14ac:dyDescent="0.25">
      <c r="A4004" s="62" t="s">
        <v>707</v>
      </c>
      <c r="B4004" s="62" t="s">
        <v>707</v>
      </c>
      <c r="C4004" s="63"/>
      <c r="D4004" s="64"/>
      <c r="E4004" s="65"/>
      <c r="F4004" s="66"/>
      <c r="G4004" s="63"/>
      <c r="H4004" s="67"/>
      <c r="I4004" s="68"/>
      <c r="J4004" s="68"/>
      <c r="K4004" s="32"/>
      <c r="L4004" s="75">
        <v>4004</v>
      </c>
      <c r="M4004" s="75"/>
      <c r="N4004" s="70"/>
      <c r="O4004" s="77" t="s">
        <v>179</v>
      </c>
      <c r="P4004" s="79">
        <v>45076.925439814811</v>
      </c>
      <c r="Q4004" s="77" t="s">
        <v>4777</v>
      </c>
      <c r="R4004" s="77">
        <v>0</v>
      </c>
      <c r="S4004" s="77">
        <v>0</v>
      </c>
      <c r="T4004" s="77">
        <v>1</v>
      </c>
      <c r="U4004" s="77">
        <v>0</v>
      </c>
      <c r="V4004" s="77">
        <v>96</v>
      </c>
      <c r="W4004" s="82" t="s">
        <v>6936</v>
      </c>
      <c r="X4004" s="77"/>
      <c r="Y4004" s="77"/>
      <c r="Z4004" s="77"/>
      <c r="AA4004" s="77" t="s">
        <v>8206</v>
      </c>
      <c r="AB4004" s="77" t="s">
        <v>8227</v>
      </c>
      <c r="AC4004" s="82" t="s">
        <v>8233</v>
      </c>
      <c r="AD4004" s="77" t="s">
        <v>8278</v>
      </c>
      <c r="AE4004" s="80" t="str">
        <f>HYPERLINK("https://twitter.com/rafael__costa__/status/1663669773056503808")</f>
        <v>https://twitter.com/rafael__costa__/status/1663669773056503808</v>
      </c>
      <c r="AF4004" s="79">
        <v>45076.925439814811</v>
      </c>
      <c r="AG4004" s="85">
        <v>45076</v>
      </c>
      <c r="AH4004" s="82" t="s">
        <v>11947</v>
      </c>
      <c r="AI4004" s="77" t="b">
        <v>0</v>
      </c>
      <c r="AJ4004" s="77"/>
      <c r="AK4004" s="77"/>
      <c r="AL4004" s="77"/>
      <c r="AM4004" s="77"/>
      <c r="AN4004" s="77"/>
      <c r="AO4004" s="77"/>
      <c r="AP4004" s="77"/>
      <c r="AQ4004" s="77" t="s">
        <v>13091</v>
      </c>
      <c r="AR4004" s="77">
        <v>12100</v>
      </c>
      <c r="AS4004" s="77"/>
      <c r="AT4004" s="77"/>
      <c r="AU4004" s="77"/>
      <c r="AV4004" s="80" t="str">
        <f>HYPERLINK("https://pbs.twimg.com/ext_tw_video_thumb/1663669739116277765/pu/img/o9CVDVWOhvgdWhUN.jpg")</f>
        <v>https://pbs.twimg.com/ext_tw_video_thumb/1663669739116277765/pu/img/o9CVDVWOhvgdWhUN.jpg</v>
      </c>
      <c r="AW4004" s="82" t="s">
        <v>17088</v>
      </c>
      <c r="AX4004" s="82" t="s">
        <v>17088</v>
      </c>
      <c r="AY4004" s="77"/>
      <c r="AZ4004" s="82" t="s">
        <v>17385</v>
      </c>
      <c r="BA4004" s="82" t="s">
        <v>17385</v>
      </c>
      <c r="BB4004" s="82" t="s">
        <v>17385</v>
      </c>
      <c r="BC4004" s="82" t="s">
        <v>17088</v>
      </c>
      <c r="BD4004" s="82" t="s">
        <v>17383</v>
      </c>
      <c r="BE4004" s="77"/>
      <c r="BF4004" s="77"/>
      <c r="BG4004" s="77"/>
      <c r="BH4004" s="77"/>
      <c r="BI4004" s="77"/>
    </row>
    <row r="4005" spans="1:61" x14ac:dyDescent="0.25">
      <c r="A4005" s="62" t="s">
        <v>707</v>
      </c>
      <c r="B4005" s="62" t="s">
        <v>707</v>
      </c>
      <c r="C4005" s="63"/>
      <c r="D4005" s="64"/>
      <c r="E4005" s="65"/>
      <c r="F4005" s="66"/>
      <c r="G4005" s="63"/>
      <c r="H4005" s="67"/>
      <c r="I4005" s="68"/>
      <c r="J4005" s="68"/>
      <c r="K4005" s="32"/>
      <c r="L4005" s="75">
        <v>4005</v>
      </c>
      <c r="M4005" s="75"/>
      <c r="N4005" s="70"/>
      <c r="O4005" s="77" t="s">
        <v>179</v>
      </c>
      <c r="P4005" s="79">
        <v>45075.859432870369</v>
      </c>
      <c r="Q4005" s="77" t="s">
        <v>4778</v>
      </c>
      <c r="R4005" s="77">
        <v>0</v>
      </c>
      <c r="S4005" s="77">
        <v>1</v>
      </c>
      <c r="T4005" s="77">
        <v>1</v>
      </c>
      <c r="U4005" s="77">
        <v>0</v>
      </c>
      <c r="V4005" s="77">
        <v>167</v>
      </c>
      <c r="W4005" s="82" t="s">
        <v>6962</v>
      </c>
      <c r="X4005" s="77"/>
      <c r="Y4005" s="77"/>
      <c r="Z4005" s="77"/>
      <c r="AA4005" s="77" t="s">
        <v>8207</v>
      </c>
      <c r="AB4005" s="77" t="s">
        <v>8227</v>
      </c>
      <c r="AC4005" s="82" t="s">
        <v>8233</v>
      </c>
      <c r="AD4005" s="77" t="s">
        <v>8278</v>
      </c>
      <c r="AE4005" s="80" t="str">
        <f>HYPERLINK("https://twitter.com/rafael__costa__/status/1663283465125519360")</f>
        <v>https://twitter.com/rafael__costa__/status/1663283465125519360</v>
      </c>
      <c r="AF4005" s="79">
        <v>45075.859432870369</v>
      </c>
      <c r="AG4005" s="85">
        <v>45075</v>
      </c>
      <c r="AH4005" s="82" t="s">
        <v>11948</v>
      </c>
      <c r="AI4005" s="77" t="b">
        <v>0</v>
      </c>
      <c r="AJ4005" s="77"/>
      <c r="AK4005" s="77"/>
      <c r="AL4005" s="77"/>
      <c r="AM4005" s="77"/>
      <c r="AN4005" s="77"/>
      <c r="AO4005" s="77"/>
      <c r="AP4005" s="77"/>
      <c r="AQ4005" s="77" t="s">
        <v>13092</v>
      </c>
      <c r="AR4005" s="77">
        <v>15952</v>
      </c>
      <c r="AS4005" s="77"/>
      <c r="AT4005" s="77"/>
      <c r="AU4005" s="77"/>
      <c r="AV4005" s="80" t="str">
        <f>HYPERLINK("https://pbs.twimg.com/ext_tw_video_thumb/1663283434679148547/pu/img/HNIxIBGA4iYUEUYb.jpg")</f>
        <v>https://pbs.twimg.com/ext_tw_video_thumb/1663283434679148547/pu/img/HNIxIBGA4iYUEUYb.jpg</v>
      </c>
      <c r="AW4005" s="82" t="s">
        <v>17089</v>
      </c>
      <c r="AX4005" s="82" t="s">
        <v>17089</v>
      </c>
      <c r="AY4005" s="77"/>
      <c r="AZ4005" s="82" t="s">
        <v>17385</v>
      </c>
      <c r="BA4005" s="82" t="s">
        <v>17385</v>
      </c>
      <c r="BB4005" s="82" t="s">
        <v>17385</v>
      </c>
      <c r="BC4005" s="82" t="s">
        <v>17089</v>
      </c>
      <c r="BD4005" s="82" t="s">
        <v>17383</v>
      </c>
      <c r="BE4005" s="77"/>
      <c r="BF4005" s="77"/>
      <c r="BG4005" s="77"/>
      <c r="BH4005" s="77"/>
      <c r="BI4005" s="77"/>
    </row>
    <row r="4006" spans="1:61" x14ac:dyDescent="0.25">
      <c r="A4006" s="62" t="s">
        <v>707</v>
      </c>
      <c r="B4006" s="62" t="s">
        <v>707</v>
      </c>
      <c r="C4006" s="63"/>
      <c r="D4006" s="64"/>
      <c r="E4006" s="65"/>
      <c r="F4006" s="66"/>
      <c r="G4006" s="63"/>
      <c r="H4006" s="67"/>
      <c r="I4006" s="68"/>
      <c r="J4006" s="68"/>
      <c r="K4006" s="32"/>
      <c r="L4006" s="75">
        <v>4006</v>
      </c>
      <c r="M4006" s="75"/>
      <c r="N4006" s="70"/>
      <c r="O4006" s="77" t="s">
        <v>179</v>
      </c>
      <c r="P4006" s="79">
        <v>45045.815416666665</v>
      </c>
      <c r="Q4006" s="77" t="s">
        <v>4779</v>
      </c>
      <c r="R4006" s="77">
        <v>0</v>
      </c>
      <c r="S4006" s="77">
        <v>1</v>
      </c>
      <c r="T4006" s="77">
        <v>0</v>
      </c>
      <c r="U4006" s="77">
        <v>0</v>
      </c>
      <c r="V4006" s="77">
        <v>80</v>
      </c>
      <c r="W4006" s="82" t="s">
        <v>6963</v>
      </c>
      <c r="X4006" s="77"/>
      <c r="Y4006" s="77"/>
      <c r="Z4006" s="77"/>
      <c r="AA4006" s="77" t="s">
        <v>8208</v>
      </c>
      <c r="AB4006" s="77" t="s">
        <v>8225</v>
      </c>
      <c r="AC4006" s="82" t="s">
        <v>8233</v>
      </c>
      <c r="AD4006" s="77" t="s">
        <v>8278</v>
      </c>
      <c r="AE4006" s="80" t="str">
        <f>HYPERLINK("https://twitter.com/rafael__costa__/status/1652395881331662850")</f>
        <v>https://twitter.com/rafael__costa__/status/1652395881331662850</v>
      </c>
      <c r="AF4006" s="79">
        <v>45045.815416666665</v>
      </c>
      <c r="AG4006" s="85">
        <v>45045</v>
      </c>
      <c r="AH4006" s="82" t="s">
        <v>11949</v>
      </c>
      <c r="AI4006" s="77" t="b">
        <v>0</v>
      </c>
      <c r="AJ4006" s="77"/>
      <c r="AK4006" s="77"/>
      <c r="AL4006" s="77"/>
      <c r="AM4006" s="77"/>
      <c r="AN4006" s="77"/>
      <c r="AO4006" s="77"/>
      <c r="AP4006" s="77"/>
      <c r="AQ4006" s="77" t="s">
        <v>13093</v>
      </c>
      <c r="AR4006" s="77"/>
      <c r="AS4006" s="77"/>
      <c r="AT4006" s="77"/>
      <c r="AU4006" s="77"/>
      <c r="AV4006" s="80" t="str">
        <f>HYPERLINK("https://pbs.twimg.com/media/Fu59S34X0AAM3pA.jpg")</f>
        <v>https://pbs.twimg.com/media/Fu59S34X0AAM3pA.jpg</v>
      </c>
      <c r="AW4006" s="82" t="s">
        <v>17090</v>
      </c>
      <c r="AX4006" s="82" t="s">
        <v>17090</v>
      </c>
      <c r="AY4006" s="77"/>
      <c r="AZ4006" s="82" t="s">
        <v>17385</v>
      </c>
      <c r="BA4006" s="82" t="s">
        <v>17385</v>
      </c>
      <c r="BB4006" s="82" t="s">
        <v>17385</v>
      </c>
      <c r="BC4006" s="82" t="s">
        <v>17090</v>
      </c>
      <c r="BD4006" s="82" t="s">
        <v>17383</v>
      </c>
      <c r="BE4006" s="77"/>
      <c r="BF4006" s="77"/>
      <c r="BG4006" s="77"/>
      <c r="BH4006" s="77"/>
      <c r="BI4006" s="77"/>
    </row>
    <row r="4007" spans="1:61" x14ac:dyDescent="0.25">
      <c r="A4007" s="62" t="s">
        <v>707</v>
      </c>
      <c r="B4007" s="62" t="s">
        <v>707</v>
      </c>
      <c r="C4007" s="63"/>
      <c r="D4007" s="64"/>
      <c r="E4007" s="65"/>
      <c r="F4007" s="66"/>
      <c r="G4007" s="63"/>
      <c r="H4007" s="67"/>
      <c r="I4007" s="68"/>
      <c r="J4007" s="68"/>
      <c r="K4007" s="32"/>
      <c r="L4007" s="75">
        <v>4007</v>
      </c>
      <c r="M4007" s="75"/>
      <c r="N4007" s="70"/>
      <c r="O4007" s="77" t="s">
        <v>179</v>
      </c>
      <c r="P4007" s="79">
        <v>45043.648541666669</v>
      </c>
      <c r="Q4007" s="77" t="s">
        <v>4780</v>
      </c>
      <c r="R4007" s="77">
        <v>0</v>
      </c>
      <c r="S4007" s="77">
        <v>1</v>
      </c>
      <c r="T4007" s="77">
        <v>0</v>
      </c>
      <c r="U4007" s="77">
        <v>0</v>
      </c>
      <c r="V4007" s="77">
        <v>103</v>
      </c>
      <c r="W4007" s="82" t="s">
        <v>6964</v>
      </c>
      <c r="X4007" s="77"/>
      <c r="Y4007" s="77"/>
      <c r="Z4007" s="77"/>
      <c r="AA4007" s="77" t="s">
        <v>8209</v>
      </c>
      <c r="AB4007" s="77" t="s">
        <v>8227</v>
      </c>
      <c r="AC4007" s="82" t="s">
        <v>8233</v>
      </c>
      <c r="AD4007" s="77" t="s">
        <v>8278</v>
      </c>
      <c r="AE4007" s="80" t="str">
        <f>HYPERLINK("https://twitter.com/rafael__costa__/status/1651610631898902530")</f>
        <v>https://twitter.com/rafael__costa__/status/1651610631898902530</v>
      </c>
      <c r="AF4007" s="79">
        <v>45043.648541666669</v>
      </c>
      <c r="AG4007" s="85">
        <v>45043</v>
      </c>
      <c r="AH4007" s="82" t="s">
        <v>11950</v>
      </c>
      <c r="AI4007" s="77" t="b">
        <v>0</v>
      </c>
      <c r="AJ4007" s="77"/>
      <c r="AK4007" s="77"/>
      <c r="AL4007" s="77"/>
      <c r="AM4007" s="77"/>
      <c r="AN4007" s="77"/>
      <c r="AO4007" s="77"/>
      <c r="AP4007" s="77"/>
      <c r="AQ4007" s="77" t="s">
        <v>13094</v>
      </c>
      <c r="AR4007" s="77">
        <v>50566</v>
      </c>
      <c r="AS4007" s="77"/>
      <c r="AT4007" s="77"/>
      <c r="AU4007" s="77"/>
      <c r="AV4007" s="80" t="str">
        <f>HYPERLINK("https://pbs.twimg.com/ext_tw_video_thumb/1651610564383088642/pu/img/rv1O-Mx4HYHRKMZr.jpg")</f>
        <v>https://pbs.twimg.com/ext_tw_video_thumb/1651610564383088642/pu/img/rv1O-Mx4HYHRKMZr.jpg</v>
      </c>
      <c r="AW4007" s="82" t="s">
        <v>17091</v>
      </c>
      <c r="AX4007" s="82" t="s">
        <v>17091</v>
      </c>
      <c r="AY4007" s="77"/>
      <c r="AZ4007" s="82" t="s">
        <v>17385</v>
      </c>
      <c r="BA4007" s="82" t="s">
        <v>17385</v>
      </c>
      <c r="BB4007" s="82" t="s">
        <v>17385</v>
      </c>
      <c r="BC4007" s="82" t="s">
        <v>17091</v>
      </c>
      <c r="BD4007" s="82" t="s">
        <v>17383</v>
      </c>
      <c r="BE4007" s="77"/>
      <c r="BF4007" s="77"/>
      <c r="BG4007" s="77"/>
      <c r="BH4007" s="77"/>
      <c r="BI4007" s="77"/>
    </row>
    <row r="4008" spans="1:61" x14ac:dyDescent="0.25">
      <c r="A4008" s="62" t="s">
        <v>708</v>
      </c>
      <c r="B4008" s="62" t="s">
        <v>708</v>
      </c>
      <c r="C4008" s="63"/>
      <c r="D4008" s="64"/>
      <c r="E4008" s="65"/>
      <c r="F4008" s="66"/>
      <c r="G4008" s="63"/>
      <c r="H4008" s="67"/>
      <c r="I4008" s="68"/>
      <c r="J4008" s="68"/>
      <c r="K4008" s="32"/>
      <c r="L4008" s="75">
        <v>4008</v>
      </c>
      <c r="M4008" s="75"/>
      <c r="N4008" s="70"/>
      <c r="O4008" s="77" t="s">
        <v>179</v>
      </c>
      <c r="P4008" s="79">
        <v>45074.532129629632</v>
      </c>
      <c r="Q4008" s="77" t="s">
        <v>4781</v>
      </c>
      <c r="R4008" s="77">
        <v>0</v>
      </c>
      <c r="S4008" s="77">
        <v>1</v>
      </c>
      <c r="T4008" s="77">
        <v>0</v>
      </c>
      <c r="U4008" s="77">
        <v>0</v>
      </c>
      <c r="V4008" s="77">
        <v>20</v>
      </c>
      <c r="W4008" s="82" t="s">
        <v>6965</v>
      </c>
      <c r="X4008" s="80" t="str">
        <f>HYPERLINK("https://investidorciente.com.br/index.php/2023/05/01/quantas-acoes-ter-e-quantas-empresas/")</f>
        <v>https://investidorciente.com.br/index.php/2023/05/01/quantas-acoes-ter-e-quantas-empresas/</v>
      </c>
      <c r="Y4008" s="77" t="s">
        <v>7053</v>
      </c>
      <c r="Z4008" s="77"/>
      <c r="AA4008" s="77"/>
      <c r="AB4008" s="77"/>
      <c r="AC4008" s="82" t="s">
        <v>8234</v>
      </c>
      <c r="AD4008" s="77" t="s">
        <v>8278</v>
      </c>
      <c r="AE4008" s="80" t="str">
        <f>HYPERLINK("https://twitter.com/investciente/status/1662802468873404419")</f>
        <v>https://twitter.com/investciente/status/1662802468873404419</v>
      </c>
      <c r="AF4008" s="79">
        <v>45074.532129629632</v>
      </c>
      <c r="AG4008" s="85">
        <v>45074</v>
      </c>
      <c r="AH4008" s="82" t="s">
        <v>11951</v>
      </c>
      <c r="AI4008" s="77" t="b">
        <v>0</v>
      </c>
      <c r="AJ4008" s="77"/>
      <c r="AK4008" s="77"/>
      <c r="AL4008" s="77"/>
      <c r="AM4008" s="77"/>
      <c r="AN4008" s="77"/>
      <c r="AO4008" s="77"/>
      <c r="AP4008" s="77"/>
      <c r="AQ4008" s="77"/>
      <c r="AR4008" s="77"/>
      <c r="AS4008" s="77"/>
      <c r="AT4008" s="77"/>
      <c r="AU4008" s="77"/>
      <c r="AV4008" s="80" t="str">
        <f>HYPERLINK("https://pbs.twimg.com/profile_images/1662187173855019018/8Hfz46CI_normal.jpg")</f>
        <v>https://pbs.twimg.com/profile_images/1662187173855019018/8Hfz46CI_normal.jpg</v>
      </c>
      <c r="AW4008" s="82" t="s">
        <v>17092</v>
      </c>
      <c r="AX4008" s="82" t="s">
        <v>17092</v>
      </c>
      <c r="AY4008" s="77"/>
      <c r="AZ4008" s="82" t="s">
        <v>17385</v>
      </c>
      <c r="BA4008" s="82" t="s">
        <v>17385</v>
      </c>
      <c r="BB4008" s="82" t="s">
        <v>17385</v>
      </c>
      <c r="BC4008" s="82" t="s">
        <v>17092</v>
      </c>
      <c r="BD4008" s="82" t="s">
        <v>17701</v>
      </c>
      <c r="BE4008" s="77"/>
      <c r="BF4008" s="77"/>
      <c r="BG4008" s="77"/>
      <c r="BH4008" s="77"/>
      <c r="BI4008" s="77"/>
    </row>
    <row r="4009" spans="1:61" x14ac:dyDescent="0.25">
      <c r="A4009" s="62" t="s">
        <v>708</v>
      </c>
      <c r="B4009" s="62" t="s">
        <v>708</v>
      </c>
      <c r="C4009" s="63"/>
      <c r="D4009" s="64"/>
      <c r="E4009" s="65"/>
      <c r="F4009" s="66"/>
      <c r="G4009" s="63"/>
      <c r="H4009" s="67"/>
      <c r="I4009" s="68"/>
      <c r="J4009" s="68"/>
      <c r="K4009" s="32"/>
      <c r="L4009" s="75">
        <v>4009</v>
      </c>
      <c r="M4009" s="75"/>
      <c r="N4009" s="70"/>
      <c r="O4009" s="77" t="s">
        <v>179</v>
      </c>
      <c r="P4009" s="79">
        <v>45077.774155092593</v>
      </c>
      <c r="Q4009" s="77" t="s">
        <v>4782</v>
      </c>
      <c r="R4009" s="77">
        <v>0</v>
      </c>
      <c r="S4009" s="77">
        <v>1</v>
      </c>
      <c r="T4009" s="77">
        <v>0</v>
      </c>
      <c r="U4009" s="77">
        <v>0</v>
      </c>
      <c r="V4009" s="77">
        <v>47</v>
      </c>
      <c r="W4009" s="82" t="s">
        <v>6966</v>
      </c>
      <c r="X4009" s="80" t="str">
        <f>HYPERLINK("https://investidorciente.com.br/index.php/2023/05/31/como-investir-bolsa-de-valores-brasileira")</f>
        <v>https://investidorciente.com.br/index.php/2023/05/31/como-investir-bolsa-de-valores-brasileira</v>
      </c>
      <c r="Y4009" s="77" t="s">
        <v>7053</v>
      </c>
      <c r="Z4009" s="77"/>
      <c r="AA4009" s="77"/>
      <c r="AB4009" s="77"/>
      <c r="AC4009" s="82" t="s">
        <v>8232</v>
      </c>
      <c r="AD4009" s="77" t="s">
        <v>8278</v>
      </c>
      <c r="AE4009" s="80" t="str">
        <f>HYPERLINK("https://twitter.com/investciente/status/1663977337652690962")</f>
        <v>https://twitter.com/investciente/status/1663977337652690962</v>
      </c>
      <c r="AF4009" s="79">
        <v>45077.774155092593</v>
      </c>
      <c r="AG4009" s="85">
        <v>45077</v>
      </c>
      <c r="AH4009" s="82" t="s">
        <v>11952</v>
      </c>
      <c r="AI4009" s="77" t="b">
        <v>0</v>
      </c>
      <c r="AJ4009" s="77"/>
      <c r="AK4009" s="77"/>
      <c r="AL4009" s="77"/>
      <c r="AM4009" s="77"/>
      <c r="AN4009" s="77"/>
      <c r="AO4009" s="77"/>
      <c r="AP4009" s="77"/>
      <c r="AQ4009" s="77"/>
      <c r="AR4009" s="77"/>
      <c r="AS4009" s="77"/>
      <c r="AT4009" s="77"/>
      <c r="AU4009" s="77"/>
      <c r="AV4009" s="80" t="str">
        <f>HYPERLINK("https://pbs.twimg.com/profile_images/1662187173855019018/8Hfz46CI_normal.jpg")</f>
        <v>https://pbs.twimg.com/profile_images/1662187173855019018/8Hfz46CI_normal.jpg</v>
      </c>
      <c r="AW4009" s="82" t="s">
        <v>17093</v>
      </c>
      <c r="AX4009" s="82" t="s">
        <v>17093</v>
      </c>
      <c r="AY4009" s="77"/>
      <c r="AZ4009" s="82" t="s">
        <v>17385</v>
      </c>
      <c r="BA4009" s="82" t="s">
        <v>17385</v>
      </c>
      <c r="BB4009" s="82" t="s">
        <v>17385</v>
      </c>
      <c r="BC4009" s="82" t="s">
        <v>17093</v>
      </c>
      <c r="BD4009" s="82" t="s">
        <v>17701</v>
      </c>
      <c r="BE4009" s="77"/>
      <c r="BF4009" s="77"/>
      <c r="BG4009" s="77"/>
      <c r="BH4009" s="77"/>
      <c r="BI4009" s="77"/>
    </row>
    <row r="4010" spans="1:61" x14ac:dyDescent="0.25">
      <c r="A4010" s="62" t="s">
        <v>708</v>
      </c>
      <c r="B4010" s="62" t="s">
        <v>708</v>
      </c>
      <c r="C4010" s="63"/>
      <c r="D4010" s="64"/>
      <c r="E4010" s="65"/>
      <c r="F4010" s="66"/>
      <c r="G4010" s="63"/>
      <c r="H4010" s="67"/>
      <c r="I4010" s="68"/>
      <c r="J4010" s="68"/>
      <c r="K4010" s="32"/>
      <c r="L4010" s="75">
        <v>4010</v>
      </c>
      <c r="M4010" s="75"/>
      <c r="N4010" s="70"/>
      <c r="O4010" s="77" t="s">
        <v>179</v>
      </c>
      <c r="P4010" s="79">
        <v>45076.610682870371</v>
      </c>
      <c r="Q4010" s="77" t="s">
        <v>4783</v>
      </c>
      <c r="R4010" s="77">
        <v>0</v>
      </c>
      <c r="S4010" s="77">
        <v>2</v>
      </c>
      <c r="T4010" s="77">
        <v>0</v>
      </c>
      <c r="U4010" s="77">
        <v>0</v>
      </c>
      <c r="V4010" s="77">
        <v>64</v>
      </c>
      <c r="W4010" s="82" t="s">
        <v>6967</v>
      </c>
      <c r="X4010" s="80" t="str">
        <f>HYPERLINK("https://investidorciente.com.br/index.php/2023/05/05/acoes-sao-seguras-entenda-como-funcionam-os-investimentos-na-bolsa-de-valores")</f>
        <v>https://investidorciente.com.br/index.php/2023/05/05/acoes-sao-seguras-entenda-como-funcionam-os-investimentos-na-bolsa-de-valores</v>
      </c>
      <c r="Y4010" s="77" t="s">
        <v>7053</v>
      </c>
      <c r="Z4010" s="77"/>
      <c r="AA4010" s="77"/>
      <c r="AB4010" s="77"/>
      <c r="AC4010" s="82" t="s">
        <v>8232</v>
      </c>
      <c r="AD4010" s="77" t="s">
        <v>8278</v>
      </c>
      <c r="AE4010" s="80" t="str">
        <f>HYPERLINK("https://twitter.com/investciente/status/1663555709072723968")</f>
        <v>https://twitter.com/investciente/status/1663555709072723968</v>
      </c>
      <c r="AF4010" s="79">
        <v>45076.610682870371</v>
      </c>
      <c r="AG4010" s="85">
        <v>45076</v>
      </c>
      <c r="AH4010" s="82" t="s">
        <v>11953</v>
      </c>
      <c r="AI4010" s="77" t="b">
        <v>0</v>
      </c>
      <c r="AJ4010" s="77"/>
      <c r="AK4010" s="77"/>
      <c r="AL4010" s="77"/>
      <c r="AM4010" s="77"/>
      <c r="AN4010" s="77"/>
      <c r="AO4010" s="77"/>
      <c r="AP4010" s="77"/>
      <c r="AQ4010" s="77"/>
      <c r="AR4010" s="77"/>
      <c r="AS4010" s="77"/>
      <c r="AT4010" s="77"/>
      <c r="AU4010" s="77"/>
      <c r="AV4010" s="80" t="str">
        <f>HYPERLINK("https://pbs.twimg.com/profile_images/1662187173855019018/8Hfz46CI_normal.jpg")</f>
        <v>https://pbs.twimg.com/profile_images/1662187173855019018/8Hfz46CI_normal.jpg</v>
      </c>
      <c r="AW4010" s="82" t="s">
        <v>17094</v>
      </c>
      <c r="AX4010" s="82" t="s">
        <v>17094</v>
      </c>
      <c r="AY4010" s="77"/>
      <c r="AZ4010" s="82" t="s">
        <v>17385</v>
      </c>
      <c r="BA4010" s="82" t="s">
        <v>17385</v>
      </c>
      <c r="BB4010" s="82" t="s">
        <v>17385</v>
      </c>
      <c r="BC4010" s="82" t="s">
        <v>17094</v>
      </c>
      <c r="BD4010" s="82" t="s">
        <v>17701</v>
      </c>
      <c r="BE4010" s="77"/>
      <c r="BF4010" s="77"/>
      <c r="BG4010" s="77"/>
      <c r="BH4010" s="77"/>
      <c r="BI4010" s="77"/>
    </row>
    <row r="4011" spans="1:61" x14ac:dyDescent="0.25">
      <c r="A4011" s="62" t="s">
        <v>709</v>
      </c>
      <c r="B4011" s="62" t="s">
        <v>709</v>
      </c>
      <c r="C4011" s="63"/>
      <c r="D4011" s="64"/>
      <c r="E4011" s="65"/>
      <c r="F4011" s="66"/>
      <c r="G4011" s="63"/>
      <c r="H4011" s="67"/>
      <c r="I4011" s="68"/>
      <c r="J4011" s="68"/>
      <c r="K4011" s="32"/>
      <c r="L4011" s="75">
        <v>4011</v>
      </c>
      <c r="M4011" s="75"/>
      <c r="N4011" s="70"/>
      <c r="O4011" s="77" t="s">
        <v>179</v>
      </c>
      <c r="P4011" s="79">
        <v>45055.011018518519</v>
      </c>
      <c r="Q4011" s="77" t="s">
        <v>4784</v>
      </c>
      <c r="R4011" s="77">
        <v>0</v>
      </c>
      <c r="S4011" s="77">
        <v>3</v>
      </c>
      <c r="T4011" s="77">
        <v>1</v>
      </c>
      <c r="U4011" s="77">
        <v>0</v>
      </c>
      <c r="V4011" s="77">
        <v>101</v>
      </c>
      <c r="W4011" s="82" t="s">
        <v>6968</v>
      </c>
      <c r="X4011" s="77"/>
      <c r="Y4011" s="77"/>
      <c r="Z4011" s="77"/>
      <c r="AA4011" s="77" t="s">
        <v>8210</v>
      </c>
      <c r="AB4011" s="77" t="s">
        <v>8225</v>
      </c>
      <c r="AC4011" s="82" t="s">
        <v>8232</v>
      </c>
      <c r="AD4011" s="77" t="s">
        <v>8278</v>
      </c>
      <c r="AE4011" s="80" t="str">
        <f>HYPERLINK("https://twitter.com/smartcryptobr/status/1655728252818685956")</f>
        <v>https://twitter.com/smartcryptobr/status/1655728252818685956</v>
      </c>
      <c r="AF4011" s="79">
        <v>45055.011018518519</v>
      </c>
      <c r="AG4011" s="85">
        <v>45055</v>
      </c>
      <c r="AH4011" s="82" t="s">
        <v>11954</v>
      </c>
      <c r="AI4011" s="77" t="b">
        <v>0</v>
      </c>
      <c r="AJ4011" s="77"/>
      <c r="AK4011" s="77"/>
      <c r="AL4011" s="77"/>
      <c r="AM4011" s="77"/>
      <c r="AN4011" s="77"/>
      <c r="AO4011" s="77"/>
      <c r="AP4011" s="77"/>
      <c r="AQ4011" s="77" t="s">
        <v>13095</v>
      </c>
      <c r="AR4011" s="77"/>
      <c r="AS4011" s="77"/>
      <c r="AT4011" s="77"/>
      <c r="AU4011" s="77"/>
      <c r="AV4011" s="80" t="str">
        <f>HYPERLINK("https://pbs.twimg.com/media/FvpTa6-WAAIirYo.jpg")</f>
        <v>https://pbs.twimg.com/media/FvpTa6-WAAIirYo.jpg</v>
      </c>
      <c r="AW4011" s="82" t="s">
        <v>17095</v>
      </c>
      <c r="AX4011" s="82" t="s">
        <v>17095</v>
      </c>
      <c r="AY4011" s="77"/>
      <c r="AZ4011" s="82" t="s">
        <v>17385</v>
      </c>
      <c r="BA4011" s="82" t="s">
        <v>17385</v>
      </c>
      <c r="BB4011" s="82" t="s">
        <v>17385</v>
      </c>
      <c r="BC4011" s="82" t="s">
        <v>17095</v>
      </c>
      <c r="BD4011" s="82" t="s">
        <v>17702</v>
      </c>
      <c r="BE4011" s="77"/>
      <c r="BF4011" s="77"/>
      <c r="BG4011" s="77"/>
      <c r="BH4011" s="77"/>
      <c r="BI4011" s="77"/>
    </row>
    <row r="4012" spans="1:61" x14ac:dyDescent="0.25">
      <c r="A4012" s="62" t="s">
        <v>710</v>
      </c>
      <c r="B4012" s="62" t="s">
        <v>710</v>
      </c>
      <c r="C4012" s="63"/>
      <c r="D4012" s="64"/>
      <c r="E4012" s="65"/>
      <c r="F4012" s="66"/>
      <c r="G4012" s="63"/>
      <c r="H4012" s="67"/>
      <c r="I4012" s="68"/>
      <c r="J4012" s="68"/>
      <c r="K4012" s="32"/>
      <c r="L4012" s="75">
        <v>4012</v>
      </c>
      <c r="M4012" s="75"/>
      <c r="N4012" s="70"/>
      <c r="O4012" s="77" t="s">
        <v>179</v>
      </c>
      <c r="P4012" s="79">
        <v>45176.793449074074</v>
      </c>
      <c r="Q4012" s="77" t="s">
        <v>4785</v>
      </c>
      <c r="R4012" s="77">
        <v>0</v>
      </c>
      <c r="S4012" s="77">
        <v>0</v>
      </c>
      <c r="T4012" s="77">
        <v>0</v>
      </c>
      <c r="U4012" s="77">
        <v>0</v>
      </c>
      <c r="V4012" s="77">
        <v>45</v>
      </c>
      <c r="W4012" s="82" t="s">
        <v>6969</v>
      </c>
      <c r="X4012" s="80" t="str">
        <f>HYPERLINK("http://dlvr.it/SvmtwP")</f>
        <v>http://dlvr.it/SvmtwP</v>
      </c>
      <c r="Y4012" s="77" t="s">
        <v>7094</v>
      </c>
      <c r="Z4012" s="77"/>
      <c r="AA4012" s="77"/>
      <c r="AB4012" s="77"/>
      <c r="AC4012" s="82" t="s">
        <v>7094</v>
      </c>
      <c r="AD4012" s="77" t="s">
        <v>8278</v>
      </c>
      <c r="AE4012" s="80" t="str">
        <f>HYPERLINK("https://twitter.com/foletooficial/status/1699860729229373688")</f>
        <v>https://twitter.com/foletooficial/status/1699860729229373688</v>
      </c>
      <c r="AF4012" s="79">
        <v>45176.793449074074</v>
      </c>
      <c r="AG4012" s="85">
        <v>45176</v>
      </c>
      <c r="AH4012" s="82" t="s">
        <v>11955</v>
      </c>
      <c r="AI4012" s="77" t="b">
        <v>0</v>
      </c>
      <c r="AJ4012" s="77"/>
      <c r="AK4012" s="77"/>
      <c r="AL4012" s="77"/>
      <c r="AM4012" s="77"/>
      <c r="AN4012" s="77"/>
      <c r="AO4012" s="77"/>
      <c r="AP4012" s="77"/>
      <c r="AQ4012" s="77"/>
      <c r="AR4012" s="77"/>
      <c r="AS4012" s="77"/>
      <c r="AT4012" s="77"/>
      <c r="AU4012" s="77"/>
      <c r="AV4012" s="80" t="str">
        <f>HYPERLINK("https://pbs.twimg.com/profile_images/1326195867213295617/630TXqHT_normal.jpg")</f>
        <v>https://pbs.twimg.com/profile_images/1326195867213295617/630TXqHT_normal.jpg</v>
      </c>
      <c r="AW4012" s="82" t="s">
        <v>17096</v>
      </c>
      <c r="AX4012" s="82" t="s">
        <v>17096</v>
      </c>
      <c r="AY4012" s="77"/>
      <c r="AZ4012" s="82" t="s">
        <v>17385</v>
      </c>
      <c r="BA4012" s="82" t="s">
        <v>17385</v>
      </c>
      <c r="BB4012" s="82" t="s">
        <v>17385</v>
      </c>
      <c r="BC4012" s="82" t="s">
        <v>17096</v>
      </c>
      <c r="BD4012" s="82" t="s">
        <v>17703</v>
      </c>
      <c r="BE4012" s="77"/>
      <c r="BF4012" s="77"/>
      <c r="BG4012" s="77"/>
      <c r="BH4012" s="77"/>
      <c r="BI4012" s="77"/>
    </row>
    <row r="4013" spans="1:61" x14ac:dyDescent="0.25">
      <c r="A4013" s="62" t="s">
        <v>710</v>
      </c>
      <c r="B4013" s="62" t="s">
        <v>710</v>
      </c>
      <c r="C4013" s="63"/>
      <c r="D4013" s="64"/>
      <c r="E4013" s="65"/>
      <c r="F4013" s="66"/>
      <c r="G4013" s="63"/>
      <c r="H4013" s="67"/>
      <c r="I4013" s="68"/>
      <c r="J4013" s="68"/>
      <c r="K4013" s="32"/>
      <c r="L4013" s="75">
        <v>4013</v>
      </c>
      <c r="M4013" s="75"/>
      <c r="N4013" s="70"/>
      <c r="O4013" s="77" t="s">
        <v>179</v>
      </c>
      <c r="P4013" s="79">
        <v>45188.509097222224</v>
      </c>
      <c r="Q4013" s="77" t="s">
        <v>4786</v>
      </c>
      <c r="R4013" s="77">
        <v>0</v>
      </c>
      <c r="S4013" s="77">
        <v>0</v>
      </c>
      <c r="T4013" s="77">
        <v>0</v>
      </c>
      <c r="U4013" s="77">
        <v>0</v>
      </c>
      <c r="V4013" s="77">
        <v>20</v>
      </c>
      <c r="W4013" s="82" t="s">
        <v>6970</v>
      </c>
      <c r="X4013" s="80" t="str">
        <f>HYPERLINK("http://dlvr.it/SwKVyn")</f>
        <v>http://dlvr.it/SwKVyn</v>
      </c>
      <c r="Y4013" s="77" t="s">
        <v>7094</v>
      </c>
      <c r="Z4013" s="77"/>
      <c r="AA4013" s="77"/>
      <c r="AB4013" s="77"/>
      <c r="AC4013" s="82" t="s">
        <v>7094</v>
      </c>
      <c r="AD4013" s="77" t="s">
        <v>8278</v>
      </c>
      <c r="AE4013" s="80" t="str">
        <f>HYPERLINK("https://twitter.com/foletooficial/status/1704106339465912560")</f>
        <v>https://twitter.com/foletooficial/status/1704106339465912560</v>
      </c>
      <c r="AF4013" s="79">
        <v>45188.509097222224</v>
      </c>
      <c r="AG4013" s="85">
        <v>45188</v>
      </c>
      <c r="AH4013" s="82" t="s">
        <v>11956</v>
      </c>
      <c r="AI4013" s="77" t="b">
        <v>0</v>
      </c>
      <c r="AJ4013" s="77"/>
      <c r="AK4013" s="77"/>
      <c r="AL4013" s="77"/>
      <c r="AM4013" s="77"/>
      <c r="AN4013" s="77"/>
      <c r="AO4013" s="77"/>
      <c r="AP4013" s="77"/>
      <c r="AQ4013" s="77"/>
      <c r="AR4013" s="77"/>
      <c r="AS4013" s="77"/>
      <c r="AT4013" s="77"/>
      <c r="AU4013" s="77"/>
      <c r="AV4013" s="80" t="str">
        <f>HYPERLINK("https://pbs.twimg.com/profile_images/1326195867213295617/630TXqHT_normal.jpg")</f>
        <v>https://pbs.twimg.com/profile_images/1326195867213295617/630TXqHT_normal.jpg</v>
      </c>
      <c r="AW4013" s="82" t="s">
        <v>17097</v>
      </c>
      <c r="AX4013" s="82" t="s">
        <v>17097</v>
      </c>
      <c r="AY4013" s="77"/>
      <c r="AZ4013" s="82" t="s">
        <v>17385</v>
      </c>
      <c r="BA4013" s="82" t="s">
        <v>17385</v>
      </c>
      <c r="BB4013" s="82" t="s">
        <v>17385</v>
      </c>
      <c r="BC4013" s="82" t="s">
        <v>17097</v>
      </c>
      <c r="BD4013" s="82" t="s">
        <v>17703</v>
      </c>
      <c r="BE4013" s="77"/>
      <c r="BF4013" s="77"/>
      <c r="BG4013" s="77"/>
      <c r="BH4013" s="77"/>
      <c r="BI4013" s="77"/>
    </row>
    <row r="4014" spans="1:61" x14ac:dyDescent="0.25">
      <c r="A4014" s="62" t="s">
        <v>710</v>
      </c>
      <c r="B4014" s="62" t="s">
        <v>710</v>
      </c>
      <c r="C4014" s="63"/>
      <c r="D4014" s="64"/>
      <c r="E4014" s="65"/>
      <c r="F4014" s="66"/>
      <c r="G4014" s="63"/>
      <c r="H4014" s="67"/>
      <c r="I4014" s="68"/>
      <c r="J4014" s="68"/>
      <c r="K4014" s="32"/>
      <c r="L4014" s="75">
        <v>4014</v>
      </c>
      <c r="M4014" s="75"/>
      <c r="N4014" s="70"/>
      <c r="O4014" s="77" t="s">
        <v>179</v>
      </c>
      <c r="P4014" s="79">
        <v>45189.527175925927</v>
      </c>
      <c r="Q4014" s="77" t="s">
        <v>4787</v>
      </c>
      <c r="R4014" s="77">
        <v>0</v>
      </c>
      <c r="S4014" s="77">
        <v>0</v>
      </c>
      <c r="T4014" s="77">
        <v>0</v>
      </c>
      <c r="U4014" s="77">
        <v>0</v>
      </c>
      <c r="V4014" s="77">
        <v>17</v>
      </c>
      <c r="W4014" s="82" t="s">
        <v>6971</v>
      </c>
      <c r="X4014" s="80" t="str">
        <f>HYPERLINK("http://dlvr.it/SwNRXp")</f>
        <v>http://dlvr.it/SwNRXp</v>
      </c>
      <c r="Y4014" s="77" t="s">
        <v>7094</v>
      </c>
      <c r="Z4014" s="77"/>
      <c r="AA4014" s="77"/>
      <c r="AB4014" s="77"/>
      <c r="AC4014" s="82" t="s">
        <v>7094</v>
      </c>
      <c r="AD4014" s="77" t="s">
        <v>8278</v>
      </c>
      <c r="AE4014" s="80" t="str">
        <f>HYPERLINK("https://twitter.com/foletooficial/status/1704475278402318730")</f>
        <v>https://twitter.com/foletooficial/status/1704475278402318730</v>
      </c>
      <c r="AF4014" s="79">
        <v>45189.527175925927</v>
      </c>
      <c r="AG4014" s="85">
        <v>45189</v>
      </c>
      <c r="AH4014" s="82" t="s">
        <v>11957</v>
      </c>
      <c r="AI4014" s="77" t="b">
        <v>0</v>
      </c>
      <c r="AJ4014" s="77"/>
      <c r="AK4014" s="77"/>
      <c r="AL4014" s="77"/>
      <c r="AM4014" s="77"/>
      <c r="AN4014" s="77"/>
      <c r="AO4014" s="77"/>
      <c r="AP4014" s="77"/>
      <c r="AQ4014" s="77"/>
      <c r="AR4014" s="77"/>
      <c r="AS4014" s="77"/>
      <c r="AT4014" s="77"/>
      <c r="AU4014" s="77"/>
      <c r="AV4014" s="80" t="str">
        <f>HYPERLINK("https://pbs.twimg.com/profile_images/1326195867213295617/630TXqHT_normal.jpg")</f>
        <v>https://pbs.twimg.com/profile_images/1326195867213295617/630TXqHT_normal.jpg</v>
      </c>
      <c r="AW4014" s="82" t="s">
        <v>17098</v>
      </c>
      <c r="AX4014" s="82" t="s">
        <v>17098</v>
      </c>
      <c r="AY4014" s="77"/>
      <c r="AZ4014" s="82" t="s">
        <v>17385</v>
      </c>
      <c r="BA4014" s="82" t="s">
        <v>17385</v>
      </c>
      <c r="BB4014" s="82" t="s">
        <v>17385</v>
      </c>
      <c r="BC4014" s="82" t="s">
        <v>17098</v>
      </c>
      <c r="BD4014" s="82" t="s">
        <v>17703</v>
      </c>
      <c r="BE4014" s="77"/>
      <c r="BF4014" s="77"/>
      <c r="BG4014" s="77"/>
      <c r="BH4014" s="77"/>
      <c r="BI4014" s="77"/>
    </row>
    <row r="4015" spans="1:61" x14ac:dyDescent="0.25">
      <c r="A4015" s="62" t="s">
        <v>710</v>
      </c>
      <c r="B4015" s="62" t="s">
        <v>710</v>
      </c>
      <c r="C4015" s="63"/>
      <c r="D4015" s="64"/>
      <c r="E4015" s="65"/>
      <c r="F4015" s="66"/>
      <c r="G4015" s="63"/>
      <c r="H4015" s="67"/>
      <c r="I4015" s="68"/>
      <c r="J4015" s="68"/>
      <c r="K4015" s="32"/>
      <c r="L4015" s="75">
        <v>4015</v>
      </c>
      <c r="M4015" s="75"/>
      <c r="N4015" s="70"/>
      <c r="O4015" s="77" t="s">
        <v>179</v>
      </c>
      <c r="P4015" s="79">
        <v>45197.046944444446</v>
      </c>
      <c r="Q4015" s="77" t="s">
        <v>4788</v>
      </c>
      <c r="R4015" s="77">
        <v>0</v>
      </c>
      <c r="S4015" s="77">
        <v>0</v>
      </c>
      <c r="T4015" s="77">
        <v>0</v>
      </c>
      <c r="U4015" s="77">
        <v>0</v>
      </c>
      <c r="V4015" s="77">
        <v>27</v>
      </c>
      <c r="W4015" s="82" t="s">
        <v>6972</v>
      </c>
      <c r="X4015" s="80" t="str">
        <f>HYPERLINK("http://dlvr.it/SwhZQf")</f>
        <v>http://dlvr.it/SwhZQf</v>
      </c>
      <c r="Y4015" s="77" t="s">
        <v>7094</v>
      </c>
      <c r="Z4015" s="77"/>
      <c r="AA4015" s="77"/>
      <c r="AB4015" s="77"/>
      <c r="AC4015" s="82" t="s">
        <v>7094</v>
      </c>
      <c r="AD4015" s="77" t="s">
        <v>8278</v>
      </c>
      <c r="AE4015" s="80" t="str">
        <f>HYPERLINK("https://twitter.com/foletooficial/status/1707200349298458666")</f>
        <v>https://twitter.com/foletooficial/status/1707200349298458666</v>
      </c>
      <c r="AF4015" s="79">
        <v>45197.046944444446</v>
      </c>
      <c r="AG4015" s="85">
        <v>45197</v>
      </c>
      <c r="AH4015" s="82" t="s">
        <v>11958</v>
      </c>
      <c r="AI4015" s="77" t="b">
        <v>0</v>
      </c>
      <c r="AJ4015" s="77"/>
      <c r="AK4015" s="77"/>
      <c r="AL4015" s="77"/>
      <c r="AM4015" s="77"/>
      <c r="AN4015" s="77"/>
      <c r="AO4015" s="77"/>
      <c r="AP4015" s="77"/>
      <c r="AQ4015" s="77"/>
      <c r="AR4015" s="77"/>
      <c r="AS4015" s="77"/>
      <c r="AT4015" s="77"/>
      <c r="AU4015" s="77"/>
      <c r="AV4015" s="80" t="str">
        <f>HYPERLINK("https://pbs.twimg.com/profile_images/1326195867213295617/630TXqHT_normal.jpg")</f>
        <v>https://pbs.twimg.com/profile_images/1326195867213295617/630TXqHT_normal.jpg</v>
      </c>
      <c r="AW4015" s="82" t="s">
        <v>17099</v>
      </c>
      <c r="AX4015" s="82" t="s">
        <v>17099</v>
      </c>
      <c r="AY4015" s="77"/>
      <c r="AZ4015" s="82" t="s">
        <v>17385</v>
      </c>
      <c r="BA4015" s="82" t="s">
        <v>17385</v>
      </c>
      <c r="BB4015" s="82" t="s">
        <v>17385</v>
      </c>
      <c r="BC4015" s="82" t="s">
        <v>17099</v>
      </c>
      <c r="BD4015" s="82" t="s">
        <v>17703</v>
      </c>
      <c r="BE4015" s="77"/>
      <c r="BF4015" s="77"/>
      <c r="BG4015" s="77"/>
      <c r="BH4015" s="77"/>
      <c r="BI4015" s="77"/>
    </row>
    <row r="4016" spans="1:61" x14ac:dyDescent="0.25">
      <c r="A4016" s="62" t="s">
        <v>710</v>
      </c>
      <c r="B4016" s="62" t="s">
        <v>710</v>
      </c>
      <c r="C4016" s="63"/>
      <c r="D4016" s="64"/>
      <c r="E4016" s="65"/>
      <c r="F4016" s="66"/>
      <c r="G4016" s="63"/>
      <c r="H4016" s="67"/>
      <c r="I4016" s="68"/>
      <c r="J4016" s="68"/>
      <c r="K4016" s="32"/>
      <c r="L4016" s="75">
        <v>4016</v>
      </c>
      <c r="M4016" s="75"/>
      <c r="N4016" s="70"/>
      <c r="O4016" s="77" t="s">
        <v>179</v>
      </c>
      <c r="P4016" s="79">
        <v>45097.722997685189</v>
      </c>
      <c r="Q4016" s="77" t="s">
        <v>4789</v>
      </c>
      <c r="R4016" s="77">
        <v>0</v>
      </c>
      <c r="S4016" s="77">
        <v>0</v>
      </c>
      <c r="T4016" s="77">
        <v>0</v>
      </c>
      <c r="U4016" s="77">
        <v>0</v>
      </c>
      <c r="V4016" s="77">
        <v>8</v>
      </c>
      <c r="W4016" s="82" t="s">
        <v>6973</v>
      </c>
      <c r="X4016" s="80" t="str">
        <f>HYPERLINK("http://dlvr.it/SqyzzL")</f>
        <v>http://dlvr.it/SqyzzL</v>
      </c>
      <c r="Y4016" s="77" t="s">
        <v>7094</v>
      </c>
      <c r="Z4016" s="77"/>
      <c r="AA4016" s="77"/>
      <c r="AB4016" s="77"/>
      <c r="AC4016" s="82" t="s">
        <v>7094</v>
      </c>
      <c r="AD4016" s="77" t="s">
        <v>8278</v>
      </c>
      <c r="AE4016" s="80" t="str">
        <f>HYPERLINK("https://twitter.com/foletooficial/status/1671206558766895106")</f>
        <v>https://twitter.com/foletooficial/status/1671206558766895106</v>
      </c>
      <c r="AF4016" s="79">
        <v>45097.722997685189</v>
      </c>
      <c r="AG4016" s="85">
        <v>45097</v>
      </c>
      <c r="AH4016" s="82" t="s">
        <v>11959</v>
      </c>
      <c r="AI4016" s="77" t="b">
        <v>0</v>
      </c>
      <c r="AJ4016" s="77"/>
      <c r="AK4016" s="77"/>
      <c r="AL4016" s="77"/>
      <c r="AM4016" s="77"/>
      <c r="AN4016" s="77"/>
      <c r="AO4016" s="77"/>
      <c r="AP4016" s="77"/>
      <c r="AQ4016" s="77"/>
      <c r="AR4016" s="77"/>
      <c r="AS4016" s="77"/>
      <c r="AT4016" s="77"/>
      <c r="AU4016" s="77"/>
      <c r="AV4016" s="80" t="str">
        <f>HYPERLINK("https://pbs.twimg.com/profile_images/1326195867213295617/630TXqHT_normal.jpg")</f>
        <v>https://pbs.twimg.com/profile_images/1326195867213295617/630TXqHT_normal.jpg</v>
      </c>
      <c r="AW4016" s="82" t="s">
        <v>17100</v>
      </c>
      <c r="AX4016" s="82" t="s">
        <v>17100</v>
      </c>
      <c r="AY4016" s="77"/>
      <c r="AZ4016" s="82" t="s">
        <v>17385</v>
      </c>
      <c r="BA4016" s="82" t="s">
        <v>17385</v>
      </c>
      <c r="BB4016" s="82" t="s">
        <v>17385</v>
      </c>
      <c r="BC4016" s="82" t="s">
        <v>17100</v>
      </c>
      <c r="BD4016" s="82" t="s">
        <v>17703</v>
      </c>
      <c r="BE4016" s="77"/>
      <c r="BF4016" s="77"/>
      <c r="BG4016" s="77"/>
      <c r="BH4016" s="77"/>
      <c r="BI4016" s="77"/>
    </row>
    <row r="4017" spans="1:61" x14ac:dyDescent="0.25">
      <c r="A4017" s="62" t="s">
        <v>711</v>
      </c>
      <c r="B4017" s="62" t="s">
        <v>711</v>
      </c>
      <c r="C4017" s="63"/>
      <c r="D4017" s="64"/>
      <c r="E4017" s="65"/>
      <c r="F4017" s="66"/>
      <c r="G4017" s="63"/>
      <c r="H4017" s="67"/>
      <c r="I4017" s="68"/>
      <c r="J4017" s="68"/>
      <c r="K4017" s="32"/>
      <c r="L4017" s="75">
        <v>4017</v>
      </c>
      <c r="M4017" s="75"/>
      <c r="N4017" s="70"/>
      <c r="O4017" s="77" t="s">
        <v>179</v>
      </c>
      <c r="P4017" s="79">
        <v>45089.958912037036</v>
      </c>
      <c r="Q4017" s="77" t="s">
        <v>4790</v>
      </c>
      <c r="R4017" s="77">
        <v>0</v>
      </c>
      <c r="S4017" s="77">
        <v>0</v>
      </c>
      <c r="T4017" s="77">
        <v>1</v>
      </c>
      <c r="U4017" s="77">
        <v>0</v>
      </c>
      <c r="V4017" s="77">
        <v>36</v>
      </c>
      <c r="W4017" s="82" t="s">
        <v>6974</v>
      </c>
      <c r="X4017" s="77"/>
      <c r="Y4017" s="77"/>
      <c r="Z4017" s="77"/>
      <c r="AA4017" s="77" t="s">
        <v>8211</v>
      </c>
      <c r="AB4017" s="77" t="s">
        <v>8225</v>
      </c>
      <c r="AC4017" s="82" t="s">
        <v>8234</v>
      </c>
      <c r="AD4017" s="77" t="s">
        <v>8278</v>
      </c>
      <c r="AE4017" s="80" t="str">
        <f>HYPERLINK("https://twitter.com/quebradob/status/1668392948017385477")</f>
        <v>https://twitter.com/quebradob/status/1668392948017385477</v>
      </c>
      <c r="AF4017" s="79">
        <v>45089.958912037036</v>
      </c>
      <c r="AG4017" s="85">
        <v>45089</v>
      </c>
      <c r="AH4017" s="82" t="s">
        <v>11960</v>
      </c>
      <c r="AI4017" s="77" t="b">
        <v>0</v>
      </c>
      <c r="AJ4017" s="77" t="s">
        <v>11994</v>
      </c>
      <c r="AK4017" s="77" t="s">
        <v>12007</v>
      </c>
      <c r="AL4017" s="77" t="s">
        <v>12010</v>
      </c>
      <c r="AM4017" s="77" t="s">
        <v>12014</v>
      </c>
      <c r="AN4017" s="77" t="s">
        <v>12026</v>
      </c>
      <c r="AO4017" s="77" t="s">
        <v>12040</v>
      </c>
      <c r="AP4017" s="77" t="s">
        <v>12051</v>
      </c>
      <c r="AQ4017" s="77" t="s">
        <v>13096</v>
      </c>
      <c r="AR4017" s="77"/>
      <c r="AS4017" s="77"/>
      <c r="AT4017" s="77"/>
      <c r="AU4017" s="77"/>
      <c r="AV4017" s="80" t="str">
        <f>HYPERLINK("https://pbs.twimg.com/media/FydSiz5WcAEtFBw.jpg")</f>
        <v>https://pbs.twimg.com/media/FydSiz5WcAEtFBw.jpg</v>
      </c>
      <c r="AW4017" s="82" t="s">
        <v>17101</v>
      </c>
      <c r="AX4017" s="82" t="s">
        <v>17101</v>
      </c>
      <c r="AY4017" s="77"/>
      <c r="AZ4017" s="82" t="s">
        <v>17385</v>
      </c>
      <c r="BA4017" s="82" t="s">
        <v>17385</v>
      </c>
      <c r="BB4017" s="82" t="s">
        <v>17385</v>
      </c>
      <c r="BC4017" s="82" t="s">
        <v>17101</v>
      </c>
      <c r="BD4017" s="82" t="s">
        <v>17704</v>
      </c>
      <c r="BE4017" s="77"/>
      <c r="BF4017" s="77"/>
      <c r="BG4017" s="77"/>
      <c r="BH4017" s="77"/>
      <c r="BI4017" s="77"/>
    </row>
    <row r="4018" spans="1:61" x14ac:dyDescent="0.25">
      <c r="A4018" s="62" t="s">
        <v>712</v>
      </c>
      <c r="B4018" s="62" t="s">
        <v>712</v>
      </c>
      <c r="C4018" s="63"/>
      <c r="D4018" s="64"/>
      <c r="E4018" s="65"/>
      <c r="F4018" s="66"/>
      <c r="G4018" s="63"/>
      <c r="H4018" s="67"/>
      <c r="I4018" s="68"/>
      <c r="J4018" s="68"/>
      <c r="K4018" s="32"/>
      <c r="L4018" s="75">
        <v>4018</v>
      </c>
      <c r="M4018" s="75"/>
      <c r="N4018" s="70"/>
      <c r="O4018" s="77" t="s">
        <v>179</v>
      </c>
      <c r="P4018" s="79">
        <v>45079.609409722223</v>
      </c>
      <c r="Q4018" s="77" t="s">
        <v>4791</v>
      </c>
      <c r="R4018" s="77">
        <v>0</v>
      </c>
      <c r="S4018" s="77">
        <v>0</v>
      </c>
      <c r="T4018" s="77">
        <v>0</v>
      </c>
      <c r="U4018" s="77">
        <v>0</v>
      </c>
      <c r="V4018" s="77">
        <v>29</v>
      </c>
      <c r="W4018" s="82" t="s">
        <v>6975</v>
      </c>
      <c r="X4018" s="80" t="str">
        <f>HYPERLINK("https://caesegatos.com.br/premierpet-foca-em-inovacao-tecnologia-e-sustentabilidade-no-42o-cba/")</f>
        <v>https://caesegatos.com.br/premierpet-foca-em-inovacao-tecnologia-e-sustentabilidade-no-42o-cba/</v>
      </c>
      <c r="Y4018" s="77" t="s">
        <v>7053</v>
      </c>
      <c r="Z4018" s="77"/>
      <c r="AA4018" s="77"/>
      <c r="AB4018" s="77"/>
      <c r="AC4018" s="82" t="s">
        <v>8232</v>
      </c>
      <c r="AD4018" s="77" t="s">
        <v>8278</v>
      </c>
      <c r="AE4018" s="80" t="str">
        <f>HYPERLINK("https://twitter.com/caesgatos/status/1664642412969377800")</f>
        <v>https://twitter.com/caesgatos/status/1664642412969377800</v>
      </c>
      <c r="AF4018" s="79">
        <v>45079.609409722223</v>
      </c>
      <c r="AG4018" s="85">
        <v>45079</v>
      </c>
      <c r="AH4018" s="82" t="s">
        <v>11961</v>
      </c>
      <c r="AI4018" s="77" t="b">
        <v>0</v>
      </c>
      <c r="AJ4018" s="77"/>
      <c r="AK4018" s="77"/>
      <c r="AL4018" s="77"/>
      <c r="AM4018" s="77"/>
      <c r="AN4018" s="77"/>
      <c r="AO4018" s="77"/>
      <c r="AP4018" s="77"/>
      <c r="AQ4018" s="77"/>
      <c r="AR4018" s="77"/>
      <c r="AS4018" s="77"/>
      <c r="AT4018" s="77"/>
      <c r="AU4018" s="77"/>
      <c r="AV4018" s="80" t="str">
        <f>HYPERLINK("https://pbs.twimg.com/profile_images/1601188173614387200/Fz1EeOb__normal.jpg")</f>
        <v>https://pbs.twimg.com/profile_images/1601188173614387200/Fz1EeOb__normal.jpg</v>
      </c>
      <c r="AW4018" s="82" t="s">
        <v>17102</v>
      </c>
      <c r="AX4018" s="82" t="s">
        <v>17102</v>
      </c>
      <c r="AY4018" s="77"/>
      <c r="AZ4018" s="82" t="s">
        <v>17385</v>
      </c>
      <c r="BA4018" s="82" t="s">
        <v>17385</v>
      </c>
      <c r="BB4018" s="82" t="s">
        <v>17385</v>
      </c>
      <c r="BC4018" s="82" t="s">
        <v>17102</v>
      </c>
      <c r="BD4018" s="77">
        <v>74146257</v>
      </c>
      <c r="BE4018" s="77"/>
      <c r="BF4018" s="77"/>
      <c r="BG4018" s="77"/>
      <c r="BH4018" s="77"/>
      <c r="BI4018" s="77"/>
    </row>
    <row r="4019" spans="1:61" x14ac:dyDescent="0.25">
      <c r="A4019" s="62" t="s">
        <v>713</v>
      </c>
      <c r="B4019" s="62" t="s">
        <v>713</v>
      </c>
      <c r="C4019" s="63"/>
      <c r="D4019" s="64"/>
      <c r="E4019" s="65"/>
      <c r="F4019" s="66"/>
      <c r="G4019" s="63"/>
      <c r="H4019" s="67"/>
      <c r="I4019" s="68"/>
      <c r="J4019" s="68"/>
      <c r="K4019" s="32"/>
      <c r="L4019" s="75">
        <v>4019</v>
      </c>
      <c r="M4019" s="75"/>
      <c r="N4019" s="70"/>
      <c r="O4019" s="77" t="s">
        <v>179</v>
      </c>
      <c r="P4019" s="79">
        <v>45171.914629629631</v>
      </c>
      <c r="Q4019" s="77" t="s">
        <v>4792</v>
      </c>
      <c r="R4019" s="77">
        <v>0</v>
      </c>
      <c r="S4019" s="77">
        <v>0</v>
      </c>
      <c r="T4019" s="77">
        <v>0</v>
      </c>
      <c r="U4019" s="77">
        <v>0</v>
      </c>
      <c r="V4019" s="77">
        <v>24</v>
      </c>
      <c r="W4019" s="82" t="s">
        <v>6976</v>
      </c>
      <c r="X4019" s="77"/>
      <c r="Y4019" s="77"/>
      <c r="Z4019" s="77"/>
      <c r="AA4019" s="77" t="s">
        <v>8212</v>
      </c>
      <c r="AB4019" s="77" t="s">
        <v>8225</v>
      </c>
      <c r="AC4019" s="82" t="s">
        <v>8234</v>
      </c>
      <c r="AD4019" s="77" t="s">
        <v>8278</v>
      </c>
      <c r="AE4019" s="80" t="str">
        <f>HYPERLINK("https://twitter.com/rodrigobarboza7/status/1698092705195155661")</f>
        <v>https://twitter.com/rodrigobarboza7/status/1698092705195155661</v>
      </c>
      <c r="AF4019" s="79">
        <v>45171.914629629631</v>
      </c>
      <c r="AG4019" s="85">
        <v>45171</v>
      </c>
      <c r="AH4019" s="82" t="s">
        <v>11962</v>
      </c>
      <c r="AI4019" s="77" t="b">
        <v>1</v>
      </c>
      <c r="AJ4019" s="77"/>
      <c r="AK4019" s="77"/>
      <c r="AL4019" s="77"/>
      <c r="AM4019" s="77"/>
      <c r="AN4019" s="77"/>
      <c r="AO4019" s="77"/>
      <c r="AP4019" s="77"/>
      <c r="AQ4019" s="77" t="s">
        <v>13097</v>
      </c>
      <c r="AR4019" s="77"/>
      <c r="AS4019" s="77"/>
      <c r="AT4019" s="77"/>
      <c r="AU4019" s="77"/>
      <c r="AV4019" s="80" t="str">
        <f>HYPERLINK("https://pbs.twimg.com/media/F5DWUMOWsAAgt5x.jpg")</f>
        <v>https://pbs.twimg.com/media/F5DWUMOWsAAgt5x.jpg</v>
      </c>
      <c r="AW4019" s="82" t="s">
        <v>17103</v>
      </c>
      <c r="AX4019" s="82" t="s">
        <v>17103</v>
      </c>
      <c r="AY4019" s="77"/>
      <c r="AZ4019" s="82" t="s">
        <v>17385</v>
      </c>
      <c r="BA4019" s="82" t="s">
        <v>17385</v>
      </c>
      <c r="BB4019" s="82" t="s">
        <v>17385</v>
      </c>
      <c r="BC4019" s="82" t="s">
        <v>17103</v>
      </c>
      <c r="BD4019" s="77">
        <v>136452657</v>
      </c>
      <c r="BE4019" s="77"/>
      <c r="BF4019" s="77"/>
      <c r="BG4019" s="77"/>
      <c r="BH4019" s="77"/>
      <c r="BI4019" s="77"/>
    </row>
    <row r="4020" spans="1:61" x14ac:dyDescent="0.25">
      <c r="A4020" s="62" t="s">
        <v>714</v>
      </c>
      <c r="B4020" s="62" t="s">
        <v>797</v>
      </c>
      <c r="C4020" s="63"/>
      <c r="D4020" s="64"/>
      <c r="E4020" s="65"/>
      <c r="F4020" s="66"/>
      <c r="G4020" s="63"/>
      <c r="H4020" s="67"/>
      <c r="I4020" s="68"/>
      <c r="J4020" s="68"/>
      <c r="K4020" s="32"/>
      <c r="L4020" s="75">
        <v>4020</v>
      </c>
      <c r="M4020" s="75"/>
      <c r="N4020" s="70"/>
      <c r="O4020" s="77" t="s">
        <v>805</v>
      </c>
      <c r="P4020" s="79">
        <v>45161.8437037037</v>
      </c>
      <c r="Q4020" s="77" t="s">
        <v>4793</v>
      </c>
      <c r="R4020" s="77">
        <v>0</v>
      </c>
      <c r="S4020" s="77">
        <v>7</v>
      </c>
      <c r="T4020" s="77">
        <v>1</v>
      </c>
      <c r="U4020" s="77">
        <v>0</v>
      </c>
      <c r="V4020" s="77">
        <v>1433</v>
      </c>
      <c r="W4020" s="82" t="s">
        <v>6977</v>
      </c>
      <c r="X4020" s="77"/>
      <c r="Y4020" s="77"/>
      <c r="Z4020" s="77" t="s">
        <v>7167</v>
      </c>
      <c r="AA4020" s="77"/>
      <c r="AB4020" s="77"/>
      <c r="AC4020" s="82" t="s">
        <v>8232</v>
      </c>
      <c r="AD4020" s="77" t="s">
        <v>8278</v>
      </c>
      <c r="AE4020" s="80" t="str">
        <f>HYPERLINK("https://twitter.com/bancocentralbr/status/1694443122195853562")</f>
        <v>https://twitter.com/bancocentralbr/status/1694443122195853562</v>
      </c>
      <c r="AF4020" s="79">
        <v>45161.8437037037</v>
      </c>
      <c r="AG4020" s="85">
        <v>45161</v>
      </c>
      <c r="AH4020" s="82" t="s">
        <v>11963</v>
      </c>
      <c r="AI4020" s="77"/>
      <c r="AJ4020" s="77"/>
      <c r="AK4020" s="77"/>
      <c r="AL4020" s="77"/>
      <c r="AM4020" s="77"/>
      <c r="AN4020" s="77"/>
      <c r="AO4020" s="77"/>
      <c r="AP4020" s="77"/>
      <c r="AQ4020" s="77"/>
      <c r="AR4020" s="77"/>
      <c r="AS4020" s="77"/>
      <c r="AT4020" s="77"/>
      <c r="AU4020" s="77"/>
      <c r="AV4020" s="80" t="str">
        <f>HYPERLINK("https://pbs.twimg.com/profile_images/1674371511996628993/reGcyxoU_normal.jpg")</f>
        <v>https://pbs.twimg.com/profile_images/1674371511996628993/reGcyxoU_normal.jpg</v>
      </c>
      <c r="AW4020" s="82" t="s">
        <v>17104</v>
      </c>
      <c r="AX4020" s="82" t="s">
        <v>17309</v>
      </c>
      <c r="AY4020" s="82" t="s">
        <v>17384</v>
      </c>
      <c r="AZ4020" s="82" t="s">
        <v>17309</v>
      </c>
      <c r="BA4020" s="82" t="s">
        <v>17385</v>
      </c>
      <c r="BB4020" s="82" t="s">
        <v>17385</v>
      </c>
      <c r="BC4020" s="82" t="s">
        <v>17309</v>
      </c>
      <c r="BD4020" s="77">
        <v>222157159</v>
      </c>
      <c r="BE4020" s="77"/>
      <c r="BF4020" s="77"/>
      <c r="BG4020" s="77"/>
      <c r="BH4020" s="77"/>
      <c r="BI4020" s="77"/>
    </row>
    <row r="4021" spans="1:61" x14ac:dyDescent="0.25">
      <c r="A4021" s="62" t="s">
        <v>714</v>
      </c>
      <c r="B4021" s="62" t="s">
        <v>714</v>
      </c>
      <c r="C4021" s="63"/>
      <c r="D4021" s="64"/>
      <c r="E4021" s="65"/>
      <c r="F4021" s="66"/>
      <c r="G4021" s="63"/>
      <c r="H4021" s="67"/>
      <c r="I4021" s="68"/>
      <c r="J4021" s="68"/>
      <c r="K4021" s="32"/>
      <c r="L4021" s="75">
        <v>4021</v>
      </c>
      <c r="M4021" s="75"/>
      <c r="N4021" s="70"/>
      <c r="O4021" s="77" t="s">
        <v>800</v>
      </c>
      <c r="P4021" s="79">
        <v>45134.873483796298</v>
      </c>
      <c r="Q4021" s="77" t="s">
        <v>4794</v>
      </c>
      <c r="R4021" s="77">
        <v>1</v>
      </c>
      <c r="S4021" s="77">
        <v>2</v>
      </c>
      <c r="T4021" s="77">
        <v>0</v>
      </c>
      <c r="U4021" s="77">
        <v>0</v>
      </c>
      <c r="V4021" s="77">
        <v>1630</v>
      </c>
      <c r="W4021" s="82" t="s">
        <v>6978</v>
      </c>
      <c r="X4021" s="77"/>
      <c r="Y4021" s="77"/>
      <c r="Z4021" s="77"/>
      <c r="AA4021" s="77"/>
      <c r="AB4021" s="77"/>
      <c r="AC4021" s="82" t="s">
        <v>8232</v>
      </c>
      <c r="AD4021" s="77" t="s">
        <v>8278</v>
      </c>
      <c r="AE4021" s="80" t="str">
        <f>HYPERLINK("https://twitter.com/bancocentralbr/status/1684669443337527296")</f>
        <v>https://twitter.com/bancocentralbr/status/1684669443337527296</v>
      </c>
      <c r="AF4021" s="79">
        <v>45134.873483796298</v>
      </c>
      <c r="AG4021" s="85">
        <v>45134</v>
      </c>
      <c r="AH4021" s="82" t="s">
        <v>11964</v>
      </c>
      <c r="AI4021" s="77"/>
      <c r="AJ4021" s="77"/>
      <c r="AK4021" s="77"/>
      <c r="AL4021" s="77"/>
      <c r="AM4021" s="77"/>
      <c r="AN4021" s="77"/>
      <c r="AO4021" s="77"/>
      <c r="AP4021" s="77"/>
      <c r="AQ4021" s="77"/>
      <c r="AR4021" s="77"/>
      <c r="AS4021" s="77"/>
      <c r="AT4021" s="77"/>
      <c r="AU4021" s="77"/>
      <c r="AV4021" s="80" t="str">
        <f>HYPERLINK("https://pbs.twimg.com/profile_images/1674371511996628993/reGcyxoU_normal.jpg")</f>
        <v>https://pbs.twimg.com/profile_images/1674371511996628993/reGcyxoU_normal.jpg</v>
      </c>
      <c r="AW4021" s="82" t="s">
        <v>17105</v>
      </c>
      <c r="AX4021" s="82" t="s">
        <v>17310</v>
      </c>
      <c r="AY4021" s="82" t="s">
        <v>17384</v>
      </c>
      <c r="AZ4021" s="82" t="s">
        <v>17436</v>
      </c>
      <c r="BA4021" s="82" t="s">
        <v>17385</v>
      </c>
      <c r="BB4021" s="82" t="s">
        <v>17385</v>
      </c>
      <c r="BC4021" s="82" t="s">
        <v>17436</v>
      </c>
      <c r="BD4021" s="77">
        <v>222157159</v>
      </c>
      <c r="BE4021" s="77"/>
      <c r="BF4021" s="77"/>
      <c r="BG4021" s="77"/>
      <c r="BH4021" s="77"/>
      <c r="BI4021" s="77"/>
    </row>
    <row r="4022" spans="1:61" x14ac:dyDescent="0.25">
      <c r="A4022" s="62" t="s">
        <v>714</v>
      </c>
      <c r="B4022" s="62" t="s">
        <v>714</v>
      </c>
      <c r="C4022" s="63"/>
      <c r="D4022" s="64"/>
      <c r="E4022" s="65"/>
      <c r="F4022" s="66"/>
      <c r="G4022" s="63"/>
      <c r="H4022" s="67"/>
      <c r="I4022" s="68"/>
      <c r="J4022" s="68"/>
      <c r="K4022" s="32"/>
      <c r="L4022" s="75">
        <v>4022</v>
      </c>
      <c r="M4022" s="75"/>
      <c r="N4022" s="70"/>
      <c r="O4022" s="77" t="s">
        <v>800</v>
      </c>
      <c r="P4022" s="79">
        <v>45140.682430555556</v>
      </c>
      <c r="Q4022" s="77" t="s">
        <v>4795</v>
      </c>
      <c r="R4022" s="77">
        <v>1</v>
      </c>
      <c r="S4022" s="77">
        <v>6</v>
      </c>
      <c r="T4022" s="77">
        <v>0</v>
      </c>
      <c r="U4022" s="77">
        <v>0</v>
      </c>
      <c r="V4022" s="77">
        <v>2432</v>
      </c>
      <c r="W4022" s="82" t="s">
        <v>6979</v>
      </c>
      <c r="X4022" s="77"/>
      <c r="Y4022" s="77"/>
      <c r="Z4022" s="77"/>
      <c r="AA4022" s="77"/>
      <c r="AB4022" s="77"/>
      <c r="AC4022" s="82" t="s">
        <v>8232</v>
      </c>
      <c r="AD4022" s="77" t="s">
        <v>8282</v>
      </c>
      <c r="AE4022" s="80" t="str">
        <f>HYPERLINK("https://twitter.com/bancocentralbr/status/1686774532982411264")</f>
        <v>https://twitter.com/bancocentralbr/status/1686774532982411264</v>
      </c>
      <c r="AF4022" s="79">
        <v>45140.682430555556</v>
      </c>
      <c r="AG4022" s="85">
        <v>45140</v>
      </c>
      <c r="AH4022" s="82" t="s">
        <v>11965</v>
      </c>
      <c r="AI4022" s="77"/>
      <c r="AJ4022" s="77"/>
      <c r="AK4022" s="77"/>
      <c r="AL4022" s="77"/>
      <c r="AM4022" s="77"/>
      <c r="AN4022" s="77"/>
      <c r="AO4022" s="77"/>
      <c r="AP4022" s="77"/>
      <c r="AQ4022" s="77"/>
      <c r="AR4022" s="77"/>
      <c r="AS4022" s="77"/>
      <c r="AT4022" s="77"/>
      <c r="AU4022" s="77"/>
      <c r="AV4022" s="80" t="str">
        <f>HYPERLINK("https://pbs.twimg.com/profile_images/1674371511996628993/reGcyxoU_normal.jpg")</f>
        <v>https://pbs.twimg.com/profile_images/1674371511996628993/reGcyxoU_normal.jpg</v>
      </c>
      <c r="AW4022" s="82" t="s">
        <v>17106</v>
      </c>
      <c r="AX4022" s="82" t="s">
        <v>17311</v>
      </c>
      <c r="AY4022" s="82" t="s">
        <v>17384</v>
      </c>
      <c r="AZ4022" s="82" t="s">
        <v>17437</v>
      </c>
      <c r="BA4022" s="82" t="s">
        <v>17385</v>
      </c>
      <c r="BB4022" s="82" t="s">
        <v>17385</v>
      </c>
      <c r="BC4022" s="82" t="s">
        <v>17437</v>
      </c>
      <c r="BD4022" s="77">
        <v>222157159</v>
      </c>
      <c r="BE4022" s="77"/>
      <c r="BF4022" s="77"/>
      <c r="BG4022" s="77"/>
      <c r="BH4022" s="77"/>
      <c r="BI4022" s="77"/>
    </row>
    <row r="4023" spans="1:61" x14ac:dyDescent="0.25">
      <c r="A4023" s="62" t="s">
        <v>714</v>
      </c>
      <c r="B4023" s="62" t="s">
        <v>714</v>
      </c>
      <c r="C4023" s="63"/>
      <c r="D4023" s="64"/>
      <c r="E4023" s="65"/>
      <c r="F4023" s="66"/>
      <c r="G4023" s="63"/>
      <c r="H4023" s="67"/>
      <c r="I4023" s="68"/>
      <c r="J4023" s="68"/>
      <c r="K4023" s="32"/>
      <c r="L4023" s="75">
        <v>4023</v>
      </c>
      <c r="M4023" s="75"/>
      <c r="N4023" s="70"/>
      <c r="O4023" s="77" t="s">
        <v>800</v>
      </c>
      <c r="P4023" s="79">
        <v>45160.785555555558</v>
      </c>
      <c r="Q4023" s="77" t="s">
        <v>4795</v>
      </c>
      <c r="R4023" s="77">
        <v>0</v>
      </c>
      <c r="S4023" s="77">
        <v>0</v>
      </c>
      <c r="T4023" s="77">
        <v>1</v>
      </c>
      <c r="U4023" s="77">
        <v>0</v>
      </c>
      <c r="V4023" s="77">
        <v>1561</v>
      </c>
      <c r="W4023" s="82" t="s">
        <v>6979</v>
      </c>
      <c r="X4023" s="77"/>
      <c r="Y4023" s="77"/>
      <c r="Z4023" s="77"/>
      <c r="AA4023" s="77"/>
      <c r="AB4023" s="77"/>
      <c r="AC4023" s="82" t="s">
        <v>8232</v>
      </c>
      <c r="AD4023" s="77" t="s">
        <v>8282</v>
      </c>
      <c r="AE4023" s="80" t="str">
        <f>HYPERLINK("https://twitter.com/bancocentralbr/status/1694059662511947908")</f>
        <v>https://twitter.com/bancocentralbr/status/1694059662511947908</v>
      </c>
      <c r="AF4023" s="79">
        <v>45160.785555555558</v>
      </c>
      <c r="AG4023" s="85">
        <v>45160</v>
      </c>
      <c r="AH4023" s="82" t="s">
        <v>11966</v>
      </c>
      <c r="AI4023" s="77"/>
      <c r="AJ4023" s="77"/>
      <c r="AK4023" s="77"/>
      <c r="AL4023" s="77"/>
      <c r="AM4023" s="77"/>
      <c r="AN4023" s="77"/>
      <c r="AO4023" s="77"/>
      <c r="AP4023" s="77"/>
      <c r="AQ4023" s="77"/>
      <c r="AR4023" s="77"/>
      <c r="AS4023" s="77"/>
      <c r="AT4023" s="77"/>
      <c r="AU4023" s="77"/>
      <c r="AV4023" s="80" t="str">
        <f>HYPERLINK("https://pbs.twimg.com/profile_images/1674371511996628993/reGcyxoU_normal.jpg")</f>
        <v>https://pbs.twimg.com/profile_images/1674371511996628993/reGcyxoU_normal.jpg</v>
      </c>
      <c r="AW4023" s="82" t="s">
        <v>17107</v>
      </c>
      <c r="AX4023" s="82" t="s">
        <v>17312</v>
      </c>
      <c r="AY4023" s="82" t="s">
        <v>17384</v>
      </c>
      <c r="AZ4023" s="82" t="s">
        <v>17312</v>
      </c>
      <c r="BA4023" s="82" t="s">
        <v>17385</v>
      </c>
      <c r="BB4023" s="82" t="s">
        <v>17385</v>
      </c>
      <c r="BC4023" s="82" t="s">
        <v>17312</v>
      </c>
      <c r="BD4023" s="77">
        <v>222157159</v>
      </c>
      <c r="BE4023" s="77"/>
      <c r="BF4023" s="77"/>
      <c r="BG4023" s="77"/>
      <c r="BH4023" s="77"/>
      <c r="BI4023" s="77"/>
    </row>
    <row r="4024" spans="1:61" x14ac:dyDescent="0.25">
      <c r="A4024" s="62" t="s">
        <v>714</v>
      </c>
      <c r="B4024" s="62" t="s">
        <v>714</v>
      </c>
      <c r="C4024" s="63"/>
      <c r="D4024" s="64"/>
      <c r="E4024" s="65"/>
      <c r="F4024" s="66"/>
      <c r="G4024" s="63"/>
      <c r="H4024" s="67"/>
      <c r="I4024" s="68"/>
      <c r="J4024" s="68"/>
      <c r="K4024" s="32"/>
      <c r="L4024" s="75">
        <v>4024</v>
      </c>
      <c r="M4024" s="75"/>
      <c r="N4024" s="70"/>
      <c r="O4024" s="77" t="s">
        <v>179</v>
      </c>
      <c r="P4024" s="79">
        <v>45161.860381944447</v>
      </c>
      <c r="Q4024" s="77" t="s">
        <v>4796</v>
      </c>
      <c r="R4024" s="77">
        <v>2</v>
      </c>
      <c r="S4024" s="77">
        <v>20</v>
      </c>
      <c r="T4024" s="77">
        <v>4</v>
      </c>
      <c r="U4024" s="77">
        <v>0</v>
      </c>
      <c r="V4024" s="77">
        <v>3206</v>
      </c>
      <c r="W4024" s="82" t="s">
        <v>6980</v>
      </c>
      <c r="X4024" s="77"/>
      <c r="Y4024" s="77"/>
      <c r="Z4024" s="77"/>
      <c r="AA4024" s="77" t="s">
        <v>8213</v>
      </c>
      <c r="AB4024" s="77" t="s">
        <v>8227</v>
      </c>
      <c r="AC4024" s="82" t="s">
        <v>8233</v>
      </c>
      <c r="AD4024" s="77" t="s">
        <v>8278</v>
      </c>
      <c r="AE4024" s="80" t="str">
        <f>HYPERLINK("https://twitter.com/bancocentralbr/status/1694449168012484693")</f>
        <v>https://twitter.com/bancocentralbr/status/1694449168012484693</v>
      </c>
      <c r="AF4024" s="79">
        <v>45161.860381944447</v>
      </c>
      <c r="AG4024" s="85">
        <v>45161</v>
      </c>
      <c r="AH4024" s="82" t="s">
        <v>11967</v>
      </c>
      <c r="AI4024" s="77" t="b">
        <v>0</v>
      </c>
      <c r="AJ4024" s="77"/>
      <c r="AK4024" s="77"/>
      <c r="AL4024" s="77"/>
      <c r="AM4024" s="77"/>
      <c r="AN4024" s="77"/>
      <c r="AO4024" s="77"/>
      <c r="AP4024" s="77"/>
      <c r="AQ4024" s="77" t="s">
        <v>13098</v>
      </c>
      <c r="AR4024" s="77">
        <v>39300</v>
      </c>
      <c r="AS4024" s="77"/>
      <c r="AT4024" s="77"/>
      <c r="AU4024" s="77"/>
      <c r="AV4024" s="80" t="str">
        <f>HYPERLINK("https://pbs.twimg.com/ext_tw_video_thumb/1694449089834819584/pu/img/cAu3kK92qgx7y708.jpg")</f>
        <v>https://pbs.twimg.com/ext_tw_video_thumb/1694449089834819584/pu/img/cAu3kK92qgx7y708.jpg</v>
      </c>
      <c r="AW4024" s="82" t="s">
        <v>17108</v>
      </c>
      <c r="AX4024" s="82" t="s">
        <v>17108</v>
      </c>
      <c r="AY4024" s="77"/>
      <c r="AZ4024" s="82" t="s">
        <v>17385</v>
      </c>
      <c r="BA4024" s="82" t="s">
        <v>17385</v>
      </c>
      <c r="BB4024" s="82" t="s">
        <v>17385</v>
      </c>
      <c r="BC4024" s="82" t="s">
        <v>17108</v>
      </c>
      <c r="BD4024" s="77">
        <v>222157159</v>
      </c>
      <c r="BE4024" s="77"/>
      <c r="BF4024" s="77"/>
      <c r="BG4024" s="77"/>
      <c r="BH4024" s="77"/>
      <c r="BI4024" s="77"/>
    </row>
    <row r="4025" spans="1:61" x14ac:dyDescent="0.25">
      <c r="A4025" s="62" t="s">
        <v>714</v>
      </c>
      <c r="B4025" s="62" t="s">
        <v>714</v>
      </c>
      <c r="C4025" s="63"/>
      <c r="D4025" s="64"/>
      <c r="E4025" s="65"/>
      <c r="F4025" s="66"/>
      <c r="G4025" s="63"/>
      <c r="H4025" s="67"/>
      <c r="I4025" s="68"/>
      <c r="J4025" s="68"/>
      <c r="K4025" s="32"/>
      <c r="L4025" s="75">
        <v>4025</v>
      </c>
      <c r="M4025" s="75"/>
      <c r="N4025" s="70"/>
      <c r="O4025" s="77" t="s">
        <v>800</v>
      </c>
      <c r="P4025" s="79">
        <v>45161.8437037037</v>
      </c>
      <c r="Q4025" s="77" t="s">
        <v>4793</v>
      </c>
      <c r="R4025" s="77">
        <v>0</v>
      </c>
      <c r="S4025" s="77">
        <v>7</v>
      </c>
      <c r="T4025" s="77">
        <v>1</v>
      </c>
      <c r="U4025" s="77">
        <v>0</v>
      </c>
      <c r="V4025" s="77">
        <v>1433</v>
      </c>
      <c r="W4025" s="82" t="s">
        <v>6977</v>
      </c>
      <c r="X4025" s="77"/>
      <c r="Y4025" s="77"/>
      <c r="Z4025" s="77" t="s">
        <v>7167</v>
      </c>
      <c r="AA4025" s="77"/>
      <c r="AB4025" s="77"/>
      <c r="AC4025" s="82" t="s">
        <v>8232</v>
      </c>
      <c r="AD4025" s="77" t="s">
        <v>8278</v>
      </c>
      <c r="AE4025" s="80" t="str">
        <f>HYPERLINK("https://twitter.com/bancocentralbr/status/1694443122195853562")</f>
        <v>https://twitter.com/bancocentralbr/status/1694443122195853562</v>
      </c>
      <c r="AF4025" s="79">
        <v>45161.8437037037</v>
      </c>
      <c r="AG4025" s="85">
        <v>45161</v>
      </c>
      <c r="AH4025" s="82" t="s">
        <v>11963</v>
      </c>
      <c r="AI4025" s="77"/>
      <c r="AJ4025" s="77"/>
      <c r="AK4025" s="77"/>
      <c r="AL4025" s="77"/>
      <c r="AM4025" s="77"/>
      <c r="AN4025" s="77"/>
      <c r="AO4025" s="77"/>
      <c r="AP4025" s="77"/>
      <c r="AQ4025" s="77"/>
      <c r="AR4025" s="77"/>
      <c r="AS4025" s="77"/>
      <c r="AT4025" s="77"/>
      <c r="AU4025" s="77"/>
      <c r="AV4025" s="80" t="str">
        <f>HYPERLINK("https://pbs.twimg.com/profile_images/1674371511996628993/reGcyxoU_normal.jpg")</f>
        <v>https://pbs.twimg.com/profile_images/1674371511996628993/reGcyxoU_normal.jpg</v>
      </c>
      <c r="AW4025" s="82" t="s">
        <v>17104</v>
      </c>
      <c r="AX4025" s="82" t="s">
        <v>17309</v>
      </c>
      <c r="AY4025" s="82" t="s">
        <v>17384</v>
      </c>
      <c r="AZ4025" s="82" t="s">
        <v>17309</v>
      </c>
      <c r="BA4025" s="82" t="s">
        <v>17385</v>
      </c>
      <c r="BB4025" s="82" t="s">
        <v>17385</v>
      </c>
      <c r="BC4025" s="82" t="s">
        <v>17309</v>
      </c>
      <c r="BD4025" s="77">
        <v>222157159</v>
      </c>
      <c r="BE4025" s="77"/>
      <c r="BF4025" s="77"/>
      <c r="BG4025" s="77"/>
      <c r="BH4025" s="77"/>
      <c r="BI4025" s="77"/>
    </row>
    <row r="4026" spans="1:61" x14ac:dyDescent="0.25">
      <c r="A4026" s="62" t="s">
        <v>714</v>
      </c>
      <c r="B4026" s="62" t="s">
        <v>714</v>
      </c>
      <c r="C4026" s="63"/>
      <c r="D4026" s="64"/>
      <c r="E4026" s="65"/>
      <c r="F4026" s="66"/>
      <c r="G4026" s="63"/>
      <c r="H4026" s="67"/>
      <c r="I4026" s="68"/>
      <c r="J4026" s="68"/>
      <c r="K4026" s="32"/>
      <c r="L4026" s="75">
        <v>4026</v>
      </c>
      <c r="M4026" s="75"/>
      <c r="N4026" s="70"/>
      <c r="O4026" s="77" t="s">
        <v>179</v>
      </c>
      <c r="P4026" s="79">
        <v>45161.750393518516</v>
      </c>
      <c r="Q4026" s="77" t="s">
        <v>4797</v>
      </c>
      <c r="R4026" s="77">
        <v>2</v>
      </c>
      <c r="S4026" s="77">
        <v>57</v>
      </c>
      <c r="T4026" s="77">
        <v>4</v>
      </c>
      <c r="U4026" s="77">
        <v>1</v>
      </c>
      <c r="V4026" s="77">
        <v>3993</v>
      </c>
      <c r="W4026" s="77"/>
      <c r="X4026" s="77"/>
      <c r="Y4026" s="77"/>
      <c r="Z4026" s="77"/>
      <c r="AA4026" s="77" t="s">
        <v>8214</v>
      </c>
      <c r="AB4026" s="77" t="s">
        <v>8225</v>
      </c>
      <c r="AC4026" s="82" t="s">
        <v>8232</v>
      </c>
      <c r="AD4026" s="77" t="s">
        <v>8278</v>
      </c>
      <c r="AE4026" s="80" t="str">
        <f>HYPERLINK("https://twitter.com/bancocentralbr/status/1694409308283244790")</f>
        <v>https://twitter.com/bancocentralbr/status/1694409308283244790</v>
      </c>
      <c r="AF4026" s="79">
        <v>45161.750393518516</v>
      </c>
      <c r="AG4026" s="85">
        <v>45161</v>
      </c>
      <c r="AH4026" s="82" t="s">
        <v>11968</v>
      </c>
      <c r="AI4026" s="77" t="b">
        <v>0</v>
      </c>
      <c r="AJ4026" s="77"/>
      <c r="AK4026" s="77"/>
      <c r="AL4026" s="77"/>
      <c r="AM4026" s="77"/>
      <c r="AN4026" s="77"/>
      <c r="AO4026" s="77"/>
      <c r="AP4026" s="77"/>
      <c r="AQ4026" s="77" t="s">
        <v>13099</v>
      </c>
      <c r="AR4026" s="77"/>
      <c r="AS4026" s="77"/>
      <c r="AT4026" s="77"/>
      <c r="AU4026" s="77"/>
      <c r="AV4026" s="80" t="str">
        <f>HYPERLINK("https://pbs.twimg.com/media/F4O8wprWAAES5EY.jpg")</f>
        <v>https://pbs.twimg.com/media/F4O8wprWAAES5EY.jpg</v>
      </c>
      <c r="AW4026" s="82" t="s">
        <v>17109</v>
      </c>
      <c r="AX4026" s="82" t="s">
        <v>17109</v>
      </c>
      <c r="AY4026" s="77"/>
      <c r="AZ4026" s="82" t="s">
        <v>17385</v>
      </c>
      <c r="BA4026" s="82" t="s">
        <v>17385</v>
      </c>
      <c r="BB4026" s="82" t="s">
        <v>17385</v>
      </c>
      <c r="BC4026" s="82" t="s">
        <v>17109</v>
      </c>
      <c r="BD4026" s="77">
        <v>222157159</v>
      </c>
      <c r="BE4026" s="77"/>
      <c r="BF4026" s="77"/>
      <c r="BG4026" s="77"/>
      <c r="BH4026" s="77"/>
      <c r="BI4026" s="77"/>
    </row>
    <row r="4027" spans="1:61" x14ac:dyDescent="0.25">
      <c r="A4027" s="62" t="s">
        <v>714</v>
      </c>
      <c r="B4027" s="62" t="s">
        <v>714</v>
      </c>
      <c r="C4027" s="63"/>
      <c r="D4027" s="64"/>
      <c r="E4027" s="65"/>
      <c r="F4027" s="66"/>
      <c r="G4027" s="63"/>
      <c r="H4027" s="67"/>
      <c r="I4027" s="68"/>
      <c r="J4027" s="68"/>
      <c r="K4027" s="32"/>
      <c r="L4027" s="75">
        <v>4027</v>
      </c>
      <c r="M4027" s="75"/>
      <c r="N4027" s="70"/>
      <c r="O4027" s="77" t="s">
        <v>800</v>
      </c>
      <c r="P4027" s="79">
        <v>45161.750405092593</v>
      </c>
      <c r="Q4027" s="77" t="s">
        <v>4798</v>
      </c>
      <c r="R4027" s="77">
        <v>1</v>
      </c>
      <c r="S4027" s="77">
        <v>6</v>
      </c>
      <c r="T4027" s="77">
        <v>1</v>
      </c>
      <c r="U4027" s="77">
        <v>0</v>
      </c>
      <c r="V4027" s="77">
        <v>1442</v>
      </c>
      <c r="W4027" s="82" t="s">
        <v>6981</v>
      </c>
      <c r="X4027" s="77"/>
      <c r="Y4027" s="77"/>
      <c r="Z4027" s="77"/>
      <c r="AA4027" s="77"/>
      <c r="AB4027" s="77"/>
      <c r="AC4027" s="82" t="s">
        <v>8232</v>
      </c>
      <c r="AD4027" s="77" t="s">
        <v>8278</v>
      </c>
      <c r="AE4027" s="80" t="str">
        <f>HYPERLINK("https://twitter.com/bancocentralbr/status/1694409311101841652")</f>
        <v>https://twitter.com/bancocentralbr/status/1694409311101841652</v>
      </c>
      <c r="AF4027" s="79">
        <v>45161.750405092593</v>
      </c>
      <c r="AG4027" s="85">
        <v>45161</v>
      </c>
      <c r="AH4027" s="82" t="s">
        <v>11969</v>
      </c>
      <c r="AI4027" s="77"/>
      <c r="AJ4027" s="77"/>
      <c r="AK4027" s="77"/>
      <c r="AL4027" s="77"/>
      <c r="AM4027" s="77"/>
      <c r="AN4027" s="77"/>
      <c r="AO4027" s="77"/>
      <c r="AP4027" s="77"/>
      <c r="AQ4027" s="77"/>
      <c r="AR4027" s="77"/>
      <c r="AS4027" s="77"/>
      <c r="AT4027" s="77"/>
      <c r="AU4027" s="77"/>
      <c r="AV4027" s="80" t="str">
        <f>HYPERLINK("https://pbs.twimg.com/profile_images/1674371511996628993/reGcyxoU_normal.jpg")</f>
        <v>https://pbs.twimg.com/profile_images/1674371511996628993/reGcyxoU_normal.jpg</v>
      </c>
      <c r="AW4027" s="82" t="s">
        <v>17110</v>
      </c>
      <c r="AX4027" s="82" t="s">
        <v>17109</v>
      </c>
      <c r="AY4027" s="82" t="s">
        <v>17384</v>
      </c>
      <c r="AZ4027" s="82" t="s">
        <v>17109</v>
      </c>
      <c r="BA4027" s="82" t="s">
        <v>17385</v>
      </c>
      <c r="BB4027" s="82" t="s">
        <v>17385</v>
      </c>
      <c r="BC4027" s="82" t="s">
        <v>17109</v>
      </c>
      <c r="BD4027" s="77">
        <v>222157159</v>
      </c>
      <c r="BE4027" s="77"/>
      <c r="BF4027" s="77"/>
      <c r="BG4027" s="77"/>
      <c r="BH4027" s="77"/>
      <c r="BI4027" s="77"/>
    </row>
    <row r="4028" spans="1:61" x14ac:dyDescent="0.25">
      <c r="A4028" s="62" t="s">
        <v>715</v>
      </c>
      <c r="B4028" s="62" t="s">
        <v>715</v>
      </c>
      <c r="C4028" s="63"/>
      <c r="D4028" s="64"/>
      <c r="E4028" s="65"/>
      <c r="F4028" s="66"/>
      <c r="G4028" s="63"/>
      <c r="H4028" s="67"/>
      <c r="I4028" s="68"/>
      <c r="J4028" s="68"/>
      <c r="K4028" s="32"/>
      <c r="L4028" s="75">
        <v>4028</v>
      </c>
      <c r="M4028" s="75"/>
      <c r="N4028" s="70"/>
      <c r="O4028" s="77" t="s">
        <v>179</v>
      </c>
      <c r="P4028" s="79">
        <v>45043.980891203704</v>
      </c>
      <c r="Q4028" s="77" t="s">
        <v>4799</v>
      </c>
      <c r="R4028" s="77">
        <v>0</v>
      </c>
      <c r="S4028" s="77">
        <v>0</v>
      </c>
      <c r="T4028" s="77">
        <v>0</v>
      </c>
      <c r="U4028" s="77">
        <v>0</v>
      </c>
      <c r="V4028" s="77">
        <v>4</v>
      </c>
      <c r="W4028" s="82" t="s">
        <v>6982</v>
      </c>
      <c r="X4028" s="80" t="str">
        <f>HYPERLINK("https://allqamari.online/universidades-de-curitiba-oferecem-acoes-gratuitas-sobre-declaracao-de-imposto-de-renda/?utm_source=ReviveOldPost&amp;utm_medium=social&amp;utm_campaign=ReviveOldPost")</f>
        <v>https://allqamari.online/universidades-de-curitiba-oferecem-acoes-gratuitas-sobre-declaracao-de-imposto-de-renda/?utm_source=ReviveOldPost&amp;utm_medium=social&amp;utm_campaign=ReviveOldPost</v>
      </c>
      <c r="Y4028" s="77" t="s">
        <v>7147</v>
      </c>
      <c r="Z4028" s="77"/>
      <c r="AA4028" s="77"/>
      <c r="AB4028" s="77"/>
      <c r="AC4028" s="82" t="s">
        <v>8272</v>
      </c>
      <c r="AD4028" s="77" t="s">
        <v>8281</v>
      </c>
      <c r="AE4028" s="80" t="str">
        <f>HYPERLINK("https://twitter.com/allqamarin/status/1651731072164438017")</f>
        <v>https://twitter.com/allqamarin/status/1651731072164438017</v>
      </c>
      <c r="AF4028" s="79">
        <v>45043.980891203704</v>
      </c>
      <c r="AG4028" s="85">
        <v>45043</v>
      </c>
      <c r="AH4028" s="82" t="s">
        <v>9032</v>
      </c>
      <c r="AI4028" s="77" t="b">
        <v>0</v>
      </c>
      <c r="AJ4028" s="77"/>
      <c r="AK4028" s="77"/>
      <c r="AL4028" s="77"/>
      <c r="AM4028" s="77"/>
      <c r="AN4028" s="77"/>
      <c r="AO4028" s="77"/>
      <c r="AP4028" s="77"/>
      <c r="AQ4028" s="77"/>
      <c r="AR4028" s="77"/>
      <c r="AS4028" s="77"/>
      <c r="AT4028" s="77"/>
      <c r="AU4028" s="77"/>
      <c r="AV4028" s="80" t="str">
        <f>HYPERLINK("https://pbs.twimg.com/profile_images/1619346286745894912/khiTCtJ6_normal.jpg")</f>
        <v>https://pbs.twimg.com/profile_images/1619346286745894912/khiTCtJ6_normal.jpg</v>
      </c>
      <c r="AW4028" s="82" t="s">
        <v>17111</v>
      </c>
      <c r="AX4028" s="82" t="s">
        <v>17111</v>
      </c>
      <c r="AY4028" s="77"/>
      <c r="AZ4028" s="82" t="s">
        <v>17385</v>
      </c>
      <c r="BA4028" s="82" t="s">
        <v>17385</v>
      </c>
      <c r="BB4028" s="82" t="s">
        <v>17385</v>
      </c>
      <c r="BC4028" s="82" t="s">
        <v>17111</v>
      </c>
      <c r="BD4028" s="82" t="s">
        <v>17705</v>
      </c>
      <c r="BE4028" s="77"/>
      <c r="BF4028" s="77"/>
      <c r="BG4028" s="77"/>
      <c r="BH4028" s="77"/>
      <c r="BI4028" s="77"/>
    </row>
    <row r="4029" spans="1:61" x14ac:dyDescent="0.25">
      <c r="A4029" s="62" t="s">
        <v>716</v>
      </c>
      <c r="B4029" s="62" t="s">
        <v>716</v>
      </c>
      <c r="C4029" s="63"/>
      <c r="D4029" s="64"/>
      <c r="E4029" s="65"/>
      <c r="F4029" s="66"/>
      <c r="G4029" s="63"/>
      <c r="H4029" s="67"/>
      <c r="I4029" s="68"/>
      <c r="J4029" s="68"/>
      <c r="K4029" s="32"/>
      <c r="L4029" s="75">
        <v>4029</v>
      </c>
      <c r="M4029" s="75"/>
      <c r="N4029" s="70"/>
      <c r="O4029" s="77" t="s">
        <v>179</v>
      </c>
      <c r="P4029" s="79">
        <v>45083.163148148145</v>
      </c>
      <c r="Q4029" s="77" t="s">
        <v>4800</v>
      </c>
      <c r="R4029" s="77">
        <v>0</v>
      </c>
      <c r="S4029" s="77">
        <v>0</v>
      </c>
      <c r="T4029" s="77">
        <v>0</v>
      </c>
      <c r="U4029" s="77">
        <v>0</v>
      </c>
      <c r="V4029" s="77">
        <v>29</v>
      </c>
      <c r="W4029" s="82" t="s">
        <v>6983</v>
      </c>
      <c r="X4029" s="80" t="str">
        <f>HYPERLINK("https://pay.kiwify.com.br/jobeCPm")</f>
        <v>https://pay.kiwify.com.br/jobeCPm</v>
      </c>
      <c r="Y4029" s="77" t="s">
        <v>7053</v>
      </c>
      <c r="Z4029" s="77"/>
      <c r="AA4029" s="77" t="s">
        <v>8215</v>
      </c>
      <c r="AB4029" s="77" t="s">
        <v>8225</v>
      </c>
      <c r="AC4029" s="82" t="s">
        <v>8234</v>
      </c>
      <c r="AD4029" s="77" t="s">
        <v>8278</v>
      </c>
      <c r="AE4029" s="80" t="str">
        <f>HYPERLINK("https://twitter.com/estantevirtuall/status/1665930246644744193")</f>
        <v>https://twitter.com/estantevirtuall/status/1665930246644744193</v>
      </c>
      <c r="AF4029" s="79">
        <v>45083.163148148145</v>
      </c>
      <c r="AG4029" s="85">
        <v>45083</v>
      </c>
      <c r="AH4029" s="82" t="s">
        <v>11970</v>
      </c>
      <c r="AI4029" s="77" t="b">
        <v>0</v>
      </c>
      <c r="AJ4029" s="77"/>
      <c r="AK4029" s="77"/>
      <c r="AL4029" s="77"/>
      <c r="AM4029" s="77"/>
      <c r="AN4029" s="77"/>
      <c r="AO4029" s="77"/>
      <c r="AP4029" s="77"/>
      <c r="AQ4029" s="77" t="s">
        <v>13100</v>
      </c>
      <c r="AR4029" s="77"/>
      <c r="AS4029" s="77"/>
      <c r="AT4029" s="77"/>
      <c r="AU4029" s="77"/>
      <c r="AV4029" s="80" t="str">
        <f>HYPERLINK("https://pbs.twimg.com/media/Fx6Sus3XoAAyGGC.jpg")</f>
        <v>https://pbs.twimg.com/media/Fx6Sus3XoAAyGGC.jpg</v>
      </c>
      <c r="AW4029" s="82" t="s">
        <v>17112</v>
      </c>
      <c r="AX4029" s="82" t="s">
        <v>17112</v>
      </c>
      <c r="AY4029" s="77"/>
      <c r="AZ4029" s="82" t="s">
        <v>17385</v>
      </c>
      <c r="BA4029" s="82" t="s">
        <v>17385</v>
      </c>
      <c r="BB4029" s="82" t="s">
        <v>17385</v>
      </c>
      <c r="BC4029" s="82" t="s">
        <v>17112</v>
      </c>
      <c r="BD4029" s="82" t="s">
        <v>17706</v>
      </c>
      <c r="BE4029" s="77"/>
      <c r="BF4029" s="77"/>
      <c r="BG4029" s="77"/>
      <c r="BH4029" s="77"/>
      <c r="BI4029" s="77"/>
    </row>
    <row r="4030" spans="1:61" x14ac:dyDescent="0.25">
      <c r="A4030" s="62" t="s">
        <v>717</v>
      </c>
      <c r="B4030" s="62" t="s">
        <v>717</v>
      </c>
      <c r="C4030" s="63"/>
      <c r="D4030" s="64"/>
      <c r="E4030" s="65"/>
      <c r="F4030" s="66"/>
      <c r="G4030" s="63"/>
      <c r="H4030" s="67"/>
      <c r="I4030" s="68"/>
      <c r="J4030" s="68"/>
      <c r="K4030" s="32"/>
      <c r="L4030" s="75">
        <v>4030</v>
      </c>
      <c r="M4030" s="75"/>
      <c r="N4030" s="70"/>
      <c r="O4030" s="77" t="s">
        <v>179</v>
      </c>
      <c r="P4030" s="79">
        <v>45172.703831018516</v>
      </c>
      <c r="Q4030" s="77" t="s">
        <v>4801</v>
      </c>
      <c r="R4030" s="77">
        <v>1</v>
      </c>
      <c r="S4030" s="77">
        <v>3</v>
      </c>
      <c r="T4030" s="77">
        <v>0</v>
      </c>
      <c r="U4030" s="77">
        <v>0</v>
      </c>
      <c r="V4030" s="77">
        <v>35</v>
      </c>
      <c r="W4030" s="82" t="s">
        <v>6984</v>
      </c>
      <c r="X4030" s="77"/>
      <c r="Y4030" s="77"/>
      <c r="Z4030" s="77"/>
      <c r="AA4030" s="77" t="s">
        <v>8216</v>
      </c>
      <c r="AB4030" s="77" t="s">
        <v>8225</v>
      </c>
      <c r="AC4030" s="82" t="s">
        <v>8233</v>
      </c>
      <c r="AD4030" s="77" t="s">
        <v>8278</v>
      </c>
      <c r="AE4030" s="80" t="str">
        <f>HYPERLINK("https://twitter.com/mtteixeira/status/1698378700654334406")</f>
        <v>https://twitter.com/mtteixeira/status/1698378700654334406</v>
      </c>
      <c r="AF4030" s="79">
        <v>45172.703831018516</v>
      </c>
      <c r="AG4030" s="85">
        <v>45172</v>
      </c>
      <c r="AH4030" s="82" t="s">
        <v>11971</v>
      </c>
      <c r="AI4030" s="77" t="b">
        <v>0</v>
      </c>
      <c r="AJ4030" s="77"/>
      <c r="AK4030" s="77"/>
      <c r="AL4030" s="77"/>
      <c r="AM4030" s="77"/>
      <c r="AN4030" s="77"/>
      <c r="AO4030" s="77"/>
      <c r="AP4030" s="77"/>
      <c r="AQ4030" s="77" t="s">
        <v>13101</v>
      </c>
      <c r="AR4030" s="77"/>
      <c r="AS4030" s="77"/>
      <c r="AT4030" s="77"/>
      <c r="AU4030" s="77"/>
      <c r="AV4030" s="80" t="str">
        <f>HYPERLINK("https://pbs.twimg.com/media/F5HabNuW8AApRdZ.jpg")</f>
        <v>https://pbs.twimg.com/media/F5HabNuW8AApRdZ.jpg</v>
      </c>
      <c r="AW4030" s="82" t="s">
        <v>17113</v>
      </c>
      <c r="AX4030" s="82" t="s">
        <v>17113</v>
      </c>
      <c r="AY4030" s="77"/>
      <c r="AZ4030" s="82" t="s">
        <v>17385</v>
      </c>
      <c r="BA4030" s="82" t="s">
        <v>17385</v>
      </c>
      <c r="BB4030" s="82" t="s">
        <v>17385</v>
      </c>
      <c r="BC4030" s="82" t="s">
        <v>17113</v>
      </c>
      <c r="BD4030" s="77">
        <v>33412872</v>
      </c>
      <c r="BE4030" s="77"/>
      <c r="BF4030" s="77"/>
      <c r="BG4030" s="77"/>
      <c r="BH4030" s="77"/>
      <c r="BI4030" s="77"/>
    </row>
    <row r="4031" spans="1:61" x14ac:dyDescent="0.25">
      <c r="A4031" s="62" t="s">
        <v>718</v>
      </c>
      <c r="B4031" s="62" t="s">
        <v>798</v>
      </c>
      <c r="C4031" s="63"/>
      <c r="D4031" s="64"/>
      <c r="E4031" s="65"/>
      <c r="F4031" s="66"/>
      <c r="G4031" s="63"/>
      <c r="H4031" s="67"/>
      <c r="I4031" s="68"/>
      <c r="J4031" s="68"/>
      <c r="K4031" s="32"/>
      <c r="L4031" s="75">
        <v>4031</v>
      </c>
      <c r="M4031" s="75"/>
      <c r="N4031" s="70"/>
      <c r="O4031" s="77" t="s">
        <v>802</v>
      </c>
      <c r="P4031" s="79">
        <v>45072.475752314815</v>
      </c>
      <c r="Q4031" s="77" t="s">
        <v>4802</v>
      </c>
      <c r="R4031" s="77">
        <v>0</v>
      </c>
      <c r="S4031" s="77">
        <v>0</v>
      </c>
      <c r="T4031" s="77">
        <v>1</v>
      </c>
      <c r="U4031" s="77">
        <v>0</v>
      </c>
      <c r="V4031" s="77">
        <v>100</v>
      </c>
      <c r="W4031" s="82" t="s">
        <v>6985</v>
      </c>
      <c r="X4031" s="80" t="str">
        <f>HYPERLINK("http://youtu.be/DCOOEi28Xvo")</f>
        <v>http://youtu.be/DCOOEi28Xvo</v>
      </c>
      <c r="Y4031" s="77" t="s">
        <v>7064</v>
      </c>
      <c r="Z4031" s="77" t="s">
        <v>7168</v>
      </c>
      <c r="AA4031" s="77"/>
      <c r="AB4031" s="77"/>
      <c r="AC4031" s="82" t="s">
        <v>8234</v>
      </c>
      <c r="AD4031" s="77" t="s">
        <v>8278</v>
      </c>
      <c r="AE4031" s="80" t="str">
        <f>HYPERLINK("https://twitter.com/midimashup/status/1662057262318252037")</f>
        <v>https://twitter.com/midimashup/status/1662057262318252037</v>
      </c>
      <c r="AF4031" s="79">
        <v>45072.475752314815</v>
      </c>
      <c r="AG4031" s="85">
        <v>45072</v>
      </c>
      <c r="AH4031" s="82" t="s">
        <v>11972</v>
      </c>
      <c r="AI4031" s="77" t="b">
        <v>0</v>
      </c>
      <c r="AJ4031" s="77"/>
      <c r="AK4031" s="77"/>
      <c r="AL4031" s="77"/>
      <c r="AM4031" s="77"/>
      <c r="AN4031" s="77"/>
      <c r="AO4031" s="77"/>
      <c r="AP4031" s="77"/>
      <c r="AQ4031" s="77"/>
      <c r="AR4031" s="77"/>
      <c r="AS4031" s="77"/>
      <c r="AT4031" s="77"/>
      <c r="AU4031" s="77"/>
      <c r="AV4031" s="80" t="str">
        <f>HYPERLINK("https://pbs.twimg.com/profile_images/1582377001373106176/Ivu-Hmj3_normal.jpg")</f>
        <v>https://pbs.twimg.com/profile_images/1582377001373106176/Ivu-Hmj3_normal.jpg</v>
      </c>
      <c r="AW4031" s="82" t="s">
        <v>17114</v>
      </c>
      <c r="AX4031" s="82" t="s">
        <v>17114</v>
      </c>
      <c r="AY4031" s="77"/>
      <c r="AZ4031" s="82" t="s">
        <v>17385</v>
      </c>
      <c r="BA4031" s="82" t="s">
        <v>17385</v>
      </c>
      <c r="BB4031" s="82" t="s">
        <v>17385</v>
      </c>
      <c r="BC4031" s="82" t="s">
        <v>17114</v>
      </c>
      <c r="BD4031" s="77">
        <v>3234532213</v>
      </c>
      <c r="BE4031" s="77"/>
      <c r="BF4031" s="77"/>
      <c r="BG4031" s="77"/>
      <c r="BH4031" s="77"/>
      <c r="BI4031" s="77"/>
    </row>
    <row r="4032" spans="1:61" x14ac:dyDescent="0.25">
      <c r="A4032" s="62" t="s">
        <v>718</v>
      </c>
      <c r="B4032" s="62" t="s">
        <v>798</v>
      </c>
      <c r="C4032" s="63"/>
      <c r="D4032" s="64"/>
      <c r="E4032" s="65"/>
      <c r="F4032" s="66"/>
      <c r="G4032" s="63"/>
      <c r="H4032" s="67"/>
      <c r="I4032" s="68"/>
      <c r="J4032" s="68"/>
      <c r="K4032" s="32"/>
      <c r="L4032" s="75">
        <v>4032</v>
      </c>
      <c r="M4032" s="75"/>
      <c r="N4032" s="70"/>
      <c r="O4032" s="77" t="s">
        <v>802</v>
      </c>
      <c r="P4032" s="79">
        <v>45072.123854166668</v>
      </c>
      <c r="Q4032" s="77" t="s">
        <v>4803</v>
      </c>
      <c r="R4032" s="77">
        <v>0</v>
      </c>
      <c r="S4032" s="77">
        <v>0</v>
      </c>
      <c r="T4032" s="77">
        <v>0</v>
      </c>
      <c r="U4032" s="77">
        <v>0</v>
      </c>
      <c r="V4032" s="77">
        <v>65</v>
      </c>
      <c r="W4032" s="82" t="s">
        <v>6985</v>
      </c>
      <c r="X4032" s="80" t="str">
        <f>HYPERLINK("https://youtu.be/DCOOEi28Xvo")</f>
        <v>https://youtu.be/DCOOEi28Xvo</v>
      </c>
      <c r="Y4032" s="77" t="s">
        <v>7064</v>
      </c>
      <c r="Z4032" s="77" t="s">
        <v>7168</v>
      </c>
      <c r="AA4032" s="77"/>
      <c r="AB4032" s="77"/>
      <c r="AC4032" s="82" t="s">
        <v>8234</v>
      </c>
      <c r="AD4032" s="77" t="s">
        <v>8278</v>
      </c>
      <c r="AE4032" s="80" t="str">
        <f>HYPERLINK("https://twitter.com/midimashup/status/1661929738988814336")</f>
        <v>https://twitter.com/midimashup/status/1661929738988814336</v>
      </c>
      <c r="AF4032" s="79">
        <v>45072.123854166668</v>
      </c>
      <c r="AG4032" s="85">
        <v>45072</v>
      </c>
      <c r="AH4032" s="82" t="s">
        <v>11973</v>
      </c>
      <c r="AI4032" s="77" t="b">
        <v>0</v>
      </c>
      <c r="AJ4032" s="77"/>
      <c r="AK4032" s="77"/>
      <c r="AL4032" s="77"/>
      <c r="AM4032" s="77"/>
      <c r="AN4032" s="77"/>
      <c r="AO4032" s="77"/>
      <c r="AP4032" s="77"/>
      <c r="AQ4032" s="77"/>
      <c r="AR4032" s="77"/>
      <c r="AS4032" s="77"/>
      <c r="AT4032" s="77"/>
      <c r="AU4032" s="77"/>
      <c r="AV4032" s="80" t="str">
        <f>HYPERLINK("https://pbs.twimg.com/profile_images/1582377001373106176/Ivu-Hmj3_normal.jpg")</f>
        <v>https://pbs.twimg.com/profile_images/1582377001373106176/Ivu-Hmj3_normal.jpg</v>
      </c>
      <c r="AW4032" s="82" t="s">
        <v>17115</v>
      </c>
      <c r="AX4032" s="82" t="s">
        <v>17115</v>
      </c>
      <c r="AY4032" s="77"/>
      <c r="AZ4032" s="82" t="s">
        <v>17385</v>
      </c>
      <c r="BA4032" s="82" t="s">
        <v>17385</v>
      </c>
      <c r="BB4032" s="82" t="s">
        <v>17385</v>
      </c>
      <c r="BC4032" s="82" t="s">
        <v>17115</v>
      </c>
      <c r="BD4032" s="77">
        <v>3234532213</v>
      </c>
      <c r="BE4032" s="77"/>
      <c r="BF4032" s="77"/>
      <c r="BG4032" s="77"/>
      <c r="BH4032" s="77"/>
      <c r="BI4032" s="77"/>
    </row>
    <row r="4033" spans="1:61" x14ac:dyDescent="0.25">
      <c r="A4033" s="62" t="s">
        <v>718</v>
      </c>
      <c r="B4033" s="62" t="s">
        <v>799</v>
      </c>
      <c r="C4033" s="63"/>
      <c r="D4033" s="64"/>
      <c r="E4033" s="65"/>
      <c r="F4033" s="66"/>
      <c r="G4033" s="63"/>
      <c r="H4033" s="67"/>
      <c r="I4033" s="68"/>
      <c r="J4033" s="68"/>
      <c r="K4033" s="32"/>
      <c r="L4033" s="75">
        <v>4033</v>
      </c>
      <c r="M4033" s="75"/>
      <c r="N4033" s="70"/>
      <c r="O4033" s="77" t="s">
        <v>802</v>
      </c>
      <c r="P4033" s="79">
        <v>45072.475752314815</v>
      </c>
      <c r="Q4033" s="77" t="s">
        <v>4802</v>
      </c>
      <c r="R4033" s="77">
        <v>0</v>
      </c>
      <c r="S4033" s="77">
        <v>0</v>
      </c>
      <c r="T4033" s="77">
        <v>1</v>
      </c>
      <c r="U4033" s="77">
        <v>0</v>
      </c>
      <c r="V4033" s="77">
        <v>100</v>
      </c>
      <c r="W4033" s="82" t="s">
        <v>6985</v>
      </c>
      <c r="X4033" s="80" t="str">
        <f>HYPERLINK("http://youtu.be/DCOOEi28Xvo")</f>
        <v>http://youtu.be/DCOOEi28Xvo</v>
      </c>
      <c r="Y4033" s="77" t="s">
        <v>7064</v>
      </c>
      <c r="Z4033" s="77" t="s">
        <v>7168</v>
      </c>
      <c r="AA4033" s="77"/>
      <c r="AB4033" s="77"/>
      <c r="AC4033" s="82" t="s">
        <v>8234</v>
      </c>
      <c r="AD4033" s="77" t="s">
        <v>8278</v>
      </c>
      <c r="AE4033" s="80" t="str">
        <f>HYPERLINK("https://twitter.com/midimashup/status/1662057262318252037")</f>
        <v>https://twitter.com/midimashup/status/1662057262318252037</v>
      </c>
      <c r="AF4033" s="79">
        <v>45072.475752314815</v>
      </c>
      <c r="AG4033" s="85">
        <v>45072</v>
      </c>
      <c r="AH4033" s="82" t="s">
        <v>11972</v>
      </c>
      <c r="AI4033" s="77" t="b">
        <v>0</v>
      </c>
      <c r="AJ4033" s="77"/>
      <c r="AK4033" s="77"/>
      <c r="AL4033" s="77"/>
      <c r="AM4033" s="77"/>
      <c r="AN4033" s="77"/>
      <c r="AO4033" s="77"/>
      <c r="AP4033" s="77"/>
      <c r="AQ4033" s="77"/>
      <c r="AR4033" s="77"/>
      <c r="AS4033" s="77"/>
      <c r="AT4033" s="77"/>
      <c r="AU4033" s="77"/>
      <c r="AV4033" s="80" t="str">
        <f>HYPERLINK("https://pbs.twimg.com/profile_images/1582377001373106176/Ivu-Hmj3_normal.jpg")</f>
        <v>https://pbs.twimg.com/profile_images/1582377001373106176/Ivu-Hmj3_normal.jpg</v>
      </c>
      <c r="AW4033" s="82" t="s">
        <v>17114</v>
      </c>
      <c r="AX4033" s="82" t="s">
        <v>17114</v>
      </c>
      <c r="AY4033" s="77"/>
      <c r="AZ4033" s="82" t="s">
        <v>17385</v>
      </c>
      <c r="BA4033" s="82" t="s">
        <v>17385</v>
      </c>
      <c r="BB4033" s="82" t="s">
        <v>17385</v>
      </c>
      <c r="BC4033" s="82" t="s">
        <v>17114</v>
      </c>
      <c r="BD4033" s="77">
        <v>3234532213</v>
      </c>
      <c r="BE4033" s="77"/>
      <c r="BF4033" s="77"/>
      <c r="BG4033" s="77"/>
      <c r="BH4033" s="77"/>
      <c r="BI4033" s="77"/>
    </row>
    <row r="4034" spans="1:61" x14ac:dyDescent="0.25">
      <c r="A4034" s="62" t="s">
        <v>718</v>
      </c>
      <c r="B4034" s="62" t="s">
        <v>799</v>
      </c>
      <c r="C4034" s="63"/>
      <c r="D4034" s="64"/>
      <c r="E4034" s="65"/>
      <c r="F4034" s="66"/>
      <c r="G4034" s="63"/>
      <c r="H4034" s="67"/>
      <c r="I4034" s="68"/>
      <c r="J4034" s="68"/>
      <c r="K4034" s="32"/>
      <c r="L4034" s="75">
        <v>4034</v>
      </c>
      <c r="M4034" s="75"/>
      <c r="N4034" s="70"/>
      <c r="O4034" s="77" t="s">
        <v>802</v>
      </c>
      <c r="P4034" s="79">
        <v>45072.123854166668</v>
      </c>
      <c r="Q4034" s="77" t="s">
        <v>4803</v>
      </c>
      <c r="R4034" s="77">
        <v>0</v>
      </c>
      <c r="S4034" s="77">
        <v>0</v>
      </c>
      <c r="T4034" s="77">
        <v>0</v>
      </c>
      <c r="U4034" s="77">
        <v>0</v>
      </c>
      <c r="V4034" s="77">
        <v>65</v>
      </c>
      <c r="W4034" s="82" t="s">
        <v>6985</v>
      </c>
      <c r="X4034" s="80" t="str">
        <f>HYPERLINK("https://youtu.be/DCOOEi28Xvo")</f>
        <v>https://youtu.be/DCOOEi28Xvo</v>
      </c>
      <c r="Y4034" s="77" t="s">
        <v>7064</v>
      </c>
      <c r="Z4034" s="77" t="s">
        <v>7168</v>
      </c>
      <c r="AA4034" s="77"/>
      <c r="AB4034" s="77"/>
      <c r="AC4034" s="82" t="s">
        <v>8234</v>
      </c>
      <c r="AD4034" s="77" t="s">
        <v>8278</v>
      </c>
      <c r="AE4034" s="80" t="str">
        <f>HYPERLINK("https://twitter.com/midimashup/status/1661929738988814336")</f>
        <v>https://twitter.com/midimashup/status/1661929738988814336</v>
      </c>
      <c r="AF4034" s="79">
        <v>45072.123854166668</v>
      </c>
      <c r="AG4034" s="85">
        <v>45072</v>
      </c>
      <c r="AH4034" s="82" t="s">
        <v>11973</v>
      </c>
      <c r="AI4034" s="77" t="b">
        <v>0</v>
      </c>
      <c r="AJ4034" s="77"/>
      <c r="AK4034" s="77"/>
      <c r="AL4034" s="77"/>
      <c r="AM4034" s="77"/>
      <c r="AN4034" s="77"/>
      <c r="AO4034" s="77"/>
      <c r="AP4034" s="77"/>
      <c r="AQ4034" s="77"/>
      <c r="AR4034" s="77"/>
      <c r="AS4034" s="77"/>
      <c r="AT4034" s="77"/>
      <c r="AU4034" s="77"/>
      <c r="AV4034" s="80" t="str">
        <f>HYPERLINK("https://pbs.twimg.com/profile_images/1582377001373106176/Ivu-Hmj3_normal.jpg")</f>
        <v>https://pbs.twimg.com/profile_images/1582377001373106176/Ivu-Hmj3_normal.jpg</v>
      </c>
      <c r="AW4034" s="82" t="s">
        <v>17115</v>
      </c>
      <c r="AX4034" s="82" t="s">
        <v>17115</v>
      </c>
      <c r="AY4034" s="77"/>
      <c r="AZ4034" s="82" t="s">
        <v>17385</v>
      </c>
      <c r="BA4034" s="82" t="s">
        <v>17385</v>
      </c>
      <c r="BB4034" s="82" t="s">
        <v>17385</v>
      </c>
      <c r="BC4034" s="82" t="s">
        <v>17115</v>
      </c>
      <c r="BD4034" s="77">
        <v>3234532213</v>
      </c>
      <c r="BE4034" s="77"/>
      <c r="BF4034" s="77"/>
      <c r="BG4034" s="77"/>
      <c r="BH4034" s="77"/>
      <c r="BI4034" s="77"/>
    </row>
    <row r="4035" spans="1:61" x14ac:dyDescent="0.25">
      <c r="A4035" s="62" t="s">
        <v>718</v>
      </c>
      <c r="B4035" s="62" t="s">
        <v>718</v>
      </c>
      <c r="C4035" s="63"/>
      <c r="D4035" s="64"/>
      <c r="E4035" s="65"/>
      <c r="F4035" s="66"/>
      <c r="G4035" s="63"/>
      <c r="H4035" s="67"/>
      <c r="I4035" s="68"/>
      <c r="J4035" s="68"/>
      <c r="K4035" s="32"/>
      <c r="L4035" s="75">
        <v>4035</v>
      </c>
      <c r="M4035" s="75"/>
      <c r="N4035" s="70"/>
      <c r="O4035" s="77" t="s">
        <v>179</v>
      </c>
      <c r="P4035" s="79">
        <v>45060.634930555556</v>
      </c>
      <c r="Q4035" s="77" t="s">
        <v>4804</v>
      </c>
      <c r="R4035" s="77">
        <v>0</v>
      </c>
      <c r="S4035" s="77">
        <v>1</v>
      </c>
      <c r="T4035" s="77">
        <v>1</v>
      </c>
      <c r="U4035" s="77">
        <v>0</v>
      </c>
      <c r="V4035" s="77">
        <v>274</v>
      </c>
      <c r="W4035" s="82" t="s">
        <v>6986</v>
      </c>
      <c r="X4035" s="77"/>
      <c r="Y4035" s="77"/>
      <c r="Z4035" s="77"/>
      <c r="AA4035" s="77" t="s">
        <v>8217</v>
      </c>
      <c r="AB4035" s="77" t="s">
        <v>8226</v>
      </c>
      <c r="AC4035" s="82" t="s">
        <v>8232</v>
      </c>
      <c r="AD4035" s="77" t="s">
        <v>8278</v>
      </c>
      <c r="AE4035" s="80" t="str">
        <f>HYPERLINK("https://twitter.com/midimashup/status/1657766290042372096")</f>
        <v>https://twitter.com/midimashup/status/1657766290042372096</v>
      </c>
      <c r="AF4035" s="79">
        <v>45060.634930555556</v>
      </c>
      <c r="AG4035" s="85">
        <v>45060</v>
      </c>
      <c r="AH4035" s="82" t="s">
        <v>11974</v>
      </c>
      <c r="AI4035" s="77" t="b">
        <v>0</v>
      </c>
      <c r="AJ4035" s="77"/>
      <c r="AK4035" s="77"/>
      <c r="AL4035" s="77"/>
      <c r="AM4035" s="77"/>
      <c r="AN4035" s="77"/>
      <c r="AO4035" s="77"/>
      <c r="AP4035" s="77"/>
      <c r="AQ4035" s="77" t="s">
        <v>13102</v>
      </c>
      <c r="AR4035" s="77"/>
      <c r="AS4035" s="77"/>
      <c r="AT4035" s="77"/>
      <c r="AU4035" s="77"/>
      <c r="AV4035" s="80" t="str">
        <f>HYPERLINK("https://pbs.twimg.com/media/FwGRSmAWAAEW7FR.jpg")</f>
        <v>https://pbs.twimg.com/media/FwGRSmAWAAEW7FR.jpg</v>
      </c>
      <c r="AW4035" s="82" t="s">
        <v>17116</v>
      </c>
      <c r="AX4035" s="82" t="s">
        <v>17116</v>
      </c>
      <c r="AY4035" s="77"/>
      <c r="AZ4035" s="82" t="s">
        <v>17385</v>
      </c>
      <c r="BA4035" s="82" t="s">
        <v>17385</v>
      </c>
      <c r="BB4035" s="82" t="s">
        <v>17385</v>
      </c>
      <c r="BC4035" s="82" t="s">
        <v>17116</v>
      </c>
      <c r="BD4035" s="77">
        <v>3234532213</v>
      </c>
      <c r="BE4035" s="77"/>
      <c r="BF4035" s="77"/>
      <c r="BG4035" s="77"/>
      <c r="BH4035" s="77"/>
      <c r="BI4035" s="77"/>
    </row>
    <row r="4036" spans="1:61" x14ac:dyDescent="0.25">
      <c r="A4036" s="62" t="s">
        <v>719</v>
      </c>
      <c r="B4036" s="62" t="s">
        <v>719</v>
      </c>
      <c r="C4036" s="63"/>
      <c r="D4036" s="64"/>
      <c r="E4036" s="65"/>
      <c r="F4036" s="66"/>
      <c r="G4036" s="63"/>
      <c r="H4036" s="67"/>
      <c r="I4036" s="68"/>
      <c r="J4036" s="68"/>
      <c r="K4036" s="32"/>
      <c r="L4036" s="75">
        <v>4036</v>
      </c>
      <c r="M4036" s="75"/>
      <c r="N4036" s="70"/>
      <c r="O4036" s="77" t="s">
        <v>179</v>
      </c>
      <c r="P4036" s="79">
        <v>45097.682997685188</v>
      </c>
      <c r="Q4036" s="77" t="s">
        <v>4805</v>
      </c>
      <c r="R4036" s="77">
        <v>0</v>
      </c>
      <c r="S4036" s="77">
        <v>1</v>
      </c>
      <c r="T4036" s="77">
        <v>1</v>
      </c>
      <c r="U4036" s="77">
        <v>0</v>
      </c>
      <c r="V4036" s="77">
        <v>34</v>
      </c>
      <c r="W4036" s="82" t="s">
        <v>6987</v>
      </c>
      <c r="X4036" s="80" t="str">
        <f>HYPERLINK("https://www.instagram.com/p/Ctt8uLNOyal/?utm_source=ig_web_copy_link&amp;igshid=MzRlODBiNWFlZA==")</f>
        <v>https://www.instagram.com/p/Ctt8uLNOyal/?utm_source=ig_web_copy_link&amp;igshid=MzRlODBiNWFlZA==</v>
      </c>
      <c r="Y4036" s="77" t="s">
        <v>7055</v>
      </c>
      <c r="Z4036" s="77"/>
      <c r="AA4036" s="77"/>
      <c r="AB4036" s="77"/>
      <c r="AC4036" s="82" t="s">
        <v>8232</v>
      </c>
      <c r="AD4036" s="77" t="s">
        <v>8280</v>
      </c>
      <c r="AE4036" s="80" t="str">
        <f>HYPERLINK("https://twitter.com/vitoartswow/status/1671192063382093825")</f>
        <v>https://twitter.com/vitoartswow/status/1671192063382093825</v>
      </c>
      <c r="AF4036" s="79">
        <v>45097.682997685188</v>
      </c>
      <c r="AG4036" s="85">
        <v>45097</v>
      </c>
      <c r="AH4036" s="82" t="s">
        <v>11975</v>
      </c>
      <c r="AI4036" s="77" t="b">
        <v>0</v>
      </c>
      <c r="AJ4036" s="77"/>
      <c r="AK4036" s="77"/>
      <c r="AL4036" s="77"/>
      <c r="AM4036" s="77"/>
      <c r="AN4036" s="77"/>
      <c r="AO4036" s="77"/>
      <c r="AP4036" s="77"/>
      <c r="AQ4036" s="77"/>
      <c r="AR4036" s="77"/>
      <c r="AS4036" s="77"/>
      <c r="AT4036" s="77"/>
      <c r="AU4036" s="77"/>
      <c r="AV4036" s="80" t="str">
        <f>HYPERLINK("https://pbs.twimg.com/profile_images/1671188833746993158/_UZfLr58_normal.jpg")</f>
        <v>https://pbs.twimg.com/profile_images/1671188833746993158/_UZfLr58_normal.jpg</v>
      </c>
      <c r="AW4036" s="82" t="s">
        <v>17117</v>
      </c>
      <c r="AX4036" s="82" t="s">
        <v>17117</v>
      </c>
      <c r="AY4036" s="77"/>
      <c r="AZ4036" s="82" t="s">
        <v>17385</v>
      </c>
      <c r="BA4036" s="82" t="s">
        <v>17385</v>
      </c>
      <c r="BB4036" s="82" t="s">
        <v>17385</v>
      </c>
      <c r="BC4036" s="82" t="s">
        <v>17117</v>
      </c>
      <c r="BD4036" s="82" t="s">
        <v>17707</v>
      </c>
      <c r="BE4036" s="77"/>
      <c r="BF4036" s="77"/>
      <c r="BG4036" s="77"/>
      <c r="BH4036" s="77"/>
      <c r="BI4036" s="77"/>
    </row>
    <row r="4037" spans="1:61" x14ac:dyDescent="0.25">
      <c r="A4037" s="62" t="s">
        <v>720</v>
      </c>
      <c r="B4037" s="62" t="s">
        <v>720</v>
      </c>
      <c r="C4037" s="63"/>
      <c r="D4037" s="64"/>
      <c r="E4037" s="65"/>
      <c r="F4037" s="66"/>
      <c r="G4037" s="63"/>
      <c r="H4037" s="67"/>
      <c r="I4037" s="68"/>
      <c r="J4037" s="68"/>
      <c r="K4037" s="32"/>
      <c r="L4037" s="75">
        <v>4037</v>
      </c>
      <c r="M4037" s="75"/>
      <c r="N4037" s="70"/>
      <c r="O4037" s="77" t="s">
        <v>179</v>
      </c>
      <c r="P4037" s="79">
        <v>45054.486828703702</v>
      </c>
      <c r="Q4037" s="77" t="s">
        <v>4806</v>
      </c>
      <c r="R4037" s="77">
        <v>0</v>
      </c>
      <c r="S4037" s="77">
        <v>1</v>
      </c>
      <c r="T4037" s="77">
        <v>0</v>
      </c>
      <c r="U4037" s="77">
        <v>0</v>
      </c>
      <c r="V4037" s="77">
        <v>176</v>
      </c>
      <c r="W4037" s="82" t="s">
        <v>6988</v>
      </c>
      <c r="X4037" s="77"/>
      <c r="Y4037" s="77"/>
      <c r="Z4037" s="77"/>
      <c r="AA4037" s="77" t="s">
        <v>8218</v>
      </c>
      <c r="AB4037" s="77" t="s">
        <v>8227</v>
      </c>
      <c r="AC4037" s="82" t="s">
        <v>8233</v>
      </c>
      <c r="AD4037" s="77" t="s">
        <v>8278</v>
      </c>
      <c r="AE4037" s="80" t="str">
        <f>HYPERLINK("https://twitter.com/romerofinancas/status/1655538296095645696")</f>
        <v>https://twitter.com/romerofinancas/status/1655538296095645696</v>
      </c>
      <c r="AF4037" s="79">
        <v>45054.486828703702</v>
      </c>
      <c r="AG4037" s="85">
        <v>45054</v>
      </c>
      <c r="AH4037" s="82" t="s">
        <v>11976</v>
      </c>
      <c r="AI4037" s="77" t="b">
        <v>0</v>
      </c>
      <c r="AJ4037" s="77"/>
      <c r="AK4037" s="77"/>
      <c r="AL4037" s="77"/>
      <c r="AM4037" s="77"/>
      <c r="AN4037" s="77"/>
      <c r="AO4037" s="77"/>
      <c r="AP4037" s="77"/>
      <c r="AQ4037" s="77" t="s">
        <v>13103</v>
      </c>
      <c r="AR4037" s="77">
        <v>20033</v>
      </c>
      <c r="AS4037" s="77"/>
      <c r="AT4037" s="77"/>
      <c r="AU4037" s="77"/>
      <c r="AV4037" s="80" t="str">
        <f>HYPERLINK("https://pbs.twimg.com/ext_tw_video_thumb/1655538258669981697/pu/img/tO38AR0946YhoUbw.jpg")</f>
        <v>https://pbs.twimg.com/ext_tw_video_thumb/1655538258669981697/pu/img/tO38AR0946YhoUbw.jpg</v>
      </c>
      <c r="AW4037" s="82" t="s">
        <v>17118</v>
      </c>
      <c r="AX4037" s="82" t="s">
        <v>17118</v>
      </c>
      <c r="AY4037" s="77"/>
      <c r="AZ4037" s="82" t="s">
        <v>17385</v>
      </c>
      <c r="BA4037" s="82" t="s">
        <v>17385</v>
      </c>
      <c r="BB4037" s="82" t="s">
        <v>17385</v>
      </c>
      <c r="BC4037" s="82" t="s">
        <v>17118</v>
      </c>
      <c r="BD4037" s="77">
        <v>3341974577</v>
      </c>
      <c r="BE4037" s="77"/>
      <c r="BF4037" s="77"/>
      <c r="BG4037" s="77"/>
      <c r="BH4037" s="77"/>
      <c r="BI4037" s="77"/>
    </row>
    <row r="4038" spans="1:61" x14ac:dyDescent="0.25">
      <c r="A4038" s="62" t="s">
        <v>721</v>
      </c>
      <c r="B4038" s="62" t="s">
        <v>721</v>
      </c>
      <c r="C4038" s="63"/>
      <c r="D4038" s="64"/>
      <c r="E4038" s="65"/>
      <c r="F4038" s="66"/>
      <c r="G4038" s="63"/>
      <c r="H4038" s="67"/>
      <c r="I4038" s="68"/>
      <c r="J4038" s="68"/>
      <c r="K4038" s="32"/>
      <c r="L4038" s="75">
        <v>4038</v>
      </c>
      <c r="M4038" s="75"/>
      <c r="N4038" s="70"/>
      <c r="O4038" s="77" t="s">
        <v>179</v>
      </c>
      <c r="P4038" s="79">
        <v>45068.408946759257</v>
      </c>
      <c r="Q4038" s="77" t="s">
        <v>4807</v>
      </c>
      <c r="R4038" s="77">
        <v>1</v>
      </c>
      <c r="S4038" s="77">
        <v>1</v>
      </c>
      <c r="T4038" s="77">
        <v>0</v>
      </c>
      <c r="U4038" s="77">
        <v>0</v>
      </c>
      <c r="V4038" s="77">
        <v>17</v>
      </c>
      <c r="W4038" s="82" t="s">
        <v>6989</v>
      </c>
      <c r="X4038" s="80" t="str">
        <f>HYPERLINK("https://www.facebook.com/photo/?fbid=1231661897493691&amp;set=a.125392618120630&amp;__cft__[0]=AZUyV71EcLxcDIcYnD-dDTL3-lMOeZ3AT58DAeE2sahKAQcHDQ-xZIrvzKYksUDAVKNAM1EKkFlmpS-Vyc_bXRnbk15cJLxp_JrJnkzXEtXIbg&amp;__tn__=EH-R")</f>
        <v>https://www.facebook.com/photo/?fbid=1231661897493691&amp;set=a.125392618120630&amp;__cft__[0]=AZUyV71EcLxcDIcYnD-dDTL3-lMOeZ3AT58DAeE2sahKAQcHDQ-xZIrvzKYksUDAVKNAM1EKkFlmpS-Vyc_bXRnbk15cJLxp_JrJnkzXEtXIbg&amp;__tn__=EH-R</v>
      </c>
      <c r="Y4038" s="77" t="s">
        <v>7148</v>
      </c>
      <c r="Z4038" s="77"/>
      <c r="AA4038" s="77" t="s">
        <v>8219</v>
      </c>
      <c r="AB4038" s="77" t="s">
        <v>8225</v>
      </c>
      <c r="AC4038" s="82" t="s">
        <v>8232</v>
      </c>
      <c r="AD4038" s="77" t="s">
        <v>8278</v>
      </c>
      <c r="AE4038" s="80" t="str">
        <f>HYPERLINK("https://twitter.com/yomelijah/status/1660583503254245376")</f>
        <v>https://twitter.com/yomelijah/status/1660583503254245376</v>
      </c>
      <c r="AF4038" s="79">
        <v>45068.408946759257</v>
      </c>
      <c r="AG4038" s="85">
        <v>45068</v>
      </c>
      <c r="AH4038" s="82" t="s">
        <v>11977</v>
      </c>
      <c r="AI4038" s="77" t="b">
        <v>0</v>
      </c>
      <c r="AJ4038" s="77"/>
      <c r="AK4038" s="77"/>
      <c r="AL4038" s="77"/>
      <c r="AM4038" s="77"/>
      <c r="AN4038" s="77"/>
      <c r="AO4038" s="77"/>
      <c r="AP4038" s="77"/>
      <c r="AQ4038" s="77" t="s">
        <v>13104</v>
      </c>
      <c r="AR4038" s="77"/>
      <c r="AS4038" s="77"/>
      <c r="AT4038" s="77"/>
      <c r="AU4038" s="77"/>
      <c r="AV4038" s="80" t="str">
        <f>HYPERLINK("https://pbs.twimg.com/media/FwuT4akXwAArCNQ.jpg")</f>
        <v>https://pbs.twimg.com/media/FwuT4akXwAArCNQ.jpg</v>
      </c>
      <c r="AW4038" s="82" t="s">
        <v>17119</v>
      </c>
      <c r="AX4038" s="82" t="s">
        <v>17119</v>
      </c>
      <c r="AY4038" s="77"/>
      <c r="AZ4038" s="82" t="s">
        <v>17385</v>
      </c>
      <c r="BA4038" s="82" t="s">
        <v>17385</v>
      </c>
      <c r="BB4038" s="82" t="s">
        <v>17385</v>
      </c>
      <c r="BC4038" s="82" t="s">
        <v>17119</v>
      </c>
      <c r="BD4038" s="82" t="s">
        <v>17708</v>
      </c>
      <c r="BE4038" s="77"/>
      <c r="BF4038" s="77"/>
      <c r="BG4038" s="77"/>
      <c r="BH4038" s="77"/>
      <c r="BI4038" s="77"/>
    </row>
    <row r="4039" spans="1:61" x14ac:dyDescent="0.25">
      <c r="A4039" s="62" t="s">
        <v>721</v>
      </c>
      <c r="B4039" s="62" t="s">
        <v>721</v>
      </c>
      <c r="C4039" s="63"/>
      <c r="D4039" s="64"/>
      <c r="E4039" s="65"/>
      <c r="F4039" s="66"/>
      <c r="G4039" s="63"/>
      <c r="H4039" s="67"/>
      <c r="I4039" s="68"/>
      <c r="J4039" s="68"/>
      <c r="K4039" s="32"/>
      <c r="L4039" s="75">
        <v>4039</v>
      </c>
      <c r="M4039" s="75"/>
      <c r="N4039" s="70"/>
      <c r="O4039" s="77" t="s">
        <v>179</v>
      </c>
      <c r="P4039" s="79">
        <v>45068.404351851852</v>
      </c>
      <c r="Q4039" s="77" t="s">
        <v>4808</v>
      </c>
      <c r="R4039" s="77">
        <v>0</v>
      </c>
      <c r="S4039" s="77">
        <v>0</v>
      </c>
      <c r="T4039" s="77">
        <v>0</v>
      </c>
      <c r="U4039" s="77">
        <v>0</v>
      </c>
      <c r="V4039" s="77">
        <v>7</v>
      </c>
      <c r="W4039" s="82" t="s">
        <v>6989</v>
      </c>
      <c r="X4039" s="80" t="str">
        <f>HYPERLINK("https://www.linkedin.com/posts/yomelijah-yomelyah-771575228_management-socialmedia-humanresources-activity-7066347306396086272-PcBZ?utm_source=share&amp;utm_medium=member_desktop")</f>
        <v>https://www.linkedin.com/posts/yomelijah-yomelyah-771575228_management-socialmedia-humanresources-activity-7066347306396086272-PcBZ?utm_source=share&amp;utm_medium=member_desktop</v>
      </c>
      <c r="Y4039" s="77" t="s">
        <v>7109</v>
      </c>
      <c r="Z4039" s="77"/>
      <c r="AA4039" s="77"/>
      <c r="AB4039" s="77"/>
      <c r="AC4039" s="82" t="s">
        <v>8232</v>
      </c>
      <c r="AD4039" s="77" t="s">
        <v>8278</v>
      </c>
      <c r="AE4039" s="80" t="str">
        <f>HYPERLINK("https://twitter.com/yomelijah/status/1660581835468832768")</f>
        <v>https://twitter.com/yomelijah/status/1660581835468832768</v>
      </c>
      <c r="AF4039" s="79">
        <v>45068.404351851852</v>
      </c>
      <c r="AG4039" s="85">
        <v>45068</v>
      </c>
      <c r="AH4039" s="82" t="s">
        <v>11978</v>
      </c>
      <c r="AI4039" s="77" t="b">
        <v>0</v>
      </c>
      <c r="AJ4039" s="77"/>
      <c r="AK4039" s="77"/>
      <c r="AL4039" s="77"/>
      <c r="AM4039" s="77"/>
      <c r="AN4039" s="77"/>
      <c r="AO4039" s="77"/>
      <c r="AP4039" s="77"/>
      <c r="AQ4039" s="77"/>
      <c r="AR4039" s="77"/>
      <c r="AS4039" s="77"/>
      <c r="AT4039" s="77"/>
      <c r="AU4039" s="77"/>
      <c r="AV4039" s="80" t="str">
        <f>HYPERLINK("https://pbs.twimg.com/profile_images/1616129482158489634/7UAxChJf_normal.jpg")</f>
        <v>https://pbs.twimg.com/profile_images/1616129482158489634/7UAxChJf_normal.jpg</v>
      </c>
      <c r="AW4039" s="82" t="s">
        <v>17120</v>
      </c>
      <c r="AX4039" s="82" t="s">
        <v>17120</v>
      </c>
      <c r="AY4039" s="77"/>
      <c r="AZ4039" s="82" t="s">
        <v>17385</v>
      </c>
      <c r="BA4039" s="82" t="s">
        <v>17385</v>
      </c>
      <c r="BB4039" s="82" t="s">
        <v>17385</v>
      </c>
      <c r="BC4039" s="82" t="s">
        <v>17120</v>
      </c>
      <c r="BD4039" s="82" t="s">
        <v>17708</v>
      </c>
      <c r="BE4039" s="77"/>
      <c r="BF4039" s="77"/>
      <c r="BG4039" s="77"/>
      <c r="BH4039" s="77"/>
      <c r="BI4039" s="77"/>
    </row>
    <row r="4040" spans="1:61" x14ac:dyDescent="0.25">
      <c r="A4040" s="62" t="s">
        <v>722</v>
      </c>
      <c r="B4040" s="62" t="s">
        <v>722</v>
      </c>
      <c r="C4040" s="63"/>
      <c r="D4040" s="64"/>
      <c r="E4040" s="65"/>
      <c r="F4040" s="66"/>
      <c r="G4040" s="63"/>
      <c r="H4040" s="67"/>
      <c r="I4040" s="68"/>
      <c r="J4040" s="68"/>
      <c r="K4040" s="32"/>
      <c r="L4040" s="75">
        <v>4040</v>
      </c>
      <c r="M4040" s="75"/>
      <c r="N4040" s="70"/>
      <c r="O4040" s="77" t="s">
        <v>179</v>
      </c>
      <c r="P4040" s="79">
        <v>45049.094189814816</v>
      </c>
      <c r="Q4040" s="77" t="s">
        <v>4809</v>
      </c>
      <c r="R4040" s="77">
        <v>0</v>
      </c>
      <c r="S4040" s="77">
        <v>2</v>
      </c>
      <c r="T4040" s="77">
        <v>3</v>
      </c>
      <c r="U4040" s="77">
        <v>0</v>
      </c>
      <c r="V4040" s="77">
        <v>41</v>
      </c>
      <c r="W4040" s="82" t="s">
        <v>6990</v>
      </c>
      <c r="X4040" s="80" t="str">
        <f>HYPERLINK("https://github.com/matheusek/finances_functions/blob/main/stock_perfrmance.ipynb")</f>
        <v>https://github.com/matheusek/finances_functions/blob/main/stock_perfrmance.ipynb</v>
      </c>
      <c r="Y4040" s="77" t="s">
        <v>7149</v>
      </c>
      <c r="Z4040" s="77"/>
      <c r="AA4040" s="77"/>
      <c r="AB4040" s="77"/>
      <c r="AC4040" s="82" t="s">
        <v>8232</v>
      </c>
      <c r="AD4040" s="77" t="s">
        <v>8278</v>
      </c>
      <c r="AE4040" s="80" t="str">
        <f>HYPERLINK("https://twitter.com/knop_op/status/1653584068036919297")</f>
        <v>https://twitter.com/knop_op/status/1653584068036919297</v>
      </c>
      <c r="AF4040" s="79">
        <v>45049.094189814816</v>
      </c>
      <c r="AG4040" s="85">
        <v>45049</v>
      </c>
      <c r="AH4040" s="82" t="s">
        <v>11979</v>
      </c>
      <c r="AI4040" s="77" t="b">
        <v>0</v>
      </c>
      <c r="AJ4040" s="77"/>
      <c r="AK4040" s="77"/>
      <c r="AL4040" s="77"/>
      <c r="AM4040" s="77"/>
      <c r="AN4040" s="77"/>
      <c r="AO4040" s="77"/>
      <c r="AP4040" s="77"/>
      <c r="AQ4040" s="77"/>
      <c r="AR4040" s="77"/>
      <c r="AS4040" s="77"/>
      <c r="AT4040" s="77"/>
      <c r="AU4040" s="77"/>
      <c r="AV4040" s="80" t="str">
        <f>HYPERLINK("https://pbs.twimg.com/profile_images/1479498531316670468/_luYcChW_normal.jpg")</f>
        <v>https://pbs.twimg.com/profile_images/1479498531316670468/_luYcChW_normal.jpg</v>
      </c>
      <c r="AW4040" s="82" t="s">
        <v>17121</v>
      </c>
      <c r="AX4040" s="82" t="s">
        <v>17121</v>
      </c>
      <c r="AY4040" s="77"/>
      <c r="AZ4040" s="82" t="s">
        <v>17385</v>
      </c>
      <c r="BA4040" s="82" t="s">
        <v>17385</v>
      </c>
      <c r="BB4040" s="82" t="s">
        <v>17385</v>
      </c>
      <c r="BC4040" s="82" t="s">
        <v>17121</v>
      </c>
      <c r="BD4040" s="82" t="s">
        <v>17709</v>
      </c>
      <c r="BE4040" s="77"/>
      <c r="BF4040" s="77"/>
      <c r="BG4040" s="77"/>
      <c r="BH4040" s="77"/>
      <c r="BI4040" s="77"/>
    </row>
    <row r="4041" spans="1:61" x14ac:dyDescent="0.25">
      <c r="A4041" s="62" t="s">
        <v>723</v>
      </c>
      <c r="B4041" s="62" t="s">
        <v>723</v>
      </c>
      <c r="C4041" s="63"/>
      <c r="D4041" s="64"/>
      <c r="E4041" s="65"/>
      <c r="F4041" s="66"/>
      <c r="G4041" s="63"/>
      <c r="H4041" s="67"/>
      <c r="I4041" s="68"/>
      <c r="J4041" s="68"/>
      <c r="K4041" s="32"/>
      <c r="L4041" s="75">
        <v>4041</v>
      </c>
      <c r="M4041" s="75"/>
      <c r="N4041" s="70"/>
      <c r="O4041" s="77" t="s">
        <v>179</v>
      </c>
      <c r="P4041" s="79">
        <v>45048.651296296295</v>
      </c>
      <c r="Q4041" s="77" t="s">
        <v>4810</v>
      </c>
      <c r="R4041" s="77">
        <v>0</v>
      </c>
      <c r="S4041" s="77">
        <v>0</v>
      </c>
      <c r="T4041" s="77">
        <v>0</v>
      </c>
      <c r="U4041" s="77">
        <v>0</v>
      </c>
      <c r="V4041" s="77">
        <v>2</v>
      </c>
      <c r="W4041" s="82" t="s">
        <v>6991</v>
      </c>
      <c r="X4041" s="80" t="str">
        <f>HYPERLINK("https://youtu.be/MITan-gevRk")</f>
        <v>https://youtu.be/MITan-gevRk</v>
      </c>
      <c r="Y4041" s="77" t="s">
        <v>7064</v>
      </c>
      <c r="Z4041" s="77"/>
      <c r="AA4041" s="77"/>
      <c r="AB4041" s="77"/>
      <c r="AC4041" s="82" t="s">
        <v>8232</v>
      </c>
      <c r="AD4041" s="77" t="s">
        <v>8278</v>
      </c>
      <c r="AE4041" s="80" t="str">
        <f>HYPERLINK("https://twitter.com/emoneybrasil/status/1653423567420153858")</f>
        <v>https://twitter.com/emoneybrasil/status/1653423567420153858</v>
      </c>
      <c r="AF4041" s="79">
        <v>45048.651296296295</v>
      </c>
      <c r="AG4041" s="85">
        <v>45048</v>
      </c>
      <c r="AH4041" s="82" t="s">
        <v>11980</v>
      </c>
      <c r="AI4041" s="77" t="b">
        <v>0</v>
      </c>
      <c r="AJ4041" s="77"/>
      <c r="AK4041" s="77"/>
      <c r="AL4041" s="77"/>
      <c r="AM4041" s="77"/>
      <c r="AN4041" s="77"/>
      <c r="AO4041" s="77"/>
      <c r="AP4041" s="77"/>
      <c r="AQ4041" s="77"/>
      <c r="AR4041" s="77"/>
      <c r="AS4041" s="77"/>
      <c r="AT4041" s="77"/>
      <c r="AU4041" s="77"/>
      <c r="AV4041" s="80" t="str">
        <f>HYPERLINK("https://pbs.twimg.com/profile_images/1507084958590029825/A0zYOuAD_normal.jpg")</f>
        <v>https://pbs.twimg.com/profile_images/1507084958590029825/A0zYOuAD_normal.jpg</v>
      </c>
      <c r="AW4041" s="82" t="s">
        <v>17122</v>
      </c>
      <c r="AX4041" s="82" t="s">
        <v>17122</v>
      </c>
      <c r="AY4041" s="77"/>
      <c r="AZ4041" s="82" t="s">
        <v>17385</v>
      </c>
      <c r="BA4041" s="82" t="s">
        <v>17385</v>
      </c>
      <c r="BB4041" s="82" t="s">
        <v>17385</v>
      </c>
      <c r="BC4041" s="82" t="s">
        <v>17122</v>
      </c>
      <c r="BD4041" s="82" t="s">
        <v>17710</v>
      </c>
      <c r="BE4041" s="77"/>
      <c r="BF4041" s="77"/>
      <c r="BG4041" s="77"/>
      <c r="BH4041" s="77"/>
      <c r="BI4041" s="77"/>
    </row>
    <row r="4042" spans="1:61" x14ac:dyDescent="0.25">
      <c r="A4042" s="62" t="s">
        <v>724</v>
      </c>
      <c r="B4042" s="62" t="s">
        <v>724</v>
      </c>
      <c r="C4042" s="63"/>
      <c r="D4042" s="64"/>
      <c r="E4042" s="65"/>
      <c r="F4042" s="66"/>
      <c r="G4042" s="63"/>
      <c r="H4042" s="67"/>
      <c r="I4042" s="68"/>
      <c r="J4042" s="68"/>
      <c r="K4042" s="32"/>
      <c r="L4042" s="75">
        <v>4042</v>
      </c>
      <c r="M4042" s="75"/>
      <c r="N4042" s="70"/>
      <c r="O4042" s="77" t="s">
        <v>179</v>
      </c>
      <c r="P4042" s="79">
        <v>45187.585520833331</v>
      </c>
      <c r="Q4042" s="77" t="s">
        <v>4811</v>
      </c>
      <c r="R4042" s="77">
        <v>0</v>
      </c>
      <c r="S4042" s="77">
        <v>0</v>
      </c>
      <c r="T4042" s="77">
        <v>0</v>
      </c>
      <c r="U4042" s="77">
        <v>0</v>
      </c>
      <c r="V4042" s="77">
        <v>131</v>
      </c>
      <c r="W4042" s="82" t="s">
        <v>6992</v>
      </c>
      <c r="X4042" s="80" t="str">
        <f>HYPERLINK("https://ultimosegundo.ig.com.br/brasil/2023-09-18/acoes-policiais-em-favelas-causam-prejuizo-de-r--14-milhoes-por-ano.html")</f>
        <v>https://ultimosegundo.ig.com.br/brasil/2023-09-18/acoes-policiais-em-favelas-causam-prejuizo-de-r--14-milhoes-por-ano.html</v>
      </c>
      <c r="Y4042" s="77" t="s">
        <v>7053</v>
      </c>
      <c r="Z4042" s="77"/>
      <c r="AA4042" s="77"/>
      <c r="AB4042" s="77"/>
      <c r="AC4042" s="82" t="s">
        <v>8232</v>
      </c>
      <c r="AD4042" s="77" t="s">
        <v>8278</v>
      </c>
      <c r="AE4042" s="80" t="str">
        <f>HYPERLINK("https://twitter.com/ig/status/1703771644731236388")</f>
        <v>https://twitter.com/ig/status/1703771644731236388</v>
      </c>
      <c r="AF4042" s="79">
        <v>45187.585520833331</v>
      </c>
      <c r="AG4042" s="85">
        <v>45187</v>
      </c>
      <c r="AH4042" s="82" t="s">
        <v>11981</v>
      </c>
      <c r="AI4042" s="77" t="b">
        <v>0</v>
      </c>
      <c r="AJ4042" s="77"/>
      <c r="AK4042" s="77"/>
      <c r="AL4042" s="77"/>
      <c r="AM4042" s="77"/>
      <c r="AN4042" s="77"/>
      <c r="AO4042" s="77"/>
      <c r="AP4042" s="77"/>
      <c r="AQ4042" s="77"/>
      <c r="AR4042" s="77"/>
      <c r="AS4042" s="77"/>
      <c r="AT4042" s="77"/>
      <c r="AU4042" s="77"/>
      <c r="AV4042" s="80" t="str">
        <f>HYPERLINK("https://pbs.twimg.com/profile_images/1603545636309241856/yvqEuSnz_normal.jpg")</f>
        <v>https://pbs.twimg.com/profile_images/1603545636309241856/yvqEuSnz_normal.jpg</v>
      </c>
      <c r="AW4042" s="82" t="s">
        <v>17123</v>
      </c>
      <c r="AX4042" s="82" t="s">
        <v>17123</v>
      </c>
      <c r="AY4042" s="77"/>
      <c r="AZ4042" s="82" t="s">
        <v>17385</v>
      </c>
      <c r="BA4042" s="82" t="s">
        <v>17385</v>
      </c>
      <c r="BB4042" s="82" t="s">
        <v>17385</v>
      </c>
      <c r="BC4042" s="82" t="s">
        <v>17123</v>
      </c>
      <c r="BD4042" s="77">
        <v>14311308</v>
      </c>
      <c r="BE4042" s="77"/>
      <c r="BF4042" s="77"/>
      <c r="BG4042" s="77"/>
      <c r="BH4042" s="77"/>
      <c r="BI4042" s="77"/>
    </row>
    <row r="4043" spans="1:61" x14ac:dyDescent="0.25">
      <c r="A4043" s="62" t="s">
        <v>725</v>
      </c>
      <c r="B4043" s="62" t="s">
        <v>725</v>
      </c>
      <c r="C4043" s="63"/>
      <c r="D4043" s="64"/>
      <c r="E4043" s="65"/>
      <c r="F4043" s="66"/>
      <c r="G4043" s="63"/>
      <c r="H4043" s="67"/>
      <c r="I4043" s="68"/>
      <c r="J4043" s="68"/>
      <c r="K4043" s="32"/>
      <c r="L4043" s="75">
        <v>4043</v>
      </c>
      <c r="M4043" s="75"/>
      <c r="N4043" s="70"/>
      <c r="O4043" s="77" t="s">
        <v>179</v>
      </c>
      <c r="P4043" s="79">
        <v>45118.030891203707</v>
      </c>
      <c r="Q4043" s="77" t="s">
        <v>4812</v>
      </c>
      <c r="R4043" s="77">
        <v>0</v>
      </c>
      <c r="S4043" s="77">
        <v>2</v>
      </c>
      <c r="T4043" s="77">
        <v>2</v>
      </c>
      <c r="U4043" s="77">
        <v>0</v>
      </c>
      <c r="V4043" s="77">
        <v>66</v>
      </c>
      <c r="W4043" s="82" t="s">
        <v>6993</v>
      </c>
      <c r="X4043" s="77"/>
      <c r="Y4043" s="77"/>
      <c r="Z4043" s="77"/>
      <c r="AA4043" s="77" t="s">
        <v>8220</v>
      </c>
      <c r="AB4043" s="77" t="s">
        <v>8225</v>
      </c>
      <c r="AC4043" s="82" t="s">
        <v>8234</v>
      </c>
      <c r="AD4043" s="77" t="s">
        <v>8280</v>
      </c>
      <c r="AE4043" s="80" t="str">
        <f>HYPERLINK("https://twitter.com/henleinvest/status/1678565890181218304")</f>
        <v>https://twitter.com/henleinvest/status/1678565890181218304</v>
      </c>
      <c r="AF4043" s="79">
        <v>45118.030891203707</v>
      </c>
      <c r="AG4043" s="85">
        <v>45118</v>
      </c>
      <c r="AH4043" s="82" t="s">
        <v>11982</v>
      </c>
      <c r="AI4043" s="77" t="b">
        <v>0</v>
      </c>
      <c r="AJ4043" s="77"/>
      <c r="AK4043" s="77"/>
      <c r="AL4043" s="77"/>
      <c r="AM4043" s="77"/>
      <c r="AN4043" s="77"/>
      <c r="AO4043" s="77"/>
      <c r="AP4043" s="77"/>
      <c r="AQ4043" s="77" t="s">
        <v>13105</v>
      </c>
      <c r="AR4043" s="77"/>
      <c r="AS4043" s="77"/>
      <c r="AT4043" s="77"/>
      <c r="AU4043" s="77"/>
      <c r="AV4043" s="80" t="str">
        <f>HYPERLINK("https://pbs.twimg.com/media/F0t2x-IWYAArkil.jpg")</f>
        <v>https://pbs.twimg.com/media/F0t2x-IWYAArkil.jpg</v>
      </c>
      <c r="AW4043" s="82" t="s">
        <v>17124</v>
      </c>
      <c r="AX4043" s="82" t="s">
        <v>17124</v>
      </c>
      <c r="AY4043" s="77"/>
      <c r="AZ4043" s="82" t="s">
        <v>17385</v>
      </c>
      <c r="BA4043" s="82" t="s">
        <v>17385</v>
      </c>
      <c r="BB4043" s="82" t="s">
        <v>17385</v>
      </c>
      <c r="BC4043" s="82" t="s">
        <v>17124</v>
      </c>
      <c r="BD4043" s="82" t="s">
        <v>17711</v>
      </c>
      <c r="BE4043" s="77"/>
      <c r="BF4043" s="77"/>
      <c r="BG4043" s="77"/>
      <c r="BH4043" s="77"/>
      <c r="BI4043" s="77"/>
    </row>
    <row r="4044" spans="1:61" x14ac:dyDescent="0.25">
      <c r="A4044" s="62" t="s">
        <v>726</v>
      </c>
      <c r="B4044" s="62" t="s">
        <v>789</v>
      </c>
      <c r="C4044" s="63"/>
      <c r="D4044" s="64"/>
      <c r="E4044" s="65"/>
      <c r="F4044" s="66"/>
      <c r="G4044" s="63"/>
      <c r="H4044" s="67"/>
      <c r="I4044" s="68"/>
      <c r="J4044" s="68"/>
      <c r="K4044" s="32"/>
      <c r="L4044" s="75">
        <v>4044</v>
      </c>
      <c r="M4044" s="75"/>
      <c r="N4044" s="70"/>
      <c r="O4044" s="77" t="s">
        <v>802</v>
      </c>
      <c r="P4044" s="79">
        <v>45147.933020833334</v>
      </c>
      <c r="Q4044" s="77" t="s">
        <v>4813</v>
      </c>
      <c r="R4044" s="77">
        <v>0</v>
      </c>
      <c r="S4044" s="77">
        <v>0</v>
      </c>
      <c r="T4044" s="77">
        <v>0</v>
      </c>
      <c r="U4044" s="77">
        <v>0</v>
      </c>
      <c r="V4044" s="77">
        <v>55</v>
      </c>
      <c r="W4044" s="82" t="s">
        <v>6184</v>
      </c>
      <c r="X4044" s="80" t="str">
        <f>HYPERLINK("https://www.bloomberg.com/news/articles/2023-08-09/gic-foi-um-dos-compradores-na-oferta-de-acoes-da-copel-fontes")</f>
        <v>https://www.bloomberg.com/news/articles/2023-08-09/gic-foi-um-dos-compradores-na-oferta-de-acoes-da-copel-fontes</v>
      </c>
      <c r="Y4044" s="77" t="s">
        <v>7133</v>
      </c>
      <c r="Z4044" s="77" t="s">
        <v>789</v>
      </c>
      <c r="AA4044" s="77"/>
      <c r="AB4044" s="77"/>
      <c r="AC4044" s="82" t="s">
        <v>8232</v>
      </c>
      <c r="AD4044" s="77" t="s">
        <v>8278</v>
      </c>
      <c r="AE4044" s="80" t="str">
        <f>HYPERLINK("https://twitter.com/bbgemportugues/status/1689402062302232576")</f>
        <v>https://twitter.com/bbgemportugues/status/1689402062302232576</v>
      </c>
      <c r="AF4044" s="79">
        <v>45147.933020833334</v>
      </c>
      <c r="AG4044" s="85">
        <v>45147</v>
      </c>
      <c r="AH4044" s="82" t="s">
        <v>11983</v>
      </c>
      <c r="AI4044" s="77" t="b">
        <v>0</v>
      </c>
      <c r="AJ4044" s="77"/>
      <c r="AK4044" s="77"/>
      <c r="AL4044" s="77"/>
      <c r="AM4044" s="77"/>
      <c r="AN4044" s="77"/>
      <c r="AO4044" s="77"/>
      <c r="AP4044" s="77"/>
      <c r="AQ4044" s="77"/>
      <c r="AR4044" s="77"/>
      <c r="AS4044" s="77"/>
      <c r="AT4044" s="77"/>
      <c r="AU4044" s="77"/>
      <c r="AV4044" s="80" t="str">
        <f>HYPERLINK("https://pbs.twimg.com/profile_images/1638166897043599365/AkjqbhKf_normal.jpg")</f>
        <v>https://pbs.twimg.com/profile_images/1638166897043599365/AkjqbhKf_normal.jpg</v>
      </c>
      <c r="AW4044" s="82" t="s">
        <v>17125</v>
      </c>
      <c r="AX4044" s="82" t="s">
        <v>17125</v>
      </c>
      <c r="AY4044" s="77"/>
      <c r="AZ4044" s="82" t="s">
        <v>17385</v>
      </c>
      <c r="BA4044" s="82" t="s">
        <v>17385</v>
      </c>
      <c r="BB4044" s="82" t="s">
        <v>17385</v>
      </c>
      <c r="BC4044" s="82" t="s">
        <v>17125</v>
      </c>
      <c r="BD4044" s="82" t="s">
        <v>17712</v>
      </c>
      <c r="BE4044" s="77"/>
      <c r="BF4044" s="77"/>
      <c r="BG4044" s="77"/>
      <c r="BH4044" s="77"/>
      <c r="BI4044" s="77"/>
    </row>
    <row r="4045" spans="1:61" x14ac:dyDescent="0.25">
      <c r="A4045" s="62" t="s">
        <v>727</v>
      </c>
      <c r="B4045" s="62" t="s">
        <v>727</v>
      </c>
      <c r="C4045" s="63"/>
      <c r="D4045" s="64"/>
      <c r="E4045" s="65"/>
      <c r="F4045" s="66"/>
      <c r="G4045" s="63"/>
      <c r="H4045" s="67"/>
      <c r="I4045" s="68"/>
      <c r="J4045" s="68"/>
      <c r="K4045" s="32"/>
      <c r="L4045" s="75">
        <v>4045</v>
      </c>
      <c r="M4045" s="75"/>
      <c r="N4045" s="70"/>
      <c r="O4045" s="77" t="s">
        <v>179</v>
      </c>
      <c r="P4045" s="79">
        <v>45104.621307870373</v>
      </c>
      <c r="Q4045" s="77" t="s">
        <v>4814</v>
      </c>
      <c r="R4045" s="77">
        <v>1</v>
      </c>
      <c r="S4045" s="77">
        <v>2</v>
      </c>
      <c r="T4045" s="77">
        <v>1</v>
      </c>
      <c r="U4045" s="77">
        <v>0</v>
      </c>
      <c r="V4045" s="77">
        <v>1813</v>
      </c>
      <c r="W4045" s="82" t="s">
        <v>6994</v>
      </c>
      <c r="X4045" s="80" t="str">
        <f>HYPERLINK("https://invst.ly/10gsvl")</f>
        <v>https://invst.ly/10gsvl</v>
      </c>
      <c r="Y4045" s="77" t="s">
        <v>7129</v>
      </c>
      <c r="Z4045" s="77"/>
      <c r="AA4045" s="77"/>
      <c r="AB4045" s="77"/>
      <c r="AC4045" s="82" t="s">
        <v>8232</v>
      </c>
      <c r="AD4045" s="77" t="s">
        <v>8278</v>
      </c>
      <c r="AE4045" s="80" t="str">
        <f>HYPERLINK("https://twitter.com/investingbrasil/status/1673706423488741378")</f>
        <v>https://twitter.com/investingbrasil/status/1673706423488741378</v>
      </c>
      <c r="AF4045" s="79">
        <v>45104.621307870373</v>
      </c>
      <c r="AG4045" s="85">
        <v>45104</v>
      </c>
      <c r="AH4045" s="82" t="s">
        <v>11984</v>
      </c>
      <c r="AI4045" s="77" t="b">
        <v>0</v>
      </c>
      <c r="AJ4045" s="77"/>
      <c r="AK4045" s="77"/>
      <c r="AL4045" s="77"/>
      <c r="AM4045" s="77"/>
      <c r="AN4045" s="77"/>
      <c r="AO4045" s="77"/>
      <c r="AP4045" s="77"/>
      <c r="AQ4045" s="77"/>
      <c r="AR4045" s="77"/>
      <c r="AS4045" s="77"/>
      <c r="AT4045" s="77"/>
      <c r="AU4045" s="77"/>
      <c r="AV4045" s="80" t="str">
        <f>HYPERLINK("https://pbs.twimg.com/profile_images/1108337112351469570/vkooDg2x_normal.png")</f>
        <v>https://pbs.twimg.com/profile_images/1108337112351469570/vkooDg2x_normal.png</v>
      </c>
      <c r="AW4045" s="82" t="s">
        <v>17126</v>
      </c>
      <c r="AX4045" s="82" t="s">
        <v>17126</v>
      </c>
      <c r="AY4045" s="77"/>
      <c r="AZ4045" s="82" t="s">
        <v>17385</v>
      </c>
      <c r="BA4045" s="82" t="s">
        <v>17385</v>
      </c>
      <c r="BB4045" s="82" t="s">
        <v>17385</v>
      </c>
      <c r="BC4045" s="82" t="s">
        <v>17126</v>
      </c>
      <c r="BD4045" s="77">
        <v>49292227</v>
      </c>
      <c r="BE4045" s="77"/>
      <c r="BF4045" s="77"/>
      <c r="BG4045" s="77"/>
      <c r="BH4045" s="77"/>
      <c r="BI4045" s="77"/>
    </row>
    <row r="4046" spans="1:61" x14ac:dyDescent="0.25">
      <c r="A4046" s="62" t="s">
        <v>727</v>
      </c>
      <c r="B4046" s="62" t="s">
        <v>727</v>
      </c>
      <c r="C4046" s="63"/>
      <c r="D4046" s="64"/>
      <c r="E4046" s="65"/>
      <c r="F4046" s="66"/>
      <c r="G4046" s="63"/>
      <c r="H4046" s="67"/>
      <c r="I4046" s="68"/>
      <c r="J4046" s="68"/>
      <c r="K4046" s="32"/>
      <c r="L4046" s="75">
        <v>4046</v>
      </c>
      <c r="M4046" s="75"/>
      <c r="N4046" s="70"/>
      <c r="O4046" s="77" t="s">
        <v>179</v>
      </c>
      <c r="P4046" s="79">
        <v>45118.574872685182</v>
      </c>
      <c r="Q4046" s="77" t="s">
        <v>4815</v>
      </c>
      <c r="R4046" s="77">
        <v>1</v>
      </c>
      <c r="S4046" s="77">
        <v>4</v>
      </c>
      <c r="T4046" s="77">
        <v>0</v>
      </c>
      <c r="U4046" s="77">
        <v>0</v>
      </c>
      <c r="V4046" s="77">
        <v>3021</v>
      </c>
      <c r="W4046" s="82" t="s">
        <v>6995</v>
      </c>
      <c r="X4046" s="80" t="str">
        <f>HYPERLINK("https://www.youtube.com/watch?v=Q0mNlrlp-X4")</f>
        <v>https://www.youtube.com/watch?v=Q0mNlrlp-X4</v>
      </c>
      <c r="Y4046" s="77" t="s">
        <v>7065</v>
      </c>
      <c r="Z4046" s="77"/>
      <c r="AA4046" s="77"/>
      <c r="AB4046" s="77"/>
      <c r="AC4046" s="82" t="s">
        <v>8232</v>
      </c>
      <c r="AD4046" s="77" t="s">
        <v>8278</v>
      </c>
      <c r="AE4046" s="80" t="str">
        <f>HYPERLINK("https://twitter.com/investingbrasil/status/1678763025975898115")</f>
        <v>https://twitter.com/investingbrasil/status/1678763025975898115</v>
      </c>
      <c r="AF4046" s="79">
        <v>45118.574872685182</v>
      </c>
      <c r="AG4046" s="85">
        <v>45118</v>
      </c>
      <c r="AH4046" s="82" t="s">
        <v>11985</v>
      </c>
      <c r="AI4046" s="77" t="b">
        <v>0</v>
      </c>
      <c r="AJ4046" s="77"/>
      <c r="AK4046" s="77"/>
      <c r="AL4046" s="77"/>
      <c r="AM4046" s="77"/>
      <c r="AN4046" s="77"/>
      <c r="AO4046" s="77"/>
      <c r="AP4046" s="77"/>
      <c r="AQ4046" s="77"/>
      <c r="AR4046" s="77"/>
      <c r="AS4046" s="77"/>
      <c r="AT4046" s="77"/>
      <c r="AU4046" s="77"/>
      <c r="AV4046" s="80" t="str">
        <f>HYPERLINK("https://pbs.twimg.com/profile_images/1108337112351469570/vkooDg2x_normal.png")</f>
        <v>https://pbs.twimg.com/profile_images/1108337112351469570/vkooDg2x_normal.png</v>
      </c>
      <c r="AW4046" s="82" t="s">
        <v>17127</v>
      </c>
      <c r="AX4046" s="82" t="s">
        <v>17127</v>
      </c>
      <c r="AY4046" s="77"/>
      <c r="AZ4046" s="82" t="s">
        <v>17385</v>
      </c>
      <c r="BA4046" s="82" t="s">
        <v>17385</v>
      </c>
      <c r="BB4046" s="82" t="s">
        <v>17385</v>
      </c>
      <c r="BC4046" s="82" t="s">
        <v>17127</v>
      </c>
      <c r="BD4046" s="77">
        <v>49292227</v>
      </c>
      <c r="BE4046" s="77"/>
      <c r="BF4046" s="77"/>
      <c r="BG4046" s="77"/>
      <c r="BH4046" s="77"/>
      <c r="BI4046" s="77"/>
    </row>
    <row r="4047" spans="1:61" x14ac:dyDescent="0.25">
      <c r="A4047" s="62" t="s">
        <v>727</v>
      </c>
      <c r="B4047" s="62" t="s">
        <v>727</v>
      </c>
      <c r="C4047" s="63"/>
      <c r="D4047" s="64"/>
      <c r="E4047" s="65"/>
      <c r="F4047" s="66"/>
      <c r="G4047" s="63"/>
      <c r="H4047" s="67"/>
      <c r="I4047" s="68"/>
      <c r="J4047" s="68"/>
      <c r="K4047" s="32"/>
      <c r="L4047" s="75">
        <v>4047</v>
      </c>
      <c r="M4047" s="75"/>
      <c r="N4047" s="70"/>
      <c r="O4047" s="77" t="s">
        <v>179</v>
      </c>
      <c r="P4047" s="79">
        <v>45119.794247685182</v>
      </c>
      <c r="Q4047" s="77" t="s">
        <v>4816</v>
      </c>
      <c r="R4047" s="77">
        <v>0</v>
      </c>
      <c r="S4047" s="77">
        <v>1</v>
      </c>
      <c r="T4047" s="77">
        <v>0</v>
      </c>
      <c r="U4047" s="77">
        <v>0</v>
      </c>
      <c r="V4047" s="77">
        <v>1434</v>
      </c>
      <c r="W4047" s="82" t="s">
        <v>6996</v>
      </c>
      <c r="X4047" s="77" t="s">
        <v>7052</v>
      </c>
      <c r="Y4047" s="77" t="s">
        <v>7150</v>
      </c>
      <c r="Z4047" s="77"/>
      <c r="AA4047" s="77" t="s">
        <v>8221</v>
      </c>
      <c r="AB4047" s="77" t="s">
        <v>8225</v>
      </c>
      <c r="AC4047" s="82" t="s">
        <v>8232</v>
      </c>
      <c r="AD4047" s="77" t="s">
        <v>8278</v>
      </c>
      <c r="AE4047" s="80" t="str">
        <f>HYPERLINK("https://twitter.com/investingbrasil/status/1679204908946341889")</f>
        <v>https://twitter.com/investingbrasil/status/1679204908946341889</v>
      </c>
      <c r="AF4047" s="79">
        <v>45119.794247685182</v>
      </c>
      <c r="AG4047" s="85">
        <v>45119</v>
      </c>
      <c r="AH4047" s="82" t="s">
        <v>11986</v>
      </c>
      <c r="AI4047" s="77" t="b">
        <v>0</v>
      </c>
      <c r="AJ4047" s="77"/>
      <c r="AK4047" s="77"/>
      <c r="AL4047" s="77"/>
      <c r="AM4047" s="77"/>
      <c r="AN4047" s="77"/>
      <c r="AO4047" s="77"/>
      <c r="AP4047" s="77"/>
      <c r="AQ4047" s="77" t="s">
        <v>13106</v>
      </c>
      <c r="AR4047" s="77"/>
      <c r="AS4047" s="77"/>
      <c r="AT4047" s="77"/>
      <c r="AU4047" s="77"/>
      <c r="AV4047" s="80" t="str">
        <f>HYPERLINK("https://pbs.twimg.com/media/F0272KAWAAAP036.png")</f>
        <v>https://pbs.twimg.com/media/F0272KAWAAAP036.png</v>
      </c>
      <c r="AW4047" s="82" t="s">
        <v>17128</v>
      </c>
      <c r="AX4047" s="82" t="s">
        <v>17128</v>
      </c>
      <c r="AY4047" s="77"/>
      <c r="AZ4047" s="82" t="s">
        <v>17385</v>
      </c>
      <c r="BA4047" s="82" t="s">
        <v>17385</v>
      </c>
      <c r="BB4047" s="82" t="s">
        <v>17385</v>
      </c>
      <c r="BC4047" s="82" t="s">
        <v>17128</v>
      </c>
      <c r="BD4047" s="77">
        <v>49292227</v>
      </c>
      <c r="BE4047" s="77"/>
      <c r="BF4047" s="77"/>
      <c r="BG4047" s="77"/>
      <c r="BH4047" s="77"/>
      <c r="BI4047" s="77"/>
    </row>
    <row r="4048" spans="1:61" x14ac:dyDescent="0.25">
      <c r="A4048" s="62" t="s">
        <v>727</v>
      </c>
      <c r="B4048" s="62" t="s">
        <v>727</v>
      </c>
      <c r="C4048" s="63"/>
      <c r="D4048" s="64"/>
      <c r="E4048" s="65"/>
      <c r="F4048" s="66"/>
      <c r="G4048" s="63"/>
      <c r="H4048" s="67"/>
      <c r="I4048" s="68"/>
      <c r="J4048" s="68"/>
      <c r="K4048" s="32"/>
      <c r="L4048" s="75">
        <v>4048</v>
      </c>
      <c r="M4048" s="75"/>
      <c r="N4048" s="70"/>
      <c r="O4048" s="77" t="s">
        <v>179</v>
      </c>
      <c r="P4048" s="79">
        <v>45125.688414351855</v>
      </c>
      <c r="Q4048" s="77" t="s">
        <v>4817</v>
      </c>
      <c r="R4048" s="77">
        <v>1</v>
      </c>
      <c r="S4048" s="77">
        <v>0</v>
      </c>
      <c r="T4048" s="77">
        <v>0</v>
      </c>
      <c r="U4048" s="77">
        <v>0</v>
      </c>
      <c r="V4048" s="77">
        <v>1587</v>
      </c>
      <c r="W4048" s="82" t="s">
        <v>6996</v>
      </c>
      <c r="X4048" s="77" t="s">
        <v>7052</v>
      </c>
      <c r="Y4048" s="77" t="s">
        <v>7150</v>
      </c>
      <c r="Z4048" s="77"/>
      <c r="AA4048" s="77" t="s">
        <v>8222</v>
      </c>
      <c r="AB4048" s="77" t="s">
        <v>8225</v>
      </c>
      <c r="AC4048" s="82" t="s">
        <v>8232</v>
      </c>
      <c r="AD4048" s="77" t="s">
        <v>8278</v>
      </c>
      <c r="AE4048" s="80" t="str">
        <f>HYPERLINK("https://twitter.com/investingbrasil/status/1681340884074348547")</f>
        <v>https://twitter.com/investingbrasil/status/1681340884074348547</v>
      </c>
      <c r="AF4048" s="79">
        <v>45125.688414351855</v>
      </c>
      <c r="AG4048" s="85">
        <v>45125</v>
      </c>
      <c r="AH4048" s="82" t="s">
        <v>11987</v>
      </c>
      <c r="AI4048" s="77" t="b">
        <v>0</v>
      </c>
      <c r="AJ4048" s="77"/>
      <c r="AK4048" s="77"/>
      <c r="AL4048" s="77"/>
      <c r="AM4048" s="77"/>
      <c r="AN4048" s="77"/>
      <c r="AO4048" s="77"/>
      <c r="AP4048" s="77"/>
      <c r="AQ4048" s="77" t="s">
        <v>13107</v>
      </c>
      <c r="AR4048" s="77"/>
      <c r="AS4048" s="77"/>
      <c r="AT4048" s="77"/>
      <c r="AU4048" s="77"/>
      <c r="AV4048" s="80" t="str">
        <f>HYPERLINK("https://pbs.twimg.com/media/F1VSi5pXwBoQL91.png")</f>
        <v>https://pbs.twimg.com/media/F1VSi5pXwBoQL91.png</v>
      </c>
      <c r="AW4048" s="82" t="s">
        <v>17129</v>
      </c>
      <c r="AX4048" s="82" t="s">
        <v>17129</v>
      </c>
      <c r="AY4048" s="77"/>
      <c r="AZ4048" s="82" t="s">
        <v>17385</v>
      </c>
      <c r="BA4048" s="82" t="s">
        <v>17385</v>
      </c>
      <c r="BB4048" s="82" t="s">
        <v>17385</v>
      </c>
      <c r="BC4048" s="82" t="s">
        <v>17129</v>
      </c>
      <c r="BD4048" s="77">
        <v>49292227</v>
      </c>
      <c r="BE4048" s="77"/>
      <c r="BF4048" s="77"/>
      <c r="BG4048" s="77"/>
      <c r="BH4048" s="77"/>
      <c r="BI4048" s="77"/>
    </row>
    <row r="4049" spans="1:61" x14ac:dyDescent="0.25">
      <c r="A4049" s="62" t="s">
        <v>727</v>
      </c>
      <c r="B4049" s="62" t="s">
        <v>727</v>
      </c>
      <c r="C4049" s="63"/>
      <c r="D4049" s="64"/>
      <c r="E4049" s="65"/>
      <c r="F4049" s="66"/>
      <c r="G4049" s="63"/>
      <c r="H4049" s="67"/>
      <c r="I4049" s="68"/>
      <c r="J4049" s="68"/>
      <c r="K4049" s="32"/>
      <c r="L4049" s="75">
        <v>4049</v>
      </c>
      <c r="M4049" s="75"/>
      <c r="N4049" s="70"/>
      <c r="O4049" s="77" t="s">
        <v>179</v>
      </c>
      <c r="P4049" s="79">
        <v>45098.738240740742</v>
      </c>
      <c r="Q4049" s="77" t="s">
        <v>4818</v>
      </c>
      <c r="R4049" s="77">
        <v>0</v>
      </c>
      <c r="S4049" s="77">
        <v>4</v>
      </c>
      <c r="T4049" s="77">
        <v>0</v>
      </c>
      <c r="U4049" s="77">
        <v>0</v>
      </c>
      <c r="V4049" s="77">
        <v>1727</v>
      </c>
      <c r="W4049" s="82" t="s">
        <v>6997</v>
      </c>
      <c r="X4049" s="80" t="str">
        <f>HYPERLINK("https://br.investing.com/equities/")</f>
        <v>https://br.investing.com/equities/</v>
      </c>
      <c r="Y4049" s="77" t="s">
        <v>7151</v>
      </c>
      <c r="Z4049" s="77"/>
      <c r="AA4049" s="77" t="s">
        <v>8223</v>
      </c>
      <c r="AB4049" s="77" t="s">
        <v>8225</v>
      </c>
      <c r="AC4049" s="82" t="s">
        <v>8232</v>
      </c>
      <c r="AD4049" s="77" t="s">
        <v>8278</v>
      </c>
      <c r="AE4049" s="80" t="str">
        <f>HYPERLINK("https://twitter.com/investingbrasil/status/1671574468815118336")</f>
        <v>https://twitter.com/investingbrasil/status/1671574468815118336</v>
      </c>
      <c r="AF4049" s="79">
        <v>45098.738240740742</v>
      </c>
      <c r="AG4049" s="85">
        <v>45098</v>
      </c>
      <c r="AH4049" s="82" t="s">
        <v>11988</v>
      </c>
      <c r="AI4049" s="77" t="b">
        <v>0</v>
      </c>
      <c r="AJ4049" s="77"/>
      <c r="AK4049" s="77"/>
      <c r="AL4049" s="77"/>
      <c r="AM4049" s="77"/>
      <c r="AN4049" s="77"/>
      <c r="AO4049" s="77"/>
      <c r="AP4049" s="77"/>
      <c r="AQ4049" s="77" t="s">
        <v>13108</v>
      </c>
      <c r="AR4049" s="77"/>
      <c r="AS4049" s="77"/>
      <c r="AT4049" s="77"/>
      <c r="AU4049" s="77"/>
      <c r="AV4049" s="80" t="str">
        <f>HYPERLINK("https://pbs.twimg.com/media/FzKgHg6XoAIgTmc.jpg")</f>
        <v>https://pbs.twimg.com/media/FzKgHg6XoAIgTmc.jpg</v>
      </c>
      <c r="AW4049" s="82" t="s">
        <v>17130</v>
      </c>
      <c r="AX4049" s="82" t="s">
        <v>17130</v>
      </c>
      <c r="AY4049" s="77"/>
      <c r="AZ4049" s="82" t="s">
        <v>17385</v>
      </c>
      <c r="BA4049" s="82" t="s">
        <v>17385</v>
      </c>
      <c r="BB4049" s="82" t="s">
        <v>17385</v>
      </c>
      <c r="BC4049" s="82" t="s">
        <v>17130</v>
      </c>
      <c r="BD4049" s="77">
        <v>49292227</v>
      </c>
      <c r="BE4049" s="77"/>
      <c r="BF4049" s="77"/>
      <c r="BG4049" s="77"/>
      <c r="BH4049" s="77"/>
      <c r="BI4049" s="77"/>
    </row>
    <row r="4050" spans="1:61" x14ac:dyDescent="0.25">
      <c r="A4050" s="62" t="s">
        <v>727</v>
      </c>
      <c r="B4050" s="62" t="s">
        <v>727</v>
      </c>
      <c r="C4050" s="63"/>
      <c r="D4050" s="64"/>
      <c r="E4050" s="65"/>
      <c r="F4050" s="66"/>
      <c r="G4050" s="63"/>
      <c r="H4050" s="67"/>
      <c r="I4050" s="68"/>
      <c r="J4050" s="68"/>
      <c r="K4050" s="32"/>
      <c r="L4050" s="75">
        <v>4050</v>
      </c>
      <c r="M4050" s="75"/>
      <c r="N4050" s="70"/>
      <c r="O4050" s="77" t="s">
        <v>179</v>
      </c>
      <c r="P4050" s="79">
        <v>45153.812951388885</v>
      </c>
      <c r="Q4050" s="77" t="s">
        <v>4819</v>
      </c>
      <c r="R4050" s="77">
        <v>1</v>
      </c>
      <c r="S4050" s="77">
        <v>4</v>
      </c>
      <c r="T4050" s="77">
        <v>1</v>
      </c>
      <c r="U4050" s="77">
        <v>1</v>
      </c>
      <c r="V4050" s="77">
        <v>1988</v>
      </c>
      <c r="W4050" s="77"/>
      <c r="X4050" s="80" t="str">
        <f>HYPERLINK("https://invst.ly/112jpa")</f>
        <v>https://invst.ly/112jpa</v>
      </c>
      <c r="Y4050" s="77" t="s">
        <v>7129</v>
      </c>
      <c r="Z4050" s="77"/>
      <c r="AA4050" s="77"/>
      <c r="AB4050" s="77"/>
      <c r="AC4050" s="82" t="s">
        <v>8232</v>
      </c>
      <c r="AD4050" s="77" t="s">
        <v>8278</v>
      </c>
      <c r="AE4050" s="80" t="str">
        <f>HYPERLINK("https://twitter.com/investingbrasil/status/1691532876267900929")</f>
        <v>https://twitter.com/investingbrasil/status/1691532876267900929</v>
      </c>
      <c r="AF4050" s="79">
        <v>45153.812951388885</v>
      </c>
      <c r="AG4050" s="85">
        <v>45153</v>
      </c>
      <c r="AH4050" s="82" t="s">
        <v>11989</v>
      </c>
      <c r="AI4050" s="77" t="b">
        <v>0</v>
      </c>
      <c r="AJ4050" s="77"/>
      <c r="AK4050" s="77"/>
      <c r="AL4050" s="77"/>
      <c r="AM4050" s="77"/>
      <c r="AN4050" s="77"/>
      <c r="AO4050" s="77"/>
      <c r="AP4050" s="77"/>
      <c r="AQ4050" s="77"/>
      <c r="AR4050" s="77"/>
      <c r="AS4050" s="77"/>
      <c r="AT4050" s="77"/>
      <c r="AU4050" s="77"/>
      <c r="AV4050" s="80" t="str">
        <f>HYPERLINK("https://pbs.twimg.com/profile_images/1108337112351469570/vkooDg2x_normal.png")</f>
        <v>https://pbs.twimg.com/profile_images/1108337112351469570/vkooDg2x_normal.png</v>
      </c>
      <c r="AW4050" s="82" t="s">
        <v>17131</v>
      </c>
      <c r="AX4050" s="82" t="s">
        <v>17131</v>
      </c>
      <c r="AY4050" s="77"/>
      <c r="AZ4050" s="82" t="s">
        <v>17385</v>
      </c>
      <c r="BA4050" s="82" t="s">
        <v>17385</v>
      </c>
      <c r="BB4050" s="82" t="s">
        <v>17385</v>
      </c>
      <c r="BC4050" s="82" t="s">
        <v>17131</v>
      </c>
      <c r="BD4050" s="77">
        <v>49292227</v>
      </c>
      <c r="BE4050" s="77"/>
      <c r="BF4050" s="77"/>
      <c r="BG4050" s="77"/>
      <c r="BH4050" s="77"/>
      <c r="BI4050" s="77"/>
    </row>
    <row r="4051" spans="1:61" x14ac:dyDescent="0.25">
      <c r="A4051" s="62" t="s">
        <v>728</v>
      </c>
      <c r="B4051" s="62" t="s">
        <v>727</v>
      </c>
      <c r="C4051" s="63"/>
      <c r="D4051" s="64"/>
      <c r="E4051" s="65"/>
      <c r="F4051" s="66"/>
      <c r="G4051" s="63"/>
      <c r="H4051" s="67"/>
      <c r="I4051" s="68"/>
      <c r="J4051" s="68"/>
      <c r="K4051" s="32"/>
      <c r="L4051" s="75">
        <v>4051</v>
      </c>
      <c r="M4051" s="75"/>
      <c r="N4051" s="70"/>
      <c r="O4051" s="77" t="s">
        <v>801</v>
      </c>
      <c r="P4051" s="79">
        <v>45153.855706018519</v>
      </c>
      <c r="Q4051" s="77" t="s">
        <v>4820</v>
      </c>
      <c r="R4051" s="77">
        <v>0</v>
      </c>
      <c r="S4051" s="77">
        <v>0</v>
      </c>
      <c r="T4051" s="77">
        <v>0</v>
      </c>
      <c r="U4051" s="77">
        <v>0</v>
      </c>
      <c r="V4051" s="77">
        <v>6</v>
      </c>
      <c r="W4051" s="82" t="s">
        <v>5884</v>
      </c>
      <c r="X4051" s="77"/>
      <c r="Y4051" s="77"/>
      <c r="Z4051" s="77"/>
      <c r="AA4051" s="77"/>
      <c r="AB4051" s="77"/>
      <c r="AC4051" s="82" t="s">
        <v>8232</v>
      </c>
      <c r="AD4051" s="77" t="s">
        <v>8278</v>
      </c>
      <c r="AE4051" s="80" t="str">
        <f>HYPERLINK("https://twitter.com/farialima_aai/status/1691548369351512065")</f>
        <v>https://twitter.com/farialima_aai/status/1691548369351512065</v>
      </c>
      <c r="AF4051" s="79">
        <v>45153.855706018519</v>
      </c>
      <c r="AG4051" s="85">
        <v>45153</v>
      </c>
      <c r="AH4051" s="82" t="s">
        <v>11990</v>
      </c>
      <c r="AI4051" s="77"/>
      <c r="AJ4051" s="77"/>
      <c r="AK4051" s="77"/>
      <c r="AL4051" s="77"/>
      <c r="AM4051" s="77"/>
      <c r="AN4051" s="77"/>
      <c r="AO4051" s="77"/>
      <c r="AP4051" s="77"/>
      <c r="AQ4051" s="77"/>
      <c r="AR4051" s="77"/>
      <c r="AS4051" s="77"/>
      <c r="AT4051" s="77"/>
      <c r="AU4051" s="77"/>
      <c r="AV4051" s="80" t="str">
        <f>HYPERLINK("https://pbs.twimg.com/profile_images/1686470528503250946/rl9ejHit_normal.jpg")</f>
        <v>https://pbs.twimg.com/profile_images/1686470528503250946/rl9ejHit_normal.jpg</v>
      </c>
      <c r="AW4051" s="82" t="s">
        <v>17132</v>
      </c>
      <c r="AX4051" s="82" t="s">
        <v>17132</v>
      </c>
      <c r="AY4051" s="77"/>
      <c r="AZ4051" s="82" t="s">
        <v>17385</v>
      </c>
      <c r="BA4051" s="82" t="s">
        <v>17131</v>
      </c>
      <c r="BB4051" s="82" t="s">
        <v>17385</v>
      </c>
      <c r="BC4051" s="82" t="s">
        <v>17131</v>
      </c>
      <c r="BD4051" s="82" t="s">
        <v>17713</v>
      </c>
      <c r="BE4051" s="77"/>
      <c r="BF4051" s="77"/>
      <c r="BG4051" s="77"/>
      <c r="BH4051" s="77"/>
      <c r="BI4051" s="77"/>
    </row>
    <row r="4052" spans="1:61" x14ac:dyDescent="0.25">
      <c r="A4052" s="62" t="s">
        <v>729</v>
      </c>
      <c r="B4052" s="62" t="s">
        <v>729</v>
      </c>
      <c r="C4052" s="63"/>
      <c r="D4052" s="64"/>
      <c r="E4052" s="65"/>
      <c r="F4052" s="66"/>
      <c r="G4052" s="63"/>
      <c r="H4052" s="67"/>
      <c r="I4052" s="68"/>
      <c r="J4052" s="68"/>
      <c r="K4052" s="32"/>
      <c r="L4052" s="75">
        <v>4052</v>
      </c>
      <c r="M4052" s="75"/>
      <c r="N4052" s="70"/>
      <c r="O4052" s="77" t="s">
        <v>179</v>
      </c>
      <c r="P4052" s="79">
        <v>45044.57545138889</v>
      </c>
      <c r="Q4052" s="77" t="s">
        <v>4821</v>
      </c>
      <c r="R4052" s="77">
        <v>0</v>
      </c>
      <c r="S4052" s="77">
        <v>0</v>
      </c>
      <c r="T4052" s="77">
        <v>0</v>
      </c>
      <c r="U4052" s="77">
        <v>0</v>
      </c>
      <c r="V4052" s="77">
        <v>112</v>
      </c>
      <c r="W4052" s="82" t="s">
        <v>6998</v>
      </c>
      <c r="X4052" s="80" t="str">
        <f>HYPERLINK("https://financeone.com.br/first-republic-bank-quebrou/")</f>
        <v>https://financeone.com.br/first-republic-bank-quebrou/</v>
      </c>
      <c r="Y4052" s="77" t="s">
        <v>7053</v>
      </c>
      <c r="Z4052" s="77"/>
      <c r="AA4052" s="77"/>
      <c r="AB4052" s="77"/>
      <c r="AC4052" s="82" t="s">
        <v>8232</v>
      </c>
      <c r="AD4052" s="77" t="s">
        <v>8278</v>
      </c>
      <c r="AE4052" s="80" t="str">
        <f>HYPERLINK("https://twitter.com/financeone_br/status/1651946533628067840")</f>
        <v>https://twitter.com/financeone_br/status/1651946533628067840</v>
      </c>
      <c r="AF4052" s="79">
        <v>45044.57545138889</v>
      </c>
      <c r="AG4052" s="85">
        <v>45044</v>
      </c>
      <c r="AH4052" s="82" t="s">
        <v>11991</v>
      </c>
      <c r="AI4052" s="77" t="b">
        <v>0</v>
      </c>
      <c r="AJ4052" s="77"/>
      <c r="AK4052" s="77"/>
      <c r="AL4052" s="77"/>
      <c r="AM4052" s="77"/>
      <c r="AN4052" s="77"/>
      <c r="AO4052" s="77"/>
      <c r="AP4052" s="77"/>
      <c r="AQ4052" s="77"/>
      <c r="AR4052" s="77"/>
      <c r="AS4052" s="77"/>
      <c r="AT4052" s="77"/>
      <c r="AU4052" s="77"/>
      <c r="AV4052" s="80" t="str">
        <f>HYPERLINK("https://pbs.twimg.com/profile_images/1503380751831773191/zcG729SG_normal.jpg")</f>
        <v>https://pbs.twimg.com/profile_images/1503380751831773191/zcG729SG_normal.jpg</v>
      </c>
      <c r="AW4052" s="82" t="s">
        <v>17133</v>
      </c>
      <c r="AX4052" s="82" t="s">
        <v>17133</v>
      </c>
      <c r="AY4052" s="77"/>
      <c r="AZ4052" s="82" t="s">
        <v>17385</v>
      </c>
      <c r="BA4052" s="82" t="s">
        <v>17385</v>
      </c>
      <c r="BB4052" s="82" t="s">
        <v>17385</v>
      </c>
      <c r="BC4052" s="82" t="s">
        <v>17133</v>
      </c>
      <c r="BD4052" s="82" t="s">
        <v>17714</v>
      </c>
      <c r="BE4052" s="77"/>
      <c r="BF4052" s="77"/>
      <c r="BG4052" s="77"/>
      <c r="BH4052" s="77"/>
      <c r="BI4052"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052"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052" xr:uid="{00000000-0002-0000-0000-000001000000}"/>
    <dataValidation allowBlank="1" showErrorMessage="1" sqref="N2:N4052"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052"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052" xr:uid="{00000000-0002-0000-0000-000004000000}"/>
    <dataValidation allowBlank="1" showInputMessage="1" promptTitle="Edge Color" prompt="To select an optional edge color, right-click and select Select Color on the right-click menu." sqref="C3:C4052" xr:uid="{00000000-0002-0000-0000-000005000000}"/>
    <dataValidation allowBlank="1" showInputMessage="1" errorTitle="Invalid Edge Width" error="The optional edge width must be a whole number between 1 and 10." promptTitle="Edge Width" prompt="Enter an optional edge width between 1 and 10." sqref="D3:D4052"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052"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052" xr:uid="{00000000-0002-0000-0000-000008000000}">
      <formula1>ValidEdgeVisibilities</formula1>
    </dataValidation>
    <dataValidation allowBlank="1" showInputMessage="1" showErrorMessage="1" promptTitle="Vertex 1 Name" prompt="Enter the name of the edge's first vertex." sqref="A3:A4052" xr:uid="{00000000-0002-0000-0000-000009000000}"/>
    <dataValidation allowBlank="1" showInputMessage="1" showErrorMessage="1" promptTitle="Vertex 2 Name" prompt="Enter the name of the edge's second vertex." sqref="B3:B4052"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052"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052"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052" xr:uid="{00000000-0002-0000-0000-00000D000000}"/>
  </dataValidations>
  <hyperlinks>
    <hyperlink ref="X333" r:id="rId1" display="https://maissuperior.com/2023/07/11/politecnicos-portugueses-em-missao-ccisp-a-macau-para-intensificar-cooperacao-no-ensino-superior-investigacao-e-ciencia/?feed_id=2774&amp;_unique_id=64ad1d788b915&amp;fbclid=IwAR2E10gUWZ3GhqsFAcnTwpY_5BkwUty-FISdNkLrNKic67wR-qrW-pEpAIY" xr:uid="{ED55C29D-FA9F-4E87-9FDC-92D9FF7CD386}"/>
    <hyperlink ref="X884" r:id="rId2" display="https://porcinews.com/pt-br/acoes-da-secretaria-de-agricultura-e-abastecimento-de-sp-contribuem-para-uma-cadeia-suinicola-tecnificada-e-economicamente-forte/?utm_source=RRSS&amp;utm_medium=Twitter&amp;utm_campaign=A%C3%A7%C3%B5es+da+Secretaria+de+Agricultura+e+Abastecimento+de+SP+contribuem+para+uma+cadeia+suin%C3%ADcola+tecnificada+e+economicamente+forte" xr:uid="{A1C68ABD-4550-49CC-BF4D-B9E40D90D0CD}"/>
  </hyperlinks>
  <pageMargins left="0.7" right="0.7" top="0.75" bottom="0.75" header="0.3" footer="0.3"/>
  <pageSetup orientation="portrait" verticalDpi="0" r:id="rId3"/>
  <legacyDrawing r:id="rId4"/>
  <tableParts count="1">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582"/>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17719</v>
      </c>
      <c r="AE2" s="7" t="s">
        <v>17720</v>
      </c>
      <c r="AF2" s="7" t="s">
        <v>17721</v>
      </c>
      <c r="AG2" s="7" t="s">
        <v>17722</v>
      </c>
      <c r="AH2" s="7" t="s">
        <v>17723</v>
      </c>
      <c r="AI2" s="7" t="s">
        <v>17724</v>
      </c>
      <c r="AJ2" s="7" t="s">
        <v>17725</v>
      </c>
      <c r="AK2" s="7" t="s">
        <v>17726</v>
      </c>
      <c r="AL2" s="7" t="s">
        <v>17727</v>
      </c>
      <c r="AM2" s="7" t="s">
        <v>17728</v>
      </c>
      <c r="AN2" s="7" t="s">
        <v>17729</v>
      </c>
      <c r="AO2" s="7" t="s">
        <v>17730</v>
      </c>
      <c r="AP2" s="7" t="s">
        <v>17731</v>
      </c>
      <c r="AQ2" s="7" t="s">
        <v>17732</v>
      </c>
      <c r="AR2" s="7" t="s">
        <v>17733</v>
      </c>
      <c r="AS2" s="7" t="s">
        <v>17734</v>
      </c>
      <c r="AT2" s="7" t="s">
        <v>17735</v>
      </c>
      <c r="AU2" s="7" t="s">
        <v>17736</v>
      </c>
      <c r="AV2" s="7" t="s">
        <v>17737</v>
      </c>
      <c r="AW2" s="7" t="s">
        <v>17738</v>
      </c>
      <c r="AX2" s="7" t="s">
        <v>17739</v>
      </c>
      <c r="AY2" s="7" t="s">
        <v>17740</v>
      </c>
      <c r="AZ2" s="7" t="s">
        <v>17741</v>
      </c>
      <c r="BA2" s="7" t="s">
        <v>17742</v>
      </c>
      <c r="BB2" s="7" t="s">
        <v>17743</v>
      </c>
      <c r="BC2" s="7" t="s">
        <v>17744</v>
      </c>
      <c r="BD2" s="7" t="s">
        <v>17745</v>
      </c>
      <c r="BE2" s="7" t="s">
        <v>17746</v>
      </c>
      <c r="BF2" s="7" t="s">
        <v>17747</v>
      </c>
      <c r="BG2" s="7" t="s">
        <v>197</v>
      </c>
      <c r="BH2" s="7" t="s">
        <v>17748</v>
      </c>
      <c r="BI2" s="7" t="s">
        <v>17749</v>
      </c>
      <c r="BJ2" s="7" t="s">
        <v>17750</v>
      </c>
      <c r="BK2" s="7" t="s">
        <v>17751</v>
      </c>
      <c r="BL2" s="7" t="s">
        <v>17752</v>
      </c>
      <c r="BM2" s="7" t="s">
        <v>17753</v>
      </c>
      <c r="BN2" s="7" t="s">
        <v>17754</v>
      </c>
      <c r="BO2" s="7" t="s">
        <v>17755</v>
      </c>
    </row>
    <row r="3" spans="1:68" ht="15" customHeight="1" x14ac:dyDescent="0.25">
      <c r="A3" s="62" t="s">
        <v>730</v>
      </c>
      <c r="B3" s="63"/>
      <c r="C3" s="63"/>
      <c r="D3" s="64"/>
      <c r="E3" s="66"/>
      <c r="F3" s="103" t="str">
        <f>HYPERLINK("https://pbs.twimg.com/profile_images/1601039432999649280/QAgX-GSW_normal.jpg")</f>
        <v>https://pbs.twimg.com/profile_images/1601039432999649280/QAgX-GSW_normal.jpg</v>
      </c>
      <c r="G3" s="63"/>
      <c r="H3" s="67"/>
      <c r="I3" s="68"/>
      <c r="J3" s="68"/>
      <c r="K3" s="67" t="s">
        <v>20316</v>
      </c>
      <c r="L3" s="71"/>
      <c r="M3" s="72"/>
      <c r="N3" s="72"/>
      <c r="O3" s="73"/>
      <c r="P3" s="74"/>
      <c r="Q3" s="74"/>
      <c r="R3" s="46"/>
      <c r="S3" s="46"/>
      <c r="T3" s="46"/>
      <c r="U3" s="46"/>
      <c r="V3" s="47"/>
      <c r="W3" s="47"/>
      <c r="X3" s="48"/>
      <c r="Y3" s="47"/>
      <c r="Z3" s="47"/>
      <c r="AA3" s="69">
        <v>3</v>
      </c>
      <c r="AB3" s="69"/>
      <c r="AC3" s="70"/>
      <c r="AD3" s="76" t="s">
        <v>18318</v>
      </c>
      <c r="AE3" s="81" t="s">
        <v>17715</v>
      </c>
      <c r="AF3" s="76">
        <v>3</v>
      </c>
      <c r="AG3" s="76">
        <v>59</v>
      </c>
      <c r="AH3" s="76">
        <v>178</v>
      </c>
      <c r="AI3" s="76">
        <v>0</v>
      </c>
      <c r="AJ3" s="76">
        <v>688</v>
      </c>
      <c r="AK3" s="76">
        <v>108</v>
      </c>
      <c r="AL3" s="76" t="b">
        <v>0</v>
      </c>
      <c r="AM3" s="78">
        <v>44904.098622685182</v>
      </c>
      <c r="AN3" s="76"/>
      <c r="AO3" s="76"/>
      <c r="AP3" s="76"/>
      <c r="AQ3" s="76"/>
      <c r="AR3" s="76"/>
      <c r="AS3" s="76"/>
      <c r="AT3" s="76"/>
      <c r="AU3" s="76"/>
      <c r="AV3" s="76"/>
      <c r="AW3" s="76"/>
      <c r="AX3" s="76" t="b">
        <v>0</v>
      </c>
      <c r="AY3" s="76"/>
      <c r="AZ3" s="76"/>
      <c r="BA3" s="76" t="b">
        <v>0</v>
      </c>
      <c r="BB3" s="76" t="b">
        <v>1</v>
      </c>
      <c r="BC3" s="76" t="b">
        <v>1</v>
      </c>
      <c r="BD3" s="76" t="b">
        <v>0</v>
      </c>
      <c r="BE3" s="76" t="b">
        <v>0</v>
      </c>
      <c r="BF3" s="76" t="b">
        <v>0</v>
      </c>
      <c r="BG3" s="76" t="b">
        <v>0</v>
      </c>
      <c r="BH3" s="83" t="str">
        <f>HYPERLINK("https://pbs.twimg.com/profile_banners/1601038981533138944/1671756418")</f>
        <v>https://pbs.twimg.com/profile_banners/1601038981533138944/1671756418</v>
      </c>
      <c r="BI3" s="76"/>
      <c r="BJ3" s="76" t="s">
        <v>19734</v>
      </c>
      <c r="BK3" s="76" t="b">
        <v>0</v>
      </c>
      <c r="BL3" s="76"/>
      <c r="BM3" s="76" t="s">
        <v>66</v>
      </c>
      <c r="BN3" s="76" t="s">
        <v>19736</v>
      </c>
      <c r="BO3" s="83" t="str">
        <f>HYPERLINK("https://twitter.com/pequenosestudos")</f>
        <v>https://twitter.com/pequenosestudos</v>
      </c>
    </row>
    <row r="4" spans="1:68" x14ac:dyDescent="0.25">
      <c r="A4" s="62" t="s">
        <v>224</v>
      </c>
      <c r="B4" s="63"/>
      <c r="C4" s="63"/>
      <c r="D4" s="64"/>
      <c r="E4" s="66"/>
      <c r="F4" s="103" t="str">
        <f>HYPERLINK("https://pbs.twimg.com/profile_images/950426805168758786/a1N8DXvv_normal.jpg")</f>
        <v>https://pbs.twimg.com/profile_images/950426805168758786/a1N8DXvv_normal.jpg</v>
      </c>
      <c r="G4" s="63"/>
      <c r="H4" s="67"/>
      <c r="I4" s="68"/>
      <c r="J4" s="68"/>
      <c r="K4" s="67" t="s">
        <v>19737</v>
      </c>
      <c r="L4" s="71"/>
      <c r="M4" s="72"/>
      <c r="N4" s="72"/>
      <c r="O4" s="73"/>
      <c r="P4" s="74"/>
      <c r="Q4" s="74"/>
      <c r="R4" s="87"/>
      <c r="S4" s="87"/>
      <c r="T4" s="87"/>
      <c r="U4" s="87"/>
      <c r="V4" s="48"/>
      <c r="W4" s="48"/>
      <c r="X4" s="48"/>
      <c r="Y4" s="48"/>
      <c r="Z4" s="47"/>
      <c r="AA4" s="69">
        <v>4</v>
      </c>
      <c r="AB4" s="69"/>
      <c r="AC4" s="70"/>
      <c r="AD4" s="76" t="s">
        <v>17756</v>
      </c>
      <c r="AE4" s="81" t="s">
        <v>17439</v>
      </c>
      <c r="AF4" s="76">
        <v>2225</v>
      </c>
      <c r="AG4" s="76">
        <v>10</v>
      </c>
      <c r="AH4" s="76">
        <v>12075</v>
      </c>
      <c r="AI4" s="76">
        <v>44</v>
      </c>
      <c r="AJ4" s="76">
        <v>7</v>
      </c>
      <c r="AK4" s="76">
        <v>1</v>
      </c>
      <c r="AL4" s="76" t="b">
        <v>0</v>
      </c>
      <c r="AM4" s="78">
        <v>43108.701747685183</v>
      </c>
      <c r="AN4" s="76" t="s">
        <v>12013</v>
      </c>
      <c r="AO4" s="76" t="s">
        <v>18764</v>
      </c>
      <c r="AP4" s="76"/>
      <c r="AQ4" s="76"/>
      <c r="AR4" s="76"/>
      <c r="AS4" s="76"/>
      <c r="AT4" s="76"/>
      <c r="AU4" s="76"/>
      <c r="AV4" s="76"/>
      <c r="AW4" s="76"/>
      <c r="AX4" s="76" t="b">
        <v>0</v>
      </c>
      <c r="AY4" s="76"/>
      <c r="AZ4" s="76"/>
      <c r="BA4" s="76" t="b">
        <v>0</v>
      </c>
      <c r="BB4" s="76" t="b">
        <v>1</v>
      </c>
      <c r="BC4" s="76" t="b">
        <v>1</v>
      </c>
      <c r="BD4" s="76" t="b">
        <v>0</v>
      </c>
      <c r="BE4" s="76" t="b">
        <v>0</v>
      </c>
      <c r="BF4" s="76" t="b">
        <v>0</v>
      </c>
      <c r="BG4" s="76" t="b">
        <v>0</v>
      </c>
      <c r="BH4" s="83" t="str">
        <f>HYPERLINK("https://pbs.twimg.com/profile_banners/950409390179405824/1515434635")</f>
        <v>https://pbs.twimg.com/profile_banners/950409390179405824/1515434635</v>
      </c>
      <c r="BI4" s="76"/>
      <c r="BJ4" s="76" t="s">
        <v>19734</v>
      </c>
      <c r="BK4" s="76" t="b">
        <v>0</v>
      </c>
      <c r="BL4" s="76"/>
      <c r="BM4" s="76" t="s">
        <v>66</v>
      </c>
      <c r="BN4" s="76" t="s">
        <v>19736</v>
      </c>
      <c r="BO4" s="83" t="str">
        <f>HYPERLINK("https://twitter.com/leiafinancenews")</f>
        <v>https://twitter.com/leiafinancenews</v>
      </c>
      <c r="BP4" s="2"/>
    </row>
    <row r="5" spans="1:68" x14ac:dyDescent="0.25">
      <c r="A5" s="62" t="s">
        <v>225</v>
      </c>
      <c r="B5" s="63"/>
      <c r="C5" s="63"/>
      <c r="D5" s="64"/>
      <c r="E5" s="66"/>
      <c r="F5" s="103" t="str">
        <f>HYPERLINK("https://pbs.twimg.com/profile_images/1669410750891188225/eqFXcsqj_normal.jpg")</f>
        <v>https://pbs.twimg.com/profile_images/1669410750891188225/eqFXcsqj_normal.jpg</v>
      </c>
      <c r="G5" s="63"/>
      <c r="H5" s="67"/>
      <c r="I5" s="68"/>
      <c r="J5" s="68"/>
      <c r="K5" s="67" t="s">
        <v>19738</v>
      </c>
      <c r="L5" s="71"/>
      <c r="M5" s="72"/>
      <c r="N5" s="72"/>
      <c r="O5" s="73"/>
      <c r="P5" s="74"/>
      <c r="Q5" s="74"/>
      <c r="R5" s="87"/>
      <c r="S5" s="87"/>
      <c r="T5" s="87"/>
      <c r="U5" s="87"/>
      <c r="V5" s="48"/>
      <c r="W5" s="48"/>
      <c r="X5" s="48"/>
      <c r="Y5" s="48"/>
      <c r="Z5" s="47"/>
      <c r="AA5" s="69">
        <v>5</v>
      </c>
      <c r="AB5" s="69"/>
      <c r="AC5" s="70"/>
      <c r="AD5" s="76" t="s">
        <v>17757</v>
      </c>
      <c r="AE5" s="81" t="s">
        <v>17313</v>
      </c>
      <c r="AF5" s="76">
        <v>52</v>
      </c>
      <c r="AG5" s="76">
        <v>154</v>
      </c>
      <c r="AH5" s="76">
        <v>246</v>
      </c>
      <c r="AI5" s="76">
        <v>2</v>
      </c>
      <c r="AJ5" s="76">
        <v>149</v>
      </c>
      <c r="AK5" s="76">
        <v>38</v>
      </c>
      <c r="AL5" s="76" t="b">
        <v>0</v>
      </c>
      <c r="AM5" s="78">
        <v>44814.201597222222</v>
      </c>
      <c r="AN5" s="76"/>
      <c r="AO5" s="76" t="s">
        <v>18765</v>
      </c>
      <c r="AP5" s="76"/>
      <c r="AQ5" s="76"/>
      <c r="AR5" s="76"/>
      <c r="AS5" s="76"/>
      <c r="AT5" s="76"/>
      <c r="AU5" s="76"/>
      <c r="AV5" s="76"/>
      <c r="AW5" s="76"/>
      <c r="AX5" s="76" t="b">
        <v>0</v>
      </c>
      <c r="AY5" s="76"/>
      <c r="AZ5" s="76"/>
      <c r="BA5" s="76" t="b">
        <v>0</v>
      </c>
      <c r="BB5" s="76" t="b">
        <v>1</v>
      </c>
      <c r="BC5" s="76" t="b">
        <v>1</v>
      </c>
      <c r="BD5" s="76" t="b">
        <v>0</v>
      </c>
      <c r="BE5" s="76" t="b">
        <v>0</v>
      </c>
      <c r="BF5" s="76" t="b">
        <v>0</v>
      </c>
      <c r="BG5" s="76" t="b">
        <v>0</v>
      </c>
      <c r="BH5" s="83" t="str">
        <f>HYPERLINK("https://pbs.twimg.com/profile_banners/1568461500297216002/1686853525")</f>
        <v>https://pbs.twimg.com/profile_banners/1568461500297216002/1686853525</v>
      </c>
      <c r="BI5" s="76"/>
      <c r="BJ5" s="76" t="s">
        <v>19734</v>
      </c>
      <c r="BK5" s="76" t="b">
        <v>0</v>
      </c>
      <c r="BL5" s="76"/>
      <c r="BM5" s="76" t="s">
        <v>66</v>
      </c>
      <c r="BN5" s="76" t="s">
        <v>19736</v>
      </c>
      <c r="BO5" s="83" t="str">
        <f>HYPERLINK("https://twitter.com/acoesbr")</f>
        <v>https://twitter.com/acoesbr</v>
      </c>
      <c r="BP5" s="2"/>
    </row>
    <row r="6" spans="1:68" x14ac:dyDescent="0.25">
      <c r="A6" s="62" t="s">
        <v>226</v>
      </c>
      <c r="B6" s="63"/>
      <c r="C6" s="63"/>
      <c r="D6" s="64"/>
      <c r="E6" s="66"/>
      <c r="F6" s="103" t="str">
        <f>HYPERLINK("https://pbs.twimg.com/profile_images/1498585810316181504/Q-noc7Ef_normal.jpg")</f>
        <v>https://pbs.twimg.com/profile_images/1498585810316181504/Q-noc7Ef_normal.jpg</v>
      </c>
      <c r="G6" s="63"/>
      <c r="H6" s="67"/>
      <c r="I6" s="68"/>
      <c r="J6" s="68"/>
      <c r="K6" s="67" t="s">
        <v>19739</v>
      </c>
      <c r="L6" s="71"/>
      <c r="M6" s="72"/>
      <c r="N6" s="72"/>
      <c r="O6" s="73"/>
      <c r="P6" s="74"/>
      <c r="Q6" s="74"/>
      <c r="R6" s="87"/>
      <c r="S6" s="87"/>
      <c r="T6" s="87"/>
      <c r="U6" s="87"/>
      <c r="V6" s="48"/>
      <c r="W6" s="48"/>
      <c r="X6" s="48"/>
      <c r="Y6" s="48"/>
      <c r="Z6" s="47"/>
      <c r="AA6" s="69">
        <v>6</v>
      </c>
      <c r="AB6" s="69"/>
      <c r="AC6" s="70"/>
      <c r="AD6" s="76" t="s">
        <v>17758</v>
      </c>
      <c r="AE6" s="81" t="s">
        <v>17440</v>
      </c>
      <c r="AF6" s="76">
        <v>40</v>
      </c>
      <c r="AG6" s="76">
        <v>23</v>
      </c>
      <c r="AH6" s="76">
        <v>1061</v>
      </c>
      <c r="AI6" s="76">
        <v>0</v>
      </c>
      <c r="AJ6" s="76">
        <v>279</v>
      </c>
      <c r="AK6" s="76">
        <v>556</v>
      </c>
      <c r="AL6" s="76" t="b">
        <v>0</v>
      </c>
      <c r="AM6" s="78">
        <v>44549.012256944443</v>
      </c>
      <c r="AN6" s="76"/>
      <c r="AO6" s="83" t="str">
        <f>HYPERLINK("https://t.co/U8QIuHbden")</f>
        <v>https://t.co/U8QIuHbden</v>
      </c>
      <c r="AP6" s="83" t="str">
        <f>HYPERLINK("https://t.co/PGdoFsrZjK")</f>
        <v>https://t.co/PGdoFsrZjK</v>
      </c>
      <c r="AQ6" s="83" t="str">
        <f>HYPERLINK("https://bit.ly/3zJVoGh")</f>
        <v>https://bit.ly/3zJVoGh</v>
      </c>
      <c r="AR6" s="76" t="s">
        <v>19296</v>
      </c>
      <c r="AS6" s="83" t="str">
        <f>HYPERLINK("https://t.co/U8QIuHbden")</f>
        <v>https://t.co/U8QIuHbden</v>
      </c>
      <c r="AT6" s="83" t="str">
        <f>HYPERLINK("http://instagram.com/acoesimportam/")</f>
        <v>http://instagram.com/acoesimportam/</v>
      </c>
      <c r="AU6" s="76" t="s">
        <v>19681</v>
      </c>
      <c r="AV6" s="76"/>
      <c r="AW6" s="83" t="str">
        <f>HYPERLINK("https://t.co/PGdoFsrZjK")</f>
        <v>https://t.co/PGdoFsrZjK</v>
      </c>
      <c r="AX6" s="76" t="b">
        <v>0</v>
      </c>
      <c r="AY6" s="76"/>
      <c r="AZ6" s="76"/>
      <c r="BA6" s="76" t="b">
        <v>0</v>
      </c>
      <c r="BB6" s="76" t="b">
        <v>1</v>
      </c>
      <c r="BC6" s="76" t="b">
        <v>1</v>
      </c>
      <c r="BD6" s="76" t="b">
        <v>0</v>
      </c>
      <c r="BE6" s="76" t="b">
        <v>0</v>
      </c>
      <c r="BF6" s="76" t="b">
        <v>0</v>
      </c>
      <c r="BG6" s="76" t="b">
        <v>0</v>
      </c>
      <c r="BH6" s="83" t="str">
        <f>HYPERLINK("https://pbs.twimg.com/profile_banners/1472360234798784513/1639873404")</f>
        <v>https://pbs.twimg.com/profile_banners/1472360234798784513/1639873404</v>
      </c>
      <c r="BI6" s="76"/>
      <c r="BJ6" s="76" t="s">
        <v>19734</v>
      </c>
      <c r="BK6" s="76" t="b">
        <v>0</v>
      </c>
      <c r="BL6" s="76"/>
      <c r="BM6" s="76" t="s">
        <v>66</v>
      </c>
      <c r="BN6" s="76" t="s">
        <v>19736</v>
      </c>
      <c r="BO6" s="83" t="str">
        <f>HYPERLINK("https://twitter.com/acoesimportam")</f>
        <v>https://twitter.com/acoesimportam</v>
      </c>
      <c r="BP6" s="2"/>
    </row>
    <row r="7" spans="1:68" x14ac:dyDescent="0.25">
      <c r="A7" s="62" t="s">
        <v>227</v>
      </c>
      <c r="B7" s="63"/>
      <c r="C7" s="63"/>
      <c r="D7" s="64"/>
      <c r="E7" s="66"/>
      <c r="F7" s="103" t="str">
        <f>HYPERLINK("https://pbs.twimg.com/profile_images/1635023962651410437/vVMzZRam_normal.jpg")</f>
        <v>https://pbs.twimg.com/profile_images/1635023962651410437/vVMzZRam_normal.jpg</v>
      </c>
      <c r="G7" s="63"/>
      <c r="H7" s="67"/>
      <c r="I7" s="68"/>
      <c r="J7" s="68"/>
      <c r="K7" s="67" t="s">
        <v>19740</v>
      </c>
      <c r="L7" s="71"/>
      <c r="M7" s="72"/>
      <c r="N7" s="72"/>
      <c r="O7" s="73"/>
      <c r="P7" s="74"/>
      <c r="Q7" s="74"/>
      <c r="R7" s="87"/>
      <c r="S7" s="87"/>
      <c r="T7" s="87"/>
      <c r="U7" s="87"/>
      <c r="V7" s="48"/>
      <c r="W7" s="48"/>
      <c r="X7" s="48"/>
      <c r="Y7" s="48"/>
      <c r="Z7" s="47"/>
      <c r="AA7" s="69">
        <v>7</v>
      </c>
      <c r="AB7" s="69"/>
      <c r="AC7" s="70"/>
      <c r="AD7" s="76" t="s">
        <v>17759</v>
      </c>
      <c r="AE7" s="81" t="s">
        <v>18319</v>
      </c>
      <c r="AF7" s="76">
        <v>938</v>
      </c>
      <c r="AG7" s="76">
        <v>567</v>
      </c>
      <c r="AH7" s="76">
        <v>259</v>
      </c>
      <c r="AI7" s="76">
        <v>15</v>
      </c>
      <c r="AJ7" s="76">
        <v>37430</v>
      </c>
      <c r="AK7" s="76">
        <v>25</v>
      </c>
      <c r="AL7" s="76" t="b">
        <v>0</v>
      </c>
      <c r="AM7" s="78">
        <v>39887.936631944445</v>
      </c>
      <c r="AN7" s="76" t="s">
        <v>18550</v>
      </c>
      <c r="AO7" s="76" t="s">
        <v>18766</v>
      </c>
      <c r="AP7" s="76"/>
      <c r="AQ7" s="76"/>
      <c r="AR7" s="76"/>
      <c r="AS7" s="76"/>
      <c r="AT7" s="76"/>
      <c r="AU7" s="76"/>
      <c r="AV7" s="76">
        <v>1.5726437203146099E+18</v>
      </c>
      <c r="AW7" s="76"/>
      <c r="AX7" s="76" t="b">
        <v>0</v>
      </c>
      <c r="AY7" s="76"/>
      <c r="AZ7" s="76"/>
      <c r="BA7" s="76" t="b">
        <v>0</v>
      </c>
      <c r="BB7" s="76" t="b">
        <v>0</v>
      </c>
      <c r="BC7" s="76" t="b">
        <v>0</v>
      </c>
      <c r="BD7" s="76" t="b">
        <v>0</v>
      </c>
      <c r="BE7" s="76" t="b">
        <v>1</v>
      </c>
      <c r="BF7" s="76" t="b">
        <v>0</v>
      </c>
      <c r="BG7" s="76" t="b">
        <v>0</v>
      </c>
      <c r="BH7" s="83" t="str">
        <f>HYPERLINK("https://pbs.twimg.com/profile_banners/24598688/1562011553")</f>
        <v>https://pbs.twimg.com/profile_banners/24598688/1562011553</v>
      </c>
      <c r="BI7" s="76"/>
      <c r="BJ7" s="76" t="s">
        <v>19734</v>
      </c>
      <c r="BK7" s="76" t="b">
        <v>0</v>
      </c>
      <c r="BL7" s="76"/>
      <c r="BM7" s="76" t="s">
        <v>66</v>
      </c>
      <c r="BN7" s="76" t="s">
        <v>19736</v>
      </c>
      <c r="BO7" s="83" t="str">
        <f>HYPERLINK("https://twitter.com/luciocw")</f>
        <v>https://twitter.com/luciocw</v>
      </c>
      <c r="BP7" s="2"/>
    </row>
    <row r="8" spans="1:68" x14ac:dyDescent="0.25">
      <c r="A8" s="62" t="s">
        <v>475</v>
      </c>
      <c r="B8" s="63"/>
      <c r="C8" s="63"/>
      <c r="D8" s="64"/>
      <c r="E8" s="66"/>
      <c r="F8" s="103" t="str">
        <f>HYPERLINK("https://pbs.twimg.com/profile_images/1653753036278317062/1RdA7xib_normal.jpg")</f>
        <v>https://pbs.twimg.com/profile_images/1653753036278317062/1RdA7xib_normal.jpg</v>
      </c>
      <c r="G8" s="63"/>
      <c r="H8" s="67"/>
      <c r="I8" s="68"/>
      <c r="J8" s="68"/>
      <c r="K8" s="67" t="s">
        <v>19741</v>
      </c>
      <c r="L8" s="71"/>
      <c r="M8" s="72"/>
      <c r="N8" s="72"/>
      <c r="O8" s="73"/>
      <c r="P8" s="74"/>
      <c r="Q8" s="74"/>
      <c r="R8" s="87"/>
      <c r="S8" s="87"/>
      <c r="T8" s="87"/>
      <c r="U8" s="87"/>
      <c r="V8" s="48"/>
      <c r="W8" s="48"/>
      <c r="X8" s="48"/>
      <c r="Y8" s="48"/>
      <c r="Z8" s="47"/>
      <c r="AA8" s="69">
        <v>8</v>
      </c>
      <c r="AB8" s="69"/>
      <c r="AC8" s="70"/>
      <c r="AD8" s="76" t="s">
        <v>17760</v>
      </c>
      <c r="AE8" s="81" t="s">
        <v>17353</v>
      </c>
      <c r="AF8" s="76">
        <v>9104</v>
      </c>
      <c r="AG8" s="76">
        <v>732</v>
      </c>
      <c r="AH8" s="76">
        <v>9500</v>
      </c>
      <c r="AI8" s="76">
        <v>89</v>
      </c>
      <c r="AJ8" s="76">
        <v>34210</v>
      </c>
      <c r="AK8" s="76">
        <v>1358</v>
      </c>
      <c r="AL8" s="76" t="b">
        <v>0</v>
      </c>
      <c r="AM8" s="78">
        <v>41593.028310185182</v>
      </c>
      <c r="AN8" s="76" t="s">
        <v>12014</v>
      </c>
      <c r="AO8" s="76" t="s">
        <v>18767</v>
      </c>
      <c r="AP8" s="83" t="str">
        <f>HYPERLINK("https://t.co/8DnjRAswFL")</f>
        <v>https://t.co/8DnjRAswFL</v>
      </c>
      <c r="AQ8" s="83" t="str">
        <f>HYPERLINK("http://linktr.ee/danimontori_at")</f>
        <v>http://linktr.ee/danimontori_at</v>
      </c>
      <c r="AR8" s="76" t="s">
        <v>19297</v>
      </c>
      <c r="AS8" s="76"/>
      <c r="AT8" s="76"/>
      <c r="AU8" s="76"/>
      <c r="AV8" s="76">
        <v>1.63292716844238E+18</v>
      </c>
      <c r="AW8" s="83" t="str">
        <f>HYPERLINK("https://t.co/8DnjRAswFL")</f>
        <v>https://t.co/8DnjRAswFL</v>
      </c>
      <c r="AX8" s="76" t="b">
        <v>1</v>
      </c>
      <c r="AY8" s="76"/>
      <c r="AZ8" s="76"/>
      <c r="BA8" s="76" t="b">
        <v>0</v>
      </c>
      <c r="BB8" s="76" t="b">
        <v>0</v>
      </c>
      <c r="BC8" s="76" t="b">
        <v>1</v>
      </c>
      <c r="BD8" s="76" t="b">
        <v>0</v>
      </c>
      <c r="BE8" s="76" t="b">
        <v>1</v>
      </c>
      <c r="BF8" s="76" t="b">
        <v>0</v>
      </c>
      <c r="BG8" s="76" t="b">
        <v>0</v>
      </c>
      <c r="BH8" s="83" t="str">
        <f>HYPERLINK("https://pbs.twimg.com/profile_banners/2181374211/1666661433")</f>
        <v>https://pbs.twimg.com/profile_banners/2181374211/1666661433</v>
      </c>
      <c r="BI8" s="76"/>
      <c r="BJ8" s="76" t="s">
        <v>19734</v>
      </c>
      <c r="BK8" s="76" t="b">
        <v>0</v>
      </c>
      <c r="BL8" s="76"/>
      <c r="BM8" s="76" t="s">
        <v>66</v>
      </c>
      <c r="BN8" s="76" t="s">
        <v>19736</v>
      </c>
      <c r="BO8" s="83" t="str">
        <f>HYPERLINK("https://twitter.com/danimontori_at")</f>
        <v>https://twitter.com/danimontori_at</v>
      </c>
      <c r="BP8" s="2"/>
    </row>
    <row r="9" spans="1:68" x14ac:dyDescent="0.25">
      <c r="A9" s="62" t="s">
        <v>474</v>
      </c>
      <c r="B9" s="63"/>
      <c r="C9" s="63"/>
      <c r="D9" s="64"/>
      <c r="E9" s="66"/>
      <c r="F9" s="103" t="str">
        <f>HYPERLINK("https://pbs.twimg.com/profile_images/1598102579103371270/m0PPJWxs_normal.jpg")</f>
        <v>https://pbs.twimg.com/profile_images/1598102579103371270/m0PPJWxs_normal.jpg</v>
      </c>
      <c r="G9" s="63"/>
      <c r="H9" s="67"/>
      <c r="I9" s="68"/>
      <c r="J9" s="68"/>
      <c r="K9" s="67" t="s">
        <v>19742</v>
      </c>
      <c r="L9" s="71"/>
      <c r="M9" s="72"/>
      <c r="N9" s="72"/>
      <c r="O9" s="73"/>
      <c r="P9" s="74"/>
      <c r="Q9" s="74"/>
      <c r="R9" s="87"/>
      <c r="S9" s="87"/>
      <c r="T9" s="87"/>
      <c r="U9" s="87"/>
      <c r="V9" s="48"/>
      <c r="W9" s="48"/>
      <c r="X9" s="48"/>
      <c r="Y9" s="48"/>
      <c r="Z9" s="47"/>
      <c r="AA9" s="69">
        <v>9</v>
      </c>
      <c r="AB9" s="69"/>
      <c r="AC9" s="70"/>
      <c r="AD9" s="76" t="s">
        <v>17761</v>
      </c>
      <c r="AE9" s="81" t="s">
        <v>17352</v>
      </c>
      <c r="AF9" s="76">
        <v>1373</v>
      </c>
      <c r="AG9" s="76">
        <v>147</v>
      </c>
      <c r="AH9" s="76">
        <v>2406</v>
      </c>
      <c r="AI9" s="76">
        <v>19</v>
      </c>
      <c r="AJ9" s="76">
        <v>5342</v>
      </c>
      <c r="AK9" s="76">
        <v>324</v>
      </c>
      <c r="AL9" s="76" t="b">
        <v>0</v>
      </c>
      <c r="AM9" s="78">
        <v>44466.175081018519</v>
      </c>
      <c r="AN9" s="76"/>
      <c r="AO9" s="76" t="s">
        <v>18768</v>
      </c>
      <c r="AP9" s="83" t="str">
        <f>HYPERLINK("https://t.co/YsYx5guFJj")</f>
        <v>https://t.co/YsYx5guFJj</v>
      </c>
      <c r="AQ9" s="83" t="str">
        <f>HYPERLINK("https://linklist.bio/investbooks")</f>
        <v>https://linklist.bio/investbooks</v>
      </c>
      <c r="AR9" s="76" t="s">
        <v>19298</v>
      </c>
      <c r="AS9" s="76"/>
      <c r="AT9" s="76"/>
      <c r="AU9" s="76"/>
      <c r="AV9" s="76">
        <v>1.68426448295074E+18</v>
      </c>
      <c r="AW9" s="83" t="str">
        <f>HYPERLINK("https://t.co/YsYx5guFJj")</f>
        <v>https://t.co/YsYx5guFJj</v>
      </c>
      <c r="AX9" s="76" t="b">
        <v>1</v>
      </c>
      <c r="AY9" s="76"/>
      <c r="AZ9" s="76"/>
      <c r="BA9" s="76" t="b">
        <v>1</v>
      </c>
      <c r="BB9" s="76" t="b">
        <v>1</v>
      </c>
      <c r="BC9" s="76" t="b">
        <v>1</v>
      </c>
      <c r="BD9" s="76" t="b">
        <v>0</v>
      </c>
      <c r="BE9" s="76" t="b">
        <v>1</v>
      </c>
      <c r="BF9" s="76" t="b">
        <v>0</v>
      </c>
      <c r="BG9" s="76" t="b">
        <v>0</v>
      </c>
      <c r="BH9" s="83" t="str">
        <f>HYPERLINK("https://pbs.twimg.com/profile_banners/1442341201236033541/1646218836")</f>
        <v>https://pbs.twimg.com/profile_banners/1442341201236033541/1646218836</v>
      </c>
      <c r="BI9" s="76"/>
      <c r="BJ9" s="76" t="s">
        <v>19734</v>
      </c>
      <c r="BK9" s="76" t="b">
        <v>0</v>
      </c>
      <c r="BL9" s="76"/>
      <c r="BM9" s="76" t="s">
        <v>66</v>
      </c>
      <c r="BN9" s="76" t="s">
        <v>19736</v>
      </c>
      <c r="BO9" s="83" t="str">
        <f>HYPERLINK("https://twitter.com/robsob87")</f>
        <v>https://twitter.com/robsob87</v>
      </c>
      <c r="BP9" s="2"/>
    </row>
    <row r="10" spans="1:68" x14ac:dyDescent="0.25">
      <c r="A10" s="62" t="s">
        <v>228</v>
      </c>
      <c r="B10" s="63"/>
      <c r="C10" s="63"/>
      <c r="D10" s="64"/>
      <c r="E10" s="66"/>
      <c r="F10" s="103" t="str">
        <f>HYPERLINK("https://pbs.twimg.com/profile_images/1562086987846361088/dVhRWm0v_normal.jpg")</f>
        <v>https://pbs.twimg.com/profile_images/1562086987846361088/dVhRWm0v_normal.jpg</v>
      </c>
      <c r="G10" s="63"/>
      <c r="H10" s="67"/>
      <c r="I10" s="68"/>
      <c r="J10" s="68"/>
      <c r="K10" s="67" t="s">
        <v>19743</v>
      </c>
      <c r="L10" s="71"/>
      <c r="M10" s="72"/>
      <c r="N10" s="72"/>
      <c r="O10" s="73"/>
      <c r="P10" s="74"/>
      <c r="Q10" s="74"/>
      <c r="R10" s="87"/>
      <c r="S10" s="87"/>
      <c r="T10" s="87"/>
      <c r="U10" s="87"/>
      <c r="V10" s="48"/>
      <c r="W10" s="48"/>
      <c r="X10" s="48"/>
      <c r="Y10" s="48"/>
      <c r="Z10" s="47"/>
      <c r="AA10" s="69">
        <v>10</v>
      </c>
      <c r="AB10" s="69"/>
      <c r="AC10" s="70"/>
      <c r="AD10" s="76" t="s">
        <v>17762</v>
      </c>
      <c r="AE10" s="81" t="s">
        <v>17314</v>
      </c>
      <c r="AF10" s="76">
        <v>7443</v>
      </c>
      <c r="AG10" s="76">
        <v>6</v>
      </c>
      <c r="AH10" s="76">
        <v>2243</v>
      </c>
      <c r="AI10" s="76">
        <v>84</v>
      </c>
      <c r="AJ10" s="76">
        <v>60</v>
      </c>
      <c r="AK10" s="76">
        <v>786</v>
      </c>
      <c r="AL10" s="76" t="b">
        <v>0</v>
      </c>
      <c r="AM10" s="78">
        <v>42424.770185185182</v>
      </c>
      <c r="AN10" s="76"/>
      <c r="AO10" s="76" t="s">
        <v>18769</v>
      </c>
      <c r="AP10" s="83" t="str">
        <f>HYPERLINK("https://t.co/R54SsWHdRI")</f>
        <v>https://t.co/R54SsWHdRI</v>
      </c>
      <c r="AQ10" s="83" t="str">
        <f>HYPERLINK("http://economatica.com")</f>
        <v>http://economatica.com</v>
      </c>
      <c r="AR10" s="76" t="s">
        <v>19299</v>
      </c>
      <c r="AS10" s="76"/>
      <c r="AT10" s="76"/>
      <c r="AU10" s="76"/>
      <c r="AV10" s="76">
        <v>1.6262389522304901E+18</v>
      </c>
      <c r="AW10" s="83" t="str">
        <f>HYPERLINK("https://t.co/R54SsWHdRI")</f>
        <v>https://t.co/R54SsWHdRI</v>
      </c>
      <c r="AX10" s="76" t="b">
        <v>0</v>
      </c>
      <c r="AY10" s="76"/>
      <c r="AZ10" s="76"/>
      <c r="BA10" s="76" t="b">
        <v>0</v>
      </c>
      <c r="BB10" s="76" t="b">
        <v>1</v>
      </c>
      <c r="BC10" s="76" t="b">
        <v>0</v>
      </c>
      <c r="BD10" s="76" t="b">
        <v>0</v>
      </c>
      <c r="BE10" s="76" t="b">
        <v>0</v>
      </c>
      <c r="BF10" s="76" t="b">
        <v>0</v>
      </c>
      <c r="BG10" s="76" t="b">
        <v>0</v>
      </c>
      <c r="BH10" s="83" t="str">
        <f>HYPERLINK("https://pbs.twimg.com/profile_banners/702560893318656001/1661265549")</f>
        <v>https://pbs.twimg.com/profile_banners/702560893318656001/1661265549</v>
      </c>
      <c r="BI10" s="76"/>
      <c r="BJ10" s="76" t="s">
        <v>19734</v>
      </c>
      <c r="BK10" s="76" t="b">
        <v>0</v>
      </c>
      <c r="BL10" s="76"/>
      <c r="BM10" s="76" t="s">
        <v>66</v>
      </c>
      <c r="BN10" s="76" t="s">
        <v>19736</v>
      </c>
      <c r="BO10" s="83" t="str">
        <f>HYPERLINK("https://twitter.com/economaticabr")</f>
        <v>https://twitter.com/economaticabr</v>
      </c>
      <c r="BP10" s="2"/>
    </row>
    <row r="11" spans="1:68" x14ac:dyDescent="0.25">
      <c r="A11" s="62" t="s">
        <v>229</v>
      </c>
      <c r="B11" s="63"/>
      <c r="C11" s="63"/>
      <c r="D11" s="64"/>
      <c r="E11" s="66"/>
      <c r="F11" s="103" t="str">
        <f>HYPERLINK("https://pbs.twimg.com/profile_images/1487984438793457665/7bpqxtcY_normal.jpg")</f>
        <v>https://pbs.twimg.com/profile_images/1487984438793457665/7bpqxtcY_normal.jpg</v>
      </c>
      <c r="G11" s="63"/>
      <c r="H11" s="67"/>
      <c r="I11" s="68"/>
      <c r="J11" s="68"/>
      <c r="K11" s="67" t="s">
        <v>19744</v>
      </c>
      <c r="L11" s="71"/>
      <c r="M11" s="72"/>
      <c r="N11" s="72"/>
      <c r="O11" s="73"/>
      <c r="P11" s="74"/>
      <c r="Q11" s="74"/>
      <c r="R11" s="87"/>
      <c r="S11" s="87"/>
      <c r="T11" s="87"/>
      <c r="U11" s="87"/>
      <c r="V11" s="48"/>
      <c r="W11" s="48"/>
      <c r="X11" s="48"/>
      <c r="Y11" s="48"/>
      <c r="Z11" s="47"/>
      <c r="AA11" s="69">
        <v>11</v>
      </c>
      <c r="AB11" s="69"/>
      <c r="AC11" s="70"/>
      <c r="AD11" s="76" t="s">
        <v>17763</v>
      </c>
      <c r="AE11" s="81" t="s">
        <v>18320</v>
      </c>
      <c r="AF11" s="76">
        <v>45</v>
      </c>
      <c r="AG11" s="76">
        <v>351</v>
      </c>
      <c r="AH11" s="76">
        <v>5748</v>
      </c>
      <c r="AI11" s="76">
        <v>0</v>
      </c>
      <c r="AJ11" s="76">
        <v>467</v>
      </c>
      <c r="AK11" s="76">
        <v>51</v>
      </c>
      <c r="AL11" s="76" t="b">
        <v>0</v>
      </c>
      <c r="AM11" s="78">
        <v>40046.86614583333</v>
      </c>
      <c r="AN11" s="76" t="s">
        <v>18551</v>
      </c>
      <c r="AO11" s="76" t="s">
        <v>18770</v>
      </c>
      <c r="AP11" s="76"/>
      <c r="AQ11" s="76"/>
      <c r="AR11" s="76"/>
      <c r="AS11" s="76"/>
      <c r="AT11" s="76"/>
      <c r="AU11" s="76"/>
      <c r="AV11" s="76">
        <v>1.1762291793539599E+18</v>
      </c>
      <c r="AW11" s="76"/>
      <c r="AX11" s="76" t="b">
        <v>0</v>
      </c>
      <c r="AY11" s="76"/>
      <c r="AZ11" s="76"/>
      <c r="BA11" s="76" t="b">
        <v>0</v>
      </c>
      <c r="BB11" s="76" t="b">
        <v>1</v>
      </c>
      <c r="BC11" s="76" t="b">
        <v>0</v>
      </c>
      <c r="BD11" s="76" t="b">
        <v>0</v>
      </c>
      <c r="BE11" s="76" t="b">
        <v>1</v>
      </c>
      <c r="BF11" s="76" t="b">
        <v>0</v>
      </c>
      <c r="BG11" s="76" t="b">
        <v>0</v>
      </c>
      <c r="BH11" s="83" t="str">
        <f>HYPERLINK("https://pbs.twimg.com/profile_banners/67714638/1642019950")</f>
        <v>https://pbs.twimg.com/profile_banners/67714638/1642019950</v>
      </c>
      <c r="BI11" s="76"/>
      <c r="BJ11" s="76" t="s">
        <v>19734</v>
      </c>
      <c r="BK11" s="76" t="b">
        <v>0</v>
      </c>
      <c r="BL11" s="76"/>
      <c r="BM11" s="76" t="s">
        <v>66</v>
      </c>
      <c r="BN11" s="76" t="s">
        <v>19736</v>
      </c>
      <c r="BO11" s="83" t="str">
        <f>HYPERLINK("https://twitter.com/tina_pimenteld")</f>
        <v>https://twitter.com/tina_pimenteld</v>
      </c>
      <c r="BP11" s="2"/>
    </row>
    <row r="12" spans="1:68" x14ac:dyDescent="0.25">
      <c r="A12" s="62" t="s">
        <v>230</v>
      </c>
      <c r="B12" s="63"/>
      <c r="C12" s="63"/>
      <c r="D12" s="64"/>
      <c r="E12" s="66"/>
      <c r="F12" s="103" t="str">
        <f>HYPERLINK("https://pbs.twimg.com/profile_images/1598459541666029569/sHiBEnzC_normal.jpg")</f>
        <v>https://pbs.twimg.com/profile_images/1598459541666029569/sHiBEnzC_normal.jpg</v>
      </c>
      <c r="G12" s="63"/>
      <c r="H12" s="67"/>
      <c r="I12" s="68"/>
      <c r="J12" s="68"/>
      <c r="K12" s="67" t="s">
        <v>19745</v>
      </c>
      <c r="L12" s="71"/>
      <c r="M12" s="72"/>
      <c r="N12" s="72"/>
      <c r="O12" s="73"/>
      <c r="P12" s="74"/>
      <c r="Q12" s="74"/>
      <c r="R12" s="87"/>
      <c r="S12" s="87"/>
      <c r="T12" s="87"/>
      <c r="U12" s="87"/>
      <c r="V12" s="48"/>
      <c r="W12" s="48"/>
      <c r="X12" s="48"/>
      <c r="Y12" s="48"/>
      <c r="Z12" s="47"/>
      <c r="AA12" s="69">
        <v>12</v>
      </c>
      <c r="AB12" s="69"/>
      <c r="AC12" s="70"/>
      <c r="AD12" s="76" t="s">
        <v>17764</v>
      </c>
      <c r="AE12" s="81" t="s">
        <v>17441</v>
      </c>
      <c r="AF12" s="76">
        <v>44</v>
      </c>
      <c r="AG12" s="76">
        <v>103</v>
      </c>
      <c r="AH12" s="76">
        <v>70</v>
      </c>
      <c r="AI12" s="76">
        <v>4</v>
      </c>
      <c r="AJ12" s="76">
        <v>4468</v>
      </c>
      <c r="AK12" s="76">
        <v>14</v>
      </c>
      <c r="AL12" s="76" t="b">
        <v>0</v>
      </c>
      <c r="AM12" s="78">
        <v>44075.048472222225</v>
      </c>
      <c r="AN12" s="76" t="s">
        <v>18552</v>
      </c>
      <c r="AO12" s="76" t="s">
        <v>18771</v>
      </c>
      <c r="AP12" s="83" t="str">
        <f>HYPERLINK("https://t.co/6YMJ4JNNu5")</f>
        <v>https://t.co/6YMJ4JNNu5</v>
      </c>
      <c r="AQ12" s="83" t="str">
        <f>HYPERLINK("https://linktr.ee/JuanFidalgo")</f>
        <v>https://linktr.ee/JuanFidalgo</v>
      </c>
      <c r="AR12" s="76" t="s">
        <v>19300</v>
      </c>
      <c r="AS12" s="76"/>
      <c r="AT12" s="76"/>
      <c r="AU12" s="76"/>
      <c r="AV12" s="76"/>
      <c r="AW12" s="83" t="str">
        <f>HYPERLINK("https://t.co/6YMJ4JNNu5")</f>
        <v>https://t.co/6YMJ4JNNu5</v>
      </c>
      <c r="AX12" s="76" t="b">
        <v>0</v>
      </c>
      <c r="AY12" s="76"/>
      <c r="AZ12" s="76"/>
      <c r="BA12" s="76" t="b">
        <v>0</v>
      </c>
      <c r="BB12" s="76" t="b">
        <v>1</v>
      </c>
      <c r="BC12" s="76" t="b">
        <v>1</v>
      </c>
      <c r="BD12" s="76" t="b">
        <v>0</v>
      </c>
      <c r="BE12" s="76" t="b">
        <v>0</v>
      </c>
      <c r="BF12" s="76" t="b">
        <v>0</v>
      </c>
      <c r="BG12" s="76" t="b">
        <v>0</v>
      </c>
      <c r="BH12" s="83" t="str">
        <f>HYPERLINK("https://pbs.twimg.com/profile_banners/1300601614470795264/1657672894")</f>
        <v>https://pbs.twimg.com/profile_banners/1300601614470795264/1657672894</v>
      </c>
      <c r="BI12" s="76"/>
      <c r="BJ12" s="76" t="s">
        <v>19734</v>
      </c>
      <c r="BK12" s="76" t="b">
        <v>0</v>
      </c>
      <c r="BL12" s="76"/>
      <c r="BM12" s="76" t="s">
        <v>66</v>
      </c>
      <c r="BN12" s="76" t="s">
        <v>19736</v>
      </c>
      <c r="BO12" s="83" t="str">
        <f>HYPERLINK("https://twitter.com/juanfidalgo_")</f>
        <v>https://twitter.com/juanfidalgo_</v>
      </c>
      <c r="BP12" s="2"/>
    </row>
    <row r="13" spans="1:68" x14ac:dyDescent="0.25">
      <c r="A13" s="62" t="s">
        <v>231</v>
      </c>
      <c r="B13" s="63"/>
      <c r="C13" s="63"/>
      <c r="D13" s="64"/>
      <c r="E13" s="66"/>
      <c r="F13" s="103" t="str">
        <f>HYPERLINK("https://pbs.twimg.com/profile_images/1311404721232633856/UYlzPckZ_normal.jpg")</f>
        <v>https://pbs.twimg.com/profile_images/1311404721232633856/UYlzPckZ_normal.jpg</v>
      </c>
      <c r="G13" s="63"/>
      <c r="H13" s="67"/>
      <c r="I13" s="68"/>
      <c r="J13" s="68"/>
      <c r="K13" s="67" t="s">
        <v>19746</v>
      </c>
      <c r="L13" s="71"/>
      <c r="M13" s="72"/>
      <c r="N13" s="72"/>
      <c r="O13" s="73"/>
      <c r="P13" s="74"/>
      <c r="Q13" s="74"/>
      <c r="R13" s="87"/>
      <c r="S13" s="87"/>
      <c r="T13" s="87"/>
      <c r="U13" s="87"/>
      <c r="V13" s="48"/>
      <c r="W13" s="48"/>
      <c r="X13" s="48"/>
      <c r="Y13" s="48"/>
      <c r="Z13" s="47"/>
      <c r="AA13" s="69">
        <v>13</v>
      </c>
      <c r="AB13" s="69"/>
      <c r="AC13" s="70"/>
      <c r="AD13" s="76" t="s">
        <v>17765</v>
      </c>
      <c r="AE13" s="81" t="s">
        <v>17442</v>
      </c>
      <c r="AF13" s="76">
        <v>201</v>
      </c>
      <c r="AG13" s="76">
        <v>1</v>
      </c>
      <c r="AH13" s="76">
        <v>313</v>
      </c>
      <c r="AI13" s="76">
        <v>2</v>
      </c>
      <c r="AJ13" s="76">
        <v>12</v>
      </c>
      <c r="AK13" s="76">
        <v>136</v>
      </c>
      <c r="AL13" s="76" t="b">
        <v>0</v>
      </c>
      <c r="AM13" s="78">
        <v>44046.722638888888</v>
      </c>
      <c r="AN13" s="76" t="s">
        <v>18553</v>
      </c>
      <c r="AO13" s="76" t="s">
        <v>18772</v>
      </c>
      <c r="AP13" s="83" t="str">
        <f>HYPERLINK("https://t.co/RfwrbGmOrs")</f>
        <v>https://t.co/RfwrbGmOrs</v>
      </c>
      <c r="AQ13" s="83" t="str">
        <f>HYPERLINK("https://linktr.ee/vokin")</f>
        <v>https://linktr.ee/vokin</v>
      </c>
      <c r="AR13" s="76" t="s">
        <v>19301</v>
      </c>
      <c r="AS13" s="76"/>
      <c r="AT13" s="76"/>
      <c r="AU13" s="76"/>
      <c r="AV13" s="76">
        <v>1.61142198353489E+18</v>
      </c>
      <c r="AW13" s="83" t="str">
        <f>HYPERLINK("https://t.co/RfwrbGmOrs")</f>
        <v>https://t.co/RfwrbGmOrs</v>
      </c>
      <c r="AX13" s="76" t="b">
        <v>0</v>
      </c>
      <c r="AY13" s="76"/>
      <c r="AZ13" s="76"/>
      <c r="BA13" s="76" t="b">
        <v>0</v>
      </c>
      <c r="BB13" s="76" t="b">
        <v>1</v>
      </c>
      <c r="BC13" s="76" t="b">
        <v>1</v>
      </c>
      <c r="BD13" s="76" t="b">
        <v>0</v>
      </c>
      <c r="BE13" s="76" t="b">
        <v>0</v>
      </c>
      <c r="BF13" s="76" t="b">
        <v>0</v>
      </c>
      <c r="BG13" s="76" t="b">
        <v>0</v>
      </c>
      <c r="BH13" s="83" t="str">
        <f>HYPERLINK("https://pbs.twimg.com/profile_banners/1290336746639708160/1601498345")</f>
        <v>https://pbs.twimg.com/profile_banners/1290336746639708160/1601498345</v>
      </c>
      <c r="BI13" s="76"/>
      <c r="BJ13" s="76" t="s">
        <v>19734</v>
      </c>
      <c r="BK13" s="76" t="b">
        <v>0</v>
      </c>
      <c r="BL13" s="76"/>
      <c r="BM13" s="76" t="s">
        <v>66</v>
      </c>
      <c r="BN13" s="76" t="s">
        <v>19736</v>
      </c>
      <c r="BO13" s="83" t="str">
        <f>HYPERLINK("https://twitter.com/vokininvest")</f>
        <v>https://twitter.com/vokininvest</v>
      </c>
      <c r="BP13" s="2"/>
    </row>
    <row r="14" spans="1:68" x14ac:dyDescent="0.25">
      <c r="A14" s="62" t="s">
        <v>232</v>
      </c>
      <c r="B14" s="63"/>
      <c r="C14" s="63"/>
      <c r="D14" s="64"/>
      <c r="E14" s="66"/>
      <c r="F14" s="103" t="str">
        <f>HYPERLINK("https://pbs.twimg.com/profile_images/1655944882991796226/hLtmoAw5_normal.jpg")</f>
        <v>https://pbs.twimg.com/profile_images/1655944882991796226/hLtmoAw5_normal.jpg</v>
      </c>
      <c r="G14" s="63"/>
      <c r="H14" s="67"/>
      <c r="I14" s="68"/>
      <c r="J14" s="68"/>
      <c r="K14" s="67" t="s">
        <v>19747</v>
      </c>
      <c r="L14" s="71"/>
      <c r="M14" s="72"/>
      <c r="N14" s="72"/>
      <c r="O14" s="73"/>
      <c r="P14" s="74"/>
      <c r="Q14" s="74"/>
      <c r="R14" s="87"/>
      <c r="S14" s="87"/>
      <c r="T14" s="87"/>
      <c r="U14" s="87"/>
      <c r="V14" s="48"/>
      <c r="W14" s="48"/>
      <c r="X14" s="48"/>
      <c r="Y14" s="48"/>
      <c r="Z14" s="47"/>
      <c r="AA14" s="69">
        <v>14</v>
      </c>
      <c r="AB14" s="69"/>
      <c r="AC14" s="70"/>
      <c r="AD14" s="76" t="s">
        <v>17766</v>
      </c>
      <c r="AE14" s="81" t="s">
        <v>17315</v>
      </c>
      <c r="AF14" s="76">
        <v>40</v>
      </c>
      <c r="AG14" s="76">
        <v>173</v>
      </c>
      <c r="AH14" s="76">
        <v>749</v>
      </c>
      <c r="AI14" s="76">
        <v>0</v>
      </c>
      <c r="AJ14" s="76">
        <v>880</v>
      </c>
      <c r="AK14" s="76">
        <v>97</v>
      </c>
      <c r="AL14" s="76" t="b">
        <v>0</v>
      </c>
      <c r="AM14" s="78">
        <v>45036.692129629628</v>
      </c>
      <c r="AN14" s="76" t="s">
        <v>18554</v>
      </c>
      <c r="AO14" s="76" t="s">
        <v>18773</v>
      </c>
      <c r="AP14" s="83" t="str">
        <f>HYPERLINK("https://t.co/OBYBmMArbQ")</f>
        <v>https://t.co/OBYBmMArbQ</v>
      </c>
      <c r="AQ14" s="83" t="str">
        <f>HYPERLINK("http://www.fsl.com")</f>
        <v>http://www.fsl.com</v>
      </c>
      <c r="AR14" s="76" t="s">
        <v>19302</v>
      </c>
      <c r="AS14" s="76"/>
      <c r="AT14" s="76"/>
      <c r="AU14" s="76"/>
      <c r="AV14" s="76"/>
      <c r="AW14" s="83" t="str">
        <f>HYPERLINK("https://t.co/OBYBmMArbQ")</f>
        <v>https://t.co/OBYBmMArbQ</v>
      </c>
      <c r="AX14" s="76" t="b">
        <v>0</v>
      </c>
      <c r="AY14" s="76"/>
      <c r="AZ14" s="76"/>
      <c r="BA14" s="76" t="b">
        <v>0</v>
      </c>
      <c r="BB14" s="76" t="b">
        <v>1</v>
      </c>
      <c r="BC14" s="76" t="b">
        <v>1</v>
      </c>
      <c r="BD14" s="76" t="b">
        <v>0</v>
      </c>
      <c r="BE14" s="76" t="b">
        <v>0</v>
      </c>
      <c r="BF14" s="76" t="b">
        <v>0</v>
      </c>
      <c r="BG14" s="76" t="b">
        <v>0</v>
      </c>
      <c r="BH14" s="83" t="str">
        <f>HYPERLINK("https://pbs.twimg.com/profile_banners/1649089578626695177/1683643002")</f>
        <v>https://pbs.twimg.com/profile_banners/1649089578626695177/1683643002</v>
      </c>
      <c r="BI14" s="76"/>
      <c r="BJ14" s="76" t="s">
        <v>19734</v>
      </c>
      <c r="BK14" s="76" t="b">
        <v>0</v>
      </c>
      <c r="BL14" s="76"/>
      <c r="BM14" s="76" t="s">
        <v>66</v>
      </c>
      <c r="BN14" s="76" t="s">
        <v>19736</v>
      </c>
      <c r="BO14" s="83" t="str">
        <f>HYPERLINK("https://twitter.com/felippe_analyst")</f>
        <v>https://twitter.com/felippe_analyst</v>
      </c>
      <c r="BP14" s="2"/>
    </row>
    <row r="15" spans="1:68" x14ac:dyDescent="0.25">
      <c r="A15" s="62" t="s">
        <v>233</v>
      </c>
      <c r="B15" s="63"/>
      <c r="C15" s="63"/>
      <c r="D15" s="64"/>
      <c r="E15" s="66"/>
      <c r="F15" s="103" t="str">
        <f>HYPERLINK("https://pbs.twimg.com/profile_images/1618978012300562435/a2HHjZv4_normal.jpg")</f>
        <v>https://pbs.twimg.com/profile_images/1618978012300562435/a2HHjZv4_normal.jpg</v>
      </c>
      <c r="G15" s="63"/>
      <c r="H15" s="67"/>
      <c r="I15" s="68"/>
      <c r="J15" s="68"/>
      <c r="K15" s="67" t="s">
        <v>19748</v>
      </c>
      <c r="L15" s="71"/>
      <c r="M15" s="72"/>
      <c r="N15" s="72"/>
      <c r="O15" s="73"/>
      <c r="P15" s="74"/>
      <c r="Q15" s="74"/>
      <c r="R15" s="87"/>
      <c r="S15" s="87"/>
      <c r="T15" s="87"/>
      <c r="U15" s="87"/>
      <c r="V15" s="48"/>
      <c r="W15" s="48"/>
      <c r="X15" s="48"/>
      <c r="Y15" s="48"/>
      <c r="Z15" s="47"/>
      <c r="AA15" s="69">
        <v>15</v>
      </c>
      <c r="AB15" s="69"/>
      <c r="AC15" s="70"/>
      <c r="AD15" s="76" t="s">
        <v>17767</v>
      </c>
      <c r="AE15" s="81" t="s">
        <v>17443</v>
      </c>
      <c r="AF15" s="76">
        <v>1</v>
      </c>
      <c r="AG15" s="76">
        <v>9</v>
      </c>
      <c r="AH15" s="76">
        <v>107</v>
      </c>
      <c r="AI15" s="76">
        <v>0</v>
      </c>
      <c r="AJ15" s="76">
        <v>111</v>
      </c>
      <c r="AK15" s="76">
        <v>50</v>
      </c>
      <c r="AL15" s="76" t="b">
        <v>0</v>
      </c>
      <c r="AM15" s="78">
        <v>44335.538414351853</v>
      </c>
      <c r="AN15" s="76" t="s">
        <v>18555</v>
      </c>
      <c r="AO15" s="76" t="s">
        <v>18774</v>
      </c>
      <c r="AP15" s="83" t="str">
        <f>HYPERLINK("https://t.co/olhdYXjg7P")</f>
        <v>https://t.co/olhdYXjg7P</v>
      </c>
      <c r="AQ15" s="83" t="str">
        <f>HYPERLINK("http://danielguidotti.com")</f>
        <v>http://danielguidotti.com</v>
      </c>
      <c r="AR15" s="76" t="s">
        <v>19303</v>
      </c>
      <c r="AS15" s="76"/>
      <c r="AT15" s="76"/>
      <c r="AU15" s="76"/>
      <c r="AV15" s="76">
        <v>1.3968963567242399E+18</v>
      </c>
      <c r="AW15" s="83" t="str">
        <f>HYPERLINK("https://t.co/olhdYXjg7P")</f>
        <v>https://t.co/olhdYXjg7P</v>
      </c>
      <c r="AX15" s="76" t="b">
        <v>0</v>
      </c>
      <c r="AY15" s="76"/>
      <c r="AZ15" s="76"/>
      <c r="BA15" s="76" t="b">
        <v>0</v>
      </c>
      <c r="BB15" s="76" t="b">
        <v>1</v>
      </c>
      <c r="BC15" s="76" t="b">
        <v>1</v>
      </c>
      <c r="BD15" s="76" t="b">
        <v>0</v>
      </c>
      <c r="BE15" s="76" t="b">
        <v>0</v>
      </c>
      <c r="BF15" s="76" t="b">
        <v>0</v>
      </c>
      <c r="BG15" s="76" t="b">
        <v>0</v>
      </c>
      <c r="BH15" s="76"/>
      <c r="BI15" s="76"/>
      <c r="BJ15" s="76" t="s">
        <v>19734</v>
      </c>
      <c r="BK15" s="76" t="b">
        <v>0</v>
      </c>
      <c r="BL15" s="76"/>
      <c r="BM15" s="76" t="s">
        <v>66</v>
      </c>
      <c r="BN15" s="76" t="s">
        <v>19736</v>
      </c>
      <c r="BO15" s="83" t="str">
        <f>HYPERLINK("https://twitter.com/guidottisilva")</f>
        <v>https://twitter.com/guidottisilva</v>
      </c>
      <c r="BP15" s="2"/>
    </row>
    <row r="16" spans="1:68" x14ac:dyDescent="0.25">
      <c r="A16" s="62" t="s">
        <v>731</v>
      </c>
      <c r="B16" s="63"/>
      <c r="C16" s="63"/>
      <c r="D16" s="64"/>
      <c r="E16" s="66"/>
      <c r="F16" s="103" t="str">
        <f>HYPERLINK("https://pbs.twimg.com/profile_images/1427292844612595720/RC1YSvuT_normal.jpg")</f>
        <v>https://pbs.twimg.com/profile_images/1427292844612595720/RC1YSvuT_normal.jpg</v>
      </c>
      <c r="G16" s="63"/>
      <c r="H16" s="67"/>
      <c r="I16" s="68"/>
      <c r="J16" s="68"/>
      <c r="K16" s="67" t="s">
        <v>19749</v>
      </c>
      <c r="L16" s="71"/>
      <c r="M16" s="72"/>
      <c r="N16" s="72"/>
      <c r="O16" s="73"/>
      <c r="P16" s="74"/>
      <c r="Q16" s="74"/>
      <c r="R16" s="87"/>
      <c r="S16" s="87"/>
      <c r="T16" s="87"/>
      <c r="U16" s="87"/>
      <c r="V16" s="48"/>
      <c r="W16" s="48"/>
      <c r="X16" s="48"/>
      <c r="Y16" s="48"/>
      <c r="Z16" s="47"/>
      <c r="AA16" s="69">
        <v>16</v>
      </c>
      <c r="AB16" s="69"/>
      <c r="AC16" s="70"/>
      <c r="AD16" s="76" t="s">
        <v>17768</v>
      </c>
      <c r="AE16" s="81" t="s">
        <v>18321</v>
      </c>
      <c r="AF16" s="76">
        <v>79309387</v>
      </c>
      <c r="AG16" s="76">
        <v>1179</v>
      </c>
      <c r="AH16" s="76">
        <v>56608</v>
      </c>
      <c r="AI16" s="76">
        <v>79876</v>
      </c>
      <c r="AJ16" s="76">
        <v>6177</v>
      </c>
      <c r="AK16" s="76">
        <v>15682</v>
      </c>
      <c r="AL16" s="76" t="b">
        <v>0</v>
      </c>
      <c r="AM16" s="78">
        <v>39399.905393518522</v>
      </c>
      <c r="AN16" s="76" t="s">
        <v>18556</v>
      </c>
      <c r="AO16" s="76" t="s">
        <v>18775</v>
      </c>
      <c r="AP16" s="83" t="str">
        <f>HYPERLINK("https://t.co/bUisN3Y1A6")</f>
        <v>https://t.co/bUisN3Y1A6</v>
      </c>
      <c r="AQ16" s="83" t="str">
        <f>HYPERLINK("http://youtube.com")</f>
        <v>http://youtube.com</v>
      </c>
      <c r="AR16" s="76" t="s">
        <v>7065</v>
      </c>
      <c r="AS16" s="76"/>
      <c r="AT16" s="76"/>
      <c r="AU16" s="76"/>
      <c r="AV16" s="76"/>
      <c r="AW16" s="83" t="str">
        <f>HYPERLINK("https://t.co/bUisN3Y1A6")</f>
        <v>https://t.co/bUisN3Y1A6</v>
      </c>
      <c r="AX16" s="76" t="b">
        <v>1</v>
      </c>
      <c r="AY16" s="76"/>
      <c r="AZ16" s="76"/>
      <c r="BA16" s="76" t="b">
        <v>0</v>
      </c>
      <c r="BB16" s="76" t="b">
        <v>1</v>
      </c>
      <c r="BC16" s="76" t="b">
        <v>0</v>
      </c>
      <c r="BD16" s="76" t="b">
        <v>0</v>
      </c>
      <c r="BE16" s="76" t="b">
        <v>1</v>
      </c>
      <c r="BF16" s="76" t="b">
        <v>0</v>
      </c>
      <c r="BG16" s="76" t="b">
        <v>0</v>
      </c>
      <c r="BH16" s="83" t="str">
        <f>HYPERLINK("https://pbs.twimg.com/profile_banners/10228272/1694793799")</f>
        <v>https://pbs.twimg.com/profile_banners/10228272/1694793799</v>
      </c>
      <c r="BI16" s="76"/>
      <c r="BJ16" s="76" t="s">
        <v>19735</v>
      </c>
      <c r="BK16" s="76" t="b">
        <v>0</v>
      </c>
      <c r="BL16" s="76"/>
      <c r="BM16" s="76" t="s">
        <v>65</v>
      </c>
      <c r="BN16" s="76" t="s">
        <v>19736</v>
      </c>
      <c r="BO16" s="83" t="str">
        <f>HYPERLINK("https://twitter.com/youtube")</f>
        <v>https://twitter.com/youtube</v>
      </c>
      <c r="BP16" s="2"/>
    </row>
    <row r="17" spans="1:68" x14ac:dyDescent="0.25">
      <c r="A17" s="62" t="s">
        <v>234</v>
      </c>
      <c r="B17" s="63"/>
      <c r="C17" s="63"/>
      <c r="D17" s="64"/>
      <c r="E17" s="66"/>
      <c r="F17" s="103" t="str">
        <f>HYPERLINK("https://pbs.twimg.com/profile_images/1642322903889858560/Loqe8pMz_normal.jpg")</f>
        <v>https://pbs.twimg.com/profile_images/1642322903889858560/Loqe8pMz_normal.jpg</v>
      </c>
      <c r="G17" s="63"/>
      <c r="H17" s="67"/>
      <c r="I17" s="68"/>
      <c r="J17" s="68"/>
      <c r="K17" s="67" t="s">
        <v>19750</v>
      </c>
      <c r="L17" s="71"/>
      <c r="M17" s="72"/>
      <c r="N17" s="72"/>
      <c r="O17" s="73"/>
      <c r="P17" s="74"/>
      <c r="Q17" s="74"/>
      <c r="R17" s="87"/>
      <c r="S17" s="87"/>
      <c r="T17" s="87"/>
      <c r="U17" s="87"/>
      <c r="V17" s="48"/>
      <c r="W17" s="48"/>
      <c r="X17" s="48"/>
      <c r="Y17" s="48"/>
      <c r="Z17" s="47"/>
      <c r="AA17" s="69">
        <v>17</v>
      </c>
      <c r="AB17" s="69"/>
      <c r="AC17" s="70"/>
      <c r="AD17" s="76" t="s">
        <v>17769</v>
      </c>
      <c r="AE17" s="81" t="s">
        <v>17444</v>
      </c>
      <c r="AF17" s="76">
        <v>81</v>
      </c>
      <c r="AG17" s="76">
        <v>416</v>
      </c>
      <c r="AH17" s="76">
        <v>1054</v>
      </c>
      <c r="AI17" s="76">
        <v>9</v>
      </c>
      <c r="AJ17" s="76">
        <v>1198</v>
      </c>
      <c r="AK17" s="76">
        <v>236</v>
      </c>
      <c r="AL17" s="76" t="b">
        <v>0</v>
      </c>
      <c r="AM17" s="78">
        <v>44554.953553240739</v>
      </c>
      <c r="AN17" s="76" t="s">
        <v>12007</v>
      </c>
      <c r="AO17" s="76" t="s">
        <v>18776</v>
      </c>
      <c r="AP17" s="83" t="str">
        <f>HYPERLINK("https://t.co/qXdHgFeZfx")</f>
        <v>https://t.co/qXdHgFeZfx</v>
      </c>
      <c r="AQ17" s="83" t="str">
        <f>HYPERLINK("https://linktr.ee/invexcripto")</f>
        <v>https://linktr.ee/invexcripto</v>
      </c>
      <c r="AR17" s="76" t="s">
        <v>19304</v>
      </c>
      <c r="AS17" s="76"/>
      <c r="AT17" s="76"/>
      <c r="AU17" s="76"/>
      <c r="AV17" s="76">
        <v>1.67206842947231E+18</v>
      </c>
      <c r="AW17" s="83" t="str">
        <f>HYPERLINK("https://t.co/qXdHgFeZfx")</f>
        <v>https://t.co/qXdHgFeZfx</v>
      </c>
      <c r="AX17" s="76" t="b">
        <v>0</v>
      </c>
      <c r="AY17" s="76"/>
      <c r="AZ17" s="76"/>
      <c r="BA17" s="76" t="b">
        <v>0</v>
      </c>
      <c r="BB17" s="76" t="b">
        <v>1</v>
      </c>
      <c r="BC17" s="76" t="b">
        <v>1</v>
      </c>
      <c r="BD17" s="76" t="b">
        <v>0</v>
      </c>
      <c r="BE17" s="76" t="b">
        <v>1</v>
      </c>
      <c r="BF17" s="76" t="b">
        <v>0</v>
      </c>
      <c r="BG17" s="76" t="b">
        <v>0</v>
      </c>
      <c r="BH17" s="83" t="str">
        <f>HYPERLINK("https://pbs.twimg.com/profile_banners/1474513441444532226/1679767105")</f>
        <v>https://pbs.twimg.com/profile_banners/1474513441444532226/1679767105</v>
      </c>
      <c r="BI17" s="76"/>
      <c r="BJ17" s="76" t="s">
        <v>19734</v>
      </c>
      <c r="BK17" s="76" t="b">
        <v>0</v>
      </c>
      <c r="BL17" s="76"/>
      <c r="BM17" s="76" t="s">
        <v>66</v>
      </c>
      <c r="BN17" s="76" t="s">
        <v>19736</v>
      </c>
      <c r="BO17" s="83" t="str">
        <f>HYPERLINK("https://twitter.com/invexcripto")</f>
        <v>https://twitter.com/invexcripto</v>
      </c>
      <c r="BP17" s="2"/>
    </row>
    <row r="18" spans="1:68" x14ac:dyDescent="0.25">
      <c r="A18" s="62" t="s">
        <v>235</v>
      </c>
      <c r="B18" s="63"/>
      <c r="C18" s="63"/>
      <c r="D18" s="64"/>
      <c r="E18" s="66"/>
      <c r="F18" s="103" t="str">
        <f>HYPERLINK("https://pbs.twimg.com/profile_images/1211011898256379904/78YYd-W0_normal.jpg")</f>
        <v>https://pbs.twimg.com/profile_images/1211011898256379904/78YYd-W0_normal.jpg</v>
      </c>
      <c r="G18" s="63"/>
      <c r="H18" s="67"/>
      <c r="I18" s="68"/>
      <c r="J18" s="68"/>
      <c r="K18" s="67" t="s">
        <v>19751</v>
      </c>
      <c r="L18" s="71"/>
      <c r="M18" s="72"/>
      <c r="N18" s="72"/>
      <c r="O18" s="73"/>
      <c r="P18" s="74"/>
      <c r="Q18" s="74"/>
      <c r="R18" s="87"/>
      <c r="S18" s="87"/>
      <c r="T18" s="87"/>
      <c r="U18" s="87"/>
      <c r="V18" s="48"/>
      <c r="W18" s="48"/>
      <c r="X18" s="48"/>
      <c r="Y18" s="48"/>
      <c r="Z18" s="47"/>
      <c r="AA18" s="69">
        <v>18</v>
      </c>
      <c r="AB18" s="69"/>
      <c r="AC18" s="70"/>
      <c r="AD18" s="76" t="s">
        <v>17770</v>
      </c>
      <c r="AE18" s="81" t="s">
        <v>18322</v>
      </c>
      <c r="AF18" s="76">
        <v>434</v>
      </c>
      <c r="AG18" s="76">
        <v>2239</v>
      </c>
      <c r="AH18" s="76">
        <v>35199</v>
      </c>
      <c r="AI18" s="76">
        <v>8</v>
      </c>
      <c r="AJ18" s="76">
        <v>15871</v>
      </c>
      <c r="AK18" s="76">
        <v>2279</v>
      </c>
      <c r="AL18" s="76" t="b">
        <v>0</v>
      </c>
      <c r="AM18" s="78">
        <v>39991.883263888885</v>
      </c>
      <c r="AN18" s="76" t="s">
        <v>18557</v>
      </c>
      <c r="AO18" s="76" t="s">
        <v>18777</v>
      </c>
      <c r="AP18" s="76"/>
      <c r="AQ18" s="76"/>
      <c r="AR18" s="76"/>
      <c r="AS18" s="76" t="s">
        <v>19650</v>
      </c>
      <c r="AT18" s="76" t="s">
        <v>19665</v>
      </c>
      <c r="AU18" s="76" t="s">
        <v>19682</v>
      </c>
      <c r="AV18" s="76"/>
      <c r="AW18" s="76"/>
      <c r="AX18" s="76" t="b">
        <v>0</v>
      </c>
      <c r="AY18" s="76"/>
      <c r="AZ18" s="76"/>
      <c r="BA18" s="76" t="b">
        <v>0</v>
      </c>
      <c r="BB18" s="76" t="b">
        <v>0</v>
      </c>
      <c r="BC18" s="76" t="b">
        <v>0</v>
      </c>
      <c r="BD18" s="76" t="b">
        <v>0</v>
      </c>
      <c r="BE18" s="76" t="b">
        <v>1</v>
      </c>
      <c r="BF18" s="76" t="b">
        <v>0</v>
      </c>
      <c r="BG18" s="76" t="b">
        <v>0</v>
      </c>
      <c r="BH18" s="83" t="str">
        <f>HYPERLINK("https://pbs.twimg.com/profile_banners/51557374/1564228921")</f>
        <v>https://pbs.twimg.com/profile_banners/51557374/1564228921</v>
      </c>
      <c r="BI18" s="76"/>
      <c r="BJ18" s="76" t="s">
        <v>19734</v>
      </c>
      <c r="BK18" s="76" t="b">
        <v>0</v>
      </c>
      <c r="BL18" s="76"/>
      <c r="BM18" s="76" t="s">
        <v>66</v>
      </c>
      <c r="BN18" s="76" t="s">
        <v>19736</v>
      </c>
      <c r="BO18" s="83" t="str">
        <f>HYPERLINK("https://twitter.com/rudimarbenfatto")</f>
        <v>https://twitter.com/rudimarbenfatto</v>
      </c>
      <c r="BP18" s="2"/>
    </row>
    <row r="19" spans="1:68" x14ac:dyDescent="0.25">
      <c r="A19" s="62" t="s">
        <v>236</v>
      </c>
      <c r="B19" s="63"/>
      <c r="C19" s="63"/>
      <c r="D19" s="64"/>
      <c r="E19" s="66"/>
      <c r="F19" s="103" t="str">
        <f>HYPERLINK("https://pbs.twimg.com/profile_images/1202689140631973888/f8HT8OFq_normal.jpg")</f>
        <v>https://pbs.twimg.com/profile_images/1202689140631973888/f8HT8OFq_normal.jpg</v>
      </c>
      <c r="G19" s="63"/>
      <c r="H19" s="67"/>
      <c r="I19" s="68"/>
      <c r="J19" s="68"/>
      <c r="K19" s="67" t="s">
        <v>19752</v>
      </c>
      <c r="L19" s="71"/>
      <c r="M19" s="72"/>
      <c r="N19" s="72"/>
      <c r="O19" s="73"/>
      <c r="P19" s="74"/>
      <c r="Q19" s="74"/>
      <c r="R19" s="87"/>
      <c r="S19" s="87"/>
      <c r="T19" s="87"/>
      <c r="U19" s="87"/>
      <c r="V19" s="48"/>
      <c r="W19" s="48"/>
      <c r="X19" s="48"/>
      <c r="Y19" s="48"/>
      <c r="Z19" s="47"/>
      <c r="AA19" s="69">
        <v>19</v>
      </c>
      <c r="AB19" s="69"/>
      <c r="AC19" s="70"/>
      <c r="AD19" s="76" t="s">
        <v>17771</v>
      </c>
      <c r="AE19" s="81" t="s">
        <v>17316</v>
      </c>
      <c r="AF19" s="76">
        <v>15</v>
      </c>
      <c r="AG19" s="76">
        <v>509</v>
      </c>
      <c r="AH19" s="76">
        <v>294</v>
      </c>
      <c r="AI19" s="76">
        <v>6</v>
      </c>
      <c r="AJ19" s="76">
        <v>3030</v>
      </c>
      <c r="AK19" s="76">
        <v>5</v>
      </c>
      <c r="AL19" s="76" t="b">
        <v>0</v>
      </c>
      <c r="AM19" s="78">
        <v>43621.989791666667</v>
      </c>
      <c r="AN19" s="76"/>
      <c r="AO19" s="76"/>
      <c r="AP19" s="76"/>
      <c r="AQ19" s="76"/>
      <c r="AR19" s="76"/>
      <c r="AS19" s="76"/>
      <c r="AT19" s="76"/>
      <c r="AU19" s="76"/>
      <c r="AV19" s="76"/>
      <c r="AW19" s="76"/>
      <c r="AX19" s="76" t="b">
        <v>0</v>
      </c>
      <c r="AY19" s="76"/>
      <c r="AZ19" s="76"/>
      <c r="BA19" s="76" t="b">
        <v>0</v>
      </c>
      <c r="BB19" s="76" t="b">
        <v>1</v>
      </c>
      <c r="BC19" s="76" t="b">
        <v>1</v>
      </c>
      <c r="BD19" s="76" t="b">
        <v>0</v>
      </c>
      <c r="BE19" s="76" t="b">
        <v>1</v>
      </c>
      <c r="BF19" s="76" t="b">
        <v>0</v>
      </c>
      <c r="BG19" s="76" t="b">
        <v>0</v>
      </c>
      <c r="BH19" s="83" t="str">
        <f>HYPERLINK("https://pbs.twimg.com/profile_banners/1136418748439678977/1575578444")</f>
        <v>https://pbs.twimg.com/profile_banners/1136418748439678977/1575578444</v>
      </c>
      <c r="BI19" s="76"/>
      <c r="BJ19" s="76" t="s">
        <v>19734</v>
      </c>
      <c r="BK19" s="76" t="b">
        <v>0</v>
      </c>
      <c r="BL19" s="76"/>
      <c r="BM19" s="76" t="s">
        <v>66</v>
      </c>
      <c r="BN19" s="76" t="s">
        <v>19736</v>
      </c>
      <c r="BO19" s="83" t="str">
        <f>HYPERLINK("https://twitter.com/caiohsr0")</f>
        <v>https://twitter.com/caiohsr0</v>
      </c>
      <c r="BP19" s="2"/>
    </row>
    <row r="20" spans="1:68" x14ac:dyDescent="0.25">
      <c r="A20" s="62" t="s">
        <v>237</v>
      </c>
      <c r="B20" s="63"/>
      <c r="C20" s="63"/>
      <c r="D20" s="64"/>
      <c r="E20" s="66"/>
      <c r="F20" s="103" t="str">
        <f>HYPERLINK("https://pbs.twimg.com/profile_images/1691614278732677120/nU5vLENG_normal.jpg")</f>
        <v>https://pbs.twimg.com/profile_images/1691614278732677120/nU5vLENG_normal.jpg</v>
      </c>
      <c r="G20" s="63"/>
      <c r="H20" s="67"/>
      <c r="I20" s="68"/>
      <c r="J20" s="68"/>
      <c r="K20" s="67" t="s">
        <v>19753</v>
      </c>
      <c r="L20" s="71"/>
      <c r="M20" s="72"/>
      <c r="N20" s="72"/>
      <c r="O20" s="73"/>
      <c r="P20" s="74"/>
      <c r="Q20" s="74"/>
      <c r="R20" s="87"/>
      <c r="S20" s="87"/>
      <c r="T20" s="87"/>
      <c r="U20" s="87"/>
      <c r="V20" s="48"/>
      <c r="W20" s="48"/>
      <c r="X20" s="48"/>
      <c r="Y20" s="48"/>
      <c r="Z20" s="47"/>
      <c r="AA20" s="69">
        <v>20</v>
      </c>
      <c r="AB20" s="69"/>
      <c r="AC20" s="70"/>
      <c r="AD20" s="76" t="s">
        <v>17772</v>
      </c>
      <c r="AE20" s="81" t="s">
        <v>17445</v>
      </c>
      <c r="AF20" s="76">
        <v>0</v>
      </c>
      <c r="AG20" s="76">
        <v>33</v>
      </c>
      <c r="AH20" s="76">
        <v>7</v>
      </c>
      <c r="AI20" s="76">
        <v>0</v>
      </c>
      <c r="AJ20" s="76">
        <v>12</v>
      </c>
      <c r="AK20" s="76">
        <v>3</v>
      </c>
      <c r="AL20" s="76" t="b">
        <v>0</v>
      </c>
      <c r="AM20" s="78">
        <v>45154.037349537037</v>
      </c>
      <c r="AN20" s="76"/>
      <c r="AO20" s="76" t="s">
        <v>18778</v>
      </c>
      <c r="AP20" s="76"/>
      <c r="AQ20" s="76"/>
      <c r="AR20" s="76"/>
      <c r="AS20" s="83" t="str">
        <f>HYPERLINK("https://t.co/GoFD0Sv9TN")</f>
        <v>https://t.co/GoFD0Sv9TN</v>
      </c>
      <c r="AT20" s="83" t="str">
        <f>HYPERLINK("https://beacons.ai/investidorgarimpeiro")</f>
        <v>https://beacons.ai/investidorgarimpeiro</v>
      </c>
      <c r="AU20" s="76" t="s">
        <v>19683</v>
      </c>
      <c r="AV20" s="76"/>
      <c r="AW20" s="76"/>
      <c r="AX20" s="76" t="b">
        <v>0</v>
      </c>
      <c r="AY20" s="76"/>
      <c r="AZ20" s="76"/>
      <c r="BA20" s="76" t="b">
        <v>0</v>
      </c>
      <c r="BB20" s="76" t="b">
        <v>1</v>
      </c>
      <c r="BC20" s="76" t="b">
        <v>1</v>
      </c>
      <c r="BD20" s="76" t="b">
        <v>0</v>
      </c>
      <c r="BE20" s="76" t="b">
        <v>0</v>
      </c>
      <c r="BF20" s="76" t="b">
        <v>0</v>
      </c>
      <c r="BG20" s="76" t="b">
        <v>0</v>
      </c>
      <c r="BH20" s="76"/>
      <c r="BI20" s="76"/>
      <c r="BJ20" s="76" t="s">
        <v>19734</v>
      </c>
      <c r="BK20" s="76" t="b">
        <v>0</v>
      </c>
      <c r="BL20" s="76"/>
      <c r="BM20" s="76" t="s">
        <v>66</v>
      </c>
      <c r="BN20" s="76" t="s">
        <v>19736</v>
      </c>
      <c r="BO20" s="83" t="str">
        <f>HYPERLINK("https://twitter.com/garimpeiroinvst")</f>
        <v>https://twitter.com/garimpeiroinvst</v>
      </c>
      <c r="BP20" s="2"/>
    </row>
    <row r="21" spans="1:68" x14ac:dyDescent="0.25">
      <c r="A21" s="62" t="s">
        <v>238</v>
      </c>
      <c r="B21" s="63"/>
      <c r="C21" s="63"/>
      <c r="D21" s="64"/>
      <c r="E21" s="66"/>
      <c r="F21" s="103" t="str">
        <f>HYPERLINK("https://pbs.twimg.com/profile_images/1475637538018709511/EtEm5_E6_normal.jpg")</f>
        <v>https://pbs.twimg.com/profile_images/1475637538018709511/EtEm5_E6_normal.jpg</v>
      </c>
      <c r="G21" s="63"/>
      <c r="H21" s="67"/>
      <c r="I21" s="68"/>
      <c r="J21" s="68"/>
      <c r="K21" s="67" t="s">
        <v>19754</v>
      </c>
      <c r="L21" s="71"/>
      <c r="M21" s="72"/>
      <c r="N21" s="72"/>
      <c r="O21" s="73"/>
      <c r="P21" s="74"/>
      <c r="Q21" s="74"/>
      <c r="R21" s="87"/>
      <c r="S21" s="87"/>
      <c r="T21" s="87"/>
      <c r="U21" s="87"/>
      <c r="V21" s="48"/>
      <c r="W21" s="48"/>
      <c r="X21" s="48"/>
      <c r="Y21" s="48"/>
      <c r="Z21" s="47"/>
      <c r="AA21" s="69">
        <v>21</v>
      </c>
      <c r="AB21" s="69"/>
      <c r="AC21" s="70"/>
      <c r="AD21" s="76" t="s">
        <v>17773</v>
      </c>
      <c r="AE21" s="81" t="s">
        <v>17446</v>
      </c>
      <c r="AF21" s="76">
        <v>45</v>
      </c>
      <c r="AG21" s="76">
        <v>159</v>
      </c>
      <c r="AH21" s="76">
        <v>297</v>
      </c>
      <c r="AI21" s="76">
        <v>1</v>
      </c>
      <c r="AJ21" s="76">
        <v>54</v>
      </c>
      <c r="AK21" s="76">
        <v>260</v>
      </c>
      <c r="AL21" s="76" t="b">
        <v>0</v>
      </c>
      <c r="AM21" s="78">
        <v>44058.628171296295</v>
      </c>
      <c r="AN21" s="76" t="s">
        <v>12013</v>
      </c>
      <c r="AO21" s="76" t="s">
        <v>18779</v>
      </c>
      <c r="AP21" s="83" t="str">
        <f>HYPERLINK("https://t.co/H1tHYv21Wx")</f>
        <v>https://t.co/H1tHYv21Wx</v>
      </c>
      <c r="AQ21" s="83" t="str">
        <f>HYPERLINK("https://bit.ly/GRUPO-VIP-TOTALMENTE-GRATIIS")</f>
        <v>https://bit.ly/GRUPO-VIP-TOTALMENTE-GRATIIS</v>
      </c>
      <c r="AR21" s="76" t="s">
        <v>19305</v>
      </c>
      <c r="AS21" s="76"/>
      <c r="AT21" s="76"/>
      <c r="AU21" s="76"/>
      <c r="AV21" s="76"/>
      <c r="AW21" s="83" t="str">
        <f>HYPERLINK("https://t.co/H1tHYv21Wx")</f>
        <v>https://t.co/H1tHYv21Wx</v>
      </c>
      <c r="AX21" s="76" t="b">
        <v>0</v>
      </c>
      <c r="AY21" s="76"/>
      <c r="AZ21" s="76"/>
      <c r="BA21" s="76" t="b">
        <v>0</v>
      </c>
      <c r="BB21" s="76" t="b">
        <v>1</v>
      </c>
      <c r="BC21" s="76" t="b">
        <v>1</v>
      </c>
      <c r="BD21" s="76" t="b">
        <v>0</v>
      </c>
      <c r="BE21" s="76" t="b">
        <v>0</v>
      </c>
      <c r="BF21" s="76" t="b">
        <v>0</v>
      </c>
      <c r="BG21" s="76" t="b">
        <v>0</v>
      </c>
      <c r="BH21" s="83" t="str">
        <f>HYPERLINK("https://pbs.twimg.com/profile_banners/1294651137245806592/1640278478")</f>
        <v>https://pbs.twimg.com/profile_banners/1294651137245806592/1640278478</v>
      </c>
      <c r="BI21" s="76"/>
      <c r="BJ21" s="76" t="s">
        <v>19734</v>
      </c>
      <c r="BK21" s="76" t="b">
        <v>0</v>
      </c>
      <c r="BL21" s="76"/>
      <c r="BM21" s="76" t="s">
        <v>66</v>
      </c>
      <c r="BN21" s="76" t="s">
        <v>19736</v>
      </c>
      <c r="BO21" s="83" t="str">
        <f>HYPERLINK("https://twitter.com/da_randel")</f>
        <v>https://twitter.com/da_randel</v>
      </c>
      <c r="BP21" s="2"/>
    </row>
    <row r="22" spans="1:68" x14ac:dyDescent="0.25">
      <c r="A22" s="62" t="s">
        <v>239</v>
      </c>
      <c r="B22" s="63"/>
      <c r="C22" s="63"/>
      <c r="D22" s="64"/>
      <c r="E22" s="66"/>
      <c r="F22" s="103" t="str">
        <f>HYPERLINK("https://pbs.twimg.com/profile_images/1533150462186295300/XvsnzVW9_normal.jpg")</f>
        <v>https://pbs.twimg.com/profile_images/1533150462186295300/XvsnzVW9_normal.jpg</v>
      </c>
      <c r="G22" s="63"/>
      <c r="H22" s="67"/>
      <c r="I22" s="68"/>
      <c r="J22" s="68"/>
      <c r="K22" s="67" t="s">
        <v>19755</v>
      </c>
      <c r="L22" s="71"/>
      <c r="M22" s="72"/>
      <c r="N22" s="72"/>
      <c r="O22" s="73"/>
      <c r="P22" s="74"/>
      <c r="Q22" s="74"/>
      <c r="R22" s="87"/>
      <c r="S22" s="87"/>
      <c r="T22" s="87"/>
      <c r="U22" s="87"/>
      <c r="V22" s="48"/>
      <c r="W22" s="48"/>
      <c r="X22" s="48"/>
      <c r="Y22" s="48"/>
      <c r="Z22" s="47"/>
      <c r="AA22" s="69">
        <v>22</v>
      </c>
      <c r="AB22" s="69"/>
      <c r="AC22" s="70"/>
      <c r="AD22" s="76" t="s">
        <v>17774</v>
      </c>
      <c r="AE22" s="81" t="s">
        <v>17317</v>
      </c>
      <c r="AF22" s="76">
        <v>6781</v>
      </c>
      <c r="AG22" s="76">
        <v>233</v>
      </c>
      <c r="AH22" s="76">
        <v>12531</v>
      </c>
      <c r="AI22" s="76">
        <v>103</v>
      </c>
      <c r="AJ22" s="76">
        <v>375</v>
      </c>
      <c r="AK22" s="76">
        <v>591</v>
      </c>
      <c r="AL22" s="76" t="b">
        <v>0</v>
      </c>
      <c r="AM22" s="78">
        <v>42940.579259259262</v>
      </c>
      <c r="AN22" s="76" t="s">
        <v>12007</v>
      </c>
      <c r="AO22" s="76" t="s">
        <v>18780</v>
      </c>
      <c r="AP22" s="83" t="str">
        <f>HYPERLINK("https://t.co/6qNo4YblJ4")</f>
        <v>https://t.co/6qNo4YblJ4</v>
      </c>
      <c r="AQ22" s="83" t="str">
        <f>HYPERLINK("https://webitcoin.com.br/")</f>
        <v>https://webitcoin.com.br/</v>
      </c>
      <c r="AR22" s="76" t="s">
        <v>19306</v>
      </c>
      <c r="AS22" s="76"/>
      <c r="AT22" s="76"/>
      <c r="AU22" s="76"/>
      <c r="AV22" s="76"/>
      <c r="AW22" s="83" t="str">
        <f>HYPERLINK("https://t.co/6qNo4YblJ4")</f>
        <v>https://t.co/6qNo4YblJ4</v>
      </c>
      <c r="AX22" s="76" t="b">
        <v>0</v>
      </c>
      <c r="AY22" s="76"/>
      <c r="AZ22" s="76"/>
      <c r="BA22" s="76" t="b">
        <v>0</v>
      </c>
      <c r="BB22" s="76" t="b">
        <v>1</v>
      </c>
      <c r="BC22" s="76" t="b">
        <v>0</v>
      </c>
      <c r="BD22" s="76" t="b">
        <v>0</v>
      </c>
      <c r="BE22" s="76" t="b">
        <v>1</v>
      </c>
      <c r="BF22" s="76" t="b">
        <v>0</v>
      </c>
      <c r="BG22" s="76" t="b">
        <v>0</v>
      </c>
      <c r="BH22" s="83" t="str">
        <f>HYPERLINK("https://pbs.twimg.com/profile_banners/889483841840271360/1556928048")</f>
        <v>https://pbs.twimg.com/profile_banners/889483841840271360/1556928048</v>
      </c>
      <c r="BI22" s="76"/>
      <c r="BJ22" s="76" t="s">
        <v>19734</v>
      </c>
      <c r="BK22" s="76" t="b">
        <v>0</v>
      </c>
      <c r="BL22" s="76"/>
      <c r="BM22" s="76" t="s">
        <v>66</v>
      </c>
      <c r="BN22" s="76" t="s">
        <v>19736</v>
      </c>
      <c r="BO22" s="83" t="str">
        <f>HYPERLINK("https://twitter.com/webtcoficial")</f>
        <v>https://twitter.com/webtcoficial</v>
      </c>
      <c r="BP22" s="2"/>
    </row>
    <row r="23" spans="1:68" x14ac:dyDescent="0.25">
      <c r="A23" s="62" t="s">
        <v>240</v>
      </c>
      <c r="B23" s="63"/>
      <c r="C23" s="63"/>
      <c r="D23" s="64"/>
      <c r="E23" s="66"/>
      <c r="F23" s="103" t="str">
        <f>HYPERLINK("https://pbs.twimg.com/profile_images/1657546161262133249/CgHxXjPN_normal.jpg")</f>
        <v>https://pbs.twimg.com/profile_images/1657546161262133249/CgHxXjPN_normal.jpg</v>
      </c>
      <c r="G23" s="63"/>
      <c r="H23" s="67"/>
      <c r="I23" s="68"/>
      <c r="J23" s="68"/>
      <c r="K23" s="67" t="s">
        <v>19756</v>
      </c>
      <c r="L23" s="71"/>
      <c r="M23" s="72"/>
      <c r="N23" s="72"/>
      <c r="O23" s="73"/>
      <c r="P23" s="74"/>
      <c r="Q23" s="74"/>
      <c r="R23" s="87"/>
      <c r="S23" s="87"/>
      <c r="T23" s="87"/>
      <c r="U23" s="87"/>
      <c r="V23" s="48"/>
      <c r="W23" s="48"/>
      <c r="X23" s="48"/>
      <c r="Y23" s="48"/>
      <c r="Z23" s="47"/>
      <c r="AA23" s="69">
        <v>23</v>
      </c>
      <c r="AB23" s="69"/>
      <c r="AC23" s="70"/>
      <c r="AD23" s="76" t="s">
        <v>17775</v>
      </c>
      <c r="AE23" s="81" t="s">
        <v>18323</v>
      </c>
      <c r="AF23" s="76">
        <v>12694</v>
      </c>
      <c r="AG23" s="76">
        <v>100</v>
      </c>
      <c r="AH23" s="76">
        <v>54137</v>
      </c>
      <c r="AI23" s="76">
        <v>120</v>
      </c>
      <c r="AJ23" s="76">
        <v>186</v>
      </c>
      <c r="AK23" s="76">
        <v>2439</v>
      </c>
      <c r="AL23" s="76" t="b">
        <v>0</v>
      </c>
      <c r="AM23" s="78">
        <v>39888.819965277777</v>
      </c>
      <c r="AN23" s="76" t="s">
        <v>18558</v>
      </c>
      <c r="AO23" s="76" t="s">
        <v>18781</v>
      </c>
      <c r="AP23" s="83" t="str">
        <f>HYPERLINK("https://t.co/nMuaCwRNW6")</f>
        <v>https://t.co/nMuaCwRNW6</v>
      </c>
      <c r="AQ23" s="83" t="str">
        <f>HYPERLINK("http://www.diariodovale.com.br")</f>
        <v>http://www.diariodovale.com.br</v>
      </c>
      <c r="AR23" s="76" t="s">
        <v>19307</v>
      </c>
      <c r="AS23" s="76"/>
      <c r="AT23" s="76"/>
      <c r="AU23" s="76"/>
      <c r="AV23" s="76">
        <v>1.42620003565456E+18</v>
      </c>
      <c r="AW23" s="83" t="str">
        <f>HYPERLINK("https://t.co/nMuaCwRNW6")</f>
        <v>https://t.co/nMuaCwRNW6</v>
      </c>
      <c r="AX23" s="76" t="b">
        <v>0</v>
      </c>
      <c r="AY23" s="76"/>
      <c r="AZ23" s="76"/>
      <c r="BA23" s="76" t="b">
        <v>0</v>
      </c>
      <c r="BB23" s="76" t="b">
        <v>1</v>
      </c>
      <c r="BC23" s="76" t="b">
        <v>0</v>
      </c>
      <c r="BD23" s="76" t="b">
        <v>0</v>
      </c>
      <c r="BE23" s="76" t="b">
        <v>0</v>
      </c>
      <c r="BF23" s="76" t="b">
        <v>0</v>
      </c>
      <c r="BG23" s="76" t="b">
        <v>0</v>
      </c>
      <c r="BH23" s="83" t="str">
        <f>HYPERLINK("https://pbs.twimg.com/profile_banners/24753566/1684024794")</f>
        <v>https://pbs.twimg.com/profile_banners/24753566/1684024794</v>
      </c>
      <c r="BI23" s="76"/>
      <c r="BJ23" s="76" t="s">
        <v>19734</v>
      </c>
      <c r="BK23" s="76" t="b">
        <v>0</v>
      </c>
      <c r="BL23" s="76"/>
      <c r="BM23" s="76" t="s">
        <v>66</v>
      </c>
      <c r="BN23" s="76" t="s">
        <v>19736</v>
      </c>
      <c r="BO23" s="83" t="str">
        <f>HYPERLINK("https://twitter.com/diariodovale")</f>
        <v>https://twitter.com/diariodovale</v>
      </c>
      <c r="BP23" s="2"/>
    </row>
    <row r="24" spans="1:68" x14ac:dyDescent="0.25">
      <c r="A24" s="62" t="s">
        <v>241</v>
      </c>
      <c r="B24" s="63"/>
      <c r="C24" s="63"/>
      <c r="D24" s="64"/>
      <c r="E24" s="66"/>
      <c r="F24" s="103" t="str">
        <f>HYPERLINK("https://pbs.twimg.com/profile_images/1373348274288099328/X9OehZDj_normal.jpg")</f>
        <v>https://pbs.twimg.com/profile_images/1373348274288099328/X9OehZDj_normal.jpg</v>
      </c>
      <c r="G24" s="63"/>
      <c r="H24" s="67"/>
      <c r="I24" s="68"/>
      <c r="J24" s="68"/>
      <c r="K24" s="67" t="s">
        <v>19757</v>
      </c>
      <c r="L24" s="71"/>
      <c r="M24" s="72"/>
      <c r="N24" s="72"/>
      <c r="O24" s="73"/>
      <c r="P24" s="74"/>
      <c r="Q24" s="74"/>
      <c r="R24" s="87"/>
      <c r="S24" s="87"/>
      <c r="T24" s="87"/>
      <c r="U24" s="87"/>
      <c r="V24" s="48"/>
      <c r="W24" s="48"/>
      <c r="X24" s="48"/>
      <c r="Y24" s="48"/>
      <c r="Z24" s="47"/>
      <c r="AA24" s="69">
        <v>24</v>
      </c>
      <c r="AB24" s="69"/>
      <c r="AC24" s="70"/>
      <c r="AD24" s="76" t="s">
        <v>17776</v>
      </c>
      <c r="AE24" s="81" t="s">
        <v>17447</v>
      </c>
      <c r="AF24" s="76">
        <v>178</v>
      </c>
      <c r="AG24" s="76">
        <v>137</v>
      </c>
      <c r="AH24" s="76">
        <v>17421</v>
      </c>
      <c r="AI24" s="76">
        <v>4</v>
      </c>
      <c r="AJ24" s="76">
        <v>16</v>
      </c>
      <c r="AK24" s="76">
        <v>245</v>
      </c>
      <c r="AL24" s="76" t="b">
        <v>0</v>
      </c>
      <c r="AM24" s="78">
        <v>44259.75640046296</v>
      </c>
      <c r="AN24" s="76" t="s">
        <v>12007</v>
      </c>
      <c r="AO24" s="76" t="s">
        <v>18782</v>
      </c>
      <c r="AP24" s="83" t="str">
        <f>HYPERLINK("https://t.co/QXlH6gxih5")</f>
        <v>https://t.co/QXlH6gxih5</v>
      </c>
      <c r="AQ24" s="83" t="str">
        <f>HYPERLINK("https://brasil.perfil.com/")</f>
        <v>https://brasil.perfil.com/</v>
      </c>
      <c r="AR24" s="76" t="s">
        <v>19308</v>
      </c>
      <c r="AS24" s="76"/>
      <c r="AT24" s="76"/>
      <c r="AU24" s="76"/>
      <c r="AV24" s="76"/>
      <c r="AW24" s="83" t="str">
        <f>HYPERLINK("https://t.co/QXlH6gxih5")</f>
        <v>https://t.co/QXlH6gxih5</v>
      </c>
      <c r="AX24" s="76" t="b">
        <v>0</v>
      </c>
      <c r="AY24" s="76"/>
      <c r="AZ24" s="76"/>
      <c r="BA24" s="76" t="b">
        <v>0</v>
      </c>
      <c r="BB24" s="76" t="b">
        <v>1</v>
      </c>
      <c r="BC24" s="76" t="b">
        <v>1</v>
      </c>
      <c r="BD24" s="76" t="b">
        <v>0</v>
      </c>
      <c r="BE24" s="76" t="b">
        <v>1</v>
      </c>
      <c r="BF24" s="76" t="b">
        <v>0</v>
      </c>
      <c r="BG24" s="76" t="b">
        <v>0</v>
      </c>
      <c r="BH24" s="83" t="str">
        <f>HYPERLINK("https://pbs.twimg.com/profile_banners/1367537445529657353/1615406722")</f>
        <v>https://pbs.twimg.com/profile_banners/1367537445529657353/1615406722</v>
      </c>
      <c r="BI24" s="76"/>
      <c r="BJ24" s="76" t="s">
        <v>19734</v>
      </c>
      <c r="BK24" s="76" t="b">
        <v>0</v>
      </c>
      <c r="BL24" s="76"/>
      <c r="BM24" s="76" t="s">
        <v>66</v>
      </c>
      <c r="BN24" s="76" t="s">
        <v>19736</v>
      </c>
      <c r="BO24" s="83" t="str">
        <f>HYPERLINK("https://twitter.com/perfilcombrasil")</f>
        <v>https://twitter.com/perfilcombrasil</v>
      </c>
      <c r="BP24" s="2"/>
    </row>
    <row r="25" spans="1:68" x14ac:dyDescent="0.25">
      <c r="A25" s="62" t="s">
        <v>242</v>
      </c>
      <c r="B25" s="63"/>
      <c r="C25" s="63"/>
      <c r="D25" s="64"/>
      <c r="E25" s="66"/>
      <c r="F25" s="103" t="str">
        <f>HYPERLINK("https://pbs.twimg.com/profile_images/1662611880504860674/s0H1WOC9_normal.jpg")</f>
        <v>https://pbs.twimg.com/profile_images/1662611880504860674/s0H1WOC9_normal.jpg</v>
      </c>
      <c r="G25" s="63"/>
      <c r="H25" s="67"/>
      <c r="I25" s="68"/>
      <c r="J25" s="68"/>
      <c r="K25" s="67" t="s">
        <v>19758</v>
      </c>
      <c r="L25" s="71"/>
      <c r="M25" s="72"/>
      <c r="N25" s="72"/>
      <c r="O25" s="73"/>
      <c r="P25" s="74"/>
      <c r="Q25" s="74"/>
      <c r="R25" s="87"/>
      <c r="S25" s="87"/>
      <c r="T25" s="87"/>
      <c r="U25" s="87"/>
      <c r="V25" s="48"/>
      <c r="W25" s="48"/>
      <c r="X25" s="48"/>
      <c r="Y25" s="48"/>
      <c r="Z25" s="47"/>
      <c r="AA25" s="69">
        <v>25</v>
      </c>
      <c r="AB25" s="69"/>
      <c r="AC25" s="70"/>
      <c r="AD25" s="76" t="s">
        <v>17777</v>
      </c>
      <c r="AE25" s="81" t="s">
        <v>17448</v>
      </c>
      <c r="AF25" s="76">
        <v>24</v>
      </c>
      <c r="AG25" s="76">
        <v>40</v>
      </c>
      <c r="AH25" s="76">
        <v>99</v>
      </c>
      <c r="AI25" s="76">
        <v>0</v>
      </c>
      <c r="AJ25" s="76">
        <v>483</v>
      </c>
      <c r="AK25" s="76">
        <v>65</v>
      </c>
      <c r="AL25" s="76" t="b">
        <v>0</v>
      </c>
      <c r="AM25" s="78">
        <v>45074.0002662037</v>
      </c>
      <c r="AN25" s="76"/>
      <c r="AO25" s="76" t="s">
        <v>18783</v>
      </c>
      <c r="AP25" s="83" t="str">
        <f>HYPERLINK("https://t.co/r0VhdiN5co")</f>
        <v>https://t.co/r0VhdiN5co</v>
      </c>
      <c r="AQ25" s="83" t="str">
        <f>HYPERLINK("https://youtu.be/O4oJIG7SpHM")</f>
        <v>https://youtu.be/O4oJIG7SpHM</v>
      </c>
      <c r="AR25" s="76" t="s">
        <v>19309</v>
      </c>
      <c r="AS25" s="83" t="str">
        <f>HYPERLINK("https://t.co/95hiPF7Mv9")</f>
        <v>https://t.co/95hiPF7Mv9</v>
      </c>
      <c r="AT25" s="83" t="str">
        <f>HYPERLINK("https://youtube.com/@DiegoTrindadeb3")</f>
        <v>https://youtube.com/@DiegoTrindadeb3</v>
      </c>
      <c r="AU25" s="76" t="s">
        <v>19684</v>
      </c>
      <c r="AV25" s="76"/>
      <c r="AW25" s="83" t="str">
        <f>HYPERLINK("https://t.co/r0VhdiN5co")</f>
        <v>https://t.co/r0VhdiN5co</v>
      </c>
      <c r="AX25" s="76" t="b">
        <v>0</v>
      </c>
      <c r="AY25" s="76"/>
      <c r="AZ25" s="76"/>
      <c r="BA25" s="76" t="b">
        <v>0</v>
      </c>
      <c r="BB25" s="76" t="b">
        <v>1</v>
      </c>
      <c r="BC25" s="76" t="b">
        <v>1</v>
      </c>
      <c r="BD25" s="76" t="b">
        <v>0</v>
      </c>
      <c r="BE25" s="76" t="b">
        <v>0</v>
      </c>
      <c r="BF25" s="76" t="b">
        <v>0</v>
      </c>
      <c r="BG25" s="76" t="b">
        <v>0</v>
      </c>
      <c r="BH25" s="83" t="str">
        <f>HYPERLINK("https://pbs.twimg.com/profile_banners/1662609376874577920/1685233243")</f>
        <v>https://pbs.twimg.com/profile_banners/1662609376874577920/1685233243</v>
      </c>
      <c r="BI25" s="76"/>
      <c r="BJ25" s="76" t="s">
        <v>19734</v>
      </c>
      <c r="BK25" s="76" t="b">
        <v>0</v>
      </c>
      <c r="BL25" s="76"/>
      <c r="BM25" s="76" t="s">
        <v>66</v>
      </c>
      <c r="BN25" s="76" t="s">
        <v>19736</v>
      </c>
      <c r="BO25" s="83" t="str">
        <f>HYPERLINK("https://twitter.com/diegotraderb3")</f>
        <v>https://twitter.com/diegotraderb3</v>
      </c>
      <c r="BP25" s="2"/>
    </row>
    <row r="26" spans="1:68" x14ac:dyDescent="0.25">
      <c r="A26" s="62" t="s">
        <v>243</v>
      </c>
      <c r="B26" s="63"/>
      <c r="C26" s="63"/>
      <c r="D26" s="64"/>
      <c r="E26" s="66"/>
      <c r="F26" s="103" t="str">
        <f>HYPERLINK("https://pbs.twimg.com/profile_images/1672219707045298176/9lDVeZfU_normal.png")</f>
        <v>https://pbs.twimg.com/profile_images/1672219707045298176/9lDVeZfU_normal.png</v>
      </c>
      <c r="G26" s="63"/>
      <c r="H26" s="67"/>
      <c r="I26" s="68"/>
      <c r="J26" s="68"/>
      <c r="K26" s="67" t="s">
        <v>19759</v>
      </c>
      <c r="L26" s="71"/>
      <c r="M26" s="72"/>
      <c r="N26" s="72"/>
      <c r="O26" s="73"/>
      <c r="P26" s="74"/>
      <c r="Q26" s="74"/>
      <c r="R26" s="87"/>
      <c r="S26" s="87"/>
      <c r="T26" s="87"/>
      <c r="U26" s="87"/>
      <c r="V26" s="48"/>
      <c r="W26" s="48"/>
      <c r="X26" s="48"/>
      <c r="Y26" s="48"/>
      <c r="Z26" s="47"/>
      <c r="AA26" s="69">
        <v>26</v>
      </c>
      <c r="AB26" s="69"/>
      <c r="AC26" s="70"/>
      <c r="AD26" s="76" t="s">
        <v>243</v>
      </c>
      <c r="AE26" s="81" t="s">
        <v>17449</v>
      </c>
      <c r="AF26" s="76">
        <v>4333</v>
      </c>
      <c r="AG26" s="76">
        <v>2237</v>
      </c>
      <c r="AH26" s="76">
        <v>18763</v>
      </c>
      <c r="AI26" s="76">
        <v>83</v>
      </c>
      <c r="AJ26" s="76">
        <v>1876</v>
      </c>
      <c r="AK26" s="76">
        <v>4620</v>
      </c>
      <c r="AL26" s="76" t="b">
        <v>0</v>
      </c>
      <c r="AM26" s="78">
        <v>42974.659178240741</v>
      </c>
      <c r="AN26" s="76" t="s">
        <v>12013</v>
      </c>
      <c r="AO26" s="76" t="s">
        <v>18784</v>
      </c>
      <c r="AP26" s="83" t="str">
        <f>HYPERLINK("https://t.co/aT45fkKIkB")</f>
        <v>https://t.co/aT45fkKIkB</v>
      </c>
      <c r="AQ26" s="83" t="str">
        <f>HYPERLINK("http://www.epbr.com.br")</f>
        <v>http://www.epbr.com.br</v>
      </c>
      <c r="AR26" s="76" t="s">
        <v>19310</v>
      </c>
      <c r="AS26" s="83" t="str">
        <f>HYPERLINK("https://t.co/bijQLKADF7")</f>
        <v>https://t.co/bijQLKADF7</v>
      </c>
      <c r="AT26" s="83" t="str">
        <f>HYPERLINK("http://t.me/alerta_epbr")</f>
        <v>http://t.me/alerta_epbr</v>
      </c>
      <c r="AU26" s="76" t="s">
        <v>19685</v>
      </c>
      <c r="AV26" s="76"/>
      <c r="AW26" s="83" t="str">
        <f>HYPERLINK("https://t.co/aT45fkKIkB")</f>
        <v>https://t.co/aT45fkKIkB</v>
      </c>
      <c r="AX26" s="76" t="b">
        <v>0</v>
      </c>
      <c r="AY26" s="76"/>
      <c r="AZ26" s="76"/>
      <c r="BA26" s="76" t="b">
        <v>0</v>
      </c>
      <c r="BB26" s="76" t="b">
        <v>1</v>
      </c>
      <c r="BC26" s="76" t="b">
        <v>0</v>
      </c>
      <c r="BD26" s="76" t="b">
        <v>0</v>
      </c>
      <c r="BE26" s="76" t="b">
        <v>1</v>
      </c>
      <c r="BF26" s="76" t="b">
        <v>0</v>
      </c>
      <c r="BG26" s="76" t="b">
        <v>0</v>
      </c>
      <c r="BH26" s="83" t="str">
        <f>HYPERLINK("https://pbs.twimg.com/profile_banners/901833989606051840/1695822204")</f>
        <v>https://pbs.twimg.com/profile_banners/901833989606051840/1695822204</v>
      </c>
      <c r="BI26" s="76"/>
      <c r="BJ26" s="76" t="s">
        <v>19734</v>
      </c>
      <c r="BK26" s="76" t="b">
        <v>0</v>
      </c>
      <c r="BL26" s="76"/>
      <c r="BM26" s="76" t="s">
        <v>66</v>
      </c>
      <c r="BN26" s="76" t="s">
        <v>19736</v>
      </c>
      <c r="BO26" s="83" t="str">
        <f>HYPERLINK("https://twitter.com/epbr")</f>
        <v>https://twitter.com/epbr</v>
      </c>
      <c r="BP26" s="2"/>
    </row>
    <row r="27" spans="1:68" x14ac:dyDescent="0.25">
      <c r="A27" s="62" t="s">
        <v>732</v>
      </c>
      <c r="B27" s="63"/>
      <c r="C27" s="63"/>
      <c r="D27" s="64"/>
      <c r="E27" s="66"/>
      <c r="F27" s="103" t="str">
        <f>HYPERLINK("https://pbs.twimg.com/profile_images/799597328730558464/ks3kVnp-_normal.jpg")</f>
        <v>https://pbs.twimg.com/profile_images/799597328730558464/ks3kVnp-_normal.jpg</v>
      </c>
      <c r="G27" s="63"/>
      <c r="H27" s="67"/>
      <c r="I27" s="68"/>
      <c r="J27" s="68"/>
      <c r="K27" s="67" t="s">
        <v>19760</v>
      </c>
      <c r="L27" s="71"/>
      <c r="M27" s="72"/>
      <c r="N27" s="72"/>
      <c r="O27" s="73"/>
      <c r="P27" s="74"/>
      <c r="Q27" s="74"/>
      <c r="R27" s="87"/>
      <c r="S27" s="87"/>
      <c r="T27" s="87"/>
      <c r="U27" s="87"/>
      <c r="V27" s="48"/>
      <c r="W27" s="48"/>
      <c r="X27" s="48"/>
      <c r="Y27" s="48"/>
      <c r="Z27" s="47"/>
      <c r="AA27" s="69">
        <v>27</v>
      </c>
      <c r="AB27" s="69"/>
      <c r="AC27" s="70"/>
      <c r="AD27" s="76" t="s">
        <v>17778</v>
      </c>
      <c r="AE27" s="81" t="s">
        <v>18324</v>
      </c>
      <c r="AF27" s="76">
        <v>505037</v>
      </c>
      <c r="AG27" s="76">
        <v>47</v>
      </c>
      <c r="AH27" s="76">
        <v>18852</v>
      </c>
      <c r="AI27" s="76">
        <v>1879</v>
      </c>
      <c r="AJ27" s="76">
        <v>534</v>
      </c>
      <c r="AK27" s="76">
        <v>3418</v>
      </c>
      <c r="AL27" s="76" t="b">
        <v>0</v>
      </c>
      <c r="AM27" s="78">
        <v>39970.273379629631</v>
      </c>
      <c r="AN27" s="76" t="s">
        <v>12007</v>
      </c>
      <c r="AO27" s="76" t="s">
        <v>18785</v>
      </c>
      <c r="AP27" s="83" t="str">
        <f>HYPERLINK("https://t.co/1Ftq9noA2I")</f>
        <v>https://t.co/1Ftq9noA2I</v>
      </c>
      <c r="AQ27" s="83" t="str">
        <f>HYPERLINK("http://www.petrobras.com.br")</f>
        <v>http://www.petrobras.com.br</v>
      </c>
      <c r="AR27" s="76" t="s">
        <v>19311</v>
      </c>
      <c r="AS27" s="76"/>
      <c r="AT27" s="76"/>
      <c r="AU27" s="76"/>
      <c r="AV27" s="76"/>
      <c r="AW27" s="83" t="str">
        <f>HYPERLINK("https://t.co/1Ftq9noA2I")</f>
        <v>https://t.co/1Ftq9noA2I</v>
      </c>
      <c r="AX27" s="76" t="b">
        <v>0</v>
      </c>
      <c r="AY27" s="76"/>
      <c r="AZ27" s="76"/>
      <c r="BA27" s="76" t="b">
        <v>0</v>
      </c>
      <c r="BB27" s="76" t="b">
        <v>1</v>
      </c>
      <c r="BC27" s="76" t="b">
        <v>0</v>
      </c>
      <c r="BD27" s="76" t="b">
        <v>0</v>
      </c>
      <c r="BE27" s="76" t="b">
        <v>1</v>
      </c>
      <c r="BF27" s="76" t="b">
        <v>0</v>
      </c>
      <c r="BG27" s="76" t="b">
        <v>0</v>
      </c>
      <c r="BH27" s="83" t="str">
        <f>HYPERLINK("https://pbs.twimg.com/profile_banners/45083460/1691078313")</f>
        <v>https://pbs.twimg.com/profile_banners/45083460/1691078313</v>
      </c>
      <c r="BI27" s="76"/>
      <c r="BJ27" s="76" t="s">
        <v>19734</v>
      </c>
      <c r="BK27" s="76" t="b">
        <v>0</v>
      </c>
      <c r="BL27" s="76"/>
      <c r="BM27" s="76" t="s">
        <v>65</v>
      </c>
      <c r="BN27" s="76" t="s">
        <v>19736</v>
      </c>
      <c r="BO27" s="83" t="str">
        <f>HYPERLINK("https://twitter.com/petrobras")</f>
        <v>https://twitter.com/petrobras</v>
      </c>
      <c r="BP27" s="2"/>
    </row>
    <row r="28" spans="1:68" x14ac:dyDescent="0.25">
      <c r="A28" s="62" t="s">
        <v>244</v>
      </c>
      <c r="B28" s="63"/>
      <c r="C28" s="63"/>
      <c r="D28" s="64"/>
      <c r="E28" s="66"/>
      <c r="F28" s="103" t="str">
        <f>HYPERLINK("https://pbs.twimg.com/profile_images/1677000136701124608/bkma_mNv_normal.jpg")</f>
        <v>https://pbs.twimg.com/profile_images/1677000136701124608/bkma_mNv_normal.jpg</v>
      </c>
      <c r="G28" s="63"/>
      <c r="H28" s="67"/>
      <c r="I28" s="68"/>
      <c r="J28" s="68"/>
      <c r="K28" s="67" t="s">
        <v>19761</v>
      </c>
      <c r="L28" s="71"/>
      <c r="M28" s="72"/>
      <c r="N28" s="72"/>
      <c r="O28" s="73"/>
      <c r="P28" s="74"/>
      <c r="Q28" s="74"/>
      <c r="R28" s="87"/>
      <c r="S28" s="87"/>
      <c r="T28" s="87"/>
      <c r="U28" s="87"/>
      <c r="V28" s="48"/>
      <c r="W28" s="48"/>
      <c r="X28" s="48"/>
      <c r="Y28" s="48"/>
      <c r="Z28" s="47"/>
      <c r="AA28" s="69">
        <v>28</v>
      </c>
      <c r="AB28" s="69"/>
      <c r="AC28" s="70"/>
      <c r="AD28" s="76" t="s">
        <v>17779</v>
      </c>
      <c r="AE28" s="81" t="s">
        <v>17318</v>
      </c>
      <c r="AF28" s="76">
        <v>720</v>
      </c>
      <c r="AG28" s="76">
        <v>461</v>
      </c>
      <c r="AH28" s="76">
        <v>18041</v>
      </c>
      <c r="AI28" s="76">
        <v>9</v>
      </c>
      <c r="AJ28" s="76">
        <v>52323</v>
      </c>
      <c r="AK28" s="76">
        <v>366</v>
      </c>
      <c r="AL28" s="76" t="b">
        <v>0</v>
      </c>
      <c r="AM28" s="78">
        <v>43577.851944444446</v>
      </c>
      <c r="AN28" s="76" t="s">
        <v>18559</v>
      </c>
      <c r="AO28" s="83" t="str">
        <f>HYPERLINK("https://t.co/xIxV1zsRqu")</f>
        <v>https://t.co/xIxV1zsRqu</v>
      </c>
      <c r="AP28" s="76"/>
      <c r="AQ28" s="76"/>
      <c r="AR28" s="76"/>
      <c r="AS28" s="83" t="str">
        <f>HYPERLINK("https://t.co/xIxV1zsRqu")</f>
        <v>https://t.co/xIxV1zsRqu</v>
      </c>
      <c r="AT28" s="83" t="str">
        <f>HYPERLINK("http://dindinsemfim.blogspot.com")</f>
        <v>http://dindinsemfim.blogspot.com</v>
      </c>
      <c r="AU28" s="76" t="s">
        <v>19686</v>
      </c>
      <c r="AV28" s="76">
        <v>1.70688890491648E+18</v>
      </c>
      <c r="AW28" s="76"/>
      <c r="AX28" s="76" t="b">
        <v>1</v>
      </c>
      <c r="AY28" s="76"/>
      <c r="AZ28" s="76"/>
      <c r="BA28" s="76" t="b">
        <v>0</v>
      </c>
      <c r="BB28" s="76" t="b">
        <v>1</v>
      </c>
      <c r="BC28" s="76" t="b">
        <v>1</v>
      </c>
      <c r="BD28" s="76" t="b">
        <v>0</v>
      </c>
      <c r="BE28" s="76" t="b">
        <v>0</v>
      </c>
      <c r="BF28" s="76" t="b">
        <v>0</v>
      </c>
      <c r="BG28" s="76" t="b">
        <v>0</v>
      </c>
      <c r="BH28" s="83" t="str">
        <f>HYPERLINK("https://pbs.twimg.com/profile_banners/1120423731199975425/1567974890")</f>
        <v>https://pbs.twimg.com/profile_banners/1120423731199975425/1567974890</v>
      </c>
      <c r="BI28" s="76"/>
      <c r="BJ28" s="76" t="s">
        <v>19734</v>
      </c>
      <c r="BK28" s="76" t="b">
        <v>0</v>
      </c>
      <c r="BL28" s="76"/>
      <c r="BM28" s="76" t="s">
        <v>66</v>
      </c>
      <c r="BN28" s="76" t="s">
        <v>19736</v>
      </c>
      <c r="BO28" s="83" t="str">
        <f>HYPERLINK("https://twitter.com/realpauloborba")</f>
        <v>https://twitter.com/realpauloborba</v>
      </c>
      <c r="BP28" s="2"/>
    </row>
    <row r="29" spans="1:68" x14ac:dyDescent="0.25">
      <c r="A29" s="62" t="s">
        <v>245</v>
      </c>
      <c r="B29" s="63"/>
      <c r="C29" s="63"/>
      <c r="D29" s="64"/>
      <c r="E29" s="66"/>
      <c r="F29" s="103" t="str">
        <f>HYPERLINK("https://pbs.twimg.com/profile_images/1565703760176971779/1dLb7reZ_normal.jpg")</f>
        <v>https://pbs.twimg.com/profile_images/1565703760176971779/1dLb7reZ_normal.jpg</v>
      </c>
      <c r="G29" s="63"/>
      <c r="H29" s="67"/>
      <c r="I29" s="68"/>
      <c r="J29" s="68"/>
      <c r="K29" s="67" t="s">
        <v>19762</v>
      </c>
      <c r="L29" s="71"/>
      <c r="M29" s="72"/>
      <c r="N29" s="72"/>
      <c r="O29" s="73"/>
      <c r="P29" s="74"/>
      <c r="Q29" s="74"/>
      <c r="R29" s="87"/>
      <c r="S29" s="87"/>
      <c r="T29" s="87"/>
      <c r="U29" s="87"/>
      <c r="V29" s="48"/>
      <c r="W29" s="48"/>
      <c r="X29" s="48"/>
      <c r="Y29" s="48"/>
      <c r="Z29" s="47"/>
      <c r="AA29" s="69">
        <v>29</v>
      </c>
      <c r="AB29" s="69"/>
      <c r="AC29" s="70"/>
      <c r="AD29" s="76" t="s">
        <v>17780</v>
      </c>
      <c r="AE29" s="81" t="s">
        <v>18325</v>
      </c>
      <c r="AF29" s="76">
        <v>250620</v>
      </c>
      <c r="AG29" s="76">
        <v>13</v>
      </c>
      <c r="AH29" s="76">
        <v>25942</v>
      </c>
      <c r="AI29" s="76">
        <v>925</v>
      </c>
      <c r="AJ29" s="76">
        <v>15542</v>
      </c>
      <c r="AK29" s="76">
        <v>3847</v>
      </c>
      <c r="AL29" s="76" t="b">
        <v>0</v>
      </c>
      <c r="AM29" s="78">
        <v>40128.425300925926</v>
      </c>
      <c r="AN29" s="76"/>
      <c r="AO29" s="76" t="s">
        <v>18786</v>
      </c>
      <c r="AP29" s="76"/>
      <c r="AQ29" s="76"/>
      <c r="AR29" s="76"/>
      <c r="AS29" s="83" t="str">
        <f>HYPERLINK("https://t.co/35jE3G6WvT")</f>
        <v>https://t.co/35jE3G6WvT</v>
      </c>
      <c r="AT29" s="83" t="str">
        <f>HYPERLINK("http://emprc.us/JivZbP")</f>
        <v>http://emprc.us/JivZbP</v>
      </c>
      <c r="AU29" s="76" t="s">
        <v>19687</v>
      </c>
      <c r="AV29" s="76"/>
      <c r="AW29" s="76"/>
      <c r="AX29" s="76" t="b">
        <v>0</v>
      </c>
      <c r="AY29" s="76"/>
      <c r="AZ29" s="76"/>
      <c r="BA29" s="76" t="b">
        <v>1</v>
      </c>
      <c r="BB29" s="76" t="b">
        <v>1</v>
      </c>
      <c r="BC29" s="76" t="b">
        <v>0</v>
      </c>
      <c r="BD29" s="76" t="b">
        <v>0</v>
      </c>
      <c r="BE29" s="76" t="b">
        <v>1</v>
      </c>
      <c r="BF29" s="76" t="b">
        <v>0</v>
      </c>
      <c r="BG29" s="76" t="b">
        <v>0</v>
      </c>
      <c r="BH29" s="83" t="str">
        <f>HYPERLINK("https://pbs.twimg.com/profile_banners/89153011/1662399180")</f>
        <v>https://pbs.twimg.com/profile_banners/89153011/1662399180</v>
      </c>
      <c r="BI29" s="76"/>
      <c r="BJ29" s="76" t="s">
        <v>19734</v>
      </c>
      <c r="BK29" s="76" t="b">
        <v>0</v>
      </c>
      <c r="BL29" s="76"/>
      <c r="BM29" s="76" t="s">
        <v>66</v>
      </c>
      <c r="BN29" s="76" t="s">
        <v>19736</v>
      </c>
      <c r="BO29" s="83" t="str">
        <f>HYPERLINK("https://twitter.com/empiricus")</f>
        <v>https://twitter.com/empiricus</v>
      </c>
      <c r="BP29" s="2"/>
    </row>
    <row r="30" spans="1:68" x14ac:dyDescent="0.25">
      <c r="A30" s="62" t="s">
        <v>246</v>
      </c>
      <c r="B30" s="63"/>
      <c r="C30" s="63"/>
      <c r="D30" s="64"/>
      <c r="E30" s="66"/>
      <c r="F30" s="103" t="str">
        <f>HYPERLINK("https://pbs.twimg.com/profile_images/1703594884643360768/EUby5ZqC_normal.jpg")</f>
        <v>https://pbs.twimg.com/profile_images/1703594884643360768/EUby5ZqC_normal.jpg</v>
      </c>
      <c r="G30" s="63"/>
      <c r="H30" s="67"/>
      <c r="I30" s="68"/>
      <c r="J30" s="68"/>
      <c r="K30" s="67" t="s">
        <v>19763</v>
      </c>
      <c r="L30" s="71"/>
      <c r="M30" s="72"/>
      <c r="N30" s="72"/>
      <c r="O30" s="73"/>
      <c r="P30" s="74"/>
      <c r="Q30" s="74"/>
      <c r="R30" s="87"/>
      <c r="S30" s="87"/>
      <c r="T30" s="87"/>
      <c r="U30" s="87"/>
      <c r="V30" s="48"/>
      <c r="W30" s="48"/>
      <c r="X30" s="48"/>
      <c r="Y30" s="48"/>
      <c r="Z30" s="47"/>
      <c r="AA30" s="69">
        <v>30</v>
      </c>
      <c r="AB30" s="69"/>
      <c r="AC30" s="70"/>
      <c r="AD30" s="76" t="s">
        <v>17781</v>
      </c>
      <c r="AE30" s="81" t="s">
        <v>17450</v>
      </c>
      <c r="AF30" s="76">
        <v>0</v>
      </c>
      <c r="AG30" s="76">
        <v>178</v>
      </c>
      <c r="AH30" s="76">
        <v>154</v>
      </c>
      <c r="AI30" s="76">
        <v>0</v>
      </c>
      <c r="AJ30" s="76">
        <v>182</v>
      </c>
      <c r="AK30" s="76">
        <v>0</v>
      </c>
      <c r="AL30" s="76" t="b">
        <v>0</v>
      </c>
      <c r="AM30" s="78">
        <v>45141.523506944446</v>
      </c>
      <c r="AN30" s="76"/>
      <c r="AO30" s="76" t="s">
        <v>18787</v>
      </c>
      <c r="AP30" s="76"/>
      <c r="AQ30" s="76"/>
      <c r="AR30" s="76"/>
      <c r="AS30" s="76"/>
      <c r="AT30" s="76"/>
      <c r="AU30" s="76"/>
      <c r="AV30" s="76">
        <v>1.7035949087312799E+18</v>
      </c>
      <c r="AW30" s="76"/>
      <c r="AX30" s="76" t="b">
        <v>0</v>
      </c>
      <c r="AY30" s="76"/>
      <c r="AZ30" s="76"/>
      <c r="BA30" s="76" t="b">
        <v>0</v>
      </c>
      <c r="BB30" s="76" t="b">
        <v>1</v>
      </c>
      <c r="BC30" s="76" t="b">
        <v>1</v>
      </c>
      <c r="BD30" s="76" t="b">
        <v>0</v>
      </c>
      <c r="BE30" s="76" t="b">
        <v>0</v>
      </c>
      <c r="BF30" s="76" t="b">
        <v>0</v>
      </c>
      <c r="BG30" s="76" t="b">
        <v>0</v>
      </c>
      <c r="BH30" s="83" t="str">
        <f>HYPERLINK("https://pbs.twimg.com/profile_banners/1687079291312553984/1695003651")</f>
        <v>https://pbs.twimg.com/profile_banners/1687079291312553984/1695003651</v>
      </c>
      <c r="BI30" s="76"/>
      <c r="BJ30" s="76" t="s">
        <v>19734</v>
      </c>
      <c r="BK30" s="76" t="b">
        <v>0</v>
      </c>
      <c r="BL30" s="76"/>
      <c r="BM30" s="76" t="s">
        <v>66</v>
      </c>
      <c r="BN30" s="76" t="s">
        <v>19736</v>
      </c>
      <c r="BO30" s="83" t="str">
        <f>HYPERLINK("https://twitter.com/ellenaddison423")</f>
        <v>https://twitter.com/ellenaddison423</v>
      </c>
      <c r="BP30" s="2"/>
    </row>
    <row r="31" spans="1:68" x14ac:dyDescent="0.25">
      <c r="A31" s="62" t="s">
        <v>596</v>
      </c>
      <c r="B31" s="63"/>
      <c r="C31" s="63"/>
      <c r="D31" s="64"/>
      <c r="E31" s="66"/>
      <c r="F31" s="103" t="str">
        <f>HYPERLINK("https://pbs.twimg.com/profile_images/1685248227619082240/AnFu60oQ_normal.jpg")</f>
        <v>https://pbs.twimg.com/profile_images/1685248227619082240/AnFu60oQ_normal.jpg</v>
      </c>
      <c r="G31" s="63"/>
      <c r="H31" s="67"/>
      <c r="I31" s="68"/>
      <c r="J31" s="68"/>
      <c r="K31" s="67" t="s">
        <v>19764</v>
      </c>
      <c r="L31" s="71"/>
      <c r="M31" s="72"/>
      <c r="N31" s="72"/>
      <c r="O31" s="73"/>
      <c r="P31" s="74"/>
      <c r="Q31" s="74"/>
      <c r="R31" s="87"/>
      <c r="S31" s="87"/>
      <c r="T31" s="87"/>
      <c r="U31" s="87"/>
      <c r="V31" s="48"/>
      <c r="W31" s="48"/>
      <c r="X31" s="48"/>
      <c r="Y31" s="48"/>
      <c r="Z31" s="47"/>
      <c r="AA31" s="69">
        <v>31</v>
      </c>
      <c r="AB31" s="69"/>
      <c r="AC31" s="70"/>
      <c r="AD31" s="76" t="s">
        <v>17782</v>
      </c>
      <c r="AE31" s="81" t="s">
        <v>18326</v>
      </c>
      <c r="AF31" s="76">
        <v>14</v>
      </c>
      <c r="AG31" s="76">
        <v>69</v>
      </c>
      <c r="AH31" s="76">
        <v>89</v>
      </c>
      <c r="AI31" s="76">
        <v>0</v>
      </c>
      <c r="AJ31" s="76">
        <v>13</v>
      </c>
      <c r="AK31" s="76">
        <v>4</v>
      </c>
      <c r="AL31" s="76" t="b">
        <v>0</v>
      </c>
      <c r="AM31" s="78">
        <v>41025.937777777777</v>
      </c>
      <c r="AN31" s="76" t="s">
        <v>18560</v>
      </c>
      <c r="AO31" s="76"/>
      <c r="AP31" s="76"/>
      <c r="AQ31" s="76"/>
      <c r="AR31" s="76"/>
      <c r="AS31" s="76"/>
      <c r="AT31" s="76"/>
      <c r="AU31" s="76"/>
      <c r="AV31" s="76"/>
      <c r="AW31" s="76"/>
      <c r="AX31" s="76" t="b">
        <v>0</v>
      </c>
      <c r="AY31" s="76"/>
      <c r="AZ31" s="76"/>
      <c r="BA31" s="76" t="b">
        <v>0</v>
      </c>
      <c r="BB31" s="76" t="b">
        <v>1</v>
      </c>
      <c r="BC31" s="76" t="b">
        <v>1</v>
      </c>
      <c r="BD31" s="76" t="b">
        <v>0</v>
      </c>
      <c r="BE31" s="76" t="b">
        <v>0</v>
      </c>
      <c r="BF31" s="76" t="b">
        <v>0</v>
      </c>
      <c r="BG31" s="76" t="b">
        <v>0</v>
      </c>
      <c r="BH31" s="76"/>
      <c r="BI31" s="76"/>
      <c r="BJ31" s="76" t="s">
        <v>19734</v>
      </c>
      <c r="BK31" s="76" t="b">
        <v>0</v>
      </c>
      <c r="BL31" s="76"/>
      <c r="BM31" s="76" t="s">
        <v>66</v>
      </c>
      <c r="BN31" s="76" t="s">
        <v>19736</v>
      </c>
      <c r="BO31" s="83" t="str">
        <f>HYPERLINK("https://twitter.com/cleudo_lima")</f>
        <v>https://twitter.com/cleudo_lima</v>
      </c>
      <c r="BP31" s="2"/>
    </row>
    <row r="32" spans="1:68" x14ac:dyDescent="0.25">
      <c r="A32" s="62" t="s">
        <v>247</v>
      </c>
      <c r="B32" s="63"/>
      <c r="C32" s="63"/>
      <c r="D32" s="64"/>
      <c r="E32" s="66"/>
      <c r="F32" s="103" t="str">
        <f>HYPERLINK("https://pbs.twimg.com/profile_images/1212727670/bryeno-msn1_normal.jpg")</f>
        <v>https://pbs.twimg.com/profile_images/1212727670/bryeno-msn1_normal.jpg</v>
      </c>
      <c r="G32" s="63"/>
      <c r="H32" s="67"/>
      <c r="I32" s="68"/>
      <c r="J32" s="68"/>
      <c r="K32" s="67" t="s">
        <v>19765</v>
      </c>
      <c r="L32" s="71"/>
      <c r="M32" s="72"/>
      <c r="N32" s="72"/>
      <c r="O32" s="73"/>
      <c r="P32" s="74"/>
      <c r="Q32" s="74"/>
      <c r="R32" s="87"/>
      <c r="S32" s="87"/>
      <c r="T32" s="87"/>
      <c r="U32" s="87"/>
      <c r="V32" s="48"/>
      <c r="W32" s="48"/>
      <c r="X32" s="48"/>
      <c r="Y32" s="48"/>
      <c r="Z32" s="47"/>
      <c r="AA32" s="69">
        <v>32</v>
      </c>
      <c r="AB32" s="69"/>
      <c r="AC32" s="70"/>
      <c r="AD32" s="76" t="s">
        <v>17783</v>
      </c>
      <c r="AE32" s="81" t="s">
        <v>18327</v>
      </c>
      <c r="AF32" s="76">
        <v>64</v>
      </c>
      <c r="AG32" s="76">
        <v>142</v>
      </c>
      <c r="AH32" s="76">
        <v>206</v>
      </c>
      <c r="AI32" s="76">
        <v>0</v>
      </c>
      <c r="AJ32" s="76">
        <v>958</v>
      </c>
      <c r="AK32" s="76">
        <v>18</v>
      </c>
      <c r="AL32" s="76" t="b">
        <v>0</v>
      </c>
      <c r="AM32" s="78">
        <v>40054.734212962961</v>
      </c>
      <c r="AN32" s="76" t="s">
        <v>18561</v>
      </c>
      <c r="AO32" s="76" t="s">
        <v>18788</v>
      </c>
      <c r="AP32" s="76"/>
      <c r="AQ32" s="76"/>
      <c r="AR32" s="76"/>
      <c r="AS32" s="76"/>
      <c r="AT32" s="76"/>
      <c r="AU32" s="76"/>
      <c r="AV32" s="76"/>
      <c r="AW32" s="76"/>
      <c r="AX32" s="76" t="b">
        <v>0</v>
      </c>
      <c r="AY32" s="76"/>
      <c r="AZ32" s="76"/>
      <c r="BA32" s="76" t="b">
        <v>0</v>
      </c>
      <c r="BB32" s="76" t="b">
        <v>1</v>
      </c>
      <c r="BC32" s="76" t="b">
        <v>1</v>
      </c>
      <c r="BD32" s="76" t="b">
        <v>0</v>
      </c>
      <c r="BE32" s="76" t="b">
        <v>0</v>
      </c>
      <c r="BF32" s="76" t="b">
        <v>0</v>
      </c>
      <c r="BG32" s="76" t="b">
        <v>0</v>
      </c>
      <c r="BH32" s="83" t="str">
        <f>HYPERLINK("https://pbs.twimg.com/profile_banners/69918287/1652627921")</f>
        <v>https://pbs.twimg.com/profile_banners/69918287/1652627921</v>
      </c>
      <c r="BI32" s="76"/>
      <c r="BJ32" s="76" t="s">
        <v>19734</v>
      </c>
      <c r="BK32" s="76" t="b">
        <v>0</v>
      </c>
      <c r="BL32" s="76"/>
      <c r="BM32" s="76" t="s">
        <v>66</v>
      </c>
      <c r="BN32" s="76" t="s">
        <v>19736</v>
      </c>
      <c r="BO32" s="83" t="str">
        <f>HYPERLINK("https://twitter.com/bryeno")</f>
        <v>https://twitter.com/bryeno</v>
      </c>
      <c r="BP32" s="2"/>
    </row>
    <row r="33" spans="1:68" x14ac:dyDescent="0.25">
      <c r="A33" s="62" t="s">
        <v>248</v>
      </c>
      <c r="B33" s="63"/>
      <c r="C33" s="63"/>
      <c r="D33" s="64"/>
      <c r="E33" s="66"/>
      <c r="F33" s="103" t="str">
        <f>HYPERLINK("https://pbs.twimg.com/profile_images/1525656506741534720/Va_fWwiB_normal.jpg")</f>
        <v>https://pbs.twimg.com/profile_images/1525656506741534720/Va_fWwiB_normal.jpg</v>
      </c>
      <c r="G33" s="63"/>
      <c r="H33" s="67"/>
      <c r="I33" s="68"/>
      <c r="J33" s="68"/>
      <c r="K33" s="67" t="s">
        <v>19766</v>
      </c>
      <c r="L33" s="71"/>
      <c r="M33" s="72"/>
      <c r="N33" s="72"/>
      <c r="O33" s="73"/>
      <c r="P33" s="74"/>
      <c r="Q33" s="74"/>
      <c r="R33" s="87"/>
      <c r="S33" s="87"/>
      <c r="T33" s="87"/>
      <c r="U33" s="87"/>
      <c r="V33" s="48"/>
      <c r="W33" s="48"/>
      <c r="X33" s="48"/>
      <c r="Y33" s="48"/>
      <c r="Z33" s="47"/>
      <c r="AA33" s="69">
        <v>33</v>
      </c>
      <c r="AB33" s="69"/>
      <c r="AC33" s="70"/>
      <c r="AD33" s="76" t="s">
        <v>17784</v>
      </c>
      <c r="AE33" s="81" t="s">
        <v>18328</v>
      </c>
      <c r="AF33" s="76">
        <v>1744</v>
      </c>
      <c r="AG33" s="76">
        <v>557</v>
      </c>
      <c r="AH33" s="76">
        <v>11922</v>
      </c>
      <c r="AI33" s="76">
        <v>47</v>
      </c>
      <c r="AJ33" s="76">
        <v>38114</v>
      </c>
      <c r="AK33" s="76">
        <v>1718</v>
      </c>
      <c r="AL33" s="76" t="b">
        <v>0</v>
      </c>
      <c r="AM33" s="78">
        <v>41230.626886574071</v>
      </c>
      <c r="AN33" s="76" t="s">
        <v>18562</v>
      </c>
      <c r="AO33" s="76" t="s">
        <v>18789</v>
      </c>
      <c r="AP33" s="76"/>
      <c r="AQ33" s="76"/>
      <c r="AR33" s="76"/>
      <c r="AS33" s="76"/>
      <c r="AT33" s="76"/>
      <c r="AU33" s="76"/>
      <c r="AV33" s="76">
        <v>1.70675401923279E+18</v>
      </c>
      <c r="AW33" s="76"/>
      <c r="AX33" s="76" t="b">
        <v>0</v>
      </c>
      <c r="AY33" s="76"/>
      <c r="AZ33" s="76"/>
      <c r="BA33" s="76" t="b">
        <v>1</v>
      </c>
      <c r="BB33" s="76" t="b">
        <v>0</v>
      </c>
      <c r="BC33" s="76" t="b">
        <v>0</v>
      </c>
      <c r="BD33" s="76" t="b">
        <v>0</v>
      </c>
      <c r="BE33" s="76" t="b">
        <v>1</v>
      </c>
      <c r="BF33" s="76" t="b">
        <v>0</v>
      </c>
      <c r="BG33" s="76" t="b">
        <v>0</v>
      </c>
      <c r="BH33" s="83" t="str">
        <f>HYPERLINK("https://pbs.twimg.com/profile_banners/953747168/1684175439")</f>
        <v>https://pbs.twimg.com/profile_banners/953747168/1684175439</v>
      </c>
      <c r="BI33" s="76"/>
      <c r="BJ33" s="76" t="s">
        <v>19734</v>
      </c>
      <c r="BK33" s="76" t="b">
        <v>0</v>
      </c>
      <c r="BL33" s="76"/>
      <c r="BM33" s="76" t="s">
        <v>66</v>
      </c>
      <c r="BN33" s="76" t="s">
        <v>19736</v>
      </c>
      <c r="BO33" s="83" t="str">
        <f>HYPERLINK("https://twitter.com/thegemshunter")</f>
        <v>https://twitter.com/thegemshunter</v>
      </c>
      <c r="BP33" s="2"/>
    </row>
    <row r="34" spans="1:68" x14ac:dyDescent="0.25">
      <c r="A34" s="62" t="s">
        <v>733</v>
      </c>
      <c r="B34" s="63"/>
      <c r="C34" s="63"/>
      <c r="D34" s="64"/>
      <c r="E34" s="66"/>
      <c r="F34" s="103" t="str">
        <f>HYPERLINK("https://pbs.twimg.com/profile_images/1126568018224480261/szn7p2rp_normal.png")</f>
        <v>https://pbs.twimg.com/profile_images/1126568018224480261/szn7p2rp_normal.png</v>
      </c>
      <c r="G34" s="63"/>
      <c r="H34" s="67"/>
      <c r="I34" s="68"/>
      <c r="J34" s="68"/>
      <c r="K34" s="67" t="s">
        <v>19767</v>
      </c>
      <c r="L34" s="71"/>
      <c r="M34" s="72"/>
      <c r="N34" s="72"/>
      <c r="O34" s="73"/>
      <c r="P34" s="74"/>
      <c r="Q34" s="74"/>
      <c r="R34" s="87"/>
      <c r="S34" s="87"/>
      <c r="T34" s="87"/>
      <c r="U34" s="87"/>
      <c r="V34" s="48"/>
      <c r="W34" s="48"/>
      <c r="X34" s="48"/>
      <c r="Y34" s="48"/>
      <c r="Z34" s="47"/>
      <c r="AA34" s="69">
        <v>34</v>
      </c>
      <c r="AB34" s="69"/>
      <c r="AC34" s="70"/>
      <c r="AD34" s="76" t="s">
        <v>17785</v>
      </c>
      <c r="AE34" s="81" t="s">
        <v>17319</v>
      </c>
      <c r="AF34" s="76">
        <v>86547</v>
      </c>
      <c r="AG34" s="76">
        <v>95</v>
      </c>
      <c r="AH34" s="76">
        <v>30414</v>
      </c>
      <c r="AI34" s="76">
        <v>508</v>
      </c>
      <c r="AJ34" s="76">
        <v>897</v>
      </c>
      <c r="AK34" s="76">
        <v>10712</v>
      </c>
      <c r="AL34" s="76" t="b">
        <v>0</v>
      </c>
      <c r="AM34" s="78">
        <v>41907.765324074076</v>
      </c>
      <c r="AN34" s="76" t="s">
        <v>18563</v>
      </c>
      <c r="AO34" s="76" t="s">
        <v>18790</v>
      </c>
      <c r="AP34" s="83" t="str">
        <f>HYPERLINK("https://t.co/dDADVANFBF")</f>
        <v>https://t.co/dDADVANFBF</v>
      </c>
      <c r="AQ34" s="83" t="str">
        <f>HYPERLINK("http://www.criptofacil.com")</f>
        <v>http://www.criptofacil.com</v>
      </c>
      <c r="AR34" s="76" t="s">
        <v>19312</v>
      </c>
      <c r="AS34" s="76"/>
      <c r="AT34" s="76"/>
      <c r="AU34" s="76"/>
      <c r="AV34" s="76">
        <v>1.70644366378478E+18</v>
      </c>
      <c r="AW34" s="83" t="str">
        <f>HYPERLINK("https://t.co/dDADVANFBF")</f>
        <v>https://t.co/dDADVANFBF</v>
      </c>
      <c r="AX34" s="76" t="b">
        <v>1</v>
      </c>
      <c r="AY34" s="76"/>
      <c r="AZ34" s="76"/>
      <c r="BA34" s="76" t="b">
        <v>1</v>
      </c>
      <c r="BB34" s="76" t="b">
        <v>1</v>
      </c>
      <c r="BC34" s="76" t="b">
        <v>0</v>
      </c>
      <c r="BD34" s="76" t="b">
        <v>0</v>
      </c>
      <c r="BE34" s="76" t="b">
        <v>1</v>
      </c>
      <c r="BF34" s="76" t="b">
        <v>0</v>
      </c>
      <c r="BG34" s="76" t="b">
        <v>0</v>
      </c>
      <c r="BH34" s="83" t="str">
        <f>HYPERLINK("https://pbs.twimg.com/profile_banners/2832157502/1557430328")</f>
        <v>https://pbs.twimg.com/profile_banners/2832157502/1557430328</v>
      </c>
      <c r="BI34" s="76"/>
      <c r="BJ34" s="76" t="s">
        <v>19734</v>
      </c>
      <c r="BK34" s="76" t="b">
        <v>0</v>
      </c>
      <c r="BL34" s="76"/>
      <c r="BM34" s="76" t="s">
        <v>65</v>
      </c>
      <c r="BN34" s="76" t="s">
        <v>19736</v>
      </c>
      <c r="BO34" s="83" t="str">
        <f>HYPERLINK("https://twitter.com/criptofacil")</f>
        <v>https://twitter.com/criptofacil</v>
      </c>
      <c r="BP34" s="2"/>
    </row>
    <row r="35" spans="1:68" x14ac:dyDescent="0.25">
      <c r="A35" s="62" t="s">
        <v>249</v>
      </c>
      <c r="B35" s="63"/>
      <c r="C35" s="63"/>
      <c r="D35" s="64"/>
      <c r="E35" s="66"/>
      <c r="F35" s="103" t="str">
        <f>HYPERLINK("https://pbs.twimg.com/profile_images/1207742176098234368/FXlB5owL_normal.jpg")</f>
        <v>https://pbs.twimg.com/profile_images/1207742176098234368/FXlB5owL_normal.jpg</v>
      </c>
      <c r="G35" s="63"/>
      <c r="H35" s="67"/>
      <c r="I35" s="68"/>
      <c r="J35" s="68"/>
      <c r="K35" s="67" t="s">
        <v>19768</v>
      </c>
      <c r="L35" s="71"/>
      <c r="M35" s="72"/>
      <c r="N35" s="72"/>
      <c r="O35" s="73"/>
      <c r="P35" s="74"/>
      <c r="Q35" s="74"/>
      <c r="R35" s="87"/>
      <c r="S35" s="87"/>
      <c r="T35" s="87"/>
      <c r="U35" s="87"/>
      <c r="V35" s="48"/>
      <c r="W35" s="48"/>
      <c r="X35" s="48"/>
      <c r="Y35" s="48"/>
      <c r="Z35" s="47"/>
      <c r="AA35" s="69">
        <v>35</v>
      </c>
      <c r="AB35" s="69"/>
      <c r="AC35" s="70"/>
      <c r="AD35" s="76" t="s">
        <v>17786</v>
      </c>
      <c r="AE35" s="81" t="s">
        <v>18329</v>
      </c>
      <c r="AF35" s="76">
        <v>6473</v>
      </c>
      <c r="AG35" s="76">
        <v>383</v>
      </c>
      <c r="AH35" s="76">
        <v>8306</v>
      </c>
      <c r="AI35" s="76">
        <v>98</v>
      </c>
      <c r="AJ35" s="76">
        <v>1074</v>
      </c>
      <c r="AK35" s="76">
        <v>911</v>
      </c>
      <c r="AL35" s="76" t="b">
        <v>0</v>
      </c>
      <c r="AM35" s="78">
        <v>40074.081817129627</v>
      </c>
      <c r="AN35" s="76" t="s">
        <v>18564</v>
      </c>
      <c r="AO35" s="76" t="s">
        <v>18791</v>
      </c>
      <c r="AP35" s="83" t="str">
        <f>HYPERLINK("https://t.co/sgm8n2uOTt")</f>
        <v>https://t.co/sgm8n2uOTt</v>
      </c>
      <c r="AQ35" s="83" t="str">
        <f>HYPERLINK("http://www.academiadodinheiro.com.br")</f>
        <v>http://www.academiadodinheiro.com.br</v>
      </c>
      <c r="AR35" s="76" t="s">
        <v>19313</v>
      </c>
      <c r="AS35" s="76"/>
      <c r="AT35" s="76"/>
      <c r="AU35" s="76"/>
      <c r="AV35" s="76"/>
      <c r="AW35" s="83" t="str">
        <f>HYPERLINK("https://t.co/sgm8n2uOTt")</f>
        <v>https://t.co/sgm8n2uOTt</v>
      </c>
      <c r="AX35" s="76" t="b">
        <v>0</v>
      </c>
      <c r="AY35" s="76"/>
      <c r="AZ35" s="76"/>
      <c r="BA35" s="76" t="b">
        <v>0</v>
      </c>
      <c r="BB35" s="76" t="b">
        <v>1</v>
      </c>
      <c r="BC35" s="76" t="b">
        <v>0</v>
      </c>
      <c r="BD35" s="76" t="b">
        <v>0</v>
      </c>
      <c r="BE35" s="76" t="b">
        <v>1</v>
      </c>
      <c r="BF35" s="76" t="b">
        <v>0</v>
      </c>
      <c r="BG35" s="76" t="b">
        <v>0</v>
      </c>
      <c r="BH35" s="83" t="str">
        <f>HYPERLINK("https://pbs.twimg.com/profile_banners/75173434/1576783149")</f>
        <v>https://pbs.twimg.com/profile_banners/75173434/1576783149</v>
      </c>
      <c r="BI35" s="76"/>
      <c r="BJ35" s="76" t="s">
        <v>19734</v>
      </c>
      <c r="BK35" s="76" t="b">
        <v>0</v>
      </c>
      <c r="BL35" s="76"/>
      <c r="BM35" s="76" t="s">
        <v>66</v>
      </c>
      <c r="BN35" s="76" t="s">
        <v>19736</v>
      </c>
      <c r="BO35" s="83" t="str">
        <f>HYPERLINK("https://twitter.com/calilecalil")</f>
        <v>https://twitter.com/calilecalil</v>
      </c>
      <c r="BP35" s="2"/>
    </row>
    <row r="36" spans="1:68" x14ac:dyDescent="0.25">
      <c r="A36" s="62" t="s">
        <v>250</v>
      </c>
      <c r="B36" s="63"/>
      <c r="C36" s="63"/>
      <c r="D36" s="64"/>
      <c r="E36" s="66"/>
      <c r="F36" s="103" t="str">
        <f>HYPERLINK("https://pbs.twimg.com/profile_images/1626022991124373504/I35NEBPZ_normal.jpg")</f>
        <v>https://pbs.twimg.com/profile_images/1626022991124373504/I35NEBPZ_normal.jpg</v>
      </c>
      <c r="G36" s="63"/>
      <c r="H36" s="67"/>
      <c r="I36" s="68"/>
      <c r="J36" s="68"/>
      <c r="K36" s="67" t="s">
        <v>19769</v>
      </c>
      <c r="L36" s="71"/>
      <c r="M36" s="72"/>
      <c r="N36" s="72"/>
      <c r="O36" s="73"/>
      <c r="P36" s="74"/>
      <c r="Q36" s="74"/>
      <c r="R36" s="87"/>
      <c r="S36" s="87"/>
      <c r="T36" s="87"/>
      <c r="U36" s="87"/>
      <c r="V36" s="48"/>
      <c r="W36" s="48"/>
      <c r="X36" s="48"/>
      <c r="Y36" s="48"/>
      <c r="Z36" s="47"/>
      <c r="AA36" s="69">
        <v>36</v>
      </c>
      <c r="AB36" s="69"/>
      <c r="AC36" s="70"/>
      <c r="AD36" s="76" t="s">
        <v>17787</v>
      </c>
      <c r="AE36" s="81" t="s">
        <v>18330</v>
      </c>
      <c r="AF36" s="76">
        <v>1381</v>
      </c>
      <c r="AG36" s="76">
        <v>113</v>
      </c>
      <c r="AH36" s="76">
        <v>1410</v>
      </c>
      <c r="AI36" s="76">
        <v>6</v>
      </c>
      <c r="AJ36" s="76">
        <v>600</v>
      </c>
      <c r="AK36" s="76">
        <v>259</v>
      </c>
      <c r="AL36" s="76" t="b">
        <v>0</v>
      </c>
      <c r="AM36" s="78">
        <v>40162.65184027778</v>
      </c>
      <c r="AN36" s="76" t="s">
        <v>18565</v>
      </c>
      <c r="AO36" s="76" t="s">
        <v>18792</v>
      </c>
      <c r="AP36" s="83" t="str">
        <f>HYPERLINK("https://t.co/RJ61U4dTlH")</f>
        <v>https://t.co/RJ61U4dTlH</v>
      </c>
      <c r="AQ36" s="83" t="str">
        <f>HYPERLINK("http://www.domenicoadvogados.com.br")</f>
        <v>http://www.domenicoadvogados.com.br</v>
      </c>
      <c r="AR36" s="76" t="s">
        <v>19314</v>
      </c>
      <c r="AS36" s="76"/>
      <c r="AT36" s="76"/>
      <c r="AU36" s="76"/>
      <c r="AV36" s="76"/>
      <c r="AW36" s="83" t="str">
        <f>HYPERLINK("https://t.co/RJ61U4dTlH")</f>
        <v>https://t.co/RJ61U4dTlH</v>
      </c>
      <c r="AX36" s="76" t="b">
        <v>0</v>
      </c>
      <c r="AY36" s="76"/>
      <c r="AZ36" s="76"/>
      <c r="BA36" s="76" t="b">
        <v>0</v>
      </c>
      <c r="BB36" s="76" t="b">
        <v>1</v>
      </c>
      <c r="BC36" s="76" t="b">
        <v>0</v>
      </c>
      <c r="BD36" s="76" t="b">
        <v>0</v>
      </c>
      <c r="BE36" s="76" t="b">
        <v>1</v>
      </c>
      <c r="BF36" s="76" t="b">
        <v>0</v>
      </c>
      <c r="BG36" s="76" t="b">
        <v>0</v>
      </c>
      <c r="BH36" s="83" t="str">
        <f>HYPERLINK("https://pbs.twimg.com/profile_banners/97002987/1676509065")</f>
        <v>https://pbs.twimg.com/profile_banners/97002987/1676509065</v>
      </c>
      <c r="BI36" s="76"/>
      <c r="BJ36" s="76" t="s">
        <v>19734</v>
      </c>
      <c r="BK36" s="76" t="b">
        <v>0</v>
      </c>
      <c r="BL36" s="76"/>
      <c r="BM36" s="76" t="s">
        <v>66</v>
      </c>
      <c r="BN36" s="76" t="s">
        <v>19736</v>
      </c>
      <c r="BO36" s="83" t="str">
        <f>HYPERLINK("https://twitter.com/jacksondomenico")</f>
        <v>https://twitter.com/jacksondomenico</v>
      </c>
      <c r="BP36" s="2"/>
    </row>
    <row r="37" spans="1:68" x14ac:dyDescent="0.25">
      <c r="A37" s="62" t="s">
        <v>251</v>
      </c>
      <c r="B37" s="63"/>
      <c r="C37" s="63"/>
      <c r="D37" s="64"/>
      <c r="E37" s="66"/>
      <c r="F37" s="103" t="str">
        <f>HYPERLINK("https://pbs.twimg.com/profile_images/501810887028899841/z5GOKh8y_normal.jpeg")</f>
        <v>https://pbs.twimg.com/profile_images/501810887028899841/z5GOKh8y_normal.jpeg</v>
      </c>
      <c r="G37" s="63"/>
      <c r="H37" s="67"/>
      <c r="I37" s="68"/>
      <c r="J37" s="68"/>
      <c r="K37" s="67" t="s">
        <v>19770</v>
      </c>
      <c r="L37" s="71"/>
      <c r="M37" s="72"/>
      <c r="N37" s="72"/>
      <c r="O37" s="73"/>
      <c r="P37" s="74"/>
      <c r="Q37" s="74"/>
      <c r="R37" s="87"/>
      <c r="S37" s="87"/>
      <c r="T37" s="87"/>
      <c r="U37" s="87"/>
      <c r="V37" s="48"/>
      <c r="W37" s="48"/>
      <c r="X37" s="48"/>
      <c r="Y37" s="48"/>
      <c r="Z37" s="47"/>
      <c r="AA37" s="69">
        <v>37</v>
      </c>
      <c r="AB37" s="69"/>
      <c r="AC37" s="70"/>
      <c r="AD37" s="76" t="s">
        <v>17788</v>
      </c>
      <c r="AE37" s="81" t="s">
        <v>18331</v>
      </c>
      <c r="AF37" s="76">
        <v>583</v>
      </c>
      <c r="AG37" s="76">
        <v>155</v>
      </c>
      <c r="AH37" s="76">
        <v>14718</v>
      </c>
      <c r="AI37" s="76">
        <v>91</v>
      </c>
      <c r="AJ37" s="76">
        <v>12</v>
      </c>
      <c r="AK37" s="76">
        <v>38</v>
      </c>
      <c r="AL37" s="76" t="b">
        <v>0</v>
      </c>
      <c r="AM37" s="78">
        <v>41867.10428240741</v>
      </c>
      <c r="AN37" s="76"/>
      <c r="AO37" s="76" t="s">
        <v>18793</v>
      </c>
      <c r="AP37" s="76"/>
      <c r="AQ37" s="76"/>
      <c r="AR37" s="76"/>
      <c r="AS37" s="76"/>
      <c r="AT37" s="76"/>
      <c r="AU37" s="76"/>
      <c r="AV37" s="76"/>
      <c r="AW37" s="76"/>
      <c r="AX37" s="76" t="b">
        <v>0</v>
      </c>
      <c r="AY37" s="76"/>
      <c r="AZ37" s="76"/>
      <c r="BA37" s="76" t="b">
        <v>1</v>
      </c>
      <c r="BB37" s="76" t="b">
        <v>1</v>
      </c>
      <c r="BC37" s="76" t="b">
        <v>1</v>
      </c>
      <c r="BD37" s="76" t="b">
        <v>0</v>
      </c>
      <c r="BE37" s="76" t="b">
        <v>0</v>
      </c>
      <c r="BF37" s="76" t="b">
        <v>0</v>
      </c>
      <c r="BG37" s="76" t="b">
        <v>0</v>
      </c>
      <c r="BH37" s="76"/>
      <c r="BI37" s="76"/>
      <c r="BJ37" s="76" t="s">
        <v>19734</v>
      </c>
      <c r="BK37" s="76" t="b">
        <v>0</v>
      </c>
      <c r="BL37" s="76"/>
      <c r="BM37" s="76" t="s">
        <v>66</v>
      </c>
      <c r="BN37" s="76" t="s">
        <v>19736</v>
      </c>
      <c r="BO37" s="83" t="str">
        <f>HYPERLINK("https://twitter.com/mundo_sap")</f>
        <v>https://twitter.com/mundo_sap</v>
      </c>
      <c r="BP37" s="2"/>
    </row>
    <row r="38" spans="1:68" x14ac:dyDescent="0.25">
      <c r="A38" s="62" t="s">
        <v>252</v>
      </c>
      <c r="B38" s="63"/>
      <c r="C38" s="63"/>
      <c r="D38" s="64"/>
      <c r="E38" s="66"/>
      <c r="F38" s="103" t="str">
        <f>HYPERLINK("https://pbs.twimg.com/profile_images/1429460197328793612/8S31RllH_normal.jpg")</f>
        <v>https://pbs.twimg.com/profile_images/1429460197328793612/8S31RllH_normal.jpg</v>
      </c>
      <c r="G38" s="63"/>
      <c r="H38" s="67"/>
      <c r="I38" s="68"/>
      <c r="J38" s="68"/>
      <c r="K38" s="67" t="s">
        <v>19771</v>
      </c>
      <c r="L38" s="71"/>
      <c r="M38" s="72"/>
      <c r="N38" s="72"/>
      <c r="O38" s="73"/>
      <c r="P38" s="74"/>
      <c r="Q38" s="74"/>
      <c r="R38" s="87"/>
      <c r="S38" s="87"/>
      <c r="T38" s="87"/>
      <c r="U38" s="87"/>
      <c r="V38" s="48"/>
      <c r="W38" s="48"/>
      <c r="X38" s="48"/>
      <c r="Y38" s="48"/>
      <c r="Z38" s="47"/>
      <c r="AA38" s="69">
        <v>38</v>
      </c>
      <c r="AB38" s="69"/>
      <c r="AC38" s="70"/>
      <c r="AD38" s="76" t="s">
        <v>17789</v>
      </c>
      <c r="AE38" s="81" t="s">
        <v>17451</v>
      </c>
      <c r="AF38" s="76">
        <v>16</v>
      </c>
      <c r="AG38" s="76">
        <v>327</v>
      </c>
      <c r="AH38" s="76">
        <v>163</v>
      </c>
      <c r="AI38" s="76">
        <v>0</v>
      </c>
      <c r="AJ38" s="76">
        <v>642</v>
      </c>
      <c r="AK38" s="76">
        <v>86</v>
      </c>
      <c r="AL38" s="76" t="b">
        <v>0</v>
      </c>
      <c r="AM38" s="78">
        <v>43519.756550925929</v>
      </c>
      <c r="AN38" s="76"/>
      <c r="AO38" s="76"/>
      <c r="AP38" s="76"/>
      <c r="AQ38" s="76"/>
      <c r="AR38" s="76"/>
      <c r="AS38" s="76"/>
      <c r="AT38" s="76"/>
      <c r="AU38" s="76"/>
      <c r="AV38" s="76"/>
      <c r="AW38" s="76"/>
      <c r="AX38" s="76" t="b">
        <v>0</v>
      </c>
      <c r="AY38" s="76"/>
      <c r="AZ38" s="76"/>
      <c r="BA38" s="76" t="b">
        <v>1</v>
      </c>
      <c r="BB38" s="76" t="b">
        <v>1</v>
      </c>
      <c r="BC38" s="76" t="b">
        <v>1</v>
      </c>
      <c r="BD38" s="76" t="b">
        <v>0</v>
      </c>
      <c r="BE38" s="76" t="b">
        <v>0</v>
      </c>
      <c r="BF38" s="76" t="b">
        <v>0</v>
      </c>
      <c r="BG38" s="76" t="b">
        <v>0</v>
      </c>
      <c r="BH38" s="76"/>
      <c r="BI38" s="76"/>
      <c r="BJ38" s="76" t="s">
        <v>19734</v>
      </c>
      <c r="BK38" s="76" t="b">
        <v>0</v>
      </c>
      <c r="BL38" s="76"/>
      <c r="BM38" s="76" t="s">
        <v>66</v>
      </c>
      <c r="BN38" s="76" t="s">
        <v>19736</v>
      </c>
      <c r="BO38" s="83" t="str">
        <f>HYPERLINK("https://twitter.com/edexprime")</f>
        <v>https://twitter.com/edexprime</v>
      </c>
      <c r="BP38" s="2"/>
    </row>
    <row r="39" spans="1:68" x14ac:dyDescent="0.25">
      <c r="A39" s="62" t="s">
        <v>253</v>
      </c>
      <c r="B39" s="63"/>
      <c r="C39" s="63"/>
      <c r="D39" s="64"/>
      <c r="E39" s="66"/>
      <c r="F39" s="103" t="str">
        <f>HYPERLINK("https://pbs.twimg.com/profile_images/1592682982392872962/gjQPIQM8_normal.jpg")</f>
        <v>https://pbs.twimg.com/profile_images/1592682982392872962/gjQPIQM8_normal.jpg</v>
      </c>
      <c r="G39" s="63"/>
      <c r="H39" s="67"/>
      <c r="I39" s="68"/>
      <c r="J39" s="68"/>
      <c r="K39" s="67" t="s">
        <v>19772</v>
      </c>
      <c r="L39" s="71"/>
      <c r="M39" s="72"/>
      <c r="N39" s="72"/>
      <c r="O39" s="73"/>
      <c r="P39" s="74"/>
      <c r="Q39" s="74"/>
      <c r="R39" s="87"/>
      <c r="S39" s="87"/>
      <c r="T39" s="87"/>
      <c r="U39" s="87"/>
      <c r="V39" s="48"/>
      <c r="W39" s="48"/>
      <c r="X39" s="48"/>
      <c r="Y39" s="48"/>
      <c r="Z39" s="47"/>
      <c r="AA39" s="69">
        <v>39</v>
      </c>
      <c r="AB39" s="69"/>
      <c r="AC39" s="70"/>
      <c r="AD39" s="76" t="s">
        <v>17790</v>
      </c>
      <c r="AE39" s="81" t="s">
        <v>18332</v>
      </c>
      <c r="AF39" s="76">
        <v>44</v>
      </c>
      <c r="AG39" s="76">
        <v>441</v>
      </c>
      <c r="AH39" s="76">
        <v>397</v>
      </c>
      <c r="AI39" s="76">
        <v>0</v>
      </c>
      <c r="AJ39" s="76">
        <v>180</v>
      </c>
      <c r="AK39" s="76">
        <v>42</v>
      </c>
      <c r="AL39" s="76" t="b">
        <v>0</v>
      </c>
      <c r="AM39" s="78">
        <v>41297.388032407405</v>
      </c>
      <c r="AN39" s="76" t="s">
        <v>12014</v>
      </c>
      <c r="AO39" s="76" t="s">
        <v>18794</v>
      </c>
      <c r="AP39" s="76"/>
      <c r="AQ39" s="76"/>
      <c r="AR39" s="76"/>
      <c r="AS39" s="76"/>
      <c r="AT39" s="76"/>
      <c r="AU39" s="76"/>
      <c r="AV39" s="76"/>
      <c r="AW39" s="76"/>
      <c r="AX39" s="76" t="b">
        <v>0</v>
      </c>
      <c r="AY39" s="76"/>
      <c r="AZ39" s="76"/>
      <c r="BA39" s="76" t="b">
        <v>0</v>
      </c>
      <c r="BB39" s="76" t="b">
        <v>1</v>
      </c>
      <c r="BC39" s="76" t="b">
        <v>1</v>
      </c>
      <c r="BD39" s="76" t="b">
        <v>0</v>
      </c>
      <c r="BE39" s="76" t="b">
        <v>1</v>
      </c>
      <c r="BF39" s="76" t="b">
        <v>0</v>
      </c>
      <c r="BG39" s="76" t="b">
        <v>0</v>
      </c>
      <c r="BH39" s="83" t="str">
        <f>HYPERLINK("https://pbs.twimg.com/profile_banners/1113907482/1499889450")</f>
        <v>https://pbs.twimg.com/profile_banners/1113907482/1499889450</v>
      </c>
      <c r="BI39" s="76"/>
      <c r="BJ39" s="76" t="s">
        <v>19734</v>
      </c>
      <c r="BK39" s="76" t="b">
        <v>0</v>
      </c>
      <c r="BL39" s="76"/>
      <c r="BM39" s="76" t="s">
        <v>66</v>
      </c>
      <c r="BN39" s="76" t="s">
        <v>19736</v>
      </c>
      <c r="BO39" s="83" t="str">
        <f>HYPERLINK("https://twitter.com/ale_usilva")</f>
        <v>https://twitter.com/ale_usilva</v>
      </c>
      <c r="BP39" s="2"/>
    </row>
    <row r="40" spans="1:68" x14ac:dyDescent="0.25">
      <c r="A40" s="62" t="s">
        <v>254</v>
      </c>
      <c r="B40" s="63"/>
      <c r="C40" s="63"/>
      <c r="D40" s="64"/>
      <c r="E40" s="66"/>
      <c r="F40" s="103" t="str">
        <f>HYPERLINK("https://pbs.twimg.com/profile_images/1622616993416286209/-XHvA0N7_normal.jpg")</f>
        <v>https://pbs.twimg.com/profile_images/1622616993416286209/-XHvA0N7_normal.jpg</v>
      </c>
      <c r="G40" s="63"/>
      <c r="H40" s="67"/>
      <c r="I40" s="68"/>
      <c r="J40" s="68"/>
      <c r="K40" s="67" t="s">
        <v>19773</v>
      </c>
      <c r="L40" s="71"/>
      <c r="M40" s="72"/>
      <c r="N40" s="72"/>
      <c r="O40" s="73"/>
      <c r="P40" s="74"/>
      <c r="Q40" s="74"/>
      <c r="R40" s="87"/>
      <c r="S40" s="87"/>
      <c r="T40" s="87"/>
      <c r="U40" s="87"/>
      <c r="V40" s="48"/>
      <c r="W40" s="48"/>
      <c r="X40" s="48"/>
      <c r="Y40" s="48"/>
      <c r="Z40" s="47"/>
      <c r="AA40" s="69">
        <v>40</v>
      </c>
      <c r="AB40" s="69"/>
      <c r="AC40" s="70"/>
      <c r="AD40" s="76" t="s">
        <v>17791</v>
      </c>
      <c r="AE40" s="81" t="s">
        <v>17452</v>
      </c>
      <c r="AF40" s="76">
        <v>773</v>
      </c>
      <c r="AG40" s="76">
        <v>28</v>
      </c>
      <c r="AH40" s="76">
        <v>2263</v>
      </c>
      <c r="AI40" s="76">
        <v>15</v>
      </c>
      <c r="AJ40" s="76">
        <v>64</v>
      </c>
      <c r="AK40" s="76">
        <v>434</v>
      </c>
      <c r="AL40" s="76" t="b">
        <v>0</v>
      </c>
      <c r="AM40" s="78">
        <v>43178.583252314813</v>
      </c>
      <c r="AN40" s="76"/>
      <c r="AO40" s="76" t="s">
        <v>18795</v>
      </c>
      <c r="AP40" s="83" t="str">
        <f>HYPERLINK("https://t.co/MzLpPKIGD5")</f>
        <v>https://t.co/MzLpPKIGD5</v>
      </c>
      <c r="AQ40" s="83" t="str">
        <f>HYPERLINK("https://somosnomos.com.br/")</f>
        <v>https://somosnomos.com.br/</v>
      </c>
      <c r="AR40" s="76" t="s">
        <v>19315</v>
      </c>
      <c r="AS40" s="76"/>
      <c r="AT40" s="76"/>
      <c r="AU40" s="76"/>
      <c r="AV40" s="76">
        <v>1.6226162214587599E+18</v>
      </c>
      <c r="AW40" s="83" t="str">
        <f>HYPERLINK("https://t.co/MzLpPKIGD5")</f>
        <v>https://t.co/MzLpPKIGD5</v>
      </c>
      <c r="AX40" s="76" t="b">
        <v>0</v>
      </c>
      <c r="AY40" s="76"/>
      <c r="AZ40" s="76"/>
      <c r="BA40" s="76" t="b">
        <v>0</v>
      </c>
      <c r="BB40" s="76" t="b">
        <v>1</v>
      </c>
      <c r="BC40" s="76" t="b">
        <v>1</v>
      </c>
      <c r="BD40" s="76" t="b">
        <v>0</v>
      </c>
      <c r="BE40" s="76" t="b">
        <v>0</v>
      </c>
      <c r="BF40" s="76" t="b">
        <v>0</v>
      </c>
      <c r="BG40" s="76" t="b">
        <v>0</v>
      </c>
      <c r="BH40" s="83" t="str">
        <f>HYPERLINK("https://pbs.twimg.com/profile_banners/975733599147315201/1675697134")</f>
        <v>https://pbs.twimg.com/profile_banners/975733599147315201/1675697134</v>
      </c>
      <c r="BI40" s="76"/>
      <c r="BJ40" s="76" t="s">
        <v>19734</v>
      </c>
      <c r="BK40" s="76" t="b">
        <v>0</v>
      </c>
      <c r="BL40" s="76"/>
      <c r="BM40" s="76" t="s">
        <v>66</v>
      </c>
      <c r="BN40" s="76" t="s">
        <v>19736</v>
      </c>
      <c r="BO40" s="83" t="str">
        <f>HYPERLINK("https://twitter.com/somosnomos")</f>
        <v>https://twitter.com/somosnomos</v>
      </c>
      <c r="BP40" s="2"/>
    </row>
    <row r="41" spans="1:68" x14ac:dyDescent="0.25">
      <c r="A41" s="62" t="s">
        <v>734</v>
      </c>
      <c r="B41" s="63"/>
      <c r="C41" s="63"/>
      <c r="D41" s="64"/>
      <c r="E41" s="66"/>
      <c r="F41" s="103" t="str">
        <f>HYPERLINK("https://pbs.twimg.com/profile_images/1569296939606282240/Kx0S5Va4_normal.jpg")</f>
        <v>https://pbs.twimg.com/profile_images/1569296939606282240/Kx0S5Va4_normal.jpg</v>
      </c>
      <c r="G41" s="63"/>
      <c r="H41" s="67"/>
      <c r="I41" s="68"/>
      <c r="J41" s="68"/>
      <c r="K41" s="67" t="s">
        <v>19774</v>
      </c>
      <c r="L41" s="71"/>
      <c r="M41" s="72"/>
      <c r="N41" s="72"/>
      <c r="O41" s="73"/>
      <c r="P41" s="74"/>
      <c r="Q41" s="74"/>
      <c r="R41" s="87"/>
      <c r="S41" s="87"/>
      <c r="T41" s="87"/>
      <c r="U41" s="87"/>
      <c r="V41" s="48"/>
      <c r="W41" s="48"/>
      <c r="X41" s="48"/>
      <c r="Y41" s="48"/>
      <c r="Z41" s="47"/>
      <c r="AA41" s="69">
        <v>41</v>
      </c>
      <c r="AB41" s="69"/>
      <c r="AC41" s="70"/>
      <c r="AD41" s="76" t="s">
        <v>17792</v>
      </c>
      <c r="AE41" s="81" t="s">
        <v>18333</v>
      </c>
      <c r="AF41" s="76">
        <v>43296</v>
      </c>
      <c r="AG41" s="76">
        <v>518</v>
      </c>
      <c r="AH41" s="76">
        <v>11005</v>
      </c>
      <c r="AI41" s="76">
        <v>478</v>
      </c>
      <c r="AJ41" s="76">
        <v>11681</v>
      </c>
      <c r="AK41" s="76">
        <v>752</v>
      </c>
      <c r="AL41" s="76" t="b">
        <v>0</v>
      </c>
      <c r="AM41" s="78">
        <v>40236.715243055558</v>
      </c>
      <c r="AN41" s="76" t="s">
        <v>12007</v>
      </c>
      <c r="AO41" s="76" t="s">
        <v>18796</v>
      </c>
      <c r="AP41" s="76"/>
      <c r="AQ41" s="76"/>
      <c r="AR41" s="76"/>
      <c r="AS41" s="76"/>
      <c r="AT41" s="76"/>
      <c r="AU41" s="76"/>
      <c r="AV41" s="76"/>
      <c r="AW41" s="76"/>
      <c r="AX41" s="76" t="b">
        <v>0</v>
      </c>
      <c r="AY41" s="76"/>
      <c r="AZ41" s="76"/>
      <c r="BA41" s="76" t="b">
        <v>0</v>
      </c>
      <c r="BB41" s="76" t="b">
        <v>1</v>
      </c>
      <c r="BC41" s="76" t="b">
        <v>1</v>
      </c>
      <c r="BD41" s="76" t="b">
        <v>0</v>
      </c>
      <c r="BE41" s="76" t="b">
        <v>1</v>
      </c>
      <c r="BF41" s="76" t="b">
        <v>0</v>
      </c>
      <c r="BG41" s="76" t="b">
        <v>0</v>
      </c>
      <c r="BH41" s="76"/>
      <c r="BI41" s="76"/>
      <c r="BJ41" s="76" t="s">
        <v>19734</v>
      </c>
      <c r="BK41" s="76" t="b">
        <v>0</v>
      </c>
      <c r="BL41" s="76"/>
      <c r="BM41" s="76" t="s">
        <v>65</v>
      </c>
      <c r="BN41" s="76" t="s">
        <v>19736</v>
      </c>
      <c r="BO41" s="83" t="str">
        <f>HYPERLINK("https://twitter.com/mfbohm")</f>
        <v>https://twitter.com/mfbohm</v>
      </c>
      <c r="BP41" s="2"/>
    </row>
    <row r="42" spans="1:68" x14ac:dyDescent="0.25">
      <c r="A42" s="62" t="s">
        <v>255</v>
      </c>
      <c r="B42" s="63"/>
      <c r="C42" s="63"/>
      <c r="D42" s="64"/>
      <c r="E42" s="66"/>
      <c r="F42" s="103" t="str">
        <f>HYPERLINK("https://pbs.twimg.com/profile_images/1589698715031420928/9t9O5uhf_normal.jpg")</f>
        <v>https://pbs.twimg.com/profile_images/1589698715031420928/9t9O5uhf_normal.jpg</v>
      </c>
      <c r="G42" s="63"/>
      <c r="H42" s="67"/>
      <c r="I42" s="68"/>
      <c r="J42" s="68"/>
      <c r="K42" s="67" t="s">
        <v>19775</v>
      </c>
      <c r="L42" s="71"/>
      <c r="M42" s="72"/>
      <c r="N42" s="72"/>
      <c r="O42" s="73"/>
      <c r="P42" s="74"/>
      <c r="Q42" s="74"/>
      <c r="R42" s="87"/>
      <c r="S42" s="87"/>
      <c r="T42" s="87"/>
      <c r="U42" s="87"/>
      <c r="V42" s="48"/>
      <c r="W42" s="48"/>
      <c r="X42" s="48"/>
      <c r="Y42" s="48"/>
      <c r="Z42" s="47"/>
      <c r="AA42" s="69">
        <v>42</v>
      </c>
      <c r="AB42" s="69"/>
      <c r="AC42" s="70"/>
      <c r="AD42" s="76" t="s">
        <v>17793</v>
      </c>
      <c r="AE42" s="81" t="s">
        <v>18334</v>
      </c>
      <c r="AF42" s="76">
        <v>2131755</v>
      </c>
      <c r="AG42" s="76">
        <v>2062</v>
      </c>
      <c r="AH42" s="76">
        <v>460593</v>
      </c>
      <c r="AI42" s="76">
        <v>2577</v>
      </c>
      <c r="AJ42" s="76">
        <v>3201</v>
      </c>
      <c r="AK42" s="76">
        <v>145955</v>
      </c>
      <c r="AL42" s="76" t="b">
        <v>0</v>
      </c>
      <c r="AM42" s="78">
        <v>40196.785104166665</v>
      </c>
      <c r="AN42" s="76" t="s">
        <v>12007</v>
      </c>
      <c r="AO42" s="76" t="s">
        <v>18797</v>
      </c>
      <c r="AP42" s="83" t="str">
        <f>HYPERLINK("https://t.co/JZeDYPM5T6")</f>
        <v>https://t.co/JZeDYPM5T6</v>
      </c>
      <c r="AQ42" s="83" t="str">
        <f>HYPERLINK("http://www.jovempan.com.br")</f>
        <v>http://www.jovempan.com.br</v>
      </c>
      <c r="AR42" s="76" t="s">
        <v>19316</v>
      </c>
      <c r="AS42" s="76" t="s">
        <v>19651</v>
      </c>
      <c r="AT42" s="76" t="s">
        <v>19666</v>
      </c>
      <c r="AU42" s="76" t="s">
        <v>19688</v>
      </c>
      <c r="AV42" s="76"/>
      <c r="AW42" s="83" t="str">
        <f>HYPERLINK("https://t.co/JZeDYPM5T6")</f>
        <v>https://t.co/JZeDYPM5T6</v>
      </c>
      <c r="AX42" s="76" t="b">
        <v>1</v>
      </c>
      <c r="AY42" s="76"/>
      <c r="AZ42" s="76"/>
      <c r="BA42" s="76" t="b">
        <v>0</v>
      </c>
      <c r="BB42" s="76" t="b">
        <v>0</v>
      </c>
      <c r="BC42" s="76" t="b">
        <v>0</v>
      </c>
      <c r="BD42" s="76" t="b">
        <v>0</v>
      </c>
      <c r="BE42" s="76" t="b">
        <v>1</v>
      </c>
      <c r="BF42" s="76" t="b">
        <v>0</v>
      </c>
      <c r="BG42" s="76" t="b">
        <v>0</v>
      </c>
      <c r="BH42" s="83" t="str">
        <f>HYPERLINK("https://pbs.twimg.com/profile_banners/106175018/1673539072")</f>
        <v>https://pbs.twimg.com/profile_banners/106175018/1673539072</v>
      </c>
      <c r="BI42" s="76"/>
      <c r="BJ42" s="76" t="s">
        <v>19734</v>
      </c>
      <c r="BK42" s="76" t="b">
        <v>0</v>
      </c>
      <c r="BL42" s="76"/>
      <c r="BM42" s="76" t="s">
        <v>66</v>
      </c>
      <c r="BN42" s="76" t="s">
        <v>19736</v>
      </c>
      <c r="BO42" s="83" t="str">
        <f>HYPERLINK("https://twitter.com/jovempannews")</f>
        <v>https://twitter.com/jovempannews</v>
      </c>
      <c r="BP42" s="2"/>
    </row>
    <row r="43" spans="1:68" x14ac:dyDescent="0.25">
      <c r="A43" s="62" t="s">
        <v>256</v>
      </c>
      <c r="B43" s="63"/>
      <c r="C43" s="63"/>
      <c r="D43" s="64"/>
      <c r="E43" s="66"/>
      <c r="F43" s="103" t="str">
        <f>HYPERLINK("https://pbs.twimg.com/profile_images/1146122928758673410/K0Cc6E4o_normal.png")</f>
        <v>https://pbs.twimg.com/profile_images/1146122928758673410/K0Cc6E4o_normal.png</v>
      </c>
      <c r="G43" s="63"/>
      <c r="H43" s="67"/>
      <c r="I43" s="68"/>
      <c r="J43" s="68"/>
      <c r="K43" s="67" t="s">
        <v>19776</v>
      </c>
      <c r="L43" s="71"/>
      <c r="M43" s="72"/>
      <c r="N43" s="72"/>
      <c r="O43" s="73"/>
      <c r="P43" s="74"/>
      <c r="Q43" s="74"/>
      <c r="R43" s="87"/>
      <c r="S43" s="87"/>
      <c r="T43" s="87"/>
      <c r="U43" s="87"/>
      <c r="V43" s="48"/>
      <c r="W43" s="48"/>
      <c r="X43" s="48"/>
      <c r="Y43" s="48"/>
      <c r="Z43" s="47"/>
      <c r="AA43" s="69">
        <v>43</v>
      </c>
      <c r="AB43" s="69"/>
      <c r="AC43" s="70"/>
      <c r="AD43" s="76" t="s">
        <v>17794</v>
      </c>
      <c r="AE43" s="81" t="s">
        <v>17453</v>
      </c>
      <c r="AF43" s="76">
        <v>39</v>
      </c>
      <c r="AG43" s="76">
        <v>83</v>
      </c>
      <c r="AH43" s="76">
        <v>130</v>
      </c>
      <c r="AI43" s="76">
        <v>1</v>
      </c>
      <c r="AJ43" s="76">
        <v>240</v>
      </c>
      <c r="AK43" s="76">
        <v>52</v>
      </c>
      <c r="AL43" s="76" t="b">
        <v>0</v>
      </c>
      <c r="AM43" s="78">
        <v>43139.578414351854</v>
      </c>
      <c r="AN43" s="76" t="s">
        <v>12040</v>
      </c>
      <c r="AO43" s="76" t="s">
        <v>18798</v>
      </c>
      <c r="AP43" s="83" t="str">
        <f>HYPERLINK("https://t.co/2U97ejCof9")</f>
        <v>https://t.co/2U97ejCof9</v>
      </c>
      <c r="AQ43" s="83" t="str">
        <f>HYPERLINK("https://www.youtube.com/@OVINNYINVEST")</f>
        <v>https://www.youtube.com/@OVINNYINVEST</v>
      </c>
      <c r="AR43" s="76" t="s">
        <v>19317</v>
      </c>
      <c r="AS43" s="83" t="str">
        <f>HYPERLINK("https://t.co/3N9puikSTf")</f>
        <v>https://t.co/3N9puikSTf</v>
      </c>
      <c r="AT43" s="83" t="str">
        <f>HYPERLINK("http://youtube.com/@OVINNYINVEST")</f>
        <v>http://youtube.com/@OVINNYINVEST</v>
      </c>
      <c r="AU43" s="76" t="s">
        <v>19317</v>
      </c>
      <c r="AV43" s="76"/>
      <c r="AW43" s="83" t="str">
        <f>HYPERLINK("https://t.co/2U97ejCof9")</f>
        <v>https://t.co/2U97ejCof9</v>
      </c>
      <c r="AX43" s="76" t="b">
        <v>0</v>
      </c>
      <c r="AY43" s="76"/>
      <c r="AZ43" s="76"/>
      <c r="BA43" s="76" t="b">
        <v>0</v>
      </c>
      <c r="BB43" s="76" t="b">
        <v>1</v>
      </c>
      <c r="BC43" s="76" t="b">
        <v>1</v>
      </c>
      <c r="BD43" s="76" t="b">
        <v>0</v>
      </c>
      <c r="BE43" s="76" t="b">
        <v>1</v>
      </c>
      <c r="BF43" s="76" t="b">
        <v>0</v>
      </c>
      <c r="BG43" s="76" t="b">
        <v>0</v>
      </c>
      <c r="BH43" s="76"/>
      <c r="BI43" s="76"/>
      <c r="BJ43" s="76" t="s">
        <v>19734</v>
      </c>
      <c r="BK43" s="76" t="b">
        <v>0</v>
      </c>
      <c r="BL43" s="76"/>
      <c r="BM43" s="76" t="s">
        <v>66</v>
      </c>
      <c r="BN43" s="76" t="s">
        <v>19736</v>
      </c>
      <c r="BO43" s="83" t="str">
        <f>HYPERLINK("https://twitter.com/vsmolina3")</f>
        <v>https://twitter.com/vsmolina3</v>
      </c>
      <c r="BP43" s="2"/>
    </row>
    <row r="44" spans="1:68" x14ac:dyDescent="0.25">
      <c r="A44" s="62" t="s">
        <v>257</v>
      </c>
      <c r="B44" s="63"/>
      <c r="C44" s="63"/>
      <c r="D44" s="64"/>
      <c r="E44" s="66"/>
      <c r="F44" s="103" t="str">
        <f>HYPERLINK("https://pbs.twimg.com/profile_images/1488714197462564869/xrWJ7Gbl_normal.jpg")</f>
        <v>https://pbs.twimg.com/profile_images/1488714197462564869/xrWJ7Gbl_normal.jpg</v>
      </c>
      <c r="G44" s="63"/>
      <c r="H44" s="67"/>
      <c r="I44" s="68"/>
      <c r="J44" s="68"/>
      <c r="K44" s="67" t="s">
        <v>19777</v>
      </c>
      <c r="L44" s="71"/>
      <c r="M44" s="72"/>
      <c r="N44" s="72"/>
      <c r="O44" s="73"/>
      <c r="P44" s="74"/>
      <c r="Q44" s="74"/>
      <c r="R44" s="87"/>
      <c r="S44" s="87"/>
      <c r="T44" s="87"/>
      <c r="U44" s="87"/>
      <c r="V44" s="48"/>
      <c r="W44" s="48"/>
      <c r="X44" s="48"/>
      <c r="Y44" s="48"/>
      <c r="Z44" s="47"/>
      <c r="AA44" s="69">
        <v>44</v>
      </c>
      <c r="AB44" s="69"/>
      <c r="AC44" s="70"/>
      <c r="AD44" s="76" t="s">
        <v>17795</v>
      </c>
      <c r="AE44" s="81" t="s">
        <v>17454</v>
      </c>
      <c r="AF44" s="76">
        <v>126</v>
      </c>
      <c r="AG44" s="76">
        <v>336</v>
      </c>
      <c r="AH44" s="76">
        <v>2896</v>
      </c>
      <c r="AI44" s="76">
        <v>0</v>
      </c>
      <c r="AJ44" s="76">
        <v>124</v>
      </c>
      <c r="AK44" s="76">
        <v>310</v>
      </c>
      <c r="AL44" s="76" t="b">
        <v>0</v>
      </c>
      <c r="AM44" s="78">
        <v>43123.753449074073</v>
      </c>
      <c r="AN44" s="76" t="s">
        <v>18566</v>
      </c>
      <c r="AO44" s="76" t="s">
        <v>18799</v>
      </c>
      <c r="AP44" s="83" t="str">
        <f>HYPERLINK("https://t.co/Py738Mp18B")</f>
        <v>https://t.co/Py738Mp18B</v>
      </c>
      <c r="AQ44" s="83" t="str">
        <f>HYPERLINK("https://giranoticias.com.br/")</f>
        <v>https://giranoticias.com.br/</v>
      </c>
      <c r="AR44" s="76" t="s">
        <v>19318</v>
      </c>
      <c r="AS44" s="76"/>
      <c r="AT44" s="76"/>
      <c r="AU44" s="76"/>
      <c r="AV44" s="76">
        <v>1.5040974634892401E+18</v>
      </c>
      <c r="AW44" s="83" t="str">
        <f>HYPERLINK("https://t.co/Py738Mp18B")</f>
        <v>https://t.co/Py738Mp18B</v>
      </c>
      <c r="AX44" s="76" t="b">
        <v>0</v>
      </c>
      <c r="AY44" s="76"/>
      <c r="AZ44" s="76"/>
      <c r="BA44" s="76" t="b">
        <v>0</v>
      </c>
      <c r="BB44" s="76" t="b">
        <v>1</v>
      </c>
      <c r="BC44" s="76" t="b">
        <v>0</v>
      </c>
      <c r="BD44" s="76" t="b">
        <v>0</v>
      </c>
      <c r="BE44" s="76" t="b">
        <v>1</v>
      </c>
      <c r="BF44" s="76" t="b">
        <v>0</v>
      </c>
      <c r="BG44" s="76" t="b">
        <v>0</v>
      </c>
      <c r="BH44" s="83" t="str">
        <f>HYPERLINK("https://pbs.twimg.com/profile_banners/955863946086486017/1643772127")</f>
        <v>https://pbs.twimg.com/profile_banners/955863946086486017/1643772127</v>
      </c>
      <c r="BI44" s="76"/>
      <c r="BJ44" s="76" t="s">
        <v>19734</v>
      </c>
      <c r="BK44" s="76" t="b">
        <v>0</v>
      </c>
      <c r="BL44" s="76"/>
      <c r="BM44" s="76" t="s">
        <v>66</v>
      </c>
      <c r="BN44" s="76" t="s">
        <v>19736</v>
      </c>
      <c r="BO44" s="83" t="str">
        <f>HYPERLINK("https://twitter.com/giranoticias")</f>
        <v>https://twitter.com/giranoticias</v>
      </c>
      <c r="BP44" s="2"/>
    </row>
    <row r="45" spans="1:68" x14ac:dyDescent="0.25">
      <c r="A45" s="62" t="s">
        <v>258</v>
      </c>
      <c r="B45" s="63"/>
      <c r="C45" s="63"/>
      <c r="D45" s="64"/>
      <c r="E45" s="66"/>
      <c r="F45" s="103" t="str">
        <f>HYPERLINK("https://pbs.twimg.com/profile_images/1124369318135910400/sOo1NZ1H_normal.png")</f>
        <v>https://pbs.twimg.com/profile_images/1124369318135910400/sOo1NZ1H_normal.png</v>
      </c>
      <c r="G45" s="63"/>
      <c r="H45" s="67"/>
      <c r="I45" s="68"/>
      <c r="J45" s="68"/>
      <c r="K45" s="67" t="s">
        <v>19778</v>
      </c>
      <c r="L45" s="71"/>
      <c r="M45" s="72"/>
      <c r="N45" s="72"/>
      <c r="O45" s="73"/>
      <c r="P45" s="74"/>
      <c r="Q45" s="74"/>
      <c r="R45" s="87"/>
      <c r="S45" s="87"/>
      <c r="T45" s="87"/>
      <c r="U45" s="87"/>
      <c r="V45" s="48"/>
      <c r="W45" s="48"/>
      <c r="X45" s="48"/>
      <c r="Y45" s="48"/>
      <c r="Z45" s="47"/>
      <c r="AA45" s="69">
        <v>45</v>
      </c>
      <c r="AB45" s="69"/>
      <c r="AC45" s="70"/>
      <c r="AD45" s="76" t="s">
        <v>17796</v>
      </c>
      <c r="AE45" s="81" t="s">
        <v>17455</v>
      </c>
      <c r="AF45" s="76">
        <v>20079</v>
      </c>
      <c r="AG45" s="76">
        <v>1247</v>
      </c>
      <c r="AH45" s="76">
        <v>3049</v>
      </c>
      <c r="AI45" s="76">
        <v>217</v>
      </c>
      <c r="AJ45" s="76">
        <v>3577</v>
      </c>
      <c r="AK45" s="76">
        <v>851</v>
      </c>
      <c r="AL45" s="76" t="b">
        <v>0</v>
      </c>
      <c r="AM45" s="78">
        <v>43583.022685185184</v>
      </c>
      <c r="AN45" s="76" t="s">
        <v>18567</v>
      </c>
      <c r="AO45" s="76" t="s">
        <v>18800</v>
      </c>
      <c r="AP45" s="83" t="str">
        <f>HYPERLINK("https://t.co/EW5DBsV0dZ")</f>
        <v>https://t.co/EW5DBsV0dZ</v>
      </c>
      <c r="AQ45" s="83" t="str">
        <f>HYPERLINK("http://escolacripto.com.br")</f>
        <v>http://escolacripto.com.br</v>
      </c>
      <c r="AR45" s="76" t="s">
        <v>19319</v>
      </c>
      <c r="AS45" s="76" t="s">
        <v>19652</v>
      </c>
      <c r="AT45" s="76" t="s">
        <v>19667</v>
      </c>
      <c r="AU45" s="76" t="s">
        <v>19689</v>
      </c>
      <c r="AV45" s="76"/>
      <c r="AW45" s="83" t="str">
        <f>HYPERLINK("https://t.co/EW5DBsV0dZ")</f>
        <v>https://t.co/EW5DBsV0dZ</v>
      </c>
      <c r="AX45" s="76" t="b">
        <v>1</v>
      </c>
      <c r="AY45" s="76"/>
      <c r="AZ45" s="76"/>
      <c r="BA45" s="76" t="b">
        <v>0</v>
      </c>
      <c r="BB45" s="76" t="b">
        <v>0</v>
      </c>
      <c r="BC45" s="76" t="b">
        <v>0</v>
      </c>
      <c r="BD45" s="76" t="b">
        <v>0</v>
      </c>
      <c r="BE45" s="76" t="b">
        <v>1</v>
      </c>
      <c r="BF45" s="76" t="b">
        <v>0</v>
      </c>
      <c r="BG45" s="76" t="b">
        <v>0</v>
      </c>
      <c r="BH45" s="83" t="str">
        <f>HYPERLINK("https://pbs.twimg.com/profile_banners/1122297543835176960/1689707041")</f>
        <v>https://pbs.twimg.com/profile_banners/1122297543835176960/1689707041</v>
      </c>
      <c r="BI45" s="76"/>
      <c r="BJ45" s="76" t="s">
        <v>19734</v>
      </c>
      <c r="BK45" s="76" t="b">
        <v>0</v>
      </c>
      <c r="BL45" s="76"/>
      <c r="BM45" s="76" t="s">
        <v>66</v>
      </c>
      <c r="BN45" s="76" t="s">
        <v>19736</v>
      </c>
      <c r="BO45" s="83" t="str">
        <f>HYPERLINK("https://twitter.com/escolacripto")</f>
        <v>https://twitter.com/escolacripto</v>
      </c>
      <c r="BP45" s="2"/>
    </row>
    <row r="46" spans="1:68" x14ac:dyDescent="0.25">
      <c r="A46" s="62" t="s">
        <v>735</v>
      </c>
      <c r="B46" s="63"/>
      <c r="C46" s="63"/>
      <c r="D46" s="64"/>
      <c r="E46" s="66"/>
      <c r="F46" s="103" t="str">
        <f>HYPERLINK("https://pbs.twimg.com/profile_images/1453077635433644035/puK0FwPw_normal.jpg")</f>
        <v>https://pbs.twimg.com/profile_images/1453077635433644035/puK0FwPw_normal.jpg</v>
      </c>
      <c r="G46" s="63"/>
      <c r="H46" s="67"/>
      <c r="I46" s="68"/>
      <c r="J46" s="68"/>
      <c r="K46" s="67" t="s">
        <v>19779</v>
      </c>
      <c r="L46" s="71"/>
      <c r="M46" s="72"/>
      <c r="N46" s="72"/>
      <c r="O46" s="73"/>
      <c r="P46" s="74"/>
      <c r="Q46" s="74"/>
      <c r="R46" s="87"/>
      <c r="S46" s="87"/>
      <c r="T46" s="87"/>
      <c r="U46" s="87"/>
      <c r="V46" s="48"/>
      <c r="W46" s="48"/>
      <c r="X46" s="48"/>
      <c r="Y46" s="48"/>
      <c r="Z46" s="47"/>
      <c r="AA46" s="69">
        <v>46</v>
      </c>
      <c r="AB46" s="69"/>
      <c r="AC46" s="70"/>
      <c r="AD46" s="76" t="s">
        <v>17797</v>
      </c>
      <c r="AE46" s="81" t="s">
        <v>18335</v>
      </c>
      <c r="AF46" s="76">
        <v>8861</v>
      </c>
      <c r="AG46" s="76">
        <v>142</v>
      </c>
      <c r="AH46" s="76">
        <v>1413</v>
      </c>
      <c r="AI46" s="76">
        <v>79</v>
      </c>
      <c r="AJ46" s="76">
        <v>28</v>
      </c>
      <c r="AK46" s="76">
        <v>1086</v>
      </c>
      <c r="AL46" s="76" t="b">
        <v>0</v>
      </c>
      <c r="AM46" s="78">
        <v>39995.927581018521</v>
      </c>
      <c r="AN46" s="76" t="s">
        <v>18568</v>
      </c>
      <c r="AO46" s="76" t="s">
        <v>18801</v>
      </c>
      <c r="AP46" s="83" t="str">
        <f>HYPERLINK("https://t.co/OXtYbYBL09")</f>
        <v>https://t.co/OXtYbYBL09</v>
      </c>
      <c r="AQ46" s="83" t="str">
        <f>HYPERLINK("http://www.faustobotelho.com.br/curso")</f>
        <v>http://www.faustobotelho.com.br/curso</v>
      </c>
      <c r="AR46" s="76" t="s">
        <v>19320</v>
      </c>
      <c r="AS46" s="76"/>
      <c r="AT46" s="76"/>
      <c r="AU46" s="76"/>
      <c r="AV46" s="76"/>
      <c r="AW46" s="83" t="str">
        <f>HYPERLINK("https://t.co/OXtYbYBL09")</f>
        <v>https://t.co/OXtYbYBL09</v>
      </c>
      <c r="AX46" s="76" t="b">
        <v>0</v>
      </c>
      <c r="AY46" s="76"/>
      <c r="AZ46" s="76"/>
      <c r="BA46" s="76" t="b">
        <v>0</v>
      </c>
      <c r="BB46" s="76" t="b">
        <v>1</v>
      </c>
      <c r="BC46" s="76" t="b">
        <v>0</v>
      </c>
      <c r="BD46" s="76" t="b">
        <v>0</v>
      </c>
      <c r="BE46" s="76" t="b">
        <v>0</v>
      </c>
      <c r="BF46" s="76" t="b">
        <v>0</v>
      </c>
      <c r="BG46" s="76" t="b">
        <v>0</v>
      </c>
      <c r="BH46" s="83" t="str">
        <f>HYPERLINK("https://pbs.twimg.com/profile_banners/52870194/1557440685")</f>
        <v>https://pbs.twimg.com/profile_banners/52870194/1557440685</v>
      </c>
      <c r="BI46" s="76"/>
      <c r="BJ46" s="76" t="s">
        <v>19734</v>
      </c>
      <c r="BK46" s="76" t="b">
        <v>0</v>
      </c>
      <c r="BL46" s="76"/>
      <c r="BM46" s="76" t="s">
        <v>65</v>
      </c>
      <c r="BN46" s="76" t="s">
        <v>19736</v>
      </c>
      <c r="BO46" s="83" t="str">
        <f>HYPERLINK("https://twitter.com/faustobotelho")</f>
        <v>https://twitter.com/faustobotelho</v>
      </c>
      <c r="BP46" s="2"/>
    </row>
    <row r="47" spans="1:68" x14ac:dyDescent="0.25">
      <c r="A47" s="62" t="s">
        <v>259</v>
      </c>
      <c r="B47" s="63"/>
      <c r="C47" s="63"/>
      <c r="D47" s="64"/>
      <c r="E47" s="66"/>
      <c r="F47" s="103" t="str">
        <f>HYPERLINK("https://pbs.twimg.com/profile_images/1232518826866155525/uMW_Km2P_normal.jpg")</f>
        <v>https://pbs.twimg.com/profile_images/1232518826866155525/uMW_Km2P_normal.jpg</v>
      </c>
      <c r="G47" s="63"/>
      <c r="H47" s="67"/>
      <c r="I47" s="68"/>
      <c r="J47" s="68"/>
      <c r="K47" s="67" t="s">
        <v>19780</v>
      </c>
      <c r="L47" s="71"/>
      <c r="M47" s="72"/>
      <c r="N47" s="72"/>
      <c r="O47" s="73"/>
      <c r="P47" s="74"/>
      <c r="Q47" s="74"/>
      <c r="R47" s="87"/>
      <c r="S47" s="87"/>
      <c r="T47" s="87"/>
      <c r="U47" s="87"/>
      <c r="V47" s="48"/>
      <c r="W47" s="48"/>
      <c r="X47" s="48"/>
      <c r="Y47" s="48"/>
      <c r="Z47" s="47"/>
      <c r="AA47" s="69">
        <v>47</v>
      </c>
      <c r="AB47" s="69"/>
      <c r="AC47" s="70"/>
      <c r="AD47" s="76" t="s">
        <v>17798</v>
      </c>
      <c r="AE47" s="81" t="s">
        <v>18336</v>
      </c>
      <c r="AF47" s="76">
        <v>35382</v>
      </c>
      <c r="AG47" s="76">
        <v>1617</v>
      </c>
      <c r="AH47" s="76">
        <v>19980</v>
      </c>
      <c r="AI47" s="76">
        <v>166</v>
      </c>
      <c r="AJ47" s="76">
        <v>9345</v>
      </c>
      <c r="AK47" s="76">
        <v>3123</v>
      </c>
      <c r="AL47" s="76" t="b">
        <v>0</v>
      </c>
      <c r="AM47" s="78">
        <v>41842.845729166664</v>
      </c>
      <c r="AN47" s="76" t="s">
        <v>12014</v>
      </c>
      <c r="AO47" s="76" t="s">
        <v>18802</v>
      </c>
      <c r="AP47" s="76"/>
      <c r="AQ47" s="76"/>
      <c r="AR47" s="76"/>
      <c r="AS47" s="76"/>
      <c r="AT47" s="76"/>
      <c r="AU47" s="76"/>
      <c r="AV47" s="76"/>
      <c r="AW47" s="76"/>
      <c r="AX47" s="76" t="b">
        <v>0</v>
      </c>
      <c r="AY47" s="76"/>
      <c r="AZ47" s="76"/>
      <c r="BA47" s="76" t="b">
        <v>1</v>
      </c>
      <c r="BB47" s="76" t="b">
        <v>1</v>
      </c>
      <c r="BC47" s="76" t="b">
        <v>1</v>
      </c>
      <c r="BD47" s="76" t="b">
        <v>0</v>
      </c>
      <c r="BE47" s="76" t="b">
        <v>1</v>
      </c>
      <c r="BF47" s="76" t="b">
        <v>0</v>
      </c>
      <c r="BG47" s="76" t="b">
        <v>0</v>
      </c>
      <c r="BH47" s="83" t="str">
        <f>HYPERLINK("https://pbs.twimg.com/profile_banners/2670530420/1582689907")</f>
        <v>https://pbs.twimg.com/profile_banners/2670530420/1582689907</v>
      </c>
      <c r="BI47" s="76"/>
      <c r="BJ47" s="76" t="s">
        <v>19734</v>
      </c>
      <c r="BK47" s="76" t="b">
        <v>0</v>
      </c>
      <c r="BL47" s="76"/>
      <c r="BM47" s="76" t="s">
        <v>66</v>
      </c>
      <c r="BN47" s="76" t="s">
        <v>19736</v>
      </c>
      <c r="BO47" s="83" t="str">
        <f>HYPERLINK("https://twitter.com/denisectoledo8")</f>
        <v>https://twitter.com/denisectoledo8</v>
      </c>
      <c r="BP47" s="2"/>
    </row>
    <row r="48" spans="1:68" x14ac:dyDescent="0.25">
      <c r="A48" s="62" t="s">
        <v>736</v>
      </c>
      <c r="B48" s="63"/>
      <c r="C48" s="63"/>
      <c r="D48" s="64"/>
      <c r="E48" s="66"/>
      <c r="F48" s="103" t="str">
        <f>HYPERLINK("https://pbs.twimg.com/profile_images/1225547492445519874/a8ce3z7B_normal.jpg")</f>
        <v>https://pbs.twimg.com/profile_images/1225547492445519874/a8ce3z7B_normal.jpg</v>
      </c>
      <c r="G48" s="63"/>
      <c r="H48" s="67"/>
      <c r="I48" s="68"/>
      <c r="J48" s="68"/>
      <c r="K48" s="67" t="s">
        <v>19781</v>
      </c>
      <c r="L48" s="71"/>
      <c r="M48" s="72"/>
      <c r="N48" s="72"/>
      <c r="O48" s="73"/>
      <c r="P48" s="74"/>
      <c r="Q48" s="74"/>
      <c r="R48" s="87"/>
      <c r="S48" s="87"/>
      <c r="T48" s="87"/>
      <c r="U48" s="87"/>
      <c r="V48" s="48"/>
      <c r="W48" s="48"/>
      <c r="X48" s="48"/>
      <c r="Y48" s="48"/>
      <c r="Z48" s="47"/>
      <c r="AA48" s="69">
        <v>48</v>
      </c>
      <c r="AB48" s="69"/>
      <c r="AC48" s="70"/>
      <c r="AD48" s="76" t="s">
        <v>17799</v>
      </c>
      <c r="AE48" s="81" t="s">
        <v>18337</v>
      </c>
      <c r="AF48" s="76">
        <v>69757</v>
      </c>
      <c r="AG48" s="76">
        <v>93</v>
      </c>
      <c r="AH48" s="76">
        <v>32422</v>
      </c>
      <c r="AI48" s="76">
        <v>172</v>
      </c>
      <c r="AJ48" s="76">
        <v>14995</v>
      </c>
      <c r="AK48" s="76">
        <v>4567</v>
      </c>
      <c r="AL48" s="76" t="b">
        <v>0</v>
      </c>
      <c r="AM48" s="78">
        <v>40240.623287037037</v>
      </c>
      <c r="AN48" s="76" t="s">
        <v>18569</v>
      </c>
      <c r="AO48" s="76" t="s">
        <v>18803</v>
      </c>
      <c r="AP48" s="83" t="str">
        <f>HYPERLINK("https://t.co/ua6813q4Ix")</f>
        <v>https://t.co/ua6813q4Ix</v>
      </c>
      <c r="AQ48" s="83" t="str">
        <f>HYPERLINK("http://www.tvgazeta.com.br")</f>
        <v>http://www.tvgazeta.com.br</v>
      </c>
      <c r="AR48" s="76" t="s">
        <v>19321</v>
      </c>
      <c r="AS48" s="76"/>
      <c r="AT48" s="76"/>
      <c r="AU48" s="76"/>
      <c r="AV48" s="76">
        <v>1.6758548374543401E+18</v>
      </c>
      <c r="AW48" s="83" t="str">
        <f>HYPERLINK("https://t.co/ua6813q4Ix")</f>
        <v>https://t.co/ua6813q4Ix</v>
      </c>
      <c r="AX48" s="76" t="b">
        <v>0</v>
      </c>
      <c r="AY48" s="76"/>
      <c r="AZ48" s="76"/>
      <c r="BA48" s="76" t="b">
        <v>0</v>
      </c>
      <c r="BB48" s="76" t="b">
        <v>1</v>
      </c>
      <c r="BC48" s="76" t="b">
        <v>0</v>
      </c>
      <c r="BD48" s="76" t="b">
        <v>0</v>
      </c>
      <c r="BE48" s="76" t="b">
        <v>1</v>
      </c>
      <c r="BF48" s="76" t="b">
        <v>0</v>
      </c>
      <c r="BG48" s="76" t="b">
        <v>0</v>
      </c>
      <c r="BH48" s="83" t="str">
        <f>HYPERLINK("https://pbs.twimg.com/profile_banners/119403684/1638803134")</f>
        <v>https://pbs.twimg.com/profile_banners/119403684/1638803134</v>
      </c>
      <c r="BI48" s="76"/>
      <c r="BJ48" s="76" t="s">
        <v>19734</v>
      </c>
      <c r="BK48" s="76" t="b">
        <v>0</v>
      </c>
      <c r="BL48" s="76"/>
      <c r="BM48" s="76" t="s">
        <v>65</v>
      </c>
      <c r="BN48" s="76" t="s">
        <v>19736</v>
      </c>
      <c r="BO48" s="83" t="str">
        <f>HYPERLINK("https://twitter.com/tvgazetaoficial")</f>
        <v>https://twitter.com/tvgazetaoficial</v>
      </c>
      <c r="BP48" s="2"/>
    </row>
    <row r="49" spans="1:68" x14ac:dyDescent="0.25">
      <c r="A49" s="62" t="s">
        <v>310</v>
      </c>
      <c r="B49" s="63"/>
      <c r="C49" s="63"/>
      <c r="D49" s="64"/>
      <c r="E49" s="66"/>
      <c r="F49" s="103" t="str">
        <f>HYPERLINK("https://pbs.twimg.com/profile_images/1237007250377621505/jTkI_qs3_normal.jpg")</f>
        <v>https://pbs.twimg.com/profile_images/1237007250377621505/jTkI_qs3_normal.jpg</v>
      </c>
      <c r="G49" s="63"/>
      <c r="H49" s="67"/>
      <c r="I49" s="68"/>
      <c r="J49" s="68"/>
      <c r="K49" s="67" t="s">
        <v>19782</v>
      </c>
      <c r="L49" s="71"/>
      <c r="M49" s="72"/>
      <c r="N49" s="72"/>
      <c r="O49" s="73"/>
      <c r="P49" s="74"/>
      <c r="Q49" s="74"/>
      <c r="R49" s="87"/>
      <c r="S49" s="87"/>
      <c r="T49" s="87"/>
      <c r="U49" s="87"/>
      <c r="V49" s="48"/>
      <c r="W49" s="48"/>
      <c r="X49" s="48"/>
      <c r="Y49" s="48"/>
      <c r="Z49" s="47"/>
      <c r="AA49" s="69">
        <v>49</v>
      </c>
      <c r="AB49" s="69"/>
      <c r="AC49" s="70"/>
      <c r="AD49" s="76" t="s">
        <v>17800</v>
      </c>
      <c r="AE49" s="81" t="s">
        <v>18338</v>
      </c>
      <c r="AF49" s="76">
        <v>14360</v>
      </c>
      <c r="AG49" s="76">
        <v>69</v>
      </c>
      <c r="AH49" s="76">
        <v>23483</v>
      </c>
      <c r="AI49" s="76">
        <v>174</v>
      </c>
      <c r="AJ49" s="76">
        <v>378</v>
      </c>
      <c r="AK49" s="76">
        <v>17776</v>
      </c>
      <c r="AL49" s="76" t="b">
        <v>0</v>
      </c>
      <c r="AM49" s="78">
        <v>39927.789780092593</v>
      </c>
      <c r="AN49" s="76" t="s">
        <v>18570</v>
      </c>
      <c r="AO49" s="76" t="s">
        <v>18804</v>
      </c>
      <c r="AP49" s="83" t="str">
        <f>HYPERLINK("https://t.co/EinuQSYKTr")</f>
        <v>https://t.co/EinuQSYKTr</v>
      </c>
      <c r="AQ49" s="83" t="str">
        <f>HYPERLINK("http://www.tvgazeta.com.br/jornaldagazeta")</f>
        <v>http://www.tvgazeta.com.br/jornaldagazeta</v>
      </c>
      <c r="AR49" s="76" t="s">
        <v>19322</v>
      </c>
      <c r="AS49" s="76"/>
      <c r="AT49" s="76"/>
      <c r="AU49" s="76"/>
      <c r="AV49" s="76">
        <v>1.2739471498819999E+18</v>
      </c>
      <c r="AW49" s="83" t="str">
        <f>HYPERLINK("https://t.co/EinuQSYKTr")</f>
        <v>https://t.co/EinuQSYKTr</v>
      </c>
      <c r="AX49" s="76" t="b">
        <v>0</v>
      </c>
      <c r="AY49" s="76"/>
      <c r="AZ49" s="76"/>
      <c r="BA49" s="76" t="b">
        <v>0</v>
      </c>
      <c r="BB49" s="76" t="b">
        <v>1</v>
      </c>
      <c r="BC49" s="76" t="b">
        <v>0</v>
      </c>
      <c r="BD49" s="76" t="b">
        <v>0</v>
      </c>
      <c r="BE49" s="76" t="b">
        <v>1</v>
      </c>
      <c r="BF49" s="76" t="b">
        <v>0</v>
      </c>
      <c r="BG49" s="76" t="b">
        <v>0</v>
      </c>
      <c r="BH49" s="83" t="str">
        <f>HYPERLINK("https://pbs.twimg.com/profile_banners/35005785/1638378784")</f>
        <v>https://pbs.twimg.com/profile_banners/35005785/1638378784</v>
      </c>
      <c r="BI49" s="76"/>
      <c r="BJ49" s="76" t="s">
        <v>19734</v>
      </c>
      <c r="BK49" s="76" t="b">
        <v>0</v>
      </c>
      <c r="BL49" s="76"/>
      <c r="BM49" s="76" t="s">
        <v>66</v>
      </c>
      <c r="BN49" s="76" t="s">
        <v>19736</v>
      </c>
      <c r="BO49" s="83" t="str">
        <f>HYPERLINK("https://twitter.com/jornaldagazeta")</f>
        <v>https://twitter.com/jornaldagazeta</v>
      </c>
      <c r="BP49" s="2"/>
    </row>
    <row r="50" spans="1:68" x14ac:dyDescent="0.25">
      <c r="A50" s="62" t="s">
        <v>260</v>
      </c>
      <c r="B50" s="63"/>
      <c r="C50" s="63"/>
      <c r="D50" s="64"/>
      <c r="E50" s="66"/>
      <c r="F50" s="103" t="str">
        <f>HYPERLINK("https://pbs.twimg.com/profile_images/1315417636424085504/sKf3TLLH_normal.jpg")</f>
        <v>https://pbs.twimg.com/profile_images/1315417636424085504/sKf3TLLH_normal.jpg</v>
      </c>
      <c r="G50" s="63"/>
      <c r="H50" s="67"/>
      <c r="I50" s="68"/>
      <c r="J50" s="68"/>
      <c r="K50" s="67" t="s">
        <v>19783</v>
      </c>
      <c r="L50" s="71"/>
      <c r="M50" s="72"/>
      <c r="N50" s="72"/>
      <c r="O50" s="73"/>
      <c r="P50" s="74"/>
      <c r="Q50" s="74"/>
      <c r="R50" s="87"/>
      <c r="S50" s="87"/>
      <c r="T50" s="87"/>
      <c r="U50" s="87"/>
      <c r="V50" s="48"/>
      <c r="W50" s="48"/>
      <c r="X50" s="48"/>
      <c r="Y50" s="48"/>
      <c r="Z50" s="47"/>
      <c r="AA50" s="69">
        <v>50</v>
      </c>
      <c r="AB50" s="69"/>
      <c r="AC50" s="70"/>
      <c r="AD50" s="76" t="s">
        <v>17801</v>
      </c>
      <c r="AE50" s="81" t="s">
        <v>18339</v>
      </c>
      <c r="AF50" s="76">
        <v>978</v>
      </c>
      <c r="AG50" s="76">
        <v>175</v>
      </c>
      <c r="AH50" s="76">
        <v>48106</v>
      </c>
      <c r="AI50" s="76">
        <v>12</v>
      </c>
      <c r="AJ50" s="76">
        <v>60756</v>
      </c>
      <c r="AK50" s="76">
        <v>17246</v>
      </c>
      <c r="AL50" s="76" t="b">
        <v>0</v>
      </c>
      <c r="AM50" s="78">
        <v>39726.802604166667</v>
      </c>
      <c r="AN50" s="76" t="s">
        <v>18571</v>
      </c>
      <c r="AO50" s="76" t="s">
        <v>18805</v>
      </c>
      <c r="AP50" s="83" t="str">
        <f>HYPERLINK("https://t.co/UdrOuYl3Ww")</f>
        <v>https://t.co/UdrOuYl3Ww</v>
      </c>
      <c r="AQ50" s="83" t="str">
        <f>HYPERLINK("https://www.facebook.com/groups/Ibovespa/")</f>
        <v>https://www.facebook.com/groups/Ibovespa/</v>
      </c>
      <c r="AR50" s="76" t="s">
        <v>19323</v>
      </c>
      <c r="AS50" s="76"/>
      <c r="AT50" s="76"/>
      <c r="AU50" s="76"/>
      <c r="AV50" s="76"/>
      <c r="AW50" s="83" t="str">
        <f>HYPERLINK("https://t.co/UdrOuYl3Ww")</f>
        <v>https://t.co/UdrOuYl3Ww</v>
      </c>
      <c r="AX50" s="76" t="b">
        <v>0</v>
      </c>
      <c r="AY50" s="76"/>
      <c r="AZ50" s="76"/>
      <c r="BA50" s="76" t="b">
        <v>0</v>
      </c>
      <c r="BB50" s="76" t="b">
        <v>1</v>
      </c>
      <c r="BC50" s="76" t="b">
        <v>0</v>
      </c>
      <c r="BD50" s="76" t="b">
        <v>0</v>
      </c>
      <c r="BE50" s="76" t="b">
        <v>1</v>
      </c>
      <c r="BF50" s="76" t="b">
        <v>0</v>
      </c>
      <c r="BG50" s="76" t="b">
        <v>0</v>
      </c>
      <c r="BH50" s="83" t="str">
        <f>HYPERLINK("https://pbs.twimg.com/profile_banners/16604637/1653407676")</f>
        <v>https://pbs.twimg.com/profile_banners/16604637/1653407676</v>
      </c>
      <c r="BI50" s="76"/>
      <c r="BJ50" s="76" t="s">
        <v>19734</v>
      </c>
      <c r="BK50" s="76" t="b">
        <v>0</v>
      </c>
      <c r="BL50" s="76"/>
      <c r="BM50" s="76" t="s">
        <v>66</v>
      </c>
      <c r="BN50" s="76" t="s">
        <v>19736</v>
      </c>
      <c r="BO50" s="83" t="str">
        <f>HYPERLINK("https://twitter.com/botinhao")</f>
        <v>https://twitter.com/botinhao</v>
      </c>
      <c r="BP50" s="2"/>
    </row>
    <row r="51" spans="1:68" x14ac:dyDescent="0.25">
      <c r="A51" s="62" t="s">
        <v>261</v>
      </c>
      <c r="B51" s="63"/>
      <c r="C51" s="63"/>
      <c r="D51" s="64"/>
      <c r="E51" s="66"/>
      <c r="F51" s="103" t="str">
        <f>HYPERLINK("https://pbs.twimg.com/profile_images/1346761110549102599/yGZFxteq_normal.png")</f>
        <v>https://pbs.twimg.com/profile_images/1346761110549102599/yGZFxteq_normal.png</v>
      </c>
      <c r="G51" s="63"/>
      <c r="H51" s="67"/>
      <c r="I51" s="68"/>
      <c r="J51" s="68"/>
      <c r="K51" s="67" t="s">
        <v>19784</v>
      </c>
      <c r="L51" s="71"/>
      <c r="M51" s="72"/>
      <c r="N51" s="72"/>
      <c r="O51" s="73"/>
      <c r="P51" s="74"/>
      <c r="Q51" s="74"/>
      <c r="R51" s="87"/>
      <c r="S51" s="87"/>
      <c r="T51" s="87"/>
      <c r="U51" s="87"/>
      <c r="V51" s="48"/>
      <c r="W51" s="48"/>
      <c r="X51" s="48"/>
      <c r="Y51" s="48"/>
      <c r="Z51" s="47"/>
      <c r="AA51" s="69">
        <v>51</v>
      </c>
      <c r="AB51" s="69"/>
      <c r="AC51" s="70"/>
      <c r="AD51" s="76" t="s">
        <v>17802</v>
      </c>
      <c r="AE51" s="81" t="s">
        <v>17456</v>
      </c>
      <c r="AF51" s="76">
        <v>229</v>
      </c>
      <c r="AG51" s="76">
        <v>98</v>
      </c>
      <c r="AH51" s="76">
        <v>4693</v>
      </c>
      <c r="AI51" s="76">
        <v>2</v>
      </c>
      <c r="AJ51" s="76">
        <v>42</v>
      </c>
      <c r="AK51" s="76">
        <v>4639</v>
      </c>
      <c r="AL51" s="76" t="b">
        <v>0</v>
      </c>
      <c r="AM51" s="78">
        <v>44202.420555555553</v>
      </c>
      <c r="AN51" s="76"/>
      <c r="AO51" s="76" t="s">
        <v>18806</v>
      </c>
      <c r="AP51" s="83" t="str">
        <f>HYPERLINK("https://t.co/221C1q6tGi")</f>
        <v>https://t.co/221C1q6tGi</v>
      </c>
      <c r="AQ51" s="83" t="str">
        <f>HYPERLINK("http://investidoresbrasil.com.br")</f>
        <v>http://investidoresbrasil.com.br</v>
      </c>
      <c r="AR51" s="76" t="s">
        <v>19324</v>
      </c>
      <c r="AS51" s="76"/>
      <c r="AT51" s="76"/>
      <c r="AU51" s="76"/>
      <c r="AV51" s="76"/>
      <c r="AW51" s="83" t="str">
        <f>HYPERLINK("https://t.co/221C1q6tGi")</f>
        <v>https://t.co/221C1q6tGi</v>
      </c>
      <c r="AX51" s="76" t="b">
        <v>0</v>
      </c>
      <c r="AY51" s="76"/>
      <c r="AZ51" s="76"/>
      <c r="BA51" s="76" t="b">
        <v>0</v>
      </c>
      <c r="BB51" s="76" t="b">
        <v>1</v>
      </c>
      <c r="BC51" s="76" t="b">
        <v>1</v>
      </c>
      <c r="BD51" s="76" t="b">
        <v>0</v>
      </c>
      <c r="BE51" s="76" t="b">
        <v>1</v>
      </c>
      <c r="BF51" s="76" t="b">
        <v>0</v>
      </c>
      <c r="BG51" s="76" t="b">
        <v>0</v>
      </c>
      <c r="BH51" s="83" t="str">
        <f>HYPERLINK("https://pbs.twimg.com/profile_banners/1346759748188831747/1667842319")</f>
        <v>https://pbs.twimg.com/profile_banners/1346759748188831747/1667842319</v>
      </c>
      <c r="BI51" s="76"/>
      <c r="BJ51" s="76" t="s">
        <v>19734</v>
      </c>
      <c r="BK51" s="76" t="b">
        <v>0</v>
      </c>
      <c r="BL51" s="76"/>
      <c r="BM51" s="76" t="s">
        <v>66</v>
      </c>
      <c r="BN51" s="76" t="s">
        <v>19736</v>
      </c>
      <c r="BO51" s="83" t="str">
        <f>HYPERLINK("https://twitter.com/investidoreso")</f>
        <v>https://twitter.com/investidoreso</v>
      </c>
      <c r="BP51" s="2"/>
    </row>
    <row r="52" spans="1:68" x14ac:dyDescent="0.25">
      <c r="A52" s="62" t="s">
        <v>262</v>
      </c>
      <c r="B52" s="63"/>
      <c r="C52" s="63"/>
      <c r="D52" s="64"/>
      <c r="E52" s="66"/>
      <c r="F52" s="103" t="str">
        <f>HYPERLINK("https://pbs.twimg.com/profile_images/468022124917948416/xwmfXDjC_normal.jpeg")</f>
        <v>https://pbs.twimg.com/profile_images/468022124917948416/xwmfXDjC_normal.jpeg</v>
      </c>
      <c r="G52" s="63"/>
      <c r="H52" s="67"/>
      <c r="I52" s="68"/>
      <c r="J52" s="68"/>
      <c r="K52" s="67" t="s">
        <v>19785</v>
      </c>
      <c r="L52" s="71"/>
      <c r="M52" s="72"/>
      <c r="N52" s="72"/>
      <c r="O52" s="73"/>
      <c r="P52" s="74"/>
      <c r="Q52" s="74"/>
      <c r="R52" s="87"/>
      <c r="S52" s="87"/>
      <c r="T52" s="87"/>
      <c r="U52" s="87"/>
      <c r="V52" s="48"/>
      <c r="W52" s="48"/>
      <c r="X52" s="48"/>
      <c r="Y52" s="48"/>
      <c r="Z52" s="47"/>
      <c r="AA52" s="69">
        <v>52</v>
      </c>
      <c r="AB52" s="69"/>
      <c r="AC52" s="70"/>
      <c r="AD52" s="76" t="s">
        <v>17803</v>
      </c>
      <c r="AE52" s="81" t="s">
        <v>18340</v>
      </c>
      <c r="AF52" s="76">
        <v>40</v>
      </c>
      <c r="AG52" s="76">
        <v>44</v>
      </c>
      <c r="AH52" s="76">
        <v>575</v>
      </c>
      <c r="AI52" s="76">
        <v>0</v>
      </c>
      <c r="AJ52" s="76">
        <v>3</v>
      </c>
      <c r="AK52" s="76">
        <v>51</v>
      </c>
      <c r="AL52" s="76" t="b">
        <v>0</v>
      </c>
      <c r="AM52" s="78">
        <v>41044.752534722225</v>
      </c>
      <c r="AN52" s="76" t="s">
        <v>18572</v>
      </c>
      <c r="AO52" s="76" t="s">
        <v>18807</v>
      </c>
      <c r="AP52" s="76"/>
      <c r="AQ52" s="76"/>
      <c r="AR52" s="76"/>
      <c r="AS52" s="76"/>
      <c r="AT52" s="76"/>
      <c r="AU52" s="76"/>
      <c r="AV52" s="76"/>
      <c r="AW52" s="76"/>
      <c r="AX52" s="76" t="b">
        <v>0</v>
      </c>
      <c r="AY52" s="76"/>
      <c r="AZ52" s="76"/>
      <c r="BA52" s="76" t="b">
        <v>0</v>
      </c>
      <c r="BB52" s="76" t="b">
        <v>1</v>
      </c>
      <c r="BC52" s="76" t="b">
        <v>0</v>
      </c>
      <c r="BD52" s="76" t="b">
        <v>0</v>
      </c>
      <c r="BE52" s="76" t="b">
        <v>0</v>
      </c>
      <c r="BF52" s="76" t="b">
        <v>0</v>
      </c>
      <c r="BG52" s="76" t="b">
        <v>0</v>
      </c>
      <c r="BH52" s="76"/>
      <c r="BI52" s="76"/>
      <c r="BJ52" s="76" t="s">
        <v>19734</v>
      </c>
      <c r="BK52" s="76" t="b">
        <v>0</v>
      </c>
      <c r="BL52" s="76"/>
      <c r="BM52" s="76" t="s">
        <v>66</v>
      </c>
      <c r="BN52" s="76" t="s">
        <v>19736</v>
      </c>
      <c r="BO52" s="83" t="str">
        <f>HYPERLINK("https://twitter.com/sergioparrelli")</f>
        <v>https://twitter.com/sergioparrelli</v>
      </c>
      <c r="BP52" s="2"/>
    </row>
    <row r="53" spans="1:68" x14ac:dyDescent="0.25">
      <c r="A53" s="62" t="s">
        <v>263</v>
      </c>
      <c r="B53" s="63"/>
      <c r="C53" s="63"/>
      <c r="D53" s="64"/>
      <c r="E53" s="66"/>
      <c r="F53" s="103" t="str">
        <f>HYPERLINK("https://pbs.twimg.com/profile_images/535740890543685632/DvOGWZyE_normal.jpeg")</f>
        <v>https://pbs.twimg.com/profile_images/535740890543685632/DvOGWZyE_normal.jpeg</v>
      </c>
      <c r="G53" s="63"/>
      <c r="H53" s="67"/>
      <c r="I53" s="68"/>
      <c r="J53" s="68"/>
      <c r="K53" s="67" t="s">
        <v>19786</v>
      </c>
      <c r="L53" s="71"/>
      <c r="M53" s="72"/>
      <c r="N53" s="72"/>
      <c r="O53" s="73"/>
      <c r="P53" s="74"/>
      <c r="Q53" s="74"/>
      <c r="R53" s="87"/>
      <c r="S53" s="87"/>
      <c r="T53" s="87"/>
      <c r="U53" s="87"/>
      <c r="V53" s="48"/>
      <c r="W53" s="48"/>
      <c r="X53" s="48"/>
      <c r="Y53" s="48"/>
      <c r="Z53" s="47"/>
      <c r="AA53" s="69">
        <v>53</v>
      </c>
      <c r="AB53" s="69"/>
      <c r="AC53" s="70"/>
      <c r="AD53" s="76" t="s">
        <v>17804</v>
      </c>
      <c r="AE53" s="81" t="s">
        <v>18341</v>
      </c>
      <c r="AF53" s="76">
        <v>2657</v>
      </c>
      <c r="AG53" s="76">
        <v>1728</v>
      </c>
      <c r="AH53" s="76">
        <v>21244</v>
      </c>
      <c r="AI53" s="76">
        <v>66</v>
      </c>
      <c r="AJ53" s="76">
        <v>14053</v>
      </c>
      <c r="AK53" s="76">
        <v>2631</v>
      </c>
      <c r="AL53" s="76" t="b">
        <v>0</v>
      </c>
      <c r="AM53" s="78">
        <v>40116.555787037039</v>
      </c>
      <c r="AN53" s="76" t="s">
        <v>18573</v>
      </c>
      <c r="AO53" s="76" t="s">
        <v>18808</v>
      </c>
      <c r="AP53" s="76"/>
      <c r="AQ53" s="76"/>
      <c r="AR53" s="76"/>
      <c r="AS53" s="76"/>
      <c r="AT53" s="76"/>
      <c r="AU53" s="76"/>
      <c r="AV53" s="76">
        <v>1.2980033018925701E+18</v>
      </c>
      <c r="AW53" s="76"/>
      <c r="AX53" s="76" t="b">
        <v>0</v>
      </c>
      <c r="AY53" s="76"/>
      <c r="AZ53" s="76"/>
      <c r="BA53" s="76" t="b">
        <v>0</v>
      </c>
      <c r="BB53" s="76" t="b">
        <v>0</v>
      </c>
      <c r="BC53" s="76" t="b">
        <v>0</v>
      </c>
      <c r="BD53" s="76" t="b">
        <v>0</v>
      </c>
      <c r="BE53" s="76" t="b">
        <v>1</v>
      </c>
      <c r="BF53" s="76" t="b">
        <v>0</v>
      </c>
      <c r="BG53" s="76" t="b">
        <v>0</v>
      </c>
      <c r="BH53" s="76"/>
      <c r="BI53" s="76"/>
      <c r="BJ53" s="76" t="s">
        <v>19735</v>
      </c>
      <c r="BK53" s="76" t="b">
        <v>0</v>
      </c>
      <c r="BL53" s="76"/>
      <c r="BM53" s="76" t="s">
        <v>66</v>
      </c>
      <c r="BN53" s="76" t="s">
        <v>19736</v>
      </c>
      <c r="BO53" s="83" t="str">
        <f>HYPERLINK("https://twitter.com/wallfigueiredo")</f>
        <v>https://twitter.com/wallfigueiredo</v>
      </c>
      <c r="BP53" s="2"/>
    </row>
    <row r="54" spans="1:68" x14ac:dyDescent="0.25">
      <c r="A54" s="62" t="s">
        <v>264</v>
      </c>
      <c r="B54" s="63"/>
      <c r="C54" s="63"/>
      <c r="D54" s="64"/>
      <c r="E54" s="66"/>
      <c r="F54" s="103" t="str">
        <f>HYPERLINK("https://pbs.twimg.com/profile_images/1683907163851194377/F9a2IXBL_normal.jpg")</f>
        <v>https://pbs.twimg.com/profile_images/1683907163851194377/F9a2IXBL_normal.jpg</v>
      </c>
      <c r="G54" s="63"/>
      <c r="H54" s="67"/>
      <c r="I54" s="68"/>
      <c r="J54" s="68"/>
      <c r="K54" s="67" t="s">
        <v>19787</v>
      </c>
      <c r="L54" s="71"/>
      <c r="M54" s="72"/>
      <c r="N54" s="72"/>
      <c r="O54" s="73"/>
      <c r="P54" s="74"/>
      <c r="Q54" s="74"/>
      <c r="R54" s="87"/>
      <c r="S54" s="87"/>
      <c r="T54" s="87"/>
      <c r="U54" s="87"/>
      <c r="V54" s="48"/>
      <c r="W54" s="48"/>
      <c r="X54" s="48"/>
      <c r="Y54" s="48"/>
      <c r="Z54" s="47"/>
      <c r="AA54" s="69">
        <v>54</v>
      </c>
      <c r="AB54" s="69"/>
      <c r="AC54" s="70"/>
      <c r="AD54" s="76" t="s">
        <v>17805</v>
      </c>
      <c r="AE54" s="81" t="s">
        <v>17457</v>
      </c>
      <c r="AF54" s="76">
        <v>2</v>
      </c>
      <c r="AG54" s="76">
        <v>9</v>
      </c>
      <c r="AH54" s="76">
        <v>2</v>
      </c>
      <c r="AI54" s="76">
        <v>0</v>
      </c>
      <c r="AJ54" s="76">
        <v>0</v>
      </c>
      <c r="AK54" s="76">
        <v>2</v>
      </c>
      <c r="AL54" s="76" t="b">
        <v>0</v>
      </c>
      <c r="AM54" s="78">
        <v>45132.769988425927</v>
      </c>
      <c r="AN54" s="76"/>
      <c r="AO54" s="76"/>
      <c r="AP54" s="83" t="str">
        <f>HYPERLINK("https://t.co/wdVKk4Qlmj")</f>
        <v>https://t.co/wdVKk4Qlmj</v>
      </c>
      <c r="AQ54" s="83" t="str">
        <f>HYPERLINK("https://instagram.com/franciscobertoldiat?igshid=MzNlNGNkZWQ4Mg==")</f>
        <v>https://instagram.com/franciscobertoldiat?igshid=MzNlNGNkZWQ4Mg==</v>
      </c>
      <c r="AR54" s="76" t="s">
        <v>19325</v>
      </c>
      <c r="AS54" s="76"/>
      <c r="AT54" s="76"/>
      <c r="AU54" s="76"/>
      <c r="AV54" s="76"/>
      <c r="AW54" s="83" t="str">
        <f>HYPERLINK("https://t.co/wdVKk4Qlmj")</f>
        <v>https://t.co/wdVKk4Qlmj</v>
      </c>
      <c r="AX54" s="76" t="b">
        <v>0</v>
      </c>
      <c r="AY54" s="76"/>
      <c r="AZ54" s="76"/>
      <c r="BA54" s="76" t="b">
        <v>0</v>
      </c>
      <c r="BB54" s="76" t="b">
        <v>1</v>
      </c>
      <c r="BC54" s="76" t="b">
        <v>1</v>
      </c>
      <c r="BD54" s="76" t="b">
        <v>0</v>
      </c>
      <c r="BE54" s="76" t="b">
        <v>0</v>
      </c>
      <c r="BF54" s="76" t="b">
        <v>0</v>
      </c>
      <c r="BG54" s="76" t="b">
        <v>0</v>
      </c>
      <c r="BH54" s="83" t="str">
        <f>HYPERLINK("https://pbs.twimg.com/profile_banners/1683907046750421002/1690312932")</f>
        <v>https://pbs.twimg.com/profile_banners/1683907046750421002/1690312932</v>
      </c>
      <c r="BI54" s="76"/>
      <c r="BJ54" s="76" t="s">
        <v>19734</v>
      </c>
      <c r="BK54" s="76" t="b">
        <v>0</v>
      </c>
      <c r="BL54" s="76"/>
      <c r="BM54" s="76" t="s">
        <v>66</v>
      </c>
      <c r="BN54" s="76" t="s">
        <v>19736</v>
      </c>
      <c r="BO54" s="83" t="str">
        <f>HYPERLINK("https://twitter.com/franciscob_at")</f>
        <v>https://twitter.com/franciscob_at</v>
      </c>
      <c r="BP54" s="2"/>
    </row>
    <row r="55" spans="1:68" x14ac:dyDescent="0.25">
      <c r="A55" s="62" t="s">
        <v>265</v>
      </c>
      <c r="B55" s="63"/>
      <c r="C55" s="63"/>
      <c r="D55" s="64"/>
      <c r="E55" s="66"/>
      <c r="F55" s="103" t="str">
        <f>HYPERLINK("https://pbs.twimg.com/profile_images/1704968750447955968/BR2DmkZK_normal.jpg")</f>
        <v>https://pbs.twimg.com/profile_images/1704968750447955968/BR2DmkZK_normal.jpg</v>
      </c>
      <c r="G55" s="63"/>
      <c r="H55" s="67"/>
      <c r="I55" s="68"/>
      <c r="J55" s="68"/>
      <c r="K55" s="67" t="s">
        <v>19788</v>
      </c>
      <c r="L55" s="71"/>
      <c r="M55" s="72"/>
      <c r="N55" s="72"/>
      <c r="O55" s="73"/>
      <c r="P55" s="74"/>
      <c r="Q55" s="74"/>
      <c r="R55" s="87"/>
      <c r="S55" s="87"/>
      <c r="T55" s="87"/>
      <c r="U55" s="87"/>
      <c r="V55" s="48"/>
      <c r="W55" s="48"/>
      <c r="X55" s="48"/>
      <c r="Y55" s="48"/>
      <c r="Z55" s="47"/>
      <c r="AA55" s="69">
        <v>55</v>
      </c>
      <c r="AB55" s="69"/>
      <c r="AC55" s="70"/>
      <c r="AD55" s="76" t="s">
        <v>17806</v>
      </c>
      <c r="AE55" s="81" t="s">
        <v>17458</v>
      </c>
      <c r="AF55" s="76">
        <v>27</v>
      </c>
      <c r="AG55" s="76">
        <v>86</v>
      </c>
      <c r="AH55" s="76">
        <v>627</v>
      </c>
      <c r="AI55" s="76">
        <v>1</v>
      </c>
      <c r="AJ55" s="76">
        <v>3</v>
      </c>
      <c r="AK55" s="76">
        <v>71</v>
      </c>
      <c r="AL55" s="76" t="b">
        <v>0</v>
      </c>
      <c r="AM55" s="78">
        <v>44361.530497685184</v>
      </c>
      <c r="AN55" s="76"/>
      <c r="AO55" s="76" t="s">
        <v>18809</v>
      </c>
      <c r="AP55" s="83" t="str">
        <f>HYPERLINK("https://t.co/hEDqA5emdU")</f>
        <v>https://t.co/hEDqA5emdU</v>
      </c>
      <c r="AQ55" s="83" t="str">
        <f>HYPERLINK("https://www.perspective.com.br/")</f>
        <v>https://www.perspective.com.br/</v>
      </c>
      <c r="AR55" s="76" t="s">
        <v>19326</v>
      </c>
      <c r="AS55" s="83" t="str">
        <f>HYPERLINK("https://t.co/yIE0EOuhPH")</f>
        <v>https://t.co/yIE0EOuhPH</v>
      </c>
      <c r="AT55" s="83" t="str">
        <f>HYPERLINK("http://linktr.ee/perspectiveinv")</f>
        <v>http://linktr.ee/perspectiveinv</v>
      </c>
      <c r="AU55" s="76" t="s">
        <v>19690</v>
      </c>
      <c r="AV55" s="76"/>
      <c r="AW55" s="83" t="str">
        <f>HYPERLINK("https://t.co/hEDqA5emdU")</f>
        <v>https://t.co/hEDqA5emdU</v>
      </c>
      <c r="AX55" s="76" t="b">
        <v>0</v>
      </c>
      <c r="AY55" s="76"/>
      <c r="AZ55" s="76"/>
      <c r="BA55" s="76" t="b">
        <v>0</v>
      </c>
      <c r="BB55" s="76" t="b">
        <v>1</v>
      </c>
      <c r="BC55" s="76" t="b">
        <v>1</v>
      </c>
      <c r="BD55" s="76" t="b">
        <v>0</v>
      </c>
      <c r="BE55" s="76" t="b">
        <v>0</v>
      </c>
      <c r="BF55" s="76" t="b">
        <v>0</v>
      </c>
      <c r="BG55" s="76" t="b">
        <v>0</v>
      </c>
      <c r="BH55" s="83" t="str">
        <f>HYPERLINK("https://pbs.twimg.com/profile_banners/1404418856425299970/1675083423")</f>
        <v>https://pbs.twimg.com/profile_banners/1404418856425299970/1675083423</v>
      </c>
      <c r="BI55" s="76"/>
      <c r="BJ55" s="76" t="s">
        <v>19734</v>
      </c>
      <c r="BK55" s="76" t="b">
        <v>0</v>
      </c>
      <c r="BL55" s="76"/>
      <c r="BM55" s="76" t="s">
        <v>66</v>
      </c>
      <c r="BN55" s="76" t="s">
        <v>19736</v>
      </c>
      <c r="BO55" s="83" t="str">
        <f>HYPERLINK("https://twitter.com/perspectiveinvs")</f>
        <v>https://twitter.com/perspectiveinvs</v>
      </c>
      <c r="BP55" s="2"/>
    </row>
    <row r="56" spans="1:68" x14ac:dyDescent="0.25">
      <c r="A56" s="62" t="s">
        <v>266</v>
      </c>
      <c r="B56" s="63"/>
      <c r="C56" s="63"/>
      <c r="D56" s="64"/>
      <c r="E56" s="66"/>
      <c r="F56" s="103" t="str">
        <f>HYPERLINK("https://pbs.twimg.com/profile_images/1582020822285357056/00t_nhzK_normal.png")</f>
        <v>https://pbs.twimg.com/profile_images/1582020822285357056/00t_nhzK_normal.png</v>
      </c>
      <c r="G56" s="63"/>
      <c r="H56" s="67"/>
      <c r="I56" s="68"/>
      <c r="J56" s="68"/>
      <c r="K56" s="67" t="s">
        <v>19789</v>
      </c>
      <c r="L56" s="71"/>
      <c r="M56" s="72"/>
      <c r="N56" s="72"/>
      <c r="O56" s="73"/>
      <c r="P56" s="74"/>
      <c r="Q56" s="74"/>
      <c r="R56" s="87"/>
      <c r="S56" s="87"/>
      <c r="T56" s="87"/>
      <c r="U56" s="87"/>
      <c r="V56" s="48"/>
      <c r="W56" s="48"/>
      <c r="X56" s="48"/>
      <c r="Y56" s="48"/>
      <c r="Z56" s="47"/>
      <c r="AA56" s="69">
        <v>56</v>
      </c>
      <c r="AB56" s="69"/>
      <c r="AC56" s="70"/>
      <c r="AD56" s="76" t="s">
        <v>17807</v>
      </c>
      <c r="AE56" s="81" t="s">
        <v>17459</v>
      </c>
      <c r="AF56" s="76">
        <v>6</v>
      </c>
      <c r="AG56" s="76">
        <v>39</v>
      </c>
      <c r="AH56" s="76">
        <v>1086</v>
      </c>
      <c r="AI56" s="76">
        <v>0</v>
      </c>
      <c r="AJ56" s="76">
        <v>1</v>
      </c>
      <c r="AK56" s="76">
        <v>1012</v>
      </c>
      <c r="AL56" s="76" t="b">
        <v>0</v>
      </c>
      <c r="AM56" s="78">
        <v>44851.617256944446</v>
      </c>
      <c r="AN56" s="76" t="s">
        <v>18574</v>
      </c>
      <c r="AO56" s="76" t="s">
        <v>18810</v>
      </c>
      <c r="AP56" s="83" t="str">
        <f>HYPERLINK("https://t.co/CfmF854ESF")</f>
        <v>https://t.co/CfmF854ESF</v>
      </c>
      <c r="AQ56" s="83" t="str">
        <f>HYPERLINK("https://pmwnoticias.com.br/")</f>
        <v>https://pmwnoticias.com.br/</v>
      </c>
      <c r="AR56" s="76" t="s">
        <v>19327</v>
      </c>
      <c r="AS56" s="76"/>
      <c r="AT56" s="76"/>
      <c r="AU56" s="76"/>
      <c r="AV56" s="76"/>
      <c r="AW56" s="83" t="str">
        <f>HYPERLINK("https://t.co/CfmF854ESF")</f>
        <v>https://t.co/CfmF854ESF</v>
      </c>
      <c r="AX56" s="76" t="b">
        <v>0</v>
      </c>
      <c r="AY56" s="76"/>
      <c r="AZ56" s="76"/>
      <c r="BA56" s="76" t="b">
        <v>0</v>
      </c>
      <c r="BB56" s="76" t="b">
        <v>1</v>
      </c>
      <c r="BC56" s="76" t="b">
        <v>1</v>
      </c>
      <c r="BD56" s="76" t="b">
        <v>0</v>
      </c>
      <c r="BE56" s="76" t="b">
        <v>0</v>
      </c>
      <c r="BF56" s="76" t="b">
        <v>0</v>
      </c>
      <c r="BG56" s="76" t="b">
        <v>0</v>
      </c>
      <c r="BH56" s="83" t="str">
        <f>HYPERLINK("https://pbs.twimg.com/profile_banners/1582020729733881859/1666018688")</f>
        <v>https://pbs.twimg.com/profile_banners/1582020729733881859/1666018688</v>
      </c>
      <c r="BI56" s="76"/>
      <c r="BJ56" s="76" t="s">
        <v>19734</v>
      </c>
      <c r="BK56" s="76" t="b">
        <v>0</v>
      </c>
      <c r="BL56" s="76"/>
      <c r="BM56" s="76" t="s">
        <v>66</v>
      </c>
      <c r="BN56" s="76" t="s">
        <v>19736</v>
      </c>
      <c r="BO56" s="83" t="str">
        <f>HYPERLINK("https://twitter.com/pmw_noticias")</f>
        <v>https://twitter.com/pmw_noticias</v>
      </c>
      <c r="BP56" s="2"/>
    </row>
    <row r="57" spans="1:68" x14ac:dyDescent="0.25">
      <c r="A57" s="62" t="s">
        <v>267</v>
      </c>
      <c r="B57" s="63"/>
      <c r="C57" s="63"/>
      <c r="D57" s="64"/>
      <c r="E57" s="66"/>
      <c r="F57" s="103" t="str">
        <f>HYPERLINK("https://pbs.twimg.com/profile_images/1087763209854038017/NW_ZZdsf_normal.jpg")</f>
        <v>https://pbs.twimg.com/profile_images/1087763209854038017/NW_ZZdsf_normal.jpg</v>
      </c>
      <c r="G57" s="63"/>
      <c r="H57" s="67"/>
      <c r="I57" s="68"/>
      <c r="J57" s="68"/>
      <c r="K57" s="67" t="s">
        <v>19790</v>
      </c>
      <c r="L57" s="71"/>
      <c r="M57" s="72"/>
      <c r="N57" s="72"/>
      <c r="O57" s="73"/>
      <c r="P57" s="74"/>
      <c r="Q57" s="74"/>
      <c r="R57" s="87"/>
      <c r="S57" s="87"/>
      <c r="T57" s="87"/>
      <c r="U57" s="87"/>
      <c r="V57" s="48"/>
      <c r="W57" s="48"/>
      <c r="X57" s="48"/>
      <c r="Y57" s="48"/>
      <c r="Z57" s="47"/>
      <c r="AA57" s="69">
        <v>57</v>
      </c>
      <c r="AB57" s="69"/>
      <c r="AC57" s="70"/>
      <c r="AD57" s="76" t="s">
        <v>17808</v>
      </c>
      <c r="AE57" s="81" t="s">
        <v>17460</v>
      </c>
      <c r="AF57" s="76">
        <v>61</v>
      </c>
      <c r="AG57" s="76">
        <v>102</v>
      </c>
      <c r="AH57" s="76">
        <v>6535</v>
      </c>
      <c r="AI57" s="76">
        <v>3</v>
      </c>
      <c r="AJ57" s="76">
        <v>1823</v>
      </c>
      <c r="AK57" s="76">
        <v>793</v>
      </c>
      <c r="AL57" s="76" t="b">
        <v>0</v>
      </c>
      <c r="AM57" s="78">
        <v>43487.725474537037</v>
      </c>
      <c r="AN57" s="76" t="s">
        <v>18565</v>
      </c>
      <c r="AO57" s="76" t="s">
        <v>18811</v>
      </c>
      <c r="AP57" s="83" t="str">
        <f>HYPERLINK("https://t.co/QmHFrHaRZa")</f>
        <v>https://t.co/QmHFrHaRZa</v>
      </c>
      <c r="AQ57" s="83" t="str">
        <f>HYPERLINK("https://culturaalternativa.com.br")</f>
        <v>https://culturaalternativa.com.br</v>
      </c>
      <c r="AR57" s="76" t="s">
        <v>19328</v>
      </c>
      <c r="AS57" s="76"/>
      <c r="AT57" s="76"/>
      <c r="AU57" s="76"/>
      <c r="AV57" s="76"/>
      <c r="AW57" s="83" t="str">
        <f>HYPERLINK("https://t.co/QmHFrHaRZa")</f>
        <v>https://t.co/QmHFrHaRZa</v>
      </c>
      <c r="AX57" s="76" t="b">
        <v>0</v>
      </c>
      <c r="AY57" s="76"/>
      <c r="AZ57" s="76"/>
      <c r="BA57" s="76" t="b">
        <v>1</v>
      </c>
      <c r="BB57" s="76" t="b">
        <v>1</v>
      </c>
      <c r="BC57" s="76" t="b">
        <v>1</v>
      </c>
      <c r="BD57" s="76" t="b">
        <v>0</v>
      </c>
      <c r="BE57" s="76" t="b">
        <v>0</v>
      </c>
      <c r="BF57" s="76" t="b">
        <v>0</v>
      </c>
      <c r="BG57" s="76" t="b">
        <v>0</v>
      </c>
      <c r="BH57" s="83" t="str">
        <f>HYPERLINK("https://pbs.twimg.com/profile_banners/1087762990731051008/1682511903")</f>
        <v>https://pbs.twimg.com/profile_banners/1087762990731051008/1682511903</v>
      </c>
      <c r="BI57" s="76"/>
      <c r="BJ57" s="76" t="s">
        <v>19734</v>
      </c>
      <c r="BK57" s="76" t="b">
        <v>0</v>
      </c>
      <c r="BL57" s="76"/>
      <c r="BM57" s="76" t="s">
        <v>66</v>
      </c>
      <c r="BN57" s="76" t="s">
        <v>19736</v>
      </c>
      <c r="BO57" s="83" t="str">
        <f>HYPERLINK("https://twitter.com/culturaalterna5")</f>
        <v>https://twitter.com/culturaalterna5</v>
      </c>
      <c r="BP57" s="2"/>
    </row>
    <row r="58" spans="1:68" x14ac:dyDescent="0.25">
      <c r="A58" s="62" t="s">
        <v>268</v>
      </c>
      <c r="B58" s="63"/>
      <c r="C58" s="63"/>
      <c r="D58" s="64"/>
      <c r="E58" s="66"/>
      <c r="F58" s="103" t="str">
        <f>HYPERLINK("https://pbs.twimg.com/profile_images/1638880651880329217/sTlebUyJ_normal.jpg")</f>
        <v>https://pbs.twimg.com/profile_images/1638880651880329217/sTlebUyJ_normal.jpg</v>
      </c>
      <c r="G58" s="63"/>
      <c r="H58" s="67"/>
      <c r="I58" s="68"/>
      <c r="J58" s="68"/>
      <c r="K58" s="67" t="s">
        <v>19791</v>
      </c>
      <c r="L58" s="71"/>
      <c r="M58" s="72"/>
      <c r="N58" s="72"/>
      <c r="O58" s="73"/>
      <c r="P58" s="74"/>
      <c r="Q58" s="74"/>
      <c r="R58" s="87"/>
      <c r="S58" s="87"/>
      <c r="T58" s="87"/>
      <c r="U58" s="87"/>
      <c r="V58" s="48"/>
      <c r="W58" s="48"/>
      <c r="X58" s="48"/>
      <c r="Y58" s="48"/>
      <c r="Z58" s="47"/>
      <c r="AA58" s="69">
        <v>58</v>
      </c>
      <c r="AB58" s="69"/>
      <c r="AC58" s="70"/>
      <c r="AD58" s="76" t="s">
        <v>17809</v>
      </c>
      <c r="AE58" s="81" t="s">
        <v>17461</v>
      </c>
      <c r="AF58" s="76">
        <v>125</v>
      </c>
      <c r="AG58" s="76">
        <v>634</v>
      </c>
      <c r="AH58" s="76">
        <v>23842</v>
      </c>
      <c r="AI58" s="76">
        <v>6</v>
      </c>
      <c r="AJ58" s="76">
        <v>27642</v>
      </c>
      <c r="AK58" s="76">
        <v>905</v>
      </c>
      <c r="AL58" s="76" t="b">
        <v>0</v>
      </c>
      <c r="AM58" s="78">
        <v>45007.679282407407</v>
      </c>
      <c r="AN58" s="76" t="s">
        <v>12014</v>
      </c>
      <c r="AO58" s="76" t="s">
        <v>18812</v>
      </c>
      <c r="AP58" s="83" t="str">
        <f>HYPERLINK("https://t.co/FxoPqhzTQm")</f>
        <v>https://t.co/FxoPqhzTQm</v>
      </c>
      <c r="AQ58" s="83" t="str">
        <f>HYPERLINK("https://sites.google.com/view/www-bedrock/bedrock")</f>
        <v>https://sites.google.com/view/www-bedrock/bedrock</v>
      </c>
      <c r="AR58" s="76" t="s">
        <v>19329</v>
      </c>
      <c r="AS58" s="76"/>
      <c r="AT58" s="76"/>
      <c r="AU58" s="76"/>
      <c r="AV58" s="76">
        <v>1.64957757998303E+18</v>
      </c>
      <c r="AW58" s="83" t="str">
        <f>HYPERLINK("https://t.co/FxoPqhzTQm")</f>
        <v>https://t.co/FxoPqhzTQm</v>
      </c>
      <c r="AX58" s="76" t="b">
        <v>1</v>
      </c>
      <c r="AY58" s="76"/>
      <c r="AZ58" s="76"/>
      <c r="BA58" s="76" t="b">
        <v>1</v>
      </c>
      <c r="BB58" s="76" t="b">
        <v>1</v>
      </c>
      <c r="BC58" s="76" t="b">
        <v>1</v>
      </c>
      <c r="BD58" s="76" t="b">
        <v>0</v>
      </c>
      <c r="BE58" s="76" t="b">
        <v>1</v>
      </c>
      <c r="BF58" s="76" t="b">
        <v>0</v>
      </c>
      <c r="BG58" s="76" t="b">
        <v>0</v>
      </c>
      <c r="BH58" s="83" t="str">
        <f>HYPERLINK("https://pbs.twimg.com/profile_banners/1638575699861569538/1679502616")</f>
        <v>https://pbs.twimg.com/profile_banners/1638575699861569538/1679502616</v>
      </c>
      <c r="BI58" s="76"/>
      <c r="BJ58" s="76" t="s">
        <v>19734</v>
      </c>
      <c r="BK58" s="76" t="b">
        <v>0</v>
      </c>
      <c r="BL58" s="76"/>
      <c r="BM58" s="76" t="s">
        <v>66</v>
      </c>
      <c r="BN58" s="76" t="s">
        <v>19736</v>
      </c>
      <c r="BO58" s="83" t="str">
        <f>HYPERLINK("https://twitter.com/bedrock079tm")</f>
        <v>https://twitter.com/bedrock079tm</v>
      </c>
      <c r="BP58" s="2"/>
    </row>
    <row r="59" spans="1:68" x14ac:dyDescent="0.25">
      <c r="A59" s="62" t="s">
        <v>269</v>
      </c>
      <c r="B59" s="63"/>
      <c r="C59" s="63"/>
      <c r="D59" s="64"/>
      <c r="E59" s="66"/>
      <c r="F59" s="103" t="str">
        <f>HYPERLINK("https://pbs.twimg.com/profile_images/1446125915314872323/zfM8TwOY_normal.jpg")</f>
        <v>https://pbs.twimg.com/profile_images/1446125915314872323/zfM8TwOY_normal.jpg</v>
      </c>
      <c r="G59" s="63"/>
      <c r="H59" s="67"/>
      <c r="I59" s="68"/>
      <c r="J59" s="68"/>
      <c r="K59" s="67" t="s">
        <v>19792</v>
      </c>
      <c r="L59" s="71"/>
      <c r="M59" s="72"/>
      <c r="N59" s="72"/>
      <c r="O59" s="73"/>
      <c r="P59" s="74"/>
      <c r="Q59" s="74"/>
      <c r="R59" s="87"/>
      <c r="S59" s="87"/>
      <c r="T59" s="87"/>
      <c r="U59" s="87"/>
      <c r="V59" s="48"/>
      <c r="W59" s="48"/>
      <c r="X59" s="48"/>
      <c r="Y59" s="48"/>
      <c r="Z59" s="47"/>
      <c r="AA59" s="69">
        <v>59</v>
      </c>
      <c r="AB59" s="69"/>
      <c r="AC59" s="70"/>
      <c r="AD59" s="76" t="s">
        <v>17810</v>
      </c>
      <c r="AE59" s="81" t="s">
        <v>17462</v>
      </c>
      <c r="AF59" s="76">
        <v>36</v>
      </c>
      <c r="AG59" s="76">
        <v>132</v>
      </c>
      <c r="AH59" s="76">
        <v>589</v>
      </c>
      <c r="AI59" s="76">
        <v>4</v>
      </c>
      <c r="AJ59" s="76">
        <v>528</v>
      </c>
      <c r="AK59" s="76">
        <v>125</v>
      </c>
      <c r="AL59" s="76" t="b">
        <v>0</v>
      </c>
      <c r="AM59" s="78">
        <v>43204.740902777776</v>
      </c>
      <c r="AN59" s="76" t="s">
        <v>18575</v>
      </c>
      <c r="AO59" s="76" t="s">
        <v>18813</v>
      </c>
      <c r="AP59" s="76"/>
      <c r="AQ59" s="76"/>
      <c r="AR59" s="76"/>
      <c r="AS59" s="76"/>
      <c r="AT59" s="76"/>
      <c r="AU59" s="76"/>
      <c r="AV59" s="76">
        <v>1.52992707127907E+18</v>
      </c>
      <c r="AW59" s="76"/>
      <c r="AX59" s="76" t="b">
        <v>0</v>
      </c>
      <c r="AY59" s="76"/>
      <c r="AZ59" s="76"/>
      <c r="BA59" s="76" t="b">
        <v>0</v>
      </c>
      <c r="BB59" s="76" t="b">
        <v>1</v>
      </c>
      <c r="BC59" s="76" t="b">
        <v>1</v>
      </c>
      <c r="BD59" s="76" t="b">
        <v>0</v>
      </c>
      <c r="BE59" s="76" t="b">
        <v>0</v>
      </c>
      <c r="BF59" s="76" t="b">
        <v>0</v>
      </c>
      <c r="BG59" s="76" t="b">
        <v>0</v>
      </c>
      <c r="BH59" s="76"/>
      <c r="BI59" s="76"/>
      <c r="BJ59" s="76" t="s">
        <v>19734</v>
      </c>
      <c r="BK59" s="76" t="b">
        <v>0</v>
      </c>
      <c r="BL59" s="76"/>
      <c r="BM59" s="76" t="s">
        <v>66</v>
      </c>
      <c r="BN59" s="76" t="s">
        <v>19736</v>
      </c>
      <c r="BO59" s="83" t="str">
        <f>HYPERLINK("https://twitter.com/viniciocarlos_")</f>
        <v>https://twitter.com/viniciocarlos_</v>
      </c>
      <c r="BP59" s="2"/>
    </row>
    <row r="60" spans="1:68" x14ac:dyDescent="0.25">
      <c r="A60" s="62" t="s">
        <v>270</v>
      </c>
      <c r="B60" s="63"/>
      <c r="C60" s="63"/>
      <c r="D60" s="64"/>
      <c r="E60" s="66"/>
      <c r="F60" s="103" t="str">
        <f>HYPERLINK("https://pbs.twimg.com/profile_images/1694075151015464961/uupgCmSB_normal.jpg")</f>
        <v>https://pbs.twimg.com/profile_images/1694075151015464961/uupgCmSB_normal.jpg</v>
      </c>
      <c r="G60" s="63"/>
      <c r="H60" s="67"/>
      <c r="I60" s="68"/>
      <c r="J60" s="68"/>
      <c r="K60" s="67" t="s">
        <v>19793</v>
      </c>
      <c r="L60" s="71"/>
      <c r="M60" s="72"/>
      <c r="N60" s="72"/>
      <c r="O60" s="73"/>
      <c r="P60" s="74"/>
      <c r="Q60" s="74"/>
      <c r="R60" s="87"/>
      <c r="S60" s="87"/>
      <c r="T60" s="87"/>
      <c r="U60" s="87"/>
      <c r="V60" s="48"/>
      <c r="W60" s="48"/>
      <c r="X60" s="48"/>
      <c r="Y60" s="48"/>
      <c r="Z60" s="47"/>
      <c r="AA60" s="69">
        <v>60</v>
      </c>
      <c r="AB60" s="69"/>
      <c r="AC60" s="70"/>
      <c r="AD60" s="76" t="s">
        <v>17811</v>
      </c>
      <c r="AE60" s="81" t="s">
        <v>17463</v>
      </c>
      <c r="AF60" s="76">
        <v>426</v>
      </c>
      <c r="AG60" s="76">
        <v>1082</v>
      </c>
      <c r="AH60" s="76">
        <v>39</v>
      </c>
      <c r="AI60" s="76">
        <v>0</v>
      </c>
      <c r="AJ60" s="76">
        <v>1</v>
      </c>
      <c r="AK60" s="76">
        <v>36</v>
      </c>
      <c r="AL60" s="76" t="b">
        <v>0</v>
      </c>
      <c r="AM60" s="78">
        <v>45118.712939814817</v>
      </c>
      <c r="AN60" s="76"/>
      <c r="AO60" s="76" t="s">
        <v>18814</v>
      </c>
      <c r="AP60" s="83" t="str">
        <f>HYPERLINK("https://t.co/Uw9gNUKTAc")</f>
        <v>https://t.co/Uw9gNUKTAc</v>
      </c>
      <c r="AQ60" s="83" t="str">
        <f>HYPERLINK("http://solutionx.net.br")</f>
        <v>http://solutionx.net.br</v>
      </c>
      <c r="AR60" s="76" t="s">
        <v>19330</v>
      </c>
      <c r="AS60" s="76"/>
      <c r="AT60" s="76"/>
      <c r="AU60" s="76"/>
      <c r="AV60" s="76"/>
      <c r="AW60" s="83" t="str">
        <f>HYPERLINK("https://t.co/Uw9gNUKTAc")</f>
        <v>https://t.co/Uw9gNUKTAc</v>
      </c>
      <c r="AX60" s="76" t="b">
        <v>0</v>
      </c>
      <c r="AY60" s="76"/>
      <c r="AZ60" s="76"/>
      <c r="BA60" s="76" t="b">
        <v>0</v>
      </c>
      <c r="BB60" s="76" t="b">
        <v>1</v>
      </c>
      <c r="BC60" s="76" t="b">
        <v>1</v>
      </c>
      <c r="BD60" s="76" t="b">
        <v>0</v>
      </c>
      <c r="BE60" s="76" t="b">
        <v>0</v>
      </c>
      <c r="BF60" s="76" t="b">
        <v>0</v>
      </c>
      <c r="BG60" s="76" t="b">
        <v>0</v>
      </c>
      <c r="BH60" s="83" t="str">
        <f>HYPERLINK("https://pbs.twimg.com/profile_banners/1678812904601026564/1690417009")</f>
        <v>https://pbs.twimg.com/profile_banners/1678812904601026564/1690417009</v>
      </c>
      <c r="BI60" s="76"/>
      <c r="BJ60" s="76" t="s">
        <v>19734</v>
      </c>
      <c r="BK60" s="76" t="b">
        <v>0</v>
      </c>
      <c r="BL60" s="76"/>
      <c r="BM60" s="76" t="s">
        <v>66</v>
      </c>
      <c r="BN60" s="76" t="s">
        <v>19736</v>
      </c>
      <c r="BO60" s="83" t="str">
        <f>HYPERLINK("https://twitter.com/sxidiomas")</f>
        <v>https://twitter.com/sxidiomas</v>
      </c>
      <c r="BP60" s="2"/>
    </row>
    <row r="61" spans="1:68" x14ac:dyDescent="0.25">
      <c r="A61" s="62" t="s">
        <v>271</v>
      </c>
      <c r="B61" s="63"/>
      <c r="C61" s="63"/>
      <c r="D61" s="64"/>
      <c r="E61" s="66"/>
      <c r="F61" s="103" t="str">
        <f>HYPERLINK("https://pbs.twimg.com/profile_images/1634222638359883776/DPp6taPm_normal.jpg")</f>
        <v>https://pbs.twimg.com/profile_images/1634222638359883776/DPp6taPm_normal.jpg</v>
      </c>
      <c r="G61" s="63"/>
      <c r="H61" s="67"/>
      <c r="I61" s="68"/>
      <c r="J61" s="68"/>
      <c r="K61" s="67" t="s">
        <v>19794</v>
      </c>
      <c r="L61" s="71"/>
      <c r="M61" s="72"/>
      <c r="N61" s="72"/>
      <c r="O61" s="73"/>
      <c r="P61" s="74"/>
      <c r="Q61" s="74"/>
      <c r="R61" s="87"/>
      <c r="S61" s="87"/>
      <c r="T61" s="87"/>
      <c r="U61" s="87"/>
      <c r="V61" s="48"/>
      <c r="W61" s="48"/>
      <c r="X61" s="48"/>
      <c r="Y61" s="48"/>
      <c r="Z61" s="47"/>
      <c r="AA61" s="69">
        <v>61</v>
      </c>
      <c r="AB61" s="69"/>
      <c r="AC61" s="70"/>
      <c r="AD61" s="76" t="s">
        <v>17812</v>
      </c>
      <c r="AE61" s="81" t="s">
        <v>17464</v>
      </c>
      <c r="AF61" s="76">
        <v>7</v>
      </c>
      <c r="AG61" s="76">
        <v>41</v>
      </c>
      <c r="AH61" s="76">
        <v>187</v>
      </c>
      <c r="AI61" s="76">
        <v>0</v>
      </c>
      <c r="AJ61" s="76">
        <v>17</v>
      </c>
      <c r="AK61" s="76">
        <v>186</v>
      </c>
      <c r="AL61" s="76" t="b">
        <v>0</v>
      </c>
      <c r="AM61" s="78">
        <v>44995.664710648147</v>
      </c>
      <c r="AN61" s="76"/>
      <c r="AO61" s="76"/>
      <c r="AP61" s="83" t="str">
        <f>HYPERLINK("https://t.co/s1PjZEqZ0k")</f>
        <v>https://t.co/s1PjZEqZ0k</v>
      </c>
      <c r="AQ61" s="83" t="str">
        <f>HYPERLINK("https://bolsainteligente.com.br/")</f>
        <v>https://bolsainteligente.com.br/</v>
      </c>
      <c r="AR61" s="76" t="s">
        <v>19331</v>
      </c>
      <c r="AS61" s="76"/>
      <c r="AT61" s="76"/>
      <c r="AU61" s="76"/>
      <c r="AV61" s="76"/>
      <c r="AW61" s="83" t="str">
        <f>HYPERLINK("https://t.co/s1PjZEqZ0k")</f>
        <v>https://t.co/s1PjZEqZ0k</v>
      </c>
      <c r="AX61" s="76" t="b">
        <v>0</v>
      </c>
      <c r="AY61" s="76"/>
      <c r="AZ61" s="76"/>
      <c r="BA61" s="76" t="b">
        <v>0</v>
      </c>
      <c r="BB61" s="76" t="b">
        <v>1</v>
      </c>
      <c r="BC61" s="76" t="b">
        <v>1</v>
      </c>
      <c r="BD61" s="76" t="b">
        <v>0</v>
      </c>
      <c r="BE61" s="76" t="b">
        <v>0</v>
      </c>
      <c r="BF61" s="76" t="b">
        <v>0</v>
      </c>
      <c r="BG61" s="76" t="b">
        <v>0</v>
      </c>
      <c r="BH61" s="83" t="str">
        <f>HYPERLINK("https://pbs.twimg.com/profile_banners/1634221834966106113/1694440453")</f>
        <v>https://pbs.twimg.com/profile_banners/1634221834966106113/1694440453</v>
      </c>
      <c r="BI61" s="76"/>
      <c r="BJ61" s="76" t="s">
        <v>19734</v>
      </c>
      <c r="BK61" s="76" t="b">
        <v>0</v>
      </c>
      <c r="BL61" s="76"/>
      <c r="BM61" s="76" t="s">
        <v>66</v>
      </c>
      <c r="BN61" s="76" t="s">
        <v>19736</v>
      </c>
      <c r="BO61" s="83" t="str">
        <f>HYPERLINK("https://twitter.com/inteligentbolsa")</f>
        <v>https://twitter.com/inteligentbolsa</v>
      </c>
      <c r="BP61" s="2"/>
    </row>
    <row r="62" spans="1:68" x14ac:dyDescent="0.25">
      <c r="A62" s="62" t="s">
        <v>272</v>
      </c>
      <c r="B62" s="63"/>
      <c r="C62" s="63"/>
      <c r="D62" s="64"/>
      <c r="E62" s="66"/>
      <c r="F62" s="103" t="str">
        <f>HYPERLINK("https://pbs.twimg.com/profile_images/1661790216250687500/purhJhH7_normal.jpg")</f>
        <v>https://pbs.twimg.com/profile_images/1661790216250687500/purhJhH7_normal.jpg</v>
      </c>
      <c r="G62" s="63"/>
      <c r="H62" s="67"/>
      <c r="I62" s="68"/>
      <c r="J62" s="68"/>
      <c r="K62" s="67" t="s">
        <v>19795</v>
      </c>
      <c r="L62" s="71"/>
      <c r="M62" s="72"/>
      <c r="N62" s="72"/>
      <c r="O62" s="73"/>
      <c r="P62" s="74"/>
      <c r="Q62" s="74"/>
      <c r="R62" s="87"/>
      <c r="S62" s="87"/>
      <c r="T62" s="87"/>
      <c r="U62" s="87"/>
      <c r="V62" s="48"/>
      <c r="W62" s="48"/>
      <c r="X62" s="48"/>
      <c r="Y62" s="48"/>
      <c r="Z62" s="47"/>
      <c r="AA62" s="69">
        <v>62</v>
      </c>
      <c r="AB62" s="69"/>
      <c r="AC62" s="70"/>
      <c r="AD62" s="76" t="s">
        <v>17813</v>
      </c>
      <c r="AE62" s="81" t="s">
        <v>17465</v>
      </c>
      <c r="AF62" s="76">
        <v>6</v>
      </c>
      <c r="AG62" s="76">
        <v>0</v>
      </c>
      <c r="AH62" s="76">
        <v>263</v>
      </c>
      <c r="AI62" s="76">
        <v>0</v>
      </c>
      <c r="AJ62" s="76">
        <v>0</v>
      </c>
      <c r="AK62" s="76">
        <v>0</v>
      </c>
      <c r="AL62" s="76" t="b">
        <v>0</v>
      </c>
      <c r="AM62" s="78">
        <v>45071.738726851851</v>
      </c>
      <c r="AN62" s="76" t="s">
        <v>12040</v>
      </c>
      <c r="AO62" s="76" t="s">
        <v>18815</v>
      </c>
      <c r="AP62" s="76"/>
      <c r="AQ62" s="76"/>
      <c r="AR62" s="76"/>
      <c r="AS62" s="76" t="s">
        <v>19653</v>
      </c>
      <c r="AT62" s="76" t="s">
        <v>19668</v>
      </c>
      <c r="AU62" s="76" t="s">
        <v>19691</v>
      </c>
      <c r="AV62" s="76"/>
      <c r="AW62" s="76"/>
      <c r="AX62" s="76" t="b">
        <v>0</v>
      </c>
      <c r="AY62" s="76"/>
      <c r="AZ62" s="76"/>
      <c r="BA62" s="76" t="b">
        <v>0</v>
      </c>
      <c r="BB62" s="76" t="b">
        <v>1</v>
      </c>
      <c r="BC62" s="76" t="b">
        <v>1</v>
      </c>
      <c r="BD62" s="76" t="b">
        <v>0</v>
      </c>
      <c r="BE62" s="76" t="b">
        <v>0</v>
      </c>
      <c r="BF62" s="76" t="b">
        <v>0</v>
      </c>
      <c r="BG62" s="76" t="b">
        <v>0</v>
      </c>
      <c r="BH62" s="83" t="str">
        <f>HYPERLINK("https://pbs.twimg.com/profile_banners/1661790129126604801/1685148746")</f>
        <v>https://pbs.twimg.com/profile_banners/1661790129126604801/1685148746</v>
      </c>
      <c r="BI62" s="76"/>
      <c r="BJ62" s="76" t="s">
        <v>19734</v>
      </c>
      <c r="BK62" s="76" t="b">
        <v>0</v>
      </c>
      <c r="BL62" s="76"/>
      <c r="BM62" s="76" t="s">
        <v>66</v>
      </c>
      <c r="BN62" s="76" t="s">
        <v>19736</v>
      </c>
      <c r="BO62" s="83" t="str">
        <f>HYPERLINK("https://twitter.com/aleatoriando_o")</f>
        <v>https://twitter.com/aleatoriando_o</v>
      </c>
      <c r="BP62" s="2"/>
    </row>
    <row r="63" spans="1:68" x14ac:dyDescent="0.25">
      <c r="A63" s="62" t="s">
        <v>273</v>
      </c>
      <c r="B63" s="63"/>
      <c r="C63" s="63"/>
      <c r="D63" s="64"/>
      <c r="E63" s="66"/>
      <c r="F63" s="103" t="str">
        <f>HYPERLINK("https://pbs.twimg.com/profile_images/1700765763059974144/FMTEdyuE_normal.jpg")</f>
        <v>https://pbs.twimg.com/profile_images/1700765763059974144/FMTEdyuE_normal.jpg</v>
      </c>
      <c r="G63" s="63"/>
      <c r="H63" s="67"/>
      <c r="I63" s="68"/>
      <c r="J63" s="68"/>
      <c r="K63" s="67" t="s">
        <v>19796</v>
      </c>
      <c r="L63" s="71"/>
      <c r="M63" s="72"/>
      <c r="N63" s="72"/>
      <c r="O63" s="73"/>
      <c r="P63" s="74"/>
      <c r="Q63" s="74"/>
      <c r="R63" s="87"/>
      <c r="S63" s="87"/>
      <c r="T63" s="87"/>
      <c r="U63" s="87"/>
      <c r="V63" s="48"/>
      <c r="W63" s="48"/>
      <c r="X63" s="48"/>
      <c r="Y63" s="48"/>
      <c r="Z63" s="47"/>
      <c r="AA63" s="69">
        <v>63</v>
      </c>
      <c r="AB63" s="69"/>
      <c r="AC63" s="70"/>
      <c r="AD63" s="76" t="s">
        <v>17814</v>
      </c>
      <c r="AE63" s="81" t="s">
        <v>17320</v>
      </c>
      <c r="AF63" s="76">
        <v>281</v>
      </c>
      <c r="AG63" s="76">
        <v>598</v>
      </c>
      <c r="AH63" s="76">
        <v>642</v>
      </c>
      <c r="AI63" s="76">
        <v>2</v>
      </c>
      <c r="AJ63" s="76">
        <v>3651</v>
      </c>
      <c r="AK63" s="76">
        <v>90</v>
      </c>
      <c r="AL63" s="76" t="b">
        <v>0</v>
      </c>
      <c r="AM63" s="78">
        <v>44732.600127314814</v>
      </c>
      <c r="AN63" s="76" t="s">
        <v>12015</v>
      </c>
      <c r="AO63" s="76" t="s">
        <v>18816</v>
      </c>
      <c r="AP63" s="76"/>
      <c r="AQ63" s="76"/>
      <c r="AR63" s="76"/>
      <c r="AS63" s="76"/>
      <c r="AT63" s="76"/>
      <c r="AU63" s="76"/>
      <c r="AV63" s="76">
        <v>1.6835509457271301E+18</v>
      </c>
      <c r="AW63" s="76"/>
      <c r="AX63" s="76" t="b">
        <v>0</v>
      </c>
      <c r="AY63" s="76"/>
      <c r="AZ63" s="76"/>
      <c r="BA63" s="76" t="b">
        <v>1</v>
      </c>
      <c r="BB63" s="76" t="b">
        <v>1</v>
      </c>
      <c r="BC63" s="76" t="b">
        <v>1</v>
      </c>
      <c r="BD63" s="76" t="b">
        <v>0</v>
      </c>
      <c r="BE63" s="76" t="b">
        <v>0</v>
      </c>
      <c r="BF63" s="76" t="b">
        <v>0</v>
      </c>
      <c r="BG63" s="76" t="b">
        <v>0</v>
      </c>
      <c r="BH63" s="83" t="str">
        <f>HYPERLINK("https://pbs.twimg.com/profile_banners/1538890392640401408/1694414943")</f>
        <v>https://pbs.twimg.com/profile_banners/1538890392640401408/1694414943</v>
      </c>
      <c r="BI63" s="76"/>
      <c r="BJ63" s="76" t="s">
        <v>19734</v>
      </c>
      <c r="BK63" s="76" t="b">
        <v>0</v>
      </c>
      <c r="BL63" s="76"/>
      <c r="BM63" s="76" t="s">
        <v>66</v>
      </c>
      <c r="BN63" s="76" t="s">
        <v>19736</v>
      </c>
      <c r="BO63" s="83" t="str">
        <f>HYPERLINK("https://twitter.com/marcossanru")</f>
        <v>https://twitter.com/marcossanru</v>
      </c>
      <c r="BP63" s="2"/>
    </row>
    <row r="64" spans="1:68" x14ac:dyDescent="0.25">
      <c r="A64" s="62" t="s">
        <v>274</v>
      </c>
      <c r="B64" s="63"/>
      <c r="C64" s="63"/>
      <c r="D64" s="64"/>
      <c r="E64" s="66"/>
      <c r="F64" s="103" t="str">
        <f>HYPERLINK("https://pbs.twimg.com/profile_images/1594757327395110927/8lETs7UB_normal.jpg")</f>
        <v>https://pbs.twimg.com/profile_images/1594757327395110927/8lETs7UB_normal.jpg</v>
      </c>
      <c r="G64" s="63"/>
      <c r="H64" s="67"/>
      <c r="I64" s="68"/>
      <c r="J64" s="68"/>
      <c r="K64" s="67" t="s">
        <v>19797</v>
      </c>
      <c r="L64" s="71"/>
      <c r="M64" s="72"/>
      <c r="N64" s="72"/>
      <c r="O64" s="73"/>
      <c r="P64" s="74"/>
      <c r="Q64" s="74"/>
      <c r="R64" s="87"/>
      <c r="S64" s="87"/>
      <c r="T64" s="87"/>
      <c r="U64" s="87"/>
      <c r="V64" s="48"/>
      <c r="W64" s="48"/>
      <c r="X64" s="48"/>
      <c r="Y64" s="48"/>
      <c r="Z64" s="47"/>
      <c r="AA64" s="69">
        <v>64</v>
      </c>
      <c r="AB64" s="69"/>
      <c r="AC64" s="70"/>
      <c r="AD64" s="76" t="s">
        <v>17815</v>
      </c>
      <c r="AE64" s="81" t="s">
        <v>17321</v>
      </c>
      <c r="AF64" s="76">
        <v>10477</v>
      </c>
      <c r="AG64" s="76">
        <v>26</v>
      </c>
      <c r="AH64" s="76">
        <v>7468</v>
      </c>
      <c r="AI64" s="76">
        <v>80</v>
      </c>
      <c r="AJ64" s="76">
        <v>1270</v>
      </c>
      <c r="AK64" s="76">
        <v>1489</v>
      </c>
      <c r="AL64" s="76" t="b">
        <v>0</v>
      </c>
      <c r="AM64" s="78">
        <v>42657.847071759257</v>
      </c>
      <c r="AN64" s="76" t="s">
        <v>12014</v>
      </c>
      <c r="AO64" s="76" t="s">
        <v>18817</v>
      </c>
      <c r="AP64" s="83" t="str">
        <f>HYPERLINK("https://t.co/8Rd0ODLzLt")</f>
        <v>https://t.co/8Rd0ODLzLt</v>
      </c>
      <c r="AQ64" s="83" t="str">
        <f>HYPERLINK("https://gorila.com.br/")</f>
        <v>https://gorila.com.br/</v>
      </c>
      <c r="AR64" s="76" t="s">
        <v>19332</v>
      </c>
      <c r="AS64" s="76"/>
      <c r="AT64" s="76"/>
      <c r="AU64" s="76"/>
      <c r="AV64" s="76">
        <v>1.6002357025784699E+18</v>
      </c>
      <c r="AW64" s="83" t="str">
        <f>HYPERLINK("https://t.co/8Rd0ODLzLt")</f>
        <v>https://t.co/8Rd0ODLzLt</v>
      </c>
      <c r="AX64" s="76" t="b">
        <v>1</v>
      </c>
      <c r="AY64" s="76"/>
      <c r="AZ64" s="76"/>
      <c r="BA64" s="76" t="b">
        <v>1</v>
      </c>
      <c r="BB64" s="76" t="b">
        <v>1</v>
      </c>
      <c r="BC64" s="76" t="b">
        <v>0</v>
      </c>
      <c r="BD64" s="76" t="b">
        <v>0</v>
      </c>
      <c r="BE64" s="76" t="b">
        <v>1</v>
      </c>
      <c r="BF64" s="76" t="b">
        <v>0</v>
      </c>
      <c r="BG64" s="76" t="b">
        <v>0</v>
      </c>
      <c r="BH64" s="83" t="str">
        <f>HYPERLINK("https://pbs.twimg.com/profile_banners/787025129729646592/1682373413")</f>
        <v>https://pbs.twimg.com/profile_banners/787025129729646592/1682373413</v>
      </c>
      <c r="BI64" s="76"/>
      <c r="BJ64" s="76" t="s">
        <v>19734</v>
      </c>
      <c r="BK64" s="76" t="b">
        <v>0</v>
      </c>
      <c r="BL64" s="76"/>
      <c r="BM64" s="76" t="s">
        <v>66</v>
      </c>
      <c r="BN64" s="76" t="s">
        <v>19736</v>
      </c>
      <c r="BO64" s="83" t="str">
        <f>HYPERLINK("https://twitter.com/gorilainvest")</f>
        <v>https://twitter.com/gorilainvest</v>
      </c>
      <c r="BP64" s="2"/>
    </row>
    <row r="65" spans="1:68" x14ac:dyDescent="0.25">
      <c r="A65" s="62" t="s">
        <v>275</v>
      </c>
      <c r="B65" s="63"/>
      <c r="C65" s="63"/>
      <c r="D65" s="64"/>
      <c r="E65" s="66"/>
      <c r="F65" s="103" t="str">
        <f>HYPERLINK("https://pbs.twimg.com/profile_images/1624093291833696256/vg3O30oE_normal.jpg")</f>
        <v>https://pbs.twimg.com/profile_images/1624093291833696256/vg3O30oE_normal.jpg</v>
      </c>
      <c r="G65" s="63"/>
      <c r="H65" s="67"/>
      <c r="I65" s="68"/>
      <c r="J65" s="68"/>
      <c r="K65" s="67" t="s">
        <v>19798</v>
      </c>
      <c r="L65" s="71"/>
      <c r="M65" s="72"/>
      <c r="N65" s="72"/>
      <c r="O65" s="73"/>
      <c r="P65" s="74"/>
      <c r="Q65" s="74"/>
      <c r="R65" s="87"/>
      <c r="S65" s="87"/>
      <c r="T65" s="87"/>
      <c r="U65" s="87"/>
      <c r="V65" s="48"/>
      <c r="W65" s="48"/>
      <c r="X65" s="48"/>
      <c r="Y65" s="48"/>
      <c r="Z65" s="47"/>
      <c r="AA65" s="69">
        <v>65</v>
      </c>
      <c r="AB65" s="69"/>
      <c r="AC65" s="70"/>
      <c r="AD65" s="76" t="s">
        <v>17816</v>
      </c>
      <c r="AE65" s="81" t="s">
        <v>17466</v>
      </c>
      <c r="AF65" s="76">
        <v>24</v>
      </c>
      <c r="AG65" s="76">
        <v>169</v>
      </c>
      <c r="AH65" s="76">
        <v>56</v>
      </c>
      <c r="AI65" s="76">
        <v>2</v>
      </c>
      <c r="AJ65" s="76">
        <v>77</v>
      </c>
      <c r="AK65" s="76">
        <v>15</v>
      </c>
      <c r="AL65" s="76" t="b">
        <v>0</v>
      </c>
      <c r="AM65" s="78">
        <v>44967.713564814818</v>
      </c>
      <c r="AN65" s="76" t="s">
        <v>12039</v>
      </c>
      <c r="AO65" s="76" t="s">
        <v>18818</v>
      </c>
      <c r="AP65" s="76"/>
      <c r="AQ65" s="76"/>
      <c r="AR65" s="76"/>
      <c r="AS65" s="76"/>
      <c r="AT65" s="76"/>
      <c r="AU65" s="76"/>
      <c r="AV65" s="76"/>
      <c r="AW65" s="76"/>
      <c r="AX65" s="76" t="b">
        <v>0</v>
      </c>
      <c r="AY65" s="76"/>
      <c r="AZ65" s="76"/>
      <c r="BA65" s="76" t="b">
        <v>0</v>
      </c>
      <c r="BB65" s="76" t="b">
        <v>1</v>
      </c>
      <c r="BC65" s="76" t="b">
        <v>1</v>
      </c>
      <c r="BD65" s="76" t="b">
        <v>0</v>
      </c>
      <c r="BE65" s="76" t="b">
        <v>1</v>
      </c>
      <c r="BF65" s="76" t="b">
        <v>0</v>
      </c>
      <c r="BG65" s="76" t="b">
        <v>0</v>
      </c>
      <c r="BH65" s="83" t="str">
        <f>HYPERLINK("https://pbs.twimg.com/profile_banners/1624092679989608448/1689890426")</f>
        <v>https://pbs.twimg.com/profile_banners/1624092679989608448/1689890426</v>
      </c>
      <c r="BI65" s="76"/>
      <c r="BJ65" s="76" t="s">
        <v>19734</v>
      </c>
      <c r="BK65" s="76" t="b">
        <v>0</v>
      </c>
      <c r="BL65" s="76"/>
      <c r="BM65" s="76" t="s">
        <v>66</v>
      </c>
      <c r="BN65" s="76" t="s">
        <v>19736</v>
      </c>
      <c r="BO65" s="83" t="str">
        <f>HYPERLINK("https://twitter.com/salamandraamby")</f>
        <v>https://twitter.com/salamandraamby</v>
      </c>
      <c r="BP65" s="2"/>
    </row>
    <row r="66" spans="1:68" x14ac:dyDescent="0.25">
      <c r="A66" s="62" t="s">
        <v>276</v>
      </c>
      <c r="B66" s="63"/>
      <c r="C66" s="63"/>
      <c r="D66" s="64"/>
      <c r="E66" s="66"/>
      <c r="F66" s="103" t="str">
        <f>HYPERLINK("https://pbs.twimg.com/profile_images/1452274818494222341/QXc33wOy_normal.jpg")</f>
        <v>https://pbs.twimg.com/profile_images/1452274818494222341/QXc33wOy_normal.jpg</v>
      </c>
      <c r="G66" s="63"/>
      <c r="H66" s="67"/>
      <c r="I66" s="68"/>
      <c r="J66" s="68"/>
      <c r="K66" s="67" t="s">
        <v>19799</v>
      </c>
      <c r="L66" s="71"/>
      <c r="M66" s="72"/>
      <c r="N66" s="72"/>
      <c r="O66" s="73"/>
      <c r="P66" s="74"/>
      <c r="Q66" s="74"/>
      <c r="R66" s="87"/>
      <c r="S66" s="87"/>
      <c r="T66" s="87"/>
      <c r="U66" s="87"/>
      <c r="V66" s="48"/>
      <c r="W66" s="48"/>
      <c r="X66" s="48"/>
      <c r="Y66" s="48"/>
      <c r="Z66" s="47"/>
      <c r="AA66" s="69">
        <v>66</v>
      </c>
      <c r="AB66" s="69"/>
      <c r="AC66" s="70"/>
      <c r="AD66" s="76" t="s">
        <v>17817</v>
      </c>
      <c r="AE66" s="81" t="s">
        <v>17467</v>
      </c>
      <c r="AF66" s="76">
        <v>98</v>
      </c>
      <c r="AG66" s="76">
        <v>269</v>
      </c>
      <c r="AH66" s="76">
        <v>2063</v>
      </c>
      <c r="AI66" s="76">
        <v>1</v>
      </c>
      <c r="AJ66" s="76">
        <v>3853</v>
      </c>
      <c r="AK66" s="76">
        <v>274</v>
      </c>
      <c r="AL66" s="76" t="b">
        <v>0</v>
      </c>
      <c r="AM66" s="78">
        <v>42796.649641203701</v>
      </c>
      <c r="AN66" s="76" t="s">
        <v>18576</v>
      </c>
      <c r="AO66" s="76" t="s">
        <v>18819</v>
      </c>
      <c r="AP66" s="83" t="str">
        <f>HYPERLINK("https://t.co/86i9zSkSjZ")</f>
        <v>https://t.co/86i9zSkSjZ</v>
      </c>
      <c r="AQ66" s="83" t="str">
        <f>HYPERLINK("https://cadastro.xpi.com.br/passo/assessor/step1?assessor=A74145")</f>
        <v>https://cadastro.xpi.com.br/passo/assessor/step1?assessor=A74145</v>
      </c>
      <c r="AR66" s="76" t="s">
        <v>19333</v>
      </c>
      <c r="AS66" s="76"/>
      <c r="AT66" s="76"/>
      <c r="AU66" s="76"/>
      <c r="AV66" s="76"/>
      <c r="AW66" s="83" t="str">
        <f>HYPERLINK("https://t.co/86i9zSkSjZ")</f>
        <v>https://t.co/86i9zSkSjZ</v>
      </c>
      <c r="AX66" s="76" t="b">
        <v>0</v>
      </c>
      <c r="AY66" s="76"/>
      <c r="AZ66" s="76"/>
      <c r="BA66" s="76" t="b">
        <v>1</v>
      </c>
      <c r="BB66" s="76" t="b">
        <v>1</v>
      </c>
      <c r="BC66" s="76" t="b">
        <v>1</v>
      </c>
      <c r="BD66" s="76" t="b">
        <v>0</v>
      </c>
      <c r="BE66" s="76" t="b">
        <v>1</v>
      </c>
      <c r="BF66" s="76" t="b">
        <v>0</v>
      </c>
      <c r="BG66" s="76" t="b">
        <v>0</v>
      </c>
      <c r="BH66" s="83" t="str">
        <f>HYPERLINK("https://pbs.twimg.com/profile_banners/837325494248947713/1648590370")</f>
        <v>https://pbs.twimg.com/profile_banners/837325494248947713/1648590370</v>
      </c>
      <c r="BI66" s="76"/>
      <c r="BJ66" s="76" t="s">
        <v>19734</v>
      </c>
      <c r="BK66" s="76" t="b">
        <v>0</v>
      </c>
      <c r="BL66" s="76"/>
      <c r="BM66" s="76" t="s">
        <v>66</v>
      </c>
      <c r="BN66" s="76" t="s">
        <v>19736</v>
      </c>
      <c r="BO66" s="83" t="str">
        <f>HYPERLINK("https://twitter.com/andrewcfonseca")</f>
        <v>https://twitter.com/andrewcfonseca</v>
      </c>
      <c r="BP66" s="2"/>
    </row>
    <row r="67" spans="1:68" x14ac:dyDescent="0.25">
      <c r="A67" s="62" t="s">
        <v>277</v>
      </c>
      <c r="B67" s="63"/>
      <c r="C67" s="63"/>
      <c r="D67" s="64"/>
      <c r="E67" s="66"/>
      <c r="F67" s="103" t="str">
        <f>HYPERLINK("https://pbs.twimg.com/profile_images/1598414629453045764/CwldwMp2_normal.jpg")</f>
        <v>https://pbs.twimg.com/profile_images/1598414629453045764/CwldwMp2_normal.jpg</v>
      </c>
      <c r="G67" s="63"/>
      <c r="H67" s="67"/>
      <c r="I67" s="68"/>
      <c r="J67" s="68"/>
      <c r="K67" s="67" t="s">
        <v>19800</v>
      </c>
      <c r="L67" s="71"/>
      <c r="M67" s="72"/>
      <c r="N67" s="72"/>
      <c r="O67" s="73"/>
      <c r="P67" s="74"/>
      <c r="Q67" s="74"/>
      <c r="R67" s="87"/>
      <c r="S67" s="87"/>
      <c r="T67" s="87"/>
      <c r="U67" s="87"/>
      <c r="V67" s="48"/>
      <c r="W67" s="48"/>
      <c r="X67" s="48"/>
      <c r="Y67" s="48"/>
      <c r="Z67" s="47"/>
      <c r="AA67" s="69">
        <v>67</v>
      </c>
      <c r="AB67" s="69"/>
      <c r="AC67" s="70"/>
      <c r="AD67" s="76" t="s">
        <v>17818</v>
      </c>
      <c r="AE67" s="81" t="s">
        <v>17468</v>
      </c>
      <c r="AF67" s="76">
        <v>26</v>
      </c>
      <c r="AG67" s="76">
        <v>53</v>
      </c>
      <c r="AH67" s="76">
        <v>183</v>
      </c>
      <c r="AI67" s="76">
        <v>1</v>
      </c>
      <c r="AJ67" s="76">
        <v>11</v>
      </c>
      <c r="AK67" s="76">
        <v>146</v>
      </c>
      <c r="AL67" s="76" t="b">
        <v>0</v>
      </c>
      <c r="AM67" s="78">
        <v>44550.884467592594</v>
      </c>
      <c r="AN67" s="76"/>
      <c r="AO67" s="76" t="s">
        <v>18820</v>
      </c>
      <c r="AP67" s="83" t="str">
        <f>HYPERLINK("https://t.co/7voairwnnG")</f>
        <v>https://t.co/7voairwnnG</v>
      </c>
      <c r="AQ67" s="83" t="str">
        <f>HYPERLINK("https://bit.ly/CanalMonex")</f>
        <v>https://bit.ly/CanalMonex</v>
      </c>
      <c r="AR67" s="76" t="s">
        <v>19334</v>
      </c>
      <c r="AS67" s="76"/>
      <c r="AT67" s="76"/>
      <c r="AU67" s="76"/>
      <c r="AV67" s="76"/>
      <c r="AW67" s="83" t="str">
        <f>HYPERLINK("https://t.co/7voairwnnG")</f>
        <v>https://t.co/7voairwnnG</v>
      </c>
      <c r="AX67" s="76" t="b">
        <v>0</v>
      </c>
      <c r="AY67" s="76"/>
      <c r="AZ67" s="76"/>
      <c r="BA67" s="76" t="b">
        <v>0</v>
      </c>
      <c r="BB67" s="76" t="b">
        <v>1</v>
      </c>
      <c r="BC67" s="76" t="b">
        <v>1</v>
      </c>
      <c r="BD67" s="76" t="b">
        <v>0</v>
      </c>
      <c r="BE67" s="76" t="b">
        <v>0</v>
      </c>
      <c r="BF67" s="76" t="b">
        <v>0</v>
      </c>
      <c r="BG67" s="76" t="b">
        <v>0</v>
      </c>
      <c r="BH67" s="83" t="str">
        <f>HYPERLINK("https://pbs.twimg.com/profile_banners/1473038877153705987/1694613077")</f>
        <v>https://pbs.twimg.com/profile_banners/1473038877153705987/1694613077</v>
      </c>
      <c r="BI67" s="76"/>
      <c r="BJ67" s="76" t="s">
        <v>19734</v>
      </c>
      <c r="BK67" s="76" t="b">
        <v>0</v>
      </c>
      <c r="BL67" s="76"/>
      <c r="BM67" s="76" t="s">
        <v>66</v>
      </c>
      <c r="BN67" s="76" t="s">
        <v>19736</v>
      </c>
      <c r="BO67" s="83" t="str">
        <f>HYPERLINK("https://twitter.com/arthurodriguex")</f>
        <v>https://twitter.com/arthurodriguex</v>
      </c>
      <c r="BP67" s="2"/>
    </row>
    <row r="68" spans="1:68" x14ac:dyDescent="0.25">
      <c r="A68" s="62" t="s">
        <v>278</v>
      </c>
      <c r="B68" s="63"/>
      <c r="C68" s="63"/>
      <c r="D68" s="64"/>
      <c r="E68" s="66"/>
      <c r="F68" s="103" t="str">
        <f>HYPERLINK("https://pbs.twimg.com/profile_images/1669525332594917378/m_gDjB0i_normal.jpg")</f>
        <v>https://pbs.twimg.com/profile_images/1669525332594917378/m_gDjB0i_normal.jpg</v>
      </c>
      <c r="G68" s="63"/>
      <c r="H68" s="67"/>
      <c r="I68" s="68"/>
      <c r="J68" s="68"/>
      <c r="K68" s="67" t="s">
        <v>19801</v>
      </c>
      <c r="L68" s="71"/>
      <c r="M68" s="72"/>
      <c r="N68" s="72"/>
      <c r="O68" s="73"/>
      <c r="P68" s="74"/>
      <c r="Q68" s="74"/>
      <c r="R68" s="87"/>
      <c r="S68" s="87"/>
      <c r="T68" s="87"/>
      <c r="U68" s="87"/>
      <c r="V68" s="48"/>
      <c r="W68" s="48"/>
      <c r="X68" s="48"/>
      <c r="Y68" s="48"/>
      <c r="Z68" s="47"/>
      <c r="AA68" s="69">
        <v>68</v>
      </c>
      <c r="AB68" s="69"/>
      <c r="AC68" s="70"/>
      <c r="AD68" s="76" t="s">
        <v>17819</v>
      </c>
      <c r="AE68" s="81" t="s">
        <v>17469</v>
      </c>
      <c r="AF68" s="76">
        <v>47</v>
      </c>
      <c r="AG68" s="76">
        <v>24</v>
      </c>
      <c r="AH68" s="76">
        <v>1407</v>
      </c>
      <c r="AI68" s="76">
        <v>1</v>
      </c>
      <c r="AJ68" s="76">
        <v>31</v>
      </c>
      <c r="AK68" s="76">
        <v>1287</v>
      </c>
      <c r="AL68" s="76" t="b">
        <v>0</v>
      </c>
      <c r="AM68" s="78">
        <v>44683.991469907407</v>
      </c>
      <c r="AN68" s="76"/>
      <c r="AO68" s="76" t="s">
        <v>18821</v>
      </c>
      <c r="AP68" s="76"/>
      <c r="AQ68" s="76"/>
      <c r="AR68" s="76"/>
      <c r="AS68" s="76"/>
      <c r="AT68" s="76"/>
      <c r="AU68" s="76"/>
      <c r="AV68" s="76">
        <v>1.7073678997388201E+18</v>
      </c>
      <c r="AW68" s="76"/>
      <c r="AX68" s="76" t="b">
        <v>0</v>
      </c>
      <c r="AY68" s="76"/>
      <c r="AZ68" s="76"/>
      <c r="BA68" s="76" t="b">
        <v>0</v>
      </c>
      <c r="BB68" s="76" t="b">
        <v>1</v>
      </c>
      <c r="BC68" s="76" t="b">
        <v>1</v>
      </c>
      <c r="BD68" s="76" t="b">
        <v>0</v>
      </c>
      <c r="BE68" s="76" t="b">
        <v>1</v>
      </c>
      <c r="BF68" s="76" t="b">
        <v>0</v>
      </c>
      <c r="BG68" s="76" t="b">
        <v>0</v>
      </c>
      <c r="BH68" s="83" t="str">
        <f>HYPERLINK("https://pbs.twimg.com/profile_banners/1521275109075525633/1686880811")</f>
        <v>https://pbs.twimg.com/profile_banners/1521275109075525633/1686880811</v>
      </c>
      <c r="BI68" s="76"/>
      <c r="BJ68" s="76" t="s">
        <v>19734</v>
      </c>
      <c r="BK68" s="76" t="b">
        <v>0</v>
      </c>
      <c r="BL68" s="76"/>
      <c r="BM68" s="76" t="s">
        <v>66</v>
      </c>
      <c r="BN68" s="76" t="s">
        <v>19736</v>
      </c>
      <c r="BO68" s="83" t="str">
        <f>HYPERLINK("https://twitter.com/facolommoney")</f>
        <v>https://twitter.com/facolommoney</v>
      </c>
      <c r="BP68" s="2"/>
    </row>
    <row r="69" spans="1:68" x14ac:dyDescent="0.25">
      <c r="A69" s="62" t="s">
        <v>279</v>
      </c>
      <c r="B69" s="63"/>
      <c r="C69" s="63"/>
      <c r="D69" s="64"/>
      <c r="E69" s="66"/>
      <c r="F69" s="103" t="str">
        <f>HYPERLINK("https://pbs.twimg.com/profile_images/1323758908658298882/79Ji5FBc_normal.jpg")</f>
        <v>https://pbs.twimg.com/profile_images/1323758908658298882/79Ji5FBc_normal.jpg</v>
      </c>
      <c r="G69" s="63"/>
      <c r="H69" s="67"/>
      <c r="I69" s="68"/>
      <c r="J69" s="68"/>
      <c r="K69" s="67" t="s">
        <v>19802</v>
      </c>
      <c r="L69" s="71"/>
      <c r="M69" s="72"/>
      <c r="N69" s="72"/>
      <c r="O69" s="73"/>
      <c r="P69" s="74"/>
      <c r="Q69" s="74"/>
      <c r="R69" s="87"/>
      <c r="S69" s="87"/>
      <c r="T69" s="87"/>
      <c r="U69" s="87"/>
      <c r="V69" s="48"/>
      <c r="W69" s="48"/>
      <c r="X69" s="48"/>
      <c r="Y69" s="48"/>
      <c r="Z69" s="47"/>
      <c r="AA69" s="69">
        <v>69</v>
      </c>
      <c r="AB69" s="69"/>
      <c r="AC69" s="70"/>
      <c r="AD69" s="76" t="s">
        <v>17820</v>
      </c>
      <c r="AE69" s="81" t="s">
        <v>17322</v>
      </c>
      <c r="AF69" s="76">
        <v>135</v>
      </c>
      <c r="AG69" s="76">
        <v>1014</v>
      </c>
      <c r="AH69" s="76">
        <v>917</v>
      </c>
      <c r="AI69" s="76">
        <v>8</v>
      </c>
      <c r="AJ69" s="76">
        <v>927</v>
      </c>
      <c r="AK69" s="76">
        <v>205</v>
      </c>
      <c r="AL69" s="76" t="b">
        <v>0</v>
      </c>
      <c r="AM69" s="78">
        <v>40434.658090277779</v>
      </c>
      <c r="AN69" s="76" t="s">
        <v>18577</v>
      </c>
      <c r="AO69" s="76" t="s">
        <v>18822</v>
      </c>
      <c r="AP69" s="76"/>
      <c r="AQ69" s="76"/>
      <c r="AR69" s="76"/>
      <c r="AS69" s="76"/>
      <c r="AT69" s="76"/>
      <c r="AU69" s="76"/>
      <c r="AV69" s="76"/>
      <c r="AW69" s="76"/>
      <c r="AX69" s="76" t="b">
        <v>0</v>
      </c>
      <c r="AY69" s="76"/>
      <c r="AZ69" s="76"/>
      <c r="BA69" s="76" t="b">
        <v>0</v>
      </c>
      <c r="BB69" s="76" t="b">
        <v>1</v>
      </c>
      <c r="BC69" s="76" t="b">
        <v>0</v>
      </c>
      <c r="BD69" s="76" t="b">
        <v>0</v>
      </c>
      <c r="BE69" s="76" t="b">
        <v>1</v>
      </c>
      <c r="BF69" s="76" t="b">
        <v>0</v>
      </c>
      <c r="BG69" s="76" t="b">
        <v>0</v>
      </c>
      <c r="BH69" s="83" t="str">
        <f>HYPERLINK("https://pbs.twimg.com/profile_banners/190292183/1604443724")</f>
        <v>https://pbs.twimg.com/profile_banners/190292183/1604443724</v>
      </c>
      <c r="BI69" s="76"/>
      <c r="BJ69" s="76" t="s">
        <v>19734</v>
      </c>
      <c r="BK69" s="76" t="b">
        <v>0</v>
      </c>
      <c r="BL69" s="76"/>
      <c r="BM69" s="76" t="s">
        <v>66</v>
      </c>
      <c r="BN69" s="76" t="s">
        <v>19736</v>
      </c>
      <c r="BO69" s="83" t="str">
        <f>HYPERLINK("https://twitter.com/ayronferreira")</f>
        <v>https://twitter.com/ayronferreira</v>
      </c>
      <c r="BP69" s="2"/>
    </row>
    <row r="70" spans="1:68" x14ac:dyDescent="0.25">
      <c r="A70" s="62" t="s">
        <v>280</v>
      </c>
      <c r="B70" s="63"/>
      <c r="C70" s="63"/>
      <c r="D70" s="64"/>
      <c r="E70" s="66"/>
      <c r="F70" s="103" t="str">
        <f>HYPERLINK("https://pbs.twimg.com/profile_images/1675609647628050433/z22lwE44_normal.jpg")</f>
        <v>https://pbs.twimg.com/profile_images/1675609647628050433/z22lwE44_normal.jpg</v>
      </c>
      <c r="G70" s="63"/>
      <c r="H70" s="67"/>
      <c r="I70" s="68"/>
      <c r="J70" s="68"/>
      <c r="K70" s="67" t="s">
        <v>19803</v>
      </c>
      <c r="L70" s="71"/>
      <c r="M70" s="72"/>
      <c r="N70" s="72"/>
      <c r="O70" s="73"/>
      <c r="P70" s="74"/>
      <c r="Q70" s="74"/>
      <c r="R70" s="87"/>
      <c r="S70" s="87"/>
      <c r="T70" s="87"/>
      <c r="U70" s="87"/>
      <c r="V70" s="48"/>
      <c r="W70" s="48"/>
      <c r="X70" s="48"/>
      <c r="Y70" s="48"/>
      <c r="Z70" s="47"/>
      <c r="AA70" s="69">
        <v>70</v>
      </c>
      <c r="AB70" s="69"/>
      <c r="AC70" s="70"/>
      <c r="AD70" s="76" t="s">
        <v>17821</v>
      </c>
      <c r="AE70" s="81" t="s">
        <v>18342</v>
      </c>
      <c r="AF70" s="76">
        <v>185</v>
      </c>
      <c r="AG70" s="76">
        <v>398</v>
      </c>
      <c r="AH70" s="76">
        <v>2661</v>
      </c>
      <c r="AI70" s="76">
        <v>4</v>
      </c>
      <c r="AJ70" s="76">
        <v>3406</v>
      </c>
      <c r="AK70" s="76">
        <v>374</v>
      </c>
      <c r="AL70" s="76" t="b">
        <v>0</v>
      </c>
      <c r="AM70" s="78">
        <v>41093.332546296297</v>
      </c>
      <c r="AN70" s="76" t="s">
        <v>18578</v>
      </c>
      <c r="AO70" s="76" t="s">
        <v>18823</v>
      </c>
      <c r="AP70" s="76"/>
      <c r="AQ70" s="76"/>
      <c r="AR70" s="76"/>
      <c r="AS70" s="76"/>
      <c r="AT70" s="76"/>
      <c r="AU70" s="76"/>
      <c r="AV70" s="76">
        <v>1.5518553258248801E+18</v>
      </c>
      <c r="AW70" s="76"/>
      <c r="AX70" s="76" t="b">
        <v>0</v>
      </c>
      <c r="AY70" s="76"/>
      <c r="AZ70" s="76"/>
      <c r="BA70" s="76" t="b">
        <v>1</v>
      </c>
      <c r="BB70" s="76" t="b">
        <v>0</v>
      </c>
      <c r="BC70" s="76" t="b">
        <v>0</v>
      </c>
      <c r="BD70" s="76" t="b">
        <v>0</v>
      </c>
      <c r="BE70" s="76" t="b">
        <v>1</v>
      </c>
      <c r="BF70" s="76" t="b">
        <v>0</v>
      </c>
      <c r="BG70" s="76" t="b">
        <v>0</v>
      </c>
      <c r="BH70" s="83" t="str">
        <f>HYPERLINK("https://pbs.twimg.com/profile_banners/625443093/1536704579")</f>
        <v>https://pbs.twimg.com/profile_banners/625443093/1536704579</v>
      </c>
      <c r="BI70" s="76"/>
      <c r="BJ70" s="76" t="s">
        <v>19735</v>
      </c>
      <c r="BK70" s="76" t="b">
        <v>0</v>
      </c>
      <c r="BL70" s="76"/>
      <c r="BM70" s="76" t="s">
        <v>66</v>
      </c>
      <c r="BN70" s="76" t="s">
        <v>19736</v>
      </c>
      <c r="BO70" s="83" t="str">
        <f>HYPERLINK("https://twitter.com/hmiacatracha")</f>
        <v>https://twitter.com/hmiacatracha</v>
      </c>
      <c r="BP70" s="2"/>
    </row>
    <row r="71" spans="1:68" x14ac:dyDescent="0.25">
      <c r="A71" s="62" t="s">
        <v>737</v>
      </c>
      <c r="B71" s="63"/>
      <c r="C71" s="63"/>
      <c r="D71" s="64"/>
      <c r="E71" s="66"/>
      <c r="F71" s="103" t="str">
        <f>HYPERLINK("https://pbs.twimg.com/profile_images/1063097716031533059/yAe1j-56_normal.jpg")</f>
        <v>https://pbs.twimg.com/profile_images/1063097716031533059/yAe1j-56_normal.jpg</v>
      </c>
      <c r="G71" s="63"/>
      <c r="H71" s="67"/>
      <c r="I71" s="68"/>
      <c r="J71" s="68"/>
      <c r="K71" s="67" t="s">
        <v>19804</v>
      </c>
      <c r="L71" s="71"/>
      <c r="M71" s="72"/>
      <c r="N71" s="72"/>
      <c r="O71" s="73"/>
      <c r="P71" s="74"/>
      <c r="Q71" s="74"/>
      <c r="R71" s="87"/>
      <c r="S71" s="87"/>
      <c r="T71" s="87"/>
      <c r="U71" s="87"/>
      <c r="V71" s="48"/>
      <c r="W71" s="48"/>
      <c r="X71" s="48"/>
      <c r="Y71" s="48"/>
      <c r="Z71" s="47"/>
      <c r="AA71" s="69">
        <v>71</v>
      </c>
      <c r="AB71" s="69"/>
      <c r="AC71" s="70"/>
      <c r="AD71" s="76" t="s">
        <v>17822</v>
      </c>
      <c r="AE71" s="81" t="s">
        <v>18343</v>
      </c>
      <c r="AF71" s="76">
        <v>533545</v>
      </c>
      <c r="AG71" s="76">
        <v>242</v>
      </c>
      <c r="AH71" s="76">
        <v>335392</v>
      </c>
      <c r="AI71" s="76">
        <v>3982</v>
      </c>
      <c r="AJ71" s="76">
        <v>1494</v>
      </c>
      <c r="AK71" s="76">
        <v>35812</v>
      </c>
      <c r="AL71" s="76" t="b">
        <v>0</v>
      </c>
      <c r="AM71" s="78">
        <v>39381.454988425925</v>
      </c>
      <c r="AN71" s="76" t="s">
        <v>18579</v>
      </c>
      <c r="AO71" s="76" t="s">
        <v>18824</v>
      </c>
      <c r="AP71" s="83" t="str">
        <f>HYPERLINK("https://t.co/clE6mHqSTA")</f>
        <v>https://t.co/clE6mHqSTA</v>
      </c>
      <c r="AQ71" s="83" t="str">
        <f>HYPERLINK("http://www.cope.es")</f>
        <v>http://www.cope.es</v>
      </c>
      <c r="AR71" s="76" t="s">
        <v>7069</v>
      </c>
      <c r="AS71" s="76"/>
      <c r="AT71" s="76"/>
      <c r="AU71" s="76"/>
      <c r="AV71" s="76"/>
      <c r="AW71" s="83" t="str">
        <f>HYPERLINK("https://t.co/clE6mHqSTA")</f>
        <v>https://t.co/clE6mHqSTA</v>
      </c>
      <c r="AX71" s="76" t="b">
        <v>1</v>
      </c>
      <c r="AY71" s="76"/>
      <c r="AZ71" s="76"/>
      <c r="BA71" s="76" t="b">
        <v>0</v>
      </c>
      <c r="BB71" s="76" t="b">
        <v>0</v>
      </c>
      <c r="BC71" s="76" t="b">
        <v>0</v>
      </c>
      <c r="BD71" s="76" t="b">
        <v>0</v>
      </c>
      <c r="BE71" s="76" t="b">
        <v>1</v>
      </c>
      <c r="BF71" s="76" t="b">
        <v>0</v>
      </c>
      <c r="BG71" s="76" t="b">
        <v>0</v>
      </c>
      <c r="BH71" s="83" t="str">
        <f>HYPERLINK("https://pbs.twimg.com/profile_banners/9706822/1636029051")</f>
        <v>https://pbs.twimg.com/profile_banners/9706822/1636029051</v>
      </c>
      <c r="BI71" s="76"/>
      <c r="BJ71" s="76" t="s">
        <v>19735</v>
      </c>
      <c r="BK71" s="76" t="b">
        <v>0</v>
      </c>
      <c r="BL71" s="76"/>
      <c r="BM71" s="76" t="s">
        <v>65</v>
      </c>
      <c r="BN71" s="76" t="s">
        <v>19736</v>
      </c>
      <c r="BO71" s="83" t="str">
        <f>HYPERLINK("https://twitter.com/cope")</f>
        <v>https://twitter.com/cope</v>
      </c>
      <c r="BP71" s="2"/>
    </row>
    <row r="72" spans="1:68" x14ac:dyDescent="0.25">
      <c r="A72" s="62" t="s">
        <v>281</v>
      </c>
      <c r="B72" s="63"/>
      <c r="C72" s="63"/>
      <c r="D72" s="64"/>
      <c r="E72" s="66"/>
      <c r="F72" s="103" t="str">
        <f>HYPERLINK("https://pbs.twimg.com/profile_images/1681344029345169422/XtshoR_p_normal.jpg")</f>
        <v>https://pbs.twimg.com/profile_images/1681344029345169422/XtshoR_p_normal.jpg</v>
      </c>
      <c r="G72" s="63"/>
      <c r="H72" s="67"/>
      <c r="I72" s="68"/>
      <c r="J72" s="68"/>
      <c r="K72" s="67" t="s">
        <v>19805</v>
      </c>
      <c r="L72" s="71"/>
      <c r="M72" s="72"/>
      <c r="N72" s="72"/>
      <c r="O72" s="73"/>
      <c r="P72" s="74"/>
      <c r="Q72" s="74"/>
      <c r="R72" s="87"/>
      <c r="S72" s="87"/>
      <c r="T72" s="87"/>
      <c r="U72" s="87"/>
      <c r="V72" s="48"/>
      <c r="W72" s="48"/>
      <c r="X72" s="48"/>
      <c r="Y72" s="48"/>
      <c r="Z72" s="47"/>
      <c r="AA72" s="69">
        <v>72</v>
      </c>
      <c r="AB72" s="69"/>
      <c r="AC72" s="70"/>
      <c r="AD72" s="76" t="s">
        <v>17823</v>
      </c>
      <c r="AE72" s="81" t="s">
        <v>17470</v>
      </c>
      <c r="AF72" s="76">
        <v>7</v>
      </c>
      <c r="AG72" s="76">
        <v>185</v>
      </c>
      <c r="AH72" s="76">
        <v>36</v>
      </c>
      <c r="AI72" s="76">
        <v>0</v>
      </c>
      <c r="AJ72" s="76">
        <v>69</v>
      </c>
      <c r="AK72" s="76">
        <v>19</v>
      </c>
      <c r="AL72" s="76" t="b">
        <v>0</v>
      </c>
      <c r="AM72" s="78">
        <v>44973.786608796298</v>
      </c>
      <c r="AN72" s="76" t="s">
        <v>18580</v>
      </c>
      <c r="AO72" s="76" t="s">
        <v>18825</v>
      </c>
      <c r="AP72" s="83" t="str">
        <f>HYPERLINK("https://t.co/nZQEUqH0Nx")</f>
        <v>https://t.co/nZQEUqH0Nx</v>
      </c>
      <c r="AQ72" s="83" t="str">
        <f>HYPERLINK("https://www.coletivoecovida.com/")</f>
        <v>https://www.coletivoecovida.com/</v>
      </c>
      <c r="AR72" s="76" t="s">
        <v>19335</v>
      </c>
      <c r="AS72" s="76"/>
      <c r="AT72" s="76"/>
      <c r="AU72" s="76"/>
      <c r="AV72" s="76"/>
      <c r="AW72" s="83" t="str">
        <f>HYPERLINK("https://t.co/nZQEUqH0Nx")</f>
        <v>https://t.co/nZQEUqH0Nx</v>
      </c>
      <c r="AX72" s="76" t="b">
        <v>0</v>
      </c>
      <c r="AY72" s="76"/>
      <c r="AZ72" s="76"/>
      <c r="BA72" s="76" t="b">
        <v>0</v>
      </c>
      <c r="BB72" s="76" t="b">
        <v>1</v>
      </c>
      <c r="BC72" s="76" t="b">
        <v>1</v>
      </c>
      <c r="BD72" s="76" t="b">
        <v>0</v>
      </c>
      <c r="BE72" s="76" t="b">
        <v>0</v>
      </c>
      <c r="BF72" s="76" t="b">
        <v>0</v>
      </c>
      <c r="BG72" s="76" t="b">
        <v>0</v>
      </c>
      <c r="BH72" s="83" t="str">
        <f>HYPERLINK("https://pbs.twimg.com/profile_banners/1626293474319368192/1676574555")</f>
        <v>https://pbs.twimg.com/profile_banners/1626293474319368192/1676574555</v>
      </c>
      <c r="BI72" s="76"/>
      <c r="BJ72" s="76" t="s">
        <v>19734</v>
      </c>
      <c r="BK72" s="76" t="b">
        <v>0</v>
      </c>
      <c r="BL72" s="76"/>
      <c r="BM72" s="76" t="s">
        <v>66</v>
      </c>
      <c r="BN72" s="76" t="s">
        <v>19736</v>
      </c>
      <c r="BO72" s="83" t="str">
        <f>HYPERLINK("https://twitter.com/instecovida")</f>
        <v>https://twitter.com/instecovida</v>
      </c>
      <c r="BP72" s="2"/>
    </row>
    <row r="73" spans="1:68" x14ac:dyDescent="0.25">
      <c r="A73" s="62" t="s">
        <v>282</v>
      </c>
      <c r="B73" s="63"/>
      <c r="C73" s="63"/>
      <c r="D73" s="64"/>
      <c r="E73" s="66"/>
      <c r="F73" s="103" t="str">
        <f>HYPERLINK("https://pbs.twimg.com/profile_images/1500654903672418304/vy7NyoI9_normal.jpg")</f>
        <v>https://pbs.twimg.com/profile_images/1500654903672418304/vy7NyoI9_normal.jpg</v>
      </c>
      <c r="G73" s="63"/>
      <c r="H73" s="67"/>
      <c r="I73" s="68"/>
      <c r="J73" s="68"/>
      <c r="K73" s="67" t="s">
        <v>19806</v>
      </c>
      <c r="L73" s="71"/>
      <c r="M73" s="72"/>
      <c r="N73" s="72"/>
      <c r="O73" s="73"/>
      <c r="P73" s="74"/>
      <c r="Q73" s="74"/>
      <c r="R73" s="87"/>
      <c r="S73" s="87"/>
      <c r="T73" s="87"/>
      <c r="U73" s="87"/>
      <c r="V73" s="48"/>
      <c r="W73" s="48"/>
      <c r="X73" s="48"/>
      <c r="Y73" s="48"/>
      <c r="Z73" s="47"/>
      <c r="AA73" s="69">
        <v>73</v>
      </c>
      <c r="AB73" s="69"/>
      <c r="AC73" s="70"/>
      <c r="AD73" s="76" t="s">
        <v>17824</v>
      </c>
      <c r="AE73" s="81" t="s">
        <v>17471</v>
      </c>
      <c r="AF73" s="76">
        <v>2102</v>
      </c>
      <c r="AG73" s="76">
        <v>1590</v>
      </c>
      <c r="AH73" s="76">
        <v>2081</v>
      </c>
      <c r="AI73" s="76">
        <v>3</v>
      </c>
      <c r="AJ73" s="76">
        <v>4261</v>
      </c>
      <c r="AK73" s="76">
        <v>235</v>
      </c>
      <c r="AL73" s="76" t="b">
        <v>0</v>
      </c>
      <c r="AM73" s="78">
        <v>44368.731793981482</v>
      </c>
      <c r="AN73" s="76"/>
      <c r="AO73" s="76" t="s">
        <v>18826</v>
      </c>
      <c r="AP73" s="76"/>
      <c r="AQ73" s="76"/>
      <c r="AR73" s="76"/>
      <c r="AS73" s="76"/>
      <c r="AT73" s="76"/>
      <c r="AU73" s="76"/>
      <c r="AV73" s="76">
        <v>1.5870956965654799E+18</v>
      </c>
      <c r="AW73" s="76"/>
      <c r="AX73" s="76" t="b">
        <v>0</v>
      </c>
      <c r="AY73" s="76"/>
      <c r="AZ73" s="76"/>
      <c r="BA73" s="76" t="b">
        <v>1</v>
      </c>
      <c r="BB73" s="76" t="b">
        <v>1</v>
      </c>
      <c r="BC73" s="76" t="b">
        <v>1</v>
      </c>
      <c r="BD73" s="76" t="b">
        <v>0</v>
      </c>
      <c r="BE73" s="76" t="b">
        <v>1</v>
      </c>
      <c r="BF73" s="76" t="b">
        <v>0</v>
      </c>
      <c r="BG73" s="76" t="b">
        <v>0</v>
      </c>
      <c r="BH73" s="83" t="str">
        <f>HYPERLINK("https://pbs.twimg.com/profile_banners/1407028935360192517/1647054590")</f>
        <v>https://pbs.twimg.com/profile_banners/1407028935360192517/1647054590</v>
      </c>
      <c r="BI73" s="76"/>
      <c r="BJ73" s="76" t="s">
        <v>19734</v>
      </c>
      <c r="BK73" s="76" t="b">
        <v>0</v>
      </c>
      <c r="BL73" s="76"/>
      <c r="BM73" s="76" t="s">
        <v>66</v>
      </c>
      <c r="BN73" s="76" t="s">
        <v>19736</v>
      </c>
      <c r="BO73" s="83" t="str">
        <f>HYPERLINK("https://twitter.com/andrelenski")</f>
        <v>https://twitter.com/andrelenski</v>
      </c>
      <c r="BP73" s="2"/>
    </row>
    <row r="74" spans="1:68" x14ac:dyDescent="0.25">
      <c r="A74" s="62" t="s">
        <v>738</v>
      </c>
      <c r="B74" s="63"/>
      <c r="C74" s="63"/>
      <c r="D74" s="64"/>
      <c r="E74" s="66"/>
      <c r="F74" s="103" t="str">
        <f>HYPERLINK("https://pbs.twimg.com/profile_images/2455533128/612s3tb6ksnwdtgp6vs9_normal.png")</f>
        <v>https://pbs.twimg.com/profile_images/2455533128/612s3tb6ksnwdtgp6vs9_normal.png</v>
      </c>
      <c r="G74" s="63"/>
      <c r="H74" s="67"/>
      <c r="I74" s="68"/>
      <c r="J74" s="68"/>
      <c r="K74" s="67" t="s">
        <v>19807</v>
      </c>
      <c r="L74" s="71"/>
      <c r="M74" s="72"/>
      <c r="N74" s="72"/>
      <c r="O74" s="73"/>
      <c r="P74" s="74"/>
      <c r="Q74" s="74"/>
      <c r="R74" s="87"/>
      <c r="S74" s="87"/>
      <c r="T74" s="87"/>
      <c r="U74" s="87"/>
      <c r="V74" s="48"/>
      <c r="W74" s="48"/>
      <c r="X74" s="48"/>
      <c r="Y74" s="48"/>
      <c r="Z74" s="47"/>
      <c r="AA74" s="69">
        <v>74</v>
      </c>
      <c r="AB74" s="69"/>
      <c r="AC74" s="70"/>
      <c r="AD74" s="76" t="s">
        <v>17825</v>
      </c>
      <c r="AE74" s="81" t="s">
        <v>18344</v>
      </c>
      <c r="AF74" s="76">
        <v>1858</v>
      </c>
      <c r="AG74" s="76">
        <v>36</v>
      </c>
      <c r="AH74" s="76">
        <v>1827</v>
      </c>
      <c r="AI74" s="76">
        <v>53</v>
      </c>
      <c r="AJ74" s="76">
        <v>12</v>
      </c>
      <c r="AK74" s="76">
        <v>119</v>
      </c>
      <c r="AL74" s="76" t="b">
        <v>0</v>
      </c>
      <c r="AM74" s="78">
        <v>39821.477789351855</v>
      </c>
      <c r="AN74" s="76" t="s">
        <v>18581</v>
      </c>
      <c r="AO74" s="76" t="s">
        <v>18827</v>
      </c>
      <c r="AP74" s="83" t="str">
        <f>HYPERLINK("http://t.co/lQHczTGkXU")</f>
        <v>http://t.co/lQHczTGkXU</v>
      </c>
      <c r="AQ74" s="83" t="str">
        <f>HYPERLINK("http://www.padtec.com")</f>
        <v>http://www.padtec.com</v>
      </c>
      <c r="AR74" s="76" t="s">
        <v>19336</v>
      </c>
      <c r="AS74" s="76"/>
      <c r="AT74" s="76"/>
      <c r="AU74" s="76"/>
      <c r="AV74" s="76"/>
      <c r="AW74" s="83" t="str">
        <f>HYPERLINK("http://t.co/lQHczTGkXU")</f>
        <v>http://t.co/lQHczTGkXU</v>
      </c>
      <c r="AX74" s="76" t="b">
        <v>0</v>
      </c>
      <c r="AY74" s="76"/>
      <c r="AZ74" s="76"/>
      <c r="BA74" s="76" t="b">
        <v>0</v>
      </c>
      <c r="BB74" s="76" t="b">
        <v>1</v>
      </c>
      <c r="BC74" s="76" t="b">
        <v>0</v>
      </c>
      <c r="BD74" s="76" t="b">
        <v>0</v>
      </c>
      <c r="BE74" s="76" t="b">
        <v>0</v>
      </c>
      <c r="BF74" s="76" t="b">
        <v>0</v>
      </c>
      <c r="BG74" s="76" t="b">
        <v>0</v>
      </c>
      <c r="BH74" s="83" t="str">
        <f>HYPERLINK("https://pbs.twimg.com/profile_banners/18760940/1401362109")</f>
        <v>https://pbs.twimg.com/profile_banners/18760940/1401362109</v>
      </c>
      <c r="BI74" s="76"/>
      <c r="BJ74" s="76" t="s">
        <v>19734</v>
      </c>
      <c r="BK74" s="76" t="b">
        <v>0</v>
      </c>
      <c r="BL74" s="76"/>
      <c r="BM74" s="76" t="s">
        <v>65</v>
      </c>
      <c r="BN74" s="76" t="s">
        <v>19736</v>
      </c>
      <c r="BO74" s="83" t="str">
        <f>HYPERLINK("https://twitter.com/padtec")</f>
        <v>https://twitter.com/padtec</v>
      </c>
      <c r="BP74" s="2"/>
    </row>
    <row r="75" spans="1:68" x14ac:dyDescent="0.25">
      <c r="A75" s="62" t="s">
        <v>283</v>
      </c>
      <c r="B75" s="63"/>
      <c r="C75" s="63"/>
      <c r="D75" s="64"/>
      <c r="E75" s="66"/>
      <c r="F75" s="103" t="str">
        <f>HYPERLINK("https://pbs.twimg.com/profile_images/1609719940491116544/NTaonkWC_normal.jpg")</f>
        <v>https://pbs.twimg.com/profile_images/1609719940491116544/NTaonkWC_normal.jpg</v>
      </c>
      <c r="G75" s="63"/>
      <c r="H75" s="67"/>
      <c r="I75" s="68"/>
      <c r="J75" s="68"/>
      <c r="K75" s="67" t="s">
        <v>19808</v>
      </c>
      <c r="L75" s="71"/>
      <c r="M75" s="72"/>
      <c r="N75" s="72"/>
      <c r="O75" s="73"/>
      <c r="P75" s="74"/>
      <c r="Q75" s="74"/>
      <c r="R75" s="87"/>
      <c r="S75" s="87"/>
      <c r="T75" s="87"/>
      <c r="U75" s="87"/>
      <c r="V75" s="48"/>
      <c r="W75" s="48"/>
      <c r="X75" s="48"/>
      <c r="Y75" s="48"/>
      <c r="Z75" s="47"/>
      <c r="AA75" s="69">
        <v>75</v>
      </c>
      <c r="AB75" s="69"/>
      <c r="AC75" s="70"/>
      <c r="AD75" s="76" t="s">
        <v>17826</v>
      </c>
      <c r="AE75" s="81" t="s">
        <v>17472</v>
      </c>
      <c r="AF75" s="76">
        <v>833</v>
      </c>
      <c r="AG75" s="76">
        <v>34</v>
      </c>
      <c r="AH75" s="76">
        <v>887</v>
      </c>
      <c r="AI75" s="76">
        <v>8</v>
      </c>
      <c r="AJ75" s="76">
        <v>4</v>
      </c>
      <c r="AK75" s="76">
        <v>393</v>
      </c>
      <c r="AL75" s="76" t="b">
        <v>0</v>
      </c>
      <c r="AM75" s="78">
        <v>44881.577372685184</v>
      </c>
      <c r="AN75" s="76"/>
      <c r="AO75" s="76" t="s">
        <v>18828</v>
      </c>
      <c r="AP75" s="76"/>
      <c r="AQ75" s="76"/>
      <c r="AR75" s="76"/>
      <c r="AS75" s="76"/>
      <c r="AT75" s="76"/>
      <c r="AU75" s="76"/>
      <c r="AV75" s="76"/>
      <c r="AW75" s="76"/>
      <c r="AX75" s="76" t="b">
        <v>0</v>
      </c>
      <c r="AY75" s="76"/>
      <c r="AZ75" s="76"/>
      <c r="BA75" s="76" t="b">
        <v>0</v>
      </c>
      <c r="BB75" s="76" t="b">
        <v>1</v>
      </c>
      <c r="BC75" s="76" t="b">
        <v>1</v>
      </c>
      <c r="BD75" s="76" t="b">
        <v>0</v>
      </c>
      <c r="BE75" s="76" t="b">
        <v>0</v>
      </c>
      <c r="BF75" s="76" t="b">
        <v>0</v>
      </c>
      <c r="BG75" s="76" t="b">
        <v>0</v>
      </c>
      <c r="BH75" s="83" t="str">
        <f>HYPERLINK("https://pbs.twimg.com/profile_banners/1592877910079291392/1691614005")</f>
        <v>https://pbs.twimg.com/profile_banners/1592877910079291392/1691614005</v>
      </c>
      <c r="BI75" s="76"/>
      <c r="BJ75" s="76" t="s">
        <v>19734</v>
      </c>
      <c r="BK75" s="76" t="b">
        <v>0</v>
      </c>
      <c r="BL75" s="76"/>
      <c r="BM75" s="76" t="s">
        <v>66</v>
      </c>
      <c r="BN75" s="76" t="s">
        <v>19736</v>
      </c>
      <c r="BO75" s="83" t="str">
        <f>HYPERLINK("https://twitter.com/governope")</f>
        <v>https://twitter.com/governope</v>
      </c>
      <c r="BP75" s="2"/>
    </row>
    <row r="76" spans="1:68" x14ac:dyDescent="0.25">
      <c r="A76" s="62" t="s">
        <v>284</v>
      </c>
      <c r="B76" s="63"/>
      <c r="C76" s="63"/>
      <c r="D76" s="64"/>
      <c r="E76" s="66"/>
      <c r="F76" s="103" t="str">
        <f>HYPERLINK("https://pbs.twimg.com/profile_images/1686834655801024512/sVEKXAB3_normal.jpg")</f>
        <v>https://pbs.twimg.com/profile_images/1686834655801024512/sVEKXAB3_normal.jpg</v>
      </c>
      <c r="G76" s="63"/>
      <c r="H76" s="67"/>
      <c r="I76" s="68"/>
      <c r="J76" s="68"/>
      <c r="K76" s="67" t="s">
        <v>19809</v>
      </c>
      <c r="L76" s="71"/>
      <c r="M76" s="72"/>
      <c r="N76" s="72"/>
      <c r="O76" s="73"/>
      <c r="P76" s="74"/>
      <c r="Q76" s="74"/>
      <c r="R76" s="87"/>
      <c r="S76" s="87"/>
      <c r="T76" s="87"/>
      <c r="U76" s="87"/>
      <c r="V76" s="48"/>
      <c r="W76" s="48"/>
      <c r="X76" s="48"/>
      <c r="Y76" s="48"/>
      <c r="Z76" s="47"/>
      <c r="AA76" s="69">
        <v>76</v>
      </c>
      <c r="AB76" s="69"/>
      <c r="AC76" s="70"/>
      <c r="AD76" s="76" t="s">
        <v>17827</v>
      </c>
      <c r="AE76" s="81" t="s">
        <v>18345</v>
      </c>
      <c r="AF76" s="76">
        <v>1390</v>
      </c>
      <c r="AG76" s="76">
        <v>698</v>
      </c>
      <c r="AH76" s="76">
        <v>83163</v>
      </c>
      <c r="AI76" s="76">
        <v>6</v>
      </c>
      <c r="AJ76" s="76">
        <v>198</v>
      </c>
      <c r="AK76" s="76">
        <v>155</v>
      </c>
      <c r="AL76" s="76" t="b">
        <v>0</v>
      </c>
      <c r="AM76" s="78">
        <v>41030.754837962966</v>
      </c>
      <c r="AN76" s="76" t="s">
        <v>18582</v>
      </c>
      <c r="AO76" s="76" t="s">
        <v>18829</v>
      </c>
      <c r="AP76" s="83" t="str">
        <f>HYPERLINK("https://t.co/lrtTeHT5T6")</f>
        <v>https://t.co/lrtTeHT5T6</v>
      </c>
      <c r="AQ76" s="83" t="str">
        <f>HYPERLINK("https://blogdojuares.com.br")</f>
        <v>https://blogdojuares.com.br</v>
      </c>
      <c r="AR76" s="76" t="s">
        <v>19337</v>
      </c>
      <c r="AS76" s="76"/>
      <c r="AT76" s="76"/>
      <c r="AU76" s="76"/>
      <c r="AV76" s="76"/>
      <c r="AW76" s="83" t="str">
        <f>HYPERLINK("https://t.co/lrtTeHT5T6")</f>
        <v>https://t.co/lrtTeHT5T6</v>
      </c>
      <c r="AX76" s="76" t="b">
        <v>0</v>
      </c>
      <c r="AY76" s="76"/>
      <c r="AZ76" s="76"/>
      <c r="BA76" s="76" t="b">
        <v>0</v>
      </c>
      <c r="BB76" s="76" t="b">
        <v>1</v>
      </c>
      <c r="BC76" s="76" t="b">
        <v>0</v>
      </c>
      <c r="BD76" s="76" t="b">
        <v>0</v>
      </c>
      <c r="BE76" s="76" t="b">
        <v>0</v>
      </c>
      <c r="BF76" s="76" t="b">
        <v>0</v>
      </c>
      <c r="BG76" s="76" t="b">
        <v>0</v>
      </c>
      <c r="BH76" s="83" t="str">
        <f>HYPERLINK("https://pbs.twimg.com/profile_banners/568494327/1634061488")</f>
        <v>https://pbs.twimg.com/profile_banners/568494327/1634061488</v>
      </c>
      <c r="BI76" s="76"/>
      <c r="BJ76" s="76" t="s">
        <v>19734</v>
      </c>
      <c r="BK76" s="76" t="b">
        <v>0</v>
      </c>
      <c r="BL76" s="76"/>
      <c r="BM76" s="76" t="s">
        <v>66</v>
      </c>
      <c r="BN76" s="76" t="s">
        <v>19736</v>
      </c>
      <c r="BO76" s="83" t="str">
        <f>HYPERLINK("https://twitter.com/blogdojuares")</f>
        <v>https://twitter.com/blogdojuares</v>
      </c>
      <c r="BP76" s="2"/>
    </row>
    <row r="77" spans="1:68" x14ac:dyDescent="0.25">
      <c r="A77" s="62" t="s">
        <v>285</v>
      </c>
      <c r="B77" s="63"/>
      <c r="C77" s="63"/>
      <c r="D77" s="64"/>
      <c r="E77" s="66"/>
      <c r="F77" s="103" t="str">
        <f>HYPERLINK("https://pbs.twimg.com/profile_images/1542815893985656832/pb8rZvcs_normal.jpg")</f>
        <v>https://pbs.twimg.com/profile_images/1542815893985656832/pb8rZvcs_normal.jpg</v>
      </c>
      <c r="G77" s="63"/>
      <c r="H77" s="67"/>
      <c r="I77" s="68"/>
      <c r="J77" s="68"/>
      <c r="K77" s="67" t="s">
        <v>19810</v>
      </c>
      <c r="L77" s="71"/>
      <c r="M77" s="72"/>
      <c r="N77" s="72"/>
      <c r="O77" s="73"/>
      <c r="P77" s="74"/>
      <c r="Q77" s="74"/>
      <c r="R77" s="87"/>
      <c r="S77" s="87"/>
      <c r="T77" s="87"/>
      <c r="U77" s="87"/>
      <c r="V77" s="48"/>
      <c r="W77" s="48"/>
      <c r="X77" s="48"/>
      <c r="Y77" s="48"/>
      <c r="Z77" s="47"/>
      <c r="AA77" s="69">
        <v>77</v>
      </c>
      <c r="AB77" s="69"/>
      <c r="AC77" s="70"/>
      <c r="AD77" s="76" t="s">
        <v>17828</v>
      </c>
      <c r="AE77" s="81" t="s">
        <v>18346</v>
      </c>
      <c r="AF77" s="76">
        <v>8902</v>
      </c>
      <c r="AG77" s="76">
        <v>9714</v>
      </c>
      <c r="AH77" s="76">
        <v>55272</v>
      </c>
      <c r="AI77" s="76">
        <v>183</v>
      </c>
      <c r="AJ77" s="76">
        <v>10781</v>
      </c>
      <c r="AK77" s="76">
        <v>10450</v>
      </c>
      <c r="AL77" s="76" t="b">
        <v>0</v>
      </c>
      <c r="AM77" s="78">
        <v>40834.623530092591</v>
      </c>
      <c r="AN77" s="76" t="s">
        <v>18583</v>
      </c>
      <c r="AO77" s="76" t="s">
        <v>18830</v>
      </c>
      <c r="AP77" s="83" t="str">
        <f>HYPERLINK("https://t.co/VGCtt7hWvH")</f>
        <v>https://t.co/VGCtt7hWvH</v>
      </c>
      <c r="AQ77" s="83" t="str">
        <f>HYPERLINK("http://www.umanresa.cat")</f>
        <v>http://www.umanresa.cat</v>
      </c>
      <c r="AR77" s="76" t="s">
        <v>7070</v>
      </c>
      <c r="AS77" s="76"/>
      <c r="AT77" s="76"/>
      <c r="AU77" s="76"/>
      <c r="AV77" s="76"/>
      <c r="AW77" s="83" t="str">
        <f>HYPERLINK("https://t.co/VGCtt7hWvH")</f>
        <v>https://t.co/VGCtt7hWvH</v>
      </c>
      <c r="AX77" s="76" t="b">
        <v>0</v>
      </c>
      <c r="AY77" s="76"/>
      <c r="AZ77" s="76"/>
      <c r="BA77" s="76" t="b">
        <v>0</v>
      </c>
      <c r="BB77" s="76" t="b">
        <v>1</v>
      </c>
      <c r="BC77" s="76" t="b">
        <v>0</v>
      </c>
      <c r="BD77" s="76" t="b">
        <v>0</v>
      </c>
      <c r="BE77" s="76" t="b">
        <v>1</v>
      </c>
      <c r="BF77" s="76" t="b">
        <v>0</v>
      </c>
      <c r="BG77" s="76" t="b">
        <v>0</v>
      </c>
      <c r="BH77" s="83" t="str">
        <f>HYPERLINK("https://pbs.twimg.com/profile_banners/393440112/1589635919")</f>
        <v>https://pbs.twimg.com/profile_banners/393440112/1589635919</v>
      </c>
      <c r="BI77" s="76"/>
      <c r="BJ77" s="76" t="s">
        <v>19734</v>
      </c>
      <c r="BK77" s="76" t="b">
        <v>0</v>
      </c>
      <c r="BL77" s="76"/>
      <c r="BM77" s="76" t="s">
        <v>66</v>
      </c>
      <c r="BN77" s="76" t="s">
        <v>19736</v>
      </c>
      <c r="BO77" s="83" t="str">
        <f>HYPERLINK("https://twitter.com/umanresa")</f>
        <v>https://twitter.com/umanresa</v>
      </c>
      <c r="BP77" s="2"/>
    </row>
    <row r="78" spans="1:68" x14ac:dyDescent="0.25">
      <c r="A78" s="62" t="s">
        <v>286</v>
      </c>
      <c r="B78" s="63"/>
      <c r="C78" s="63"/>
      <c r="D78" s="64"/>
      <c r="E78" s="66"/>
      <c r="F78" s="103" t="str">
        <f>HYPERLINK("https://pbs.twimg.com/profile_images/1189998710941519873/CWsvZbyl_normal.jpg")</f>
        <v>https://pbs.twimg.com/profile_images/1189998710941519873/CWsvZbyl_normal.jpg</v>
      </c>
      <c r="G78" s="63"/>
      <c r="H78" s="67"/>
      <c r="I78" s="68"/>
      <c r="J78" s="68"/>
      <c r="K78" s="67" t="s">
        <v>19811</v>
      </c>
      <c r="L78" s="71"/>
      <c r="M78" s="72"/>
      <c r="N78" s="72"/>
      <c r="O78" s="73"/>
      <c r="P78" s="74"/>
      <c r="Q78" s="74"/>
      <c r="R78" s="87"/>
      <c r="S78" s="87"/>
      <c r="T78" s="87"/>
      <c r="U78" s="87"/>
      <c r="V78" s="48"/>
      <c r="W78" s="48"/>
      <c r="X78" s="48"/>
      <c r="Y78" s="48"/>
      <c r="Z78" s="47"/>
      <c r="AA78" s="69">
        <v>78</v>
      </c>
      <c r="AB78" s="69"/>
      <c r="AC78" s="70"/>
      <c r="AD78" s="76" t="s">
        <v>17829</v>
      </c>
      <c r="AE78" s="81" t="s">
        <v>18347</v>
      </c>
      <c r="AF78" s="76">
        <v>34</v>
      </c>
      <c r="AG78" s="76">
        <v>197</v>
      </c>
      <c r="AH78" s="76">
        <v>5286</v>
      </c>
      <c r="AI78" s="76">
        <v>0</v>
      </c>
      <c r="AJ78" s="76">
        <v>3216</v>
      </c>
      <c r="AK78" s="76">
        <v>1431</v>
      </c>
      <c r="AL78" s="76" t="b">
        <v>0</v>
      </c>
      <c r="AM78" s="78">
        <v>40415.992754629631</v>
      </c>
      <c r="AN78" s="76" t="s">
        <v>18584</v>
      </c>
      <c r="AO78" s="76" t="s">
        <v>18831</v>
      </c>
      <c r="AP78" s="83" t="str">
        <f>HYPERLINK("https://t.co/WDm84UN0tl")</f>
        <v>https://t.co/WDm84UN0tl</v>
      </c>
      <c r="AQ78" s="83" t="str">
        <f>HYPERLINK("https://morfogog.blogspot.com/")</f>
        <v>https://morfogog.blogspot.com/</v>
      </c>
      <c r="AR78" s="76" t="s">
        <v>19338</v>
      </c>
      <c r="AS78" s="76"/>
      <c r="AT78" s="76"/>
      <c r="AU78" s="76"/>
      <c r="AV78" s="76">
        <v>1.62587410970275E+18</v>
      </c>
      <c r="AW78" s="83" t="str">
        <f>HYPERLINK("https://t.co/WDm84UN0tl")</f>
        <v>https://t.co/WDm84UN0tl</v>
      </c>
      <c r="AX78" s="76" t="b">
        <v>0</v>
      </c>
      <c r="AY78" s="76"/>
      <c r="AZ78" s="76"/>
      <c r="BA78" s="76" t="b">
        <v>1</v>
      </c>
      <c r="BB78" s="76" t="b">
        <v>1</v>
      </c>
      <c r="BC78" s="76" t="b">
        <v>1</v>
      </c>
      <c r="BD78" s="76" t="b">
        <v>0</v>
      </c>
      <c r="BE78" s="76" t="b">
        <v>1</v>
      </c>
      <c r="BF78" s="76" t="b">
        <v>0</v>
      </c>
      <c r="BG78" s="76" t="b">
        <v>0</v>
      </c>
      <c r="BH78" s="83" t="str">
        <f>HYPERLINK("https://pbs.twimg.com/profile_banners/183022394/1572552778")</f>
        <v>https://pbs.twimg.com/profile_banners/183022394/1572552778</v>
      </c>
      <c r="BI78" s="76"/>
      <c r="BJ78" s="76" t="s">
        <v>19734</v>
      </c>
      <c r="BK78" s="76" t="b">
        <v>0</v>
      </c>
      <c r="BL78" s="76"/>
      <c r="BM78" s="76" t="s">
        <v>66</v>
      </c>
      <c r="BN78" s="76" t="s">
        <v>19736</v>
      </c>
      <c r="BO78" s="83" t="str">
        <f>HYPERLINK("https://twitter.com/henriquehikgt")</f>
        <v>https://twitter.com/henriquehikgt</v>
      </c>
      <c r="BP78" s="2"/>
    </row>
    <row r="79" spans="1:68" x14ac:dyDescent="0.25">
      <c r="A79" s="62" t="s">
        <v>287</v>
      </c>
      <c r="B79" s="63"/>
      <c r="C79" s="63"/>
      <c r="D79" s="64"/>
      <c r="E79" s="66"/>
      <c r="F79" s="103" t="str">
        <f>HYPERLINK("https://pbs.twimg.com/profile_images/1687123701995610112/amSQV7t7_normal.jpg")</f>
        <v>https://pbs.twimg.com/profile_images/1687123701995610112/amSQV7t7_normal.jpg</v>
      </c>
      <c r="G79" s="63"/>
      <c r="H79" s="67"/>
      <c r="I79" s="68"/>
      <c r="J79" s="68"/>
      <c r="K79" s="67" t="s">
        <v>19812</v>
      </c>
      <c r="L79" s="71"/>
      <c r="M79" s="72"/>
      <c r="N79" s="72"/>
      <c r="O79" s="73"/>
      <c r="P79" s="74"/>
      <c r="Q79" s="74"/>
      <c r="R79" s="87"/>
      <c r="S79" s="87"/>
      <c r="T79" s="87"/>
      <c r="U79" s="87"/>
      <c r="V79" s="48"/>
      <c r="W79" s="48"/>
      <c r="X79" s="48"/>
      <c r="Y79" s="48"/>
      <c r="Z79" s="47"/>
      <c r="AA79" s="69">
        <v>79</v>
      </c>
      <c r="AB79" s="69"/>
      <c r="AC79" s="70"/>
      <c r="AD79" s="76" t="s">
        <v>17830</v>
      </c>
      <c r="AE79" s="81" t="s">
        <v>17323</v>
      </c>
      <c r="AF79" s="76">
        <v>205</v>
      </c>
      <c r="AG79" s="76">
        <v>711</v>
      </c>
      <c r="AH79" s="76">
        <v>3567</v>
      </c>
      <c r="AI79" s="76">
        <v>0</v>
      </c>
      <c r="AJ79" s="76">
        <v>1364</v>
      </c>
      <c r="AK79" s="76">
        <v>1418</v>
      </c>
      <c r="AL79" s="76" t="b">
        <v>0</v>
      </c>
      <c r="AM79" s="78">
        <v>44883.688171296293</v>
      </c>
      <c r="AN79" s="76"/>
      <c r="AO79" s="76" t="s">
        <v>18832</v>
      </c>
      <c r="AP79" s="76"/>
      <c r="AQ79" s="76"/>
      <c r="AR79" s="76"/>
      <c r="AS79" s="76"/>
      <c r="AT79" s="76"/>
      <c r="AU79" s="76"/>
      <c r="AV79" s="76">
        <v>1.6002672632311301E+18</v>
      </c>
      <c r="AW79" s="76"/>
      <c r="AX79" s="76" t="b">
        <v>0</v>
      </c>
      <c r="AY79" s="76"/>
      <c r="AZ79" s="76"/>
      <c r="BA79" s="76" t="b">
        <v>0</v>
      </c>
      <c r="BB79" s="76" t="b">
        <v>1</v>
      </c>
      <c r="BC79" s="76" t="b">
        <v>1</v>
      </c>
      <c r="BD79" s="76" t="b">
        <v>0</v>
      </c>
      <c r="BE79" s="76" t="b">
        <v>0</v>
      </c>
      <c r="BF79" s="76" t="b">
        <v>0</v>
      </c>
      <c r="BG79" s="76" t="b">
        <v>0</v>
      </c>
      <c r="BH79" s="83" t="str">
        <f>HYPERLINK("https://pbs.twimg.com/profile_banners/1593642891708174340/1674487532")</f>
        <v>https://pbs.twimg.com/profile_banners/1593642891708174340/1674487532</v>
      </c>
      <c r="BI79" s="76"/>
      <c r="BJ79" s="76" t="s">
        <v>19734</v>
      </c>
      <c r="BK79" s="76" t="b">
        <v>0</v>
      </c>
      <c r="BL79" s="76"/>
      <c r="BM79" s="76" t="s">
        <v>66</v>
      </c>
      <c r="BN79" s="76" t="s">
        <v>19736</v>
      </c>
      <c r="BO79" s="83" t="str">
        <f>HYPERLINK("https://twitter.com/candeprofessor")</f>
        <v>https://twitter.com/candeprofessor</v>
      </c>
      <c r="BP79" s="2"/>
    </row>
    <row r="80" spans="1:68" x14ac:dyDescent="0.25">
      <c r="A80" s="62" t="s">
        <v>288</v>
      </c>
      <c r="B80" s="63"/>
      <c r="C80" s="63"/>
      <c r="D80" s="64"/>
      <c r="E80" s="66"/>
      <c r="F80" s="103" t="str">
        <f>HYPERLINK("https://pbs.twimg.com/profile_images/1276150299560992770/f8LsoPYA_normal.jpg")</f>
        <v>https://pbs.twimg.com/profile_images/1276150299560992770/f8LsoPYA_normal.jpg</v>
      </c>
      <c r="G80" s="63"/>
      <c r="H80" s="67"/>
      <c r="I80" s="68"/>
      <c r="J80" s="68"/>
      <c r="K80" s="67" t="s">
        <v>19813</v>
      </c>
      <c r="L80" s="71"/>
      <c r="M80" s="72"/>
      <c r="N80" s="72"/>
      <c r="O80" s="73"/>
      <c r="P80" s="74"/>
      <c r="Q80" s="74"/>
      <c r="R80" s="87"/>
      <c r="S80" s="87"/>
      <c r="T80" s="87"/>
      <c r="U80" s="87"/>
      <c r="V80" s="48"/>
      <c r="W80" s="48"/>
      <c r="X80" s="48"/>
      <c r="Y80" s="48"/>
      <c r="Z80" s="47"/>
      <c r="AA80" s="69">
        <v>80</v>
      </c>
      <c r="AB80" s="69"/>
      <c r="AC80" s="70"/>
      <c r="AD80" s="76" t="s">
        <v>17831</v>
      </c>
      <c r="AE80" s="81" t="s">
        <v>17473</v>
      </c>
      <c r="AF80" s="76">
        <v>58</v>
      </c>
      <c r="AG80" s="76">
        <v>4</v>
      </c>
      <c r="AH80" s="76">
        <v>904</v>
      </c>
      <c r="AI80" s="76">
        <v>4</v>
      </c>
      <c r="AJ80" s="76">
        <v>3</v>
      </c>
      <c r="AK80" s="76">
        <v>893</v>
      </c>
      <c r="AL80" s="76" t="b">
        <v>0</v>
      </c>
      <c r="AM80" s="78">
        <v>43152.878703703704</v>
      </c>
      <c r="AN80" s="76"/>
      <c r="AO80" s="76" t="s">
        <v>18833</v>
      </c>
      <c r="AP80" s="83" t="str">
        <f>HYPERLINK("https://t.co/fMRDv0Jekv")</f>
        <v>https://t.co/fMRDv0Jekv</v>
      </c>
      <c r="AQ80" s="83" t="str">
        <f>HYPERLINK("https://www.williamhunt.com.br/segredos-dos-investimentos-para-iniciantes")</f>
        <v>https://www.williamhunt.com.br/segredos-dos-investimentos-para-iniciantes</v>
      </c>
      <c r="AR80" s="76" t="s">
        <v>19339</v>
      </c>
      <c r="AS80" s="76"/>
      <c r="AT80" s="76"/>
      <c r="AU80" s="76"/>
      <c r="AV80" s="76"/>
      <c r="AW80" s="83" t="str">
        <f>HYPERLINK("https://t.co/fMRDv0Jekv")</f>
        <v>https://t.co/fMRDv0Jekv</v>
      </c>
      <c r="AX80" s="76" t="b">
        <v>0</v>
      </c>
      <c r="AY80" s="76"/>
      <c r="AZ80" s="76"/>
      <c r="BA80" s="76" t="b">
        <v>0</v>
      </c>
      <c r="BB80" s="76" t="b">
        <v>1</v>
      </c>
      <c r="BC80" s="76" t="b">
        <v>0</v>
      </c>
      <c r="BD80" s="76" t="b">
        <v>0</v>
      </c>
      <c r="BE80" s="76" t="b">
        <v>0</v>
      </c>
      <c r="BF80" s="76" t="b">
        <v>0</v>
      </c>
      <c r="BG80" s="76" t="b">
        <v>0</v>
      </c>
      <c r="BH80" s="83" t="str">
        <f>HYPERLINK("https://pbs.twimg.com/profile_banners/966418582421811200/1678219927")</f>
        <v>https://pbs.twimg.com/profile_banners/966418582421811200/1678219927</v>
      </c>
      <c r="BI80" s="76"/>
      <c r="BJ80" s="76" t="s">
        <v>19734</v>
      </c>
      <c r="BK80" s="76" t="b">
        <v>0</v>
      </c>
      <c r="BL80" s="76"/>
      <c r="BM80" s="76" t="s">
        <v>66</v>
      </c>
      <c r="BN80" s="76" t="s">
        <v>19736</v>
      </c>
      <c r="BO80" s="83" t="str">
        <f>HYPERLINK("https://twitter.com/williamhuntbr")</f>
        <v>https://twitter.com/williamhuntbr</v>
      </c>
      <c r="BP80" s="2"/>
    </row>
    <row r="81" spans="1:68" x14ac:dyDescent="0.25">
      <c r="A81" s="62" t="s">
        <v>289</v>
      </c>
      <c r="B81" s="63"/>
      <c r="C81" s="63"/>
      <c r="D81" s="64"/>
      <c r="E81" s="66"/>
      <c r="F81" s="103" t="str">
        <f>HYPERLINK("https://pbs.twimg.com/profile_images/1689391341208276993/GAz-Skga_normal.jpg")</f>
        <v>https://pbs.twimg.com/profile_images/1689391341208276993/GAz-Skga_normal.jpg</v>
      </c>
      <c r="G81" s="63"/>
      <c r="H81" s="67"/>
      <c r="I81" s="68"/>
      <c r="J81" s="68"/>
      <c r="K81" s="67" t="s">
        <v>19814</v>
      </c>
      <c r="L81" s="71"/>
      <c r="M81" s="72"/>
      <c r="N81" s="72"/>
      <c r="O81" s="73"/>
      <c r="P81" s="74"/>
      <c r="Q81" s="74"/>
      <c r="R81" s="87"/>
      <c r="S81" s="87"/>
      <c r="T81" s="87"/>
      <c r="U81" s="87"/>
      <c r="V81" s="48"/>
      <c r="W81" s="48"/>
      <c r="X81" s="48"/>
      <c r="Y81" s="48"/>
      <c r="Z81" s="47"/>
      <c r="AA81" s="69">
        <v>81</v>
      </c>
      <c r="AB81" s="69"/>
      <c r="AC81" s="70"/>
      <c r="AD81" s="76" t="s">
        <v>17832</v>
      </c>
      <c r="AE81" s="81" t="s">
        <v>17474</v>
      </c>
      <c r="AF81" s="76">
        <v>107</v>
      </c>
      <c r="AG81" s="76">
        <v>469</v>
      </c>
      <c r="AH81" s="76">
        <v>1280</v>
      </c>
      <c r="AI81" s="76">
        <v>3</v>
      </c>
      <c r="AJ81" s="76">
        <v>13337</v>
      </c>
      <c r="AK81" s="76">
        <v>57</v>
      </c>
      <c r="AL81" s="76" t="b">
        <v>0</v>
      </c>
      <c r="AM81" s="78">
        <v>42924.056238425925</v>
      </c>
      <c r="AN81" s="76" t="s">
        <v>18585</v>
      </c>
      <c r="AO81" s="76" t="s">
        <v>18834</v>
      </c>
      <c r="AP81" s="83" t="str">
        <f>HYPERLINK("https://t.co/xwlRkYfqGq")</f>
        <v>https://t.co/xwlRkYfqGq</v>
      </c>
      <c r="AQ81" s="83" t="str">
        <f>HYPERLINK("https://www.facebook.com/marcello.faria007/")</f>
        <v>https://www.facebook.com/marcello.faria007/</v>
      </c>
      <c r="AR81" s="76" t="s">
        <v>19340</v>
      </c>
      <c r="AS81" s="76"/>
      <c r="AT81" s="76"/>
      <c r="AU81" s="76"/>
      <c r="AV81" s="76"/>
      <c r="AW81" s="83" t="str">
        <f>HYPERLINK("https://t.co/xwlRkYfqGq")</f>
        <v>https://t.co/xwlRkYfqGq</v>
      </c>
      <c r="AX81" s="76" t="b">
        <v>0</v>
      </c>
      <c r="AY81" s="76"/>
      <c r="AZ81" s="76"/>
      <c r="BA81" s="76" t="b">
        <v>0</v>
      </c>
      <c r="BB81" s="76" t="b">
        <v>1</v>
      </c>
      <c r="BC81" s="76" t="b">
        <v>1</v>
      </c>
      <c r="BD81" s="76" t="b">
        <v>0</v>
      </c>
      <c r="BE81" s="76" t="b">
        <v>0</v>
      </c>
      <c r="BF81" s="76" t="b">
        <v>0</v>
      </c>
      <c r="BG81" s="76" t="b">
        <v>0</v>
      </c>
      <c r="BH81" s="83" t="str">
        <f>HYPERLINK("https://pbs.twimg.com/profile_banners/883496098081517568/1629504111")</f>
        <v>https://pbs.twimg.com/profile_banners/883496098081517568/1629504111</v>
      </c>
      <c r="BI81" s="76"/>
      <c r="BJ81" s="76" t="s">
        <v>19734</v>
      </c>
      <c r="BK81" s="76" t="b">
        <v>0</v>
      </c>
      <c r="BL81" s="76"/>
      <c r="BM81" s="76" t="s">
        <v>66</v>
      </c>
      <c r="BN81" s="76" t="s">
        <v>19736</v>
      </c>
      <c r="BO81" s="83" t="str">
        <f>HYPERLINK("https://twitter.com/10marcellofaria")</f>
        <v>https://twitter.com/10marcellofaria</v>
      </c>
      <c r="BP81" s="2"/>
    </row>
    <row r="82" spans="1:68" x14ac:dyDescent="0.25">
      <c r="A82" s="62" t="s">
        <v>739</v>
      </c>
      <c r="B82" s="63"/>
      <c r="C82" s="63"/>
      <c r="D82" s="64"/>
      <c r="E82" s="66"/>
      <c r="F82" s="103" t="str">
        <f>HYPERLINK("https://pbs.twimg.com/profile_images/1698322173595672576/L1FDkQqq_normal.jpg")</f>
        <v>https://pbs.twimg.com/profile_images/1698322173595672576/L1FDkQqq_normal.jpg</v>
      </c>
      <c r="G82" s="63"/>
      <c r="H82" s="67"/>
      <c r="I82" s="68"/>
      <c r="J82" s="68"/>
      <c r="K82" s="67" t="s">
        <v>19815</v>
      </c>
      <c r="L82" s="71"/>
      <c r="M82" s="72"/>
      <c r="N82" s="72"/>
      <c r="O82" s="73"/>
      <c r="P82" s="74"/>
      <c r="Q82" s="74"/>
      <c r="R82" s="87"/>
      <c r="S82" s="87"/>
      <c r="T82" s="87"/>
      <c r="U82" s="87"/>
      <c r="V82" s="48"/>
      <c r="W82" s="48"/>
      <c r="X82" s="48"/>
      <c r="Y82" s="48"/>
      <c r="Z82" s="47"/>
      <c r="AA82" s="69">
        <v>82</v>
      </c>
      <c r="AB82" s="69"/>
      <c r="AC82" s="70"/>
      <c r="AD82" s="76" t="s">
        <v>17833</v>
      </c>
      <c r="AE82" s="81" t="s">
        <v>17324</v>
      </c>
      <c r="AF82" s="76">
        <v>3395</v>
      </c>
      <c r="AG82" s="76">
        <v>2459</v>
      </c>
      <c r="AH82" s="76">
        <v>8202</v>
      </c>
      <c r="AI82" s="76">
        <v>1</v>
      </c>
      <c r="AJ82" s="76">
        <v>23530</v>
      </c>
      <c r="AK82" s="76">
        <v>1660</v>
      </c>
      <c r="AL82" s="76" t="b">
        <v>0</v>
      </c>
      <c r="AM82" s="78">
        <v>44894.677847222221</v>
      </c>
      <c r="AN82" s="76" t="s">
        <v>12020</v>
      </c>
      <c r="AO82" s="76" t="s">
        <v>18835</v>
      </c>
      <c r="AP82" s="76"/>
      <c r="AQ82" s="76"/>
      <c r="AR82" s="76"/>
      <c r="AS82" s="76"/>
      <c r="AT82" s="76"/>
      <c r="AU82" s="76"/>
      <c r="AV82" s="76"/>
      <c r="AW82" s="76"/>
      <c r="AX82" s="76" t="b">
        <v>0</v>
      </c>
      <c r="AY82" s="76"/>
      <c r="AZ82" s="76"/>
      <c r="BA82" s="76" t="b">
        <v>1</v>
      </c>
      <c r="BB82" s="76" t="b">
        <v>0</v>
      </c>
      <c r="BC82" s="76" t="b">
        <v>1</v>
      </c>
      <c r="BD82" s="76" t="b">
        <v>0</v>
      </c>
      <c r="BE82" s="76" t="b">
        <v>0</v>
      </c>
      <c r="BF82" s="76" t="b">
        <v>0</v>
      </c>
      <c r="BG82" s="76" t="b">
        <v>0</v>
      </c>
      <c r="BH82" s="83" t="str">
        <f>HYPERLINK("https://pbs.twimg.com/profile_banners/1597625291337306113/1690676571")</f>
        <v>https://pbs.twimg.com/profile_banners/1597625291337306113/1690676571</v>
      </c>
      <c r="BI82" s="76"/>
      <c r="BJ82" s="76" t="s">
        <v>19734</v>
      </c>
      <c r="BK82" s="76" t="b">
        <v>0</v>
      </c>
      <c r="BL82" s="76"/>
      <c r="BM82" s="76" t="s">
        <v>65</v>
      </c>
      <c r="BN82" s="76" t="s">
        <v>19736</v>
      </c>
      <c r="BO82" s="83" t="str">
        <f>HYPERLINK("https://twitter.com/claudiacontaii")</f>
        <v>https://twitter.com/claudiacontaii</v>
      </c>
      <c r="BP82" s="2"/>
    </row>
    <row r="83" spans="1:68" x14ac:dyDescent="0.25">
      <c r="A83" s="62" t="s">
        <v>290</v>
      </c>
      <c r="B83" s="63"/>
      <c r="C83" s="63"/>
      <c r="D83" s="64"/>
      <c r="E83" s="66"/>
      <c r="F83" s="103" t="str">
        <f>HYPERLINK("https://pbs.twimg.com/profile_images/1616438151970525184/kEiiIumS_normal.jpg")</f>
        <v>https://pbs.twimg.com/profile_images/1616438151970525184/kEiiIumS_normal.jpg</v>
      </c>
      <c r="G83" s="63"/>
      <c r="H83" s="67"/>
      <c r="I83" s="68"/>
      <c r="J83" s="68"/>
      <c r="K83" s="67" t="s">
        <v>19816</v>
      </c>
      <c r="L83" s="71"/>
      <c r="M83" s="72"/>
      <c r="N83" s="72"/>
      <c r="O83" s="73"/>
      <c r="P83" s="74"/>
      <c r="Q83" s="74"/>
      <c r="R83" s="87"/>
      <c r="S83" s="87"/>
      <c r="T83" s="87"/>
      <c r="U83" s="87"/>
      <c r="V83" s="48"/>
      <c r="W83" s="48"/>
      <c r="X83" s="48"/>
      <c r="Y83" s="48"/>
      <c r="Z83" s="47"/>
      <c r="AA83" s="69">
        <v>83</v>
      </c>
      <c r="AB83" s="69"/>
      <c r="AC83" s="70"/>
      <c r="AD83" s="76" t="s">
        <v>17834</v>
      </c>
      <c r="AE83" s="81" t="s">
        <v>17475</v>
      </c>
      <c r="AF83" s="76">
        <v>179</v>
      </c>
      <c r="AG83" s="76">
        <v>291</v>
      </c>
      <c r="AH83" s="76">
        <v>9629</v>
      </c>
      <c r="AI83" s="76">
        <v>2</v>
      </c>
      <c r="AJ83" s="76">
        <v>186</v>
      </c>
      <c r="AK83" s="76">
        <v>3825</v>
      </c>
      <c r="AL83" s="76" t="b">
        <v>0</v>
      </c>
      <c r="AM83" s="78">
        <v>44285.641122685185</v>
      </c>
      <c r="AN83" s="76" t="s">
        <v>18586</v>
      </c>
      <c r="AO83" s="76" t="s">
        <v>18836</v>
      </c>
      <c r="AP83" s="83" t="str">
        <f>HYPERLINK("https://t.co/WV0RCCoF39")</f>
        <v>https://t.co/WV0RCCoF39</v>
      </c>
      <c r="AQ83" s="83" t="str">
        <f>HYPERLINK("http://oconvergente.com.br")</f>
        <v>http://oconvergente.com.br</v>
      </c>
      <c r="AR83" s="76" t="s">
        <v>19341</v>
      </c>
      <c r="AS83" s="76"/>
      <c r="AT83" s="76"/>
      <c r="AU83" s="76"/>
      <c r="AV83" s="76">
        <v>1.37891219131585E+18</v>
      </c>
      <c r="AW83" s="83" t="str">
        <f>HYPERLINK("https://t.co/WV0RCCoF39")</f>
        <v>https://t.co/WV0RCCoF39</v>
      </c>
      <c r="AX83" s="76" t="b">
        <v>0</v>
      </c>
      <c r="AY83" s="76"/>
      <c r="AZ83" s="76"/>
      <c r="BA83" s="76" t="b">
        <v>1</v>
      </c>
      <c r="BB83" s="76" t="b">
        <v>1</v>
      </c>
      <c r="BC83" s="76" t="b">
        <v>1</v>
      </c>
      <c r="BD83" s="76" t="b">
        <v>0</v>
      </c>
      <c r="BE83" s="76" t="b">
        <v>1</v>
      </c>
      <c r="BF83" s="76" t="b">
        <v>0</v>
      </c>
      <c r="BG83" s="76" t="b">
        <v>0</v>
      </c>
      <c r="BH83" s="83" t="str">
        <f>HYPERLINK("https://pbs.twimg.com/profile_banners/1376917910363463681/1617134869")</f>
        <v>https://pbs.twimg.com/profile_banners/1376917910363463681/1617134869</v>
      </c>
      <c r="BI83" s="76"/>
      <c r="BJ83" s="76" t="s">
        <v>19734</v>
      </c>
      <c r="BK83" s="76" t="b">
        <v>0</v>
      </c>
      <c r="BL83" s="76"/>
      <c r="BM83" s="76" t="s">
        <v>66</v>
      </c>
      <c r="BN83" s="76" t="s">
        <v>19736</v>
      </c>
      <c r="BO83" s="83" t="str">
        <f>HYPERLINK("https://twitter.com/oconvergente_")</f>
        <v>https://twitter.com/oconvergente_</v>
      </c>
      <c r="BP83" s="2"/>
    </row>
    <row r="84" spans="1:68" x14ac:dyDescent="0.25">
      <c r="A84" s="62" t="s">
        <v>291</v>
      </c>
      <c r="B84" s="63"/>
      <c r="C84" s="63"/>
      <c r="D84" s="64"/>
      <c r="E84" s="66"/>
      <c r="F84" s="103" t="str">
        <f>HYPERLINK("https://pbs.twimg.com/profile_images/1483739579312230403/h1Bh3ojl_normal.jpg")</f>
        <v>https://pbs.twimg.com/profile_images/1483739579312230403/h1Bh3ojl_normal.jpg</v>
      </c>
      <c r="G84" s="63"/>
      <c r="H84" s="67"/>
      <c r="I84" s="68"/>
      <c r="J84" s="68"/>
      <c r="K84" s="67" t="s">
        <v>19817</v>
      </c>
      <c r="L84" s="71"/>
      <c r="M84" s="72"/>
      <c r="N84" s="72"/>
      <c r="O84" s="73"/>
      <c r="P84" s="74"/>
      <c r="Q84" s="74"/>
      <c r="R84" s="87"/>
      <c r="S84" s="87"/>
      <c r="T84" s="87"/>
      <c r="U84" s="87"/>
      <c r="V84" s="48"/>
      <c r="W84" s="48"/>
      <c r="X84" s="48"/>
      <c r="Y84" s="48"/>
      <c r="Z84" s="47"/>
      <c r="AA84" s="69">
        <v>84</v>
      </c>
      <c r="AB84" s="69"/>
      <c r="AC84" s="70"/>
      <c r="AD84" s="76" t="s">
        <v>17835</v>
      </c>
      <c r="AE84" s="81" t="s">
        <v>18348</v>
      </c>
      <c r="AF84" s="76">
        <v>172</v>
      </c>
      <c r="AG84" s="76">
        <v>434</v>
      </c>
      <c r="AH84" s="76">
        <v>1106</v>
      </c>
      <c r="AI84" s="76">
        <v>0</v>
      </c>
      <c r="AJ84" s="76">
        <v>417</v>
      </c>
      <c r="AK84" s="76">
        <v>782</v>
      </c>
      <c r="AL84" s="76" t="b">
        <v>0</v>
      </c>
      <c r="AM84" s="78">
        <v>40949.379305555558</v>
      </c>
      <c r="AN84" s="76" t="s">
        <v>18587</v>
      </c>
      <c r="AO84" s="76" t="s">
        <v>18837</v>
      </c>
      <c r="AP84" s="83" t="str">
        <f>HYPERLINK("https://t.co/ytfnjUf9oH")</f>
        <v>https://t.co/ytfnjUf9oH</v>
      </c>
      <c r="AQ84" s="83" t="str">
        <f>HYPERLINK("http://www.castellanoshop.com")</f>
        <v>http://www.castellanoshop.com</v>
      </c>
      <c r="AR84" s="76" t="s">
        <v>19342</v>
      </c>
      <c r="AS84" s="76"/>
      <c r="AT84" s="76"/>
      <c r="AU84" s="76"/>
      <c r="AV84" s="76"/>
      <c r="AW84" s="83" t="str">
        <f>HYPERLINK("https://t.co/ytfnjUf9oH")</f>
        <v>https://t.co/ytfnjUf9oH</v>
      </c>
      <c r="AX84" s="76" t="b">
        <v>0</v>
      </c>
      <c r="AY84" s="76"/>
      <c r="AZ84" s="76"/>
      <c r="BA84" s="76" t="b">
        <v>0</v>
      </c>
      <c r="BB84" s="76" t="b">
        <v>1</v>
      </c>
      <c r="BC84" s="76" t="b">
        <v>1</v>
      </c>
      <c r="BD84" s="76" t="b">
        <v>0</v>
      </c>
      <c r="BE84" s="76" t="b">
        <v>0</v>
      </c>
      <c r="BF84" s="76" t="b">
        <v>0</v>
      </c>
      <c r="BG84" s="76" t="b">
        <v>0</v>
      </c>
      <c r="BH84" s="83" t="str">
        <f>HYPERLINK("https://pbs.twimg.com/profile_banners/488289654/1642585940")</f>
        <v>https://pbs.twimg.com/profile_banners/488289654/1642585940</v>
      </c>
      <c r="BI84" s="76"/>
      <c r="BJ84" s="76" t="s">
        <v>19734</v>
      </c>
      <c r="BK84" s="76" t="b">
        <v>0</v>
      </c>
      <c r="BL84" s="76"/>
      <c r="BM84" s="76" t="s">
        <v>66</v>
      </c>
      <c r="BN84" s="76" t="s">
        <v>19736</v>
      </c>
      <c r="BO84" s="83" t="str">
        <f>HYPERLINK("https://twitter.com/johanancastell")</f>
        <v>https://twitter.com/johanancastell</v>
      </c>
      <c r="BP84" s="2"/>
    </row>
    <row r="85" spans="1:68" x14ac:dyDescent="0.25">
      <c r="A85" s="62" t="s">
        <v>292</v>
      </c>
      <c r="B85" s="63"/>
      <c r="C85" s="63"/>
      <c r="D85" s="64"/>
      <c r="E85" s="66"/>
      <c r="F85" s="103" t="str">
        <f>HYPERLINK("https://pbs.twimg.com/profile_images/1678417005513154562/G2KycPKv_normal.jpg")</f>
        <v>https://pbs.twimg.com/profile_images/1678417005513154562/G2KycPKv_normal.jpg</v>
      </c>
      <c r="G85" s="63"/>
      <c r="H85" s="67"/>
      <c r="I85" s="68"/>
      <c r="J85" s="68"/>
      <c r="K85" s="67" t="s">
        <v>19818</v>
      </c>
      <c r="L85" s="71"/>
      <c r="M85" s="72"/>
      <c r="N85" s="72"/>
      <c r="O85" s="73"/>
      <c r="P85" s="74"/>
      <c r="Q85" s="74"/>
      <c r="R85" s="87"/>
      <c r="S85" s="87"/>
      <c r="T85" s="87"/>
      <c r="U85" s="87"/>
      <c r="V85" s="48"/>
      <c r="W85" s="48"/>
      <c r="X85" s="48"/>
      <c r="Y85" s="48"/>
      <c r="Z85" s="47"/>
      <c r="AA85" s="69">
        <v>85</v>
      </c>
      <c r="AB85" s="69"/>
      <c r="AC85" s="70"/>
      <c r="AD85" s="76" t="s">
        <v>17836</v>
      </c>
      <c r="AE85" s="81" t="s">
        <v>17325</v>
      </c>
      <c r="AF85" s="76">
        <v>2</v>
      </c>
      <c r="AG85" s="76">
        <v>39</v>
      </c>
      <c r="AH85" s="76">
        <v>48</v>
      </c>
      <c r="AI85" s="76">
        <v>0</v>
      </c>
      <c r="AJ85" s="76">
        <v>1</v>
      </c>
      <c r="AK85" s="76">
        <v>1</v>
      </c>
      <c r="AL85" s="76" t="b">
        <v>0</v>
      </c>
      <c r="AM85" s="78">
        <v>45117.619675925926</v>
      </c>
      <c r="AN85" s="76" t="s">
        <v>18588</v>
      </c>
      <c r="AO85" s="76" t="s">
        <v>18838</v>
      </c>
      <c r="AP85" s="83" t="str">
        <f>HYPERLINK("https://t.co/ShTHfxFwEN")</f>
        <v>https://t.co/ShTHfxFwEN</v>
      </c>
      <c r="AQ85" s="83" t="str">
        <f>HYPERLINK("http://jeffersonlucas.com")</f>
        <v>http://jeffersonlucas.com</v>
      </c>
      <c r="AR85" s="76" t="s">
        <v>19343</v>
      </c>
      <c r="AS85" s="76"/>
      <c r="AT85" s="76"/>
      <c r="AU85" s="76"/>
      <c r="AV85" s="76"/>
      <c r="AW85" s="83" t="str">
        <f>HYPERLINK("https://t.co/ShTHfxFwEN")</f>
        <v>https://t.co/ShTHfxFwEN</v>
      </c>
      <c r="AX85" s="76" t="b">
        <v>0</v>
      </c>
      <c r="AY85" s="76"/>
      <c r="AZ85" s="76"/>
      <c r="BA85" s="76" t="b">
        <v>0</v>
      </c>
      <c r="BB85" s="76" t="b">
        <v>1</v>
      </c>
      <c r="BC85" s="76" t="b">
        <v>1</v>
      </c>
      <c r="BD85" s="76" t="b">
        <v>0</v>
      </c>
      <c r="BE85" s="76" t="b">
        <v>0</v>
      </c>
      <c r="BF85" s="76" t="b">
        <v>0</v>
      </c>
      <c r="BG85" s="76" t="b">
        <v>0</v>
      </c>
      <c r="BH85" s="83" t="str">
        <f>HYPERLINK("https://pbs.twimg.com/profile_banners/1678416821299363841/1689001113")</f>
        <v>https://pbs.twimg.com/profile_banners/1678416821299363841/1689001113</v>
      </c>
      <c r="BI85" s="76"/>
      <c r="BJ85" s="76" t="s">
        <v>19734</v>
      </c>
      <c r="BK85" s="76" t="b">
        <v>0</v>
      </c>
      <c r="BL85" s="76"/>
      <c r="BM85" s="76" t="s">
        <v>66</v>
      </c>
      <c r="BN85" s="76" t="s">
        <v>19736</v>
      </c>
      <c r="BO85" s="83" t="str">
        <f>HYPERLINK("https://twitter.com/jeffersonlucabr")</f>
        <v>https://twitter.com/jeffersonlucabr</v>
      </c>
      <c r="BP85" s="2"/>
    </row>
    <row r="86" spans="1:68" x14ac:dyDescent="0.25">
      <c r="A86" s="62" t="s">
        <v>293</v>
      </c>
      <c r="B86" s="63"/>
      <c r="C86" s="63"/>
      <c r="D86" s="64"/>
      <c r="E86" s="66"/>
      <c r="F86" s="103" t="str">
        <f>HYPERLINK("https://pbs.twimg.com/profile_images/1374328322390429696/o0flYVfp_normal.jpg")</f>
        <v>https://pbs.twimg.com/profile_images/1374328322390429696/o0flYVfp_normal.jpg</v>
      </c>
      <c r="G86" s="63"/>
      <c r="H86" s="67"/>
      <c r="I86" s="68"/>
      <c r="J86" s="68"/>
      <c r="K86" s="67" t="s">
        <v>19819</v>
      </c>
      <c r="L86" s="71"/>
      <c r="M86" s="72"/>
      <c r="N86" s="72"/>
      <c r="O86" s="73"/>
      <c r="P86" s="74"/>
      <c r="Q86" s="74"/>
      <c r="R86" s="87"/>
      <c r="S86" s="87"/>
      <c r="T86" s="87"/>
      <c r="U86" s="87"/>
      <c r="V86" s="48"/>
      <c r="W86" s="48"/>
      <c r="X86" s="48"/>
      <c r="Y86" s="48"/>
      <c r="Z86" s="47"/>
      <c r="AA86" s="69">
        <v>86</v>
      </c>
      <c r="AB86" s="69"/>
      <c r="AC86" s="70"/>
      <c r="AD86" s="76" t="s">
        <v>17837</v>
      </c>
      <c r="AE86" s="81" t="s">
        <v>18349</v>
      </c>
      <c r="AF86" s="76">
        <v>20121</v>
      </c>
      <c r="AG86" s="76">
        <v>4342</v>
      </c>
      <c r="AH86" s="76">
        <v>34113</v>
      </c>
      <c r="AI86" s="76">
        <v>228</v>
      </c>
      <c r="AJ86" s="76">
        <v>44095</v>
      </c>
      <c r="AK86" s="76">
        <v>1236</v>
      </c>
      <c r="AL86" s="76" t="b">
        <v>0</v>
      </c>
      <c r="AM86" s="78">
        <v>41204.792604166665</v>
      </c>
      <c r="AN86" s="76" t="s">
        <v>18589</v>
      </c>
      <c r="AO86" s="76" t="s">
        <v>18839</v>
      </c>
      <c r="AP86" s="83" t="str">
        <f>HYPERLINK("https://t.co/hQLIU54yXt")</f>
        <v>https://t.co/hQLIU54yXt</v>
      </c>
      <c r="AQ86" s="83" t="str">
        <f>HYPERLINK("https://visualmodo.com")</f>
        <v>https://visualmodo.com</v>
      </c>
      <c r="AR86" s="76" t="s">
        <v>19344</v>
      </c>
      <c r="AS86" s="76"/>
      <c r="AT86" s="76"/>
      <c r="AU86" s="76"/>
      <c r="AV86" s="76"/>
      <c r="AW86" s="83" t="str">
        <f>HYPERLINK("https://t.co/hQLIU54yXt")</f>
        <v>https://t.co/hQLIU54yXt</v>
      </c>
      <c r="AX86" s="76" t="b">
        <v>1</v>
      </c>
      <c r="AY86" s="76"/>
      <c r="AZ86" s="76"/>
      <c r="BA86" s="76" t="b">
        <v>0</v>
      </c>
      <c r="BB86" s="76" t="b">
        <v>1</v>
      </c>
      <c r="BC86" s="76" t="b">
        <v>0</v>
      </c>
      <c r="BD86" s="76" t="b">
        <v>0</v>
      </c>
      <c r="BE86" s="76" t="b">
        <v>1</v>
      </c>
      <c r="BF86" s="76" t="b">
        <v>0</v>
      </c>
      <c r="BG86" s="76" t="b">
        <v>0</v>
      </c>
      <c r="BH86" s="83" t="str">
        <f>HYPERLINK("https://pbs.twimg.com/profile_banners/898194865/1616500902")</f>
        <v>https://pbs.twimg.com/profile_banners/898194865/1616500902</v>
      </c>
      <c r="BI86" s="76"/>
      <c r="BJ86" s="76" t="s">
        <v>19734</v>
      </c>
      <c r="BK86" s="76" t="b">
        <v>0</v>
      </c>
      <c r="BL86" s="76"/>
      <c r="BM86" s="76" t="s">
        <v>66</v>
      </c>
      <c r="BN86" s="76" t="s">
        <v>19736</v>
      </c>
      <c r="BO86" s="83" t="str">
        <f>HYPERLINK("https://twitter.com/visualmodo")</f>
        <v>https://twitter.com/visualmodo</v>
      </c>
      <c r="BP86" s="2"/>
    </row>
    <row r="87" spans="1:68" x14ac:dyDescent="0.25">
      <c r="A87" s="62" t="s">
        <v>294</v>
      </c>
      <c r="B87" s="63"/>
      <c r="C87" s="63"/>
      <c r="D87" s="64"/>
      <c r="E87" s="66"/>
      <c r="F87" s="103" t="str">
        <f>HYPERLINK("https://pbs.twimg.com/profile_images/1705906138611331072/ceSu-E4H_normal.jpg")</f>
        <v>https://pbs.twimg.com/profile_images/1705906138611331072/ceSu-E4H_normal.jpg</v>
      </c>
      <c r="G87" s="63"/>
      <c r="H87" s="67"/>
      <c r="I87" s="68"/>
      <c r="J87" s="68"/>
      <c r="K87" s="67" t="s">
        <v>19820</v>
      </c>
      <c r="L87" s="71"/>
      <c r="M87" s="72"/>
      <c r="N87" s="72"/>
      <c r="O87" s="73"/>
      <c r="P87" s="74"/>
      <c r="Q87" s="74"/>
      <c r="R87" s="87"/>
      <c r="S87" s="87"/>
      <c r="T87" s="87"/>
      <c r="U87" s="87"/>
      <c r="V87" s="48"/>
      <c r="W87" s="48"/>
      <c r="X87" s="48"/>
      <c r="Y87" s="48"/>
      <c r="Z87" s="47"/>
      <c r="AA87" s="69">
        <v>87</v>
      </c>
      <c r="AB87" s="69"/>
      <c r="AC87" s="70"/>
      <c r="AD87" s="76" t="s">
        <v>17838</v>
      </c>
      <c r="AE87" s="81" t="s">
        <v>18350</v>
      </c>
      <c r="AF87" s="76">
        <v>246</v>
      </c>
      <c r="AG87" s="76">
        <v>2750</v>
      </c>
      <c r="AH87" s="76">
        <v>959</v>
      </c>
      <c r="AI87" s="76">
        <v>13</v>
      </c>
      <c r="AJ87" s="76">
        <v>24785</v>
      </c>
      <c r="AK87" s="76">
        <v>107</v>
      </c>
      <c r="AL87" s="76" t="b">
        <v>0</v>
      </c>
      <c r="AM87" s="78">
        <v>40017.656030092592</v>
      </c>
      <c r="AN87" s="76" t="s">
        <v>12024</v>
      </c>
      <c r="AO87" s="76" t="s">
        <v>18840</v>
      </c>
      <c r="AP87" s="83" t="str">
        <f>HYPERLINK("https://t.co/S0c7hrLY4C")</f>
        <v>https://t.co/S0c7hrLY4C</v>
      </c>
      <c r="AQ87" s="83" t="str">
        <f>HYPERLINK("https://santiago1000.it/en/")</f>
        <v>https://santiago1000.it/en/</v>
      </c>
      <c r="AR87" s="76" t="s">
        <v>19345</v>
      </c>
      <c r="AS87" s="83" t="str">
        <f>HYPERLINK("https://t.co/3uVUnG9Cl4")</f>
        <v>https://t.co/3uVUnG9Cl4</v>
      </c>
      <c r="AT87" s="83" t="str">
        <f>HYPERLINK("https://etoro.tw/46ogtDS")</f>
        <v>https://etoro.tw/46ogtDS</v>
      </c>
      <c r="AU87" s="76" t="s">
        <v>19692</v>
      </c>
      <c r="AV87" s="76">
        <v>1.6738019048858299E+18</v>
      </c>
      <c r="AW87" s="83" t="str">
        <f>HYPERLINK("https://t.co/S0c7hrLY4C")</f>
        <v>https://t.co/S0c7hrLY4C</v>
      </c>
      <c r="AX87" s="76" t="b">
        <v>0</v>
      </c>
      <c r="AY87" s="76"/>
      <c r="AZ87" s="76"/>
      <c r="BA87" s="76" t="b">
        <v>0</v>
      </c>
      <c r="BB87" s="76" t="b">
        <v>1</v>
      </c>
      <c r="BC87" s="76" t="b">
        <v>0</v>
      </c>
      <c r="BD87" s="76" t="b">
        <v>0</v>
      </c>
      <c r="BE87" s="76" t="b">
        <v>0</v>
      </c>
      <c r="BF87" s="76" t="b">
        <v>0</v>
      </c>
      <c r="BG87" s="76" t="b">
        <v>0</v>
      </c>
      <c r="BH87" s="83" t="str">
        <f>HYPERLINK("https://pbs.twimg.com/profile_banners/59500133/1621799126")</f>
        <v>https://pbs.twimg.com/profile_banners/59500133/1621799126</v>
      </c>
      <c r="BI87" s="76"/>
      <c r="BJ87" s="76" t="s">
        <v>19734</v>
      </c>
      <c r="BK87" s="76" t="b">
        <v>0</v>
      </c>
      <c r="BL87" s="76"/>
      <c r="BM87" s="76" t="s">
        <v>66</v>
      </c>
      <c r="BN87" s="76" t="s">
        <v>19736</v>
      </c>
      <c r="BO87" s="83" t="str">
        <f>HYPERLINK("https://twitter.com/awsan")</f>
        <v>https://twitter.com/awsan</v>
      </c>
      <c r="BP87" s="2"/>
    </row>
    <row r="88" spans="1:68" x14ac:dyDescent="0.25">
      <c r="A88" s="62" t="s">
        <v>295</v>
      </c>
      <c r="B88" s="63"/>
      <c r="C88" s="63"/>
      <c r="D88" s="64"/>
      <c r="E88" s="66"/>
      <c r="F88" s="103" t="str">
        <f>HYPERLINK("https://pbs.twimg.com/profile_images/1662690104551383041/YIZ053IJ_normal.jpg")</f>
        <v>https://pbs.twimg.com/profile_images/1662690104551383041/YIZ053IJ_normal.jpg</v>
      </c>
      <c r="G88" s="63"/>
      <c r="H88" s="67"/>
      <c r="I88" s="68"/>
      <c r="J88" s="68"/>
      <c r="K88" s="67" t="s">
        <v>19821</v>
      </c>
      <c r="L88" s="71"/>
      <c r="M88" s="72"/>
      <c r="N88" s="72"/>
      <c r="O88" s="73"/>
      <c r="P88" s="74"/>
      <c r="Q88" s="74"/>
      <c r="R88" s="87"/>
      <c r="S88" s="87"/>
      <c r="T88" s="87"/>
      <c r="U88" s="87"/>
      <c r="V88" s="48"/>
      <c r="W88" s="48"/>
      <c r="X88" s="48"/>
      <c r="Y88" s="48"/>
      <c r="Z88" s="47"/>
      <c r="AA88" s="69">
        <v>88</v>
      </c>
      <c r="AB88" s="69"/>
      <c r="AC88" s="70"/>
      <c r="AD88" s="76" t="s">
        <v>17839</v>
      </c>
      <c r="AE88" s="81" t="s">
        <v>17476</v>
      </c>
      <c r="AF88" s="76">
        <v>155</v>
      </c>
      <c r="AG88" s="76">
        <v>529</v>
      </c>
      <c r="AH88" s="76">
        <v>4176</v>
      </c>
      <c r="AI88" s="76">
        <v>1</v>
      </c>
      <c r="AJ88" s="76">
        <v>60411</v>
      </c>
      <c r="AK88" s="76">
        <v>490</v>
      </c>
      <c r="AL88" s="76" t="b">
        <v>0</v>
      </c>
      <c r="AM88" s="78">
        <v>42938.688634259262</v>
      </c>
      <c r="AN88" s="76" t="s">
        <v>18590</v>
      </c>
      <c r="AO88" s="76" t="s">
        <v>18841</v>
      </c>
      <c r="AP88" s="76"/>
      <c r="AQ88" s="76"/>
      <c r="AR88" s="76"/>
      <c r="AS88" s="76"/>
      <c r="AT88" s="76"/>
      <c r="AU88" s="76"/>
      <c r="AV88" s="76"/>
      <c r="AW88" s="76"/>
      <c r="AX88" s="76" t="b">
        <v>0</v>
      </c>
      <c r="AY88" s="76"/>
      <c r="AZ88" s="76"/>
      <c r="BA88" s="76" t="b">
        <v>0</v>
      </c>
      <c r="BB88" s="76" t="b">
        <v>1</v>
      </c>
      <c r="BC88" s="76" t="b">
        <v>1</v>
      </c>
      <c r="BD88" s="76" t="b">
        <v>0</v>
      </c>
      <c r="BE88" s="76" t="b">
        <v>1</v>
      </c>
      <c r="BF88" s="76" t="b">
        <v>0</v>
      </c>
      <c r="BG88" s="76" t="b">
        <v>0</v>
      </c>
      <c r="BH88" s="83" t="str">
        <f>HYPERLINK("https://pbs.twimg.com/profile_banners/888798703393406976/1598670378")</f>
        <v>https://pbs.twimg.com/profile_banners/888798703393406976/1598670378</v>
      </c>
      <c r="BI88" s="76"/>
      <c r="BJ88" s="76" t="s">
        <v>19734</v>
      </c>
      <c r="BK88" s="76" t="b">
        <v>0</v>
      </c>
      <c r="BL88" s="76"/>
      <c r="BM88" s="76" t="s">
        <v>66</v>
      </c>
      <c r="BN88" s="76" t="s">
        <v>19736</v>
      </c>
      <c r="BO88" s="83" t="str">
        <f>HYPERLINK("https://twitter.com/wesleyluiz01")</f>
        <v>https://twitter.com/wesleyluiz01</v>
      </c>
      <c r="BP88" s="2"/>
    </row>
    <row r="89" spans="1:68" x14ac:dyDescent="0.25">
      <c r="A89" s="62" t="s">
        <v>296</v>
      </c>
      <c r="B89" s="63"/>
      <c r="C89" s="63"/>
      <c r="D89" s="64"/>
      <c r="E89" s="66"/>
      <c r="F89" s="103" t="str">
        <f>HYPERLINK("https://pbs.twimg.com/profile_images/1660520217821450240/HGU5UVFh_normal.jpg")</f>
        <v>https://pbs.twimg.com/profile_images/1660520217821450240/HGU5UVFh_normal.jpg</v>
      </c>
      <c r="G89" s="63"/>
      <c r="H89" s="67"/>
      <c r="I89" s="68"/>
      <c r="J89" s="68"/>
      <c r="K89" s="67" t="s">
        <v>19822</v>
      </c>
      <c r="L89" s="71"/>
      <c r="M89" s="72"/>
      <c r="N89" s="72"/>
      <c r="O89" s="73"/>
      <c r="P89" s="74"/>
      <c r="Q89" s="74"/>
      <c r="R89" s="87"/>
      <c r="S89" s="87"/>
      <c r="T89" s="87"/>
      <c r="U89" s="87"/>
      <c r="V89" s="48"/>
      <c r="W89" s="48"/>
      <c r="X89" s="48"/>
      <c r="Y89" s="48"/>
      <c r="Z89" s="47"/>
      <c r="AA89" s="69">
        <v>89</v>
      </c>
      <c r="AB89" s="69"/>
      <c r="AC89" s="70"/>
      <c r="AD89" s="76" t="s">
        <v>17840</v>
      </c>
      <c r="AE89" s="81" t="s">
        <v>17477</v>
      </c>
      <c r="AF89" s="76">
        <v>146</v>
      </c>
      <c r="AG89" s="76">
        <v>403</v>
      </c>
      <c r="AH89" s="76">
        <v>181</v>
      </c>
      <c r="AI89" s="76">
        <v>0</v>
      </c>
      <c r="AJ89" s="76">
        <v>151</v>
      </c>
      <c r="AK89" s="76">
        <v>45</v>
      </c>
      <c r="AL89" s="76" t="b">
        <v>0</v>
      </c>
      <c r="AM89" s="78">
        <v>45068.229745370372</v>
      </c>
      <c r="AN89" s="76"/>
      <c r="AO89" s="76" t="s">
        <v>18842</v>
      </c>
      <c r="AP89" s="83" t="str">
        <f>HYPERLINK("https://t.co/wyjxZufbYa")</f>
        <v>https://t.co/wyjxZufbYa</v>
      </c>
      <c r="AQ89" s="83" t="str">
        <f>HYPERLINK("https://chat.whatsapp.com/If4f2Z3lK1B0QB5IJSu9Hp")</f>
        <v>https://chat.whatsapp.com/If4f2Z3lK1B0QB5IJSu9Hp</v>
      </c>
      <c r="AR89" s="76" t="s">
        <v>19346</v>
      </c>
      <c r="AS89" s="76"/>
      <c r="AT89" s="76"/>
      <c r="AU89" s="76"/>
      <c r="AV89" s="76"/>
      <c r="AW89" s="83" t="str">
        <f>HYPERLINK("https://t.co/wyjxZufbYa")</f>
        <v>https://t.co/wyjxZufbYa</v>
      </c>
      <c r="AX89" s="76" t="b">
        <v>0</v>
      </c>
      <c r="AY89" s="76"/>
      <c r="AZ89" s="76"/>
      <c r="BA89" s="76" t="b">
        <v>1</v>
      </c>
      <c r="BB89" s="76" t="b">
        <v>1</v>
      </c>
      <c r="BC89" s="76" t="b">
        <v>1</v>
      </c>
      <c r="BD89" s="76" t="b">
        <v>0</v>
      </c>
      <c r="BE89" s="76" t="b">
        <v>0</v>
      </c>
      <c r="BF89" s="76" t="b">
        <v>0</v>
      </c>
      <c r="BG89" s="76" t="b">
        <v>0</v>
      </c>
      <c r="BH89" s="76"/>
      <c r="BI89" s="76"/>
      <c r="BJ89" s="76" t="s">
        <v>19734</v>
      </c>
      <c r="BK89" s="76" t="b">
        <v>0</v>
      </c>
      <c r="BL89" s="76"/>
      <c r="BM89" s="76" t="s">
        <v>66</v>
      </c>
      <c r="BN89" s="76" t="s">
        <v>19736</v>
      </c>
      <c r="BO89" s="83" t="str">
        <f>HYPERLINK("https://twitter.com/nancy_fxgold_")</f>
        <v>https://twitter.com/nancy_fxgold_</v>
      </c>
      <c r="BP89" s="2"/>
    </row>
    <row r="90" spans="1:68" x14ac:dyDescent="0.25">
      <c r="A90" s="62" t="s">
        <v>297</v>
      </c>
      <c r="B90" s="63"/>
      <c r="C90" s="63"/>
      <c r="D90" s="64"/>
      <c r="E90" s="66"/>
      <c r="F90" s="103" t="str">
        <f>HYPERLINK("https://pbs.twimg.com/profile_images/1705441108887527424/5ciRr3vy_normal.jpg")</f>
        <v>https://pbs.twimg.com/profile_images/1705441108887527424/5ciRr3vy_normal.jpg</v>
      </c>
      <c r="G90" s="63"/>
      <c r="H90" s="67"/>
      <c r="I90" s="68"/>
      <c r="J90" s="68"/>
      <c r="K90" s="67" t="s">
        <v>19823</v>
      </c>
      <c r="L90" s="71"/>
      <c r="M90" s="72"/>
      <c r="N90" s="72"/>
      <c r="O90" s="73"/>
      <c r="P90" s="74"/>
      <c r="Q90" s="74"/>
      <c r="R90" s="87"/>
      <c r="S90" s="87"/>
      <c r="T90" s="87"/>
      <c r="U90" s="87"/>
      <c r="V90" s="48"/>
      <c r="W90" s="48"/>
      <c r="X90" s="48"/>
      <c r="Y90" s="48"/>
      <c r="Z90" s="47"/>
      <c r="AA90" s="69">
        <v>90</v>
      </c>
      <c r="AB90" s="69"/>
      <c r="AC90" s="70"/>
      <c r="AD90" s="76" t="s">
        <v>17841</v>
      </c>
      <c r="AE90" s="81" t="s">
        <v>17478</v>
      </c>
      <c r="AF90" s="76">
        <v>150</v>
      </c>
      <c r="AG90" s="76">
        <v>174</v>
      </c>
      <c r="AH90" s="76">
        <v>3112</v>
      </c>
      <c r="AI90" s="76">
        <v>1</v>
      </c>
      <c r="AJ90" s="76">
        <v>16027</v>
      </c>
      <c r="AK90" s="76">
        <v>1013</v>
      </c>
      <c r="AL90" s="76" t="b">
        <v>0</v>
      </c>
      <c r="AM90" s="78">
        <v>44747.027546296296</v>
      </c>
      <c r="AN90" s="76" t="s">
        <v>18591</v>
      </c>
      <c r="AO90" s="76" t="s">
        <v>18843</v>
      </c>
      <c r="AP90" s="76"/>
      <c r="AQ90" s="76"/>
      <c r="AR90" s="76"/>
      <c r="AS90" s="76"/>
      <c r="AT90" s="76"/>
      <c r="AU90" s="76"/>
      <c r="AV90" s="76">
        <v>1.6250936404344699E+18</v>
      </c>
      <c r="AW90" s="76"/>
      <c r="AX90" s="76" t="b">
        <v>0</v>
      </c>
      <c r="AY90" s="76"/>
      <c r="AZ90" s="76"/>
      <c r="BA90" s="76" t="b">
        <v>0</v>
      </c>
      <c r="BB90" s="76" t="b">
        <v>1</v>
      </c>
      <c r="BC90" s="76" t="b">
        <v>1</v>
      </c>
      <c r="BD90" s="76" t="b">
        <v>0</v>
      </c>
      <c r="BE90" s="76" t="b">
        <v>1</v>
      </c>
      <c r="BF90" s="76" t="b">
        <v>0</v>
      </c>
      <c r="BG90" s="76" t="b">
        <v>0</v>
      </c>
      <c r="BH90" s="83" t="str">
        <f>HYPERLINK("https://pbs.twimg.com/profile_banners/1544118675933958144/1656982535")</f>
        <v>https://pbs.twimg.com/profile_banners/1544118675933958144/1656982535</v>
      </c>
      <c r="BI90" s="76"/>
      <c r="BJ90" s="76" t="s">
        <v>19734</v>
      </c>
      <c r="BK90" s="76" t="b">
        <v>0</v>
      </c>
      <c r="BL90" s="76"/>
      <c r="BM90" s="76" t="s">
        <v>66</v>
      </c>
      <c r="BN90" s="76" t="s">
        <v>19736</v>
      </c>
      <c r="BO90" s="83" t="str">
        <f>HYPERLINK("https://twitter.com/luciasantanna22")</f>
        <v>https://twitter.com/luciasantanna22</v>
      </c>
      <c r="BP90" s="2"/>
    </row>
    <row r="91" spans="1:68" x14ac:dyDescent="0.25">
      <c r="A91" s="62" t="s">
        <v>740</v>
      </c>
      <c r="B91" s="63"/>
      <c r="C91" s="63"/>
      <c r="D91" s="64"/>
      <c r="E91" s="66"/>
      <c r="F91" s="103" t="str">
        <f>HYPERLINK("https://pbs.twimg.com/profile_images/1662215112831246337/d2dIwqhD_normal.jpg")</f>
        <v>https://pbs.twimg.com/profile_images/1662215112831246337/d2dIwqhD_normal.jpg</v>
      </c>
      <c r="G91" s="63"/>
      <c r="H91" s="67"/>
      <c r="I91" s="68"/>
      <c r="J91" s="68"/>
      <c r="K91" s="67" t="s">
        <v>19824</v>
      </c>
      <c r="L91" s="71"/>
      <c r="M91" s="72"/>
      <c r="N91" s="72"/>
      <c r="O91" s="73"/>
      <c r="P91" s="74"/>
      <c r="Q91" s="74"/>
      <c r="R91" s="87"/>
      <c r="S91" s="87"/>
      <c r="T91" s="87"/>
      <c r="U91" s="87"/>
      <c r="V91" s="48"/>
      <c r="W91" s="48"/>
      <c r="X91" s="48"/>
      <c r="Y91" s="48"/>
      <c r="Z91" s="47"/>
      <c r="AA91" s="69">
        <v>91</v>
      </c>
      <c r="AB91" s="69"/>
      <c r="AC91" s="70"/>
      <c r="AD91" s="76" t="s">
        <v>17842</v>
      </c>
      <c r="AE91" s="81" t="s">
        <v>18351</v>
      </c>
      <c r="AF91" s="76">
        <v>79340</v>
      </c>
      <c r="AG91" s="76">
        <v>572</v>
      </c>
      <c r="AH91" s="76">
        <v>15332</v>
      </c>
      <c r="AI91" s="76">
        <v>43</v>
      </c>
      <c r="AJ91" s="76">
        <v>61481</v>
      </c>
      <c r="AK91" s="76">
        <v>856</v>
      </c>
      <c r="AL91" s="76" t="b">
        <v>0</v>
      </c>
      <c r="AM91" s="78">
        <v>44647.638981481483</v>
      </c>
      <c r="AN91" s="76"/>
      <c r="AO91" s="76"/>
      <c r="AP91" s="76"/>
      <c r="AQ91" s="76"/>
      <c r="AR91" s="76"/>
      <c r="AS91" s="76"/>
      <c r="AT91" s="76"/>
      <c r="AU91" s="76"/>
      <c r="AV91" s="76"/>
      <c r="AW91" s="76"/>
      <c r="AX91" s="76" t="b">
        <v>0</v>
      </c>
      <c r="AY91" s="76"/>
      <c r="AZ91" s="76"/>
      <c r="BA91" s="76" t="b">
        <v>0</v>
      </c>
      <c r="BB91" s="76" t="b">
        <v>1</v>
      </c>
      <c r="BC91" s="76" t="b">
        <v>1</v>
      </c>
      <c r="BD91" s="76" t="b">
        <v>0</v>
      </c>
      <c r="BE91" s="76" t="b">
        <v>1</v>
      </c>
      <c r="BF91" s="76" t="b">
        <v>0</v>
      </c>
      <c r="BG91" s="76" t="b">
        <v>0</v>
      </c>
      <c r="BH91" s="76"/>
      <c r="BI91" s="76"/>
      <c r="BJ91" s="76" t="s">
        <v>19734</v>
      </c>
      <c r="BK91" s="76" t="b">
        <v>0</v>
      </c>
      <c r="BL91" s="76"/>
      <c r="BM91" s="76" t="s">
        <v>65</v>
      </c>
      <c r="BN91" s="76" t="s">
        <v>19736</v>
      </c>
      <c r="BO91" s="83" t="str">
        <f>HYPERLINK("https://twitter.com/tucaandrada3")</f>
        <v>https://twitter.com/tucaandrada3</v>
      </c>
      <c r="BP91" s="2"/>
    </row>
    <row r="92" spans="1:68" x14ac:dyDescent="0.25">
      <c r="A92" s="62" t="s">
        <v>741</v>
      </c>
      <c r="B92" s="63"/>
      <c r="C92" s="63"/>
      <c r="D92" s="64"/>
      <c r="E92" s="66"/>
      <c r="F92" s="103" t="str">
        <f>HYPERLINK("https://pbs.twimg.com/profile_images/1639373732476080132/xAF5Ci6D_normal.jpg")</f>
        <v>https://pbs.twimg.com/profile_images/1639373732476080132/xAF5Ci6D_normal.jpg</v>
      </c>
      <c r="G92" s="63"/>
      <c r="H92" s="67"/>
      <c r="I92" s="68"/>
      <c r="J92" s="68"/>
      <c r="K92" s="67" t="s">
        <v>19825</v>
      </c>
      <c r="L92" s="71"/>
      <c r="M92" s="72"/>
      <c r="N92" s="72"/>
      <c r="O92" s="73"/>
      <c r="P92" s="74"/>
      <c r="Q92" s="74"/>
      <c r="R92" s="87"/>
      <c r="S92" s="87"/>
      <c r="T92" s="87"/>
      <c r="U92" s="87"/>
      <c r="V92" s="48"/>
      <c r="W92" s="48"/>
      <c r="X92" s="48"/>
      <c r="Y92" s="48"/>
      <c r="Z92" s="47"/>
      <c r="AA92" s="69">
        <v>92</v>
      </c>
      <c r="AB92" s="69"/>
      <c r="AC92" s="70"/>
      <c r="AD92" s="76" t="s">
        <v>17843</v>
      </c>
      <c r="AE92" s="81" t="s">
        <v>17326</v>
      </c>
      <c r="AF92" s="76">
        <v>600</v>
      </c>
      <c r="AG92" s="76">
        <v>591</v>
      </c>
      <c r="AH92" s="76">
        <v>41774</v>
      </c>
      <c r="AI92" s="76">
        <v>0</v>
      </c>
      <c r="AJ92" s="76">
        <v>49992</v>
      </c>
      <c r="AK92" s="76">
        <v>3050</v>
      </c>
      <c r="AL92" s="76" t="b">
        <v>0</v>
      </c>
      <c r="AM92" s="78">
        <v>40176.132337962961</v>
      </c>
      <c r="AN92" s="76"/>
      <c r="AO92" s="76" t="s">
        <v>18844</v>
      </c>
      <c r="AP92" s="76"/>
      <c r="AQ92" s="76"/>
      <c r="AR92" s="76"/>
      <c r="AS92" s="76"/>
      <c r="AT92" s="76"/>
      <c r="AU92" s="76"/>
      <c r="AV92" s="76">
        <v>1.62985467626595E+18</v>
      </c>
      <c r="AW92" s="76"/>
      <c r="AX92" s="76" t="b">
        <v>0</v>
      </c>
      <c r="AY92" s="76"/>
      <c r="AZ92" s="76"/>
      <c r="BA92" s="76" t="b">
        <v>0</v>
      </c>
      <c r="BB92" s="76" t="b">
        <v>0</v>
      </c>
      <c r="BC92" s="76" t="b">
        <v>0</v>
      </c>
      <c r="BD92" s="76" t="b">
        <v>0</v>
      </c>
      <c r="BE92" s="76" t="b">
        <v>1</v>
      </c>
      <c r="BF92" s="76" t="b">
        <v>0</v>
      </c>
      <c r="BG92" s="76" t="b">
        <v>0</v>
      </c>
      <c r="BH92" s="83" t="str">
        <f>HYPERLINK("https://pbs.twimg.com/profile_banners/100118303/1567940480")</f>
        <v>https://pbs.twimg.com/profile_banners/100118303/1567940480</v>
      </c>
      <c r="BI92" s="76"/>
      <c r="BJ92" s="76" t="s">
        <v>19734</v>
      </c>
      <c r="BK92" s="76" t="b">
        <v>0</v>
      </c>
      <c r="BL92" s="76"/>
      <c r="BM92" s="76" t="s">
        <v>65</v>
      </c>
      <c r="BN92" s="76" t="s">
        <v>19736</v>
      </c>
      <c r="BO92" s="83" t="str">
        <f>HYPERLINK("https://twitter.com/luizmoura123")</f>
        <v>https://twitter.com/luizmoura123</v>
      </c>
      <c r="BP92" s="2"/>
    </row>
    <row r="93" spans="1:68" x14ac:dyDescent="0.25">
      <c r="A93" s="62" t="s">
        <v>298</v>
      </c>
      <c r="B93" s="63"/>
      <c r="C93" s="63"/>
      <c r="D93" s="64"/>
      <c r="E93" s="66"/>
      <c r="F93" s="103" t="str">
        <f>HYPERLINK("https://pbs.twimg.com/profile_images/1483395221828296713/y8zFb35F_normal.jpg")</f>
        <v>https://pbs.twimg.com/profile_images/1483395221828296713/y8zFb35F_normal.jpg</v>
      </c>
      <c r="G93" s="63"/>
      <c r="H93" s="67"/>
      <c r="I93" s="68"/>
      <c r="J93" s="68"/>
      <c r="K93" s="67" t="s">
        <v>19826</v>
      </c>
      <c r="L93" s="71"/>
      <c r="M93" s="72"/>
      <c r="N93" s="72"/>
      <c r="O93" s="73"/>
      <c r="P93" s="74"/>
      <c r="Q93" s="74"/>
      <c r="R93" s="87"/>
      <c r="S93" s="87"/>
      <c r="T93" s="87"/>
      <c r="U93" s="87"/>
      <c r="V93" s="48"/>
      <c r="W93" s="48"/>
      <c r="X93" s="48"/>
      <c r="Y93" s="48"/>
      <c r="Z93" s="47"/>
      <c r="AA93" s="69">
        <v>93</v>
      </c>
      <c r="AB93" s="69"/>
      <c r="AC93" s="70"/>
      <c r="AD93" s="76" t="s">
        <v>17844</v>
      </c>
      <c r="AE93" s="81" t="s">
        <v>18352</v>
      </c>
      <c r="AF93" s="76">
        <v>2069</v>
      </c>
      <c r="AG93" s="76">
        <v>403</v>
      </c>
      <c r="AH93" s="76">
        <v>28479</v>
      </c>
      <c r="AI93" s="76">
        <v>23</v>
      </c>
      <c r="AJ93" s="76">
        <v>18</v>
      </c>
      <c r="AK93" s="76">
        <v>2396</v>
      </c>
      <c r="AL93" s="76" t="b">
        <v>0</v>
      </c>
      <c r="AM93" s="78">
        <v>40515.450104166666</v>
      </c>
      <c r="AN93" s="76" t="s">
        <v>18592</v>
      </c>
      <c r="AO93" s="76" t="s">
        <v>18845</v>
      </c>
      <c r="AP93" s="83" t="str">
        <f>HYPERLINK("https://t.co/g7k2fkrYuP")</f>
        <v>https://t.co/g7k2fkrYuP</v>
      </c>
      <c r="AQ93" s="83" t="str">
        <f>HYPERLINK("http://www.jornalsemanario.com.br")</f>
        <v>http://www.jornalsemanario.com.br</v>
      </c>
      <c r="AR93" s="76" t="s">
        <v>19347</v>
      </c>
      <c r="AS93" s="83" t="str">
        <f>HYPERLINK("https://t.co/3g4n3CdTcD")</f>
        <v>https://t.co/3g4n3CdTcD</v>
      </c>
      <c r="AT93" s="83" t="str">
        <f>HYPERLINK("http://fb.com/jornalsemanario")</f>
        <v>http://fb.com/jornalsemanario</v>
      </c>
      <c r="AU93" s="76" t="s">
        <v>19693</v>
      </c>
      <c r="AV93" s="76"/>
      <c r="AW93" s="83" t="str">
        <f>HYPERLINK("https://t.co/g7k2fkrYuP")</f>
        <v>https://t.co/g7k2fkrYuP</v>
      </c>
      <c r="AX93" s="76" t="b">
        <v>0</v>
      </c>
      <c r="AY93" s="76"/>
      <c r="AZ93" s="76"/>
      <c r="BA93" s="76" t="b">
        <v>0</v>
      </c>
      <c r="BB93" s="76" t="b">
        <v>1</v>
      </c>
      <c r="BC93" s="76" t="b">
        <v>0</v>
      </c>
      <c r="BD93" s="76" t="b">
        <v>0</v>
      </c>
      <c r="BE93" s="76" t="b">
        <v>0</v>
      </c>
      <c r="BF93" s="76" t="b">
        <v>0</v>
      </c>
      <c r="BG93" s="76" t="b">
        <v>0</v>
      </c>
      <c r="BH93" s="83" t="str">
        <f>HYPERLINK("https://pbs.twimg.com/profile_banners/222416371/1690458648")</f>
        <v>https://pbs.twimg.com/profile_banners/222416371/1690458648</v>
      </c>
      <c r="BI93" s="76"/>
      <c r="BJ93" s="76" t="s">
        <v>19734</v>
      </c>
      <c r="BK93" s="76" t="b">
        <v>0</v>
      </c>
      <c r="BL93" s="76"/>
      <c r="BM93" s="76" t="s">
        <v>66</v>
      </c>
      <c r="BN93" s="76" t="s">
        <v>19736</v>
      </c>
      <c r="BO93" s="83" t="str">
        <f>HYPERLINK("https://twitter.com/jsemanario")</f>
        <v>https://twitter.com/jsemanario</v>
      </c>
      <c r="BP93" s="2"/>
    </row>
    <row r="94" spans="1:68" x14ac:dyDescent="0.25">
      <c r="A94" s="62" t="s">
        <v>299</v>
      </c>
      <c r="B94" s="63"/>
      <c r="C94" s="63"/>
      <c r="D94" s="64"/>
      <c r="E94" s="66"/>
      <c r="F94" s="103" t="str">
        <f>HYPERLINK("https://pbs.twimg.com/profile_images/1274898161270693888/LBuU3TmH_normal.jpg")</f>
        <v>https://pbs.twimg.com/profile_images/1274898161270693888/LBuU3TmH_normal.jpg</v>
      </c>
      <c r="G94" s="63"/>
      <c r="H94" s="67"/>
      <c r="I94" s="68"/>
      <c r="J94" s="68"/>
      <c r="K94" s="67" t="s">
        <v>19827</v>
      </c>
      <c r="L94" s="71"/>
      <c r="M94" s="72"/>
      <c r="N94" s="72"/>
      <c r="O94" s="73"/>
      <c r="P94" s="74"/>
      <c r="Q94" s="74"/>
      <c r="R94" s="87"/>
      <c r="S94" s="87"/>
      <c r="T94" s="87"/>
      <c r="U94" s="87"/>
      <c r="V94" s="48"/>
      <c r="W94" s="48"/>
      <c r="X94" s="48"/>
      <c r="Y94" s="48"/>
      <c r="Z94" s="47"/>
      <c r="AA94" s="69">
        <v>94</v>
      </c>
      <c r="AB94" s="69"/>
      <c r="AC94" s="70"/>
      <c r="AD94" s="76" t="s">
        <v>17845</v>
      </c>
      <c r="AE94" s="81" t="s">
        <v>17479</v>
      </c>
      <c r="AF94" s="76">
        <v>1</v>
      </c>
      <c r="AG94" s="76">
        <v>22</v>
      </c>
      <c r="AH94" s="76">
        <v>61</v>
      </c>
      <c r="AI94" s="76">
        <v>0</v>
      </c>
      <c r="AJ94" s="76">
        <v>86</v>
      </c>
      <c r="AK94" s="76">
        <v>8</v>
      </c>
      <c r="AL94" s="76" t="b">
        <v>0</v>
      </c>
      <c r="AM94" s="78">
        <v>44004.11855324074</v>
      </c>
      <c r="AN94" s="76"/>
      <c r="AO94" s="76"/>
      <c r="AP94" s="76"/>
      <c r="AQ94" s="76"/>
      <c r="AR94" s="76"/>
      <c r="AS94" s="76"/>
      <c r="AT94" s="76"/>
      <c r="AU94" s="76"/>
      <c r="AV94" s="76"/>
      <c r="AW94" s="76"/>
      <c r="AX94" s="76" t="b">
        <v>0</v>
      </c>
      <c r="AY94" s="76"/>
      <c r="AZ94" s="76"/>
      <c r="BA94" s="76" t="b">
        <v>0</v>
      </c>
      <c r="BB94" s="76" t="b">
        <v>1</v>
      </c>
      <c r="BC94" s="76" t="b">
        <v>1</v>
      </c>
      <c r="BD94" s="76" t="b">
        <v>0</v>
      </c>
      <c r="BE94" s="76" t="b">
        <v>0</v>
      </c>
      <c r="BF94" s="76" t="b">
        <v>0</v>
      </c>
      <c r="BG94" s="76" t="b">
        <v>0</v>
      </c>
      <c r="BH94" s="76"/>
      <c r="BI94" s="76"/>
      <c r="BJ94" s="76" t="s">
        <v>19734</v>
      </c>
      <c r="BK94" s="76" t="b">
        <v>0</v>
      </c>
      <c r="BL94" s="76"/>
      <c r="BM94" s="76" t="s">
        <v>66</v>
      </c>
      <c r="BN94" s="76" t="s">
        <v>19736</v>
      </c>
      <c r="BO94" s="83" t="str">
        <f>HYPERLINK("https://twitter.com/dleon3211")</f>
        <v>https://twitter.com/dleon3211</v>
      </c>
      <c r="BP94" s="2"/>
    </row>
    <row r="95" spans="1:68" x14ac:dyDescent="0.25">
      <c r="A95" s="62" t="s">
        <v>300</v>
      </c>
      <c r="B95" s="63"/>
      <c r="C95" s="63"/>
      <c r="D95" s="64"/>
      <c r="E95" s="66"/>
      <c r="F95" s="103" t="str">
        <f>HYPERLINK("https://pbs.twimg.com/profile_images/1612197438382653440/rDIbNk2g_normal.jpg")</f>
        <v>https://pbs.twimg.com/profile_images/1612197438382653440/rDIbNk2g_normal.jpg</v>
      </c>
      <c r="G95" s="63"/>
      <c r="H95" s="67"/>
      <c r="I95" s="68"/>
      <c r="J95" s="68"/>
      <c r="K95" s="67" t="s">
        <v>19828</v>
      </c>
      <c r="L95" s="71"/>
      <c r="M95" s="72"/>
      <c r="N95" s="72"/>
      <c r="O95" s="73"/>
      <c r="P95" s="74"/>
      <c r="Q95" s="74"/>
      <c r="R95" s="87"/>
      <c r="S95" s="87"/>
      <c r="T95" s="87"/>
      <c r="U95" s="87"/>
      <c r="V95" s="48"/>
      <c r="W95" s="48"/>
      <c r="X95" s="48"/>
      <c r="Y95" s="48"/>
      <c r="Z95" s="47"/>
      <c r="AA95" s="69">
        <v>95</v>
      </c>
      <c r="AB95" s="69"/>
      <c r="AC95" s="70"/>
      <c r="AD95" s="76" t="s">
        <v>17846</v>
      </c>
      <c r="AE95" s="81" t="s">
        <v>18353</v>
      </c>
      <c r="AF95" s="76">
        <v>556</v>
      </c>
      <c r="AG95" s="76">
        <v>178</v>
      </c>
      <c r="AH95" s="76">
        <v>10569</v>
      </c>
      <c r="AI95" s="76">
        <v>5</v>
      </c>
      <c r="AJ95" s="76">
        <v>5778</v>
      </c>
      <c r="AK95" s="76">
        <v>364</v>
      </c>
      <c r="AL95" s="76" t="b">
        <v>0</v>
      </c>
      <c r="AM95" s="78">
        <v>40020.147824074076</v>
      </c>
      <c r="AN95" s="76" t="s">
        <v>12007</v>
      </c>
      <c r="AO95" s="76" t="s">
        <v>18846</v>
      </c>
      <c r="AP95" s="76"/>
      <c r="AQ95" s="76"/>
      <c r="AR95" s="76"/>
      <c r="AS95" s="76"/>
      <c r="AT95" s="76"/>
      <c r="AU95" s="76"/>
      <c r="AV95" s="76"/>
      <c r="AW95" s="76"/>
      <c r="AX95" s="76" t="b">
        <v>0</v>
      </c>
      <c r="AY95" s="76"/>
      <c r="AZ95" s="76"/>
      <c r="BA95" s="76" t="b">
        <v>1</v>
      </c>
      <c r="BB95" s="76" t="b">
        <v>0</v>
      </c>
      <c r="BC95" s="76" t="b">
        <v>0</v>
      </c>
      <c r="BD95" s="76" t="b">
        <v>0</v>
      </c>
      <c r="BE95" s="76" t="b">
        <v>1</v>
      </c>
      <c r="BF95" s="76" t="b">
        <v>0</v>
      </c>
      <c r="BG95" s="76" t="b">
        <v>0</v>
      </c>
      <c r="BH95" s="83" t="str">
        <f>HYPERLINK("https://pbs.twimg.com/profile_banners/60222160/1673223818")</f>
        <v>https://pbs.twimg.com/profile_banners/60222160/1673223818</v>
      </c>
      <c r="BI95" s="76"/>
      <c r="BJ95" s="76" t="s">
        <v>19734</v>
      </c>
      <c r="BK95" s="76" t="b">
        <v>0</v>
      </c>
      <c r="BL95" s="76"/>
      <c r="BM95" s="76" t="s">
        <v>66</v>
      </c>
      <c r="BN95" s="76" t="s">
        <v>19736</v>
      </c>
      <c r="BO95" s="83" t="str">
        <f>HYPERLINK("https://twitter.com/hellentaynan")</f>
        <v>https://twitter.com/hellentaynan</v>
      </c>
      <c r="BP95" s="2"/>
    </row>
    <row r="96" spans="1:68" x14ac:dyDescent="0.25">
      <c r="A96" s="62" t="s">
        <v>742</v>
      </c>
      <c r="B96" s="63"/>
      <c r="C96" s="63"/>
      <c r="D96" s="64"/>
      <c r="E96" s="66"/>
      <c r="F96" s="103" t="str">
        <f>HYPERLINK("https://pbs.twimg.com/profile_images/1544746398314385415/OFnrKMxv_normal.jpg")</f>
        <v>https://pbs.twimg.com/profile_images/1544746398314385415/OFnrKMxv_normal.jpg</v>
      </c>
      <c r="G96" s="63"/>
      <c r="H96" s="67"/>
      <c r="I96" s="68"/>
      <c r="J96" s="68"/>
      <c r="K96" s="67" t="s">
        <v>19829</v>
      </c>
      <c r="L96" s="71"/>
      <c r="M96" s="72"/>
      <c r="N96" s="72"/>
      <c r="O96" s="73"/>
      <c r="P96" s="74"/>
      <c r="Q96" s="74"/>
      <c r="R96" s="87"/>
      <c r="S96" s="87"/>
      <c r="T96" s="87"/>
      <c r="U96" s="87"/>
      <c r="V96" s="48"/>
      <c r="W96" s="48"/>
      <c r="X96" s="48"/>
      <c r="Y96" s="48"/>
      <c r="Z96" s="47"/>
      <c r="AA96" s="69">
        <v>96</v>
      </c>
      <c r="AB96" s="69"/>
      <c r="AC96" s="70"/>
      <c r="AD96" s="76" t="s">
        <v>17847</v>
      </c>
      <c r="AE96" s="81" t="s">
        <v>18354</v>
      </c>
      <c r="AF96" s="76">
        <v>652600</v>
      </c>
      <c r="AG96" s="76">
        <v>38</v>
      </c>
      <c r="AH96" s="76">
        <v>496741</v>
      </c>
      <c r="AI96" s="76">
        <v>653</v>
      </c>
      <c r="AJ96" s="76">
        <v>105963</v>
      </c>
      <c r="AK96" s="76">
        <v>126634</v>
      </c>
      <c r="AL96" s="76" t="b">
        <v>0</v>
      </c>
      <c r="AM96" s="78">
        <v>41669.792662037034</v>
      </c>
      <c r="AN96" s="76" t="s">
        <v>12007</v>
      </c>
      <c r="AO96" s="76" t="s">
        <v>18847</v>
      </c>
      <c r="AP96" s="83" t="str">
        <f>HYPERLINK("https://t.co/apuaCJGwEo")</f>
        <v>https://t.co/apuaCJGwEo</v>
      </c>
      <c r="AQ96" s="83" t="str">
        <f>HYPERLINK("http://sou.nu/n-possibilidades")</f>
        <v>http://sou.nu/n-possibilidades</v>
      </c>
      <c r="AR96" s="76" t="s">
        <v>19348</v>
      </c>
      <c r="AS96" s="76"/>
      <c r="AT96" s="76"/>
      <c r="AU96" s="76"/>
      <c r="AV96" s="76"/>
      <c r="AW96" s="83" t="str">
        <f>HYPERLINK("https://t.co/apuaCJGwEo")</f>
        <v>https://t.co/apuaCJGwEo</v>
      </c>
      <c r="AX96" s="76" t="b">
        <v>0</v>
      </c>
      <c r="AY96" s="76"/>
      <c r="AZ96" s="76"/>
      <c r="BA96" s="76" t="b">
        <v>1</v>
      </c>
      <c r="BB96" s="76" t="b">
        <v>1</v>
      </c>
      <c r="BC96" s="76" t="b">
        <v>0</v>
      </c>
      <c r="BD96" s="76" t="b">
        <v>0</v>
      </c>
      <c r="BE96" s="76" t="b">
        <v>1</v>
      </c>
      <c r="BF96" s="76" t="b">
        <v>0</v>
      </c>
      <c r="BG96" s="76" t="b">
        <v>0</v>
      </c>
      <c r="BH96" s="83" t="str">
        <f>HYPERLINK("https://pbs.twimg.com/profile_banners/2319390320/1685732105")</f>
        <v>https://pbs.twimg.com/profile_banners/2319390320/1685732105</v>
      </c>
      <c r="BI96" s="76"/>
      <c r="BJ96" s="76" t="s">
        <v>19734</v>
      </c>
      <c r="BK96" s="76" t="b">
        <v>0</v>
      </c>
      <c r="BL96" s="76"/>
      <c r="BM96" s="76" t="s">
        <v>65</v>
      </c>
      <c r="BN96" s="76" t="s">
        <v>19736</v>
      </c>
      <c r="BO96" s="83" t="str">
        <f>HYPERLINK("https://twitter.com/nubank")</f>
        <v>https://twitter.com/nubank</v>
      </c>
      <c r="BP96" s="2"/>
    </row>
    <row r="97" spans="1:68" x14ac:dyDescent="0.25">
      <c r="A97" s="62" t="s">
        <v>301</v>
      </c>
      <c r="B97" s="63"/>
      <c r="C97" s="63"/>
      <c r="D97" s="64"/>
      <c r="E97" s="66"/>
      <c r="F97" s="103" t="str">
        <f>HYPERLINK("https://pbs.twimg.com/profile_images/1303008746445176832/8f22kqoM_normal.jpg")</f>
        <v>https://pbs.twimg.com/profile_images/1303008746445176832/8f22kqoM_normal.jpg</v>
      </c>
      <c r="G97" s="63"/>
      <c r="H97" s="67"/>
      <c r="I97" s="68"/>
      <c r="J97" s="68"/>
      <c r="K97" s="67" t="s">
        <v>19830</v>
      </c>
      <c r="L97" s="71"/>
      <c r="M97" s="72"/>
      <c r="N97" s="72"/>
      <c r="O97" s="73"/>
      <c r="P97" s="74"/>
      <c r="Q97" s="74"/>
      <c r="R97" s="87"/>
      <c r="S97" s="87"/>
      <c r="T97" s="87"/>
      <c r="U97" s="87"/>
      <c r="V97" s="48"/>
      <c r="W97" s="48"/>
      <c r="X97" s="48"/>
      <c r="Y97" s="48"/>
      <c r="Z97" s="47"/>
      <c r="AA97" s="69">
        <v>97</v>
      </c>
      <c r="AB97" s="69"/>
      <c r="AC97" s="70"/>
      <c r="AD97" s="76" t="s">
        <v>17848</v>
      </c>
      <c r="AE97" s="81" t="s">
        <v>18355</v>
      </c>
      <c r="AF97" s="76">
        <v>209</v>
      </c>
      <c r="AG97" s="76">
        <v>135</v>
      </c>
      <c r="AH97" s="76">
        <v>1298</v>
      </c>
      <c r="AI97" s="76">
        <v>3</v>
      </c>
      <c r="AJ97" s="76">
        <v>210</v>
      </c>
      <c r="AK97" s="76">
        <v>167</v>
      </c>
      <c r="AL97" s="76" t="b">
        <v>0</v>
      </c>
      <c r="AM97" s="78">
        <v>41948.469282407408</v>
      </c>
      <c r="AN97" s="76"/>
      <c r="AO97" s="76" t="s">
        <v>18848</v>
      </c>
      <c r="AP97" s="83" t="str">
        <f>HYPERLINK("https://t.co/yNDXmB7cgU")</f>
        <v>https://t.co/yNDXmB7cgU</v>
      </c>
      <c r="AQ97" s="83" t="str">
        <f>HYPERLINK("http://www.maissuperior.com")</f>
        <v>http://www.maissuperior.com</v>
      </c>
      <c r="AR97" s="76" t="s">
        <v>7074</v>
      </c>
      <c r="AS97" s="76"/>
      <c r="AT97" s="76"/>
      <c r="AU97" s="76"/>
      <c r="AV97" s="76"/>
      <c r="AW97" s="83" t="str">
        <f>HYPERLINK("https://t.co/yNDXmB7cgU")</f>
        <v>https://t.co/yNDXmB7cgU</v>
      </c>
      <c r="AX97" s="76" t="b">
        <v>0</v>
      </c>
      <c r="AY97" s="76"/>
      <c r="AZ97" s="76"/>
      <c r="BA97" s="76" t="b">
        <v>0</v>
      </c>
      <c r="BB97" s="76" t="b">
        <v>1</v>
      </c>
      <c r="BC97" s="76" t="b">
        <v>0</v>
      </c>
      <c r="BD97" s="76" t="b">
        <v>0</v>
      </c>
      <c r="BE97" s="76" t="b">
        <v>0</v>
      </c>
      <c r="BF97" s="76" t="b">
        <v>0</v>
      </c>
      <c r="BG97" s="76" t="b">
        <v>0</v>
      </c>
      <c r="BH97" s="83" t="str">
        <f>HYPERLINK("https://pbs.twimg.com/profile_banners/2862272213/1693829467")</f>
        <v>https://pbs.twimg.com/profile_banners/2862272213/1693829467</v>
      </c>
      <c r="BI97" s="76"/>
      <c r="BJ97" s="76" t="s">
        <v>19734</v>
      </c>
      <c r="BK97" s="76" t="b">
        <v>0</v>
      </c>
      <c r="BL97" s="76"/>
      <c r="BM97" s="76" t="s">
        <v>66</v>
      </c>
      <c r="BN97" s="76" t="s">
        <v>19736</v>
      </c>
      <c r="BO97" s="83" t="str">
        <f>HYPERLINK("https://twitter.com/mais_superior")</f>
        <v>https://twitter.com/mais_superior</v>
      </c>
      <c r="BP97" s="2"/>
    </row>
    <row r="98" spans="1:68" x14ac:dyDescent="0.25">
      <c r="A98" s="62" t="s">
        <v>302</v>
      </c>
      <c r="B98" s="63"/>
      <c r="C98" s="63"/>
      <c r="D98" s="64"/>
      <c r="E98" s="66"/>
      <c r="F98" s="103" t="str">
        <f>HYPERLINK("https://pbs.twimg.com/profile_images/1471442566243663880/MsfMW_eL_normal.jpg")</f>
        <v>https://pbs.twimg.com/profile_images/1471442566243663880/MsfMW_eL_normal.jpg</v>
      </c>
      <c r="G98" s="63"/>
      <c r="H98" s="67"/>
      <c r="I98" s="68"/>
      <c r="J98" s="68"/>
      <c r="K98" s="67" t="s">
        <v>19831</v>
      </c>
      <c r="L98" s="71"/>
      <c r="M98" s="72"/>
      <c r="N98" s="72"/>
      <c r="O98" s="73"/>
      <c r="P98" s="74"/>
      <c r="Q98" s="74"/>
      <c r="R98" s="87"/>
      <c r="S98" s="87"/>
      <c r="T98" s="87"/>
      <c r="U98" s="87"/>
      <c r="V98" s="48"/>
      <c r="W98" s="48"/>
      <c r="X98" s="48"/>
      <c r="Y98" s="48"/>
      <c r="Z98" s="47"/>
      <c r="AA98" s="69">
        <v>98</v>
      </c>
      <c r="AB98" s="69"/>
      <c r="AC98" s="70"/>
      <c r="AD98" s="76" t="s">
        <v>17849</v>
      </c>
      <c r="AE98" s="81" t="s">
        <v>18356</v>
      </c>
      <c r="AF98" s="76">
        <v>273</v>
      </c>
      <c r="AG98" s="76">
        <v>293</v>
      </c>
      <c r="AH98" s="76">
        <v>21424</v>
      </c>
      <c r="AI98" s="76">
        <v>19</v>
      </c>
      <c r="AJ98" s="76">
        <v>4691</v>
      </c>
      <c r="AK98" s="76">
        <v>2049</v>
      </c>
      <c r="AL98" s="76" t="b">
        <v>0</v>
      </c>
      <c r="AM98" s="78">
        <v>39651.860798611109</v>
      </c>
      <c r="AN98" s="76" t="s">
        <v>18593</v>
      </c>
      <c r="AO98" s="76" t="s">
        <v>18849</v>
      </c>
      <c r="AP98" s="83" t="str">
        <f>HYPERLINK("https://t.co/IJY9PgL08D")</f>
        <v>https://t.co/IJY9PgL08D</v>
      </c>
      <c r="AQ98" s="83" t="str">
        <f>HYPERLINK("http://esron.com.br")</f>
        <v>http://esron.com.br</v>
      </c>
      <c r="AR98" s="76" t="s">
        <v>19349</v>
      </c>
      <c r="AS98" s="76"/>
      <c r="AT98" s="76"/>
      <c r="AU98" s="76"/>
      <c r="AV98" s="76">
        <v>1.65864749940015E+18</v>
      </c>
      <c r="AW98" s="83" t="str">
        <f>HYPERLINK("https://t.co/IJY9PgL08D")</f>
        <v>https://t.co/IJY9PgL08D</v>
      </c>
      <c r="AX98" s="76" t="b">
        <v>0</v>
      </c>
      <c r="AY98" s="76"/>
      <c r="AZ98" s="76"/>
      <c r="BA98" s="76" t="b">
        <v>1</v>
      </c>
      <c r="BB98" s="76" t="b">
        <v>1</v>
      </c>
      <c r="BC98" s="76" t="b">
        <v>0</v>
      </c>
      <c r="BD98" s="76" t="b">
        <v>0</v>
      </c>
      <c r="BE98" s="76" t="b">
        <v>1</v>
      </c>
      <c r="BF98" s="76" t="b">
        <v>0</v>
      </c>
      <c r="BG98" s="76" t="b">
        <v>0</v>
      </c>
      <c r="BH98" s="83" t="str">
        <f>HYPERLINK("https://pbs.twimg.com/profile_banners/15536888/1649388512")</f>
        <v>https://pbs.twimg.com/profile_banners/15536888/1649388512</v>
      </c>
      <c r="BI98" s="76"/>
      <c r="BJ98" s="76" t="s">
        <v>19734</v>
      </c>
      <c r="BK98" s="76" t="b">
        <v>0</v>
      </c>
      <c r="BL98" s="76"/>
      <c r="BM98" s="76" t="s">
        <v>66</v>
      </c>
      <c r="BN98" s="76" t="s">
        <v>19736</v>
      </c>
      <c r="BO98" s="83" t="str">
        <f>HYPERLINK("https://twitter.com/esron")</f>
        <v>https://twitter.com/esron</v>
      </c>
      <c r="BP98" s="2"/>
    </row>
    <row r="99" spans="1:68" x14ac:dyDescent="0.25">
      <c r="A99" s="62" t="s">
        <v>303</v>
      </c>
      <c r="B99" s="63"/>
      <c r="C99" s="63"/>
      <c r="D99" s="64"/>
      <c r="E99" s="66"/>
      <c r="F99" s="103" t="str">
        <f>HYPERLINK("https://pbs.twimg.com/profile_images/805755815005212672/57wbxO5Y_normal.jpg")</f>
        <v>https://pbs.twimg.com/profile_images/805755815005212672/57wbxO5Y_normal.jpg</v>
      </c>
      <c r="G99" s="63"/>
      <c r="H99" s="67"/>
      <c r="I99" s="68"/>
      <c r="J99" s="68"/>
      <c r="K99" s="67" t="s">
        <v>19832</v>
      </c>
      <c r="L99" s="71"/>
      <c r="M99" s="72"/>
      <c r="N99" s="72"/>
      <c r="O99" s="73"/>
      <c r="P99" s="74"/>
      <c r="Q99" s="74"/>
      <c r="R99" s="87"/>
      <c r="S99" s="87"/>
      <c r="T99" s="87"/>
      <c r="U99" s="87"/>
      <c r="V99" s="48"/>
      <c r="W99" s="48"/>
      <c r="X99" s="48"/>
      <c r="Y99" s="48"/>
      <c r="Z99" s="47"/>
      <c r="AA99" s="69">
        <v>99</v>
      </c>
      <c r="AB99" s="69"/>
      <c r="AC99" s="70"/>
      <c r="AD99" s="76" t="s">
        <v>17850</v>
      </c>
      <c r="AE99" s="81" t="s">
        <v>18357</v>
      </c>
      <c r="AF99" s="76">
        <v>9039</v>
      </c>
      <c r="AG99" s="76">
        <v>144</v>
      </c>
      <c r="AH99" s="76">
        <v>9315</v>
      </c>
      <c r="AI99" s="76">
        <v>250</v>
      </c>
      <c r="AJ99" s="76">
        <v>10963</v>
      </c>
      <c r="AK99" s="76">
        <v>1040</v>
      </c>
      <c r="AL99" s="76" t="b">
        <v>0</v>
      </c>
      <c r="AM99" s="78">
        <v>39776.798391203702</v>
      </c>
      <c r="AN99" s="76" t="s">
        <v>12007</v>
      </c>
      <c r="AO99" s="76" t="s">
        <v>18850</v>
      </c>
      <c r="AP99" s="83" t="str">
        <f>HYPERLINK("https://t.co/LtwN5UO7v4")</f>
        <v>https://t.co/LtwN5UO7v4</v>
      </c>
      <c r="AQ99" s="83" t="str">
        <f>HYPERLINK("http://www.relatorioreservado.com.br")</f>
        <v>http://www.relatorioreservado.com.br</v>
      </c>
      <c r="AR99" s="76" t="s">
        <v>19350</v>
      </c>
      <c r="AS99" s="76"/>
      <c r="AT99" s="76"/>
      <c r="AU99" s="76"/>
      <c r="AV99" s="76"/>
      <c r="AW99" s="83" t="str">
        <f>HYPERLINK("https://t.co/LtwN5UO7v4")</f>
        <v>https://t.co/LtwN5UO7v4</v>
      </c>
      <c r="AX99" s="76" t="b">
        <v>0</v>
      </c>
      <c r="AY99" s="76"/>
      <c r="AZ99" s="76"/>
      <c r="BA99" s="76" t="b">
        <v>1</v>
      </c>
      <c r="BB99" s="76" t="b">
        <v>1</v>
      </c>
      <c r="BC99" s="76" t="b">
        <v>0</v>
      </c>
      <c r="BD99" s="76" t="b">
        <v>0</v>
      </c>
      <c r="BE99" s="76" t="b">
        <v>1</v>
      </c>
      <c r="BF99" s="76" t="b">
        <v>0</v>
      </c>
      <c r="BG99" s="76" t="b">
        <v>0</v>
      </c>
      <c r="BH99" s="83" t="str">
        <f>HYPERLINK("https://pbs.twimg.com/profile_banners/17598453/1695071676")</f>
        <v>https://pbs.twimg.com/profile_banners/17598453/1695071676</v>
      </c>
      <c r="BI99" s="76"/>
      <c r="BJ99" s="76" t="s">
        <v>19734</v>
      </c>
      <c r="BK99" s="76" t="b">
        <v>0</v>
      </c>
      <c r="BL99" s="76"/>
      <c r="BM99" s="76" t="s">
        <v>66</v>
      </c>
      <c r="BN99" s="76" t="s">
        <v>19736</v>
      </c>
      <c r="BO99" s="83" t="str">
        <f>HYPERLINK("https://twitter.com/relatorio")</f>
        <v>https://twitter.com/relatorio</v>
      </c>
      <c r="BP99" s="2"/>
    </row>
    <row r="100" spans="1:68" x14ac:dyDescent="0.25">
      <c r="A100" s="62" t="s">
        <v>304</v>
      </c>
      <c r="B100" s="63"/>
      <c r="C100" s="63"/>
      <c r="D100" s="64"/>
      <c r="E100" s="66"/>
      <c r="F100" s="103" t="str">
        <f>HYPERLINK("https://pbs.twimg.com/profile_images/1661318042926628866/EDek1OwD_normal.jpg")</f>
        <v>https://pbs.twimg.com/profile_images/1661318042926628866/EDek1OwD_normal.jpg</v>
      </c>
      <c r="G100" s="63"/>
      <c r="H100" s="67"/>
      <c r="I100" s="68"/>
      <c r="J100" s="68"/>
      <c r="K100" s="67" t="s">
        <v>19833</v>
      </c>
      <c r="L100" s="71"/>
      <c r="M100" s="72"/>
      <c r="N100" s="72"/>
      <c r="O100" s="73"/>
      <c r="P100" s="74"/>
      <c r="Q100" s="74"/>
      <c r="R100" s="87"/>
      <c r="S100" s="87"/>
      <c r="T100" s="87"/>
      <c r="U100" s="87"/>
      <c r="V100" s="48"/>
      <c r="W100" s="48"/>
      <c r="X100" s="48"/>
      <c r="Y100" s="48"/>
      <c r="Z100" s="47"/>
      <c r="AA100" s="69">
        <v>100</v>
      </c>
      <c r="AB100" s="69"/>
      <c r="AC100" s="70"/>
      <c r="AD100" s="76" t="s">
        <v>17851</v>
      </c>
      <c r="AE100" s="81" t="s">
        <v>17480</v>
      </c>
      <c r="AF100" s="76">
        <v>8</v>
      </c>
      <c r="AG100" s="76">
        <v>15</v>
      </c>
      <c r="AH100" s="76">
        <v>53</v>
      </c>
      <c r="AI100" s="76">
        <v>0</v>
      </c>
      <c r="AJ100" s="76">
        <v>0</v>
      </c>
      <c r="AK100" s="76">
        <v>53</v>
      </c>
      <c r="AL100" s="76" t="b">
        <v>0</v>
      </c>
      <c r="AM100" s="78">
        <v>44978.596574074072</v>
      </c>
      <c r="AN100" s="76"/>
      <c r="AO100" s="76" t="s">
        <v>18851</v>
      </c>
      <c r="AP100" s="83" t="str">
        <f>HYPERLINK("https://t.co/iHvhnCpA0o")</f>
        <v>https://t.co/iHvhnCpA0o</v>
      </c>
      <c r="AQ100" s="83" t="str">
        <f>HYPERLINK("http://www.funnybet.com")</f>
        <v>http://www.funnybet.com</v>
      </c>
      <c r="AR100" s="76" t="s">
        <v>19351</v>
      </c>
      <c r="AS100" s="76"/>
      <c r="AT100" s="76"/>
      <c r="AU100" s="76"/>
      <c r="AV100" s="76"/>
      <c r="AW100" s="83" t="str">
        <f>HYPERLINK("https://t.co/iHvhnCpA0o")</f>
        <v>https://t.co/iHvhnCpA0o</v>
      </c>
      <c r="AX100" s="76" t="b">
        <v>0</v>
      </c>
      <c r="AY100" s="76"/>
      <c r="AZ100" s="76"/>
      <c r="BA100" s="76" t="b">
        <v>0</v>
      </c>
      <c r="BB100" s="76" t="b">
        <v>1</v>
      </c>
      <c r="BC100" s="76" t="b">
        <v>1</v>
      </c>
      <c r="BD100" s="76" t="b">
        <v>0</v>
      </c>
      <c r="BE100" s="76" t="b">
        <v>0</v>
      </c>
      <c r="BF100" s="76" t="b">
        <v>0</v>
      </c>
      <c r="BG100" s="76" t="b">
        <v>0</v>
      </c>
      <c r="BH100" s="83" t="str">
        <f>HYPERLINK("https://pbs.twimg.com/profile_banners/1628036492839862272/1685682075")</f>
        <v>https://pbs.twimg.com/profile_banners/1628036492839862272/1685682075</v>
      </c>
      <c r="BI100" s="76"/>
      <c r="BJ100" s="76" t="s">
        <v>19734</v>
      </c>
      <c r="BK100" s="76" t="b">
        <v>0</v>
      </c>
      <c r="BL100" s="76"/>
      <c r="BM100" s="76" t="s">
        <v>66</v>
      </c>
      <c r="BN100" s="76" t="s">
        <v>19736</v>
      </c>
      <c r="BO100" s="83" t="str">
        <f>HYPERLINK("https://twitter.com/funnybetbrasil")</f>
        <v>https://twitter.com/funnybetbrasil</v>
      </c>
      <c r="BP100" s="2"/>
    </row>
    <row r="101" spans="1:68" x14ac:dyDescent="0.25">
      <c r="A101" s="62" t="s">
        <v>305</v>
      </c>
      <c r="B101" s="63"/>
      <c r="C101" s="63"/>
      <c r="D101" s="64"/>
      <c r="E101" s="66"/>
      <c r="F101" s="103" t="str">
        <f>HYPERLINK("https://pbs.twimg.com/profile_images/1260173862563651585/hl2WdjmD_normal.jpg")</f>
        <v>https://pbs.twimg.com/profile_images/1260173862563651585/hl2WdjmD_normal.jpg</v>
      </c>
      <c r="G101" s="63"/>
      <c r="H101" s="67"/>
      <c r="I101" s="68"/>
      <c r="J101" s="68"/>
      <c r="K101" s="67" t="s">
        <v>19834</v>
      </c>
      <c r="L101" s="71"/>
      <c r="M101" s="72"/>
      <c r="N101" s="72"/>
      <c r="O101" s="73"/>
      <c r="P101" s="74"/>
      <c r="Q101" s="74"/>
      <c r="R101" s="87"/>
      <c r="S101" s="87"/>
      <c r="T101" s="87"/>
      <c r="U101" s="87"/>
      <c r="V101" s="48"/>
      <c r="W101" s="48"/>
      <c r="X101" s="48"/>
      <c r="Y101" s="48"/>
      <c r="Z101" s="47"/>
      <c r="AA101" s="69">
        <v>101</v>
      </c>
      <c r="AB101" s="69"/>
      <c r="AC101" s="70"/>
      <c r="AD101" s="76" t="s">
        <v>17852</v>
      </c>
      <c r="AE101" s="81" t="s">
        <v>17481</v>
      </c>
      <c r="AF101" s="76">
        <v>379</v>
      </c>
      <c r="AG101" s="76">
        <v>113</v>
      </c>
      <c r="AH101" s="76">
        <v>829</v>
      </c>
      <c r="AI101" s="76">
        <v>2</v>
      </c>
      <c r="AJ101" s="76">
        <v>378</v>
      </c>
      <c r="AK101" s="76">
        <v>219</v>
      </c>
      <c r="AL101" s="76" t="b">
        <v>0</v>
      </c>
      <c r="AM101" s="78">
        <v>43955.730671296296</v>
      </c>
      <c r="AN101" s="76"/>
      <c r="AO101" s="76" t="s">
        <v>18852</v>
      </c>
      <c r="AP101" s="83" t="str">
        <f>HYPERLINK("https://t.co/fWvjFLMEmT")</f>
        <v>https://t.co/fWvjFLMEmT</v>
      </c>
      <c r="AQ101" s="83" t="str">
        <f>HYPERLINK("https://hubdoinvestidor.com.br/")</f>
        <v>https://hubdoinvestidor.com.br/</v>
      </c>
      <c r="AR101" s="76" t="s">
        <v>19352</v>
      </c>
      <c r="AS101" s="83" t="str">
        <f>HYPERLINK("https://t.co/U4CHfdcgSn")</f>
        <v>https://t.co/U4CHfdcgSn</v>
      </c>
      <c r="AT101" s="83" t="str">
        <f>HYPERLINK("http://linktr.ee/hubdoinvestidor")</f>
        <v>http://linktr.ee/hubdoinvestidor</v>
      </c>
      <c r="AU101" s="76" t="s">
        <v>19694</v>
      </c>
      <c r="AV101" s="76"/>
      <c r="AW101" s="83" t="str">
        <f>HYPERLINK("https://t.co/fWvjFLMEmT")</f>
        <v>https://t.co/fWvjFLMEmT</v>
      </c>
      <c r="AX101" s="76" t="b">
        <v>0</v>
      </c>
      <c r="AY101" s="76"/>
      <c r="AZ101" s="76"/>
      <c r="BA101" s="76" t="b">
        <v>0</v>
      </c>
      <c r="BB101" s="76" t="b">
        <v>1</v>
      </c>
      <c r="BC101" s="76" t="b">
        <v>1</v>
      </c>
      <c r="BD101" s="76" t="b">
        <v>0</v>
      </c>
      <c r="BE101" s="76" t="b">
        <v>0</v>
      </c>
      <c r="BF101" s="76" t="b">
        <v>0</v>
      </c>
      <c r="BG101" s="76" t="b">
        <v>0</v>
      </c>
      <c r="BH101" s="83" t="str">
        <f>HYPERLINK("https://pbs.twimg.com/profile_banners/1257362360626491394/1589417608")</f>
        <v>https://pbs.twimg.com/profile_banners/1257362360626491394/1589417608</v>
      </c>
      <c r="BI101" s="76"/>
      <c r="BJ101" s="76" t="s">
        <v>19734</v>
      </c>
      <c r="BK101" s="76" t="b">
        <v>0</v>
      </c>
      <c r="BL101" s="76"/>
      <c r="BM101" s="76" t="s">
        <v>66</v>
      </c>
      <c r="BN101" s="76" t="s">
        <v>19736</v>
      </c>
      <c r="BO101" s="83" t="str">
        <f>HYPERLINK("https://twitter.com/hubinvestidor")</f>
        <v>https://twitter.com/hubinvestidor</v>
      </c>
      <c r="BP101" s="2"/>
    </row>
    <row r="102" spans="1:68" x14ac:dyDescent="0.25">
      <c r="A102" s="62" t="s">
        <v>306</v>
      </c>
      <c r="B102" s="63"/>
      <c r="C102" s="63"/>
      <c r="D102" s="64"/>
      <c r="E102" s="66"/>
      <c r="F102" s="103" t="str">
        <f>HYPERLINK("https://pbs.twimg.com/profile_images/882492702318788608/4wf94PGZ_normal.jpg")</f>
        <v>https://pbs.twimg.com/profile_images/882492702318788608/4wf94PGZ_normal.jpg</v>
      </c>
      <c r="G102" s="63"/>
      <c r="H102" s="67"/>
      <c r="I102" s="68"/>
      <c r="J102" s="68"/>
      <c r="K102" s="67" t="s">
        <v>19835</v>
      </c>
      <c r="L102" s="71"/>
      <c r="M102" s="72"/>
      <c r="N102" s="72"/>
      <c r="O102" s="73"/>
      <c r="P102" s="74"/>
      <c r="Q102" s="74"/>
      <c r="R102" s="87"/>
      <c r="S102" s="87"/>
      <c r="T102" s="87"/>
      <c r="U102" s="87"/>
      <c r="V102" s="48"/>
      <c r="W102" s="48"/>
      <c r="X102" s="48"/>
      <c r="Y102" s="48"/>
      <c r="Z102" s="47"/>
      <c r="AA102" s="69">
        <v>102</v>
      </c>
      <c r="AB102" s="69"/>
      <c r="AC102" s="70"/>
      <c r="AD102" s="76" t="s">
        <v>17853</v>
      </c>
      <c r="AE102" s="81" t="s">
        <v>18358</v>
      </c>
      <c r="AF102" s="76">
        <v>1036</v>
      </c>
      <c r="AG102" s="76">
        <v>99</v>
      </c>
      <c r="AH102" s="76">
        <v>32873</v>
      </c>
      <c r="AI102" s="76">
        <v>12</v>
      </c>
      <c r="AJ102" s="76">
        <v>81</v>
      </c>
      <c r="AK102" s="76">
        <v>6293</v>
      </c>
      <c r="AL102" s="76" t="b">
        <v>0</v>
      </c>
      <c r="AM102" s="78">
        <v>40599.869085648148</v>
      </c>
      <c r="AN102" s="76" t="s">
        <v>18594</v>
      </c>
      <c r="AO102" s="76" t="s">
        <v>18853</v>
      </c>
      <c r="AP102" s="83" t="str">
        <f>HYPERLINK("http://t.co/dUfaig28Tn")</f>
        <v>http://t.co/dUfaig28Tn</v>
      </c>
      <c r="AQ102" s="83" t="str">
        <f>HYPERLINK("http://alagoasnanet.com.br")</f>
        <v>http://alagoasnanet.com.br</v>
      </c>
      <c r="AR102" s="76" t="s">
        <v>19353</v>
      </c>
      <c r="AS102" s="76"/>
      <c r="AT102" s="76"/>
      <c r="AU102" s="76"/>
      <c r="AV102" s="76"/>
      <c r="AW102" s="83" t="str">
        <f>HYPERLINK("http://t.co/dUfaig28Tn")</f>
        <v>http://t.co/dUfaig28Tn</v>
      </c>
      <c r="AX102" s="76" t="b">
        <v>0</v>
      </c>
      <c r="AY102" s="76"/>
      <c r="AZ102" s="76"/>
      <c r="BA102" s="76" t="b">
        <v>0</v>
      </c>
      <c r="BB102" s="76" t="b">
        <v>1</v>
      </c>
      <c r="BC102" s="76" t="b">
        <v>0</v>
      </c>
      <c r="BD102" s="76" t="b">
        <v>0</v>
      </c>
      <c r="BE102" s="76" t="b">
        <v>0</v>
      </c>
      <c r="BF102" s="76" t="b">
        <v>0</v>
      </c>
      <c r="BG102" s="76" t="b">
        <v>0</v>
      </c>
      <c r="BH102" s="83" t="str">
        <f>HYPERLINK("https://pbs.twimg.com/profile_banners/257625339/1499237706")</f>
        <v>https://pbs.twimg.com/profile_banners/257625339/1499237706</v>
      </c>
      <c r="BI102" s="76"/>
      <c r="BJ102" s="76" t="s">
        <v>19734</v>
      </c>
      <c r="BK102" s="76" t="b">
        <v>0</v>
      </c>
      <c r="BL102" s="76"/>
      <c r="BM102" s="76" t="s">
        <v>66</v>
      </c>
      <c r="BN102" s="76" t="s">
        <v>19736</v>
      </c>
      <c r="BO102" s="83" t="str">
        <f>HYPERLINK("https://twitter.com/alnanet")</f>
        <v>https://twitter.com/alnanet</v>
      </c>
      <c r="BP102" s="2"/>
    </row>
    <row r="103" spans="1:68" x14ac:dyDescent="0.25">
      <c r="A103" s="62" t="s">
        <v>307</v>
      </c>
      <c r="B103" s="63"/>
      <c r="C103" s="63"/>
      <c r="D103" s="64"/>
      <c r="E103" s="66"/>
      <c r="F103" s="103" t="str">
        <f>HYPERLINK("https://pbs.twimg.com/profile_images/1674946017215520771/85XR7RYy_normal.jpg")</f>
        <v>https://pbs.twimg.com/profile_images/1674946017215520771/85XR7RYy_normal.jpg</v>
      </c>
      <c r="G103" s="63"/>
      <c r="H103" s="67"/>
      <c r="I103" s="68"/>
      <c r="J103" s="68"/>
      <c r="K103" s="67" t="s">
        <v>19836</v>
      </c>
      <c r="L103" s="71"/>
      <c r="M103" s="72"/>
      <c r="N103" s="72"/>
      <c r="O103" s="73"/>
      <c r="P103" s="74"/>
      <c r="Q103" s="74"/>
      <c r="R103" s="87"/>
      <c r="S103" s="87"/>
      <c r="T103" s="87"/>
      <c r="U103" s="87"/>
      <c r="V103" s="48"/>
      <c r="W103" s="48"/>
      <c r="X103" s="48"/>
      <c r="Y103" s="48"/>
      <c r="Z103" s="47"/>
      <c r="AA103" s="69">
        <v>103</v>
      </c>
      <c r="AB103" s="69"/>
      <c r="AC103" s="70"/>
      <c r="AD103" s="76" t="s">
        <v>17854</v>
      </c>
      <c r="AE103" s="81" t="s">
        <v>17482</v>
      </c>
      <c r="AF103" s="76">
        <v>473</v>
      </c>
      <c r="AG103" s="76">
        <v>306</v>
      </c>
      <c r="AH103" s="76">
        <v>3476</v>
      </c>
      <c r="AI103" s="76">
        <v>0</v>
      </c>
      <c r="AJ103" s="76">
        <v>11</v>
      </c>
      <c r="AK103" s="76">
        <v>1137</v>
      </c>
      <c r="AL103" s="76" t="b">
        <v>0</v>
      </c>
      <c r="AM103" s="78">
        <v>42541.501261574071</v>
      </c>
      <c r="AN103" s="76" t="s">
        <v>18595</v>
      </c>
      <c r="AO103" s="76" t="s">
        <v>18854</v>
      </c>
      <c r="AP103" s="83" t="str">
        <f>HYPERLINK("https://t.co/EqaVWNKKgJ")</f>
        <v>https://t.co/EqaVWNKKgJ</v>
      </c>
      <c r="AQ103" s="83" t="str">
        <f>HYPERLINK("http://www.crfmg.org.br")</f>
        <v>http://www.crfmg.org.br</v>
      </c>
      <c r="AR103" s="76" t="s">
        <v>19354</v>
      </c>
      <c r="AS103" s="76"/>
      <c r="AT103" s="76"/>
      <c r="AU103" s="76"/>
      <c r="AV103" s="76"/>
      <c r="AW103" s="83" t="str">
        <f>HYPERLINK("https://t.co/EqaVWNKKgJ")</f>
        <v>https://t.co/EqaVWNKKgJ</v>
      </c>
      <c r="AX103" s="76" t="b">
        <v>0</v>
      </c>
      <c r="AY103" s="76"/>
      <c r="AZ103" s="76"/>
      <c r="BA103" s="76" t="b">
        <v>1</v>
      </c>
      <c r="BB103" s="76" t="b">
        <v>0</v>
      </c>
      <c r="BC103" s="76" t="b">
        <v>0</v>
      </c>
      <c r="BD103" s="76" t="b">
        <v>0</v>
      </c>
      <c r="BE103" s="76" t="b">
        <v>0</v>
      </c>
      <c r="BF103" s="76" t="b">
        <v>0</v>
      </c>
      <c r="BG103" s="76" t="b">
        <v>0</v>
      </c>
      <c r="BH103" s="83" t="str">
        <f>HYPERLINK("https://pbs.twimg.com/profile_banners/744862819103965184/1648830446")</f>
        <v>https://pbs.twimg.com/profile_banners/744862819103965184/1648830446</v>
      </c>
      <c r="BI103" s="76"/>
      <c r="BJ103" s="76" t="s">
        <v>19734</v>
      </c>
      <c r="BK103" s="76" t="b">
        <v>0</v>
      </c>
      <c r="BL103" s="76"/>
      <c r="BM103" s="76" t="s">
        <v>66</v>
      </c>
      <c r="BN103" s="76" t="s">
        <v>19736</v>
      </c>
      <c r="BO103" s="83" t="str">
        <f>HYPERLINK("https://twitter.com/crfminas")</f>
        <v>https://twitter.com/crfminas</v>
      </c>
      <c r="BP103" s="2"/>
    </row>
    <row r="104" spans="1:68" x14ac:dyDescent="0.25">
      <c r="A104" s="62" t="s">
        <v>308</v>
      </c>
      <c r="B104" s="63"/>
      <c r="C104" s="63"/>
      <c r="D104" s="64"/>
      <c r="E104" s="66"/>
      <c r="F104" s="103" t="str">
        <f>HYPERLINK("https://pbs.twimg.com/profile_images/1662975640188903426/uzBT7XuS_normal.jpg")</f>
        <v>https://pbs.twimg.com/profile_images/1662975640188903426/uzBT7XuS_normal.jpg</v>
      </c>
      <c r="G104" s="63"/>
      <c r="H104" s="67"/>
      <c r="I104" s="68"/>
      <c r="J104" s="68"/>
      <c r="K104" s="67" t="s">
        <v>19837</v>
      </c>
      <c r="L104" s="71"/>
      <c r="M104" s="72"/>
      <c r="N104" s="72"/>
      <c r="O104" s="73"/>
      <c r="P104" s="74"/>
      <c r="Q104" s="74"/>
      <c r="R104" s="87"/>
      <c r="S104" s="87"/>
      <c r="T104" s="87"/>
      <c r="U104" s="87"/>
      <c r="V104" s="48"/>
      <c r="W104" s="48"/>
      <c r="X104" s="48"/>
      <c r="Y104" s="48"/>
      <c r="Z104" s="47"/>
      <c r="AA104" s="69">
        <v>104</v>
      </c>
      <c r="AB104" s="69"/>
      <c r="AC104" s="70"/>
      <c r="AD104" s="76" t="s">
        <v>17855</v>
      </c>
      <c r="AE104" s="81" t="s">
        <v>17483</v>
      </c>
      <c r="AF104" s="76">
        <v>1</v>
      </c>
      <c r="AG104" s="76">
        <v>31</v>
      </c>
      <c r="AH104" s="76">
        <v>6</v>
      </c>
      <c r="AI104" s="76">
        <v>0</v>
      </c>
      <c r="AJ104" s="76">
        <v>5</v>
      </c>
      <c r="AK104" s="76">
        <v>5</v>
      </c>
      <c r="AL104" s="76" t="b">
        <v>0</v>
      </c>
      <c r="AM104" s="78">
        <v>44917.963518518518</v>
      </c>
      <c r="AN104" s="76" t="s">
        <v>12007</v>
      </c>
      <c r="AO104" s="76" t="s">
        <v>18855</v>
      </c>
      <c r="AP104" s="83" t="str">
        <f>HYPERLINK("https://t.co/XxMXLKATyN")</f>
        <v>https://t.co/XxMXLKATyN</v>
      </c>
      <c r="AQ104" s="83" t="str">
        <f>HYPERLINK("https://linktr.ee/moprify")</f>
        <v>https://linktr.ee/moprify</v>
      </c>
      <c r="AR104" s="76" t="s">
        <v>19355</v>
      </c>
      <c r="AS104" s="76"/>
      <c r="AT104" s="76"/>
      <c r="AU104" s="76"/>
      <c r="AV104" s="76"/>
      <c r="AW104" s="83" t="str">
        <f>HYPERLINK("https://t.co/XxMXLKATyN")</f>
        <v>https://t.co/XxMXLKATyN</v>
      </c>
      <c r="AX104" s="76" t="b">
        <v>0</v>
      </c>
      <c r="AY104" s="76"/>
      <c r="AZ104" s="76"/>
      <c r="BA104" s="76" t="b">
        <v>0</v>
      </c>
      <c r="BB104" s="76" t="b">
        <v>1</v>
      </c>
      <c r="BC104" s="76" t="b">
        <v>1</v>
      </c>
      <c r="BD104" s="76" t="b">
        <v>0</v>
      </c>
      <c r="BE104" s="76" t="b">
        <v>0</v>
      </c>
      <c r="BF104" s="76" t="b">
        <v>0</v>
      </c>
      <c r="BG104" s="76" t="b">
        <v>0</v>
      </c>
      <c r="BH104" s="83" t="str">
        <f>HYPERLINK("https://pbs.twimg.com/profile_banners/1606063852457697280/1685319495")</f>
        <v>https://pbs.twimg.com/profile_banners/1606063852457697280/1685319495</v>
      </c>
      <c r="BI104" s="76"/>
      <c r="BJ104" s="76" t="s">
        <v>19734</v>
      </c>
      <c r="BK104" s="76" t="b">
        <v>0</v>
      </c>
      <c r="BL104" s="76"/>
      <c r="BM104" s="76" t="s">
        <v>66</v>
      </c>
      <c r="BN104" s="76" t="s">
        <v>19736</v>
      </c>
      <c r="BO104" s="83" t="str">
        <f>HYPERLINK("https://twitter.com/moprify")</f>
        <v>https://twitter.com/moprify</v>
      </c>
      <c r="BP104" s="2"/>
    </row>
    <row r="105" spans="1:68" x14ac:dyDescent="0.25">
      <c r="A105" s="62" t="s">
        <v>309</v>
      </c>
      <c r="B105" s="63"/>
      <c r="C105" s="63"/>
      <c r="D105" s="64"/>
      <c r="E105" s="66"/>
      <c r="F105" s="103" t="str">
        <f>HYPERLINK("https://pbs.twimg.com/profile_images/1445853333302890497/_g428Fz1_normal.jpg")</f>
        <v>https://pbs.twimg.com/profile_images/1445853333302890497/_g428Fz1_normal.jpg</v>
      </c>
      <c r="G105" s="63"/>
      <c r="H105" s="67"/>
      <c r="I105" s="68"/>
      <c r="J105" s="68"/>
      <c r="K105" s="67" t="s">
        <v>19838</v>
      </c>
      <c r="L105" s="71"/>
      <c r="M105" s="72"/>
      <c r="N105" s="72"/>
      <c r="O105" s="73"/>
      <c r="P105" s="74"/>
      <c r="Q105" s="74"/>
      <c r="R105" s="87"/>
      <c r="S105" s="87"/>
      <c r="T105" s="87"/>
      <c r="U105" s="87"/>
      <c r="V105" s="48"/>
      <c r="W105" s="48"/>
      <c r="X105" s="48"/>
      <c r="Y105" s="48"/>
      <c r="Z105" s="47"/>
      <c r="AA105" s="69">
        <v>105</v>
      </c>
      <c r="AB105" s="69"/>
      <c r="AC105" s="70"/>
      <c r="AD105" s="76" t="s">
        <v>8250</v>
      </c>
      <c r="AE105" s="81" t="s">
        <v>17484</v>
      </c>
      <c r="AF105" s="76">
        <v>94</v>
      </c>
      <c r="AG105" s="76">
        <v>38</v>
      </c>
      <c r="AH105" s="76">
        <v>9177</v>
      </c>
      <c r="AI105" s="76">
        <v>1</v>
      </c>
      <c r="AJ105" s="76">
        <v>8</v>
      </c>
      <c r="AK105" s="76">
        <v>4</v>
      </c>
      <c r="AL105" s="76" t="b">
        <v>0</v>
      </c>
      <c r="AM105" s="78">
        <v>44412.77144675926</v>
      </c>
      <c r="AN105" s="76"/>
      <c r="AO105" s="76" t="s">
        <v>18856</v>
      </c>
      <c r="AP105" s="83" t="str">
        <f>HYPERLINK("https://t.co/PgXWwen27A")</f>
        <v>https://t.co/PgXWwen27A</v>
      </c>
      <c r="AQ105" s="83" t="str">
        <f>HYPERLINK("http://www.samirnews.com")</f>
        <v>http://www.samirnews.com</v>
      </c>
      <c r="AR105" s="76" t="s">
        <v>7078</v>
      </c>
      <c r="AS105" s="76"/>
      <c r="AT105" s="76"/>
      <c r="AU105" s="76"/>
      <c r="AV105" s="76"/>
      <c r="AW105" s="83" t="str">
        <f>HYPERLINK("https://t.co/PgXWwen27A")</f>
        <v>https://t.co/PgXWwen27A</v>
      </c>
      <c r="AX105" s="76" t="b">
        <v>0</v>
      </c>
      <c r="AY105" s="76"/>
      <c r="AZ105" s="76"/>
      <c r="BA105" s="76" t="b">
        <v>0</v>
      </c>
      <c r="BB105" s="76" t="b">
        <v>1</v>
      </c>
      <c r="BC105" s="76" t="b">
        <v>1</v>
      </c>
      <c r="BD105" s="76" t="b">
        <v>0</v>
      </c>
      <c r="BE105" s="76" t="b">
        <v>0</v>
      </c>
      <c r="BF105" s="76" t="b">
        <v>0</v>
      </c>
      <c r="BG105" s="76" t="b">
        <v>0</v>
      </c>
      <c r="BH105" s="83" t="str">
        <f>HYPERLINK("https://pbs.twimg.com/profile_banners/1422988019792060422/1633553647")</f>
        <v>https://pbs.twimg.com/profile_banners/1422988019792060422/1633553647</v>
      </c>
      <c r="BI105" s="76"/>
      <c r="BJ105" s="76" t="s">
        <v>19734</v>
      </c>
      <c r="BK105" s="76" t="b">
        <v>0</v>
      </c>
      <c r="BL105" s="76"/>
      <c r="BM105" s="76" t="s">
        <v>66</v>
      </c>
      <c r="BN105" s="76" t="s">
        <v>19736</v>
      </c>
      <c r="BO105" s="83" t="str">
        <f>HYPERLINK("https://twitter.com/canalfs0ciety")</f>
        <v>https://twitter.com/canalfs0ciety</v>
      </c>
      <c r="BP105" s="2"/>
    </row>
    <row r="106" spans="1:68" x14ac:dyDescent="0.25">
      <c r="A106" s="62" t="s">
        <v>311</v>
      </c>
      <c r="B106" s="63"/>
      <c r="C106" s="63"/>
      <c r="D106" s="64"/>
      <c r="E106" s="66"/>
      <c r="F106" s="103" t="str">
        <f>HYPERLINK("https://pbs.twimg.com/profile_images/1526860222920151040/Oaadf20y_normal.png")</f>
        <v>https://pbs.twimg.com/profile_images/1526860222920151040/Oaadf20y_normal.png</v>
      </c>
      <c r="G106" s="63"/>
      <c r="H106" s="67"/>
      <c r="I106" s="68"/>
      <c r="J106" s="68"/>
      <c r="K106" s="67" t="s">
        <v>19839</v>
      </c>
      <c r="L106" s="71"/>
      <c r="M106" s="72"/>
      <c r="N106" s="72"/>
      <c r="O106" s="73"/>
      <c r="P106" s="74"/>
      <c r="Q106" s="74"/>
      <c r="R106" s="87"/>
      <c r="S106" s="87"/>
      <c r="T106" s="87"/>
      <c r="U106" s="87"/>
      <c r="V106" s="48"/>
      <c r="W106" s="48"/>
      <c r="X106" s="48"/>
      <c r="Y106" s="48"/>
      <c r="Z106" s="47"/>
      <c r="AA106" s="69">
        <v>106</v>
      </c>
      <c r="AB106" s="69"/>
      <c r="AC106" s="70"/>
      <c r="AD106" s="76" t="s">
        <v>17856</v>
      </c>
      <c r="AE106" s="81" t="s">
        <v>17485</v>
      </c>
      <c r="AF106" s="76">
        <v>1952</v>
      </c>
      <c r="AG106" s="76">
        <v>92</v>
      </c>
      <c r="AH106" s="76">
        <v>491</v>
      </c>
      <c r="AI106" s="76">
        <v>1</v>
      </c>
      <c r="AJ106" s="76">
        <v>46</v>
      </c>
      <c r="AK106" s="76">
        <v>406</v>
      </c>
      <c r="AL106" s="76" t="b">
        <v>0</v>
      </c>
      <c r="AM106" s="78">
        <v>44538.049618055556</v>
      </c>
      <c r="AN106" s="76" t="s">
        <v>12007</v>
      </c>
      <c r="AO106" s="76" t="s">
        <v>18857</v>
      </c>
      <c r="AP106" s="83" t="str">
        <f>HYPERLINK("https://t.co/sXWrfu2AJS")</f>
        <v>https://t.co/sXWrfu2AJS</v>
      </c>
      <c r="AQ106" s="83" t="str">
        <f>HYPERLINK("https://www.Smashup23.com/")</f>
        <v>https://www.Smashup23.com/</v>
      </c>
      <c r="AR106" s="76" t="s">
        <v>19356</v>
      </c>
      <c r="AS106" s="83" t="str">
        <f>HYPERLINK("https://t.co/sR7kOeRx3n")</f>
        <v>https://t.co/sR7kOeRx3n</v>
      </c>
      <c r="AT106" s="83" t="str">
        <f>HYPERLINK("http://smashup23.com")</f>
        <v>http://smashup23.com</v>
      </c>
      <c r="AU106" s="76" t="s">
        <v>19695</v>
      </c>
      <c r="AV106" s="76"/>
      <c r="AW106" s="83" t="str">
        <f>HYPERLINK("https://t.co/sXWrfu2AJS")</f>
        <v>https://t.co/sXWrfu2AJS</v>
      </c>
      <c r="AX106" s="76" t="b">
        <v>0</v>
      </c>
      <c r="AY106" s="76"/>
      <c r="AZ106" s="76"/>
      <c r="BA106" s="76" t="b">
        <v>0</v>
      </c>
      <c r="BB106" s="76" t="b">
        <v>1</v>
      </c>
      <c r="BC106" s="76" t="b">
        <v>1</v>
      </c>
      <c r="BD106" s="76" t="b">
        <v>0</v>
      </c>
      <c r="BE106" s="76" t="b">
        <v>0</v>
      </c>
      <c r="BF106" s="76" t="b">
        <v>0</v>
      </c>
      <c r="BG106" s="76" t="b">
        <v>0</v>
      </c>
      <c r="BH106" s="83" t="str">
        <f>HYPERLINK("https://pbs.twimg.com/profile_banners/1468387611064823808/1678778326")</f>
        <v>https://pbs.twimg.com/profile_banners/1468387611064823808/1678778326</v>
      </c>
      <c r="BI106" s="76"/>
      <c r="BJ106" s="76" t="s">
        <v>19734</v>
      </c>
      <c r="BK106" s="76" t="b">
        <v>0</v>
      </c>
      <c r="BL106" s="76"/>
      <c r="BM106" s="76" t="s">
        <v>66</v>
      </c>
      <c r="BN106" s="76" t="s">
        <v>19736</v>
      </c>
      <c r="BO106" s="83" t="str">
        <f>HYPERLINK("https://twitter.com/smashupbrazil")</f>
        <v>https://twitter.com/smashupbrazil</v>
      </c>
      <c r="BP106" s="2"/>
    </row>
    <row r="107" spans="1:68" x14ac:dyDescent="0.25">
      <c r="A107" s="62" t="s">
        <v>312</v>
      </c>
      <c r="B107" s="63"/>
      <c r="C107" s="63"/>
      <c r="D107" s="64"/>
      <c r="E107" s="66"/>
      <c r="F107" s="103" t="str">
        <f>HYPERLINK("https://pbs.twimg.com/profile_images/1334211682235768834/iQOE8aBe_normal.jpg")</f>
        <v>https://pbs.twimg.com/profile_images/1334211682235768834/iQOE8aBe_normal.jpg</v>
      </c>
      <c r="G107" s="63"/>
      <c r="H107" s="67"/>
      <c r="I107" s="68"/>
      <c r="J107" s="68"/>
      <c r="K107" s="67" t="s">
        <v>19840</v>
      </c>
      <c r="L107" s="71"/>
      <c r="M107" s="72"/>
      <c r="N107" s="72"/>
      <c r="O107" s="73"/>
      <c r="P107" s="74"/>
      <c r="Q107" s="74"/>
      <c r="R107" s="87"/>
      <c r="S107" s="87"/>
      <c r="T107" s="87"/>
      <c r="U107" s="87"/>
      <c r="V107" s="48"/>
      <c r="W107" s="48"/>
      <c r="X107" s="48"/>
      <c r="Y107" s="48"/>
      <c r="Z107" s="47"/>
      <c r="AA107" s="69">
        <v>107</v>
      </c>
      <c r="AB107" s="69"/>
      <c r="AC107" s="70"/>
      <c r="AD107" s="76" t="s">
        <v>17857</v>
      </c>
      <c r="AE107" s="81" t="s">
        <v>18359</v>
      </c>
      <c r="AF107" s="76">
        <v>83718</v>
      </c>
      <c r="AG107" s="76">
        <v>330</v>
      </c>
      <c r="AH107" s="76">
        <v>47078</v>
      </c>
      <c r="AI107" s="76">
        <v>409</v>
      </c>
      <c r="AJ107" s="76">
        <v>249</v>
      </c>
      <c r="AK107" s="76">
        <v>32003</v>
      </c>
      <c r="AL107" s="76" t="b">
        <v>0</v>
      </c>
      <c r="AM107" s="78">
        <v>40969.578483796293</v>
      </c>
      <c r="AN107" s="76"/>
      <c r="AO107" s="76" t="s">
        <v>18858</v>
      </c>
      <c r="AP107" s="83" t="str">
        <f>HYPERLINK("https://t.co/jDvoGHSjb7")</f>
        <v>https://t.co/jDvoGHSjb7</v>
      </c>
      <c r="AQ107" s="83" t="str">
        <f>HYPERLINK("http://www.forbes.com.br")</f>
        <v>http://www.forbes.com.br</v>
      </c>
      <c r="AR107" s="76" t="s">
        <v>19357</v>
      </c>
      <c r="AS107" s="76"/>
      <c r="AT107" s="76"/>
      <c r="AU107" s="76"/>
      <c r="AV107" s="76"/>
      <c r="AW107" s="83" t="str">
        <f>HYPERLINK("https://t.co/jDvoGHSjb7")</f>
        <v>https://t.co/jDvoGHSjb7</v>
      </c>
      <c r="AX107" s="76" t="b">
        <v>1</v>
      </c>
      <c r="AY107" s="76"/>
      <c r="AZ107" s="76"/>
      <c r="BA107" s="76" t="b">
        <v>0</v>
      </c>
      <c r="BB107" s="76" t="b">
        <v>1</v>
      </c>
      <c r="BC107" s="76" t="b">
        <v>0</v>
      </c>
      <c r="BD107" s="76" t="b">
        <v>0</v>
      </c>
      <c r="BE107" s="76" t="b">
        <v>0</v>
      </c>
      <c r="BF107" s="76" t="b">
        <v>0</v>
      </c>
      <c r="BG107" s="76" t="b">
        <v>0</v>
      </c>
      <c r="BH107" s="83" t="str">
        <f>HYPERLINK("https://pbs.twimg.com/profile_banners/510272910/1626215556")</f>
        <v>https://pbs.twimg.com/profile_banners/510272910/1626215556</v>
      </c>
      <c r="BI107" s="76"/>
      <c r="BJ107" s="76" t="s">
        <v>19734</v>
      </c>
      <c r="BK107" s="76" t="b">
        <v>0</v>
      </c>
      <c r="BL107" s="76"/>
      <c r="BM107" s="76" t="s">
        <v>66</v>
      </c>
      <c r="BN107" s="76" t="s">
        <v>19736</v>
      </c>
      <c r="BO107" s="83" t="str">
        <f>HYPERLINK("https://twitter.com/forbesbr")</f>
        <v>https://twitter.com/forbesbr</v>
      </c>
      <c r="BP107" s="2"/>
    </row>
    <row r="108" spans="1:68" x14ac:dyDescent="0.25">
      <c r="A108" s="62" t="s">
        <v>313</v>
      </c>
      <c r="B108" s="63"/>
      <c r="C108" s="63"/>
      <c r="D108" s="64"/>
      <c r="E108" s="66"/>
      <c r="F108" s="103" t="str">
        <f>HYPERLINK("https://pbs.twimg.com/profile_images/842819858719002626/_AdquWLU_normal.jpg")</f>
        <v>https://pbs.twimg.com/profile_images/842819858719002626/_AdquWLU_normal.jpg</v>
      </c>
      <c r="G108" s="63"/>
      <c r="H108" s="67"/>
      <c r="I108" s="68"/>
      <c r="J108" s="68"/>
      <c r="K108" s="67" t="s">
        <v>19841</v>
      </c>
      <c r="L108" s="71"/>
      <c r="M108" s="72"/>
      <c r="N108" s="72"/>
      <c r="O108" s="73"/>
      <c r="P108" s="74"/>
      <c r="Q108" s="74"/>
      <c r="R108" s="87"/>
      <c r="S108" s="87"/>
      <c r="T108" s="87"/>
      <c r="U108" s="87"/>
      <c r="V108" s="48"/>
      <c r="W108" s="48"/>
      <c r="X108" s="48"/>
      <c r="Y108" s="48"/>
      <c r="Z108" s="47"/>
      <c r="AA108" s="69">
        <v>108</v>
      </c>
      <c r="AB108" s="69"/>
      <c r="AC108" s="70"/>
      <c r="AD108" s="76" t="s">
        <v>17858</v>
      </c>
      <c r="AE108" s="81" t="s">
        <v>17486</v>
      </c>
      <c r="AF108" s="76">
        <v>270</v>
      </c>
      <c r="AG108" s="76">
        <v>200</v>
      </c>
      <c r="AH108" s="76">
        <v>267</v>
      </c>
      <c r="AI108" s="76">
        <v>1</v>
      </c>
      <c r="AJ108" s="76">
        <v>29</v>
      </c>
      <c r="AK108" s="76">
        <v>134</v>
      </c>
      <c r="AL108" s="76" t="b">
        <v>0</v>
      </c>
      <c r="AM108" s="78">
        <v>42583.898958333331</v>
      </c>
      <c r="AN108" s="76" t="s">
        <v>12009</v>
      </c>
      <c r="AO108" s="76" t="s">
        <v>18859</v>
      </c>
      <c r="AP108" s="83" t="str">
        <f>HYPERLINK("https://t.co/x0z79E9zcB")</f>
        <v>https://t.co/x0z79E9zcB</v>
      </c>
      <c r="AQ108" s="83" t="str">
        <f>HYPERLINK("http://www.borjaonstocks.com")</f>
        <v>http://www.borjaonstocks.com</v>
      </c>
      <c r="AR108" s="76" t="s">
        <v>7079</v>
      </c>
      <c r="AS108" s="76"/>
      <c r="AT108" s="76"/>
      <c r="AU108" s="76"/>
      <c r="AV108" s="76"/>
      <c r="AW108" s="83" t="str">
        <f>HYPERLINK("https://t.co/x0z79E9zcB")</f>
        <v>https://t.co/x0z79E9zcB</v>
      </c>
      <c r="AX108" s="76" t="b">
        <v>1</v>
      </c>
      <c r="AY108" s="76"/>
      <c r="AZ108" s="76"/>
      <c r="BA108" s="76" t="b">
        <v>0</v>
      </c>
      <c r="BB108" s="76" t="b">
        <v>1</v>
      </c>
      <c r="BC108" s="76" t="b">
        <v>1</v>
      </c>
      <c r="BD108" s="76" t="b">
        <v>0</v>
      </c>
      <c r="BE108" s="76" t="b">
        <v>0</v>
      </c>
      <c r="BF108" s="76" t="b">
        <v>0</v>
      </c>
      <c r="BG108" s="76" t="b">
        <v>0</v>
      </c>
      <c r="BH108" s="83" t="str">
        <f>HYPERLINK("https://pbs.twimg.com/profile_banners/760227226549903360/1673675384")</f>
        <v>https://pbs.twimg.com/profile_banners/760227226549903360/1673675384</v>
      </c>
      <c r="BI108" s="76"/>
      <c r="BJ108" s="76" t="s">
        <v>19734</v>
      </c>
      <c r="BK108" s="76" t="b">
        <v>0</v>
      </c>
      <c r="BL108" s="76"/>
      <c r="BM108" s="76" t="s">
        <v>66</v>
      </c>
      <c r="BN108" s="76" t="s">
        <v>19736</v>
      </c>
      <c r="BO108" s="83" t="str">
        <f>HYPERLINK("https://twitter.com/borja_on_stocks")</f>
        <v>https://twitter.com/borja_on_stocks</v>
      </c>
      <c r="BP108" s="2"/>
    </row>
    <row r="109" spans="1:68" x14ac:dyDescent="0.25">
      <c r="A109" s="62" t="s">
        <v>314</v>
      </c>
      <c r="B109" s="63"/>
      <c r="C109" s="63"/>
      <c r="D109" s="64"/>
      <c r="E109" s="66"/>
      <c r="F109" s="103" t="str">
        <f>HYPERLINK("https://pbs.twimg.com/profile_images/1702721679204524032/vwVPTrwt_normal.jpg")</f>
        <v>https://pbs.twimg.com/profile_images/1702721679204524032/vwVPTrwt_normal.jpg</v>
      </c>
      <c r="G109" s="63"/>
      <c r="H109" s="67"/>
      <c r="I109" s="68"/>
      <c r="J109" s="68"/>
      <c r="K109" s="67" t="s">
        <v>19842</v>
      </c>
      <c r="L109" s="71"/>
      <c r="M109" s="72"/>
      <c r="N109" s="72"/>
      <c r="O109" s="73"/>
      <c r="P109" s="74"/>
      <c r="Q109" s="74"/>
      <c r="R109" s="87"/>
      <c r="S109" s="87"/>
      <c r="T109" s="87"/>
      <c r="U109" s="87"/>
      <c r="V109" s="48"/>
      <c r="W109" s="48"/>
      <c r="X109" s="48"/>
      <c r="Y109" s="48"/>
      <c r="Z109" s="47"/>
      <c r="AA109" s="69">
        <v>109</v>
      </c>
      <c r="AB109" s="69"/>
      <c r="AC109" s="70"/>
      <c r="AD109" s="76" t="s">
        <v>17859</v>
      </c>
      <c r="AE109" s="81" t="s">
        <v>17487</v>
      </c>
      <c r="AF109" s="76">
        <v>4</v>
      </c>
      <c r="AG109" s="76">
        <v>43</v>
      </c>
      <c r="AH109" s="76">
        <v>45</v>
      </c>
      <c r="AI109" s="76">
        <v>0</v>
      </c>
      <c r="AJ109" s="76">
        <v>39</v>
      </c>
      <c r="AK109" s="76">
        <v>2</v>
      </c>
      <c r="AL109" s="76" t="b">
        <v>0</v>
      </c>
      <c r="AM109" s="78">
        <v>45173.571527777778</v>
      </c>
      <c r="AN109" s="76"/>
      <c r="AO109" s="83" t="str">
        <f>HYPERLINK("https://t.co/gS6Qb3QGNk")</f>
        <v>https://t.co/gS6Qb3QGNk</v>
      </c>
      <c r="AP109" s="76"/>
      <c r="AQ109" s="76"/>
      <c r="AR109" s="76"/>
      <c r="AS109" s="83" t="str">
        <f>HYPERLINK("https://t.co/gS6Qb3QGNk")</f>
        <v>https://t.co/gS6Qb3QGNk</v>
      </c>
      <c r="AT109" s="83" t="str">
        <f>HYPERLINK("https://www.tiktok.com/@mercado_em_alta?_t=8fiPgtdesSM&amp;_r=1")</f>
        <v>https://www.tiktok.com/@mercado_em_alta?_t=8fiPgtdesSM&amp;_r=1</v>
      </c>
      <c r="AU109" s="76" t="s">
        <v>19696</v>
      </c>
      <c r="AV109" s="76"/>
      <c r="AW109" s="76"/>
      <c r="AX109" s="76" t="b">
        <v>0</v>
      </c>
      <c r="AY109" s="76"/>
      <c r="AZ109" s="76"/>
      <c r="BA109" s="76" t="b">
        <v>0</v>
      </c>
      <c r="BB109" s="76" t="b">
        <v>1</v>
      </c>
      <c r="BC109" s="76" t="b">
        <v>1</v>
      </c>
      <c r="BD109" s="76" t="b">
        <v>0</v>
      </c>
      <c r="BE109" s="76" t="b">
        <v>0</v>
      </c>
      <c r="BF109" s="76" t="b">
        <v>0</v>
      </c>
      <c r="BG109" s="76" t="b">
        <v>0</v>
      </c>
      <c r="BH109" s="83" t="str">
        <f>HYPERLINK("https://pbs.twimg.com/profile_banners/1698693012530860032/1694795548")</f>
        <v>https://pbs.twimg.com/profile_banners/1698693012530860032/1694795548</v>
      </c>
      <c r="BI109" s="76"/>
      <c r="BJ109" s="76" t="s">
        <v>19734</v>
      </c>
      <c r="BK109" s="76" t="b">
        <v>0</v>
      </c>
      <c r="BL109" s="76"/>
      <c r="BM109" s="76" t="s">
        <v>66</v>
      </c>
      <c r="BN109" s="76" t="s">
        <v>19736</v>
      </c>
      <c r="BO109" s="83" t="str">
        <f>HYPERLINK("https://twitter.com/mercado_em_alta")</f>
        <v>https://twitter.com/mercado_em_alta</v>
      </c>
      <c r="BP109" s="2"/>
    </row>
    <row r="110" spans="1:68" x14ac:dyDescent="0.25">
      <c r="A110" s="62" t="s">
        <v>315</v>
      </c>
      <c r="B110" s="63"/>
      <c r="C110" s="63"/>
      <c r="D110" s="64"/>
      <c r="E110" s="66"/>
      <c r="F110" s="103" t="str">
        <f>HYPERLINK("https://pbs.twimg.com/profile_images/1693798116053377024/cxGXWjJM_normal.png")</f>
        <v>https://pbs.twimg.com/profile_images/1693798116053377024/cxGXWjJM_normal.png</v>
      </c>
      <c r="G110" s="63"/>
      <c r="H110" s="67"/>
      <c r="I110" s="68"/>
      <c r="J110" s="68"/>
      <c r="K110" s="67" t="s">
        <v>19843</v>
      </c>
      <c r="L110" s="71"/>
      <c r="M110" s="72"/>
      <c r="N110" s="72"/>
      <c r="O110" s="73"/>
      <c r="P110" s="74"/>
      <c r="Q110" s="74"/>
      <c r="R110" s="87"/>
      <c r="S110" s="87"/>
      <c r="T110" s="87"/>
      <c r="U110" s="87"/>
      <c r="V110" s="48"/>
      <c r="W110" s="48"/>
      <c r="X110" s="48"/>
      <c r="Y110" s="48"/>
      <c r="Z110" s="47"/>
      <c r="AA110" s="69">
        <v>110</v>
      </c>
      <c r="AB110" s="69"/>
      <c r="AC110" s="70"/>
      <c r="AD110" s="76" t="s">
        <v>17860</v>
      </c>
      <c r="AE110" s="81" t="s">
        <v>17488</v>
      </c>
      <c r="AF110" s="76">
        <v>2</v>
      </c>
      <c r="AG110" s="76">
        <v>84</v>
      </c>
      <c r="AH110" s="76">
        <v>18</v>
      </c>
      <c r="AI110" s="76">
        <v>0</v>
      </c>
      <c r="AJ110" s="76">
        <v>9</v>
      </c>
      <c r="AK110" s="76">
        <v>3</v>
      </c>
      <c r="AL110" s="76" t="b">
        <v>0</v>
      </c>
      <c r="AM110" s="78">
        <v>45160.063819444447</v>
      </c>
      <c r="AN110" s="76"/>
      <c r="AO110" s="76" t="s">
        <v>18860</v>
      </c>
      <c r="AP110" s="83" t="str">
        <f>HYPERLINK("https://t.co/csYqKSaiyE")</f>
        <v>https://t.co/csYqKSaiyE</v>
      </c>
      <c r="AQ110" s="83" t="str">
        <f>HYPERLINK("https://linktr.ee/beyoursco")</f>
        <v>https://linktr.ee/beyoursco</v>
      </c>
      <c r="AR110" s="76" t="s">
        <v>19358</v>
      </c>
      <c r="AS110" s="76"/>
      <c r="AT110" s="76"/>
      <c r="AU110" s="76"/>
      <c r="AV110" s="76"/>
      <c r="AW110" s="83" t="str">
        <f>HYPERLINK("https://t.co/csYqKSaiyE")</f>
        <v>https://t.co/csYqKSaiyE</v>
      </c>
      <c r="AX110" s="76" t="b">
        <v>0</v>
      </c>
      <c r="AY110" s="76"/>
      <c r="AZ110" s="76"/>
      <c r="BA110" s="76" t="b">
        <v>0</v>
      </c>
      <c r="BB110" s="76" t="b">
        <v>1</v>
      </c>
      <c r="BC110" s="76" t="b">
        <v>1</v>
      </c>
      <c r="BD110" s="76" t="b">
        <v>0</v>
      </c>
      <c r="BE110" s="76" t="b">
        <v>0</v>
      </c>
      <c r="BF110" s="76" t="b">
        <v>0</v>
      </c>
      <c r="BG110" s="76" t="b">
        <v>0</v>
      </c>
      <c r="BH110" s="83" t="str">
        <f>HYPERLINK("https://pbs.twimg.com/profile_banners/1693798055047200768/1692669211")</f>
        <v>https://pbs.twimg.com/profile_banners/1693798055047200768/1692669211</v>
      </c>
      <c r="BI110" s="76"/>
      <c r="BJ110" s="76" t="s">
        <v>19734</v>
      </c>
      <c r="BK110" s="76" t="b">
        <v>0</v>
      </c>
      <c r="BL110" s="76"/>
      <c r="BM110" s="76" t="s">
        <v>66</v>
      </c>
      <c r="BN110" s="76" t="s">
        <v>19736</v>
      </c>
      <c r="BO110" s="83" t="str">
        <f>HYPERLINK("https://twitter.com/beyourscompany")</f>
        <v>https://twitter.com/beyourscompany</v>
      </c>
      <c r="BP110" s="2"/>
    </row>
    <row r="111" spans="1:68" x14ac:dyDescent="0.25">
      <c r="A111" s="62" t="s">
        <v>316</v>
      </c>
      <c r="B111" s="63"/>
      <c r="C111" s="63"/>
      <c r="D111" s="64"/>
      <c r="E111" s="66"/>
      <c r="F111" s="103" t="str">
        <f>HYPERLINK("https://pbs.twimg.com/profile_images/1369748302854504453/ShpJasNI_normal.jpg")</f>
        <v>https://pbs.twimg.com/profile_images/1369748302854504453/ShpJasNI_normal.jpg</v>
      </c>
      <c r="G111" s="63"/>
      <c r="H111" s="67"/>
      <c r="I111" s="68"/>
      <c r="J111" s="68"/>
      <c r="K111" s="67" t="s">
        <v>19844</v>
      </c>
      <c r="L111" s="71"/>
      <c r="M111" s="72"/>
      <c r="N111" s="72"/>
      <c r="O111" s="73"/>
      <c r="P111" s="74"/>
      <c r="Q111" s="74"/>
      <c r="R111" s="87"/>
      <c r="S111" s="87"/>
      <c r="T111" s="87"/>
      <c r="U111" s="87"/>
      <c r="V111" s="48"/>
      <c r="W111" s="48"/>
      <c r="X111" s="48"/>
      <c r="Y111" s="48"/>
      <c r="Z111" s="47"/>
      <c r="AA111" s="69">
        <v>111</v>
      </c>
      <c r="AB111" s="69"/>
      <c r="AC111" s="70"/>
      <c r="AD111" s="76" t="s">
        <v>17861</v>
      </c>
      <c r="AE111" s="81" t="s">
        <v>17489</v>
      </c>
      <c r="AF111" s="76">
        <v>461</v>
      </c>
      <c r="AG111" s="76">
        <v>16</v>
      </c>
      <c r="AH111" s="76">
        <v>1433</v>
      </c>
      <c r="AI111" s="76">
        <v>7</v>
      </c>
      <c r="AJ111" s="76">
        <v>69</v>
      </c>
      <c r="AK111" s="76">
        <v>727</v>
      </c>
      <c r="AL111" s="76" t="b">
        <v>0</v>
      </c>
      <c r="AM111" s="78">
        <v>43332.60193287037</v>
      </c>
      <c r="AN111" s="76"/>
      <c r="AO111" s="76" t="s">
        <v>18861</v>
      </c>
      <c r="AP111" s="83" t="str">
        <f>HYPERLINK("https://t.co/zUigTqdEgn")</f>
        <v>https://t.co/zUigTqdEgn</v>
      </c>
      <c r="AQ111" s="83" t="str">
        <f>HYPERLINK("https://linktr.ee/sonartradeoficial")</f>
        <v>https://linktr.ee/sonartradeoficial</v>
      </c>
      <c r="AR111" s="76" t="s">
        <v>19359</v>
      </c>
      <c r="AS111" s="76"/>
      <c r="AT111" s="76"/>
      <c r="AU111" s="76"/>
      <c r="AV111" s="76"/>
      <c r="AW111" s="83" t="str">
        <f>HYPERLINK("https://t.co/zUigTqdEgn")</f>
        <v>https://t.co/zUigTqdEgn</v>
      </c>
      <c r="AX111" s="76" t="b">
        <v>1</v>
      </c>
      <c r="AY111" s="76"/>
      <c r="AZ111" s="76"/>
      <c r="BA111" s="76" t="b">
        <v>0</v>
      </c>
      <c r="BB111" s="76" t="b">
        <v>1</v>
      </c>
      <c r="BC111" s="76" t="b">
        <v>0</v>
      </c>
      <c r="BD111" s="76" t="b">
        <v>0</v>
      </c>
      <c r="BE111" s="76" t="b">
        <v>0</v>
      </c>
      <c r="BF111" s="76" t="b">
        <v>0</v>
      </c>
      <c r="BG111" s="76" t="b">
        <v>0</v>
      </c>
      <c r="BH111" s="83" t="str">
        <f>HYPERLINK("https://pbs.twimg.com/profile_banners/1031548103416049675/1615488663")</f>
        <v>https://pbs.twimg.com/profile_banners/1031548103416049675/1615488663</v>
      </c>
      <c r="BI111" s="76"/>
      <c r="BJ111" s="76" t="s">
        <v>19734</v>
      </c>
      <c r="BK111" s="76" t="b">
        <v>0</v>
      </c>
      <c r="BL111" s="76"/>
      <c r="BM111" s="76" t="s">
        <v>66</v>
      </c>
      <c r="BN111" s="76" t="s">
        <v>19736</v>
      </c>
      <c r="BO111" s="83" t="str">
        <f>HYPERLINK("https://twitter.com/sonartrade")</f>
        <v>https://twitter.com/sonartrade</v>
      </c>
      <c r="BP111" s="2"/>
    </row>
    <row r="112" spans="1:68" x14ac:dyDescent="0.25">
      <c r="A112" s="62" t="s">
        <v>317</v>
      </c>
      <c r="B112" s="63"/>
      <c r="C112" s="63"/>
      <c r="D112" s="64"/>
      <c r="E112" s="66"/>
      <c r="F112" s="103" t="str">
        <f>HYPERLINK("https://pbs.twimg.com/profile_images/1649435303084523520/Tyo5K0Oe_normal.jpg")</f>
        <v>https://pbs.twimg.com/profile_images/1649435303084523520/Tyo5K0Oe_normal.jpg</v>
      </c>
      <c r="G112" s="63"/>
      <c r="H112" s="67"/>
      <c r="I112" s="68"/>
      <c r="J112" s="68"/>
      <c r="K112" s="67" t="s">
        <v>19845</v>
      </c>
      <c r="L112" s="71"/>
      <c r="M112" s="72"/>
      <c r="N112" s="72"/>
      <c r="O112" s="73"/>
      <c r="P112" s="74"/>
      <c r="Q112" s="74"/>
      <c r="R112" s="87"/>
      <c r="S112" s="87"/>
      <c r="T112" s="87"/>
      <c r="U112" s="87"/>
      <c r="V112" s="48"/>
      <c r="W112" s="48"/>
      <c r="X112" s="48"/>
      <c r="Y112" s="48"/>
      <c r="Z112" s="47"/>
      <c r="AA112" s="69">
        <v>112</v>
      </c>
      <c r="AB112" s="69"/>
      <c r="AC112" s="70"/>
      <c r="AD112" s="76" t="s">
        <v>17862</v>
      </c>
      <c r="AE112" s="81" t="s">
        <v>17490</v>
      </c>
      <c r="AF112" s="76">
        <v>31</v>
      </c>
      <c r="AG112" s="76">
        <v>27</v>
      </c>
      <c r="AH112" s="76">
        <v>108</v>
      </c>
      <c r="AI112" s="76">
        <v>1</v>
      </c>
      <c r="AJ112" s="76">
        <v>372</v>
      </c>
      <c r="AK112" s="76">
        <v>39</v>
      </c>
      <c r="AL112" s="76" t="b">
        <v>0</v>
      </c>
      <c r="AM112" s="78">
        <v>43822.90729166667</v>
      </c>
      <c r="AN112" s="76" t="s">
        <v>18589</v>
      </c>
      <c r="AO112" s="76" t="s">
        <v>18862</v>
      </c>
      <c r="AP112" s="76"/>
      <c r="AQ112" s="76"/>
      <c r="AR112" s="76"/>
      <c r="AS112" s="76"/>
      <c r="AT112" s="76"/>
      <c r="AU112" s="76"/>
      <c r="AV112" s="76"/>
      <c r="AW112" s="76"/>
      <c r="AX112" s="76" t="b">
        <v>0</v>
      </c>
      <c r="AY112" s="76"/>
      <c r="AZ112" s="76"/>
      <c r="BA112" s="76" t="b">
        <v>1</v>
      </c>
      <c r="BB112" s="76" t="b">
        <v>1</v>
      </c>
      <c r="BC112" s="76" t="b">
        <v>1</v>
      </c>
      <c r="BD112" s="76" t="b">
        <v>0</v>
      </c>
      <c r="BE112" s="76" t="b">
        <v>1</v>
      </c>
      <c r="BF112" s="76" t="b">
        <v>0</v>
      </c>
      <c r="BG112" s="76" t="b">
        <v>0</v>
      </c>
      <c r="BH112" s="83" t="str">
        <f>HYPERLINK("https://pbs.twimg.com/profile_banners/1209228775453548545/1682118165")</f>
        <v>https://pbs.twimg.com/profile_banners/1209228775453548545/1682118165</v>
      </c>
      <c r="BI112" s="76"/>
      <c r="BJ112" s="76" t="s">
        <v>19734</v>
      </c>
      <c r="BK112" s="76" t="b">
        <v>0</v>
      </c>
      <c r="BL112" s="76"/>
      <c r="BM112" s="76" t="s">
        <v>66</v>
      </c>
      <c r="BN112" s="76" t="s">
        <v>19736</v>
      </c>
      <c r="BO112" s="83" t="str">
        <f>HYPERLINK("https://twitter.com/janningmiguel")</f>
        <v>https://twitter.com/janningmiguel</v>
      </c>
      <c r="BP112" s="2"/>
    </row>
    <row r="113" spans="1:68" x14ac:dyDescent="0.25">
      <c r="A113" s="62" t="s">
        <v>318</v>
      </c>
      <c r="B113" s="63"/>
      <c r="C113" s="63"/>
      <c r="D113" s="64"/>
      <c r="E113" s="66"/>
      <c r="F113" s="103" t="str">
        <f>HYPERLINK("https://pbs.twimg.com/profile_images/1679209222507053056/x4xiqfDI_normal.jpg")</f>
        <v>https://pbs.twimg.com/profile_images/1679209222507053056/x4xiqfDI_normal.jpg</v>
      </c>
      <c r="G113" s="63"/>
      <c r="H113" s="67"/>
      <c r="I113" s="68"/>
      <c r="J113" s="68"/>
      <c r="K113" s="67" t="s">
        <v>19846</v>
      </c>
      <c r="L113" s="71"/>
      <c r="M113" s="72"/>
      <c r="N113" s="72"/>
      <c r="O113" s="73"/>
      <c r="P113" s="74"/>
      <c r="Q113" s="74"/>
      <c r="R113" s="87"/>
      <c r="S113" s="87"/>
      <c r="T113" s="87"/>
      <c r="U113" s="87"/>
      <c r="V113" s="48"/>
      <c r="W113" s="48"/>
      <c r="X113" s="48"/>
      <c r="Y113" s="48"/>
      <c r="Z113" s="47"/>
      <c r="AA113" s="69">
        <v>113</v>
      </c>
      <c r="AB113" s="69"/>
      <c r="AC113" s="70"/>
      <c r="AD113" s="76" t="s">
        <v>17863</v>
      </c>
      <c r="AE113" s="81" t="s">
        <v>17327</v>
      </c>
      <c r="AF113" s="76">
        <v>599</v>
      </c>
      <c r="AG113" s="76">
        <v>106</v>
      </c>
      <c r="AH113" s="76">
        <v>247</v>
      </c>
      <c r="AI113" s="76">
        <v>2</v>
      </c>
      <c r="AJ113" s="76">
        <v>40</v>
      </c>
      <c r="AK113" s="76">
        <v>95</v>
      </c>
      <c r="AL113" s="76" t="b">
        <v>0</v>
      </c>
      <c r="AM113" s="78">
        <v>40117.527557870373</v>
      </c>
      <c r="AN113" s="76" t="s">
        <v>12014</v>
      </c>
      <c r="AO113" s="76" t="s">
        <v>18863</v>
      </c>
      <c r="AP113" s="83" t="str">
        <f>HYPERLINK("https://t.co/9mmmzRHkAe")</f>
        <v>https://t.co/9mmmzRHkAe</v>
      </c>
      <c r="AQ113" s="83" t="str">
        <f>HYPERLINK("http://sst.trade")</f>
        <v>http://sst.trade</v>
      </c>
      <c r="AR113" s="76" t="s">
        <v>19360</v>
      </c>
      <c r="AS113" s="76"/>
      <c r="AT113" s="76"/>
      <c r="AU113" s="76"/>
      <c r="AV113" s="76"/>
      <c r="AW113" s="83" t="str">
        <f>HYPERLINK("https://t.co/9mmmzRHkAe")</f>
        <v>https://t.co/9mmmzRHkAe</v>
      </c>
      <c r="AX113" s="76" t="b">
        <v>1</v>
      </c>
      <c r="AY113" s="76"/>
      <c r="AZ113" s="76"/>
      <c r="BA113" s="76" t="b">
        <v>0</v>
      </c>
      <c r="BB113" s="76" t="b">
        <v>1</v>
      </c>
      <c r="BC113" s="76" t="b">
        <v>0</v>
      </c>
      <c r="BD113" s="76" t="b">
        <v>0</v>
      </c>
      <c r="BE113" s="76" t="b">
        <v>1</v>
      </c>
      <c r="BF113" s="76" t="b">
        <v>0</v>
      </c>
      <c r="BG113" s="76" t="b">
        <v>0</v>
      </c>
      <c r="BH113" s="83" t="str">
        <f>HYPERLINK("https://pbs.twimg.com/profile_banners/86519869/1626259938")</f>
        <v>https://pbs.twimg.com/profile_banners/86519869/1626259938</v>
      </c>
      <c r="BI113" s="76"/>
      <c r="BJ113" s="76" t="s">
        <v>19734</v>
      </c>
      <c r="BK113" s="76" t="b">
        <v>0</v>
      </c>
      <c r="BL113" s="76"/>
      <c r="BM113" s="76" t="s">
        <v>66</v>
      </c>
      <c r="BN113" s="76" t="s">
        <v>19736</v>
      </c>
      <c r="BO113" s="83" t="str">
        <f>HYPERLINK("https://twitter.com/eduardo_garufi")</f>
        <v>https://twitter.com/eduardo_garufi</v>
      </c>
      <c r="BP113" s="2"/>
    </row>
    <row r="114" spans="1:68" x14ac:dyDescent="0.25">
      <c r="A114" s="62" t="s">
        <v>319</v>
      </c>
      <c r="B114" s="63"/>
      <c r="C114" s="63"/>
      <c r="D114" s="64"/>
      <c r="E114" s="66"/>
      <c r="F114" s="103" t="str">
        <f>HYPERLINK("https://pbs.twimg.com/profile_images/1531432052767309824/ZIroamAA_normal.jpg")</f>
        <v>https://pbs.twimg.com/profile_images/1531432052767309824/ZIroamAA_normal.jpg</v>
      </c>
      <c r="G114" s="63"/>
      <c r="H114" s="67"/>
      <c r="I114" s="68"/>
      <c r="J114" s="68"/>
      <c r="K114" s="67" t="s">
        <v>19847</v>
      </c>
      <c r="L114" s="71"/>
      <c r="M114" s="72"/>
      <c r="N114" s="72"/>
      <c r="O114" s="73"/>
      <c r="P114" s="74"/>
      <c r="Q114" s="74"/>
      <c r="R114" s="87"/>
      <c r="S114" s="87"/>
      <c r="T114" s="87"/>
      <c r="U114" s="87"/>
      <c r="V114" s="48"/>
      <c r="W114" s="48"/>
      <c r="X114" s="48"/>
      <c r="Y114" s="48"/>
      <c r="Z114" s="47"/>
      <c r="AA114" s="69">
        <v>114</v>
      </c>
      <c r="AB114" s="69"/>
      <c r="AC114" s="70"/>
      <c r="AD114" s="76" t="s">
        <v>17864</v>
      </c>
      <c r="AE114" s="81" t="s">
        <v>17491</v>
      </c>
      <c r="AF114" s="76">
        <v>94</v>
      </c>
      <c r="AG114" s="76">
        <v>121</v>
      </c>
      <c r="AH114" s="76">
        <v>503</v>
      </c>
      <c r="AI114" s="76">
        <v>0</v>
      </c>
      <c r="AJ114" s="76">
        <v>935</v>
      </c>
      <c r="AK114" s="76">
        <v>12</v>
      </c>
      <c r="AL114" s="76" t="b">
        <v>0</v>
      </c>
      <c r="AM114" s="78">
        <v>44711.044062499997</v>
      </c>
      <c r="AN114" s="76" t="s">
        <v>12007</v>
      </c>
      <c r="AO114" s="76" t="s">
        <v>18864</v>
      </c>
      <c r="AP114" s="83" t="str">
        <f>HYPERLINK("https://t.co/aQDNswFMf9")</f>
        <v>https://t.co/aQDNswFMf9</v>
      </c>
      <c r="AQ114" s="83" t="str">
        <f>HYPERLINK("https://www.izzinvest.com/")</f>
        <v>https://www.izzinvest.com/</v>
      </c>
      <c r="AR114" s="76" t="s">
        <v>19361</v>
      </c>
      <c r="AS114" s="83" t="str">
        <f>HYPERLINK("https://t.co/hpe0gAzYIV")</f>
        <v>https://t.co/hpe0gAzYIV</v>
      </c>
      <c r="AT114" s="83" t="str">
        <f>HYPERLINK("http://iZZinvest.com")</f>
        <v>http://iZZinvest.com</v>
      </c>
      <c r="AU114" s="76" t="s">
        <v>19697</v>
      </c>
      <c r="AV114" s="76"/>
      <c r="AW114" s="83" t="str">
        <f>HYPERLINK("https://t.co/aQDNswFMf9")</f>
        <v>https://t.co/aQDNswFMf9</v>
      </c>
      <c r="AX114" s="76" t="b">
        <v>1</v>
      </c>
      <c r="AY114" s="76"/>
      <c r="AZ114" s="76"/>
      <c r="BA114" s="76" t="b">
        <v>0</v>
      </c>
      <c r="BB114" s="76" t="b">
        <v>1</v>
      </c>
      <c r="BC114" s="76" t="b">
        <v>1</v>
      </c>
      <c r="BD114" s="76" t="b">
        <v>0</v>
      </c>
      <c r="BE114" s="76" t="b">
        <v>0</v>
      </c>
      <c r="BF114" s="76" t="b">
        <v>0</v>
      </c>
      <c r="BG114" s="76" t="b">
        <v>0</v>
      </c>
      <c r="BH114" s="83" t="str">
        <f>HYPERLINK("https://pbs.twimg.com/profile_banners/1531077995200401411/1654045055")</f>
        <v>https://pbs.twimg.com/profile_banners/1531077995200401411/1654045055</v>
      </c>
      <c r="BI114" s="76"/>
      <c r="BJ114" s="76" t="s">
        <v>19734</v>
      </c>
      <c r="BK114" s="76" t="b">
        <v>0</v>
      </c>
      <c r="BL114" s="76"/>
      <c r="BM114" s="76" t="s">
        <v>66</v>
      </c>
      <c r="BN114" s="76" t="s">
        <v>19736</v>
      </c>
      <c r="BO114" s="83" t="str">
        <f>HYPERLINK("https://twitter.com/izzinvest")</f>
        <v>https://twitter.com/izzinvest</v>
      </c>
      <c r="BP114" s="2"/>
    </row>
    <row r="115" spans="1:68" x14ac:dyDescent="0.25">
      <c r="A115" s="62" t="s">
        <v>320</v>
      </c>
      <c r="B115" s="63"/>
      <c r="C115" s="63"/>
      <c r="D115" s="64"/>
      <c r="E115" s="66"/>
      <c r="F115" s="103" t="str">
        <f>HYPERLINK("https://pbs.twimg.com/profile_images/1654625094965030912/ROZsUgq7_normal.jpg")</f>
        <v>https://pbs.twimg.com/profile_images/1654625094965030912/ROZsUgq7_normal.jpg</v>
      </c>
      <c r="G115" s="63"/>
      <c r="H115" s="67"/>
      <c r="I115" s="68"/>
      <c r="J115" s="68"/>
      <c r="K115" s="67" t="s">
        <v>19848</v>
      </c>
      <c r="L115" s="71"/>
      <c r="M115" s="72"/>
      <c r="N115" s="72"/>
      <c r="O115" s="73"/>
      <c r="P115" s="74"/>
      <c r="Q115" s="74"/>
      <c r="R115" s="87"/>
      <c r="S115" s="87"/>
      <c r="T115" s="87"/>
      <c r="U115" s="87"/>
      <c r="V115" s="48"/>
      <c r="W115" s="48"/>
      <c r="X115" s="48"/>
      <c r="Y115" s="48"/>
      <c r="Z115" s="47"/>
      <c r="AA115" s="69">
        <v>115</v>
      </c>
      <c r="AB115" s="69"/>
      <c r="AC115" s="70"/>
      <c r="AD115" s="76" t="s">
        <v>17865</v>
      </c>
      <c r="AE115" s="81" t="s">
        <v>17492</v>
      </c>
      <c r="AF115" s="76">
        <v>0</v>
      </c>
      <c r="AG115" s="76">
        <v>66</v>
      </c>
      <c r="AH115" s="76">
        <v>66</v>
      </c>
      <c r="AI115" s="76">
        <v>0</v>
      </c>
      <c r="AJ115" s="76">
        <v>28</v>
      </c>
      <c r="AK115" s="76">
        <v>32</v>
      </c>
      <c r="AL115" s="76" t="b">
        <v>0</v>
      </c>
      <c r="AM115" s="78">
        <v>44612.907997685186</v>
      </c>
      <c r="AN115" s="76"/>
      <c r="AO115" s="76" t="s">
        <v>18865</v>
      </c>
      <c r="AP115" s="83" t="str">
        <f>HYPERLINK("https://t.co/4rUgkz8Ira")</f>
        <v>https://t.co/4rUgkz8Ira</v>
      </c>
      <c r="AQ115" s="83" t="str">
        <f>HYPERLINK("https://soutorres.blogspot.com/?zx=58b38b5b7e2022d3")</f>
        <v>https://soutorres.blogspot.com/?zx=58b38b5b7e2022d3</v>
      </c>
      <c r="AR115" s="76" t="s">
        <v>19362</v>
      </c>
      <c r="AS115" s="76"/>
      <c r="AT115" s="76"/>
      <c r="AU115" s="76"/>
      <c r="AV115" s="76"/>
      <c r="AW115" s="83" t="str">
        <f>HYPERLINK("https://t.co/4rUgkz8Ira")</f>
        <v>https://t.co/4rUgkz8Ira</v>
      </c>
      <c r="AX115" s="76" t="b">
        <v>0</v>
      </c>
      <c r="AY115" s="76"/>
      <c r="AZ115" s="76"/>
      <c r="BA115" s="76" t="b">
        <v>0</v>
      </c>
      <c r="BB115" s="76" t="b">
        <v>1</v>
      </c>
      <c r="BC115" s="76" t="b">
        <v>1</v>
      </c>
      <c r="BD115" s="76" t="b">
        <v>0</v>
      </c>
      <c r="BE115" s="76" t="b">
        <v>0</v>
      </c>
      <c r="BF115" s="76" t="b">
        <v>0</v>
      </c>
      <c r="BG115" s="76" t="b">
        <v>0</v>
      </c>
      <c r="BH115" s="83" t="str">
        <f>HYPERLINK("https://pbs.twimg.com/profile_banners/1495515406374690816/1676230726")</f>
        <v>https://pbs.twimg.com/profile_banners/1495515406374690816/1676230726</v>
      </c>
      <c r="BI115" s="76"/>
      <c r="BJ115" s="76" t="s">
        <v>19734</v>
      </c>
      <c r="BK115" s="76" t="b">
        <v>0</v>
      </c>
      <c r="BL115" s="76"/>
      <c r="BM115" s="76" t="s">
        <v>66</v>
      </c>
      <c r="BN115" s="76" t="s">
        <v>19736</v>
      </c>
      <c r="BO115" s="83" t="str">
        <f>HYPERLINK("https://twitter.com/andreluiztorr11")</f>
        <v>https://twitter.com/andreluiztorr11</v>
      </c>
      <c r="BP115" s="2"/>
    </row>
    <row r="116" spans="1:68" x14ac:dyDescent="0.25">
      <c r="A116" s="62" t="s">
        <v>321</v>
      </c>
      <c r="B116" s="63"/>
      <c r="C116" s="63"/>
      <c r="D116" s="64"/>
      <c r="E116" s="66"/>
      <c r="F116" s="103" t="str">
        <f>HYPERLINK("https://pbs.twimg.com/profile_images/1431648743728852993/tLJ7F5Lu_normal.png")</f>
        <v>https://pbs.twimg.com/profile_images/1431648743728852993/tLJ7F5Lu_normal.png</v>
      </c>
      <c r="G116" s="63"/>
      <c r="H116" s="67"/>
      <c r="I116" s="68"/>
      <c r="J116" s="68"/>
      <c r="K116" s="67" t="s">
        <v>19849</v>
      </c>
      <c r="L116" s="71"/>
      <c r="M116" s="72"/>
      <c r="N116" s="72"/>
      <c r="O116" s="73"/>
      <c r="P116" s="74"/>
      <c r="Q116" s="74"/>
      <c r="R116" s="87"/>
      <c r="S116" s="87"/>
      <c r="T116" s="87"/>
      <c r="U116" s="87"/>
      <c r="V116" s="48"/>
      <c r="W116" s="48"/>
      <c r="X116" s="48"/>
      <c r="Y116" s="48"/>
      <c r="Z116" s="47"/>
      <c r="AA116" s="69">
        <v>116</v>
      </c>
      <c r="AB116" s="69"/>
      <c r="AC116" s="70"/>
      <c r="AD116" s="76" t="s">
        <v>17866</v>
      </c>
      <c r="AE116" s="81" t="s">
        <v>18360</v>
      </c>
      <c r="AF116" s="76">
        <v>4047</v>
      </c>
      <c r="AG116" s="76">
        <v>533</v>
      </c>
      <c r="AH116" s="76">
        <v>12908</v>
      </c>
      <c r="AI116" s="76">
        <v>2</v>
      </c>
      <c r="AJ116" s="76">
        <v>13</v>
      </c>
      <c r="AK116" s="76">
        <v>10</v>
      </c>
      <c r="AL116" s="76" t="b">
        <v>0</v>
      </c>
      <c r="AM116" s="78">
        <v>40950.85597222222</v>
      </c>
      <c r="AN116" s="76" t="s">
        <v>18568</v>
      </c>
      <c r="AO116" s="76" t="s">
        <v>18866</v>
      </c>
      <c r="AP116" s="83" t="str">
        <f>HYPERLINK("https://t.co/R78rSZpGBV")</f>
        <v>https://t.co/R78rSZpGBV</v>
      </c>
      <c r="AQ116" s="83" t="str">
        <f>HYPERLINK("https://www.freeclassificados.com")</f>
        <v>https://www.freeclassificados.com</v>
      </c>
      <c r="AR116" s="76" t="s">
        <v>19363</v>
      </c>
      <c r="AS116" s="76"/>
      <c r="AT116" s="76"/>
      <c r="AU116" s="76"/>
      <c r="AV116" s="76"/>
      <c r="AW116" s="83" t="str">
        <f>HYPERLINK("https://t.co/R78rSZpGBV")</f>
        <v>https://t.co/R78rSZpGBV</v>
      </c>
      <c r="AX116" s="76" t="b">
        <v>0</v>
      </c>
      <c r="AY116" s="76"/>
      <c r="AZ116" s="76"/>
      <c r="BA116" s="76" t="b">
        <v>0</v>
      </c>
      <c r="BB116" s="76" t="b">
        <v>1</v>
      </c>
      <c r="BC116" s="76" t="b">
        <v>0</v>
      </c>
      <c r="BD116" s="76" t="b">
        <v>0</v>
      </c>
      <c r="BE116" s="76" t="b">
        <v>0</v>
      </c>
      <c r="BF116" s="76" t="b">
        <v>0</v>
      </c>
      <c r="BG116" s="76" t="b">
        <v>0</v>
      </c>
      <c r="BH116" s="83" t="str">
        <f>HYPERLINK("https://pbs.twimg.com/profile_banners/489723814/1630167379")</f>
        <v>https://pbs.twimg.com/profile_banners/489723814/1630167379</v>
      </c>
      <c r="BI116" s="76"/>
      <c r="BJ116" s="76" t="s">
        <v>19734</v>
      </c>
      <c r="BK116" s="76" t="b">
        <v>0</v>
      </c>
      <c r="BL116" s="76"/>
      <c r="BM116" s="76" t="s">
        <v>66</v>
      </c>
      <c r="BN116" s="76" t="s">
        <v>19736</v>
      </c>
      <c r="BO116" s="83" t="str">
        <f>HYPERLINK("https://twitter.com/freeclassific")</f>
        <v>https://twitter.com/freeclassific</v>
      </c>
      <c r="BP116" s="2"/>
    </row>
    <row r="117" spans="1:68" x14ac:dyDescent="0.25">
      <c r="A117" s="62" t="s">
        <v>322</v>
      </c>
      <c r="B117" s="63"/>
      <c r="C117" s="63"/>
      <c r="D117" s="64"/>
      <c r="E117" s="66"/>
      <c r="F117" s="103" t="str">
        <f>HYPERLINK("https://pbs.twimg.com/profile_images/1406282412871630856/W89Wdi2l_normal.jpg")</f>
        <v>https://pbs.twimg.com/profile_images/1406282412871630856/W89Wdi2l_normal.jpg</v>
      </c>
      <c r="G117" s="63"/>
      <c r="H117" s="67"/>
      <c r="I117" s="68"/>
      <c r="J117" s="68"/>
      <c r="K117" s="67" t="s">
        <v>19850</v>
      </c>
      <c r="L117" s="71"/>
      <c r="M117" s="72"/>
      <c r="N117" s="72"/>
      <c r="O117" s="73"/>
      <c r="P117" s="74"/>
      <c r="Q117" s="74"/>
      <c r="R117" s="87"/>
      <c r="S117" s="87"/>
      <c r="T117" s="87"/>
      <c r="U117" s="87"/>
      <c r="V117" s="48"/>
      <c r="W117" s="48"/>
      <c r="X117" s="48"/>
      <c r="Y117" s="48"/>
      <c r="Z117" s="47"/>
      <c r="AA117" s="69">
        <v>117</v>
      </c>
      <c r="AB117" s="69"/>
      <c r="AC117" s="70"/>
      <c r="AD117" s="76" t="s">
        <v>17867</v>
      </c>
      <c r="AE117" s="81" t="s">
        <v>18361</v>
      </c>
      <c r="AF117" s="76">
        <v>1354</v>
      </c>
      <c r="AG117" s="76">
        <v>244</v>
      </c>
      <c r="AH117" s="76">
        <v>77139</v>
      </c>
      <c r="AI117" s="76">
        <v>90</v>
      </c>
      <c r="AJ117" s="76">
        <v>2674</v>
      </c>
      <c r="AK117" s="76">
        <v>26895</v>
      </c>
      <c r="AL117" s="76" t="b">
        <v>0</v>
      </c>
      <c r="AM117" s="78">
        <v>39991.906307870369</v>
      </c>
      <c r="AN117" s="76" t="s">
        <v>18596</v>
      </c>
      <c r="AO117" s="76" t="s">
        <v>18867</v>
      </c>
      <c r="AP117" s="83" t="str">
        <f>HYPERLINK("https://t.co/UNT4T7kxly")</f>
        <v>https://t.co/UNT4T7kxly</v>
      </c>
      <c r="AQ117" s="83" t="str">
        <f>HYPERLINK("http://professorrafaelporcari.com")</f>
        <v>http://professorrafaelporcari.com</v>
      </c>
      <c r="AR117" s="76" t="s">
        <v>19364</v>
      </c>
      <c r="AS117" s="76"/>
      <c r="AT117" s="76"/>
      <c r="AU117" s="76"/>
      <c r="AV117" s="76">
        <v>1.69898900135155E+18</v>
      </c>
      <c r="AW117" s="83" t="str">
        <f>HYPERLINK("https://t.co/UNT4T7kxly")</f>
        <v>https://t.co/UNT4T7kxly</v>
      </c>
      <c r="AX117" s="76" t="b">
        <v>0</v>
      </c>
      <c r="AY117" s="76"/>
      <c r="AZ117" s="76"/>
      <c r="BA117" s="76" t="b">
        <v>1</v>
      </c>
      <c r="BB117" s="76" t="b">
        <v>1</v>
      </c>
      <c r="BC117" s="76" t="b">
        <v>0</v>
      </c>
      <c r="BD117" s="76" t="b">
        <v>0</v>
      </c>
      <c r="BE117" s="76" t="b">
        <v>1</v>
      </c>
      <c r="BF117" s="76" t="b">
        <v>0</v>
      </c>
      <c r="BG117" s="76" t="b">
        <v>0</v>
      </c>
      <c r="BH117" s="83" t="str">
        <f>HYPERLINK("https://pbs.twimg.com/profile_banners/51565827/1691784725")</f>
        <v>https://pbs.twimg.com/profile_banners/51565827/1691784725</v>
      </c>
      <c r="BI117" s="76"/>
      <c r="BJ117" s="76" t="s">
        <v>19734</v>
      </c>
      <c r="BK117" s="76" t="b">
        <v>0</v>
      </c>
      <c r="BL117" s="76"/>
      <c r="BM117" s="76" t="s">
        <v>66</v>
      </c>
      <c r="BN117" s="76" t="s">
        <v>19736</v>
      </c>
      <c r="BO117" s="83" t="str">
        <f>HYPERLINK("https://twitter.com/rafaelporcari")</f>
        <v>https://twitter.com/rafaelporcari</v>
      </c>
      <c r="BP117" s="2"/>
    </row>
    <row r="118" spans="1:68" x14ac:dyDescent="0.25">
      <c r="A118" s="62" t="s">
        <v>323</v>
      </c>
      <c r="B118" s="63"/>
      <c r="C118" s="63"/>
      <c r="D118" s="64"/>
      <c r="E118" s="66"/>
      <c r="F118" s="103" t="str">
        <f>HYPERLINK("https://pbs.twimg.com/profile_images/1661735782170894342/33My3iCL_normal.jpg")</f>
        <v>https://pbs.twimg.com/profile_images/1661735782170894342/33My3iCL_normal.jpg</v>
      </c>
      <c r="G118" s="63"/>
      <c r="H118" s="67"/>
      <c r="I118" s="68"/>
      <c r="J118" s="68"/>
      <c r="K118" s="67" t="s">
        <v>19851</v>
      </c>
      <c r="L118" s="71"/>
      <c r="M118" s="72"/>
      <c r="N118" s="72"/>
      <c r="O118" s="73"/>
      <c r="P118" s="74"/>
      <c r="Q118" s="74"/>
      <c r="R118" s="87"/>
      <c r="S118" s="87"/>
      <c r="T118" s="87"/>
      <c r="U118" s="87"/>
      <c r="V118" s="48"/>
      <c r="W118" s="48"/>
      <c r="X118" s="48"/>
      <c r="Y118" s="48"/>
      <c r="Z118" s="47"/>
      <c r="AA118" s="69">
        <v>118</v>
      </c>
      <c r="AB118" s="69"/>
      <c r="AC118" s="70"/>
      <c r="AD118" s="76" t="s">
        <v>17868</v>
      </c>
      <c r="AE118" s="81" t="s">
        <v>17493</v>
      </c>
      <c r="AF118" s="76">
        <v>2</v>
      </c>
      <c r="AG118" s="76">
        <v>13</v>
      </c>
      <c r="AH118" s="76">
        <v>14</v>
      </c>
      <c r="AI118" s="76">
        <v>0</v>
      </c>
      <c r="AJ118" s="76">
        <v>1</v>
      </c>
      <c r="AK118" s="76">
        <v>14</v>
      </c>
      <c r="AL118" s="76" t="b">
        <v>0</v>
      </c>
      <c r="AM118" s="78">
        <v>45071.587060185186</v>
      </c>
      <c r="AN118" s="76"/>
      <c r="AO118" s="76" t="s">
        <v>18868</v>
      </c>
      <c r="AP118" s="83" t="str">
        <f>HYPERLINK("https://t.co/yMoZ4pNdmV")</f>
        <v>https://t.co/yMoZ4pNdmV</v>
      </c>
      <c r="AQ118" s="83" t="str">
        <f>HYPERLINK("https://cutt.ly/SALA-DE-SINAIS-CRASH-ROLETA-GRATIS")</f>
        <v>https://cutt.ly/SALA-DE-SINAIS-CRASH-ROLETA-GRATIS</v>
      </c>
      <c r="AR118" s="76" t="s">
        <v>19365</v>
      </c>
      <c r="AS118" s="76"/>
      <c r="AT118" s="76"/>
      <c r="AU118" s="76"/>
      <c r="AV118" s="76"/>
      <c r="AW118" s="83" t="str">
        <f>HYPERLINK("https://t.co/yMoZ4pNdmV")</f>
        <v>https://t.co/yMoZ4pNdmV</v>
      </c>
      <c r="AX118" s="76" t="b">
        <v>0</v>
      </c>
      <c r="AY118" s="76"/>
      <c r="AZ118" s="76"/>
      <c r="BA118" s="76" t="b">
        <v>0</v>
      </c>
      <c r="BB118" s="76" t="b">
        <v>1</v>
      </c>
      <c r="BC118" s="76" t="b">
        <v>1</v>
      </c>
      <c r="BD118" s="76" t="b">
        <v>0</v>
      </c>
      <c r="BE118" s="76" t="b">
        <v>0</v>
      </c>
      <c r="BF118" s="76" t="b">
        <v>0</v>
      </c>
      <c r="BG118" s="76" t="b">
        <v>0</v>
      </c>
      <c r="BH118" s="83" t="str">
        <f>HYPERLINK("https://pbs.twimg.com/profile_banners/1661735129969201153/1685023660")</f>
        <v>https://pbs.twimg.com/profile_banners/1661735129969201153/1685023660</v>
      </c>
      <c r="BI118" s="76"/>
      <c r="BJ118" s="76" t="s">
        <v>19734</v>
      </c>
      <c r="BK118" s="76" t="b">
        <v>0</v>
      </c>
      <c r="BL118" s="76"/>
      <c r="BM118" s="76" t="s">
        <v>66</v>
      </c>
      <c r="BN118" s="76" t="s">
        <v>19736</v>
      </c>
      <c r="BO118" s="83" t="str">
        <f>HYPERLINK("https://twitter.com/roletasalafree")</f>
        <v>https://twitter.com/roletasalafree</v>
      </c>
      <c r="BP118" s="2"/>
    </row>
    <row r="119" spans="1:68" x14ac:dyDescent="0.25">
      <c r="A119" s="62" t="s">
        <v>324</v>
      </c>
      <c r="B119" s="63"/>
      <c r="C119" s="63"/>
      <c r="D119" s="64"/>
      <c r="E119" s="66"/>
      <c r="F119" s="103" t="str">
        <f>HYPERLINK("https://pbs.twimg.com/profile_images/1704666262029111296/fc1Zl09V_normal.jpg")</f>
        <v>https://pbs.twimg.com/profile_images/1704666262029111296/fc1Zl09V_normal.jpg</v>
      </c>
      <c r="G119" s="63"/>
      <c r="H119" s="67"/>
      <c r="I119" s="68"/>
      <c r="J119" s="68"/>
      <c r="K119" s="67" t="s">
        <v>19852</v>
      </c>
      <c r="L119" s="71"/>
      <c r="M119" s="72"/>
      <c r="N119" s="72"/>
      <c r="O119" s="73"/>
      <c r="P119" s="74"/>
      <c r="Q119" s="74"/>
      <c r="R119" s="87"/>
      <c r="S119" s="87"/>
      <c r="T119" s="87"/>
      <c r="U119" s="87"/>
      <c r="V119" s="48"/>
      <c r="W119" s="48"/>
      <c r="X119" s="48"/>
      <c r="Y119" s="48"/>
      <c r="Z119" s="47"/>
      <c r="AA119" s="69">
        <v>119</v>
      </c>
      <c r="AB119" s="69"/>
      <c r="AC119" s="70"/>
      <c r="AD119" s="76" t="s">
        <v>17869</v>
      </c>
      <c r="AE119" s="81" t="s">
        <v>17494</v>
      </c>
      <c r="AF119" s="76">
        <v>0</v>
      </c>
      <c r="AG119" s="76">
        <v>11</v>
      </c>
      <c r="AH119" s="76">
        <v>8</v>
      </c>
      <c r="AI119" s="76">
        <v>0</v>
      </c>
      <c r="AJ119" s="76">
        <v>1</v>
      </c>
      <c r="AK119" s="76">
        <v>2</v>
      </c>
      <c r="AL119" s="76" t="b">
        <v>0</v>
      </c>
      <c r="AM119" s="78">
        <v>45190.031805555554</v>
      </c>
      <c r="AN119" s="76" t="s">
        <v>18597</v>
      </c>
      <c r="AO119" s="76" t="s">
        <v>18869</v>
      </c>
      <c r="AP119" s="83" t="str">
        <f>HYPERLINK("https://t.co/yBbl0NVXNH")</f>
        <v>https://t.co/yBbl0NVXNH</v>
      </c>
      <c r="AQ119" s="83" t="str">
        <f>HYPERLINK("https://linktr.ee/Debrito.Invest")</f>
        <v>https://linktr.ee/Debrito.Invest</v>
      </c>
      <c r="AR119" s="76" t="s">
        <v>19366</v>
      </c>
      <c r="AS119" s="76"/>
      <c r="AT119" s="76"/>
      <c r="AU119" s="76"/>
      <c r="AV119" s="76"/>
      <c r="AW119" s="83" t="str">
        <f>HYPERLINK("https://t.co/yBbl0NVXNH")</f>
        <v>https://t.co/yBbl0NVXNH</v>
      </c>
      <c r="AX119" s="76" t="b">
        <v>0</v>
      </c>
      <c r="AY119" s="76"/>
      <c r="AZ119" s="76"/>
      <c r="BA119" s="76" t="b">
        <v>0</v>
      </c>
      <c r="BB119" s="76" t="b">
        <v>1</v>
      </c>
      <c r="BC119" s="76" t="b">
        <v>1</v>
      </c>
      <c r="BD119" s="76" t="b">
        <v>0</v>
      </c>
      <c r="BE119" s="76" t="b">
        <v>0</v>
      </c>
      <c r="BF119" s="76" t="b">
        <v>0</v>
      </c>
      <c r="BG119" s="76" t="b">
        <v>0</v>
      </c>
      <c r="BH119" s="83" t="str">
        <f>HYPERLINK("https://pbs.twimg.com/profile_banners/1704657318036541440/1695259083")</f>
        <v>https://pbs.twimg.com/profile_banners/1704657318036541440/1695259083</v>
      </c>
      <c r="BI119" s="76"/>
      <c r="BJ119" s="76" t="s">
        <v>19734</v>
      </c>
      <c r="BK119" s="76" t="b">
        <v>0</v>
      </c>
      <c r="BL119" s="76"/>
      <c r="BM119" s="76" t="s">
        <v>66</v>
      </c>
      <c r="BN119" s="76" t="s">
        <v>19736</v>
      </c>
      <c r="BO119" s="83" t="str">
        <f>HYPERLINK("https://twitter.com/debritoinvest")</f>
        <v>https://twitter.com/debritoinvest</v>
      </c>
      <c r="BP119" s="2"/>
    </row>
    <row r="120" spans="1:68" x14ac:dyDescent="0.25">
      <c r="A120" s="62" t="s">
        <v>325</v>
      </c>
      <c r="B120" s="63"/>
      <c r="C120" s="63"/>
      <c r="D120" s="64"/>
      <c r="E120" s="66"/>
      <c r="F120" s="103" t="str">
        <f>HYPERLINK("https://pbs.twimg.com/profile_images/1697947175089496064/H36gKqqv_normal.jpg")</f>
        <v>https://pbs.twimg.com/profile_images/1697947175089496064/H36gKqqv_normal.jpg</v>
      </c>
      <c r="G120" s="63"/>
      <c r="H120" s="67"/>
      <c r="I120" s="68"/>
      <c r="J120" s="68"/>
      <c r="K120" s="67" t="s">
        <v>19853</v>
      </c>
      <c r="L120" s="71"/>
      <c r="M120" s="72"/>
      <c r="N120" s="72"/>
      <c r="O120" s="73"/>
      <c r="P120" s="74"/>
      <c r="Q120" s="74"/>
      <c r="R120" s="87"/>
      <c r="S120" s="87"/>
      <c r="T120" s="87"/>
      <c r="U120" s="87"/>
      <c r="V120" s="48"/>
      <c r="W120" s="48"/>
      <c r="X120" s="48"/>
      <c r="Y120" s="48"/>
      <c r="Z120" s="47"/>
      <c r="AA120" s="69">
        <v>120</v>
      </c>
      <c r="AB120" s="69"/>
      <c r="AC120" s="70"/>
      <c r="AD120" s="76" t="s">
        <v>17870</v>
      </c>
      <c r="AE120" s="81" t="s">
        <v>17328</v>
      </c>
      <c r="AF120" s="76">
        <v>2662</v>
      </c>
      <c r="AG120" s="76">
        <v>55</v>
      </c>
      <c r="AH120" s="76">
        <v>6723</v>
      </c>
      <c r="AI120" s="76">
        <v>8</v>
      </c>
      <c r="AJ120" s="76">
        <v>206</v>
      </c>
      <c r="AK120" s="76">
        <v>2713</v>
      </c>
      <c r="AL120" s="76" t="b">
        <v>0</v>
      </c>
      <c r="AM120" s="78">
        <v>41537.919293981482</v>
      </c>
      <c r="AN120" s="76"/>
      <c r="AO120" s="76" t="s">
        <v>18870</v>
      </c>
      <c r="AP120" s="83" t="str">
        <f>HYPERLINK("https://t.co/7MINsYnq7g")</f>
        <v>https://t.co/7MINsYnq7g</v>
      </c>
      <c r="AQ120" s="83" t="str">
        <f>HYPERLINK("https://bpower.com.br/clique-aqui")</f>
        <v>https://bpower.com.br/clique-aqui</v>
      </c>
      <c r="AR120" s="76" t="s">
        <v>19367</v>
      </c>
      <c r="AS120" s="76"/>
      <c r="AT120" s="76"/>
      <c r="AU120" s="76"/>
      <c r="AV120" s="76"/>
      <c r="AW120" s="83" t="str">
        <f>HYPERLINK("https://t.co/7MINsYnq7g")</f>
        <v>https://t.co/7MINsYnq7g</v>
      </c>
      <c r="AX120" s="76" t="b">
        <v>1</v>
      </c>
      <c r="AY120" s="76"/>
      <c r="AZ120" s="76"/>
      <c r="BA120" s="76" t="b">
        <v>0</v>
      </c>
      <c r="BB120" s="76" t="b">
        <v>1</v>
      </c>
      <c r="BC120" s="76" t="b">
        <v>1</v>
      </c>
      <c r="BD120" s="76" t="b">
        <v>0</v>
      </c>
      <c r="BE120" s="76" t="b">
        <v>0</v>
      </c>
      <c r="BF120" s="76" t="b">
        <v>0</v>
      </c>
      <c r="BG120" s="76" t="b">
        <v>0</v>
      </c>
      <c r="BH120" s="83" t="str">
        <f>HYPERLINK("https://pbs.twimg.com/profile_banners/1887978842/1684697086")</f>
        <v>https://pbs.twimg.com/profile_banners/1887978842/1684697086</v>
      </c>
      <c r="BI120" s="76"/>
      <c r="BJ120" s="76" t="s">
        <v>19734</v>
      </c>
      <c r="BK120" s="76" t="b">
        <v>0</v>
      </c>
      <c r="BL120" s="76"/>
      <c r="BM120" s="76" t="s">
        <v>66</v>
      </c>
      <c r="BN120" s="76" t="s">
        <v>19736</v>
      </c>
      <c r="BO120" s="83" t="str">
        <f>HYPERLINK("https://twitter.com/brainpowerbr")</f>
        <v>https://twitter.com/brainpowerbr</v>
      </c>
      <c r="BP120" s="2"/>
    </row>
    <row r="121" spans="1:68" x14ac:dyDescent="0.25">
      <c r="A121" s="62" t="s">
        <v>326</v>
      </c>
      <c r="B121" s="63"/>
      <c r="C121" s="63"/>
      <c r="D121" s="64"/>
      <c r="E121" s="66"/>
      <c r="F121" s="103" t="str">
        <f>HYPERLINK("https://pbs.twimg.com/profile_images/1681993320275247105/qRqqNd-U_normal.jpg")</f>
        <v>https://pbs.twimg.com/profile_images/1681993320275247105/qRqqNd-U_normal.jpg</v>
      </c>
      <c r="G121" s="63"/>
      <c r="H121" s="67"/>
      <c r="I121" s="68"/>
      <c r="J121" s="68"/>
      <c r="K121" s="67" t="s">
        <v>19854</v>
      </c>
      <c r="L121" s="71"/>
      <c r="M121" s="72"/>
      <c r="N121" s="72"/>
      <c r="O121" s="73"/>
      <c r="P121" s="74"/>
      <c r="Q121" s="74"/>
      <c r="R121" s="87"/>
      <c r="S121" s="87"/>
      <c r="T121" s="87"/>
      <c r="U121" s="87"/>
      <c r="V121" s="48"/>
      <c r="W121" s="48"/>
      <c r="X121" s="48"/>
      <c r="Y121" s="48"/>
      <c r="Z121" s="47"/>
      <c r="AA121" s="69">
        <v>121</v>
      </c>
      <c r="AB121" s="69"/>
      <c r="AC121" s="70"/>
      <c r="AD121" s="76" t="s">
        <v>17871</v>
      </c>
      <c r="AE121" s="81" t="s">
        <v>17495</v>
      </c>
      <c r="AF121" s="76">
        <v>24</v>
      </c>
      <c r="AG121" s="76">
        <v>44</v>
      </c>
      <c r="AH121" s="76">
        <v>67</v>
      </c>
      <c r="AI121" s="76">
        <v>0</v>
      </c>
      <c r="AJ121" s="76">
        <v>252</v>
      </c>
      <c r="AK121" s="76">
        <v>40</v>
      </c>
      <c r="AL121" s="76" t="b">
        <v>0</v>
      </c>
      <c r="AM121" s="78">
        <v>44724.526469907411</v>
      </c>
      <c r="AN121" s="76"/>
      <c r="AO121" s="76" t="s">
        <v>18871</v>
      </c>
      <c r="AP121" s="76"/>
      <c r="AQ121" s="76"/>
      <c r="AR121" s="76"/>
      <c r="AS121" s="76"/>
      <c r="AT121" s="76"/>
      <c r="AU121" s="76"/>
      <c r="AV121" s="76"/>
      <c r="AW121" s="76"/>
      <c r="AX121" s="76" t="b">
        <v>0</v>
      </c>
      <c r="AY121" s="76"/>
      <c r="AZ121" s="76"/>
      <c r="BA121" s="76" t="b">
        <v>1</v>
      </c>
      <c r="BB121" s="76" t="b">
        <v>1</v>
      </c>
      <c r="BC121" s="76" t="b">
        <v>1</v>
      </c>
      <c r="BD121" s="76" t="b">
        <v>0</v>
      </c>
      <c r="BE121" s="76" t="b">
        <v>0</v>
      </c>
      <c r="BF121" s="76" t="b">
        <v>0</v>
      </c>
      <c r="BG121" s="76" t="b">
        <v>0</v>
      </c>
      <c r="BH121" s="83" t="str">
        <f>HYPERLINK("https://pbs.twimg.com/profile_banners/1535964607940108289/1689853993")</f>
        <v>https://pbs.twimg.com/profile_banners/1535964607940108289/1689853993</v>
      </c>
      <c r="BI121" s="76"/>
      <c r="BJ121" s="76" t="s">
        <v>19734</v>
      </c>
      <c r="BK121" s="76" t="b">
        <v>0</v>
      </c>
      <c r="BL121" s="76"/>
      <c r="BM121" s="76" t="s">
        <v>66</v>
      </c>
      <c r="BN121" s="76" t="s">
        <v>19736</v>
      </c>
      <c r="BO121" s="83" t="str">
        <f>HYPERLINK("https://twitter.com/petruspeters8")</f>
        <v>https://twitter.com/petruspeters8</v>
      </c>
      <c r="BP121" s="2"/>
    </row>
    <row r="122" spans="1:68" x14ac:dyDescent="0.25">
      <c r="A122" s="62" t="s">
        <v>327</v>
      </c>
      <c r="B122" s="63"/>
      <c r="C122" s="63"/>
      <c r="D122" s="64"/>
      <c r="E122" s="66"/>
      <c r="F122" s="103" t="str">
        <f>HYPERLINK("https://pbs.twimg.com/profile_images/1352981793297870848/2X75lQh__normal.jpg")</f>
        <v>https://pbs.twimg.com/profile_images/1352981793297870848/2X75lQh__normal.jpg</v>
      </c>
      <c r="G122" s="63"/>
      <c r="H122" s="67"/>
      <c r="I122" s="68"/>
      <c r="J122" s="68"/>
      <c r="K122" s="67" t="s">
        <v>19855</v>
      </c>
      <c r="L122" s="71"/>
      <c r="M122" s="72"/>
      <c r="N122" s="72"/>
      <c r="O122" s="73"/>
      <c r="P122" s="74"/>
      <c r="Q122" s="74"/>
      <c r="R122" s="87"/>
      <c r="S122" s="87"/>
      <c r="T122" s="87"/>
      <c r="U122" s="87"/>
      <c r="V122" s="48"/>
      <c r="W122" s="48"/>
      <c r="X122" s="48"/>
      <c r="Y122" s="48"/>
      <c r="Z122" s="47"/>
      <c r="AA122" s="69">
        <v>122</v>
      </c>
      <c r="AB122" s="69"/>
      <c r="AC122" s="70"/>
      <c r="AD122" s="76" t="s">
        <v>17872</v>
      </c>
      <c r="AE122" s="81" t="s">
        <v>17496</v>
      </c>
      <c r="AF122" s="76">
        <v>132</v>
      </c>
      <c r="AG122" s="76">
        <v>203</v>
      </c>
      <c r="AH122" s="76">
        <v>1503</v>
      </c>
      <c r="AI122" s="76">
        <v>1</v>
      </c>
      <c r="AJ122" s="76">
        <v>280</v>
      </c>
      <c r="AK122" s="76">
        <v>1467</v>
      </c>
      <c r="AL122" s="76" t="b">
        <v>0</v>
      </c>
      <c r="AM122" s="78">
        <v>44219.589178240742</v>
      </c>
      <c r="AN122" s="76"/>
      <c r="AO122" s="76" t="s">
        <v>18872</v>
      </c>
      <c r="AP122" s="76"/>
      <c r="AQ122" s="76"/>
      <c r="AR122" s="76"/>
      <c r="AS122" s="76"/>
      <c r="AT122" s="76"/>
      <c r="AU122" s="76"/>
      <c r="AV122" s="76"/>
      <c r="AW122" s="76"/>
      <c r="AX122" s="76" t="b">
        <v>1</v>
      </c>
      <c r="AY122" s="76"/>
      <c r="AZ122" s="76"/>
      <c r="BA122" s="76" t="b">
        <v>0</v>
      </c>
      <c r="BB122" s="76" t="b">
        <v>1</v>
      </c>
      <c r="BC122" s="76" t="b">
        <v>1</v>
      </c>
      <c r="BD122" s="76" t="b">
        <v>0</v>
      </c>
      <c r="BE122" s="76" t="b">
        <v>0</v>
      </c>
      <c r="BF122" s="76" t="b">
        <v>0</v>
      </c>
      <c r="BG122" s="76" t="b">
        <v>0</v>
      </c>
      <c r="BH122" s="76"/>
      <c r="BI122" s="76"/>
      <c r="BJ122" s="76" t="s">
        <v>19734</v>
      </c>
      <c r="BK122" s="76" t="b">
        <v>0</v>
      </c>
      <c r="BL122" s="76"/>
      <c r="BM122" s="76" t="s">
        <v>66</v>
      </c>
      <c r="BN122" s="76" t="s">
        <v>19736</v>
      </c>
      <c r="BO122" s="83" t="str">
        <f>HYPERLINK("https://twitter.com/leandro25687644")</f>
        <v>https://twitter.com/leandro25687644</v>
      </c>
      <c r="BP122" s="2"/>
    </row>
    <row r="123" spans="1:68" x14ac:dyDescent="0.25">
      <c r="A123" s="62" t="s">
        <v>328</v>
      </c>
      <c r="B123" s="63"/>
      <c r="C123" s="63"/>
      <c r="D123" s="64"/>
      <c r="E123" s="66"/>
      <c r="F123" s="103" t="str">
        <f>HYPERLINK("https://pbs.twimg.com/profile_images/1611689944237350914/gkKtuW3w_normal.jpg")</f>
        <v>https://pbs.twimg.com/profile_images/1611689944237350914/gkKtuW3w_normal.jpg</v>
      </c>
      <c r="G123" s="63"/>
      <c r="H123" s="67"/>
      <c r="I123" s="68"/>
      <c r="J123" s="68"/>
      <c r="K123" s="67" t="s">
        <v>19856</v>
      </c>
      <c r="L123" s="71"/>
      <c r="M123" s="72"/>
      <c r="N123" s="72"/>
      <c r="O123" s="73"/>
      <c r="P123" s="74"/>
      <c r="Q123" s="74"/>
      <c r="R123" s="87"/>
      <c r="S123" s="87"/>
      <c r="T123" s="87"/>
      <c r="U123" s="87"/>
      <c r="V123" s="48"/>
      <c r="W123" s="48"/>
      <c r="X123" s="48"/>
      <c r="Y123" s="48"/>
      <c r="Z123" s="47"/>
      <c r="AA123" s="69">
        <v>123</v>
      </c>
      <c r="AB123" s="69"/>
      <c r="AC123" s="70"/>
      <c r="AD123" s="76" t="s">
        <v>17873</v>
      </c>
      <c r="AE123" s="81" t="s">
        <v>18362</v>
      </c>
      <c r="AF123" s="76">
        <v>1023</v>
      </c>
      <c r="AG123" s="76">
        <v>161</v>
      </c>
      <c r="AH123" s="76">
        <v>1181</v>
      </c>
      <c r="AI123" s="76">
        <v>4</v>
      </c>
      <c r="AJ123" s="76">
        <v>96</v>
      </c>
      <c r="AK123" s="76">
        <v>913</v>
      </c>
      <c r="AL123" s="76" t="b">
        <v>0</v>
      </c>
      <c r="AM123" s="78">
        <v>42404.493587962963</v>
      </c>
      <c r="AN123" s="76" t="s">
        <v>18598</v>
      </c>
      <c r="AO123" s="76" t="s">
        <v>18873</v>
      </c>
      <c r="AP123" s="83" t="str">
        <f>HYPERLINK("https://t.co/nC8EgtixaB")</f>
        <v>https://t.co/nC8EgtixaB</v>
      </c>
      <c r="AQ123" s="83" t="str">
        <f>HYPERLINK("https://linktr.ee/cmcovilha")</f>
        <v>https://linktr.ee/cmcovilha</v>
      </c>
      <c r="AR123" s="76" t="s">
        <v>19368</v>
      </c>
      <c r="AS123" s="76"/>
      <c r="AT123" s="76"/>
      <c r="AU123" s="76"/>
      <c r="AV123" s="76"/>
      <c r="AW123" s="83" t="str">
        <f>HYPERLINK("https://t.co/nC8EgtixaB")</f>
        <v>https://t.co/nC8EgtixaB</v>
      </c>
      <c r="AX123" s="76" t="b">
        <v>0</v>
      </c>
      <c r="AY123" s="76"/>
      <c r="AZ123" s="76"/>
      <c r="BA123" s="76" t="b">
        <v>0</v>
      </c>
      <c r="BB123" s="76" t="b">
        <v>0</v>
      </c>
      <c r="BC123" s="76" t="b">
        <v>0</v>
      </c>
      <c r="BD123" s="76" t="b">
        <v>0</v>
      </c>
      <c r="BE123" s="76" t="b">
        <v>0</v>
      </c>
      <c r="BF123" s="76" t="b">
        <v>0</v>
      </c>
      <c r="BG123" s="76" t="b">
        <v>0</v>
      </c>
      <c r="BH123" s="83" t="str">
        <f>HYPERLINK("https://pbs.twimg.com/profile_banners/4876155353/1680078089")</f>
        <v>https://pbs.twimg.com/profile_banners/4876155353/1680078089</v>
      </c>
      <c r="BI123" s="76"/>
      <c r="BJ123" s="76" t="s">
        <v>19734</v>
      </c>
      <c r="BK123" s="76" t="b">
        <v>0</v>
      </c>
      <c r="BL123" s="76"/>
      <c r="BM123" s="76" t="s">
        <v>66</v>
      </c>
      <c r="BN123" s="76" t="s">
        <v>19736</v>
      </c>
      <c r="BO123" s="83" t="str">
        <f>HYPERLINK("https://twitter.com/cmcovilha")</f>
        <v>https://twitter.com/cmcovilha</v>
      </c>
      <c r="BP123" s="2"/>
    </row>
    <row r="124" spans="1:68" x14ac:dyDescent="0.25">
      <c r="A124" s="62" t="s">
        <v>329</v>
      </c>
      <c r="B124" s="63"/>
      <c r="C124" s="63"/>
      <c r="D124" s="64"/>
      <c r="E124" s="66"/>
      <c r="F124" s="103" t="str">
        <f>HYPERLINK("https://pbs.twimg.com/profile_images/1582508725167968257/s8aGnmow_normal.png")</f>
        <v>https://pbs.twimg.com/profile_images/1582508725167968257/s8aGnmow_normal.png</v>
      </c>
      <c r="G124" s="63"/>
      <c r="H124" s="67"/>
      <c r="I124" s="68"/>
      <c r="J124" s="68"/>
      <c r="K124" s="67" t="s">
        <v>19857</v>
      </c>
      <c r="L124" s="71"/>
      <c r="M124" s="72"/>
      <c r="N124" s="72"/>
      <c r="O124" s="73"/>
      <c r="P124" s="74"/>
      <c r="Q124" s="74"/>
      <c r="R124" s="87"/>
      <c r="S124" s="87"/>
      <c r="T124" s="87"/>
      <c r="U124" s="87"/>
      <c r="V124" s="48"/>
      <c r="W124" s="48"/>
      <c r="X124" s="48"/>
      <c r="Y124" s="48"/>
      <c r="Z124" s="47"/>
      <c r="AA124" s="69">
        <v>124</v>
      </c>
      <c r="AB124" s="69"/>
      <c r="AC124" s="70"/>
      <c r="AD124" s="76" t="s">
        <v>17874</v>
      </c>
      <c r="AE124" s="81" t="s">
        <v>17497</v>
      </c>
      <c r="AF124" s="76">
        <v>2</v>
      </c>
      <c r="AG124" s="76">
        <v>11</v>
      </c>
      <c r="AH124" s="76">
        <v>21</v>
      </c>
      <c r="AI124" s="76">
        <v>0</v>
      </c>
      <c r="AJ124" s="76">
        <v>11</v>
      </c>
      <c r="AK124" s="76">
        <v>7</v>
      </c>
      <c r="AL124" s="76" t="b">
        <v>0</v>
      </c>
      <c r="AM124" s="78">
        <v>44852.96361111111</v>
      </c>
      <c r="AN124" s="76"/>
      <c r="AO124" s="76"/>
      <c r="AP124" s="76"/>
      <c r="AQ124" s="76"/>
      <c r="AR124" s="76"/>
      <c r="AS124" s="76"/>
      <c r="AT124" s="76"/>
      <c r="AU124" s="76"/>
      <c r="AV124" s="76"/>
      <c r="AW124" s="76"/>
      <c r="AX124" s="76" t="b">
        <v>0</v>
      </c>
      <c r="AY124" s="76"/>
      <c r="AZ124" s="76"/>
      <c r="BA124" s="76" t="b">
        <v>0</v>
      </c>
      <c r="BB124" s="76" t="b">
        <v>1</v>
      </c>
      <c r="BC124" s="76" t="b">
        <v>1</v>
      </c>
      <c r="BD124" s="76" t="b">
        <v>0</v>
      </c>
      <c r="BE124" s="76" t="b">
        <v>0</v>
      </c>
      <c r="BF124" s="76" t="b">
        <v>0</v>
      </c>
      <c r="BG124" s="76" t="b">
        <v>0</v>
      </c>
      <c r="BH124" s="76"/>
      <c r="BI124" s="76"/>
      <c r="BJ124" s="76" t="s">
        <v>19734</v>
      </c>
      <c r="BK124" s="76" t="b">
        <v>0</v>
      </c>
      <c r="BL124" s="76"/>
      <c r="BM124" s="76" t="s">
        <v>66</v>
      </c>
      <c r="BN124" s="76" t="s">
        <v>19736</v>
      </c>
      <c r="BO124" s="83" t="str">
        <f>HYPERLINK("https://twitter.com/nishioeduardo")</f>
        <v>https://twitter.com/nishioeduardo</v>
      </c>
      <c r="BP124" s="2"/>
    </row>
    <row r="125" spans="1:68" x14ac:dyDescent="0.25">
      <c r="A125" s="62" t="s">
        <v>330</v>
      </c>
      <c r="B125" s="63"/>
      <c r="C125" s="63"/>
      <c r="D125" s="64"/>
      <c r="E125" s="66"/>
      <c r="F125" s="103" t="str">
        <f>HYPERLINK("https://pbs.twimg.com/profile_images/1573346644296441856/20VphOCm_normal.jpg")</f>
        <v>https://pbs.twimg.com/profile_images/1573346644296441856/20VphOCm_normal.jpg</v>
      </c>
      <c r="G125" s="63"/>
      <c r="H125" s="67"/>
      <c r="I125" s="68"/>
      <c r="J125" s="68"/>
      <c r="K125" s="67" t="s">
        <v>19858</v>
      </c>
      <c r="L125" s="71"/>
      <c r="M125" s="72"/>
      <c r="N125" s="72"/>
      <c r="O125" s="73"/>
      <c r="P125" s="74"/>
      <c r="Q125" s="74"/>
      <c r="R125" s="87"/>
      <c r="S125" s="87"/>
      <c r="T125" s="87"/>
      <c r="U125" s="87"/>
      <c r="V125" s="48"/>
      <c r="W125" s="48"/>
      <c r="X125" s="48"/>
      <c r="Y125" s="48"/>
      <c r="Z125" s="47"/>
      <c r="AA125" s="69">
        <v>125</v>
      </c>
      <c r="AB125" s="69"/>
      <c r="AC125" s="70"/>
      <c r="AD125" s="76" t="s">
        <v>17875</v>
      </c>
      <c r="AE125" s="81" t="s">
        <v>17329</v>
      </c>
      <c r="AF125" s="76">
        <v>7</v>
      </c>
      <c r="AG125" s="76">
        <v>191</v>
      </c>
      <c r="AH125" s="76">
        <v>752</v>
      </c>
      <c r="AI125" s="76">
        <v>1</v>
      </c>
      <c r="AJ125" s="76">
        <v>315</v>
      </c>
      <c r="AK125" s="76">
        <v>27</v>
      </c>
      <c r="AL125" s="76" t="b">
        <v>0</v>
      </c>
      <c r="AM125" s="78">
        <v>42388.8746875</v>
      </c>
      <c r="AN125" s="76"/>
      <c r="AO125" s="76"/>
      <c r="AP125" s="76"/>
      <c r="AQ125" s="76"/>
      <c r="AR125" s="76"/>
      <c r="AS125" s="76"/>
      <c r="AT125" s="76"/>
      <c r="AU125" s="76"/>
      <c r="AV125" s="76"/>
      <c r="AW125" s="76"/>
      <c r="AX125" s="76" t="b">
        <v>0</v>
      </c>
      <c r="AY125" s="76"/>
      <c r="AZ125" s="76"/>
      <c r="BA125" s="76" t="b">
        <v>0</v>
      </c>
      <c r="BB125" s="76" t="b">
        <v>1</v>
      </c>
      <c r="BC125" s="76" t="b">
        <v>1</v>
      </c>
      <c r="BD125" s="76" t="b">
        <v>0</v>
      </c>
      <c r="BE125" s="76" t="b">
        <v>0</v>
      </c>
      <c r="BF125" s="76" t="b">
        <v>0</v>
      </c>
      <c r="BG125" s="76" t="b">
        <v>0</v>
      </c>
      <c r="BH125" s="76"/>
      <c r="BI125" s="76"/>
      <c r="BJ125" s="76" t="s">
        <v>19734</v>
      </c>
      <c r="BK125" s="76" t="b">
        <v>0</v>
      </c>
      <c r="BL125" s="76"/>
      <c r="BM125" s="76" t="s">
        <v>66</v>
      </c>
      <c r="BN125" s="76" t="s">
        <v>19736</v>
      </c>
      <c r="BO125" s="83" t="str">
        <f>HYPERLINK("https://twitter.com/joaobrbrbr")</f>
        <v>https://twitter.com/joaobrbrbr</v>
      </c>
      <c r="BP125" s="2"/>
    </row>
    <row r="126" spans="1:68" x14ac:dyDescent="0.25">
      <c r="A126" s="62" t="s">
        <v>331</v>
      </c>
      <c r="B126" s="63"/>
      <c r="C126" s="63"/>
      <c r="D126" s="64"/>
      <c r="E126" s="66"/>
      <c r="F126" s="103" t="str">
        <f>HYPERLINK("https://pbs.twimg.com/profile_images/1296667607635025927/tdZHIU6O_normal.jpg")</f>
        <v>https://pbs.twimg.com/profile_images/1296667607635025927/tdZHIU6O_normal.jpg</v>
      </c>
      <c r="G126" s="63"/>
      <c r="H126" s="67"/>
      <c r="I126" s="68"/>
      <c r="J126" s="68"/>
      <c r="K126" s="67" t="s">
        <v>19859</v>
      </c>
      <c r="L126" s="71"/>
      <c r="M126" s="72"/>
      <c r="N126" s="72"/>
      <c r="O126" s="73"/>
      <c r="P126" s="74"/>
      <c r="Q126" s="74"/>
      <c r="R126" s="87"/>
      <c r="S126" s="87"/>
      <c r="T126" s="87"/>
      <c r="U126" s="87"/>
      <c r="V126" s="48"/>
      <c r="W126" s="48"/>
      <c r="X126" s="48"/>
      <c r="Y126" s="48"/>
      <c r="Z126" s="47"/>
      <c r="AA126" s="69">
        <v>126</v>
      </c>
      <c r="AB126" s="69"/>
      <c r="AC126" s="70"/>
      <c r="AD126" s="76" t="s">
        <v>17876</v>
      </c>
      <c r="AE126" s="81" t="s">
        <v>17498</v>
      </c>
      <c r="AF126" s="76">
        <v>84</v>
      </c>
      <c r="AG126" s="76">
        <v>34</v>
      </c>
      <c r="AH126" s="76">
        <v>455</v>
      </c>
      <c r="AI126" s="76">
        <v>1</v>
      </c>
      <c r="AJ126" s="76">
        <v>882</v>
      </c>
      <c r="AK126" s="76">
        <v>376</v>
      </c>
      <c r="AL126" s="76" t="b">
        <v>0</v>
      </c>
      <c r="AM126" s="78">
        <v>43577.005011574074</v>
      </c>
      <c r="AN126" s="76"/>
      <c r="AO126" s="76" t="s">
        <v>18874</v>
      </c>
      <c r="AP126" s="83" t="str">
        <f>HYPERLINK("https://t.co/ZStMzr8TG5")</f>
        <v>https://t.co/ZStMzr8TG5</v>
      </c>
      <c r="AQ126" s="83" t="str">
        <f>HYPERLINK("https://linktr.ee/investe1tempo")</f>
        <v>https://linktr.ee/investe1tempo</v>
      </c>
      <c r="AR126" s="76" t="s">
        <v>19369</v>
      </c>
      <c r="AS126" s="76"/>
      <c r="AT126" s="76"/>
      <c r="AU126" s="76"/>
      <c r="AV126" s="76"/>
      <c r="AW126" s="83" t="str">
        <f>HYPERLINK("https://t.co/ZStMzr8TG5")</f>
        <v>https://t.co/ZStMzr8TG5</v>
      </c>
      <c r="AX126" s="76" t="b">
        <v>0</v>
      </c>
      <c r="AY126" s="76"/>
      <c r="AZ126" s="76"/>
      <c r="BA126" s="76" t="b">
        <v>0</v>
      </c>
      <c r="BB126" s="76" t="b">
        <v>1</v>
      </c>
      <c r="BC126" s="76" t="b">
        <v>1</v>
      </c>
      <c r="BD126" s="76" t="b">
        <v>0</v>
      </c>
      <c r="BE126" s="76" t="b">
        <v>1</v>
      </c>
      <c r="BF126" s="76" t="b">
        <v>0</v>
      </c>
      <c r="BG126" s="76" t="b">
        <v>0</v>
      </c>
      <c r="BH126" s="83" t="str">
        <f>HYPERLINK("https://pbs.twimg.com/profile_banners/1120116813822558208/1559417613")</f>
        <v>https://pbs.twimg.com/profile_banners/1120116813822558208/1559417613</v>
      </c>
      <c r="BI126" s="76"/>
      <c r="BJ126" s="76" t="s">
        <v>19734</v>
      </c>
      <c r="BK126" s="76" t="b">
        <v>0</v>
      </c>
      <c r="BL126" s="76"/>
      <c r="BM126" s="76" t="s">
        <v>66</v>
      </c>
      <c r="BN126" s="76" t="s">
        <v>19736</v>
      </c>
      <c r="BO126" s="83" t="str">
        <f>HYPERLINK("https://twitter.com/investe1tempo")</f>
        <v>https://twitter.com/investe1tempo</v>
      </c>
      <c r="BP126" s="2"/>
    </row>
    <row r="127" spans="1:68" x14ac:dyDescent="0.25">
      <c r="A127" s="62" t="s">
        <v>332</v>
      </c>
      <c r="B127" s="63"/>
      <c r="C127" s="63"/>
      <c r="D127" s="64"/>
      <c r="E127" s="66"/>
      <c r="F127" s="103" t="str">
        <f>HYPERLINK("https://pbs.twimg.com/profile_images/1681667501124452352/9qTKJ6Sl_normal.jpg")</f>
        <v>https://pbs.twimg.com/profile_images/1681667501124452352/9qTKJ6Sl_normal.jpg</v>
      </c>
      <c r="G127" s="63"/>
      <c r="H127" s="67"/>
      <c r="I127" s="68"/>
      <c r="J127" s="68"/>
      <c r="K127" s="67" t="s">
        <v>19860</v>
      </c>
      <c r="L127" s="71"/>
      <c r="M127" s="72"/>
      <c r="N127" s="72"/>
      <c r="O127" s="73"/>
      <c r="P127" s="74"/>
      <c r="Q127" s="74"/>
      <c r="R127" s="87"/>
      <c r="S127" s="87"/>
      <c r="T127" s="87"/>
      <c r="U127" s="87"/>
      <c r="V127" s="48"/>
      <c r="W127" s="48"/>
      <c r="X127" s="48"/>
      <c r="Y127" s="48"/>
      <c r="Z127" s="47"/>
      <c r="AA127" s="69">
        <v>127</v>
      </c>
      <c r="AB127" s="69"/>
      <c r="AC127" s="70"/>
      <c r="AD127" s="76" t="s">
        <v>17877</v>
      </c>
      <c r="AE127" s="81" t="s">
        <v>17499</v>
      </c>
      <c r="AF127" s="76">
        <v>14</v>
      </c>
      <c r="AG127" s="76">
        <v>70</v>
      </c>
      <c r="AH127" s="76">
        <v>191</v>
      </c>
      <c r="AI127" s="76">
        <v>0</v>
      </c>
      <c r="AJ127" s="76">
        <v>2</v>
      </c>
      <c r="AK127" s="76">
        <v>19</v>
      </c>
      <c r="AL127" s="76" t="b">
        <v>0</v>
      </c>
      <c r="AM127" s="78">
        <v>45125.085682870369</v>
      </c>
      <c r="AN127" s="76" t="s">
        <v>18599</v>
      </c>
      <c r="AO127" s="76" t="s">
        <v>18875</v>
      </c>
      <c r="AP127" s="76"/>
      <c r="AQ127" s="76"/>
      <c r="AR127" s="76"/>
      <c r="AS127" s="76"/>
      <c r="AT127" s="76"/>
      <c r="AU127" s="76"/>
      <c r="AV127" s="76"/>
      <c r="AW127" s="76"/>
      <c r="AX127" s="76" t="b">
        <v>0</v>
      </c>
      <c r="AY127" s="76"/>
      <c r="AZ127" s="76"/>
      <c r="BA127" s="76" t="b">
        <v>0</v>
      </c>
      <c r="BB127" s="76" t="b">
        <v>1</v>
      </c>
      <c r="BC127" s="76" t="b">
        <v>1</v>
      </c>
      <c r="BD127" s="76" t="b">
        <v>0</v>
      </c>
      <c r="BE127" s="76" t="b">
        <v>0</v>
      </c>
      <c r="BF127" s="76" t="b">
        <v>0</v>
      </c>
      <c r="BG127" s="76" t="b">
        <v>0</v>
      </c>
      <c r="BH127" s="76"/>
      <c r="BI127" s="76"/>
      <c r="BJ127" s="76" t="s">
        <v>19734</v>
      </c>
      <c r="BK127" s="76" t="b">
        <v>0</v>
      </c>
      <c r="BL127" s="76"/>
      <c r="BM127" s="76" t="s">
        <v>66</v>
      </c>
      <c r="BN127" s="76" t="s">
        <v>19736</v>
      </c>
      <c r="BO127" s="83" t="str">
        <f>HYPERLINK("https://twitter.com/willinvestindo")</f>
        <v>https://twitter.com/willinvestindo</v>
      </c>
      <c r="BP127" s="2"/>
    </row>
    <row r="128" spans="1:68" x14ac:dyDescent="0.25">
      <c r="A128" s="62" t="s">
        <v>333</v>
      </c>
      <c r="B128" s="63"/>
      <c r="C128" s="63"/>
      <c r="D128" s="64"/>
      <c r="E128" s="66"/>
      <c r="F128" s="103" t="str">
        <f>HYPERLINK("https://pbs.twimg.com/profile_images/1564986194542432257/qqR0I7Et_normal.jpg")</f>
        <v>https://pbs.twimg.com/profile_images/1564986194542432257/qqR0I7Et_normal.jpg</v>
      </c>
      <c r="G128" s="63"/>
      <c r="H128" s="67"/>
      <c r="I128" s="68"/>
      <c r="J128" s="68"/>
      <c r="K128" s="67" t="s">
        <v>19861</v>
      </c>
      <c r="L128" s="71"/>
      <c r="M128" s="72"/>
      <c r="N128" s="72"/>
      <c r="O128" s="73"/>
      <c r="P128" s="74"/>
      <c r="Q128" s="74"/>
      <c r="R128" s="87"/>
      <c r="S128" s="87"/>
      <c r="T128" s="87"/>
      <c r="U128" s="87"/>
      <c r="V128" s="48"/>
      <c r="W128" s="48"/>
      <c r="X128" s="48"/>
      <c r="Y128" s="48"/>
      <c r="Z128" s="47"/>
      <c r="AA128" s="69">
        <v>128</v>
      </c>
      <c r="AB128" s="69"/>
      <c r="AC128" s="70"/>
      <c r="AD128" s="76" t="s">
        <v>17878</v>
      </c>
      <c r="AE128" s="81" t="s">
        <v>17500</v>
      </c>
      <c r="AF128" s="76">
        <v>56</v>
      </c>
      <c r="AG128" s="76">
        <v>18</v>
      </c>
      <c r="AH128" s="76">
        <v>207</v>
      </c>
      <c r="AI128" s="76">
        <v>0</v>
      </c>
      <c r="AJ128" s="76">
        <v>241</v>
      </c>
      <c r="AK128" s="76">
        <v>151</v>
      </c>
      <c r="AL128" s="76" t="b">
        <v>0</v>
      </c>
      <c r="AM128" s="78">
        <v>44804.608391203707</v>
      </c>
      <c r="AN128" s="76" t="s">
        <v>18600</v>
      </c>
      <c r="AO128" s="76" t="s">
        <v>18876</v>
      </c>
      <c r="AP128" s="83" t="str">
        <f>HYPERLINK("https://t.co/mzn1MiMHfo")</f>
        <v>https://t.co/mzn1MiMHfo</v>
      </c>
      <c r="AQ128" s="83" t="str">
        <f>HYPERLINK("https://bit.ly/3AmoZ7T")</f>
        <v>https://bit.ly/3AmoZ7T</v>
      </c>
      <c r="AR128" s="76" t="s">
        <v>19370</v>
      </c>
      <c r="AS128" s="76"/>
      <c r="AT128" s="76"/>
      <c r="AU128" s="76"/>
      <c r="AV128" s="76"/>
      <c r="AW128" s="83" t="str">
        <f>HYPERLINK("https://t.co/mzn1MiMHfo")</f>
        <v>https://t.co/mzn1MiMHfo</v>
      </c>
      <c r="AX128" s="76" t="b">
        <v>0</v>
      </c>
      <c r="AY128" s="76"/>
      <c r="AZ128" s="76"/>
      <c r="BA128" s="76" t="b">
        <v>0</v>
      </c>
      <c r="BB128" s="76" t="b">
        <v>1</v>
      </c>
      <c r="BC128" s="76" t="b">
        <v>1</v>
      </c>
      <c r="BD128" s="76" t="b">
        <v>0</v>
      </c>
      <c r="BE128" s="76" t="b">
        <v>0</v>
      </c>
      <c r="BF128" s="76" t="b">
        <v>0</v>
      </c>
      <c r="BG128" s="76" t="b">
        <v>0</v>
      </c>
      <c r="BH128" s="76"/>
      <c r="BI128" s="76"/>
      <c r="BJ128" s="76" t="s">
        <v>19734</v>
      </c>
      <c r="BK128" s="76" t="b">
        <v>0</v>
      </c>
      <c r="BL128" s="76"/>
      <c r="BM128" s="76" t="s">
        <v>66</v>
      </c>
      <c r="BN128" s="76" t="s">
        <v>19736</v>
      </c>
      <c r="BO128" s="83" t="str">
        <f>HYPERLINK("https://twitter.com/prmarcosbrasil1")</f>
        <v>https://twitter.com/prmarcosbrasil1</v>
      </c>
      <c r="BP128" s="2"/>
    </row>
    <row r="129" spans="1:68" x14ac:dyDescent="0.25">
      <c r="A129" s="62" t="s">
        <v>334</v>
      </c>
      <c r="B129" s="63"/>
      <c r="C129" s="63"/>
      <c r="D129" s="64"/>
      <c r="E129" s="66"/>
      <c r="F129" s="103" t="str">
        <f>HYPERLINK("https://pbs.twimg.com/profile_images/1668702478169264128/OWWz2F9X_normal.jpg")</f>
        <v>https://pbs.twimg.com/profile_images/1668702478169264128/OWWz2F9X_normal.jpg</v>
      </c>
      <c r="G129" s="63"/>
      <c r="H129" s="67"/>
      <c r="I129" s="68"/>
      <c r="J129" s="68"/>
      <c r="K129" s="67" t="s">
        <v>19862</v>
      </c>
      <c r="L129" s="71"/>
      <c r="M129" s="72"/>
      <c r="N129" s="72"/>
      <c r="O129" s="73"/>
      <c r="P129" s="74"/>
      <c r="Q129" s="74"/>
      <c r="R129" s="87"/>
      <c r="S129" s="87"/>
      <c r="T129" s="87"/>
      <c r="U129" s="87"/>
      <c r="V129" s="48"/>
      <c r="W129" s="48"/>
      <c r="X129" s="48"/>
      <c r="Y129" s="48"/>
      <c r="Z129" s="47"/>
      <c r="AA129" s="69">
        <v>129</v>
      </c>
      <c r="AB129" s="69"/>
      <c r="AC129" s="70"/>
      <c r="AD129" s="76" t="s">
        <v>17879</v>
      </c>
      <c r="AE129" s="81" t="s">
        <v>17501</v>
      </c>
      <c r="AF129" s="76">
        <v>24</v>
      </c>
      <c r="AG129" s="76">
        <v>470</v>
      </c>
      <c r="AH129" s="76">
        <v>189</v>
      </c>
      <c r="AI129" s="76">
        <v>0</v>
      </c>
      <c r="AJ129" s="76">
        <v>264</v>
      </c>
      <c r="AK129" s="76">
        <v>4</v>
      </c>
      <c r="AL129" s="76" t="b">
        <v>0</v>
      </c>
      <c r="AM129" s="78">
        <v>44859.525601851848</v>
      </c>
      <c r="AN129" s="76" t="s">
        <v>18601</v>
      </c>
      <c r="AO129" s="76" t="s">
        <v>18877</v>
      </c>
      <c r="AP129" s="76"/>
      <c r="AQ129" s="76"/>
      <c r="AR129" s="76"/>
      <c r="AS129" s="76"/>
      <c r="AT129" s="76"/>
      <c r="AU129" s="76"/>
      <c r="AV129" s="76"/>
      <c r="AW129" s="76"/>
      <c r="AX129" s="76" t="b">
        <v>0</v>
      </c>
      <c r="AY129" s="76"/>
      <c r="AZ129" s="76"/>
      <c r="BA129" s="76" t="b">
        <v>0</v>
      </c>
      <c r="BB129" s="76" t="b">
        <v>1</v>
      </c>
      <c r="BC129" s="76" t="b">
        <v>1</v>
      </c>
      <c r="BD129" s="76" t="b">
        <v>0</v>
      </c>
      <c r="BE129" s="76" t="b">
        <v>0</v>
      </c>
      <c r="BF129" s="76" t="b">
        <v>0</v>
      </c>
      <c r="BG129" s="76" t="b">
        <v>0</v>
      </c>
      <c r="BH129" s="83" t="str">
        <f>HYPERLINK("https://pbs.twimg.com/profile_banners/1584886557676380161/1666701792")</f>
        <v>https://pbs.twimg.com/profile_banners/1584886557676380161/1666701792</v>
      </c>
      <c r="BI129" s="76"/>
      <c r="BJ129" s="76" t="s">
        <v>19734</v>
      </c>
      <c r="BK129" s="76" t="b">
        <v>0</v>
      </c>
      <c r="BL129" s="76"/>
      <c r="BM129" s="76" t="s">
        <v>66</v>
      </c>
      <c r="BN129" s="76" t="s">
        <v>19736</v>
      </c>
      <c r="BO129" s="83" t="str">
        <f>HYPERLINK("https://twitter.com/diego_dias_10")</f>
        <v>https://twitter.com/diego_dias_10</v>
      </c>
      <c r="BP129" s="2"/>
    </row>
    <row r="130" spans="1:68" x14ac:dyDescent="0.25">
      <c r="A130" s="62" t="s">
        <v>335</v>
      </c>
      <c r="B130" s="63"/>
      <c r="C130" s="63"/>
      <c r="D130" s="64"/>
      <c r="E130" s="66"/>
      <c r="F130" s="103" t="str">
        <f>HYPERLINK("https://pbs.twimg.com/profile_images/735279224697716736/tMa9GV39_normal.jpg")</f>
        <v>https://pbs.twimg.com/profile_images/735279224697716736/tMa9GV39_normal.jpg</v>
      </c>
      <c r="G130" s="63"/>
      <c r="H130" s="67"/>
      <c r="I130" s="68"/>
      <c r="J130" s="68"/>
      <c r="K130" s="67" t="s">
        <v>19863</v>
      </c>
      <c r="L130" s="71"/>
      <c r="M130" s="72"/>
      <c r="N130" s="72"/>
      <c r="O130" s="73"/>
      <c r="P130" s="74"/>
      <c r="Q130" s="74"/>
      <c r="R130" s="87"/>
      <c r="S130" s="87"/>
      <c r="T130" s="87"/>
      <c r="U130" s="87"/>
      <c r="V130" s="48"/>
      <c r="W130" s="48"/>
      <c r="X130" s="48"/>
      <c r="Y130" s="48"/>
      <c r="Z130" s="47"/>
      <c r="AA130" s="69">
        <v>130</v>
      </c>
      <c r="AB130" s="69"/>
      <c r="AC130" s="70"/>
      <c r="AD130" s="76" t="s">
        <v>17880</v>
      </c>
      <c r="AE130" s="81" t="s">
        <v>18363</v>
      </c>
      <c r="AF130" s="76">
        <v>53</v>
      </c>
      <c r="AG130" s="76">
        <v>149</v>
      </c>
      <c r="AH130" s="76">
        <v>7382</v>
      </c>
      <c r="AI130" s="76">
        <v>2</v>
      </c>
      <c r="AJ130" s="76">
        <v>6966</v>
      </c>
      <c r="AK130" s="76">
        <v>22</v>
      </c>
      <c r="AL130" s="76" t="b">
        <v>0</v>
      </c>
      <c r="AM130" s="78">
        <v>41905.020891203705</v>
      </c>
      <c r="AN130" s="76" t="s">
        <v>18602</v>
      </c>
      <c r="AO130" s="76" t="s">
        <v>18878</v>
      </c>
      <c r="AP130" s="76"/>
      <c r="AQ130" s="76"/>
      <c r="AR130" s="76"/>
      <c r="AS130" s="76"/>
      <c r="AT130" s="76"/>
      <c r="AU130" s="76"/>
      <c r="AV130" s="76"/>
      <c r="AW130" s="76"/>
      <c r="AX130" s="76" t="b">
        <v>0</v>
      </c>
      <c r="AY130" s="76"/>
      <c r="AZ130" s="76"/>
      <c r="BA130" s="76" t="b">
        <v>0</v>
      </c>
      <c r="BB130" s="76" t="b">
        <v>0</v>
      </c>
      <c r="BC130" s="76" t="b">
        <v>1</v>
      </c>
      <c r="BD130" s="76" t="b">
        <v>0</v>
      </c>
      <c r="BE130" s="76" t="b">
        <v>0</v>
      </c>
      <c r="BF130" s="76" t="b">
        <v>0</v>
      </c>
      <c r="BG130" s="76" t="b">
        <v>0</v>
      </c>
      <c r="BH130" s="76"/>
      <c r="BI130" s="76"/>
      <c r="BJ130" s="76" t="s">
        <v>19734</v>
      </c>
      <c r="BK130" s="76" t="b">
        <v>0</v>
      </c>
      <c r="BL130" s="76"/>
      <c r="BM130" s="76" t="s">
        <v>66</v>
      </c>
      <c r="BN130" s="76" t="s">
        <v>19736</v>
      </c>
      <c r="BO130" s="83" t="str">
        <f>HYPERLINK("https://twitter.com/marcio_mendonc")</f>
        <v>https://twitter.com/marcio_mendonc</v>
      </c>
      <c r="BP130" s="2"/>
    </row>
    <row r="131" spans="1:68" x14ac:dyDescent="0.25">
      <c r="A131" s="62" t="s">
        <v>605</v>
      </c>
      <c r="B131" s="63"/>
      <c r="C131" s="63"/>
      <c r="D131" s="64"/>
      <c r="E131" s="66"/>
      <c r="F131" s="103" t="str">
        <f>HYPERLINK("https://pbs.twimg.com/profile_images/1559883556846977024/bXHnQFY0_normal.jpg")</f>
        <v>https://pbs.twimg.com/profile_images/1559883556846977024/bXHnQFY0_normal.jpg</v>
      </c>
      <c r="G131" s="63"/>
      <c r="H131" s="67"/>
      <c r="I131" s="68"/>
      <c r="J131" s="68"/>
      <c r="K131" s="67" t="s">
        <v>19864</v>
      </c>
      <c r="L131" s="71"/>
      <c r="M131" s="72"/>
      <c r="N131" s="72"/>
      <c r="O131" s="73"/>
      <c r="P131" s="74"/>
      <c r="Q131" s="74"/>
      <c r="R131" s="87"/>
      <c r="S131" s="87"/>
      <c r="T131" s="87"/>
      <c r="U131" s="87"/>
      <c r="V131" s="48"/>
      <c r="W131" s="48"/>
      <c r="X131" s="48"/>
      <c r="Y131" s="48"/>
      <c r="Z131" s="47"/>
      <c r="AA131" s="69">
        <v>131</v>
      </c>
      <c r="AB131" s="69"/>
      <c r="AC131" s="70"/>
      <c r="AD131" s="76" t="s">
        <v>17881</v>
      </c>
      <c r="AE131" s="81" t="s">
        <v>18364</v>
      </c>
      <c r="AF131" s="76">
        <v>142227</v>
      </c>
      <c r="AG131" s="76">
        <v>436</v>
      </c>
      <c r="AH131" s="76">
        <v>176787</v>
      </c>
      <c r="AI131" s="76">
        <v>1243</v>
      </c>
      <c r="AJ131" s="76">
        <v>1785</v>
      </c>
      <c r="AK131" s="76">
        <v>566</v>
      </c>
      <c r="AL131" s="76" t="b">
        <v>0</v>
      </c>
      <c r="AM131" s="78">
        <v>39990.739652777775</v>
      </c>
      <c r="AN131" s="76" t="s">
        <v>12014</v>
      </c>
      <c r="AO131" s="76" t="s">
        <v>18879</v>
      </c>
      <c r="AP131" s="83" t="str">
        <f>HYPERLINK("https://t.co/QCKDGJ5y1G")</f>
        <v>https://t.co/QCKDGJ5y1G</v>
      </c>
      <c r="AQ131" s="83" t="str">
        <f>HYPERLINK("https://www.moneytimes.com.br")</f>
        <v>https://www.moneytimes.com.br</v>
      </c>
      <c r="AR131" s="76" t="s">
        <v>19371</v>
      </c>
      <c r="AS131" s="76"/>
      <c r="AT131" s="76"/>
      <c r="AU131" s="76"/>
      <c r="AV131" s="76"/>
      <c r="AW131" s="83" t="str">
        <f>HYPERLINK("https://t.co/QCKDGJ5y1G")</f>
        <v>https://t.co/QCKDGJ5y1G</v>
      </c>
      <c r="AX131" s="76" t="b">
        <v>0</v>
      </c>
      <c r="AY131" s="76"/>
      <c r="AZ131" s="76"/>
      <c r="BA131" s="76" t="b">
        <v>0</v>
      </c>
      <c r="BB131" s="76" t="b">
        <v>1</v>
      </c>
      <c r="BC131" s="76" t="b">
        <v>1</v>
      </c>
      <c r="BD131" s="76" t="b">
        <v>0</v>
      </c>
      <c r="BE131" s="76" t="b">
        <v>1</v>
      </c>
      <c r="BF131" s="76" t="b">
        <v>0</v>
      </c>
      <c r="BG131" s="76" t="b">
        <v>0</v>
      </c>
      <c r="BH131" s="83" t="str">
        <f>HYPERLINK("https://pbs.twimg.com/profile_banners/51150679/1657567475")</f>
        <v>https://pbs.twimg.com/profile_banners/51150679/1657567475</v>
      </c>
      <c r="BI131" s="76"/>
      <c r="BJ131" s="76" t="s">
        <v>19734</v>
      </c>
      <c r="BK131" s="76" t="b">
        <v>0</v>
      </c>
      <c r="BL131" s="76"/>
      <c r="BM131" s="76" t="s">
        <v>66</v>
      </c>
      <c r="BN131" s="76" t="s">
        <v>19736</v>
      </c>
      <c r="BO131" s="83" t="str">
        <f>HYPERLINK("https://twitter.com/leiamoneytimes")</f>
        <v>https://twitter.com/leiamoneytimes</v>
      </c>
      <c r="BP131" s="2"/>
    </row>
    <row r="132" spans="1:68" x14ac:dyDescent="0.25">
      <c r="A132" s="62" t="s">
        <v>336</v>
      </c>
      <c r="B132" s="63"/>
      <c r="C132" s="63"/>
      <c r="D132" s="64"/>
      <c r="E132" s="66"/>
      <c r="F132" s="103" t="str">
        <f>HYPERLINK("https://pbs.twimg.com/profile_images/1574715567088467969/7rS5wVeR_normal.jpg")</f>
        <v>https://pbs.twimg.com/profile_images/1574715567088467969/7rS5wVeR_normal.jpg</v>
      </c>
      <c r="G132" s="63"/>
      <c r="H132" s="67"/>
      <c r="I132" s="68"/>
      <c r="J132" s="68"/>
      <c r="K132" s="67" t="s">
        <v>19865</v>
      </c>
      <c r="L132" s="71"/>
      <c r="M132" s="72"/>
      <c r="N132" s="72"/>
      <c r="O132" s="73"/>
      <c r="P132" s="74"/>
      <c r="Q132" s="74"/>
      <c r="R132" s="87"/>
      <c r="S132" s="87"/>
      <c r="T132" s="87"/>
      <c r="U132" s="87"/>
      <c r="V132" s="48"/>
      <c r="W132" s="48"/>
      <c r="X132" s="48"/>
      <c r="Y132" s="48"/>
      <c r="Z132" s="47"/>
      <c r="AA132" s="69">
        <v>132</v>
      </c>
      <c r="AB132" s="69"/>
      <c r="AC132" s="70"/>
      <c r="AD132" s="76" t="s">
        <v>336</v>
      </c>
      <c r="AE132" s="81" t="s">
        <v>17502</v>
      </c>
      <c r="AF132" s="76">
        <v>22</v>
      </c>
      <c r="AG132" s="76">
        <v>2</v>
      </c>
      <c r="AH132" s="76">
        <v>40</v>
      </c>
      <c r="AI132" s="76">
        <v>0</v>
      </c>
      <c r="AJ132" s="76">
        <v>19</v>
      </c>
      <c r="AK132" s="76">
        <v>12</v>
      </c>
      <c r="AL132" s="76" t="b">
        <v>0</v>
      </c>
      <c r="AM132" s="78">
        <v>44831.449247685188</v>
      </c>
      <c r="AN132" s="76" t="s">
        <v>12009</v>
      </c>
      <c r="AO132" s="76" t="s">
        <v>18880</v>
      </c>
      <c r="AP132" s="83" t="str">
        <f>HYPERLINK("https://t.co/zKtYTQZ8yp")</f>
        <v>https://t.co/zKtYTQZ8yp</v>
      </c>
      <c r="AQ132" s="83" t="str">
        <f>HYPERLINK("https://www.daytrader.pt")</f>
        <v>https://www.daytrader.pt</v>
      </c>
      <c r="AR132" s="76" t="s">
        <v>19372</v>
      </c>
      <c r="AS132" s="76"/>
      <c r="AT132" s="76"/>
      <c r="AU132" s="76"/>
      <c r="AV132" s="76">
        <v>1.6864977204737001E+18</v>
      </c>
      <c r="AW132" s="83" t="str">
        <f>HYPERLINK("https://t.co/zKtYTQZ8yp")</f>
        <v>https://t.co/zKtYTQZ8yp</v>
      </c>
      <c r="AX132" s="76" t="b">
        <v>0</v>
      </c>
      <c r="AY132" s="76"/>
      <c r="AZ132" s="76"/>
      <c r="BA132" s="76" t="b">
        <v>0</v>
      </c>
      <c r="BB132" s="76" t="b">
        <v>1</v>
      </c>
      <c r="BC132" s="76" t="b">
        <v>1</v>
      </c>
      <c r="BD132" s="76" t="b">
        <v>0</v>
      </c>
      <c r="BE132" s="76" t="b">
        <v>0</v>
      </c>
      <c r="BF132" s="76" t="b">
        <v>0</v>
      </c>
      <c r="BG132" s="76" t="b">
        <v>0</v>
      </c>
      <c r="BH132" s="83" t="str">
        <f>HYPERLINK("https://pbs.twimg.com/profile_banners/1574712055646519296/1685111777")</f>
        <v>https://pbs.twimg.com/profile_banners/1574712055646519296/1685111777</v>
      </c>
      <c r="BI132" s="76"/>
      <c r="BJ132" s="76" t="s">
        <v>19734</v>
      </c>
      <c r="BK132" s="76" t="b">
        <v>0</v>
      </c>
      <c r="BL132" s="76"/>
      <c r="BM132" s="76" t="s">
        <v>66</v>
      </c>
      <c r="BN132" s="76" t="s">
        <v>19736</v>
      </c>
      <c r="BO132" s="83" t="str">
        <f>HYPERLINK("https://twitter.com/daytraderpt")</f>
        <v>https://twitter.com/daytraderpt</v>
      </c>
      <c r="BP132" s="2"/>
    </row>
    <row r="133" spans="1:68" x14ac:dyDescent="0.25">
      <c r="A133" s="62" t="s">
        <v>337</v>
      </c>
      <c r="B133" s="63"/>
      <c r="C133" s="63"/>
      <c r="D133" s="64"/>
      <c r="E133" s="66"/>
      <c r="F133" s="103" t="str">
        <f>HYPERLINK("https://pbs.twimg.com/profile_images/1691292600471281665/4qfXx__H_normal.jpg")</f>
        <v>https://pbs.twimg.com/profile_images/1691292600471281665/4qfXx__H_normal.jpg</v>
      </c>
      <c r="G133" s="63"/>
      <c r="H133" s="67"/>
      <c r="I133" s="68"/>
      <c r="J133" s="68"/>
      <c r="K133" s="67" t="s">
        <v>19866</v>
      </c>
      <c r="L133" s="71"/>
      <c r="M133" s="72"/>
      <c r="N133" s="72"/>
      <c r="O133" s="73"/>
      <c r="P133" s="74"/>
      <c r="Q133" s="74"/>
      <c r="R133" s="87"/>
      <c r="S133" s="87"/>
      <c r="T133" s="87"/>
      <c r="U133" s="87"/>
      <c r="V133" s="48"/>
      <c r="W133" s="48"/>
      <c r="X133" s="48"/>
      <c r="Y133" s="48"/>
      <c r="Z133" s="47"/>
      <c r="AA133" s="69">
        <v>133</v>
      </c>
      <c r="AB133" s="69"/>
      <c r="AC133" s="70"/>
      <c r="AD133" s="76" t="s">
        <v>17882</v>
      </c>
      <c r="AE133" s="81" t="s">
        <v>17503</v>
      </c>
      <c r="AF133" s="76">
        <v>5</v>
      </c>
      <c r="AG133" s="76">
        <v>118</v>
      </c>
      <c r="AH133" s="76">
        <v>644</v>
      </c>
      <c r="AI133" s="76">
        <v>0</v>
      </c>
      <c r="AJ133" s="76">
        <v>358</v>
      </c>
      <c r="AK133" s="76">
        <v>175</v>
      </c>
      <c r="AL133" s="76" t="b">
        <v>0</v>
      </c>
      <c r="AM133" s="78">
        <v>44648.883125</v>
      </c>
      <c r="AN133" s="76" t="s">
        <v>18603</v>
      </c>
      <c r="AO133" s="76" t="s">
        <v>18881</v>
      </c>
      <c r="AP133" s="83" t="str">
        <f>HYPERLINK("https://t.co/5c7TJL9hpa")</f>
        <v>https://t.co/5c7TJL9hpa</v>
      </c>
      <c r="AQ133" s="83" t="str">
        <f>HYPERLINK("https://youtu.be/skPXly2RbR0")</f>
        <v>https://youtu.be/skPXly2RbR0</v>
      </c>
      <c r="AR133" s="76" t="s">
        <v>19373</v>
      </c>
      <c r="AS133" s="76"/>
      <c r="AT133" s="76"/>
      <c r="AU133" s="76"/>
      <c r="AV133" s="76"/>
      <c r="AW133" s="83" t="str">
        <f>HYPERLINK("https://t.co/5c7TJL9hpa")</f>
        <v>https://t.co/5c7TJL9hpa</v>
      </c>
      <c r="AX133" s="76" t="b">
        <v>0</v>
      </c>
      <c r="AY133" s="76"/>
      <c r="AZ133" s="76"/>
      <c r="BA133" s="76" t="b">
        <v>0</v>
      </c>
      <c r="BB133" s="76" t="b">
        <v>1</v>
      </c>
      <c r="BC133" s="76" t="b">
        <v>1</v>
      </c>
      <c r="BD133" s="76" t="b">
        <v>0</v>
      </c>
      <c r="BE133" s="76" t="b">
        <v>0</v>
      </c>
      <c r="BF133" s="76" t="b">
        <v>0</v>
      </c>
      <c r="BG133" s="76" t="b">
        <v>0</v>
      </c>
      <c r="BH133" s="83" t="str">
        <f>HYPERLINK("https://pbs.twimg.com/profile_banners/1508552275622608906/1665529607")</f>
        <v>https://pbs.twimg.com/profile_banners/1508552275622608906/1665529607</v>
      </c>
      <c r="BI133" s="76"/>
      <c r="BJ133" s="76" t="s">
        <v>19734</v>
      </c>
      <c r="BK133" s="76" t="b">
        <v>0</v>
      </c>
      <c r="BL133" s="76"/>
      <c r="BM133" s="76" t="s">
        <v>66</v>
      </c>
      <c r="BN133" s="76" t="s">
        <v>19736</v>
      </c>
      <c r="BO133" s="83" t="str">
        <f>HYPERLINK("https://twitter.com/charao_andre")</f>
        <v>https://twitter.com/charao_andre</v>
      </c>
      <c r="BP133" s="2"/>
    </row>
    <row r="134" spans="1:68" x14ac:dyDescent="0.25">
      <c r="A134" s="62" t="s">
        <v>338</v>
      </c>
      <c r="B134" s="63"/>
      <c r="C134" s="63"/>
      <c r="D134" s="64"/>
      <c r="E134" s="66"/>
      <c r="F134" s="103" t="str">
        <f>HYPERLINK("https://pbs.twimg.com/profile_images/573092001140346880/_H1-Cxha_normal.jpeg")</f>
        <v>https://pbs.twimg.com/profile_images/573092001140346880/_H1-Cxha_normal.jpeg</v>
      </c>
      <c r="G134" s="63"/>
      <c r="H134" s="67"/>
      <c r="I134" s="68"/>
      <c r="J134" s="68"/>
      <c r="K134" s="67" t="s">
        <v>19867</v>
      </c>
      <c r="L134" s="71"/>
      <c r="M134" s="72"/>
      <c r="N134" s="72"/>
      <c r="O134" s="73"/>
      <c r="P134" s="74"/>
      <c r="Q134" s="74"/>
      <c r="R134" s="87"/>
      <c r="S134" s="87"/>
      <c r="T134" s="87"/>
      <c r="U134" s="87"/>
      <c r="V134" s="48"/>
      <c r="W134" s="48"/>
      <c r="X134" s="48"/>
      <c r="Y134" s="48"/>
      <c r="Z134" s="47"/>
      <c r="AA134" s="69">
        <v>134</v>
      </c>
      <c r="AB134" s="69"/>
      <c r="AC134" s="70"/>
      <c r="AD134" s="76" t="s">
        <v>17883</v>
      </c>
      <c r="AE134" s="81" t="s">
        <v>18365</v>
      </c>
      <c r="AF134" s="76">
        <v>88</v>
      </c>
      <c r="AG134" s="76">
        <v>195</v>
      </c>
      <c r="AH134" s="76">
        <v>614</v>
      </c>
      <c r="AI134" s="76">
        <v>1</v>
      </c>
      <c r="AJ134" s="76">
        <v>560</v>
      </c>
      <c r="AK134" s="76">
        <v>75</v>
      </c>
      <c r="AL134" s="76" t="b">
        <v>0</v>
      </c>
      <c r="AM134" s="78">
        <v>39906.689756944441</v>
      </c>
      <c r="AN134" s="76" t="s">
        <v>18604</v>
      </c>
      <c r="AO134" s="76"/>
      <c r="AP134" s="76"/>
      <c r="AQ134" s="76"/>
      <c r="AR134" s="76"/>
      <c r="AS134" s="76"/>
      <c r="AT134" s="76"/>
      <c r="AU134" s="76"/>
      <c r="AV134" s="76"/>
      <c r="AW134" s="76"/>
      <c r="AX134" s="76" t="b">
        <v>0</v>
      </c>
      <c r="AY134" s="76"/>
      <c r="AZ134" s="76"/>
      <c r="BA134" s="76" t="b">
        <v>0</v>
      </c>
      <c r="BB134" s="76" t="b">
        <v>1</v>
      </c>
      <c r="BC134" s="76" t="b">
        <v>0</v>
      </c>
      <c r="BD134" s="76" t="b">
        <v>0</v>
      </c>
      <c r="BE134" s="76" t="b">
        <v>1</v>
      </c>
      <c r="BF134" s="76" t="b">
        <v>0</v>
      </c>
      <c r="BG134" s="76" t="b">
        <v>0</v>
      </c>
      <c r="BH134" s="83" t="str">
        <f>HYPERLINK("https://pbs.twimg.com/profile_banners/28598257/1661807604")</f>
        <v>https://pbs.twimg.com/profile_banners/28598257/1661807604</v>
      </c>
      <c r="BI134" s="76"/>
      <c r="BJ134" s="76" t="s">
        <v>19734</v>
      </c>
      <c r="BK134" s="76" t="b">
        <v>0</v>
      </c>
      <c r="BL134" s="76"/>
      <c r="BM134" s="76" t="s">
        <v>66</v>
      </c>
      <c r="BN134" s="76" t="s">
        <v>19736</v>
      </c>
      <c r="BO134" s="83" t="str">
        <f>HYPERLINK("https://twitter.com/danielperu")</f>
        <v>https://twitter.com/danielperu</v>
      </c>
      <c r="BP134" s="2"/>
    </row>
    <row r="135" spans="1:68" x14ac:dyDescent="0.25">
      <c r="A135" s="62" t="s">
        <v>339</v>
      </c>
      <c r="B135" s="63"/>
      <c r="C135" s="63"/>
      <c r="D135" s="64"/>
      <c r="E135" s="66"/>
      <c r="F135" s="103" t="str">
        <f>HYPERLINK("https://pbs.twimg.com/profile_images/1656111934599512064/Y5f-nAQC_normal.jpg")</f>
        <v>https://pbs.twimg.com/profile_images/1656111934599512064/Y5f-nAQC_normal.jpg</v>
      </c>
      <c r="G135" s="63"/>
      <c r="H135" s="67"/>
      <c r="I135" s="68"/>
      <c r="J135" s="68"/>
      <c r="K135" s="67" t="s">
        <v>19868</v>
      </c>
      <c r="L135" s="71"/>
      <c r="M135" s="72"/>
      <c r="N135" s="72"/>
      <c r="O135" s="73"/>
      <c r="P135" s="74"/>
      <c r="Q135" s="74"/>
      <c r="R135" s="87"/>
      <c r="S135" s="87"/>
      <c r="T135" s="87"/>
      <c r="U135" s="87"/>
      <c r="V135" s="48"/>
      <c r="W135" s="48"/>
      <c r="X135" s="48"/>
      <c r="Y135" s="48"/>
      <c r="Z135" s="47"/>
      <c r="AA135" s="69">
        <v>135</v>
      </c>
      <c r="AB135" s="69"/>
      <c r="AC135" s="70"/>
      <c r="AD135" s="76" t="s">
        <v>17884</v>
      </c>
      <c r="AE135" s="81" t="s">
        <v>18366</v>
      </c>
      <c r="AF135" s="76">
        <v>40</v>
      </c>
      <c r="AG135" s="76">
        <v>45</v>
      </c>
      <c r="AH135" s="76">
        <v>492</v>
      </c>
      <c r="AI135" s="76">
        <v>2</v>
      </c>
      <c r="AJ135" s="76">
        <v>304</v>
      </c>
      <c r="AK135" s="76">
        <v>56</v>
      </c>
      <c r="AL135" s="76" t="b">
        <v>0</v>
      </c>
      <c r="AM135" s="78">
        <v>41782.536446759259</v>
      </c>
      <c r="AN135" s="76"/>
      <c r="AO135" s="76" t="s">
        <v>18882</v>
      </c>
      <c r="AP135" s="76"/>
      <c r="AQ135" s="76"/>
      <c r="AR135" s="76"/>
      <c r="AS135" s="76"/>
      <c r="AT135" s="76"/>
      <c r="AU135" s="76"/>
      <c r="AV135" s="76"/>
      <c r="AW135" s="76"/>
      <c r="AX135" s="76" t="b">
        <v>0</v>
      </c>
      <c r="AY135" s="76"/>
      <c r="AZ135" s="76"/>
      <c r="BA135" s="76" t="b">
        <v>1</v>
      </c>
      <c r="BB135" s="76" t="b">
        <v>1</v>
      </c>
      <c r="BC135" s="76" t="b">
        <v>0</v>
      </c>
      <c r="BD135" s="76" t="b">
        <v>0</v>
      </c>
      <c r="BE135" s="76" t="b">
        <v>0</v>
      </c>
      <c r="BF135" s="76" t="b">
        <v>0</v>
      </c>
      <c r="BG135" s="76" t="b">
        <v>0</v>
      </c>
      <c r="BH135" s="83" t="str">
        <f>HYPERLINK("https://pbs.twimg.com/profile_banners/2517788041/1687648919")</f>
        <v>https://pbs.twimg.com/profile_banners/2517788041/1687648919</v>
      </c>
      <c r="BI135" s="76"/>
      <c r="BJ135" s="76" t="s">
        <v>19734</v>
      </c>
      <c r="BK135" s="76" t="b">
        <v>0</v>
      </c>
      <c r="BL135" s="76"/>
      <c r="BM135" s="76" t="s">
        <v>66</v>
      </c>
      <c r="BN135" s="76" t="s">
        <v>19736</v>
      </c>
      <c r="BO135" s="83" t="str">
        <f>HYPERLINK("https://twitter.com/gustavober_59")</f>
        <v>https://twitter.com/gustavober_59</v>
      </c>
      <c r="BP135" s="2"/>
    </row>
    <row r="136" spans="1:68" x14ac:dyDescent="0.25">
      <c r="A136" s="62" t="s">
        <v>340</v>
      </c>
      <c r="B136" s="63"/>
      <c r="C136" s="63"/>
      <c r="D136" s="64"/>
      <c r="E136" s="66"/>
      <c r="F136" s="103" t="str">
        <f>HYPERLINK("https://pbs.twimg.com/profile_images/1562436665775312897/90zECuf0_normal.jpg")</f>
        <v>https://pbs.twimg.com/profile_images/1562436665775312897/90zECuf0_normal.jpg</v>
      </c>
      <c r="G136" s="63"/>
      <c r="H136" s="67"/>
      <c r="I136" s="68"/>
      <c r="J136" s="68"/>
      <c r="K136" s="67" t="s">
        <v>19869</v>
      </c>
      <c r="L136" s="71"/>
      <c r="M136" s="72"/>
      <c r="N136" s="72"/>
      <c r="O136" s="73"/>
      <c r="P136" s="74"/>
      <c r="Q136" s="74"/>
      <c r="R136" s="87"/>
      <c r="S136" s="87"/>
      <c r="T136" s="87"/>
      <c r="U136" s="87"/>
      <c r="V136" s="48"/>
      <c r="W136" s="48"/>
      <c r="X136" s="48"/>
      <c r="Y136" s="48"/>
      <c r="Z136" s="47"/>
      <c r="AA136" s="69">
        <v>136</v>
      </c>
      <c r="AB136" s="69"/>
      <c r="AC136" s="70"/>
      <c r="AD136" s="76" t="s">
        <v>17885</v>
      </c>
      <c r="AE136" s="81" t="s">
        <v>17330</v>
      </c>
      <c r="AF136" s="76">
        <v>66</v>
      </c>
      <c r="AG136" s="76">
        <v>27</v>
      </c>
      <c r="AH136" s="76">
        <v>186</v>
      </c>
      <c r="AI136" s="76">
        <v>0</v>
      </c>
      <c r="AJ136" s="76">
        <v>21</v>
      </c>
      <c r="AK136" s="76">
        <v>123</v>
      </c>
      <c r="AL136" s="76" t="b">
        <v>0</v>
      </c>
      <c r="AM136" s="78">
        <v>44797.574918981481</v>
      </c>
      <c r="AN136" s="76" t="s">
        <v>18605</v>
      </c>
      <c r="AO136" s="76" t="s">
        <v>18883</v>
      </c>
      <c r="AP136" s="76"/>
      <c r="AQ136" s="76"/>
      <c r="AR136" s="76"/>
      <c r="AS136" s="76"/>
      <c r="AT136" s="76"/>
      <c r="AU136" s="76"/>
      <c r="AV136" s="76">
        <v>1.5916041228805601E+18</v>
      </c>
      <c r="AW136" s="76"/>
      <c r="AX136" s="76" t="b">
        <v>0</v>
      </c>
      <c r="AY136" s="76"/>
      <c r="AZ136" s="76"/>
      <c r="BA136" s="76" t="b">
        <v>0</v>
      </c>
      <c r="BB136" s="76" t="b">
        <v>1</v>
      </c>
      <c r="BC136" s="76" t="b">
        <v>1</v>
      </c>
      <c r="BD136" s="76" t="b">
        <v>0</v>
      </c>
      <c r="BE136" s="76" t="b">
        <v>1</v>
      </c>
      <c r="BF136" s="76" t="b">
        <v>0</v>
      </c>
      <c r="BG136" s="76" t="b">
        <v>0</v>
      </c>
      <c r="BH136" s="83" t="str">
        <f>HYPERLINK("https://pbs.twimg.com/profile_banners/1562436415556046849/1667832425")</f>
        <v>https://pbs.twimg.com/profile_banners/1562436415556046849/1667832425</v>
      </c>
      <c r="BI136" s="76"/>
      <c r="BJ136" s="76" t="s">
        <v>19734</v>
      </c>
      <c r="BK136" s="76" t="b">
        <v>0</v>
      </c>
      <c r="BL136" s="76"/>
      <c r="BM136" s="76" t="s">
        <v>66</v>
      </c>
      <c r="BN136" s="76" t="s">
        <v>19736</v>
      </c>
      <c r="BO136" s="83" t="str">
        <f>HYPERLINK("https://twitter.com/giramundoap")</f>
        <v>https://twitter.com/giramundoap</v>
      </c>
      <c r="BP136" s="2"/>
    </row>
    <row r="137" spans="1:68" x14ac:dyDescent="0.25">
      <c r="A137" s="62" t="s">
        <v>341</v>
      </c>
      <c r="B137" s="63"/>
      <c r="C137" s="63"/>
      <c r="D137" s="64"/>
      <c r="E137" s="66"/>
      <c r="F137" s="103" t="str">
        <f>HYPERLINK("https://pbs.twimg.com/profile_images/1664206367006105602/jd5BwTg6_normal.jpg")</f>
        <v>https://pbs.twimg.com/profile_images/1664206367006105602/jd5BwTg6_normal.jpg</v>
      </c>
      <c r="G137" s="63"/>
      <c r="H137" s="67"/>
      <c r="I137" s="68"/>
      <c r="J137" s="68"/>
      <c r="K137" s="67" t="s">
        <v>19870</v>
      </c>
      <c r="L137" s="71"/>
      <c r="M137" s="72"/>
      <c r="N137" s="72"/>
      <c r="O137" s="73"/>
      <c r="P137" s="74"/>
      <c r="Q137" s="74"/>
      <c r="R137" s="87"/>
      <c r="S137" s="87"/>
      <c r="T137" s="87"/>
      <c r="U137" s="87"/>
      <c r="V137" s="48"/>
      <c r="W137" s="48"/>
      <c r="X137" s="48"/>
      <c r="Y137" s="48"/>
      <c r="Z137" s="47"/>
      <c r="AA137" s="69">
        <v>137</v>
      </c>
      <c r="AB137" s="69"/>
      <c r="AC137" s="70"/>
      <c r="AD137" s="76" t="s">
        <v>17886</v>
      </c>
      <c r="AE137" s="81" t="s">
        <v>18367</v>
      </c>
      <c r="AF137" s="76">
        <v>133</v>
      </c>
      <c r="AG137" s="76">
        <v>362</v>
      </c>
      <c r="AH137" s="76">
        <v>1792</v>
      </c>
      <c r="AI137" s="76">
        <v>0</v>
      </c>
      <c r="AJ137" s="76">
        <v>576</v>
      </c>
      <c r="AK137" s="76">
        <v>232</v>
      </c>
      <c r="AL137" s="76" t="b">
        <v>0</v>
      </c>
      <c r="AM137" s="78">
        <v>40008.97457175926</v>
      </c>
      <c r="AN137" s="76" t="s">
        <v>18606</v>
      </c>
      <c r="AO137" s="76" t="s">
        <v>18884</v>
      </c>
      <c r="AP137" s="83" t="str">
        <f>HYPERLINK("https://t.co/BBTBM7lqw5")</f>
        <v>https://t.co/BBTBM7lqw5</v>
      </c>
      <c r="AQ137" s="83" t="str">
        <f>HYPERLINK("https://linklist.bio/2mv")</f>
        <v>https://linklist.bio/2mv</v>
      </c>
      <c r="AR137" s="76" t="s">
        <v>19374</v>
      </c>
      <c r="AS137" s="76"/>
      <c r="AT137" s="76"/>
      <c r="AU137" s="76"/>
      <c r="AV137" s="76"/>
      <c r="AW137" s="83" t="str">
        <f>HYPERLINK("https://t.co/BBTBM7lqw5")</f>
        <v>https://t.co/BBTBM7lqw5</v>
      </c>
      <c r="AX137" s="76" t="b">
        <v>0</v>
      </c>
      <c r="AY137" s="76"/>
      <c r="AZ137" s="76"/>
      <c r="BA137" s="76" t="b">
        <v>0</v>
      </c>
      <c r="BB137" s="76" t="b">
        <v>1</v>
      </c>
      <c r="BC137" s="76" t="b">
        <v>1</v>
      </c>
      <c r="BD137" s="76" t="b">
        <v>0</v>
      </c>
      <c r="BE137" s="76" t="b">
        <v>0</v>
      </c>
      <c r="BF137" s="76" t="b">
        <v>0</v>
      </c>
      <c r="BG137" s="76" t="b">
        <v>0</v>
      </c>
      <c r="BH137" s="83" t="str">
        <f>HYPERLINK("https://pbs.twimg.com/profile_banners/56852265/1685612731")</f>
        <v>https://pbs.twimg.com/profile_banners/56852265/1685612731</v>
      </c>
      <c r="BI137" s="76"/>
      <c r="BJ137" s="76" t="s">
        <v>19734</v>
      </c>
      <c r="BK137" s="76" t="b">
        <v>0</v>
      </c>
      <c r="BL137" s="76"/>
      <c r="BM137" s="76" t="s">
        <v>66</v>
      </c>
      <c r="BN137" s="76" t="s">
        <v>19736</v>
      </c>
      <c r="BO137" s="83" t="str">
        <f>HYPERLINK("https://twitter.com/force2mv")</f>
        <v>https://twitter.com/force2mv</v>
      </c>
      <c r="BP137" s="2"/>
    </row>
    <row r="138" spans="1:68" x14ac:dyDescent="0.25">
      <c r="A138" s="62" t="s">
        <v>743</v>
      </c>
      <c r="B138" s="63"/>
      <c r="C138" s="63"/>
      <c r="D138" s="64"/>
      <c r="E138" s="66"/>
      <c r="F138" s="103" t="str">
        <f>HYPERLINK("https://pbs.twimg.com/profile_images/453638017014452224/VUU-h00s_normal.png")</f>
        <v>https://pbs.twimg.com/profile_images/453638017014452224/VUU-h00s_normal.png</v>
      </c>
      <c r="G138" s="63"/>
      <c r="H138" s="67"/>
      <c r="I138" s="68"/>
      <c r="J138" s="68"/>
      <c r="K138" s="67" t="s">
        <v>19871</v>
      </c>
      <c r="L138" s="71"/>
      <c r="M138" s="72"/>
      <c r="N138" s="72"/>
      <c r="O138" s="73"/>
      <c r="P138" s="74"/>
      <c r="Q138" s="74"/>
      <c r="R138" s="87"/>
      <c r="S138" s="87"/>
      <c r="T138" s="87"/>
      <c r="U138" s="87"/>
      <c r="V138" s="48"/>
      <c r="W138" s="48"/>
      <c r="X138" s="48"/>
      <c r="Y138" s="48"/>
      <c r="Z138" s="47"/>
      <c r="AA138" s="69">
        <v>138</v>
      </c>
      <c r="AB138" s="69"/>
      <c r="AC138" s="70"/>
      <c r="AD138" s="76" t="s">
        <v>17887</v>
      </c>
      <c r="AE138" s="81" t="s">
        <v>18368</v>
      </c>
      <c r="AF138" s="76">
        <v>385</v>
      </c>
      <c r="AG138" s="76">
        <v>148</v>
      </c>
      <c r="AH138" s="76">
        <v>5889</v>
      </c>
      <c r="AI138" s="76">
        <v>40</v>
      </c>
      <c r="AJ138" s="76">
        <v>0</v>
      </c>
      <c r="AK138" s="76">
        <v>1</v>
      </c>
      <c r="AL138" s="76" t="b">
        <v>0</v>
      </c>
      <c r="AM138" s="78">
        <v>41737.844224537039</v>
      </c>
      <c r="AN138" s="76" t="s">
        <v>18607</v>
      </c>
      <c r="AO138" s="76" t="s">
        <v>18885</v>
      </c>
      <c r="AP138" s="83" t="str">
        <f>HYPERLINK("http://t.co/9UUq9klXD8")</f>
        <v>http://t.co/9UUq9klXD8</v>
      </c>
      <c r="AQ138" s="83" t="str">
        <f>HYPERLINK("http://investor.academy")</f>
        <v>http://investor.academy</v>
      </c>
      <c r="AR138" s="76" t="s">
        <v>19375</v>
      </c>
      <c r="AS138" s="76"/>
      <c r="AT138" s="76"/>
      <c r="AU138" s="76"/>
      <c r="AV138" s="76"/>
      <c r="AW138" s="83" t="str">
        <f>HYPERLINK("http://t.co/9UUq9klXD8")</f>
        <v>http://t.co/9UUq9klXD8</v>
      </c>
      <c r="AX138" s="76" t="b">
        <v>0</v>
      </c>
      <c r="AY138" s="76"/>
      <c r="AZ138" s="76"/>
      <c r="BA138" s="76" t="b">
        <v>0</v>
      </c>
      <c r="BB138" s="76" t="b">
        <v>1</v>
      </c>
      <c r="BC138" s="76" t="b">
        <v>1</v>
      </c>
      <c r="BD138" s="76" t="b">
        <v>0</v>
      </c>
      <c r="BE138" s="76" t="b">
        <v>0</v>
      </c>
      <c r="BF138" s="76" t="b">
        <v>0</v>
      </c>
      <c r="BG138" s="76" t="b">
        <v>0</v>
      </c>
      <c r="BH138" s="83" t="str">
        <f>HYPERLINK("https://pbs.twimg.com/profile_banners/2434180980/1396990911")</f>
        <v>https://pbs.twimg.com/profile_banners/2434180980/1396990911</v>
      </c>
      <c r="BI138" s="76"/>
      <c r="BJ138" s="76" t="s">
        <v>19734</v>
      </c>
      <c r="BK138" s="76" t="b">
        <v>0</v>
      </c>
      <c r="BL138" s="76"/>
      <c r="BM138" s="76" t="s">
        <v>65</v>
      </c>
      <c r="BN138" s="76" t="s">
        <v>19736</v>
      </c>
      <c r="BO138" s="83" t="str">
        <f>HYPERLINK("https://twitter.com/invest_academy")</f>
        <v>https://twitter.com/invest_academy</v>
      </c>
      <c r="BP138" s="2"/>
    </row>
    <row r="139" spans="1:68" x14ac:dyDescent="0.25">
      <c r="A139" s="62" t="s">
        <v>342</v>
      </c>
      <c r="B139" s="63"/>
      <c r="C139" s="63"/>
      <c r="D139" s="64"/>
      <c r="E139" s="66"/>
      <c r="F139" s="103" t="str">
        <f>HYPERLINK("https://pbs.twimg.com/profile_images/727239031914913796/ilsZ37UM_normal.jpg")</f>
        <v>https://pbs.twimg.com/profile_images/727239031914913796/ilsZ37UM_normal.jpg</v>
      </c>
      <c r="G139" s="63"/>
      <c r="H139" s="67"/>
      <c r="I139" s="68"/>
      <c r="J139" s="68"/>
      <c r="K139" s="67" t="s">
        <v>19872</v>
      </c>
      <c r="L139" s="71"/>
      <c r="M139" s="72"/>
      <c r="N139" s="72"/>
      <c r="O139" s="73"/>
      <c r="P139" s="74"/>
      <c r="Q139" s="74"/>
      <c r="R139" s="87"/>
      <c r="S139" s="87"/>
      <c r="T139" s="87"/>
      <c r="U139" s="87"/>
      <c r="V139" s="48"/>
      <c r="W139" s="48"/>
      <c r="X139" s="48"/>
      <c r="Y139" s="48"/>
      <c r="Z139" s="47"/>
      <c r="AA139" s="69">
        <v>139</v>
      </c>
      <c r="AB139" s="69"/>
      <c r="AC139" s="70"/>
      <c r="AD139" s="76" t="s">
        <v>17888</v>
      </c>
      <c r="AE139" s="81" t="s">
        <v>18369</v>
      </c>
      <c r="AF139" s="76">
        <v>1121</v>
      </c>
      <c r="AG139" s="76">
        <v>5001</v>
      </c>
      <c r="AH139" s="76">
        <v>139771</v>
      </c>
      <c r="AI139" s="76">
        <v>26</v>
      </c>
      <c r="AJ139" s="76">
        <v>145414</v>
      </c>
      <c r="AK139" s="76">
        <v>3041</v>
      </c>
      <c r="AL139" s="76" t="b">
        <v>0</v>
      </c>
      <c r="AM139" s="78">
        <v>39938.61577546296</v>
      </c>
      <c r="AN139" s="76" t="s">
        <v>18608</v>
      </c>
      <c r="AO139" s="76" t="s">
        <v>18886</v>
      </c>
      <c r="AP139" s="83" t="str">
        <f>HYPERLINK("https://t.co/zWeIz3qOOi")</f>
        <v>https://t.co/zWeIz3qOOi</v>
      </c>
      <c r="AQ139" s="83" t="str">
        <f>HYPERLINK("http://about.me/torrejais")</f>
        <v>http://about.me/torrejais</v>
      </c>
      <c r="AR139" s="76" t="s">
        <v>19376</v>
      </c>
      <c r="AS139" s="83" t="str">
        <f>HYPERLINK("https://t.co/p7w6zljmeV")</f>
        <v>https://t.co/p7w6zljmeV</v>
      </c>
      <c r="AT139" s="83" t="str">
        <f>HYPERLINK("http://instagram.com/wtorrejais/")</f>
        <v>http://instagram.com/wtorrejais/</v>
      </c>
      <c r="AU139" s="76" t="s">
        <v>19698</v>
      </c>
      <c r="AV139" s="76"/>
      <c r="AW139" s="83" t="str">
        <f>HYPERLINK("https://t.co/zWeIz3qOOi")</f>
        <v>https://t.co/zWeIz3qOOi</v>
      </c>
      <c r="AX139" s="76" t="b">
        <v>0</v>
      </c>
      <c r="AY139" s="76"/>
      <c r="AZ139" s="76"/>
      <c r="BA139" s="76" t="b">
        <v>1</v>
      </c>
      <c r="BB139" s="76" t="b">
        <v>1</v>
      </c>
      <c r="BC139" s="76" t="b">
        <v>0</v>
      </c>
      <c r="BD139" s="76" t="b">
        <v>0</v>
      </c>
      <c r="BE139" s="76" t="b">
        <v>1</v>
      </c>
      <c r="BF139" s="76" t="b">
        <v>0</v>
      </c>
      <c r="BG139" s="76" t="b">
        <v>0</v>
      </c>
      <c r="BH139" s="83" t="str">
        <f>HYPERLINK("https://pbs.twimg.com/profile_banners/37937416/1398264747")</f>
        <v>https://pbs.twimg.com/profile_banners/37937416/1398264747</v>
      </c>
      <c r="BI139" s="76"/>
      <c r="BJ139" s="76" t="s">
        <v>19735</v>
      </c>
      <c r="BK139" s="76" t="b">
        <v>0</v>
      </c>
      <c r="BL139" s="76"/>
      <c r="BM139" s="76" t="s">
        <v>66</v>
      </c>
      <c r="BN139" s="76" t="s">
        <v>19736</v>
      </c>
      <c r="BO139" s="83" t="str">
        <f>HYPERLINK("https://twitter.com/wellington_tds")</f>
        <v>https://twitter.com/wellington_tds</v>
      </c>
      <c r="BP139" s="2"/>
    </row>
    <row r="140" spans="1:68" x14ac:dyDescent="0.25">
      <c r="A140" s="62" t="s">
        <v>744</v>
      </c>
      <c r="B140" s="63"/>
      <c r="C140" s="63"/>
      <c r="D140" s="64"/>
      <c r="E140" s="66"/>
      <c r="F140" s="103" t="str">
        <f>HYPERLINK("https://pbs.twimg.com/profile_images/1643005424721952768/57hdyPm__normal.jpg")</f>
        <v>https://pbs.twimg.com/profile_images/1643005424721952768/57hdyPm__normal.jpg</v>
      </c>
      <c r="G140" s="63"/>
      <c r="H140" s="67"/>
      <c r="I140" s="68"/>
      <c r="J140" s="68"/>
      <c r="K140" s="67" t="s">
        <v>19873</v>
      </c>
      <c r="L140" s="71"/>
      <c r="M140" s="72"/>
      <c r="N140" s="72"/>
      <c r="O140" s="73"/>
      <c r="P140" s="74"/>
      <c r="Q140" s="74"/>
      <c r="R140" s="87"/>
      <c r="S140" s="87"/>
      <c r="T140" s="87"/>
      <c r="U140" s="87"/>
      <c r="V140" s="48"/>
      <c r="W140" s="48"/>
      <c r="X140" s="48"/>
      <c r="Y140" s="48"/>
      <c r="Z140" s="47"/>
      <c r="AA140" s="69">
        <v>140</v>
      </c>
      <c r="AB140" s="69"/>
      <c r="AC140" s="70"/>
      <c r="AD140" s="76" t="s">
        <v>17889</v>
      </c>
      <c r="AE140" s="81" t="s">
        <v>18370</v>
      </c>
      <c r="AF140" s="76">
        <v>1511658</v>
      </c>
      <c r="AG140" s="76">
        <v>36</v>
      </c>
      <c r="AH140" s="76">
        <v>134648</v>
      </c>
      <c r="AI140" s="76">
        <v>8581</v>
      </c>
      <c r="AJ140" s="76">
        <v>1166</v>
      </c>
      <c r="AK140" s="76">
        <v>36016</v>
      </c>
      <c r="AL140" s="76" t="b">
        <v>0</v>
      </c>
      <c r="AM140" s="78">
        <v>39314.892453703702</v>
      </c>
      <c r="AN140" s="76"/>
      <c r="AO140" s="76"/>
      <c r="AP140" s="76"/>
      <c r="AQ140" s="76"/>
      <c r="AR140" s="76"/>
      <c r="AS140" s="76"/>
      <c r="AT140" s="76"/>
      <c r="AU140" s="76"/>
      <c r="AV140" s="76"/>
      <c r="AW140" s="76"/>
      <c r="AX140" s="76" t="b">
        <v>1</v>
      </c>
      <c r="AY140" s="76"/>
      <c r="AZ140" s="76"/>
      <c r="BA140" s="76" t="b">
        <v>0</v>
      </c>
      <c r="BB140" s="76" t="b">
        <v>0</v>
      </c>
      <c r="BC140" s="76" t="b">
        <v>0</v>
      </c>
      <c r="BD140" s="76" t="b">
        <v>0</v>
      </c>
      <c r="BE140" s="76" t="b">
        <v>1</v>
      </c>
      <c r="BF140" s="76" t="b">
        <v>0</v>
      </c>
      <c r="BG140" s="76" t="b">
        <v>0</v>
      </c>
      <c r="BH140" s="83" t="str">
        <f>HYPERLINK("https://pbs.twimg.com/profile_banners/8315402/1680558056")</f>
        <v>https://pbs.twimg.com/profile_banners/8315402/1680558056</v>
      </c>
      <c r="BI140" s="76"/>
      <c r="BJ140" s="76" t="s">
        <v>19734</v>
      </c>
      <c r="BK140" s="76" t="b">
        <v>0</v>
      </c>
      <c r="BL140" s="76"/>
      <c r="BM140" s="76" t="s">
        <v>65</v>
      </c>
      <c r="BN140" s="76" t="s">
        <v>19736</v>
      </c>
      <c r="BO140" s="83" t="str">
        <f>HYPERLINK("https://twitter.com/olhardigital")</f>
        <v>https://twitter.com/olhardigital</v>
      </c>
      <c r="BP140" s="2"/>
    </row>
    <row r="141" spans="1:68" x14ac:dyDescent="0.25">
      <c r="A141" s="62" t="s">
        <v>343</v>
      </c>
      <c r="B141" s="63"/>
      <c r="C141" s="63"/>
      <c r="D141" s="64"/>
      <c r="E141" s="66"/>
      <c r="F141" s="103" t="str">
        <f>HYPERLINK("https://pbs.twimg.com/profile_images/1273964615530053632/qHcU0VHf_normal.jpg")</f>
        <v>https://pbs.twimg.com/profile_images/1273964615530053632/qHcU0VHf_normal.jpg</v>
      </c>
      <c r="G141" s="63"/>
      <c r="H141" s="67"/>
      <c r="I141" s="68"/>
      <c r="J141" s="68"/>
      <c r="K141" s="67" t="s">
        <v>19874</v>
      </c>
      <c r="L141" s="71"/>
      <c r="M141" s="72"/>
      <c r="N141" s="72"/>
      <c r="O141" s="73"/>
      <c r="P141" s="74"/>
      <c r="Q141" s="74"/>
      <c r="R141" s="87"/>
      <c r="S141" s="87"/>
      <c r="T141" s="87"/>
      <c r="U141" s="87"/>
      <c r="V141" s="48"/>
      <c r="W141" s="48"/>
      <c r="X141" s="48"/>
      <c r="Y141" s="48"/>
      <c r="Z141" s="47"/>
      <c r="AA141" s="69">
        <v>141</v>
      </c>
      <c r="AB141" s="69"/>
      <c r="AC141" s="70"/>
      <c r="AD141" s="76" t="s">
        <v>17890</v>
      </c>
      <c r="AE141" s="81" t="s">
        <v>17504</v>
      </c>
      <c r="AF141" s="76">
        <v>5790</v>
      </c>
      <c r="AG141" s="76">
        <v>111</v>
      </c>
      <c r="AH141" s="76">
        <v>6268</v>
      </c>
      <c r="AI141" s="76">
        <v>130</v>
      </c>
      <c r="AJ141" s="76">
        <v>1</v>
      </c>
      <c r="AK141" s="76">
        <v>9</v>
      </c>
      <c r="AL141" s="76" t="b">
        <v>0</v>
      </c>
      <c r="AM141" s="78">
        <v>43797.613379629627</v>
      </c>
      <c r="AN141" s="76"/>
      <c r="AO141" s="76" t="s">
        <v>18887</v>
      </c>
      <c r="AP141" s="83" t="str">
        <f>HYPERLINK("https://t.co/WNzFhQbBp9")</f>
        <v>https://t.co/WNzFhQbBp9</v>
      </c>
      <c r="AQ141" s="83" t="str">
        <f>HYPERLINK("https://www.moneytimes.com.br/cryptotimes/")</f>
        <v>https://www.moneytimes.com.br/cryptotimes/</v>
      </c>
      <c r="AR141" s="76" t="s">
        <v>19377</v>
      </c>
      <c r="AS141" s="76"/>
      <c r="AT141" s="76"/>
      <c r="AU141" s="76"/>
      <c r="AV141" s="76"/>
      <c r="AW141" s="83" t="str">
        <f>HYPERLINK("https://t.co/WNzFhQbBp9")</f>
        <v>https://t.co/WNzFhQbBp9</v>
      </c>
      <c r="AX141" s="76" t="b">
        <v>0</v>
      </c>
      <c r="AY141" s="76"/>
      <c r="AZ141" s="76"/>
      <c r="BA141" s="76" t="b">
        <v>0</v>
      </c>
      <c r="BB141" s="76" t="b">
        <v>1</v>
      </c>
      <c r="BC141" s="76" t="b">
        <v>1</v>
      </c>
      <c r="BD141" s="76" t="b">
        <v>0</v>
      </c>
      <c r="BE141" s="76" t="b">
        <v>1</v>
      </c>
      <c r="BF141" s="76" t="b">
        <v>0</v>
      </c>
      <c r="BG141" s="76" t="b">
        <v>0</v>
      </c>
      <c r="BH141" s="83" t="str">
        <f>HYPERLINK("https://pbs.twimg.com/profile_banners/1200062560306958336/1650380415")</f>
        <v>https://pbs.twimg.com/profile_banners/1200062560306958336/1650380415</v>
      </c>
      <c r="BI141" s="76"/>
      <c r="BJ141" s="76" t="s">
        <v>19734</v>
      </c>
      <c r="BK141" s="76" t="b">
        <v>0</v>
      </c>
      <c r="BL141" s="76"/>
      <c r="BM141" s="76" t="s">
        <v>66</v>
      </c>
      <c r="BN141" s="76" t="s">
        <v>19736</v>
      </c>
      <c r="BO141" s="83" t="str">
        <f>HYPERLINK("https://twitter.com/leiacryptotimes")</f>
        <v>https://twitter.com/leiacryptotimes</v>
      </c>
      <c r="BP141" s="2"/>
    </row>
    <row r="142" spans="1:68" x14ac:dyDescent="0.25">
      <c r="A142" s="62" t="s">
        <v>344</v>
      </c>
      <c r="B142" s="63"/>
      <c r="C142" s="63"/>
      <c r="D142" s="64"/>
      <c r="E142" s="66"/>
      <c r="F142" s="103" t="str">
        <f>HYPERLINK("https://pbs.twimg.com/profile_images/1520198843496808448/I6dxdUcT_normal.png")</f>
        <v>https://pbs.twimg.com/profile_images/1520198843496808448/I6dxdUcT_normal.png</v>
      </c>
      <c r="G142" s="63"/>
      <c r="H142" s="67"/>
      <c r="I142" s="68"/>
      <c r="J142" s="68"/>
      <c r="K142" s="67" t="s">
        <v>19875</v>
      </c>
      <c r="L142" s="71"/>
      <c r="M142" s="72"/>
      <c r="N142" s="72"/>
      <c r="O142" s="73"/>
      <c r="P142" s="74"/>
      <c r="Q142" s="74"/>
      <c r="R142" s="87"/>
      <c r="S142" s="87"/>
      <c r="T142" s="87"/>
      <c r="U142" s="87"/>
      <c r="V142" s="48"/>
      <c r="W142" s="48"/>
      <c r="X142" s="48"/>
      <c r="Y142" s="48"/>
      <c r="Z142" s="47"/>
      <c r="AA142" s="69">
        <v>142</v>
      </c>
      <c r="AB142" s="69"/>
      <c r="AC142" s="70"/>
      <c r="AD142" s="76" t="s">
        <v>17891</v>
      </c>
      <c r="AE142" s="81" t="s">
        <v>17505</v>
      </c>
      <c r="AF142" s="76">
        <v>288</v>
      </c>
      <c r="AG142" s="76">
        <v>514</v>
      </c>
      <c r="AH142" s="76">
        <v>47042</v>
      </c>
      <c r="AI142" s="76">
        <v>0</v>
      </c>
      <c r="AJ142" s="76">
        <v>69426</v>
      </c>
      <c r="AK142" s="76">
        <v>553</v>
      </c>
      <c r="AL142" s="76" t="b">
        <v>0</v>
      </c>
      <c r="AM142" s="78">
        <v>44681.021087962959</v>
      </c>
      <c r="AN142" s="76"/>
      <c r="AO142" s="76"/>
      <c r="AP142" s="76"/>
      <c r="AQ142" s="76"/>
      <c r="AR142" s="76"/>
      <c r="AS142" s="76"/>
      <c r="AT142" s="76"/>
      <c r="AU142" s="76"/>
      <c r="AV142" s="76"/>
      <c r="AW142" s="76"/>
      <c r="AX142" s="76" t="b">
        <v>0</v>
      </c>
      <c r="AY142" s="76"/>
      <c r="AZ142" s="76"/>
      <c r="BA142" s="76" t="b">
        <v>0</v>
      </c>
      <c r="BB142" s="76" t="b">
        <v>0</v>
      </c>
      <c r="BC142" s="76" t="b">
        <v>1</v>
      </c>
      <c r="BD142" s="76" t="b">
        <v>0</v>
      </c>
      <c r="BE142" s="76" t="b">
        <v>1</v>
      </c>
      <c r="BF142" s="76" t="b">
        <v>0</v>
      </c>
      <c r="BG142" s="76" t="b">
        <v>1</v>
      </c>
      <c r="BH142" s="76"/>
      <c r="BI142" s="76"/>
      <c r="BJ142" s="76" t="s">
        <v>19734</v>
      </c>
      <c r="BK142" s="76" t="b">
        <v>0</v>
      </c>
      <c r="BL142" s="76"/>
      <c r="BM142" s="76" t="s">
        <v>66</v>
      </c>
      <c r="BN142" s="76" t="s">
        <v>19736</v>
      </c>
      <c r="BO142" s="83" t="str">
        <f>HYPERLINK("https://twitter.com/rodrigues590804")</f>
        <v>https://twitter.com/rodrigues590804</v>
      </c>
      <c r="BP142" s="2"/>
    </row>
    <row r="143" spans="1:68" x14ac:dyDescent="0.25">
      <c r="A143" s="62" t="s">
        <v>604</v>
      </c>
      <c r="B143" s="63"/>
      <c r="C143" s="63"/>
      <c r="D143" s="64"/>
      <c r="E143" s="66"/>
      <c r="F143" s="103" t="str">
        <f>HYPERLINK("https://pbs.twimg.com/profile_images/1365395023072817162/ZI8fAPrO_normal.jpg")</f>
        <v>https://pbs.twimg.com/profile_images/1365395023072817162/ZI8fAPrO_normal.jpg</v>
      </c>
      <c r="G143" s="63"/>
      <c r="H143" s="67"/>
      <c r="I143" s="68"/>
      <c r="J143" s="68"/>
      <c r="K143" s="67" t="s">
        <v>19876</v>
      </c>
      <c r="L143" s="71"/>
      <c r="M143" s="72"/>
      <c r="N143" s="72"/>
      <c r="O143" s="73"/>
      <c r="P143" s="74"/>
      <c r="Q143" s="74"/>
      <c r="R143" s="87"/>
      <c r="S143" s="87"/>
      <c r="T143" s="87"/>
      <c r="U143" s="87"/>
      <c r="V143" s="48"/>
      <c r="W143" s="48"/>
      <c r="X143" s="48"/>
      <c r="Y143" s="48"/>
      <c r="Z143" s="47"/>
      <c r="AA143" s="69">
        <v>143</v>
      </c>
      <c r="AB143" s="69"/>
      <c r="AC143" s="70"/>
      <c r="AD143" s="76" t="s">
        <v>17892</v>
      </c>
      <c r="AE143" s="81" t="s">
        <v>17641</v>
      </c>
      <c r="AF143" s="76">
        <v>1693</v>
      </c>
      <c r="AG143" s="76">
        <v>4</v>
      </c>
      <c r="AH143" s="76">
        <v>8171</v>
      </c>
      <c r="AI143" s="76">
        <v>36</v>
      </c>
      <c r="AJ143" s="76">
        <v>642</v>
      </c>
      <c r="AK143" s="76">
        <v>1</v>
      </c>
      <c r="AL143" s="76" t="b">
        <v>0</v>
      </c>
      <c r="AM143" s="78">
        <v>44253.843761574077</v>
      </c>
      <c r="AN143" s="76"/>
      <c r="AO143" s="76" t="s">
        <v>18888</v>
      </c>
      <c r="AP143" s="83" t="str">
        <f>HYPERLINK("https://t.co/cRv3QGtTPH")</f>
        <v>https://t.co/cRv3QGtTPH</v>
      </c>
      <c r="AQ143" s="83" t="str">
        <f>HYPERLINK("https://www.moneytimes.com.br/agrotimes/")</f>
        <v>https://www.moneytimes.com.br/agrotimes/</v>
      </c>
      <c r="AR143" s="76" t="s">
        <v>19378</v>
      </c>
      <c r="AS143" s="76"/>
      <c r="AT143" s="76"/>
      <c r="AU143" s="76"/>
      <c r="AV143" s="76"/>
      <c r="AW143" s="83" t="str">
        <f>HYPERLINK("https://t.co/cRv3QGtTPH")</f>
        <v>https://t.co/cRv3QGtTPH</v>
      </c>
      <c r="AX143" s="76" t="b">
        <v>0</v>
      </c>
      <c r="AY143" s="76"/>
      <c r="AZ143" s="76"/>
      <c r="BA143" s="76" t="b">
        <v>0</v>
      </c>
      <c r="BB143" s="76" t="b">
        <v>1</v>
      </c>
      <c r="BC143" s="76" t="b">
        <v>1</v>
      </c>
      <c r="BD143" s="76" t="b">
        <v>0</v>
      </c>
      <c r="BE143" s="76" t="b">
        <v>0</v>
      </c>
      <c r="BF143" s="76" t="b">
        <v>0</v>
      </c>
      <c r="BG143" s="76" t="b">
        <v>0</v>
      </c>
      <c r="BH143" s="83" t="str">
        <f>HYPERLINK("https://pbs.twimg.com/profile_banners/1365394851131502592/1651777490")</f>
        <v>https://pbs.twimg.com/profile_banners/1365394851131502592/1651777490</v>
      </c>
      <c r="BI143" s="76"/>
      <c r="BJ143" s="76" t="s">
        <v>19734</v>
      </c>
      <c r="BK143" s="76" t="b">
        <v>0</v>
      </c>
      <c r="BL143" s="76"/>
      <c r="BM143" s="76" t="s">
        <v>66</v>
      </c>
      <c r="BN143" s="76" t="s">
        <v>19736</v>
      </c>
      <c r="BO143" s="83" t="str">
        <f>HYPERLINK("https://twitter.com/leiaagrotimes")</f>
        <v>https://twitter.com/leiaagrotimes</v>
      </c>
      <c r="BP143" s="2"/>
    </row>
    <row r="144" spans="1:68" x14ac:dyDescent="0.25">
      <c r="A144" s="62" t="s">
        <v>345</v>
      </c>
      <c r="B144" s="63"/>
      <c r="C144" s="63"/>
      <c r="D144" s="64"/>
      <c r="E144" s="66"/>
      <c r="F144" s="103" t="str">
        <f>HYPERLINK("https://pbs.twimg.com/profile_images/1632325316768145408/nt6F2o4Z_normal.jpg")</f>
        <v>https://pbs.twimg.com/profile_images/1632325316768145408/nt6F2o4Z_normal.jpg</v>
      </c>
      <c r="G144" s="63"/>
      <c r="H144" s="67"/>
      <c r="I144" s="68"/>
      <c r="J144" s="68"/>
      <c r="K144" s="67" t="s">
        <v>19877</v>
      </c>
      <c r="L144" s="71"/>
      <c r="M144" s="72"/>
      <c r="N144" s="72"/>
      <c r="O144" s="73"/>
      <c r="P144" s="74"/>
      <c r="Q144" s="74"/>
      <c r="R144" s="87"/>
      <c r="S144" s="87"/>
      <c r="T144" s="87"/>
      <c r="U144" s="87"/>
      <c r="V144" s="48"/>
      <c r="W144" s="48"/>
      <c r="X144" s="48"/>
      <c r="Y144" s="48"/>
      <c r="Z144" s="47"/>
      <c r="AA144" s="69">
        <v>144</v>
      </c>
      <c r="AB144" s="69"/>
      <c r="AC144" s="70"/>
      <c r="AD144" s="76" t="s">
        <v>17893</v>
      </c>
      <c r="AE144" s="81" t="s">
        <v>17506</v>
      </c>
      <c r="AF144" s="76">
        <v>4</v>
      </c>
      <c r="AG144" s="76">
        <v>159</v>
      </c>
      <c r="AH144" s="76">
        <v>102</v>
      </c>
      <c r="AI144" s="76">
        <v>0</v>
      </c>
      <c r="AJ144" s="76">
        <v>2568</v>
      </c>
      <c r="AK144" s="76">
        <v>6</v>
      </c>
      <c r="AL144" s="76" t="b">
        <v>0</v>
      </c>
      <c r="AM144" s="78">
        <v>44491.823761574073</v>
      </c>
      <c r="AN144" s="76"/>
      <c r="AO144" s="76" t="s">
        <v>18889</v>
      </c>
      <c r="AP144" s="83" t="str">
        <f>HYPERLINK("https://t.co/cfzfLaVEop")</f>
        <v>https://t.co/cfzfLaVEop</v>
      </c>
      <c r="AQ144" s="83" t="str">
        <f>HYPERLINK("https://odysee.com/@contab_invest:c")</f>
        <v>https://odysee.com/@contab_invest:c</v>
      </c>
      <c r="AR144" s="76" t="s">
        <v>19379</v>
      </c>
      <c r="AS144" s="76"/>
      <c r="AT144" s="76"/>
      <c r="AU144" s="76"/>
      <c r="AV144" s="76"/>
      <c r="AW144" s="83" t="str">
        <f>HYPERLINK("https://t.co/cfzfLaVEop")</f>
        <v>https://t.co/cfzfLaVEop</v>
      </c>
      <c r="AX144" s="76" t="b">
        <v>0</v>
      </c>
      <c r="AY144" s="76"/>
      <c r="AZ144" s="76"/>
      <c r="BA144" s="76" t="b">
        <v>0</v>
      </c>
      <c r="BB144" s="76" t="b">
        <v>1</v>
      </c>
      <c r="BC144" s="76" t="b">
        <v>1</v>
      </c>
      <c r="BD144" s="76" t="b">
        <v>0</v>
      </c>
      <c r="BE144" s="76" t="b">
        <v>1</v>
      </c>
      <c r="BF144" s="76" t="b">
        <v>0</v>
      </c>
      <c r="BG144" s="76" t="b">
        <v>0</v>
      </c>
      <c r="BH144" s="83" t="str">
        <f>HYPERLINK("https://pbs.twimg.com/profile_banners/1451635932172533764/1670100719")</f>
        <v>https://pbs.twimg.com/profile_banners/1451635932172533764/1670100719</v>
      </c>
      <c r="BI144" s="76"/>
      <c r="BJ144" s="76" t="s">
        <v>19734</v>
      </c>
      <c r="BK144" s="76" t="b">
        <v>0</v>
      </c>
      <c r="BL144" s="76"/>
      <c r="BM144" s="76" t="s">
        <v>66</v>
      </c>
      <c r="BN144" s="76" t="s">
        <v>19736</v>
      </c>
      <c r="BO144" s="83" t="str">
        <f>HYPERLINK("https://twitter.com/axcrestfall")</f>
        <v>https://twitter.com/axcrestfall</v>
      </c>
      <c r="BP144" s="2"/>
    </row>
    <row r="145" spans="1:68" x14ac:dyDescent="0.25">
      <c r="A145" s="62" t="s">
        <v>346</v>
      </c>
      <c r="B145" s="63"/>
      <c r="C145" s="63"/>
      <c r="D145" s="64"/>
      <c r="E145" s="66"/>
      <c r="F145" s="103" t="str">
        <f>HYPERLINK("https://pbs.twimg.com/profile_images/1593658813252608000/iYhVTEOd_normal.jpg")</f>
        <v>https://pbs.twimg.com/profile_images/1593658813252608000/iYhVTEOd_normal.jpg</v>
      </c>
      <c r="G145" s="63"/>
      <c r="H145" s="67"/>
      <c r="I145" s="68"/>
      <c r="J145" s="68"/>
      <c r="K145" s="67" t="s">
        <v>19878</v>
      </c>
      <c r="L145" s="71"/>
      <c r="M145" s="72"/>
      <c r="N145" s="72"/>
      <c r="O145" s="73"/>
      <c r="P145" s="74"/>
      <c r="Q145" s="74"/>
      <c r="R145" s="87"/>
      <c r="S145" s="87"/>
      <c r="T145" s="87"/>
      <c r="U145" s="87"/>
      <c r="V145" s="48"/>
      <c r="W145" s="48"/>
      <c r="X145" s="48"/>
      <c r="Y145" s="48"/>
      <c r="Z145" s="47"/>
      <c r="AA145" s="69">
        <v>145</v>
      </c>
      <c r="AB145" s="69"/>
      <c r="AC145" s="70"/>
      <c r="AD145" s="76" t="s">
        <v>17894</v>
      </c>
      <c r="AE145" s="81" t="s">
        <v>17507</v>
      </c>
      <c r="AF145" s="76">
        <v>214</v>
      </c>
      <c r="AG145" s="76">
        <v>38</v>
      </c>
      <c r="AH145" s="76">
        <v>134</v>
      </c>
      <c r="AI145" s="76">
        <v>0</v>
      </c>
      <c r="AJ145" s="76">
        <v>0</v>
      </c>
      <c r="AK145" s="76">
        <v>122</v>
      </c>
      <c r="AL145" s="76" t="b">
        <v>0</v>
      </c>
      <c r="AM145" s="78">
        <v>44883.72315972222</v>
      </c>
      <c r="AN145" s="76" t="s">
        <v>12007</v>
      </c>
      <c r="AO145" s="76" t="s">
        <v>18890</v>
      </c>
      <c r="AP145" s="83" t="str">
        <f>HYPERLINK("https://t.co/hFHnsVlZOv")</f>
        <v>https://t.co/hFHnsVlZOv</v>
      </c>
      <c r="AQ145" s="83" t="str">
        <f>HYPERLINK("http://investedigital.com.br")</f>
        <v>http://investedigital.com.br</v>
      </c>
      <c r="AR145" s="76" t="s">
        <v>19380</v>
      </c>
      <c r="AS145" s="76"/>
      <c r="AT145" s="76"/>
      <c r="AU145" s="76"/>
      <c r="AV145" s="76"/>
      <c r="AW145" s="83" t="str">
        <f>HYPERLINK("https://t.co/hFHnsVlZOv")</f>
        <v>https://t.co/hFHnsVlZOv</v>
      </c>
      <c r="AX145" s="76" t="b">
        <v>0</v>
      </c>
      <c r="AY145" s="76"/>
      <c r="AZ145" s="76"/>
      <c r="BA145" s="76" t="b">
        <v>0</v>
      </c>
      <c r="BB145" s="76" t="b">
        <v>1</v>
      </c>
      <c r="BC145" s="76" t="b">
        <v>1</v>
      </c>
      <c r="BD145" s="76" t="b">
        <v>0</v>
      </c>
      <c r="BE145" s="76" t="b">
        <v>0</v>
      </c>
      <c r="BF145" s="76" t="b">
        <v>0</v>
      </c>
      <c r="BG145" s="76" t="b">
        <v>0</v>
      </c>
      <c r="BH145" s="83" t="str">
        <f>HYPERLINK("https://pbs.twimg.com/profile_banners/1593655516890284033/1668792845")</f>
        <v>https://pbs.twimg.com/profile_banners/1593655516890284033/1668792845</v>
      </c>
      <c r="BI145" s="76"/>
      <c r="BJ145" s="76" t="s">
        <v>19734</v>
      </c>
      <c r="BK145" s="76" t="b">
        <v>0</v>
      </c>
      <c r="BL145" s="76"/>
      <c r="BM145" s="76" t="s">
        <v>66</v>
      </c>
      <c r="BN145" s="76" t="s">
        <v>19736</v>
      </c>
      <c r="BO145" s="83" t="str">
        <f>HYPERLINK("https://twitter.com/investedigitall")</f>
        <v>https://twitter.com/investedigitall</v>
      </c>
      <c r="BP145" s="2"/>
    </row>
    <row r="146" spans="1:68" x14ac:dyDescent="0.25">
      <c r="A146" s="62" t="s">
        <v>347</v>
      </c>
      <c r="B146" s="63"/>
      <c r="C146" s="63"/>
      <c r="D146" s="64"/>
      <c r="E146" s="66"/>
      <c r="F146" s="103" t="str">
        <f>HYPERLINK("https://pbs.twimg.com/profile_images/1674985553408786438/jalEz_nQ_normal.jpg")</f>
        <v>https://pbs.twimg.com/profile_images/1674985553408786438/jalEz_nQ_normal.jpg</v>
      </c>
      <c r="G146" s="63"/>
      <c r="H146" s="67"/>
      <c r="I146" s="68"/>
      <c r="J146" s="68"/>
      <c r="K146" s="67" t="s">
        <v>19879</v>
      </c>
      <c r="L146" s="71"/>
      <c r="M146" s="72"/>
      <c r="N146" s="72"/>
      <c r="O146" s="73"/>
      <c r="P146" s="74"/>
      <c r="Q146" s="74"/>
      <c r="R146" s="87"/>
      <c r="S146" s="87"/>
      <c r="T146" s="87"/>
      <c r="U146" s="87"/>
      <c r="V146" s="48"/>
      <c r="W146" s="48"/>
      <c r="X146" s="48"/>
      <c r="Y146" s="48"/>
      <c r="Z146" s="47"/>
      <c r="AA146" s="69">
        <v>146</v>
      </c>
      <c r="AB146" s="69"/>
      <c r="AC146" s="70"/>
      <c r="AD146" s="76" t="s">
        <v>17895</v>
      </c>
      <c r="AE146" s="81" t="s">
        <v>18371</v>
      </c>
      <c r="AF146" s="76">
        <v>23</v>
      </c>
      <c r="AG146" s="76">
        <v>4</v>
      </c>
      <c r="AH146" s="76">
        <v>3</v>
      </c>
      <c r="AI146" s="76">
        <v>0</v>
      </c>
      <c r="AJ146" s="76">
        <v>1</v>
      </c>
      <c r="AK146" s="76">
        <v>2</v>
      </c>
      <c r="AL146" s="76" t="b">
        <v>0</v>
      </c>
      <c r="AM146" s="78">
        <v>41960.174710648149</v>
      </c>
      <c r="AN146" s="76"/>
      <c r="AO146" s="76" t="s">
        <v>18891</v>
      </c>
      <c r="AP146" s="76"/>
      <c r="AQ146" s="76"/>
      <c r="AR146" s="76"/>
      <c r="AS146" s="76"/>
      <c r="AT146" s="76"/>
      <c r="AU146" s="76"/>
      <c r="AV146" s="76"/>
      <c r="AW146" s="76"/>
      <c r="AX146" s="76" t="b">
        <v>0</v>
      </c>
      <c r="AY146" s="76"/>
      <c r="AZ146" s="76"/>
      <c r="BA146" s="76" t="b">
        <v>0</v>
      </c>
      <c r="BB146" s="76" t="b">
        <v>1</v>
      </c>
      <c r="BC146" s="76" t="b">
        <v>1</v>
      </c>
      <c r="BD146" s="76" t="b">
        <v>0</v>
      </c>
      <c r="BE146" s="76" t="b">
        <v>0</v>
      </c>
      <c r="BF146" s="76" t="b">
        <v>0</v>
      </c>
      <c r="BG146" s="76" t="b">
        <v>0</v>
      </c>
      <c r="BH146" s="76"/>
      <c r="BI146" s="76"/>
      <c r="BJ146" s="76" t="s">
        <v>19734</v>
      </c>
      <c r="BK146" s="76" t="b">
        <v>0</v>
      </c>
      <c r="BL146" s="76"/>
      <c r="BM146" s="76" t="s">
        <v>66</v>
      </c>
      <c r="BN146" s="76" t="s">
        <v>19736</v>
      </c>
      <c r="BO146" s="83" t="str">
        <f>HYPERLINK("https://twitter.com/investidorcltt")</f>
        <v>https://twitter.com/investidorcltt</v>
      </c>
      <c r="BP146" s="2"/>
    </row>
    <row r="147" spans="1:68" x14ac:dyDescent="0.25">
      <c r="A147" s="62" t="s">
        <v>348</v>
      </c>
      <c r="B147" s="63"/>
      <c r="C147" s="63"/>
      <c r="D147" s="64"/>
      <c r="E147" s="66"/>
      <c r="F147" s="103" t="str">
        <f>HYPERLINK("https://pbs.twimg.com/profile_images/1697132125126836225/ZVlONtAE_normal.jpg")</f>
        <v>https://pbs.twimg.com/profile_images/1697132125126836225/ZVlONtAE_normal.jpg</v>
      </c>
      <c r="G147" s="63"/>
      <c r="H147" s="67"/>
      <c r="I147" s="68"/>
      <c r="J147" s="68"/>
      <c r="K147" s="67" t="s">
        <v>19880</v>
      </c>
      <c r="L147" s="71"/>
      <c r="M147" s="72"/>
      <c r="N147" s="72"/>
      <c r="O147" s="73"/>
      <c r="P147" s="74"/>
      <c r="Q147" s="74"/>
      <c r="R147" s="87"/>
      <c r="S147" s="87"/>
      <c r="T147" s="87"/>
      <c r="U147" s="87"/>
      <c r="V147" s="48"/>
      <c r="W147" s="48"/>
      <c r="X147" s="48"/>
      <c r="Y147" s="48"/>
      <c r="Z147" s="47"/>
      <c r="AA147" s="69">
        <v>147</v>
      </c>
      <c r="AB147" s="69"/>
      <c r="AC147" s="70"/>
      <c r="AD147" s="76" t="s">
        <v>17896</v>
      </c>
      <c r="AE147" s="81" t="s">
        <v>17508</v>
      </c>
      <c r="AF147" s="76">
        <v>109</v>
      </c>
      <c r="AG147" s="76">
        <v>137</v>
      </c>
      <c r="AH147" s="76">
        <v>297</v>
      </c>
      <c r="AI147" s="76">
        <v>1</v>
      </c>
      <c r="AJ147" s="76">
        <v>1079</v>
      </c>
      <c r="AK147" s="76">
        <v>3</v>
      </c>
      <c r="AL147" s="76" t="b">
        <v>0</v>
      </c>
      <c r="AM147" s="78">
        <v>45159.283807870372</v>
      </c>
      <c r="AN147" s="76" t="s">
        <v>18595</v>
      </c>
      <c r="AO147" s="76" t="s">
        <v>18892</v>
      </c>
      <c r="AP147" s="76"/>
      <c r="AQ147" s="76"/>
      <c r="AR147" s="76"/>
      <c r="AS147" s="76"/>
      <c r="AT147" s="76"/>
      <c r="AU147" s="76"/>
      <c r="AV147" s="76">
        <v>1.7024902527770399E+18</v>
      </c>
      <c r="AW147" s="76"/>
      <c r="AX147" s="76" t="b">
        <v>0</v>
      </c>
      <c r="AY147" s="76"/>
      <c r="AZ147" s="76"/>
      <c r="BA147" s="76" t="b">
        <v>0</v>
      </c>
      <c r="BB147" s="76" t="b">
        <v>1</v>
      </c>
      <c r="BC147" s="76" t="b">
        <v>1</v>
      </c>
      <c r="BD147" s="76" t="b">
        <v>0</v>
      </c>
      <c r="BE147" s="76" t="b">
        <v>0</v>
      </c>
      <c r="BF147" s="76" t="b">
        <v>0</v>
      </c>
      <c r="BG147" s="76" t="b">
        <v>0</v>
      </c>
      <c r="BH147" s="83" t="str">
        <f>HYPERLINK("https://pbs.twimg.com/profile_banners/1693515352599134209/1693466177")</f>
        <v>https://pbs.twimg.com/profile_banners/1693515352599134209/1693466177</v>
      </c>
      <c r="BI147" s="76"/>
      <c r="BJ147" s="76" t="s">
        <v>19734</v>
      </c>
      <c r="BK147" s="76" t="b">
        <v>0</v>
      </c>
      <c r="BL147" s="76"/>
      <c r="BM147" s="76" t="s">
        <v>66</v>
      </c>
      <c r="BN147" s="76" t="s">
        <v>19736</v>
      </c>
      <c r="BO147" s="83" t="str">
        <f>HYPERLINK("https://twitter.com/xcadubr")</f>
        <v>https://twitter.com/xcadubr</v>
      </c>
      <c r="BP147" s="2"/>
    </row>
    <row r="148" spans="1:68" x14ac:dyDescent="0.25">
      <c r="A148" s="62" t="s">
        <v>349</v>
      </c>
      <c r="B148" s="63"/>
      <c r="C148" s="63"/>
      <c r="D148" s="64"/>
      <c r="E148" s="66"/>
      <c r="F148" s="103" t="str">
        <f>HYPERLINK("https://pbs.twimg.com/profile_images/1651935630866149376/Z7D10zcV_normal.jpg")</f>
        <v>https://pbs.twimg.com/profile_images/1651935630866149376/Z7D10zcV_normal.jpg</v>
      </c>
      <c r="G148" s="63"/>
      <c r="H148" s="67"/>
      <c r="I148" s="68"/>
      <c r="J148" s="68"/>
      <c r="K148" s="67" t="s">
        <v>19881</v>
      </c>
      <c r="L148" s="71"/>
      <c r="M148" s="72"/>
      <c r="N148" s="72"/>
      <c r="O148" s="73"/>
      <c r="P148" s="74"/>
      <c r="Q148" s="74"/>
      <c r="R148" s="87"/>
      <c r="S148" s="87"/>
      <c r="T148" s="87"/>
      <c r="U148" s="87"/>
      <c r="V148" s="48"/>
      <c r="W148" s="48"/>
      <c r="X148" s="48"/>
      <c r="Y148" s="48"/>
      <c r="Z148" s="47"/>
      <c r="AA148" s="69">
        <v>148</v>
      </c>
      <c r="AB148" s="69"/>
      <c r="AC148" s="70"/>
      <c r="AD148" s="76" t="s">
        <v>17897</v>
      </c>
      <c r="AE148" s="81" t="s">
        <v>17509</v>
      </c>
      <c r="AF148" s="76">
        <v>12</v>
      </c>
      <c r="AG148" s="76">
        <v>22</v>
      </c>
      <c r="AH148" s="76">
        <v>19</v>
      </c>
      <c r="AI148" s="76">
        <v>0</v>
      </c>
      <c r="AJ148" s="76">
        <v>8</v>
      </c>
      <c r="AK148" s="76">
        <v>13</v>
      </c>
      <c r="AL148" s="76" t="b">
        <v>0</v>
      </c>
      <c r="AM148" s="78">
        <v>42636.622615740744</v>
      </c>
      <c r="AN148" s="76"/>
      <c r="AO148" s="76" t="s">
        <v>18893</v>
      </c>
      <c r="AP148" s="83" t="str">
        <f>HYPERLINK("https://t.co/FJourQK3r9")</f>
        <v>https://t.co/FJourQK3r9</v>
      </c>
      <c r="AQ148" s="83" t="str">
        <f>HYPERLINK("http://www.vicisolutions.com.br")</f>
        <v>http://www.vicisolutions.com.br</v>
      </c>
      <c r="AR148" s="76" t="s">
        <v>19381</v>
      </c>
      <c r="AS148" s="76"/>
      <c r="AT148" s="76"/>
      <c r="AU148" s="76"/>
      <c r="AV148" s="76"/>
      <c r="AW148" s="83" t="str">
        <f>HYPERLINK("https://t.co/FJourQK3r9")</f>
        <v>https://t.co/FJourQK3r9</v>
      </c>
      <c r="AX148" s="76" t="b">
        <v>0</v>
      </c>
      <c r="AY148" s="76"/>
      <c r="AZ148" s="76"/>
      <c r="BA148" s="76" t="b">
        <v>0</v>
      </c>
      <c r="BB148" s="76" t="b">
        <v>1</v>
      </c>
      <c r="BC148" s="76" t="b">
        <v>1</v>
      </c>
      <c r="BD148" s="76" t="b">
        <v>0</v>
      </c>
      <c r="BE148" s="76" t="b">
        <v>0</v>
      </c>
      <c r="BF148" s="76" t="b">
        <v>0</v>
      </c>
      <c r="BG148" s="76" t="b">
        <v>0</v>
      </c>
      <c r="BH148" s="76"/>
      <c r="BI148" s="76"/>
      <c r="BJ148" s="76" t="s">
        <v>19734</v>
      </c>
      <c r="BK148" s="76" t="b">
        <v>0</v>
      </c>
      <c r="BL148" s="76"/>
      <c r="BM148" s="76" t="s">
        <v>66</v>
      </c>
      <c r="BN148" s="76" t="s">
        <v>19736</v>
      </c>
      <c r="BO148" s="83" t="str">
        <f>HYPERLINK("https://twitter.com/lucas_nv_cnpi")</f>
        <v>https://twitter.com/lucas_nv_cnpi</v>
      </c>
      <c r="BP148" s="2"/>
    </row>
    <row r="149" spans="1:68" x14ac:dyDescent="0.25">
      <c r="A149" s="62" t="s">
        <v>350</v>
      </c>
      <c r="B149" s="63"/>
      <c r="C149" s="63"/>
      <c r="D149" s="64"/>
      <c r="E149" s="66"/>
      <c r="F149" s="103" t="str">
        <f>HYPERLINK("https://pbs.twimg.com/profile_images/1700503403216932864/0aOr7uVL_normal.jpg")</f>
        <v>https://pbs.twimg.com/profile_images/1700503403216932864/0aOr7uVL_normal.jpg</v>
      </c>
      <c r="G149" s="63"/>
      <c r="H149" s="67"/>
      <c r="I149" s="68"/>
      <c r="J149" s="68"/>
      <c r="K149" s="67" t="s">
        <v>19882</v>
      </c>
      <c r="L149" s="71"/>
      <c r="M149" s="72"/>
      <c r="N149" s="72"/>
      <c r="O149" s="73"/>
      <c r="P149" s="74"/>
      <c r="Q149" s="74"/>
      <c r="R149" s="87"/>
      <c r="S149" s="87"/>
      <c r="T149" s="87"/>
      <c r="U149" s="87"/>
      <c r="V149" s="48"/>
      <c r="W149" s="48"/>
      <c r="X149" s="48"/>
      <c r="Y149" s="48"/>
      <c r="Z149" s="47"/>
      <c r="AA149" s="69">
        <v>149</v>
      </c>
      <c r="AB149" s="69"/>
      <c r="AC149" s="70"/>
      <c r="AD149" s="76" t="s">
        <v>17898</v>
      </c>
      <c r="AE149" s="81" t="s">
        <v>18372</v>
      </c>
      <c r="AF149" s="76">
        <v>210</v>
      </c>
      <c r="AG149" s="76">
        <v>549</v>
      </c>
      <c r="AH149" s="76">
        <v>11366</v>
      </c>
      <c r="AI149" s="76">
        <v>0</v>
      </c>
      <c r="AJ149" s="76">
        <v>1753</v>
      </c>
      <c r="AK149" s="76">
        <v>376</v>
      </c>
      <c r="AL149" s="76" t="b">
        <v>0</v>
      </c>
      <c r="AM149" s="78">
        <v>41232.849861111114</v>
      </c>
      <c r="AN149" s="76"/>
      <c r="AO149" s="76" t="s">
        <v>18894</v>
      </c>
      <c r="AP149" s="76"/>
      <c r="AQ149" s="76"/>
      <c r="AR149" s="76"/>
      <c r="AS149" s="76"/>
      <c r="AT149" s="76"/>
      <c r="AU149" s="76"/>
      <c r="AV149" s="76"/>
      <c r="AW149" s="76"/>
      <c r="AX149" s="76" t="b">
        <v>0</v>
      </c>
      <c r="AY149" s="76"/>
      <c r="AZ149" s="76"/>
      <c r="BA149" s="76" t="b">
        <v>1</v>
      </c>
      <c r="BB149" s="76" t="b">
        <v>0</v>
      </c>
      <c r="BC149" s="76" t="b">
        <v>0</v>
      </c>
      <c r="BD149" s="76" t="b">
        <v>0</v>
      </c>
      <c r="BE149" s="76" t="b">
        <v>0</v>
      </c>
      <c r="BF149" s="76" t="b">
        <v>0</v>
      </c>
      <c r="BG149" s="76" t="b">
        <v>0</v>
      </c>
      <c r="BH149" s="83" t="str">
        <f>HYPERLINK("https://pbs.twimg.com/profile_banners/958437799/1694270455")</f>
        <v>https://pbs.twimg.com/profile_banners/958437799/1694270455</v>
      </c>
      <c r="BI149" s="76"/>
      <c r="BJ149" s="76" t="s">
        <v>19734</v>
      </c>
      <c r="BK149" s="76" t="b">
        <v>0</v>
      </c>
      <c r="BL149" s="76"/>
      <c r="BM149" s="76" t="s">
        <v>66</v>
      </c>
      <c r="BN149" s="76" t="s">
        <v>19736</v>
      </c>
      <c r="BO149" s="83" t="str">
        <f>HYPERLINK("https://twitter.com/ericacamposmar1")</f>
        <v>https://twitter.com/ericacamposmar1</v>
      </c>
      <c r="BP149" s="2"/>
    </row>
    <row r="150" spans="1:68" x14ac:dyDescent="0.25">
      <c r="A150" s="62" t="s">
        <v>351</v>
      </c>
      <c r="B150" s="63"/>
      <c r="C150" s="63"/>
      <c r="D150" s="64"/>
      <c r="E150" s="66"/>
      <c r="F150" s="103" t="str">
        <f>HYPERLINK("https://pbs.twimg.com/profile_images/1261706441330745347/WPpi5_ob_normal.jpg")</f>
        <v>https://pbs.twimg.com/profile_images/1261706441330745347/WPpi5_ob_normal.jpg</v>
      </c>
      <c r="G150" s="63"/>
      <c r="H150" s="67"/>
      <c r="I150" s="68"/>
      <c r="J150" s="68"/>
      <c r="K150" s="67" t="s">
        <v>19883</v>
      </c>
      <c r="L150" s="71"/>
      <c r="M150" s="72"/>
      <c r="N150" s="72"/>
      <c r="O150" s="73"/>
      <c r="P150" s="74"/>
      <c r="Q150" s="74"/>
      <c r="R150" s="87"/>
      <c r="S150" s="87"/>
      <c r="T150" s="87"/>
      <c r="U150" s="87"/>
      <c r="V150" s="48"/>
      <c r="W150" s="48"/>
      <c r="X150" s="48"/>
      <c r="Y150" s="48"/>
      <c r="Z150" s="47"/>
      <c r="AA150" s="69">
        <v>150</v>
      </c>
      <c r="AB150" s="69"/>
      <c r="AC150" s="70"/>
      <c r="AD150" s="76" t="s">
        <v>17899</v>
      </c>
      <c r="AE150" s="81" t="s">
        <v>17510</v>
      </c>
      <c r="AF150" s="76">
        <v>613</v>
      </c>
      <c r="AG150" s="76">
        <v>14</v>
      </c>
      <c r="AH150" s="76">
        <v>3249</v>
      </c>
      <c r="AI150" s="76">
        <v>8</v>
      </c>
      <c r="AJ150" s="76">
        <v>69</v>
      </c>
      <c r="AK150" s="76">
        <v>2030</v>
      </c>
      <c r="AL150" s="76" t="b">
        <v>0</v>
      </c>
      <c r="AM150" s="78">
        <v>43967.717037037037</v>
      </c>
      <c r="AN150" s="76" t="s">
        <v>12040</v>
      </c>
      <c r="AO150" s="76" t="s">
        <v>18895</v>
      </c>
      <c r="AP150" s="83" t="str">
        <f>HYPERLINK("https://t.co/QKcg1S1ny3")</f>
        <v>https://t.co/QKcg1S1ny3</v>
      </c>
      <c r="AQ150" s="83" t="str">
        <f>HYPERLINK("https://beacons.ai/institutoexito")</f>
        <v>https://beacons.ai/institutoexito</v>
      </c>
      <c r="AR150" s="76" t="s">
        <v>19382</v>
      </c>
      <c r="AS150" s="76"/>
      <c r="AT150" s="76"/>
      <c r="AU150" s="76"/>
      <c r="AV150" s="76"/>
      <c r="AW150" s="83" t="str">
        <f>HYPERLINK("https://t.co/QKcg1S1ny3")</f>
        <v>https://t.co/QKcg1S1ny3</v>
      </c>
      <c r="AX150" s="76" t="b">
        <v>0</v>
      </c>
      <c r="AY150" s="76"/>
      <c r="AZ150" s="76"/>
      <c r="BA150" s="76" t="b">
        <v>0</v>
      </c>
      <c r="BB150" s="76" t="b">
        <v>1</v>
      </c>
      <c r="BC150" s="76" t="b">
        <v>1</v>
      </c>
      <c r="BD150" s="76" t="b">
        <v>0</v>
      </c>
      <c r="BE150" s="76" t="b">
        <v>1</v>
      </c>
      <c r="BF150" s="76" t="b">
        <v>0</v>
      </c>
      <c r="BG150" s="76" t="b">
        <v>0</v>
      </c>
      <c r="BH150" s="83" t="str">
        <f>HYPERLINK("https://pbs.twimg.com/profile_banners/1261706053550473216/1681908749")</f>
        <v>https://pbs.twimg.com/profile_banners/1261706053550473216/1681908749</v>
      </c>
      <c r="BI150" s="76"/>
      <c r="BJ150" s="76" t="s">
        <v>19734</v>
      </c>
      <c r="BK150" s="76" t="b">
        <v>0</v>
      </c>
      <c r="BL150" s="76"/>
      <c r="BM150" s="76" t="s">
        <v>66</v>
      </c>
      <c r="BN150" s="76" t="s">
        <v>19736</v>
      </c>
      <c r="BO150" s="83" t="str">
        <f>HYPERLINK("https://twitter.com/exito_oficial")</f>
        <v>https://twitter.com/exito_oficial</v>
      </c>
      <c r="BP150" s="2"/>
    </row>
    <row r="151" spans="1:68" x14ac:dyDescent="0.25">
      <c r="A151" s="62" t="s">
        <v>352</v>
      </c>
      <c r="B151" s="63"/>
      <c r="C151" s="63"/>
      <c r="D151" s="64"/>
      <c r="E151" s="66"/>
      <c r="F151" s="103" t="str">
        <f>HYPERLINK("https://pbs.twimg.com/profile_images/1603003805867671553/D4TZ-xO2_normal.jpg")</f>
        <v>https://pbs.twimg.com/profile_images/1603003805867671553/D4TZ-xO2_normal.jpg</v>
      </c>
      <c r="G151" s="63"/>
      <c r="H151" s="67"/>
      <c r="I151" s="68"/>
      <c r="J151" s="68"/>
      <c r="K151" s="67" t="s">
        <v>19884</v>
      </c>
      <c r="L151" s="71"/>
      <c r="M151" s="72"/>
      <c r="N151" s="72"/>
      <c r="O151" s="73"/>
      <c r="P151" s="74"/>
      <c r="Q151" s="74"/>
      <c r="R151" s="87"/>
      <c r="S151" s="87"/>
      <c r="T151" s="87"/>
      <c r="U151" s="87"/>
      <c r="V151" s="48"/>
      <c r="W151" s="48"/>
      <c r="X151" s="48"/>
      <c r="Y151" s="48"/>
      <c r="Z151" s="47"/>
      <c r="AA151" s="69">
        <v>151</v>
      </c>
      <c r="AB151" s="69"/>
      <c r="AC151" s="70"/>
      <c r="AD151" s="76" t="s">
        <v>17900</v>
      </c>
      <c r="AE151" s="81" t="s">
        <v>17331</v>
      </c>
      <c r="AF151" s="76">
        <v>2176</v>
      </c>
      <c r="AG151" s="76">
        <v>96</v>
      </c>
      <c r="AH151" s="76">
        <v>11911</v>
      </c>
      <c r="AI151" s="76">
        <v>21</v>
      </c>
      <c r="AJ151" s="76">
        <v>1384</v>
      </c>
      <c r="AK151" s="76">
        <v>3007</v>
      </c>
      <c r="AL151" s="76" t="b">
        <v>0</v>
      </c>
      <c r="AM151" s="78">
        <v>40746.884432870371</v>
      </c>
      <c r="AN151" s="76" t="s">
        <v>18609</v>
      </c>
      <c r="AO151" s="76" t="s">
        <v>18896</v>
      </c>
      <c r="AP151" s="83" t="str">
        <f>HYPERLINK("https://t.co/Duct0qTy7g")</f>
        <v>https://t.co/Duct0qTy7g</v>
      </c>
      <c r="AQ151" s="83" t="str">
        <f>HYPERLINK("http://www.sindifisconacional.org.br")</f>
        <v>http://www.sindifisconacional.org.br</v>
      </c>
      <c r="AR151" s="76" t="s">
        <v>19383</v>
      </c>
      <c r="AS151" s="76"/>
      <c r="AT151" s="76"/>
      <c r="AU151" s="76"/>
      <c r="AV151" s="76">
        <v>1.6788759242913001E+18</v>
      </c>
      <c r="AW151" s="83" t="str">
        <f>HYPERLINK("https://t.co/Duct0qTy7g")</f>
        <v>https://t.co/Duct0qTy7g</v>
      </c>
      <c r="AX151" s="76" t="b">
        <v>0</v>
      </c>
      <c r="AY151" s="76"/>
      <c r="AZ151" s="76"/>
      <c r="BA151" s="76" t="b">
        <v>0</v>
      </c>
      <c r="BB151" s="76" t="b">
        <v>1</v>
      </c>
      <c r="BC151" s="76" t="b">
        <v>0</v>
      </c>
      <c r="BD151" s="76" t="b">
        <v>0</v>
      </c>
      <c r="BE151" s="76" t="b">
        <v>0</v>
      </c>
      <c r="BF151" s="76" t="b">
        <v>0</v>
      </c>
      <c r="BG151" s="76" t="b">
        <v>0</v>
      </c>
      <c r="BH151" s="83" t="str">
        <f>HYPERLINK("https://pbs.twimg.com/profile_banners/340534433/1671020865")</f>
        <v>https://pbs.twimg.com/profile_banners/340534433/1671020865</v>
      </c>
      <c r="BI151" s="76"/>
      <c r="BJ151" s="76" t="s">
        <v>19734</v>
      </c>
      <c r="BK151" s="76" t="b">
        <v>0</v>
      </c>
      <c r="BL151" s="76"/>
      <c r="BM151" s="76" t="s">
        <v>66</v>
      </c>
      <c r="BN151" s="76" t="s">
        <v>19736</v>
      </c>
      <c r="BO151" s="83" t="str">
        <f>HYPERLINK("https://twitter.com/sindifisconac")</f>
        <v>https://twitter.com/sindifisconac</v>
      </c>
      <c r="BP151" s="2"/>
    </row>
    <row r="152" spans="1:68" x14ac:dyDescent="0.25">
      <c r="A152" s="62" t="s">
        <v>353</v>
      </c>
      <c r="B152" s="63"/>
      <c r="C152" s="63"/>
      <c r="D152" s="64"/>
      <c r="E152" s="66"/>
      <c r="F152" s="103" t="str">
        <f>HYPERLINK("https://pbs.twimg.com/profile_images/1161019170923909126/UP4t8uo-_normal.jpg")</f>
        <v>https://pbs.twimg.com/profile_images/1161019170923909126/UP4t8uo-_normal.jpg</v>
      </c>
      <c r="G152" s="63"/>
      <c r="H152" s="67"/>
      <c r="I152" s="68"/>
      <c r="J152" s="68"/>
      <c r="K152" s="67" t="s">
        <v>19885</v>
      </c>
      <c r="L152" s="71"/>
      <c r="M152" s="72"/>
      <c r="N152" s="72"/>
      <c r="O152" s="73"/>
      <c r="P152" s="74"/>
      <c r="Q152" s="74"/>
      <c r="R152" s="87"/>
      <c r="S152" s="87"/>
      <c r="T152" s="87"/>
      <c r="U152" s="87"/>
      <c r="V152" s="48"/>
      <c r="W152" s="48"/>
      <c r="X152" s="48"/>
      <c r="Y152" s="48"/>
      <c r="Z152" s="47"/>
      <c r="AA152" s="69">
        <v>152</v>
      </c>
      <c r="AB152" s="69"/>
      <c r="AC152" s="70"/>
      <c r="AD152" s="76" t="s">
        <v>17901</v>
      </c>
      <c r="AE152" s="81" t="s">
        <v>17332</v>
      </c>
      <c r="AF152" s="76">
        <v>4033</v>
      </c>
      <c r="AG152" s="76">
        <v>5002</v>
      </c>
      <c r="AH152" s="76">
        <v>144440</v>
      </c>
      <c r="AI152" s="76">
        <v>20</v>
      </c>
      <c r="AJ152" s="76">
        <v>125948</v>
      </c>
      <c r="AK152" s="76">
        <v>8775</v>
      </c>
      <c r="AL152" s="76" t="b">
        <v>0</v>
      </c>
      <c r="AM152" s="78">
        <v>40296.142500000002</v>
      </c>
      <c r="AN152" s="76"/>
      <c r="AO152" s="76" t="s">
        <v>18897</v>
      </c>
      <c r="AP152" s="76"/>
      <c r="AQ152" s="76"/>
      <c r="AR152" s="76"/>
      <c r="AS152" s="76"/>
      <c r="AT152" s="76"/>
      <c r="AU152" s="76"/>
      <c r="AV152" s="76">
        <v>1.304949943464E+18</v>
      </c>
      <c r="AW152" s="76"/>
      <c r="AX152" s="76" t="b">
        <v>0</v>
      </c>
      <c r="AY152" s="76"/>
      <c r="AZ152" s="76"/>
      <c r="BA152" s="76" t="b">
        <v>0</v>
      </c>
      <c r="BB152" s="76" t="b">
        <v>1</v>
      </c>
      <c r="BC152" s="76" t="b">
        <v>0</v>
      </c>
      <c r="BD152" s="76" t="b">
        <v>0</v>
      </c>
      <c r="BE152" s="76" t="b">
        <v>1</v>
      </c>
      <c r="BF152" s="76" t="b">
        <v>0</v>
      </c>
      <c r="BG152" s="76" t="b">
        <v>0</v>
      </c>
      <c r="BH152" s="83" t="str">
        <f>HYPERLINK("https://pbs.twimg.com/profile_banners/137911945/1565643519")</f>
        <v>https://pbs.twimg.com/profile_banners/137911945/1565643519</v>
      </c>
      <c r="BI152" s="76"/>
      <c r="BJ152" s="76" t="s">
        <v>19734</v>
      </c>
      <c r="BK152" s="76" t="b">
        <v>0</v>
      </c>
      <c r="BL152" s="76"/>
      <c r="BM152" s="76" t="s">
        <v>66</v>
      </c>
      <c r="BN152" s="76" t="s">
        <v>19736</v>
      </c>
      <c r="BO152" s="83" t="str">
        <f>HYPERLINK("https://twitter.com/flordeserto")</f>
        <v>https://twitter.com/flordeserto</v>
      </c>
      <c r="BP152" s="2"/>
    </row>
    <row r="153" spans="1:68" x14ac:dyDescent="0.25">
      <c r="A153" s="62" t="s">
        <v>745</v>
      </c>
      <c r="B153" s="63"/>
      <c r="C153" s="63"/>
      <c r="D153" s="64"/>
      <c r="E153" s="66"/>
      <c r="F153" s="103" t="str">
        <f>HYPERLINK("https://pbs.twimg.com/profile_images/1544036483023118337/DfvV1YP-_normal.jpg")</f>
        <v>https://pbs.twimg.com/profile_images/1544036483023118337/DfvV1YP-_normal.jpg</v>
      </c>
      <c r="G153" s="63"/>
      <c r="H153" s="67"/>
      <c r="I153" s="68"/>
      <c r="J153" s="68"/>
      <c r="K153" s="67" t="s">
        <v>19886</v>
      </c>
      <c r="L153" s="71"/>
      <c r="M153" s="72"/>
      <c r="N153" s="72"/>
      <c r="O153" s="73"/>
      <c r="P153" s="74"/>
      <c r="Q153" s="74"/>
      <c r="R153" s="87"/>
      <c r="S153" s="87"/>
      <c r="T153" s="87"/>
      <c r="U153" s="87"/>
      <c r="V153" s="48"/>
      <c r="W153" s="48"/>
      <c r="X153" s="48"/>
      <c r="Y153" s="48"/>
      <c r="Z153" s="47"/>
      <c r="AA153" s="69">
        <v>153</v>
      </c>
      <c r="AB153" s="69"/>
      <c r="AC153" s="70"/>
      <c r="AD153" s="76" t="s">
        <v>17902</v>
      </c>
      <c r="AE153" s="81" t="s">
        <v>18373</v>
      </c>
      <c r="AF153" s="76">
        <v>3922862</v>
      </c>
      <c r="AG153" s="76">
        <v>23</v>
      </c>
      <c r="AH153" s="76">
        <v>108687</v>
      </c>
      <c r="AI153" s="76">
        <v>7822</v>
      </c>
      <c r="AJ153" s="76">
        <v>953</v>
      </c>
      <c r="AK153" s="76">
        <v>8805</v>
      </c>
      <c r="AL153" s="76" t="b">
        <v>0</v>
      </c>
      <c r="AM153" s="78">
        <v>40480.941354166665</v>
      </c>
      <c r="AN153" s="76" t="s">
        <v>18610</v>
      </c>
      <c r="AO153" s="76" t="s">
        <v>18898</v>
      </c>
      <c r="AP153" s="83" t="str">
        <f>HYPERLINK("https://t.co/mBQPUVReq8")</f>
        <v>https://t.co/mBQPUVReq8</v>
      </c>
      <c r="AQ153" s="83" t="str">
        <f>HYPERLINK("https://economiaenbicicleta.com/")</f>
        <v>https://economiaenbicicleta.com/</v>
      </c>
      <c r="AR153" s="76" t="s">
        <v>19384</v>
      </c>
      <c r="AS153" s="76"/>
      <c r="AT153" s="76"/>
      <c r="AU153" s="76"/>
      <c r="AV153" s="76">
        <v>1.5438650034381199E+18</v>
      </c>
      <c r="AW153" s="83" t="str">
        <f>HYPERLINK("https://t.co/mBQPUVReq8")</f>
        <v>https://t.co/mBQPUVReq8</v>
      </c>
      <c r="AX153" s="76" t="b">
        <v>1</v>
      </c>
      <c r="AY153" s="76"/>
      <c r="AZ153" s="76"/>
      <c r="BA153" s="76" t="b">
        <v>0</v>
      </c>
      <c r="BB153" s="76" t="b">
        <v>0</v>
      </c>
      <c r="BC153" s="76" t="b">
        <v>0</v>
      </c>
      <c r="BD153" s="76" t="b">
        <v>0</v>
      </c>
      <c r="BE153" s="76" t="b">
        <v>1</v>
      </c>
      <c r="BF153" s="76" t="b">
        <v>0</v>
      </c>
      <c r="BG153" s="76" t="b">
        <v>0</v>
      </c>
      <c r="BH153" s="83" t="str">
        <f>HYPERLINK("https://pbs.twimg.com/profile_banners/209780362/1618793548")</f>
        <v>https://pbs.twimg.com/profile_banners/209780362/1618793548</v>
      </c>
      <c r="BI153" s="76"/>
      <c r="BJ153" s="76" t="s">
        <v>19734</v>
      </c>
      <c r="BK153" s="76" t="b">
        <v>0</v>
      </c>
      <c r="BL153" s="76"/>
      <c r="BM153" s="76" t="s">
        <v>65</v>
      </c>
      <c r="BN153" s="76" t="s">
        <v>19736</v>
      </c>
      <c r="BO153" s="83" t="str">
        <f>HYPERLINK("https://twitter.com/mashirafael")</f>
        <v>https://twitter.com/mashirafael</v>
      </c>
      <c r="BP153" s="2"/>
    </row>
    <row r="154" spans="1:68" x14ac:dyDescent="0.25">
      <c r="A154" s="62" t="s">
        <v>354</v>
      </c>
      <c r="B154" s="63"/>
      <c r="C154" s="63"/>
      <c r="D154" s="64"/>
      <c r="E154" s="66"/>
      <c r="F154" s="103" t="str">
        <f>HYPERLINK("https://pbs.twimg.com/profile_images/1452670514074427395/DnGxS0l7_normal.jpg")</f>
        <v>https://pbs.twimg.com/profile_images/1452670514074427395/DnGxS0l7_normal.jpg</v>
      </c>
      <c r="G154" s="63"/>
      <c r="H154" s="67"/>
      <c r="I154" s="68"/>
      <c r="J154" s="68"/>
      <c r="K154" s="67" t="s">
        <v>19887</v>
      </c>
      <c r="L154" s="71"/>
      <c r="M154" s="72"/>
      <c r="N154" s="72"/>
      <c r="O154" s="73"/>
      <c r="P154" s="74"/>
      <c r="Q154" s="74"/>
      <c r="R154" s="87"/>
      <c r="S154" s="87"/>
      <c r="T154" s="87"/>
      <c r="U154" s="87"/>
      <c r="V154" s="48"/>
      <c r="W154" s="48"/>
      <c r="X154" s="48"/>
      <c r="Y154" s="48"/>
      <c r="Z154" s="47"/>
      <c r="AA154" s="69">
        <v>154</v>
      </c>
      <c r="AB154" s="69"/>
      <c r="AC154" s="70"/>
      <c r="AD154" s="76" t="s">
        <v>17903</v>
      </c>
      <c r="AE154" s="81" t="s">
        <v>18374</v>
      </c>
      <c r="AF154" s="76">
        <v>149731</v>
      </c>
      <c r="AG154" s="76">
        <v>168</v>
      </c>
      <c r="AH154" s="76">
        <v>77484</v>
      </c>
      <c r="AI154" s="76">
        <v>1006</v>
      </c>
      <c r="AJ154" s="76">
        <v>27</v>
      </c>
      <c r="AK154" s="76">
        <v>7415</v>
      </c>
      <c r="AL154" s="76" t="b">
        <v>0</v>
      </c>
      <c r="AM154" s="78">
        <v>39960.856168981481</v>
      </c>
      <c r="AN154" s="76" t="s">
        <v>12007</v>
      </c>
      <c r="AO154" s="76" t="s">
        <v>18899</v>
      </c>
      <c r="AP154" s="83" t="str">
        <f>HYPERLINK("https://t.co/VsyhWJi2BH")</f>
        <v>https://t.co/VsyhWJi2BH</v>
      </c>
      <c r="AQ154" s="83" t="str">
        <f>HYPERLINK("https://www.istoedinheiro.com.br")</f>
        <v>https://www.istoedinheiro.com.br</v>
      </c>
      <c r="AR154" s="76" t="s">
        <v>19385</v>
      </c>
      <c r="AS154" s="76"/>
      <c r="AT154" s="76"/>
      <c r="AU154" s="76"/>
      <c r="AV154" s="76">
        <v>1.6625629387821299E+18</v>
      </c>
      <c r="AW154" s="83" t="str">
        <f>HYPERLINK("https://t.co/VsyhWJi2BH")</f>
        <v>https://t.co/VsyhWJi2BH</v>
      </c>
      <c r="AX154" s="76" t="b">
        <v>0</v>
      </c>
      <c r="AY154" s="76"/>
      <c r="AZ154" s="76"/>
      <c r="BA154" s="76" t="b">
        <v>0</v>
      </c>
      <c r="BB154" s="76" t="b">
        <v>1</v>
      </c>
      <c r="BC154" s="76" t="b">
        <v>0</v>
      </c>
      <c r="BD154" s="76" t="b">
        <v>0</v>
      </c>
      <c r="BE154" s="76" t="b">
        <v>0</v>
      </c>
      <c r="BF154" s="76" t="b">
        <v>0</v>
      </c>
      <c r="BG154" s="76" t="b">
        <v>0</v>
      </c>
      <c r="BH154" s="83" t="str">
        <f>HYPERLINK("https://pbs.twimg.com/profile_banners/42962996/1580160110")</f>
        <v>https://pbs.twimg.com/profile_banners/42962996/1580160110</v>
      </c>
      <c r="BI154" s="76"/>
      <c r="BJ154" s="76" t="s">
        <v>19734</v>
      </c>
      <c r="BK154" s="76" t="b">
        <v>0</v>
      </c>
      <c r="BL154" s="76"/>
      <c r="BM154" s="76" t="s">
        <v>66</v>
      </c>
      <c r="BN154" s="76" t="s">
        <v>19736</v>
      </c>
      <c r="BO154" s="83" t="str">
        <f>HYPERLINK("https://twitter.com/istoe_dinheiro")</f>
        <v>https://twitter.com/istoe_dinheiro</v>
      </c>
      <c r="BP154" s="2"/>
    </row>
    <row r="155" spans="1:68" x14ac:dyDescent="0.25">
      <c r="A155" s="62" t="s">
        <v>355</v>
      </c>
      <c r="B155" s="63"/>
      <c r="C155" s="63"/>
      <c r="D155" s="64"/>
      <c r="E155" s="66"/>
      <c r="F155" s="103" t="str">
        <f>HYPERLINK("https://pbs.twimg.com/profile_images/1638935200959799298/uhVI6aV0_normal.jpg")</f>
        <v>https://pbs.twimg.com/profile_images/1638935200959799298/uhVI6aV0_normal.jpg</v>
      </c>
      <c r="G155" s="63"/>
      <c r="H155" s="67"/>
      <c r="I155" s="68"/>
      <c r="J155" s="68"/>
      <c r="K155" s="67" t="s">
        <v>19888</v>
      </c>
      <c r="L155" s="71"/>
      <c r="M155" s="72"/>
      <c r="N155" s="72"/>
      <c r="O155" s="73"/>
      <c r="P155" s="74"/>
      <c r="Q155" s="74"/>
      <c r="R155" s="87"/>
      <c r="S155" s="87"/>
      <c r="T155" s="87"/>
      <c r="U155" s="87"/>
      <c r="V155" s="48"/>
      <c r="W155" s="48"/>
      <c r="X155" s="48"/>
      <c r="Y155" s="48"/>
      <c r="Z155" s="47"/>
      <c r="AA155" s="69">
        <v>155</v>
      </c>
      <c r="AB155" s="69"/>
      <c r="AC155" s="70"/>
      <c r="AD155" s="76" t="s">
        <v>17904</v>
      </c>
      <c r="AE155" s="81" t="s">
        <v>17511</v>
      </c>
      <c r="AF155" s="76">
        <v>7</v>
      </c>
      <c r="AG155" s="76">
        <v>7</v>
      </c>
      <c r="AH155" s="76">
        <v>72</v>
      </c>
      <c r="AI155" s="76">
        <v>1</v>
      </c>
      <c r="AJ155" s="76">
        <v>0</v>
      </c>
      <c r="AK155" s="76">
        <v>72</v>
      </c>
      <c r="AL155" s="76" t="b">
        <v>0</v>
      </c>
      <c r="AM155" s="78">
        <v>45008.670856481483</v>
      </c>
      <c r="AN155" s="76"/>
      <c r="AO155" s="76" t="s">
        <v>18900</v>
      </c>
      <c r="AP155" s="76"/>
      <c r="AQ155" s="76"/>
      <c r="AR155" s="76"/>
      <c r="AS155" s="76"/>
      <c r="AT155" s="76"/>
      <c r="AU155" s="76"/>
      <c r="AV155" s="76"/>
      <c r="AW155" s="76"/>
      <c r="AX155" s="76" t="b">
        <v>0</v>
      </c>
      <c r="AY155" s="76"/>
      <c r="AZ155" s="76"/>
      <c r="BA155" s="76" t="b">
        <v>0</v>
      </c>
      <c r="BB155" s="76" t="b">
        <v>1</v>
      </c>
      <c r="BC155" s="76" t="b">
        <v>1</v>
      </c>
      <c r="BD155" s="76" t="b">
        <v>0</v>
      </c>
      <c r="BE155" s="76" t="b">
        <v>0</v>
      </c>
      <c r="BF155" s="76" t="b">
        <v>0</v>
      </c>
      <c r="BG155" s="76" t="b">
        <v>0</v>
      </c>
      <c r="BH155" s="76"/>
      <c r="BI155" s="76"/>
      <c r="BJ155" s="76" t="s">
        <v>19734</v>
      </c>
      <c r="BK155" s="76" t="b">
        <v>0</v>
      </c>
      <c r="BL155" s="76"/>
      <c r="BM155" s="76" t="s">
        <v>66</v>
      </c>
      <c r="BN155" s="76" t="s">
        <v>19736</v>
      </c>
      <c r="BO155" s="83" t="str">
        <f>HYPERLINK("https://twitter.com/rnainvest")</f>
        <v>https://twitter.com/rnainvest</v>
      </c>
      <c r="BP155" s="2"/>
    </row>
    <row r="156" spans="1:68" x14ac:dyDescent="0.25">
      <c r="A156" s="62" t="s">
        <v>356</v>
      </c>
      <c r="B156" s="63"/>
      <c r="C156" s="63"/>
      <c r="D156" s="64"/>
      <c r="E156" s="66"/>
      <c r="F156" s="103" t="str">
        <f>HYPERLINK("https://pbs.twimg.com/profile_images/1598352018007097346/JNCWPV91_normal.jpg")</f>
        <v>https://pbs.twimg.com/profile_images/1598352018007097346/JNCWPV91_normal.jpg</v>
      </c>
      <c r="G156" s="63"/>
      <c r="H156" s="67"/>
      <c r="I156" s="68"/>
      <c r="J156" s="68"/>
      <c r="K156" s="67" t="s">
        <v>19889</v>
      </c>
      <c r="L156" s="71"/>
      <c r="M156" s="72"/>
      <c r="N156" s="72"/>
      <c r="O156" s="73"/>
      <c r="P156" s="74"/>
      <c r="Q156" s="74"/>
      <c r="R156" s="87"/>
      <c r="S156" s="87"/>
      <c r="T156" s="87"/>
      <c r="U156" s="87"/>
      <c r="V156" s="48"/>
      <c r="W156" s="48"/>
      <c r="X156" s="48"/>
      <c r="Y156" s="48"/>
      <c r="Z156" s="47"/>
      <c r="AA156" s="69">
        <v>156</v>
      </c>
      <c r="AB156" s="69"/>
      <c r="AC156" s="70"/>
      <c r="AD156" s="76" t="s">
        <v>17905</v>
      </c>
      <c r="AE156" s="81" t="s">
        <v>18375</v>
      </c>
      <c r="AF156" s="76">
        <v>30506</v>
      </c>
      <c r="AG156" s="76">
        <v>129</v>
      </c>
      <c r="AH156" s="76">
        <v>38054</v>
      </c>
      <c r="AI156" s="76">
        <v>210</v>
      </c>
      <c r="AJ156" s="76">
        <v>495</v>
      </c>
      <c r="AK156" s="76">
        <v>17841</v>
      </c>
      <c r="AL156" s="76" t="b">
        <v>0</v>
      </c>
      <c r="AM156" s="78">
        <v>40009.003750000003</v>
      </c>
      <c r="AN156" s="76" t="s">
        <v>18611</v>
      </c>
      <c r="AO156" s="76" t="s">
        <v>18901</v>
      </c>
      <c r="AP156" s="83" t="str">
        <f>HYPERLINK("https://t.co/kvMLozjPqG")</f>
        <v>https://t.co/kvMLozjPqG</v>
      </c>
      <c r="AQ156" s="83" t="str">
        <f>HYPERLINK("http://www.ufpe.br/")</f>
        <v>http://www.ufpe.br/</v>
      </c>
      <c r="AR156" s="76" t="s">
        <v>7087</v>
      </c>
      <c r="AS156" s="83" t="str">
        <f>HYPERLINK("https://t.co/WiAbbUXPHd")</f>
        <v>https://t.co/WiAbbUXPHd</v>
      </c>
      <c r="AT156" s="83" t="str">
        <f>HYPERLINK("http://ufpe.br")</f>
        <v>http://ufpe.br</v>
      </c>
      <c r="AU156" s="76" t="s">
        <v>7087</v>
      </c>
      <c r="AV156" s="76"/>
      <c r="AW156" s="83" t="str">
        <f>HYPERLINK("https://t.co/kvMLozjPqG")</f>
        <v>https://t.co/kvMLozjPqG</v>
      </c>
      <c r="AX156" s="76" t="b">
        <v>0</v>
      </c>
      <c r="AY156" s="76"/>
      <c r="AZ156" s="76"/>
      <c r="BA156" s="76" t="b">
        <v>0</v>
      </c>
      <c r="BB156" s="76" t="b">
        <v>0</v>
      </c>
      <c r="BC156" s="76" t="b">
        <v>0</v>
      </c>
      <c r="BD156" s="76" t="b">
        <v>0</v>
      </c>
      <c r="BE156" s="76" t="b">
        <v>0</v>
      </c>
      <c r="BF156" s="76" t="b">
        <v>0</v>
      </c>
      <c r="BG156" s="76" t="b">
        <v>0</v>
      </c>
      <c r="BH156" s="83" t="str">
        <f>HYPERLINK("https://pbs.twimg.com/profile_banners/56862818/1657652586")</f>
        <v>https://pbs.twimg.com/profile_banners/56862818/1657652586</v>
      </c>
      <c r="BI156" s="76"/>
      <c r="BJ156" s="76" t="s">
        <v>19734</v>
      </c>
      <c r="BK156" s="76" t="b">
        <v>0</v>
      </c>
      <c r="BL156" s="76"/>
      <c r="BM156" s="76" t="s">
        <v>66</v>
      </c>
      <c r="BN156" s="76" t="s">
        <v>19736</v>
      </c>
      <c r="BO156" s="83" t="str">
        <f>HYPERLINK("https://twitter.com/ufpeoficial")</f>
        <v>https://twitter.com/ufpeoficial</v>
      </c>
      <c r="BP156" s="2"/>
    </row>
    <row r="157" spans="1:68" x14ac:dyDescent="0.25">
      <c r="A157" s="62" t="s">
        <v>746</v>
      </c>
      <c r="B157" s="63"/>
      <c r="C157" s="63"/>
      <c r="D157" s="64"/>
      <c r="E157" s="66"/>
      <c r="F157" s="103" t="str">
        <f>HYPERLINK("https://abs.twimg.com/sticky/default_profile_images/default_profile_normal.png")</f>
        <v>https://abs.twimg.com/sticky/default_profile_images/default_profile_normal.png</v>
      </c>
      <c r="G157" s="63"/>
      <c r="H157" s="67"/>
      <c r="I157" s="68"/>
      <c r="J157" s="68"/>
      <c r="K157" s="67" t="s">
        <v>19890</v>
      </c>
      <c r="L157" s="71"/>
      <c r="M157" s="72"/>
      <c r="N157" s="72"/>
      <c r="O157" s="73"/>
      <c r="P157" s="74"/>
      <c r="Q157" s="74"/>
      <c r="R157" s="87"/>
      <c r="S157" s="87"/>
      <c r="T157" s="87"/>
      <c r="U157" s="87"/>
      <c r="V157" s="48"/>
      <c r="W157" s="48"/>
      <c r="X157" s="48"/>
      <c r="Y157" s="48"/>
      <c r="Z157" s="47"/>
      <c r="AA157" s="69">
        <v>157</v>
      </c>
      <c r="AB157" s="69"/>
      <c r="AC157" s="70"/>
      <c r="AD157" s="76" t="s">
        <v>746</v>
      </c>
      <c r="AE157" s="81" t="s">
        <v>18376</v>
      </c>
      <c r="AF157" s="76">
        <v>40</v>
      </c>
      <c r="AG157" s="76">
        <v>2</v>
      </c>
      <c r="AH157" s="76">
        <v>1</v>
      </c>
      <c r="AI157" s="76">
        <v>0</v>
      </c>
      <c r="AJ157" s="76">
        <v>0</v>
      </c>
      <c r="AK157" s="76">
        <v>0</v>
      </c>
      <c r="AL157" s="76" t="b">
        <v>0</v>
      </c>
      <c r="AM157" s="78">
        <v>39464.649618055555</v>
      </c>
      <c r="AN157" s="76"/>
      <c r="AO157" s="76"/>
      <c r="AP157" s="76"/>
      <c r="AQ157" s="76"/>
      <c r="AR157" s="76"/>
      <c r="AS157" s="76"/>
      <c r="AT157" s="76"/>
      <c r="AU157" s="76"/>
      <c r="AV157" s="76"/>
      <c r="AW157" s="76"/>
      <c r="AX157" s="76" t="b">
        <v>0</v>
      </c>
      <c r="AY157" s="76"/>
      <c r="AZ157" s="76"/>
      <c r="BA157" s="76" t="b">
        <v>0</v>
      </c>
      <c r="BB157" s="76" t="b">
        <v>1</v>
      </c>
      <c r="BC157" s="76" t="b">
        <v>1</v>
      </c>
      <c r="BD157" s="76" t="b">
        <v>1</v>
      </c>
      <c r="BE157" s="76" t="b">
        <v>0</v>
      </c>
      <c r="BF157" s="76" t="b">
        <v>0</v>
      </c>
      <c r="BG157" s="76" t="b">
        <v>0</v>
      </c>
      <c r="BH157" s="76"/>
      <c r="BI157" s="76"/>
      <c r="BJ157" s="76" t="s">
        <v>19734</v>
      </c>
      <c r="BK157" s="76" t="b">
        <v>0</v>
      </c>
      <c r="BL157" s="76"/>
      <c r="BM157" s="76" t="s">
        <v>65</v>
      </c>
      <c r="BN157" s="76" t="s">
        <v>19736</v>
      </c>
      <c r="BO157" s="83" t="str">
        <f>HYPERLINK("https://twitter.com/erer")</f>
        <v>https://twitter.com/erer</v>
      </c>
      <c r="BP157" s="2"/>
    </row>
    <row r="158" spans="1:68" x14ac:dyDescent="0.25">
      <c r="A158" s="62" t="s">
        <v>357</v>
      </c>
      <c r="B158" s="63"/>
      <c r="C158" s="63"/>
      <c r="D158" s="64"/>
      <c r="E158" s="66"/>
      <c r="F158" s="103" t="str">
        <f>HYPERLINK("https://pbs.twimg.com/profile_images/1543970582823329795/L1SCwUt2_normal.jpg")</f>
        <v>https://pbs.twimg.com/profile_images/1543970582823329795/L1SCwUt2_normal.jpg</v>
      </c>
      <c r="G158" s="63"/>
      <c r="H158" s="67"/>
      <c r="I158" s="68"/>
      <c r="J158" s="68"/>
      <c r="K158" s="67" t="s">
        <v>19891</v>
      </c>
      <c r="L158" s="71"/>
      <c r="M158" s="72"/>
      <c r="N158" s="72"/>
      <c r="O158" s="73"/>
      <c r="P158" s="74"/>
      <c r="Q158" s="74"/>
      <c r="R158" s="87"/>
      <c r="S158" s="87"/>
      <c r="T158" s="87"/>
      <c r="U158" s="87"/>
      <c r="V158" s="48"/>
      <c r="W158" s="48"/>
      <c r="X158" s="48"/>
      <c r="Y158" s="48"/>
      <c r="Z158" s="47"/>
      <c r="AA158" s="69">
        <v>158</v>
      </c>
      <c r="AB158" s="69"/>
      <c r="AC158" s="70"/>
      <c r="AD158" s="76" t="s">
        <v>17906</v>
      </c>
      <c r="AE158" s="81" t="s">
        <v>18377</v>
      </c>
      <c r="AF158" s="76">
        <v>59</v>
      </c>
      <c r="AG158" s="76">
        <v>698</v>
      </c>
      <c r="AH158" s="76">
        <v>566</v>
      </c>
      <c r="AI158" s="76">
        <v>8</v>
      </c>
      <c r="AJ158" s="76">
        <v>679</v>
      </c>
      <c r="AK158" s="76">
        <v>46</v>
      </c>
      <c r="AL158" s="76" t="b">
        <v>0</v>
      </c>
      <c r="AM158" s="78">
        <v>40058.784236111111</v>
      </c>
      <c r="AN158" s="76" t="s">
        <v>18612</v>
      </c>
      <c r="AO158" s="76" t="s">
        <v>18902</v>
      </c>
      <c r="AP158" s="83" t="str">
        <f>HYPERLINK("https://t.co/2ZTkGMOboI")</f>
        <v>https://t.co/2ZTkGMOboI</v>
      </c>
      <c r="AQ158" s="83" t="str">
        <f>HYPERLINK("https://opensea.io/X_Brazil_Boys_13")</f>
        <v>https://opensea.io/X_Brazil_Boys_13</v>
      </c>
      <c r="AR158" s="76" t="s">
        <v>19386</v>
      </c>
      <c r="AS158" s="76"/>
      <c r="AT158" s="76"/>
      <c r="AU158" s="76"/>
      <c r="AV158" s="76"/>
      <c r="AW158" s="83" t="str">
        <f>HYPERLINK("https://t.co/2ZTkGMOboI")</f>
        <v>https://t.co/2ZTkGMOboI</v>
      </c>
      <c r="AX158" s="76" t="b">
        <v>0</v>
      </c>
      <c r="AY158" s="76"/>
      <c r="AZ158" s="76"/>
      <c r="BA158" s="76" t="b">
        <v>0</v>
      </c>
      <c r="BB158" s="76" t="b">
        <v>1</v>
      </c>
      <c r="BC158" s="76" t="b">
        <v>0</v>
      </c>
      <c r="BD158" s="76" t="b">
        <v>0</v>
      </c>
      <c r="BE158" s="76" t="b">
        <v>1</v>
      </c>
      <c r="BF158" s="76" t="b">
        <v>0</v>
      </c>
      <c r="BG158" s="76" t="b">
        <v>0</v>
      </c>
      <c r="BH158" s="83" t="str">
        <f>HYPERLINK("https://pbs.twimg.com/profile_banners/71041666/1645797399")</f>
        <v>https://pbs.twimg.com/profile_banners/71041666/1645797399</v>
      </c>
      <c r="BI158" s="76"/>
      <c r="BJ158" s="76" t="s">
        <v>19734</v>
      </c>
      <c r="BK158" s="76" t="b">
        <v>0</v>
      </c>
      <c r="BL158" s="76"/>
      <c r="BM158" s="76" t="s">
        <v>66</v>
      </c>
      <c r="BN158" s="76" t="s">
        <v>19736</v>
      </c>
      <c r="BO158" s="83" t="str">
        <f>HYPERLINK("https://twitter.com/rafaelalgodao")</f>
        <v>https://twitter.com/rafaelalgodao</v>
      </c>
      <c r="BP158" s="2"/>
    </row>
    <row r="159" spans="1:68" x14ac:dyDescent="0.25">
      <c r="A159" s="62" t="s">
        <v>358</v>
      </c>
      <c r="B159" s="63"/>
      <c r="C159" s="63"/>
      <c r="D159" s="64"/>
      <c r="E159" s="66"/>
      <c r="F159" s="103" t="str">
        <f>HYPERLINK("https://pbs.twimg.com/profile_images/1683664075098669057/erdBkVoh_normal.jpg")</f>
        <v>https://pbs.twimg.com/profile_images/1683664075098669057/erdBkVoh_normal.jpg</v>
      </c>
      <c r="G159" s="63"/>
      <c r="H159" s="67"/>
      <c r="I159" s="68"/>
      <c r="J159" s="68"/>
      <c r="K159" s="67" t="s">
        <v>19892</v>
      </c>
      <c r="L159" s="71"/>
      <c r="M159" s="72"/>
      <c r="N159" s="72"/>
      <c r="O159" s="73"/>
      <c r="P159" s="74"/>
      <c r="Q159" s="74"/>
      <c r="R159" s="87"/>
      <c r="S159" s="87"/>
      <c r="T159" s="87"/>
      <c r="U159" s="87"/>
      <c r="V159" s="48"/>
      <c r="W159" s="48"/>
      <c r="X159" s="48"/>
      <c r="Y159" s="48"/>
      <c r="Z159" s="47"/>
      <c r="AA159" s="69">
        <v>159</v>
      </c>
      <c r="AB159" s="69"/>
      <c r="AC159" s="70"/>
      <c r="AD159" s="76" t="s">
        <v>17907</v>
      </c>
      <c r="AE159" s="81" t="s">
        <v>17338</v>
      </c>
      <c r="AF159" s="76">
        <v>86</v>
      </c>
      <c r="AG159" s="76">
        <v>358</v>
      </c>
      <c r="AH159" s="76">
        <v>10162</v>
      </c>
      <c r="AI159" s="76">
        <v>0</v>
      </c>
      <c r="AJ159" s="76">
        <v>33747</v>
      </c>
      <c r="AK159" s="76">
        <v>1512</v>
      </c>
      <c r="AL159" s="76" t="b">
        <v>0</v>
      </c>
      <c r="AM159" s="78">
        <v>40637.564131944448</v>
      </c>
      <c r="AN159" s="76"/>
      <c r="AO159" s="76" t="s">
        <v>18903</v>
      </c>
      <c r="AP159" s="83" t="str">
        <f>HYPERLINK("https://t.co/VIJis1ojcA")</f>
        <v>https://t.co/VIJis1ojcA</v>
      </c>
      <c r="AQ159" s="83" t="str">
        <f>HYPERLINK("https://leadr.com.br/share/profile/index.html?pro")</f>
        <v>https://leadr.com.br/share/profile/index.html?pro</v>
      </c>
      <c r="AR159" s="76" t="s">
        <v>19387</v>
      </c>
      <c r="AS159" s="76"/>
      <c r="AT159" s="76"/>
      <c r="AU159" s="76"/>
      <c r="AV159" s="76">
        <v>1.09721683154536E+18</v>
      </c>
      <c r="AW159" s="83" t="str">
        <f>HYPERLINK("https://t.co/VIJis1ojcA")</f>
        <v>https://t.co/VIJis1ojcA</v>
      </c>
      <c r="AX159" s="76" t="b">
        <v>0</v>
      </c>
      <c r="AY159" s="76"/>
      <c r="AZ159" s="76"/>
      <c r="BA159" s="76" t="b">
        <v>0</v>
      </c>
      <c r="BB159" s="76" t="b">
        <v>1</v>
      </c>
      <c r="BC159" s="76" t="b">
        <v>0</v>
      </c>
      <c r="BD159" s="76" t="b">
        <v>0</v>
      </c>
      <c r="BE159" s="76" t="b">
        <v>1</v>
      </c>
      <c r="BF159" s="76" t="b">
        <v>0</v>
      </c>
      <c r="BG159" s="76" t="b">
        <v>0</v>
      </c>
      <c r="BH159" s="83" t="str">
        <f>HYPERLINK("https://pbs.twimg.com/profile_banners/276983166/1678754985")</f>
        <v>https://pbs.twimg.com/profile_banners/276983166/1678754985</v>
      </c>
      <c r="BI159" s="76"/>
      <c r="BJ159" s="76" t="s">
        <v>19734</v>
      </c>
      <c r="BK159" s="76" t="b">
        <v>0</v>
      </c>
      <c r="BL159" s="76"/>
      <c r="BM159" s="76" t="s">
        <v>66</v>
      </c>
      <c r="BN159" s="76" t="s">
        <v>19736</v>
      </c>
      <c r="BO159" s="83" t="str">
        <f>HYPERLINK("https://twitter.com/careca4p")</f>
        <v>https://twitter.com/careca4p</v>
      </c>
      <c r="BP159" s="2"/>
    </row>
    <row r="160" spans="1:68" x14ac:dyDescent="0.25">
      <c r="A160" s="62" t="s">
        <v>747</v>
      </c>
      <c r="B160" s="63"/>
      <c r="C160" s="63"/>
      <c r="D160" s="64"/>
      <c r="E160" s="66"/>
      <c r="F160" s="103" t="str">
        <f>HYPERLINK("https://pbs.twimg.com/profile_images/1580918795706765312/yPFb-QA7_normal.jpg")</f>
        <v>https://pbs.twimg.com/profile_images/1580918795706765312/yPFb-QA7_normal.jpg</v>
      </c>
      <c r="G160" s="63"/>
      <c r="H160" s="67"/>
      <c r="I160" s="68"/>
      <c r="J160" s="68"/>
      <c r="K160" s="67" t="s">
        <v>19893</v>
      </c>
      <c r="L160" s="71"/>
      <c r="M160" s="72"/>
      <c r="N160" s="72"/>
      <c r="O160" s="73"/>
      <c r="P160" s="74"/>
      <c r="Q160" s="74"/>
      <c r="R160" s="87"/>
      <c r="S160" s="87"/>
      <c r="T160" s="87"/>
      <c r="U160" s="87"/>
      <c r="V160" s="48"/>
      <c r="W160" s="48"/>
      <c r="X160" s="48"/>
      <c r="Y160" s="48"/>
      <c r="Z160" s="47"/>
      <c r="AA160" s="69">
        <v>160</v>
      </c>
      <c r="AB160" s="69"/>
      <c r="AC160" s="70"/>
      <c r="AD160" s="76" t="s">
        <v>17908</v>
      </c>
      <c r="AE160" s="81" t="s">
        <v>18378</v>
      </c>
      <c r="AF160" s="76">
        <v>359891</v>
      </c>
      <c r="AG160" s="76">
        <v>26</v>
      </c>
      <c r="AH160" s="76">
        <v>269427</v>
      </c>
      <c r="AI160" s="76">
        <v>420</v>
      </c>
      <c r="AJ160" s="76">
        <v>76648</v>
      </c>
      <c r="AK160" s="76">
        <v>39536</v>
      </c>
      <c r="AL160" s="76" t="b">
        <v>0</v>
      </c>
      <c r="AM160" s="78">
        <v>40148.573784722219</v>
      </c>
      <c r="AN160" s="76"/>
      <c r="AO160" s="76" t="s">
        <v>18904</v>
      </c>
      <c r="AP160" s="83" t="str">
        <f>HYPERLINK("https://t.co/UmfEpnSaNN")</f>
        <v>https://t.co/UmfEpnSaNN</v>
      </c>
      <c r="AQ160" s="83" t="str">
        <f>HYPERLINK("https://inter.co/pra-voce/global-account/?utm_medium=social&amp;utm_source=Twitter&amp;utm_campaign=instituc")</f>
        <v>https://inter.co/pra-voce/global-account/?utm_medium=social&amp;utm_source=Twitter&amp;utm_campaign=instituc</v>
      </c>
      <c r="AR160" s="76" t="s">
        <v>19388</v>
      </c>
      <c r="AS160" s="76"/>
      <c r="AT160" s="76"/>
      <c r="AU160" s="76"/>
      <c r="AV160" s="76">
        <v>1.68889714725555E+18</v>
      </c>
      <c r="AW160" s="83" t="str">
        <f>HYPERLINK("https://t.co/UmfEpnSaNN")</f>
        <v>https://t.co/UmfEpnSaNN</v>
      </c>
      <c r="AX160" s="76" t="b">
        <v>0</v>
      </c>
      <c r="AY160" s="76"/>
      <c r="AZ160" s="76"/>
      <c r="BA160" s="76" t="b">
        <v>1</v>
      </c>
      <c r="BB160" s="76" t="b">
        <v>1</v>
      </c>
      <c r="BC160" s="76" t="b">
        <v>0</v>
      </c>
      <c r="BD160" s="76" t="b">
        <v>0</v>
      </c>
      <c r="BE160" s="76" t="b">
        <v>1</v>
      </c>
      <c r="BF160" s="76" t="b">
        <v>0</v>
      </c>
      <c r="BG160" s="76" t="b">
        <v>0</v>
      </c>
      <c r="BH160" s="83" t="str">
        <f>HYPERLINK("https://pbs.twimg.com/profile_banners/93861945/1691496861")</f>
        <v>https://pbs.twimg.com/profile_banners/93861945/1691496861</v>
      </c>
      <c r="BI160" s="76"/>
      <c r="BJ160" s="76" t="s">
        <v>19734</v>
      </c>
      <c r="BK160" s="76" t="b">
        <v>0</v>
      </c>
      <c r="BL160" s="76"/>
      <c r="BM160" s="76" t="s">
        <v>65</v>
      </c>
      <c r="BN160" s="76" t="s">
        <v>19736</v>
      </c>
      <c r="BO160" s="83" t="str">
        <f>HYPERLINK("https://twitter.com/interbr")</f>
        <v>https://twitter.com/interbr</v>
      </c>
      <c r="BP160" s="2"/>
    </row>
    <row r="161" spans="1:68" x14ac:dyDescent="0.25">
      <c r="A161" s="62" t="s">
        <v>748</v>
      </c>
      <c r="B161" s="63"/>
      <c r="C161" s="63"/>
      <c r="D161" s="64"/>
      <c r="E161" s="66"/>
      <c r="F161" s="103" t="str">
        <f>HYPERLINK("https://pbs.twimg.com/profile_images/1607348400621584384/PeaNX50r_normal.jpg")</f>
        <v>https://pbs.twimg.com/profile_images/1607348400621584384/PeaNX50r_normal.jpg</v>
      </c>
      <c r="G161" s="63"/>
      <c r="H161" s="67"/>
      <c r="I161" s="68"/>
      <c r="J161" s="68"/>
      <c r="K161" s="67" t="s">
        <v>19894</v>
      </c>
      <c r="L161" s="71"/>
      <c r="M161" s="72"/>
      <c r="N161" s="72"/>
      <c r="O161" s="73"/>
      <c r="P161" s="74"/>
      <c r="Q161" s="74"/>
      <c r="R161" s="87"/>
      <c r="S161" s="87"/>
      <c r="T161" s="87"/>
      <c r="U161" s="87"/>
      <c r="V161" s="48"/>
      <c r="W161" s="48"/>
      <c r="X161" s="48"/>
      <c r="Y161" s="48"/>
      <c r="Z161" s="47"/>
      <c r="AA161" s="69">
        <v>161</v>
      </c>
      <c r="AB161" s="69"/>
      <c r="AC161" s="70"/>
      <c r="AD161" s="76" t="s">
        <v>17909</v>
      </c>
      <c r="AE161" s="81" t="s">
        <v>18379</v>
      </c>
      <c r="AF161" s="76">
        <v>2085593</v>
      </c>
      <c r="AG161" s="76">
        <v>2316</v>
      </c>
      <c r="AH161" s="76">
        <v>190127</v>
      </c>
      <c r="AI161" s="76">
        <v>1655</v>
      </c>
      <c r="AJ161" s="76">
        <v>17141</v>
      </c>
      <c r="AK161" s="76">
        <v>33950</v>
      </c>
      <c r="AL161" s="76" t="b">
        <v>0</v>
      </c>
      <c r="AM161" s="78">
        <v>40442.997175925928</v>
      </c>
      <c r="AN161" s="76" t="s">
        <v>12007</v>
      </c>
      <c r="AO161" s="76" t="s">
        <v>18905</v>
      </c>
      <c r="AP161" s="83" t="str">
        <f>HYPERLINK("https://t.co/NRatyGseN9")</f>
        <v>https://t.co/NRatyGseN9</v>
      </c>
      <c r="AQ161" s="83" t="str">
        <f>HYPERLINK("https://www.instagram.com/futebol_info0")</f>
        <v>https://www.instagram.com/futebol_info0</v>
      </c>
      <c r="AR161" s="76" t="s">
        <v>19389</v>
      </c>
      <c r="AS161" s="76"/>
      <c r="AT161" s="76"/>
      <c r="AU161" s="76"/>
      <c r="AV161" s="76"/>
      <c r="AW161" s="83" t="str">
        <f>HYPERLINK("https://t.co/NRatyGseN9")</f>
        <v>https://t.co/NRatyGseN9</v>
      </c>
      <c r="AX161" s="76" t="b">
        <v>1</v>
      </c>
      <c r="AY161" s="76"/>
      <c r="AZ161" s="76"/>
      <c r="BA161" s="76" t="b">
        <v>1</v>
      </c>
      <c r="BB161" s="76" t="b">
        <v>0</v>
      </c>
      <c r="BC161" s="76" t="b">
        <v>0</v>
      </c>
      <c r="BD161" s="76" t="b">
        <v>0</v>
      </c>
      <c r="BE161" s="76" t="b">
        <v>1</v>
      </c>
      <c r="BF161" s="76" t="b">
        <v>0</v>
      </c>
      <c r="BG161" s="76" t="b">
        <v>0</v>
      </c>
      <c r="BH161" s="83" t="str">
        <f>HYPERLINK("https://pbs.twimg.com/profile_banners/193500696/1681153544")</f>
        <v>https://pbs.twimg.com/profile_banners/193500696/1681153544</v>
      </c>
      <c r="BI161" s="76"/>
      <c r="BJ161" s="76" t="s">
        <v>19735</v>
      </c>
      <c r="BK161" s="76" t="b">
        <v>0</v>
      </c>
      <c r="BL161" s="76"/>
      <c r="BM161" s="76" t="s">
        <v>65</v>
      </c>
      <c r="BN161" s="76" t="s">
        <v>19736</v>
      </c>
      <c r="BO161" s="83" t="str">
        <f>HYPERLINK("https://twitter.com/futebol_info")</f>
        <v>https://twitter.com/futebol_info</v>
      </c>
      <c r="BP161" s="2"/>
    </row>
    <row r="162" spans="1:68" x14ac:dyDescent="0.25">
      <c r="A162" s="62" t="s">
        <v>749</v>
      </c>
      <c r="B162" s="63"/>
      <c r="C162" s="63"/>
      <c r="D162" s="64"/>
      <c r="E162" s="66"/>
      <c r="F162" s="103" t="str">
        <f>HYPERLINK("https://pbs.twimg.com/profile_images/1704157467154710528/P7Y8E27K_normal.jpg")</f>
        <v>https://pbs.twimg.com/profile_images/1704157467154710528/P7Y8E27K_normal.jpg</v>
      </c>
      <c r="G162" s="63"/>
      <c r="H162" s="67"/>
      <c r="I162" s="68"/>
      <c r="J162" s="68"/>
      <c r="K162" s="67" t="s">
        <v>19895</v>
      </c>
      <c r="L162" s="71"/>
      <c r="M162" s="72"/>
      <c r="N162" s="72"/>
      <c r="O162" s="73"/>
      <c r="P162" s="74"/>
      <c r="Q162" s="74"/>
      <c r="R162" s="87"/>
      <c r="S162" s="87"/>
      <c r="T162" s="87"/>
      <c r="U162" s="87"/>
      <c r="V162" s="48"/>
      <c r="W162" s="48"/>
      <c r="X162" s="48"/>
      <c r="Y162" s="48"/>
      <c r="Z162" s="47"/>
      <c r="AA162" s="69">
        <v>162</v>
      </c>
      <c r="AB162" s="69"/>
      <c r="AC162" s="70"/>
      <c r="AD162" s="76" t="s">
        <v>17910</v>
      </c>
      <c r="AE162" s="81" t="s">
        <v>17334</v>
      </c>
      <c r="AF162" s="76">
        <v>50132</v>
      </c>
      <c r="AG162" s="76">
        <v>26</v>
      </c>
      <c r="AH162" s="76">
        <v>10070</v>
      </c>
      <c r="AI162" s="76">
        <v>596</v>
      </c>
      <c r="AJ162" s="76">
        <v>1051</v>
      </c>
      <c r="AK162" s="76">
        <v>1175</v>
      </c>
      <c r="AL162" s="76" t="b">
        <v>0</v>
      </c>
      <c r="AM162" s="78">
        <v>43315.650219907409</v>
      </c>
      <c r="AN162" s="76"/>
      <c r="AO162" s="76" t="s">
        <v>18906</v>
      </c>
      <c r="AP162" s="83" t="str">
        <f>HYPERLINK("https://t.co/jQwSXssMwH")</f>
        <v>https://t.co/jQwSXssMwH</v>
      </c>
      <c r="AQ162" s="83" t="str">
        <f>HYPERLINK("https://suno.me/3PwaCWk")</f>
        <v>https://suno.me/3PwaCWk</v>
      </c>
      <c r="AR162" s="76" t="s">
        <v>19390</v>
      </c>
      <c r="AS162" s="76"/>
      <c r="AT162" s="76"/>
      <c r="AU162" s="76"/>
      <c r="AV162" s="76"/>
      <c r="AW162" s="83" t="str">
        <f>HYPERLINK("https://t.co/jQwSXssMwH")</f>
        <v>https://t.co/jQwSXssMwH</v>
      </c>
      <c r="AX162" s="76" t="b">
        <v>1</v>
      </c>
      <c r="AY162" s="76"/>
      <c r="AZ162" s="76"/>
      <c r="BA162" s="76" t="b">
        <v>1</v>
      </c>
      <c r="BB162" s="76" t="b">
        <v>1</v>
      </c>
      <c r="BC162" s="76" t="b">
        <v>1</v>
      </c>
      <c r="BD162" s="76" t="b">
        <v>0</v>
      </c>
      <c r="BE162" s="76" t="b">
        <v>0</v>
      </c>
      <c r="BF162" s="76" t="b">
        <v>0</v>
      </c>
      <c r="BG162" s="76" t="b">
        <v>0</v>
      </c>
      <c r="BH162" s="83" t="str">
        <f>HYPERLINK("https://pbs.twimg.com/profile_banners/1025405007825436672/1687267233")</f>
        <v>https://pbs.twimg.com/profile_banners/1025405007825436672/1687267233</v>
      </c>
      <c r="BI162" s="76"/>
      <c r="BJ162" s="76" t="s">
        <v>19734</v>
      </c>
      <c r="BK162" s="76" t="b">
        <v>0</v>
      </c>
      <c r="BL162" s="76"/>
      <c r="BM162" s="76" t="s">
        <v>65</v>
      </c>
      <c r="BN162" s="76" t="s">
        <v>19736</v>
      </c>
      <c r="BO162" s="83" t="str">
        <f>HYPERLINK("https://twitter.com/professorbaroni")</f>
        <v>https://twitter.com/professorbaroni</v>
      </c>
      <c r="BP162" s="2"/>
    </row>
    <row r="163" spans="1:68" x14ac:dyDescent="0.25">
      <c r="A163" s="62" t="s">
        <v>750</v>
      </c>
      <c r="B163" s="63"/>
      <c r="C163" s="63"/>
      <c r="D163" s="64"/>
      <c r="E163" s="66"/>
      <c r="F163" s="103" t="str">
        <f>HYPERLINK("https://pbs.twimg.com/profile_images/1685107923645521920/70UFDO1v_normal.jpg")</f>
        <v>https://pbs.twimg.com/profile_images/1685107923645521920/70UFDO1v_normal.jpg</v>
      </c>
      <c r="G163" s="63"/>
      <c r="H163" s="67"/>
      <c r="I163" s="68"/>
      <c r="J163" s="68"/>
      <c r="K163" s="67" t="s">
        <v>19896</v>
      </c>
      <c r="L163" s="71"/>
      <c r="M163" s="72"/>
      <c r="N163" s="72"/>
      <c r="O163" s="73"/>
      <c r="P163" s="74"/>
      <c r="Q163" s="74"/>
      <c r="R163" s="87"/>
      <c r="S163" s="87"/>
      <c r="T163" s="87"/>
      <c r="U163" s="87"/>
      <c r="V163" s="48"/>
      <c r="W163" s="48"/>
      <c r="X163" s="48"/>
      <c r="Y163" s="48"/>
      <c r="Z163" s="47"/>
      <c r="AA163" s="69">
        <v>163</v>
      </c>
      <c r="AB163" s="69"/>
      <c r="AC163" s="70"/>
      <c r="AD163" s="76" t="s">
        <v>17911</v>
      </c>
      <c r="AE163" s="81" t="s">
        <v>17335</v>
      </c>
      <c r="AF163" s="76">
        <v>105918</v>
      </c>
      <c r="AG163" s="76">
        <v>404</v>
      </c>
      <c r="AH163" s="76">
        <v>17293</v>
      </c>
      <c r="AI163" s="76">
        <v>689</v>
      </c>
      <c r="AJ163" s="76">
        <v>17769</v>
      </c>
      <c r="AK163" s="76">
        <v>662</v>
      </c>
      <c r="AL163" s="76" t="b">
        <v>0</v>
      </c>
      <c r="AM163" s="78">
        <v>43777.874618055554</v>
      </c>
      <c r="AN163" s="76"/>
      <c r="AO163" s="76" t="s">
        <v>18907</v>
      </c>
      <c r="AP163" s="83" t="str">
        <f>HYPERLINK("https://t.co/RhPxjHpktZ")</f>
        <v>https://t.co/RhPxjHpktZ</v>
      </c>
      <c r="AQ163" s="83" t="str">
        <f>HYPERLINK("https://lp.suno.com.br/cl/distribuicao-guia-suno-fiis/?utm_source=twitter.tadewald&amp;utm_medium=bio&amp;ut")</f>
        <v>https://lp.suno.com.br/cl/distribuicao-guia-suno-fiis/?utm_source=twitter.tadewald&amp;utm_medium=bio&amp;ut</v>
      </c>
      <c r="AR163" s="76" t="s">
        <v>19391</v>
      </c>
      <c r="AS163" s="76"/>
      <c r="AT163" s="76"/>
      <c r="AU163" s="76"/>
      <c r="AV163" s="76">
        <v>1.7041996801107699E+18</v>
      </c>
      <c r="AW163" s="83" t="str">
        <f>HYPERLINK("https://t.co/RhPxjHpktZ")</f>
        <v>https://t.co/RhPxjHpktZ</v>
      </c>
      <c r="AX163" s="76" t="b">
        <v>1</v>
      </c>
      <c r="AY163" s="76"/>
      <c r="AZ163" s="76"/>
      <c r="BA163" s="76" t="b">
        <v>0</v>
      </c>
      <c r="BB163" s="76" t="b">
        <v>0</v>
      </c>
      <c r="BC163" s="76" t="b">
        <v>1</v>
      </c>
      <c r="BD163" s="76" t="b">
        <v>0</v>
      </c>
      <c r="BE163" s="76" t="b">
        <v>1</v>
      </c>
      <c r="BF163" s="76" t="b">
        <v>0</v>
      </c>
      <c r="BG163" s="76" t="b">
        <v>0</v>
      </c>
      <c r="BH163" s="83" t="str">
        <f>HYPERLINK("https://pbs.twimg.com/profile_banners/1192909456075632640/1687952573")</f>
        <v>https://pbs.twimg.com/profile_banners/1192909456075632640/1687952573</v>
      </c>
      <c r="BI163" s="76"/>
      <c r="BJ163" s="76" t="s">
        <v>19734</v>
      </c>
      <c r="BK163" s="76" t="b">
        <v>0</v>
      </c>
      <c r="BL163" s="76"/>
      <c r="BM163" s="76" t="s">
        <v>65</v>
      </c>
      <c r="BN163" s="76" t="s">
        <v>19736</v>
      </c>
      <c r="BO163" s="83" t="str">
        <f>HYPERLINK("https://twitter.com/felipetadewald")</f>
        <v>https://twitter.com/felipetadewald</v>
      </c>
      <c r="BP163" s="2"/>
    </row>
    <row r="164" spans="1:68" x14ac:dyDescent="0.25">
      <c r="A164" s="62" t="s">
        <v>751</v>
      </c>
      <c r="B164" s="63"/>
      <c r="C164" s="63"/>
      <c r="D164" s="64"/>
      <c r="E164" s="66"/>
      <c r="F164" s="103" t="str">
        <f>HYPERLINK("https://pbs.twimg.com/profile_images/1476622667113508873/6WeO1hSk_normal.jpg")</f>
        <v>https://pbs.twimg.com/profile_images/1476622667113508873/6WeO1hSk_normal.jpg</v>
      </c>
      <c r="G164" s="63"/>
      <c r="H164" s="67"/>
      <c r="I164" s="68"/>
      <c r="J164" s="68"/>
      <c r="K164" s="67" t="s">
        <v>19897</v>
      </c>
      <c r="L164" s="71"/>
      <c r="M164" s="72"/>
      <c r="N164" s="72"/>
      <c r="O164" s="73"/>
      <c r="P164" s="74"/>
      <c r="Q164" s="74"/>
      <c r="R164" s="87"/>
      <c r="S164" s="87"/>
      <c r="T164" s="87"/>
      <c r="U164" s="87"/>
      <c r="V164" s="48"/>
      <c r="W164" s="48"/>
      <c r="X164" s="48"/>
      <c r="Y164" s="48"/>
      <c r="Z164" s="47"/>
      <c r="AA164" s="69">
        <v>164</v>
      </c>
      <c r="AB164" s="69"/>
      <c r="AC164" s="70"/>
      <c r="AD164" s="76" t="s">
        <v>17912</v>
      </c>
      <c r="AE164" s="81" t="s">
        <v>17333</v>
      </c>
      <c r="AF164" s="76">
        <v>119397</v>
      </c>
      <c r="AG164" s="76">
        <v>714</v>
      </c>
      <c r="AH164" s="76">
        <v>60793</v>
      </c>
      <c r="AI164" s="76">
        <v>501</v>
      </c>
      <c r="AJ164" s="76">
        <v>211099</v>
      </c>
      <c r="AK164" s="76">
        <v>6269</v>
      </c>
      <c r="AL164" s="76" t="b">
        <v>0</v>
      </c>
      <c r="AM164" s="78">
        <v>41093.011377314811</v>
      </c>
      <c r="AN164" s="76" t="s">
        <v>12013</v>
      </c>
      <c r="AO164" s="76" t="s">
        <v>18908</v>
      </c>
      <c r="AP164" s="83" t="str">
        <f>HYPERLINK("https://t.co/Z8TfItQ92x")</f>
        <v>https://t.co/Z8TfItQ92x</v>
      </c>
      <c r="AQ164" s="83" t="str">
        <f>HYPERLINK("https://linktr.ee/nonoinvestidor")</f>
        <v>https://linktr.ee/nonoinvestidor</v>
      </c>
      <c r="AR164" s="76" t="s">
        <v>19392</v>
      </c>
      <c r="AS164" s="76"/>
      <c r="AT164" s="76"/>
      <c r="AU164" s="76"/>
      <c r="AV164" s="76">
        <v>1.66253136464461E+18</v>
      </c>
      <c r="AW164" s="83" t="str">
        <f>HYPERLINK("https://t.co/Z8TfItQ92x")</f>
        <v>https://t.co/Z8TfItQ92x</v>
      </c>
      <c r="AX164" s="76" t="b">
        <v>1</v>
      </c>
      <c r="AY164" s="76"/>
      <c r="AZ164" s="76"/>
      <c r="BA164" s="76" t="b">
        <v>1</v>
      </c>
      <c r="BB164" s="76" t="b">
        <v>0</v>
      </c>
      <c r="BC164" s="76" t="b">
        <v>1</v>
      </c>
      <c r="BD164" s="76" t="b">
        <v>0</v>
      </c>
      <c r="BE164" s="76" t="b">
        <v>1</v>
      </c>
      <c r="BF164" s="76" t="b">
        <v>0</v>
      </c>
      <c r="BG164" s="76" t="b">
        <v>0</v>
      </c>
      <c r="BH164" s="83" t="str">
        <f>HYPERLINK("https://pbs.twimg.com/profile_banners/625192155/1615930360")</f>
        <v>https://pbs.twimg.com/profile_banners/625192155/1615930360</v>
      </c>
      <c r="BI164" s="76"/>
      <c r="BJ164" s="76" t="s">
        <v>19734</v>
      </c>
      <c r="BK164" s="76" t="b">
        <v>0</v>
      </c>
      <c r="BL164" s="76"/>
      <c r="BM164" s="76" t="s">
        <v>65</v>
      </c>
      <c r="BN164" s="76" t="s">
        <v>19736</v>
      </c>
      <c r="BO164" s="83" t="str">
        <f>HYPERLINK("https://twitter.com/nonoinvestidor")</f>
        <v>https://twitter.com/nonoinvestidor</v>
      </c>
      <c r="BP164" s="2"/>
    </row>
    <row r="165" spans="1:68" x14ac:dyDescent="0.25">
      <c r="A165" s="62" t="s">
        <v>359</v>
      </c>
      <c r="B165" s="63"/>
      <c r="C165" s="63"/>
      <c r="D165" s="64"/>
      <c r="E165" s="66"/>
      <c r="F165" s="103" t="str">
        <f>HYPERLINK("https://pbs.twimg.com/profile_images/1159581161548652550/WrTZHwXQ_normal.jpg")</f>
        <v>https://pbs.twimg.com/profile_images/1159581161548652550/WrTZHwXQ_normal.jpg</v>
      </c>
      <c r="G165" s="63"/>
      <c r="H165" s="67"/>
      <c r="I165" s="68"/>
      <c r="J165" s="68"/>
      <c r="K165" s="67" t="s">
        <v>19898</v>
      </c>
      <c r="L165" s="71"/>
      <c r="M165" s="72"/>
      <c r="N165" s="72"/>
      <c r="O165" s="73"/>
      <c r="P165" s="74"/>
      <c r="Q165" s="74"/>
      <c r="R165" s="87"/>
      <c r="S165" s="87"/>
      <c r="T165" s="87"/>
      <c r="U165" s="87"/>
      <c r="V165" s="48"/>
      <c r="W165" s="48"/>
      <c r="X165" s="48"/>
      <c r="Y165" s="48"/>
      <c r="Z165" s="47"/>
      <c r="AA165" s="69">
        <v>165</v>
      </c>
      <c r="AB165" s="69"/>
      <c r="AC165" s="70"/>
      <c r="AD165" s="76" t="s">
        <v>17913</v>
      </c>
      <c r="AE165" s="81" t="s">
        <v>18380</v>
      </c>
      <c r="AF165" s="76">
        <v>10579</v>
      </c>
      <c r="AG165" s="76">
        <v>26</v>
      </c>
      <c r="AH165" s="76">
        <v>4346</v>
      </c>
      <c r="AI165" s="76">
        <v>82</v>
      </c>
      <c r="AJ165" s="76">
        <v>980</v>
      </c>
      <c r="AK165" s="76">
        <v>1555</v>
      </c>
      <c r="AL165" s="76" t="b">
        <v>0</v>
      </c>
      <c r="AM165" s="78">
        <v>40843.792060185187</v>
      </c>
      <c r="AN165" s="76" t="s">
        <v>12007</v>
      </c>
      <c r="AO165" s="76" t="s">
        <v>18909</v>
      </c>
      <c r="AP165" s="83" t="str">
        <f>HYPERLINK("https://t.co/ZGpgf0mrrT")</f>
        <v>https://t.co/ZGpgf0mrrT</v>
      </c>
      <c r="AQ165" s="83" t="str">
        <f>HYPERLINK("http://www.anbima.com.br")</f>
        <v>http://www.anbima.com.br</v>
      </c>
      <c r="AR165" s="76" t="s">
        <v>19393</v>
      </c>
      <c r="AS165" s="76"/>
      <c r="AT165" s="76"/>
      <c r="AU165" s="76"/>
      <c r="AV165" s="76"/>
      <c r="AW165" s="83" t="str">
        <f>HYPERLINK("https://t.co/ZGpgf0mrrT")</f>
        <v>https://t.co/ZGpgf0mrrT</v>
      </c>
      <c r="AX165" s="76" t="b">
        <v>0</v>
      </c>
      <c r="AY165" s="76"/>
      <c r="AZ165" s="76"/>
      <c r="BA165" s="76" t="b">
        <v>1</v>
      </c>
      <c r="BB165" s="76" t="b">
        <v>1</v>
      </c>
      <c r="BC165" s="76" t="b">
        <v>0</v>
      </c>
      <c r="BD165" s="76" t="b">
        <v>0</v>
      </c>
      <c r="BE165" s="76" t="b">
        <v>0</v>
      </c>
      <c r="BF165" s="76" t="b">
        <v>0</v>
      </c>
      <c r="BG165" s="76" t="b">
        <v>0</v>
      </c>
      <c r="BH165" s="83" t="str">
        <f>HYPERLINK("https://pbs.twimg.com/profile_banners/399598534/1672943911")</f>
        <v>https://pbs.twimg.com/profile_banners/399598534/1672943911</v>
      </c>
      <c r="BI165" s="76"/>
      <c r="BJ165" s="76" t="s">
        <v>19734</v>
      </c>
      <c r="BK165" s="76" t="b">
        <v>0</v>
      </c>
      <c r="BL165" s="76"/>
      <c r="BM165" s="76" t="s">
        <v>66</v>
      </c>
      <c r="BN165" s="76" t="s">
        <v>19736</v>
      </c>
      <c r="BO165" s="83" t="str">
        <f>HYPERLINK("https://twitter.com/anbima_br")</f>
        <v>https://twitter.com/anbima_br</v>
      </c>
      <c r="BP165" s="2"/>
    </row>
    <row r="166" spans="1:68" x14ac:dyDescent="0.25">
      <c r="A166" s="62" t="s">
        <v>752</v>
      </c>
      <c r="B166" s="63"/>
      <c r="C166" s="63"/>
      <c r="D166" s="64"/>
      <c r="E166" s="66"/>
      <c r="F166" s="103" t="str">
        <f>HYPERLINK("https://pbs.twimg.com/profile_images/1393294633174716419/9uIWpYxR_normal.jpg")</f>
        <v>https://pbs.twimg.com/profile_images/1393294633174716419/9uIWpYxR_normal.jpg</v>
      </c>
      <c r="G166" s="63"/>
      <c r="H166" s="67"/>
      <c r="I166" s="68"/>
      <c r="J166" s="68"/>
      <c r="K166" s="67" t="s">
        <v>19899</v>
      </c>
      <c r="L166" s="71"/>
      <c r="M166" s="72"/>
      <c r="N166" s="72"/>
      <c r="O166" s="73"/>
      <c r="P166" s="74"/>
      <c r="Q166" s="74"/>
      <c r="R166" s="87"/>
      <c r="S166" s="87"/>
      <c r="T166" s="87"/>
      <c r="U166" s="87"/>
      <c r="V166" s="48"/>
      <c r="W166" s="48"/>
      <c r="X166" s="48"/>
      <c r="Y166" s="48"/>
      <c r="Z166" s="47"/>
      <c r="AA166" s="69">
        <v>166</v>
      </c>
      <c r="AB166" s="69"/>
      <c r="AC166" s="70"/>
      <c r="AD166" s="76" t="s">
        <v>17914</v>
      </c>
      <c r="AE166" s="81" t="s">
        <v>17336</v>
      </c>
      <c r="AF166" s="76">
        <v>5769</v>
      </c>
      <c r="AG166" s="76">
        <v>99</v>
      </c>
      <c r="AH166" s="76">
        <v>370</v>
      </c>
      <c r="AI166" s="76">
        <v>36</v>
      </c>
      <c r="AJ166" s="76">
        <v>508</v>
      </c>
      <c r="AK166" s="76">
        <v>161</v>
      </c>
      <c r="AL166" s="76" t="b">
        <v>0</v>
      </c>
      <c r="AM166" s="78">
        <v>44330.799432870372</v>
      </c>
      <c r="AN166" s="76"/>
      <c r="AO166" s="76" t="s">
        <v>18910</v>
      </c>
      <c r="AP166" s="83" t="str">
        <f>HYPERLINK("https://t.co/w9JenIj1Mm")</f>
        <v>https://t.co/w9JenIj1Mm</v>
      </c>
      <c r="AQ166" s="83" t="str">
        <f>HYPERLINK("https://linktr.ee/neto.invest")</f>
        <v>https://linktr.ee/neto.invest</v>
      </c>
      <c r="AR166" s="76" t="s">
        <v>19394</v>
      </c>
      <c r="AS166" s="76"/>
      <c r="AT166" s="76"/>
      <c r="AU166" s="76"/>
      <c r="AV166" s="76"/>
      <c r="AW166" s="83" t="str">
        <f>HYPERLINK("https://t.co/w9JenIj1Mm")</f>
        <v>https://t.co/w9JenIj1Mm</v>
      </c>
      <c r="AX166" s="76" t="b">
        <v>0</v>
      </c>
      <c r="AY166" s="76"/>
      <c r="AZ166" s="76"/>
      <c r="BA166" s="76" t="b">
        <v>0</v>
      </c>
      <c r="BB166" s="76" t="b">
        <v>1</v>
      </c>
      <c r="BC166" s="76" t="b">
        <v>1</v>
      </c>
      <c r="BD166" s="76" t="b">
        <v>0</v>
      </c>
      <c r="BE166" s="76" t="b">
        <v>1</v>
      </c>
      <c r="BF166" s="76" t="b">
        <v>0</v>
      </c>
      <c r="BG166" s="76" t="b">
        <v>0</v>
      </c>
      <c r="BH166" s="76"/>
      <c r="BI166" s="76"/>
      <c r="BJ166" s="76" t="s">
        <v>19734</v>
      </c>
      <c r="BK166" s="76" t="b">
        <v>0</v>
      </c>
      <c r="BL166" s="76"/>
      <c r="BM166" s="76" t="s">
        <v>65</v>
      </c>
      <c r="BN166" s="76" t="s">
        <v>19736</v>
      </c>
      <c r="BO166" s="83" t="str">
        <f>HYPERLINK("https://twitter.com/netoinvest")</f>
        <v>https://twitter.com/netoinvest</v>
      </c>
      <c r="BP166" s="2"/>
    </row>
    <row r="167" spans="1:68" x14ac:dyDescent="0.25">
      <c r="A167" s="62" t="s">
        <v>753</v>
      </c>
      <c r="B167" s="63"/>
      <c r="C167" s="63"/>
      <c r="D167" s="64"/>
      <c r="E167" s="66"/>
      <c r="F167" s="103" t="str">
        <f>HYPERLINK("https://pbs.twimg.com/profile_images/378800000207106481/ae31a02d42642ee116a2e2db5564a6d7_normal.jpeg")</f>
        <v>https://pbs.twimg.com/profile_images/378800000207106481/ae31a02d42642ee116a2e2db5564a6d7_normal.jpeg</v>
      </c>
      <c r="G167" s="63"/>
      <c r="H167" s="67"/>
      <c r="I167" s="68"/>
      <c r="J167" s="68"/>
      <c r="K167" s="67" t="s">
        <v>19900</v>
      </c>
      <c r="L167" s="71"/>
      <c r="M167" s="72"/>
      <c r="N167" s="72"/>
      <c r="O167" s="73"/>
      <c r="P167" s="74"/>
      <c r="Q167" s="74"/>
      <c r="R167" s="87"/>
      <c r="S167" s="87"/>
      <c r="T167" s="87"/>
      <c r="U167" s="87"/>
      <c r="V167" s="48"/>
      <c r="W167" s="48"/>
      <c r="X167" s="48"/>
      <c r="Y167" s="48"/>
      <c r="Z167" s="47"/>
      <c r="AA167" s="69">
        <v>167</v>
      </c>
      <c r="AB167" s="69"/>
      <c r="AC167" s="70"/>
      <c r="AD167" s="76" t="s">
        <v>17915</v>
      </c>
      <c r="AE167" s="81" t="s">
        <v>18381</v>
      </c>
      <c r="AF167" s="76">
        <v>43</v>
      </c>
      <c r="AG167" s="76">
        <v>113</v>
      </c>
      <c r="AH167" s="76">
        <v>117</v>
      </c>
      <c r="AI167" s="76">
        <v>0</v>
      </c>
      <c r="AJ167" s="76">
        <v>0</v>
      </c>
      <c r="AK167" s="76">
        <v>8</v>
      </c>
      <c r="AL167" s="76" t="b">
        <v>0</v>
      </c>
      <c r="AM167" s="78">
        <v>40627.516956018517</v>
      </c>
      <c r="AN167" s="76" t="s">
        <v>18613</v>
      </c>
      <c r="AO167" s="76" t="s">
        <v>18911</v>
      </c>
      <c r="AP167" s="83" t="str">
        <f>HYPERLINK("http://t.co/AZROeARDMP")</f>
        <v>http://t.co/AZROeARDMP</v>
      </c>
      <c r="AQ167" s="83" t="str">
        <f>HYPERLINK("http://www.ioneducation.com")</f>
        <v>http://www.ioneducation.com</v>
      </c>
      <c r="AR167" s="76" t="s">
        <v>19395</v>
      </c>
      <c r="AS167" s="76"/>
      <c r="AT167" s="76"/>
      <c r="AU167" s="76"/>
      <c r="AV167" s="76"/>
      <c r="AW167" s="83" t="str">
        <f>HYPERLINK("http://t.co/AZROeARDMP")</f>
        <v>http://t.co/AZROeARDMP</v>
      </c>
      <c r="AX167" s="76" t="b">
        <v>0</v>
      </c>
      <c r="AY167" s="76"/>
      <c r="AZ167" s="76"/>
      <c r="BA167" s="76" t="b">
        <v>0</v>
      </c>
      <c r="BB167" s="76" t="b">
        <v>1</v>
      </c>
      <c r="BC167" s="76" t="b">
        <v>0</v>
      </c>
      <c r="BD167" s="76" t="b">
        <v>0</v>
      </c>
      <c r="BE167" s="76" t="b">
        <v>0</v>
      </c>
      <c r="BF167" s="76" t="b">
        <v>0</v>
      </c>
      <c r="BG167" s="76" t="b">
        <v>0</v>
      </c>
      <c r="BH167" s="76"/>
      <c r="BI167" s="76"/>
      <c r="BJ167" s="76" t="s">
        <v>19734</v>
      </c>
      <c r="BK167" s="76" t="b">
        <v>0</v>
      </c>
      <c r="BL167" s="76"/>
      <c r="BM167" s="76" t="s">
        <v>65</v>
      </c>
      <c r="BN167" s="76" t="s">
        <v>19736</v>
      </c>
      <c r="BO167" s="83" t="str">
        <f>HYPERLINK("https://twitter.com/ionedu")</f>
        <v>https://twitter.com/ionedu</v>
      </c>
      <c r="BP167" s="2"/>
    </row>
    <row r="168" spans="1:68" x14ac:dyDescent="0.25">
      <c r="A168" s="62" t="s">
        <v>519</v>
      </c>
      <c r="B168" s="63"/>
      <c r="C168" s="63"/>
      <c r="D168" s="64"/>
      <c r="E168" s="66"/>
      <c r="F168" s="103" t="str">
        <f>HYPERLINK("https://pbs.twimg.com/profile_images/1505968327499436049/Ivkcir3F_normal.jpg")</f>
        <v>https://pbs.twimg.com/profile_images/1505968327499436049/Ivkcir3F_normal.jpg</v>
      </c>
      <c r="G168" s="63"/>
      <c r="H168" s="67"/>
      <c r="I168" s="68"/>
      <c r="J168" s="68"/>
      <c r="K168" s="67" t="s">
        <v>19901</v>
      </c>
      <c r="L168" s="71"/>
      <c r="M168" s="72"/>
      <c r="N168" s="72"/>
      <c r="O168" s="73"/>
      <c r="P168" s="74"/>
      <c r="Q168" s="74"/>
      <c r="R168" s="87"/>
      <c r="S168" s="87"/>
      <c r="T168" s="87"/>
      <c r="U168" s="87"/>
      <c r="V168" s="48"/>
      <c r="W168" s="48"/>
      <c r="X168" s="48"/>
      <c r="Y168" s="48"/>
      <c r="Z168" s="47"/>
      <c r="AA168" s="69">
        <v>168</v>
      </c>
      <c r="AB168" s="69"/>
      <c r="AC168" s="70"/>
      <c r="AD168" s="76" t="s">
        <v>17916</v>
      </c>
      <c r="AE168" s="81" t="s">
        <v>17359</v>
      </c>
      <c r="AF168" s="76">
        <v>281186</v>
      </c>
      <c r="AG168" s="76">
        <v>99</v>
      </c>
      <c r="AH168" s="76">
        <v>17675</v>
      </c>
      <c r="AI168" s="76">
        <v>2291</v>
      </c>
      <c r="AJ168" s="76">
        <v>1176</v>
      </c>
      <c r="AK168" s="76">
        <v>1821</v>
      </c>
      <c r="AL168" s="76" t="b">
        <v>0</v>
      </c>
      <c r="AM168" s="78">
        <v>40071.863125000003</v>
      </c>
      <c r="AN168" s="76" t="s">
        <v>12040</v>
      </c>
      <c r="AO168" s="76" t="s">
        <v>18912</v>
      </c>
      <c r="AP168" s="83" t="str">
        <f>HYPERLINK("https://t.co/3B5Z3vtAJh")</f>
        <v>https://t.co/3B5Z3vtAJh</v>
      </c>
      <c r="AQ168" s="83" t="str">
        <f>HYPERLINK("http://B3.com.br")</f>
        <v>http://B3.com.br</v>
      </c>
      <c r="AR168" s="76" t="s">
        <v>19396</v>
      </c>
      <c r="AS168" s="76"/>
      <c r="AT168" s="76"/>
      <c r="AU168" s="76"/>
      <c r="AV168" s="76">
        <v>1.53237900071423E+18</v>
      </c>
      <c r="AW168" s="83" t="str">
        <f>HYPERLINK("https://t.co/3B5Z3vtAJh")</f>
        <v>https://t.co/3B5Z3vtAJh</v>
      </c>
      <c r="AX168" s="76" t="b">
        <v>1</v>
      </c>
      <c r="AY168" s="76"/>
      <c r="AZ168" s="76"/>
      <c r="BA168" s="76" t="b">
        <v>1</v>
      </c>
      <c r="BB168" s="76" t="b">
        <v>1</v>
      </c>
      <c r="BC168" s="76" t="b">
        <v>0</v>
      </c>
      <c r="BD168" s="76" t="b">
        <v>0</v>
      </c>
      <c r="BE168" s="76" t="b">
        <v>1</v>
      </c>
      <c r="BF168" s="76" t="b">
        <v>0</v>
      </c>
      <c r="BG168" s="76" t="b">
        <v>0</v>
      </c>
      <c r="BH168" s="83" t="str">
        <f>HYPERLINK("https://pbs.twimg.com/profile_banners/74550038/1691693788")</f>
        <v>https://pbs.twimg.com/profile_banners/74550038/1691693788</v>
      </c>
      <c r="BI168" s="76"/>
      <c r="BJ168" s="76" t="s">
        <v>19734</v>
      </c>
      <c r="BK168" s="76" t="b">
        <v>0</v>
      </c>
      <c r="BL168" s="76"/>
      <c r="BM168" s="76" t="s">
        <v>66</v>
      </c>
      <c r="BN168" s="76" t="s">
        <v>19736</v>
      </c>
      <c r="BO168" s="83" t="str">
        <f>HYPERLINK("https://twitter.com/b3_oficial")</f>
        <v>https://twitter.com/b3_oficial</v>
      </c>
      <c r="BP168" s="2"/>
    </row>
    <row r="169" spans="1:68" x14ac:dyDescent="0.25">
      <c r="A169" s="62" t="s">
        <v>668</v>
      </c>
      <c r="B169" s="63"/>
      <c r="C169" s="63"/>
      <c r="D169" s="64"/>
      <c r="E169" s="66"/>
      <c r="F169" s="103" t="str">
        <f>HYPERLINK("https://pbs.twimg.com/profile_images/1694699476663914496/pAhGWDTb_normal.jpg")</f>
        <v>https://pbs.twimg.com/profile_images/1694699476663914496/pAhGWDTb_normal.jpg</v>
      </c>
      <c r="G169" s="63"/>
      <c r="H169" s="67"/>
      <c r="I169" s="68"/>
      <c r="J169" s="68"/>
      <c r="K169" s="67" t="s">
        <v>19902</v>
      </c>
      <c r="L169" s="71"/>
      <c r="M169" s="72"/>
      <c r="N169" s="72"/>
      <c r="O169" s="73"/>
      <c r="P169" s="74"/>
      <c r="Q169" s="74"/>
      <c r="R169" s="87"/>
      <c r="S169" s="87"/>
      <c r="T169" s="87"/>
      <c r="U169" s="87"/>
      <c r="V169" s="48"/>
      <c r="W169" s="48"/>
      <c r="X169" s="48"/>
      <c r="Y169" s="48"/>
      <c r="Z169" s="47"/>
      <c r="AA169" s="69">
        <v>169</v>
      </c>
      <c r="AB169" s="69"/>
      <c r="AC169" s="70"/>
      <c r="AD169" s="76" t="s">
        <v>17917</v>
      </c>
      <c r="AE169" s="81" t="s">
        <v>17337</v>
      </c>
      <c r="AF169" s="76">
        <v>4781</v>
      </c>
      <c r="AG169" s="76">
        <v>18</v>
      </c>
      <c r="AH169" s="76">
        <v>17062</v>
      </c>
      <c r="AI169" s="76">
        <v>48</v>
      </c>
      <c r="AJ169" s="76">
        <v>233</v>
      </c>
      <c r="AK169" s="76">
        <v>973</v>
      </c>
      <c r="AL169" s="76" t="b">
        <v>0</v>
      </c>
      <c r="AM169" s="78">
        <v>44434.865127314813</v>
      </c>
      <c r="AN169" s="76" t="s">
        <v>12014</v>
      </c>
      <c r="AO169" s="76" t="s">
        <v>18913</v>
      </c>
      <c r="AP169" s="83" t="str">
        <f>HYPERLINK("https://t.co/U9FwGQUhSH")</f>
        <v>https://t.co/U9FwGQUhSH</v>
      </c>
      <c r="AQ169" s="83" t="str">
        <f>HYPERLINK("https://inteligenciafinanceira.com.br/")</f>
        <v>https://inteligenciafinanceira.com.br/</v>
      </c>
      <c r="AR169" s="76" t="s">
        <v>19397</v>
      </c>
      <c r="AS169" s="76"/>
      <c r="AT169" s="76"/>
      <c r="AU169" s="76"/>
      <c r="AV169" s="76"/>
      <c r="AW169" s="83" t="str">
        <f>HYPERLINK("https://t.co/U9FwGQUhSH")</f>
        <v>https://t.co/U9FwGQUhSH</v>
      </c>
      <c r="AX169" s="76" t="b">
        <v>0</v>
      </c>
      <c r="AY169" s="76"/>
      <c r="AZ169" s="76"/>
      <c r="BA169" s="76" t="b">
        <v>0</v>
      </c>
      <c r="BB169" s="76" t="b">
        <v>0</v>
      </c>
      <c r="BC169" s="76" t="b">
        <v>1</v>
      </c>
      <c r="BD169" s="76" t="b">
        <v>0</v>
      </c>
      <c r="BE169" s="76" t="b">
        <v>1</v>
      </c>
      <c r="BF169" s="76" t="b">
        <v>0</v>
      </c>
      <c r="BG169" s="76" t="b">
        <v>0</v>
      </c>
      <c r="BH169" s="83" t="str">
        <f>HYPERLINK("https://pbs.twimg.com/profile_banners/1430994486277156879/1692882816")</f>
        <v>https://pbs.twimg.com/profile_banners/1430994486277156879/1692882816</v>
      </c>
      <c r="BI169" s="76"/>
      <c r="BJ169" s="76" t="s">
        <v>19734</v>
      </c>
      <c r="BK169" s="76" t="b">
        <v>0</v>
      </c>
      <c r="BL169" s="76"/>
      <c r="BM169" s="76" t="s">
        <v>66</v>
      </c>
      <c r="BN169" s="76" t="s">
        <v>19736</v>
      </c>
      <c r="BO169" s="83" t="str">
        <f>HYPERLINK("https://twitter.com/sigaif")</f>
        <v>https://twitter.com/sigaif</v>
      </c>
      <c r="BP169" s="2"/>
    </row>
    <row r="170" spans="1:68" x14ac:dyDescent="0.25">
      <c r="A170" s="62" t="s">
        <v>360</v>
      </c>
      <c r="B170" s="63"/>
      <c r="C170" s="63"/>
      <c r="D170" s="64"/>
      <c r="E170" s="66"/>
      <c r="F170" s="103" t="str">
        <f>HYPERLINK("https://pbs.twimg.com/profile_images/1555536899057631234/UFFMYTPh_normal.jpg")</f>
        <v>https://pbs.twimg.com/profile_images/1555536899057631234/UFFMYTPh_normal.jpg</v>
      </c>
      <c r="G170" s="63"/>
      <c r="H170" s="67"/>
      <c r="I170" s="68"/>
      <c r="J170" s="68"/>
      <c r="K170" s="67" t="s">
        <v>19903</v>
      </c>
      <c r="L170" s="71"/>
      <c r="M170" s="72"/>
      <c r="N170" s="72"/>
      <c r="O170" s="73"/>
      <c r="P170" s="74"/>
      <c r="Q170" s="74"/>
      <c r="R170" s="87"/>
      <c r="S170" s="87"/>
      <c r="T170" s="87"/>
      <c r="U170" s="87"/>
      <c r="V170" s="48"/>
      <c r="W170" s="48"/>
      <c r="X170" s="48"/>
      <c r="Y170" s="48"/>
      <c r="Z170" s="47"/>
      <c r="AA170" s="69">
        <v>170</v>
      </c>
      <c r="AB170" s="69"/>
      <c r="AC170" s="70"/>
      <c r="AD170" s="76" t="s">
        <v>17918</v>
      </c>
      <c r="AE170" s="81" t="s">
        <v>18382</v>
      </c>
      <c r="AF170" s="76">
        <v>98</v>
      </c>
      <c r="AG170" s="76">
        <v>779</v>
      </c>
      <c r="AH170" s="76">
        <v>596</v>
      </c>
      <c r="AI170" s="76">
        <v>4</v>
      </c>
      <c r="AJ170" s="76">
        <v>11935</v>
      </c>
      <c r="AK170" s="76">
        <v>52</v>
      </c>
      <c r="AL170" s="76" t="b">
        <v>0</v>
      </c>
      <c r="AM170" s="78">
        <v>40130.024247685185</v>
      </c>
      <c r="AN170" s="76" t="s">
        <v>12007</v>
      </c>
      <c r="AO170" s="76" t="s">
        <v>18914</v>
      </c>
      <c r="AP170" s="76"/>
      <c r="AQ170" s="76"/>
      <c r="AR170" s="76"/>
      <c r="AS170" s="76"/>
      <c r="AT170" s="76"/>
      <c r="AU170" s="76"/>
      <c r="AV170" s="76">
        <v>1.6850058796644301E+18</v>
      </c>
      <c r="AW170" s="76"/>
      <c r="AX170" s="76" t="b">
        <v>0</v>
      </c>
      <c r="AY170" s="76"/>
      <c r="AZ170" s="76"/>
      <c r="BA170" s="76" t="b">
        <v>0</v>
      </c>
      <c r="BB170" s="76" t="b">
        <v>0</v>
      </c>
      <c r="BC170" s="76" t="b">
        <v>1</v>
      </c>
      <c r="BD170" s="76" t="b">
        <v>0</v>
      </c>
      <c r="BE170" s="76" t="b">
        <v>1</v>
      </c>
      <c r="BF170" s="76" t="b">
        <v>0</v>
      </c>
      <c r="BG170" s="76" t="b">
        <v>0</v>
      </c>
      <c r="BH170" s="76"/>
      <c r="BI170" s="76"/>
      <c r="BJ170" s="76" t="s">
        <v>19734</v>
      </c>
      <c r="BK170" s="76" t="b">
        <v>0</v>
      </c>
      <c r="BL170" s="76"/>
      <c r="BM170" s="76" t="s">
        <v>66</v>
      </c>
      <c r="BN170" s="76" t="s">
        <v>19736</v>
      </c>
      <c r="BO170" s="83" t="str">
        <f>HYPERLINK("https://twitter.com/andrecerque")</f>
        <v>https://twitter.com/andrecerque</v>
      </c>
      <c r="BP170" s="2"/>
    </row>
    <row r="171" spans="1:68" x14ac:dyDescent="0.25">
      <c r="A171" s="62" t="s">
        <v>361</v>
      </c>
      <c r="B171" s="63"/>
      <c r="C171" s="63"/>
      <c r="D171" s="64"/>
      <c r="E171" s="66"/>
      <c r="F171" s="103" t="str">
        <f>HYPERLINK("https://pbs.twimg.com/profile_images/1260286614749790213/1mHXnOkW_normal.jpg")</f>
        <v>https://pbs.twimg.com/profile_images/1260286614749790213/1mHXnOkW_normal.jpg</v>
      </c>
      <c r="G171" s="63"/>
      <c r="H171" s="67"/>
      <c r="I171" s="68"/>
      <c r="J171" s="68"/>
      <c r="K171" s="67" t="s">
        <v>19904</v>
      </c>
      <c r="L171" s="71"/>
      <c r="M171" s="72"/>
      <c r="N171" s="72"/>
      <c r="O171" s="73"/>
      <c r="P171" s="74"/>
      <c r="Q171" s="74"/>
      <c r="R171" s="87"/>
      <c r="S171" s="87"/>
      <c r="T171" s="87"/>
      <c r="U171" s="87"/>
      <c r="V171" s="48"/>
      <c r="W171" s="48"/>
      <c r="X171" s="48"/>
      <c r="Y171" s="48"/>
      <c r="Z171" s="47"/>
      <c r="AA171" s="69">
        <v>171</v>
      </c>
      <c r="AB171" s="69"/>
      <c r="AC171" s="70"/>
      <c r="AD171" s="76" t="s">
        <v>17919</v>
      </c>
      <c r="AE171" s="81" t="s">
        <v>17339</v>
      </c>
      <c r="AF171" s="76">
        <v>7743</v>
      </c>
      <c r="AG171" s="76">
        <v>70</v>
      </c>
      <c r="AH171" s="76">
        <v>5443</v>
      </c>
      <c r="AI171" s="76">
        <v>122</v>
      </c>
      <c r="AJ171" s="76">
        <v>497</v>
      </c>
      <c r="AK171" s="76">
        <v>568</v>
      </c>
      <c r="AL171" s="76" t="b">
        <v>0</v>
      </c>
      <c r="AM171" s="78">
        <v>40454.924675925926</v>
      </c>
      <c r="AN171" s="76" t="s">
        <v>12007</v>
      </c>
      <c r="AO171" s="76" t="s">
        <v>18915</v>
      </c>
      <c r="AP171" s="83" t="str">
        <f>HYPERLINK("https://t.co/eC9F6MAwDg")</f>
        <v>https://t.co/eC9F6MAwDg</v>
      </c>
      <c r="AQ171" s="83" t="str">
        <f>HYPERLINK("https://bit.ly/3C0Bvv9")</f>
        <v>https://bit.ly/3C0Bvv9</v>
      </c>
      <c r="AR171" s="76" t="s">
        <v>19398</v>
      </c>
      <c r="AS171" s="76"/>
      <c r="AT171" s="76"/>
      <c r="AU171" s="76"/>
      <c r="AV171" s="76">
        <v>1.2794034342533499E+18</v>
      </c>
      <c r="AW171" s="83" t="str">
        <f>HYPERLINK("https://t.co/eC9F6MAwDg")</f>
        <v>https://t.co/eC9F6MAwDg</v>
      </c>
      <c r="AX171" s="76" t="b">
        <v>0</v>
      </c>
      <c r="AY171" s="76"/>
      <c r="AZ171" s="76"/>
      <c r="BA171" s="76" t="b">
        <v>1</v>
      </c>
      <c r="BB171" s="76" t="b">
        <v>1</v>
      </c>
      <c r="BC171" s="76" t="b">
        <v>0</v>
      </c>
      <c r="BD171" s="76" t="b">
        <v>0</v>
      </c>
      <c r="BE171" s="76" t="b">
        <v>1</v>
      </c>
      <c r="BF171" s="76" t="b">
        <v>0</v>
      </c>
      <c r="BG171" s="76" t="b">
        <v>0</v>
      </c>
      <c r="BH171" s="83" t="str">
        <f>HYPERLINK("https://pbs.twimg.com/profile_banners/198291992/1657030185")</f>
        <v>https://pbs.twimg.com/profile_banners/198291992/1657030185</v>
      </c>
      <c r="BI171" s="76"/>
      <c r="BJ171" s="76" t="s">
        <v>19734</v>
      </c>
      <c r="BK171" s="76" t="b">
        <v>0</v>
      </c>
      <c r="BL171" s="76"/>
      <c r="BM171" s="76" t="s">
        <v>66</v>
      </c>
      <c r="BN171" s="76" t="s">
        <v>19736</v>
      </c>
      <c r="BO171" s="83" t="str">
        <f>HYPERLINK("https://twitter.com/oramainvest")</f>
        <v>https://twitter.com/oramainvest</v>
      </c>
      <c r="BP171" s="2"/>
    </row>
    <row r="172" spans="1:68" x14ac:dyDescent="0.25">
      <c r="A172" s="62" t="s">
        <v>362</v>
      </c>
      <c r="B172" s="63"/>
      <c r="C172" s="63"/>
      <c r="D172" s="64"/>
      <c r="E172" s="66"/>
      <c r="F172" s="103" t="str">
        <f>HYPERLINK("https://pbs.twimg.com/profile_images/1438285343963353090/FFrS1QU5_normal.jpg")</f>
        <v>https://pbs.twimg.com/profile_images/1438285343963353090/FFrS1QU5_normal.jpg</v>
      </c>
      <c r="G172" s="63"/>
      <c r="H172" s="67"/>
      <c r="I172" s="68"/>
      <c r="J172" s="68"/>
      <c r="K172" s="67" t="s">
        <v>19905</v>
      </c>
      <c r="L172" s="71"/>
      <c r="M172" s="72"/>
      <c r="N172" s="72"/>
      <c r="O172" s="73"/>
      <c r="P172" s="74"/>
      <c r="Q172" s="74"/>
      <c r="R172" s="87"/>
      <c r="S172" s="87"/>
      <c r="T172" s="87"/>
      <c r="U172" s="87"/>
      <c r="V172" s="48"/>
      <c r="W172" s="48"/>
      <c r="X172" s="48"/>
      <c r="Y172" s="48"/>
      <c r="Z172" s="47"/>
      <c r="AA172" s="69">
        <v>172</v>
      </c>
      <c r="AB172" s="69"/>
      <c r="AC172" s="70"/>
      <c r="AD172" s="76" t="s">
        <v>17920</v>
      </c>
      <c r="AE172" s="81" t="s">
        <v>17512</v>
      </c>
      <c r="AF172" s="76">
        <v>28</v>
      </c>
      <c r="AG172" s="76">
        <v>262</v>
      </c>
      <c r="AH172" s="76">
        <v>626</v>
      </c>
      <c r="AI172" s="76">
        <v>0</v>
      </c>
      <c r="AJ172" s="76">
        <v>696</v>
      </c>
      <c r="AK172" s="76">
        <v>21</v>
      </c>
      <c r="AL172" s="76" t="b">
        <v>0</v>
      </c>
      <c r="AM172" s="78">
        <v>44423.034918981481</v>
      </c>
      <c r="AN172" s="76"/>
      <c r="AO172" s="76" t="s">
        <v>18916</v>
      </c>
      <c r="AP172" s="76"/>
      <c r="AQ172" s="76"/>
      <c r="AR172" s="76"/>
      <c r="AS172" s="76"/>
      <c r="AT172" s="76"/>
      <c r="AU172" s="76"/>
      <c r="AV172" s="76"/>
      <c r="AW172" s="76"/>
      <c r="AX172" s="76" t="b">
        <v>0</v>
      </c>
      <c r="AY172" s="76"/>
      <c r="AZ172" s="76"/>
      <c r="BA172" s="76" t="b">
        <v>0</v>
      </c>
      <c r="BB172" s="76" t="b">
        <v>1</v>
      </c>
      <c r="BC172" s="76" t="b">
        <v>1</v>
      </c>
      <c r="BD172" s="76" t="b">
        <v>0</v>
      </c>
      <c r="BE172" s="76" t="b">
        <v>1</v>
      </c>
      <c r="BF172" s="76" t="b">
        <v>0</v>
      </c>
      <c r="BG172" s="76" t="b">
        <v>0</v>
      </c>
      <c r="BH172" s="83" t="str">
        <f>HYPERLINK("https://pbs.twimg.com/profile_banners/1426707668039782400/1631748922")</f>
        <v>https://pbs.twimg.com/profile_banners/1426707668039782400/1631748922</v>
      </c>
      <c r="BI172" s="76"/>
      <c r="BJ172" s="76" t="s">
        <v>19734</v>
      </c>
      <c r="BK172" s="76" t="b">
        <v>0</v>
      </c>
      <c r="BL172" s="76"/>
      <c r="BM172" s="76" t="s">
        <v>66</v>
      </c>
      <c r="BN172" s="76" t="s">
        <v>19736</v>
      </c>
      <c r="BO172" s="83" t="str">
        <f>HYPERLINK("https://twitter.com/nicolaslicce")</f>
        <v>https://twitter.com/nicolaslicce</v>
      </c>
      <c r="BP172" s="2"/>
    </row>
    <row r="173" spans="1:68" x14ac:dyDescent="0.25">
      <c r="A173" s="62" t="s">
        <v>754</v>
      </c>
      <c r="B173" s="63"/>
      <c r="C173" s="63"/>
      <c r="D173" s="64"/>
      <c r="E173" s="66"/>
      <c r="F173" s="103" t="str">
        <f>HYPERLINK("https://pbs.twimg.com/profile_images/1268673443928649730/lOfQWDCt_normal.jpg")</f>
        <v>https://pbs.twimg.com/profile_images/1268673443928649730/lOfQWDCt_normal.jpg</v>
      </c>
      <c r="G173" s="63"/>
      <c r="H173" s="67"/>
      <c r="I173" s="68"/>
      <c r="J173" s="68"/>
      <c r="K173" s="67" t="s">
        <v>19906</v>
      </c>
      <c r="L173" s="71"/>
      <c r="M173" s="72"/>
      <c r="N173" s="72"/>
      <c r="O173" s="73"/>
      <c r="P173" s="74"/>
      <c r="Q173" s="74"/>
      <c r="R173" s="87"/>
      <c r="S173" s="87"/>
      <c r="T173" s="87"/>
      <c r="U173" s="87"/>
      <c r="V173" s="48"/>
      <c r="W173" s="48"/>
      <c r="X173" s="48"/>
      <c r="Y173" s="48"/>
      <c r="Z173" s="47"/>
      <c r="AA173" s="69">
        <v>173</v>
      </c>
      <c r="AB173" s="69"/>
      <c r="AC173" s="70"/>
      <c r="AD173" s="76" t="s">
        <v>17921</v>
      </c>
      <c r="AE173" s="81" t="s">
        <v>18383</v>
      </c>
      <c r="AF173" s="76">
        <v>1513</v>
      </c>
      <c r="AG173" s="76">
        <v>13</v>
      </c>
      <c r="AH173" s="76">
        <v>2296</v>
      </c>
      <c r="AI173" s="76">
        <v>11</v>
      </c>
      <c r="AJ173" s="76">
        <v>157</v>
      </c>
      <c r="AK173" s="76">
        <v>29</v>
      </c>
      <c r="AL173" s="76" t="b">
        <v>0</v>
      </c>
      <c r="AM173" s="78">
        <v>43713.879571759258</v>
      </c>
      <c r="AN173" s="76" t="s">
        <v>18589</v>
      </c>
      <c r="AO173" s="76" t="s">
        <v>18917</v>
      </c>
      <c r="AP173" s="76"/>
      <c r="AQ173" s="76"/>
      <c r="AR173" s="76"/>
      <c r="AS173" s="76"/>
      <c r="AT173" s="76"/>
      <c r="AU173" s="76"/>
      <c r="AV173" s="76">
        <v>1.2406366865870999E+18</v>
      </c>
      <c r="AW173" s="76"/>
      <c r="AX173" s="76" t="b">
        <v>0</v>
      </c>
      <c r="AY173" s="76"/>
      <c r="AZ173" s="76"/>
      <c r="BA173" s="76" t="b">
        <v>0</v>
      </c>
      <c r="BB173" s="76" t="b">
        <v>0</v>
      </c>
      <c r="BC173" s="76" t="b">
        <v>1</v>
      </c>
      <c r="BD173" s="76" t="b">
        <v>0</v>
      </c>
      <c r="BE173" s="76" t="b">
        <v>0</v>
      </c>
      <c r="BF173" s="76" t="b">
        <v>0</v>
      </c>
      <c r="BG173" s="76" t="b">
        <v>0</v>
      </c>
      <c r="BH173" s="83" t="str">
        <f>HYPERLINK("https://pbs.twimg.com/profile_banners/1169718466007437313/1591310293")</f>
        <v>https://pbs.twimg.com/profile_banners/1169718466007437313/1591310293</v>
      </c>
      <c r="BI173" s="76"/>
      <c r="BJ173" s="76" t="s">
        <v>19734</v>
      </c>
      <c r="BK173" s="76" t="b">
        <v>0</v>
      </c>
      <c r="BL173" s="76"/>
      <c r="BM173" s="76" t="s">
        <v>65</v>
      </c>
      <c r="BN173" s="76" t="s">
        <v>19736</v>
      </c>
      <c r="BO173" s="83" t="str">
        <f>HYPERLINK("https://twitter.com/b3bipolar")</f>
        <v>https://twitter.com/b3bipolar</v>
      </c>
      <c r="BP173" s="2"/>
    </row>
    <row r="174" spans="1:68" x14ac:dyDescent="0.25">
      <c r="A174" s="62" t="s">
        <v>363</v>
      </c>
      <c r="B174" s="63"/>
      <c r="C174" s="63"/>
      <c r="D174" s="64"/>
      <c r="E174" s="66"/>
      <c r="F174" s="103" t="str">
        <f>HYPERLINK("https://pbs.twimg.com/profile_images/1636415082207887370/6Uf7DQii_normal.png")</f>
        <v>https://pbs.twimg.com/profile_images/1636415082207887370/6Uf7DQii_normal.png</v>
      </c>
      <c r="G174" s="63"/>
      <c r="H174" s="67"/>
      <c r="I174" s="68"/>
      <c r="J174" s="68"/>
      <c r="K174" s="67" t="s">
        <v>19907</v>
      </c>
      <c r="L174" s="71"/>
      <c r="M174" s="72"/>
      <c r="N174" s="72"/>
      <c r="O174" s="73"/>
      <c r="P174" s="74"/>
      <c r="Q174" s="74"/>
      <c r="R174" s="87"/>
      <c r="S174" s="87"/>
      <c r="T174" s="87"/>
      <c r="U174" s="87"/>
      <c r="V174" s="48"/>
      <c r="W174" s="48"/>
      <c r="X174" s="48"/>
      <c r="Y174" s="48"/>
      <c r="Z174" s="47"/>
      <c r="AA174" s="69">
        <v>174</v>
      </c>
      <c r="AB174" s="69"/>
      <c r="AC174" s="70"/>
      <c r="AD174" s="76" t="s">
        <v>17922</v>
      </c>
      <c r="AE174" s="81" t="s">
        <v>17513</v>
      </c>
      <c r="AF174" s="76">
        <v>13</v>
      </c>
      <c r="AG174" s="76">
        <v>8</v>
      </c>
      <c r="AH174" s="76">
        <v>251</v>
      </c>
      <c r="AI174" s="76">
        <v>0</v>
      </c>
      <c r="AJ174" s="76">
        <v>0</v>
      </c>
      <c r="AK174" s="76">
        <v>243</v>
      </c>
      <c r="AL174" s="76" t="b">
        <v>0</v>
      </c>
      <c r="AM174" s="78">
        <v>45001.716817129629</v>
      </c>
      <c r="AN174" s="76" t="s">
        <v>18614</v>
      </c>
      <c r="AO174" s="76" t="s">
        <v>18918</v>
      </c>
      <c r="AP174" s="83" t="str">
        <f>HYPERLINK("https://t.co/7kh6Rkxwsl")</f>
        <v>https://t.co/7kh6Rkxwsl</v>
      </c>
      <c r="AQ174" s="83" t="str">
        <f>HYPERLINK("http://araquari.sc.gov.br")</f>
        <v>http://araquari.sc.gov.br</v>
      </c>
      <c r="AR174" s="76" t="s">
        <v>19399</v>
      </c>
      <c r="AS174" s="76"/>
      <c r="AT174" s="76"/>
      <c r="AU174" s="76"/>
      <c r="AV174" s="76"/>
      <c r="AW174" s="83" t="str">
        <f>HYPERLINK("https://t.co/7kh6Rkxwsl")</f>
        <v>https://t.co/7kh6Rkxwsl</v>
      </c>
      <c r="AX174" s="76" t="b">
        <v>0</v>
      </c>
      <c r="AY174" s="76"/>
      <c r="AZ174" s="76"/>
      <c r="BA174" s="76" t="b">
        <v>0</v>
      </c>
      <c r="BB174" s="76" t="b">
        <v>1</v>
      </c>
      <c r="BC174" s="76" t="b">
        <v>1</v>
      </c>
      <c r="BD174" s="76" t="b">
        <v>0</v>
      </c>
      <c r="BE174" s="76" t="b">
        <v>0</v>
      </c>
      <c r="BF174" s="76" t="b">
        <v>0</v>
      </c>
      <c r="BG174" s="76" t="b">
        <v>0</v>
      </c>
      <c r="BH174" s="83" t="str">
        <f>HYPERLINK("https://pbs.twimg.com/profile_banners/1636414964247166977/1678987070")</f>
        <v>https://pbs.twimg.com/profile_banners/1636414964247166977/1678987070</v>
      </c>
      <c r="BI174" s="76"/>
      <c r="BJ174" s="76" t="s">
        <v>19734</v>
      </c>
      <c r="BK174" s="76" t="b">
        <v>0</v>
      </c>
      <c r="BL174" s="76"/>
      <c r="BM174" s="76" t="s">
        <v>66</v>
      </c>
      <c r="BN174" s="76" t="s">
        <v>19736</v>
      </c>
      <c r="BO174" s="83" t="str">
        <f>HYPERLINK("https://twitter.com/prefesaraquari")</f>
        <v>https://twitter.com/prefesaraquari</v>
      </c>
      <c r="BP174" s="2"/>
    </row>
    <row r="175" spans="1:68" x14ac:dyDescent="0.25">
      <c r="A175" s="62" t="s">
        <v>364</v>
      </c>
      <c r="B175" s="63"/>
      <c r="C175" s="63"/>
      <c r="D175" s="64"/>
      <c r="E175" s="66"/>
      <c r="F175" s="103" t="str">
        <f>HYPERLINK("https://pbs.twimg.com/profile_images/1552997521097719808/axrWwEU6_normal.jpg")</f>
        <v>https://pbs.twimg.com/profile_images/1552997521097719808/axrWwEU6_normal.jpg</v>
      </c>
      <c r="G175" s="63"/>
      <c r="H175" s="67"/>
      <c r="I175" s="68"/>
      <c r="J175" s="68"/>
      <c r="K175" s="67" t="s">
        <v>19908</v>
      </c>
      <c r="L175" s="71"/>
      <c r="M175" s="72"/>
      <c r="N175" s="72"/>
      <c r="O175" s="73"/>
      <c r="P175" s="74"/>
      <c r="Q175" s="74"/>
      <c r="R175" s="87"/>
      <c r="S175" s="87"/>
      <c r="T175" s="87"/>
      <c r="U175" s="87"/>
      <c r="V175" s="48"/>
      <c r="W175" s="48"/>
      <c r="X175" s="48"/>
      <c r="Y175" s="48"/>
      <c r="Z175" s="47"/>
      <c r="AA175" s="69">
        <v>175</v>
      </c>
      <c r="AB175" s="69"/>
      <c r="AC175" s="70"/>
      <c r="AD175" s="76" t="s">
        <v>17923</v>
      </c>
      <c r="AE175" s="81" t="s">
        <v>18384</v>
      </c>
      <c r="AF175" s="76">
        <v>1597</v>
      </c>
      <c r="AG175" s="76">
        <v>155</v>
      </c>
      <c r="AH175" s="76">
        <v>22112</v>
      </c>
      <c r="AI175" s="76">
        <v>29</v>
      </c>
      <c r="AJ175" s="76">
        <v>78</v>
      </c>
      <c r="AK175" s="76">
        <v>4180</v>
      </c>
      <c r="AL175" s="76" t="b">
        <v>0</v>
      </c>
      <c r="AM175" s="78">
        <v>39976.436793981484</v>
      </c>
      <c r="AN175" s="76" t="s">
        <v>18615</v>
      </c>
      <c r="AO175" s="76" t="s">
        <v>18919</v>
      </c>
      <c r="AP175" s="83" t="str">
        <f>HYPERLINK("https://t.co/gGRR3AumyI")</f>
        <v>https://t.co/gGRR3AumyI</v>
      </c>
      <c r="AQ175" s="83" t="str">
        <f>HYPERLINK("http://www.jornaldooeste.com.br")</f>
        <v>http://www.jornaldooeste.com.br</v>
      </c>
      <c r="AR175" s="76" t="s">
        <v>19400</v>
      </c>
      <c r="AS175" s="76"/>
      <c r="AT175" s="76"/>
      <c r="AU175" s="76"/>
      <c r="AV175" s="76"/>
      <c r="AW175" s="83" t="str">
        <f>HYPERLINK("https://t.co/gGRR3AumyI")</f>
        <v>https://t.co/gGRR3AumyI</v>
      </c>
      <c r="AX175" s="76" t="b">
        <v>0</v>
      </c>
      <c r="AY175" s="76"/>
      <c r="AZ175" s="76"/>
      <c r="BA175" s="76" t="b">
        <v>0</v>
      </c>
      <c r="BB175" s="76" t="b">
        <v>1</v>
      </c>
      <c r="BC175" s="76" t="b">
        <v>0</v>
      </c>
      <c r="BD175" s="76" t="b">
        <v>0</v>
      </c>
      <c r="BE175" s="76" t="b">
        <v>0</v>
      </c>
      <c r="BF175" s="76" t="b">
        <v>0</v>
      </c>
      <c r="BG175" s="76" t="b">
        <v>0</v>
      </c>
      <c r="BH175" s="83" t="str">
        <f>HYPERLINK("https://pbs.twimg.com/profile_banners/46624815/1677763695")</f>
        <v>https://pbs.twimg.com/profile_banners/46624815/1677763695</v>
      </c>
      <c r="BI175" s="76"/>
      <c r="BJ175" s="76" t="s">
        <v>19734</v>
      </c>
      <c r="BK175" s="76" t="b">
        <v>0</v>
      </c>
      <c r="BL175" s="76"/>
      <c r="BM175" s="76" t="s">
        <v>66</v>
      </c>
      <c r="BN175" s="76" t="s">
        <v>19736</v>
      </c>
      <c r="BO175" s="83" t="str">
        <f>HYPERLINK("https://twitter.com/jornaldooeste")</f>
        <v>https://twitter.com/jornaldooeste</v>
      </c>
      <c r="BP175" s="2"/>
    </row>
    <row r="176" spans="1:68" x14ac:dyDescent="0.25">
      <c r="A176" s="62" t="s">
        <v>365</v>
      </c>
      <c r="B176" s="63"/>
      <c r="C176" s="63"/>
      <c r="D176" s="64"/>
      <c r="E176" s="66"/>
      <c r="F176" s="103" t="str">
        <f>HYPERLINK("https://pbs.twimg.com/profile_images/1661384379338301447/RBH1M4w8_normal.jpg")</f>
        <v>https://pbs.twimg.com/profile_images/1661384379338301447/RBH1M4w8_normal.jpg</v>
      </c>
      <c r="G176" s="63"/>
      <c r="H176" s="67"/>
      <c r="I176" s="68"/>
      <c r="J176" s="68"/>
      <c r="K176" s="67" t="s">
        <v>19909</v>
      </c>
      <c r="L176" s="71"/>
      <c r="M176" s="72"/>
      <c r="N176" s="72"/>
      <c r="O176" s="73"/>
      <c r="P176" s="74"/>
      <c r="Q176" s="74"/>
      <c r="R176" s="87"/>
      <c r="S176" s="87"/>
      <c r="T176" s="87"/>
      <c r="U176" s="87"/>
      <c r="V176" s="48"/>
      <c r="W176" s="48"/>
      <c r="X176" s="48"/>
      <c r="Y176" s="48"/>
      <c r="Z176" s="47"/>
      <c r="AA176" s="69">
        <v>176</v>
      </c>
      <c r="AB176" s="69"/>
      <c r="AC176" s="70"/>
      <c r="AD176" s="76" t="s">
        <v>17924</v>
      </c>
      <c r="AE176" s="81" t="s">
        <v>18385</v>
      </c>
      <c r="AF176" s="76">
        <v>18</v>
      </c>
      <c r="AG176" s="76">
        <v>85</v>
      </c>
      <c r="AH176" s="76">
        <v>204</v>
      </c>
      <c r="AI176" s="76">
        <v>0</v>
      </c>
      <c r="AJ176" s="76">
        <v>2</v>
      </c>
      <c r="AK176" s="76">
        <v>2</v>
      </c>
      <c r="AL176" s="76" t="b">
        <v>0</v>
      </c>
      <c r="AM176" s="78">
        <v>41593.779039351852</v>
      </c>
      <c r="AN176" s="76" t="s">
        <v>18616</v>
      </c>
      <c r="AO176" s="76" t="s">
        <v>18920</v>
      </c>
      <c r="AP176" s="83" t="str">
        <f>HYPERLINK("https://t.co/OZ7tumFdZP")</f>
        <v>https://t.co/OZ7tumFdZP</v>
      </c>
      <c r="AQ176" s="83" t="str">
        <f>HYPERLINK("http://linkter.ee/jr.lacerda")</f>
        <v>http://linkter.ee/jr.lacerda</v>
      </c>
      <c r="AR176" s="76" t="s">
        <v>19401</v>
      </c>
      <c r="AS176" s="76"/>
      <c r="AT176" s="76"/>
      <c r="AU176" s="76"/>
      <c r="AV176" s="76">
        <v>1.6744960690848E+18</v>
      </c>
      <c r="AW176" s="83" t="str">
        <f>HYPERLINK("https://t.co/OZ7tumFdZP")</f>
        <v>https://t.co/OZ7tumFdZP</v>
      </c>
      <c r="AX176" s="76" t="b">
        <v>0</v>
      </c>
      <c r="AY176" s="76"/>
      <c r="AZ176" s="76"/>
      <c r="BA176" s="76" t="b">
        <v>0</v>
      </c>
      <c r="BB176" s="76" t="b">
        <v>1</v>
      </c>
      <c r="BC176" s="76" t="b">
        <v>1</v>
      </c>
      <c r="BD176" s="76" t="b">
        <v>0</v>
      </c>
      <c r="BE176" s="76" t="b">
        <v>0</v>
      </c>
      <c r="BF176" s="76" t="b">
        <v>0</v>
      </c>
      <c r="BG176" s="76" t="b">
        <v>0</v>
      </c>
      <c r="BH176" s="83" t="str">
        <f>HYPERLINK("https://pbs.twimg.com/profile_banners/2182231625/1688144383")</f>
        <v>https://pbs.twimg.com/profile_banners/2182231625/1688144383</v>
      </c>
      <c r="BI176" s="76"/>
      <c r="BJ176" s="76" t="s">
        <v>19734</v>
      </c>
      <c r="BK176" s="76" t="b">
        <v>0</v>
      </c>
      <c r="BL176" s="76"/>
      <c r="BM176" s="76" t="s">
        <v>66</v>
      </c>
      <c r="BN176" s="76" t="s">
        <v>19736</v>
      </c>
      <c r="BO176" s="83" t="str">
        <f>HYPERLINK("https://twitter.com/penselacerda")</f>
        <v>https://twitter.com/penselacerda</v>
      </c>
      <c r="BP176" s="2"/>
    </row>
    <row r="177" spans="1:68" x14ac:dyDescent="0.25">
      <c r="A177" s="62" t="s">
        <v>366</v>
      </c>
      <c r="B177" s="63"/>
      <c r="C177" s="63"/>
      <c r="D177" s="64"/>
      <c r="E177" s="66"/>
      <c r="F177" s="103" t="str">
        <f>HYPERLINK("https://pbs.twimg.com/profile_images/1601933464852484096/j7D9KLrD_normal.jpg")</f>
        <v>https://pbs.twimg.com/profile_images/1601933464852484096/j7D9KLrD_normal.jpg</v>
      </c>
      <c r="G177" s="63"/>
      <c r="H177" s="67"/>
      <c r="I177" s="68"/>
      <c r="J177" s="68"/>
      <c r="K177" s="67" t="s">
        <v>19910</v>
      </c>
      <c r="L177" s="71"/>
      <c r="M177" s="72"/>
      <c r="N177" s="72"/>
      <c r="O177" s="73"/>
      <c r="P177" s="74"/>
      <c r="Q177" s="74"/>
      <c r="R177" s="87"/>
      <c r="S177" s="87"/>
      <c r="T177" s="87"/>
      <c r="U177" s="87"/>
      <c r="V177" s="48"/>
      <c r="W177" s="48"/>
      <c r="X177" s="48"/>
      <c r="Y177" s="48"/>
      <c r="Z177" s="47"/>
      <c r="AA177" s="69">
        <v>177</v>
      </c>
      <c r="AB177" s="69"/>
      <c r="AC177" s="70"/>
      <c r="AD177" s="76" t="s">
        <v>17925</v>
      </c>
      <c r="AE177" s="81" t="s">
        <v>17514</v>
      </c>
      <c r="AF177" s="76">
        <v>297</v>
      </c>
      <c r="AG177" s="76">
        <v>384</v>
      </c>
      <c r="AH177" s="76">
        <v>449</v>
      </c>
      <c r="AI177" s="76">
        <v>0</v>
      </c>
      <c r="AJ177" s="76">
        <v>2670</v>
      </c>
      <c r="AK177" s="76">
        <v>59</v>
      </c>
      <c r="AL177" s="76" t="b">
        <v>0</v>
      </c>
      <c r="AM177" s="78">
        <v>44893.026585648149</v>
      </c>
      <c r="AN177" s="76" t="s">
        <v>12007</v>
      </c>
      <c r="AO177" s="76" t="s">
        <v>18921</v>
      </c>
      <c r="AP177" s="76"/>
      <c r="AQ177" s="76"/>
      <c r="AR177" s="76"/>
      <c r="AS177" s="76"/>
      <c r="AT177" s="76"/>
      <c r="AU177" s="76"/>
      <c r="AV177" s="76">
        <v>1.62008952758193E+18</v>
      </c>
      <c r="AW177" s="76"/>
      <c r="AX177" s="76" t="b">
        <v>0</v>
      </c>
      <c r="AY177" s="76"/>
      <c r="AZ177" s="76"/>
      <c r="BA177" s="76" t="b">
        <v>0</v>
      </c>
      <c r="BB177" s="76" t="b">
        <v>1</v>
      </c>
      <c r="BC177" s="76" t="b">
        <v>1</v>
      </c>
      <c r="BD177" s="76" t="b">
        <v>0</v>
      </c>
      <c r="BE177" s="76" t="b">
        <v>1</v>
      </c>
      <c r="BF177" s="76" t="b">
        <v>0</v>
      </c>
      <c r="BG177" s="76" t="b">
        <v>0</v>
      </c>
      <c r="BH177" s="83" t="str">
        <f>HYPERLINK("https://pbs.twimg.com/profile_banners/1597026840941666306/1670765675")</f>
        <v>https://pbs.twimg.com/profile_banners/1597026840941666306/1670765675</v>
      </c>
      <c r="BI177" s="76"/>
      <c r="BJ177" s="76" t="s">
        <v>19734</v>
      </c>
      <c r="BK177" s="76" t="b">
        <v>0</v>
      </c>
      <c r="BL177" s="76"/>
      <c r="BM177" s="76" t="s">
        <v>66</v>
      </c>
      <c r="BN177" s="76" t="s">
        <v>19736</v>
      </c>
      <c r="BO177" s="83" t="str">
        <f>HYPERLINK("https://twitter.com/marciojuri")</f>
        <v>https://twitter.com/marciojuri</v>
      </c>
      <c r="BP177" s="2"/>
    </row>
    <row r="178" spans="1:68" x14ac:dyDescent="0.25">
      <c r="A178" s="62" t="s">
        <v>367</v>
      </c>
      <c r="B178" s="63"/>
      <c r="C178" s="63"/>
      <c r="D178" s="64"/>
      <c r="E178" s="66"/>
      <c r="F178" s="103" t="str">
        <f>HYPERLINK("https://abs.twimg.com/sticky/default_profile_images/default_profile_normal.png")</f>
        <v>https://abs.twimg.com/sticky/default_profile_images/default_profile_normal.png</v>
      </c>
      <c r="G178" s="63"/>
      <c r="H178" s="67"/>
      <c r="I178" s="68"/>
      <c r="J178" s="68"/>
      <c r="K178" s="67" t="s">
        <v>19911</v>
      </c>
      <c r="L178" s="71"/>
      <c r="M178" s="72"/>
      <c r="N178" s="72"/>
      <c r="O178" s="73"/>
      <c r="P178" s="74"/>
      <c r="Q178" s="74"/>
      <c r="R178" s="87"/>
      <c r="S178" s="87"/>
      <c r="T178" s="87"/>
      <c r="U178" s="87"/>
      <c r="V178" s="48"/>
      <c r="W178" s="48"/>
      <c r="X178" s="48"/>
      <c r="Y178" s="48"/>
      <c r="Z178" s="47"/>
      <c r="AA178" s="69">
        <v>178</v>
      </c>
      <c r="AB178" s="69"/>
      <c r="AC178" s="70"/>
      <c r="AD178" s="76" t="s">
        <v>17926</v>
      </c>
      <c r="AE178" s="81" t="s">
        <v>17515</v>
      </c>
      <c r="AF178" s="76">
        <v>1</v>
      </c>
      <c r="AG178" s="76">
        <v>2</v>
      </c>
      <c r="AH178" s="76">
        <v>39</v>
      </c>
      <c r="AI178" s="76">
        <v>0</v>
      </c>
      <c r="AJ178" s="76">
        <v>0</v>
      </c>
      <c r="AK178" s="76">
        <v>39</v>
      </c>
      <c r="AL178" s="76" t="b">
        <v>0</v>
      </c>
      <c r="AM178" s="78">
        <v>44990.916319444441</v>
      </c>
      <c r="AN178" s="76"/>
      <c r="AO178" s="76"/>
      <c r="AP178" s="76"/>
      <c r="AQ178" s="76"/>
      <c r="AR178" s="76"/>
      <c r="AS178" s="76"/>
      <c r="AT178" s="76"/>
      <c r="AU178" s="76"/>
      <c r="AV178" s="76"/>
      <c r="AW178" s="76"/>
      <c r="AX178" s="76" t="b">
        <v>0</v>
      </c>
      <c r="AY178" s="76"/>
      <c r="AZ178" s="76"/>
      <c r="BA178" s="76" t="b">
        <v>0</v>
      </c>
      <c r="BB178" s="76" t="b">
        <v>1</v>
      </c>
      <c r="BC178" s="76" t="b">
        <v>1</v>
      </c>
      <c r="BD178" s="76" t="b">
        <v>1</v>
      </c>
      <c r="BE178" s="76" t="b">
        <v>0</v>
      </c>
      <c r="BF178" s="76" t="b">
        <v>0</v>
      </c>
      <c r="BG178" s="76" t="b">
        <v>0</v>
      </c>
      <c r="BH178" s="76"/>
      <c r="BI178" s="76"/>
      <c r="BJ178" s="76" t="s">
        <v>19734</v>
      </c>
      <c r="BK178" s="76" t="b">
        <v>0</v>
      </c>
      <c r="BL178" s="76"/>
      <c r="BM178" s="76" t="s">
        <v>66</v>
      </c>
      <c r="BN178" s="76" t="s">
        <v>19736</v>
      </c>
      <c r="BO178" s="83" t="str">
        <f>HYPERLINK("https://twitter.com/lp4planejamento")</f>
        <v>https://twitter.com/lp4planejamento</v>
      </c>
      <c r="BP178" s="2"/>
    </row>
    <row r="179" spans="1:68" x14ac:dyDescent="0.25">
      <c r="A179" s="62" t="s">
        <v>368</v>
      </c>
      <c r="B179" s="63"/>
      <c r="C179" s="63"/>
      <c r="D179" s="64"/>
      <c r="E179" s="66"/>
      <c r="F179" s="103" t="str">
        <f>HYPERLINK("https://pbs.twimg.com/profile_images/1503890146986541066/0aL4a0xD_normal.jpg")</f>
        <v>https://pbs.twimg.com/profile_images/1503890146986541066/0aL4a0xD_normal.jpg</v>
      </c>
      <c r="G179" s="63"/>
      <c r="H179" s="67"/>
      <c r="I179" s="68"/>
      <c r="J179" s="68"/>
      <c r="K179" s="67" t="s">
        <v>19912</v>
      </c>
      <c r="L179" s="71"/>
      <c r="M179" s="72"/>
      <c r="N179" s="72"/>
      <c r="O179" s="73"/>
      <c r="P179" s="74"/>
      <c r="Q179" s="74"/>
      <c r="R179" s="87"/>
      <c r="S179" s="87"/>
      <c r="T179" s="87"/>
      <c r="U179" s="87"/>
      <c r="V179" s="48"/>
      <c r="W179" s="48"/>
      <c r="X179" s="48"/>
      <c r="Y179" s="48"/>
      <c r="Z179" s="47"/>
      <c r="AA179" s="69">
        <v>179</v>
      </c>
      <c r="AB179" s="69"/>
      <c r="AC179" s="70"/>
      <c r="AD179" s="76" t="s">
        <v>17927</v>
      </c>
      <c r="AE179" s="81" t="s">
        <v>17340</v>
      </c>
      <c r="AF179" s="76">
        <v>98</v>
      </c>
      <c r="AG179" s="76">
        <v>183</v>
      </c>
      <c r="AH179" s="76">
        <v>957</v>
      </c>
      <c r="AI179" s="76">
        <v>3</v>
      </c>
      <c r="AJ179" s="76">
        <v>899</v>
      </c>
      <c r="AK179" s="76">
        <v>29</v>
      </c>
      <c r="AL179" s="76" t="b">
        <v>0</v>
      </c>
      <c r="AM179" s="78">
        <v>40795.455277777779</v>
      </c>
      <c r="AN179" s="76" t="s">
        <v>18617</v>
      </c>
      <c r="AO179" s="76" t="s">
        <v>18922</v>
      </c>
      <c r="AP179" s="83" t="str">
        <f>HYPERLINK("https://t.co/1pbE0aNU1D")</f>
        <v>https://t.co/1pbE0aNU1D</v>
      </c>
      <c r="AQ179" s="83" t="str">
        <f>HYPERLINK("http://www.napoleao.adv.br")</f>
        <v>http://www.napoleao.adv.br</v>
      </c>
      <c r="AR179" s="76" t="s">
        <v>19402</v>
      </c>
      <c r="AS179" s="76"/>
      <c r="AT179" s="76"/>
      <c r="AU179" s="76"/>
      <c r="AV179" s="76"/>
      <c r="AW179" s="83" t="str">
        <f>HYPERLINK("https://t.co/1pbE0aNU1D")</f>
        <v>https://t.co/1pbE0aNU1D</v>
      </c>
      <c r="AX179" s="76" t="b">
        <v>0</v>
      </c>
      <c r="AY179" s="76"/>
      <c r="AZ179" s="76"/>
      <c r="BA179" s="76" t="b">
        <v>0</v>
      </c>
      <c r="BB179" s="76" t="b">
        <v>1</v>
      </c>
      <c r="BC179" s="76" t="b">
        <v>0</v>
      </c>
      <c r="BD179" s="76" t="b">
        <v>0</v>
      </c>
      <c r="BE179" s="76" t="b">
        <v>0</v>
      </c>
      <c r="BF179" s="76" t="b">
        <v>0</v>
      </c>
      <c r="BG179" s="76" t="b">
        <v>0</v>
      </c>
      <c r="BH179" s="83" t="str">
        <f>HYPERLINK("https://pbs.twimg.com/profile_banners/370629670/1555967411")</f>
        <v>https://pbs.twimg.com/profile_banners/370629670/1555967411</v>
      </c>
      <c r="BI179" s="76"/>
      <c r="BJ179" s="76" t="s">
        <v>19734</v>
      </c>
      <c r="BK179" s="76" t="b">
        <v>0</v>
      </c>
      <c r="BL179" s="76"/>
      <c r="BM179" s="76" t="s">
        <v>66</v>
      </c>
      <c r="BN179" s="76" t="s">
        <v>19736</v>
      </c>
      <c r="BO179" s="83" t="str">
        <f>HYPERLINK("https://twitter.com/napoleaoadv")</f>
        <v>https://twitter.com/napoleaoadv</v>
      </c>
      <c r="BP179" s="2"/>
    </row>
    <row r="180" spans="1:68" x14ac:dyDescent="0.25">
      <c r="A180" s="62" t="s">
        <v>369</v>
      </c>
      <c r="B180" s="63"/>
      <c r="C180" s="63"/>
      <c r="D180" s="64"/>
      <c r="E180" s="66"/>
      <c r="F180" s="103" t="str">
        <f>HYPERLINK("https://pbs.twimg.com/profile_images/1469842365372317696/fur03M1m_normal.jpg")</f>
        <v>https://pbs.twimg.com/profile_images/1469842365372317696/fur03M1m_normal.jpg</v>
      </c>
      <c r="G180" s="63"/>
      <c r="H180" s="67"/>
      <c r="I180" s="68"/>
      <c r="J180" s="68"/>
      <c r="K180" s="67" t="s">
        <v>19913</v>
      </c>
      <c r="L180" s="71"/>
      <c r="M180" s="72"/>
      <c r="N180" s="72"/>
      <c r="O180" s="73"/>
      <c r="P180" s="74"/>
      <c r="Q180" s="74"/>
      <c r="R180" s="87"/>
      <c r="S180" s="87"/>
      <c r="T180" s="87"/>
      <c r="U180" s="87"/>
      <c r="V180" s="48"/>
      <c r="W180" s="48"/>
      <c r="X180" s="48"/>
      <c r="Y180" s="48"/>
      <c r="Z180" s="47"/>
      <c r="AA180" s="69">
        <v>180</v>
      </c>
      <c r="AB180" s="69"/>
      <c r="AC180" s="70"/>
      <c r="AD180" s="76" t="s">
        <v>17928</v>
      </c>
      <c r="AE180" s="81" t="s">
        <v>17516</v>
      </c>
      <c r="AF180" s="76">
        <v>2184</v>
      </c>
      <c r="AG180" s="76">
        <v>729</v>
      </c>
      <c r="AH180" s="76">
        <v>7486</v>
      </c>
      <c r="AI180" s="76">
        <v>36</v>
      </c>
      <c r="AJ180" s="76">
        <v>2400</v>
      </c>
      <c r="AK180" s="76">
        <v>4464</v>
      </c>
      <c r="AL180" s="76" t="b">
        <v>0</v>
      </c>
      <c r="AM180" s="78">
        <v>42948.485034722224</v>
      </c>
      <c r="AN180" s="76" t="s">
        <v>18618</v>
      </c>
      <c r="AO180" s="76" t="s">
        <v>18923</v>
      </c>
      <c r="AP180" s="83" t="str">
        <f>HYPERLINK("https://t.co/zCFA4Rzi9O")</f>
        <v>https://t.co/zCFA4Rzi9O</v>
      </c>
      <c r="AQ180" s="83" t="str">
        <f>HYPERLINK("https://www.youtube.com/c/ClubedosDividendos")</f>
        <v>https://www.youtube.com/c/ClubedosDividendos</v>
      </c>
      <c r="AR180" s="76" t="s">
        <v>19403</v>
      </c>
      <c r="AS180" s="76" t="s">
        <v>19654</v>
      </c>
      <c r="AT180" s="76" t="s">
        <v>19669</v>
      </c>
      <c r="AU180" s="76" t="s">
        <v>19699</v>
      </c>
      <c r="AV180" s="76"/>
      <c r="AW180" s="83" t="str">
        <f>HYPERLINK("https://t.co/zCFA4Rzi9O")</f>
        <v>https://t.co/zCFA4Rzi9O</v>
      </c>
      <c r="AX180" s="76" t="b">
        <v>0</v>
      </c>
      <c r="AY180" s="76"/>
      <c r="AZ180" s="76"/>
      <c r="BA180" s="76" t="b">
        <v>0</v>
      </c>
      <c r="BB180" s="76" t="b">
        <v>1</v>
      </c>
      <c r="BC180" s="76" t="b">
        <v>1</v>
      </c>
      <c r="BD180" s="76" t="b">
        <v>0</v>
      </c>
      <c r="BE180" s="76" t="b">
        <v>0</v>
      </c>
      <c r="BF180" s="76" t="b">
        <v>0</v>
      </c>
      <c r="BG180" s="76" t="b">
        <v>0</v>
      </c>
      <c r="BH180" s="83" t="str">
        <f>HYPERLINK("https://pbs.twimg.com/profile_banners/892348798537740290/1566051802")</f>
        <v>https://pbs.twimg.com/profile_banners/892348798537740290/1566051802</v>
      </c>
      <c r="BI180" s="76"/>
      <c r="BJ180" s="76" t="s">
        <v>19734</v>
      </c>
      <c r="BK180" s="76" t="b">
        <v>0</v>
      </c>
      <c r="BL180" s="76"/>
      <c r="BM180" s="76" t="s">
        <v>66</v>
      </c>
      <c r="BN180" s="76" t="s">
        <v>19736</v>
      </c>
      <c r="BO180" s="83" t="str">
        <f>HYPERLINK("https://twitter.com/brumazzoni")</f>
        <v>https://twitter.com/brumazzoni</v>
      </c>
      <c r="BP180" s="2"/>
    </row>
    <row r="181" spans="1:68" x14ac:dyDescent="0.25">
      <c r="A181" s="62" t="s">
        <v>370</v>
      </c>
      <c r="B181" s="63"/>
      <c r="C181" s="63"/>
      <c r="D181" s="64"/>
      <c r="E181" s="66"/>
      <c r="F181" s="103" t="str">
        <f>HYPERLINK("https://pbs.twimg.com/profile_images/1557529443417063424/3l87PLk8_normal.jpg")</f>
        <v>https://pbs.twimg.com/profile_images/1557529443417063424/3l87PLk8_normal.jpg</v>
      </c>
      <c r="G181" s="63"/>
      <c r="H181" s="67"/>
      <c r="I181" s="68"/>
      <c r="J181" s="68"/>
      <c r="K181" s="67" t="s">
        <v>19914</v>
      </c>
      <c r="L181" s="71"/>
      <c r="M181" s="72"/>
      <c r="N181" s="72"/>
      <c r="O181" s="73"/>
      <c r="P181" s="74"/>
      <c r="Q181" s="74"/>
      <c r="R181" s="87"/>
      <c r="S181" s="87"/>
      <c r="T181" s="87"/>
      <c r="U181" s="87"/>
      <c r="V181" s="48"/>
      <c r="W181" s="48"/>
      <c r="X181" s="48"/>
      <c r="Y181" s="48"/>
      <c r="Z181" s="47"/>
      <c r="AA181" s="69">
        <v>181</v>
      </c>
      <c r="AB181" s="69"/>
      <c r="AC181" s="70"/>
      <c r="AD181" s="76" t="s">
        <v>17929</v>
      </c>
      <c r="AE181" s="81" t="s">
        <v>17517</v>
      </c>
      <c r="AF181" s="76">
        <v>32</v>
      </c>
      <c r="AG181" s="76">
        <v>536</v>
      </c>
      <c r="AH181" s="76">
        <v>163</v>
      </c>
      <c r="AI181" s="76">
        <v>9</v>
      </c>
      <c r="AJ181" s="76">
        <v>359</v>
      </c>
      <c r="AK181" s="76">
        <v>37</v>
      </c>
      <c r="AL181" s="76" t="b">
        <v>0</v>
      </c>
      <c r="AM181" s="78">
        <v>42927.829004629632</v>
      </c>
      <c r="AN181" s="76" t="s">
        <v>18575</v>
      </c>
      <c r="AO181" s="76" t="s">
        <v>18924</v>
      </c>
      <c r="AP181" s="83" t="str">
        <f>HYPERLINK("https://t.co/fcJN8VbgIj")</f>
        <v>https://t.co/fcJN8VbgIj</v>
      </c>
      <c r="AQ181" s="83" t="str">
        <f>HYPERLINK("http://forkthebanks.io/mercados")</f>
        <v>http://forkthebanks.io/mercados</v>
      </c>
      <c r="AR181" s="76" t="s">
        <v>19404</v>
      </c>
      <c r="AS181" s="76"/>
      <c r="AT181" s="76"/>
      <c r="AU181" s="76"/>
      <c r="AV181" s="76"/>
      <c r="AW181" s="83" t="str">
        <f>HYPERLINK("https://t.co/fcJN8VbgIj")</f>
        <v>https://t.co/fcJN8VbgIj</v>
      </c>
      <c r="AX181" s="76" t="b">
        <v>0</v>
      </c>
      <c r="AY181" s="76"/>
      <c r="AZ181" s="76"/>
      <c r="BA181" s="76" t="b">
        <v>0</v>
      </c>
      <c r="BB181" s="76" t="b">
        <v>1</v>
      </c>
      <c r="BC181" s="76" t="b">
        <v>1</v>
      </c>
      <c r="BD181" s="76" t="b">
        <v>0</v>
      </c>
      <c r="BE181" s="76" t="b">
        <v>1</v>
      </c>
      <c r="BF181" s="76" t="b">
        <v>0</v>
      </c>
      <c r="BG181" s="76" t="b">
        <v>0</v>
      </c>
      <c r="BH181" s="83" t="str">
        <f>HYPERLINK("https://pbs.twimg.com/profile_banners/884863303448743937/1668260997")</f>
        <v>https://pbs.twimg.com/profile_banners/884863303448743937/1668260997</v>
      </c>
      <c r="BI181" s="76"/>
      <c r="BJ181" s="76" t="s">
        <v>19734</v>
      </c>
      <c r="BK181" s="76" t="b">
        <v>0</v>
      </c>
      <c r="BL181" s="76"/>
      <c r="BM181" s="76" t="s">
        <v>66</v>
      </c>
      <c r="BN181" s="76" t="s">
        <v>19736</v>
      </c>
      <c r="BO181" s="83" t="str">
        <f>HYPERLINK("https://twitter.com/forkthebanks_io")</f>
        <v>https://twitter.com/forkthebanks_io</v>
      </c>
      <c r="BP181" s="2"/>
    </row>
    <row r="182" spans="1:68" x14ac:dyDescent="0.25">
      <c r="A182" s="62" t="s">
        <v>371</v>
      </c>
      <c r="B182" s="63"/>
      <c r="C182" s="63"/>
      <c r="D182" s="64"/>
      <c r="E182" s="66"/>
      <c r="F182" s="103" t="str">
        <f>HYPERLINK("https://pbs.twimg.com/profile_images/1634713710429192192/dm9jf1n2_normal.jpg")</f>
        <v>https://pbs.twimg.com/profile_images/1634713710429192192/dm9jf1n2_normal.jpg</v>
      </c>
      <c r="G182" s="63"/>
      <c r="H182" s="67"/>
      <c r="I182" s="68"/>
      <c r="J182" s="68"/>
      <c r="K182" s="67" t="s">
        <v>19915</v>
      </c>
      <c r="L182" s="71"/>
      <c r="M182" s="72"/>
      <c r="N182" s="72"/>
      <c r="O182" s="73"/>
      <c r="P182" s="74"/>
      <c r="Q182" s="74"/>
      <c r="R182" s="87"/>
      <c r="S182" s="87"/>
      <c r="T182" s="87"/>
      <c r="U182" s="87"/>
      <c r="V182" s="48"/>
      <c r="W182" s="48"/>
      <c r="X182" s="48"/>
      <c r="Y182" s="48"/>
      <c r="Z182" s="47"/>
      <c r="AA182" s="69">
        <v>182</v>
      </c>
      <c r="AB182" s="69"/>
      <c r="AC182" s="70"/>
      <c r="AD182" s="76" t="s">
        <v>17930</v>
      </c>
      <c r="AE182" s="81" t="s">
        <v>17341</v>
      </c>
      <c r="AF182" s="76">
        <v>623</v>
      </c>
      <c r="AG182" s="76">
        <v>131</v>
      </c>
      <c r="AH182" s="76">
        <v>83</v>
      </c>
      <c r="AI182" s="76">
        <v>3</v>
      </c>
      <c r="AJ182" s="76">
        <v>274</v>
      </c>
      <c r="AK182" s="76">
        <v>30</v>
      </c>
      <c r="AL182" s="76" t="b">
        <v>0</v>
      </c>
      <c r="AM182" s="78">
        <v>43388.869201388887</v>
      </c>
      <c r="AN182" s="76"/>
      <c r="AO182" s="76"/>
      <c r="AP182" s="76"/>
      <c r="AQ182" s="76"/>
      <c r="AR182" s="76"/>
      <c r="AS182" s="76"/>
      <c r="AT182" s="76"/>
      <c r="AU182" s="76"/>
      <c r="AV182" s="76"/>
      <c r="AW182" s="76"/>
      <c r="AX182" s="76" t="b">
        <v>0</v>
      </c>
      <c r="AY182" s="76"/>
      <c r="AZ182" s="76"/>
      <c r="BA182" s="76" t="b">
        <v>0</v>
      </c>
      <c r="BB182" s="76" t="b">
        <v>1</v>
      </c>
      <c r="BC182" s="76" t="b">
        <v>1</v>
      </c>
      <c r="BD182" s="76" t="b">
        <v>0</v>
      </c>
      <c r="BE182" s="76" t="b">
        <v>0</v>
      </c>
      <c r="BF182" s="76" t="b">
        <v>0</v>
      </c>
      <c r="BG182" s="76" t="b">
        <v>0</v>
      </c>
      <c r="BH182" s="83" t="str">
        <f>HYPERLINK("https://pbs.twimg.com/profile_banners/1051938676400369664/1570475881")</f>
        <v>https://pbs.twimg.com/profile_banners/1051938676400369664/1570475881</v>
      </c>
      <c r="BI182" s="76"/>
      <c r="BJ182" s="76" t="s">
        <v>19734</v>
      </c>
      <c r="BK182" s="76" t="b">
        <v>0</v>
      </c>
      <c r="BL182" s="76"/>
      <c r="BM182" s="76" t="s">
        <v>66</v>
      </c>
      <c r="BN182" s="76" t="s">
        <v>19736</v>
      </c>
      <c r="BO182" s="83" t="str">
        <f>HYPERLINK("https://twitter.com/pge_ma")</f>
        <v>https://twitter.com/pge_ma</v>
      </c>
      <c r="BP182" s="2"/>
    </row>
    <row r="183" spans="1:68" x14ac:dyDescent="0.25">
      <c r="A183" s="62" t="s">
        <v>372</v>
      </c>
      <c r="B183" s="63"/>
      <c r="C183" s="63"/>
      <c r="D183" s="64"/>
      <c r="E183" s="66"/>
      <c r="F183" s="103" t="str">
        <f>HYPERLINK("https://pbs.twimg.com/profile_images/1355576785698742284/tvIt6n2x_normal.jpg")</f>
        <v>https://pbs.twimg.com/profile_images/1355576785698742284/tvIt6n2x_normal.jpg</v>
      </c>
      <c r="G183" s="63"/>
      <c r="H183" s="67"/>
      <c r="I183" s="68"/>
      <c r="J183" s="68"/>
      <c r="K183" s="67" t="s">
        <v>19916</v>
      </c>
      <c r="L183" s="71"/>
      <c r="M183" s="72"/>
      <c r="N183" s="72"/>
      <c r="O183" s="73"/>
      <c r="P183" s="74"/>
      <c r="Q183" s="74"/>
      <c r="R183" s="87"/>
      <c r="S183" s="87"/>
      <c r="T183" s="87"/>
      <c r="U183" s="87"/>
      <c r="V183" s="48"/>
      <c r="W183" s="48"/>
      <c r="X183" s="48"/>
      <c r="Y183" s="48"/>
      <c r="Z183" s="47"/>
      <c r="AA183" s="69">
        <v>183</v>
      </c>
      <c r="AB183" s="69"/>
      <c r="AC183" s="70"/>
      <c r="AD183" s="76" t="s">
        <v>17931</v>
      </c>
      <c r="AE183" s="81" t="s">
        <v>17518</v>
      </c>
      <c r="AF183" s="76">
        <v>197</v>
      </c>
      <c r="AG183" s="76">
        <v>155</v>
      </c>
      <c r="AH183" s="76">
        <v>1184</v>
      </c>
      <c r="AI183" s="76">
        <v>3</v>
      </c>
      <c r="AJ183" s="76">
        <v>173</v>
      </c>
      <c r="AK183" s="76">
        <v>407</v>
      </c>
      <c r="AL183" s="76" t="b">
        <v>0</v>
      </c>
      <c r="AM183" s="78">
        <v>42782.892500000002</v>
      </c>
      <c r="AN183" s="76" t="s">
        <v>18619</v>
      </c>
      <c r="AO183" s="76" t="s">
        <v>18925</v>
      </c>
      <c r="AP183" s="83" t="str">
        <f>HYPERLINK("https://t.co/1XiabGbjX8")</f>
        <v>https://t.co/1XiabGbjX8</v>
      </c>
      <c r="AQ183" s="83" t="str">
        <f>HYPERLINK("https://linktr.ee/PapodeMilhao022")</f>
        <v>https://linktr.ee/PapodeMilhao022</v>
      </c>
      <c r="AR183" s="76" t="s">
        <v>19405</v>
      </c>
      <c r="AS183" s="76"/>
      <c r="AT183" s="76"/>
      <c r="AU183" s="76"/>
      <c r="AV183" s="76"/>
      <c r="AW183" s="83" t="str">
        <f>HYPERLINK("https://t.co/1XiabGbjX8")</f>
        <v>https://t.co/1XiabGbjX8</v>
      </c>
      <c r="AX183" s="76" t="b">
        <v>0</v>
      </c>
      <c r="AY183" s="76"/>
      <c r="AZ183" s="76"/>
      <c r="BA183" s="76" t="b">
        <v>0</v>
      </c>
      <c r="BB183" s="76" t="b">
        <v>1</v>
      </c>
      <c r="BC183" s="76" t="b">
        <v>1</v>
      </c>
      <c r="BD183" s="76" t="b">
        <v>0</v>
      </c>
      <c r="BE183" s="76" t="b">
        <v>0</v>
      </c>
      <c r="BF183" s="76" t="b">
        <v>0</v>
      </c>
      <c r="BG183" s="76" t="b">
        <v>0</v>
      </c>
      <c r="BH183" s="83" t="str">
        <f>HYPERLINK("https://pbs.twimg.com/profile_banners/832340075086278656/1612029666")</f>
        <v>https://pbs.twimg.com/profile_banners/832340075086278656/1612029666</v>
      </c>
      <c r="BI183" s="76"/>
      <c r="BJ183" s="76" t="s">
        <v>19734</v>
      </c>
      <c r="BK183" s="76" t="b">
        <v>0</v>
      </c>
      <c r="BL183" s="76"/>
      <c r="BM183" s="76" t="s">
        <v>66</v>
      </c>
      <c r="BN183" s="76" t="s">
        <v>19736</v>
      </c>
      <c r="BO183" s="83" t="str">
        <f>HYPERLINK("https://twitter.com/papodemilhao022")</f>
        <v>https://twitter.com/papodemilhao022</v>
      </c>
      <c r="BP183" s="2"/>
    </row>
    <row r="184" spans="1:68" x14ac:dyDescent="0.25">
      <c r="A184" s="62" t="s">
        <v>373</v>
      </c>
      <c r="B184" s="63"/>
      <c r="C184" s="63"/>
      <c r="D184" s="64"/>
      <c r="E184" s="66"/>
      <c r="F184" s="103" t="str">
        <f>HYPERLINK("https://pbs.twimg.com/profile_images/1660680971144790016/UAgJwEkQ_normal.jpg")</f>
        <v>https://pbs.twimg.com/profile_images/1660680971144790016/UAgJwEkQ_normal.jpg</v>
      </c>
      <c r="G184" s="63"/>
      <c r="H184" s="67"/>
      <c r="I184" s="68"/>
      <c r="J184" s="68"/>
      <c r="K184" s="67" t="s">
        <v>19917</v>
      </c>
      <c r="L184" s="71"/>
      <c r="M184" s="72"/>
      <c r="N184" s="72"/>
      <c r="O184" s="73"/>
      <c r="P184" s="74"/>
      <c r="Q184" s="74"/>
      <c r="R184" s="87"/>
      <c r="S184" s="87"/>
      <c r="T184" s="87"/>
      <c r="U184" s="87"/>
      <c r="V184" s="48"/>
      <c r="W184" s="48"/>
      <c r="X184" s="48"/>
      <c r="Y184" s="48"/>
      <c r="Z184" s="47"/>
      <c r="AA184" s="69">
        <v>184</v>
      </c>
      <c r="AB184" s="69"/>
      <c r="AC184" s="70"/>
      <c r="AD184" s="76" t="s">
        <v>17932</v>
      </c>
      <c r="AE184" s="81" t="s">
        <v>17519</v>
      </c>
      <c r="AF184" s="76">
        <v>0</v>
      </c>
      <c r="AG184" s="76">
        <v>1</v>
      </c>
      <c r="AH184" s="76">
        <v>2</v>
      </c>
      <c r="AI184" s="76">
        <v>0</v>
      </c>
      <c r="AJ184" s="76">
        <v>0</v>
      </c>
      <c r="AK184" s="76">
        <v>0</v>
      </c>
      <c r="AL184" s="76" t="b">
        <v>0</v>
      </c>
      <c r="AM184" s="78">
        <v>45068.676805555559</v>
      </c>
      <c r="AN184" s="76" t="s">
        <v>12040</v>
      </c>
      <c r="AO184" s="76" t="s">
        <v>18926</v>
      </c>
      <c r="AP184" s="76"/>
      <c r="AQ184" s="76"/>
      <c r="AR184" s="76"/>
      <c r="AS184" s="76"/>
      <c r="AT184" s="76"/>
      <c r="AU184" s="76"/>
      <c r="AV184" s="76"/>
      <c r="AW184" s="76"/>
      <c r="AX184" s="76" t="b">
        <v>0</v>
      </c>
      <c r="AY184" s="76"/>
      <c r="AZ184" s="76"/>
      <c r="BA184" s="76" t="b">
        <v>0</v>
      </c>
      <c r="BB184" s="76" t="b">
        <v>1</v>
      </c>
      <c r="BC184" s="76" t="b">
        <v>1</v>
      </c>
      <c r="BD184" s="76" t="b">
        <v>0</v>
      </c>
      <c r="BE184" s="76" t="b">
        <v>0</v>
      </c>
      <c r="BF184" s="76" t="b">
        <v>0</v>
      </c>
      <c r="BG184" s="76" t="b">
        <v>0</v>
      </c>
      <c r="BH184" s="83" t="str">
        <f>HYPERLINK("https://pbs.twimg.com/profile_banners/1660680509502914562/1684772203")</f>
        <v>https://pbs.twimg.com/profile_banners/1660680509502914562/1684772203</v>
      </c>
      <c r="BI184" s="76"/>
      <c r="BJ184" s="76" t="s">
        <v>19734</v>
      </c>
      <c r="BK184" s="76" t="b">
        <v>0</v>
      </c>
      <c r="BL184" s="76"/>
      <c r="BM184" s="76" t="s">
        <v>66</v>
      </c>
      <c r="BN184" s="76" t="s">
        <v>19736</v>
      </c>
      <c r="BO184" s="83" t="str">
        <f>HYPERLINK("https://twitter.com/investucan0")</f>
        <v>https://twitter.com/investucan0</v>
      </c>
      <c r="BP184" s="2"/>
    </row>
    <row r="185" spans="1:68" x14ac:dyDescent="0.25">
      <c r="A185" s="62" t="s">
        <v>374</v>
      </c>
      <c r="B185" s="63"/>
      <c r="C185" s="63"/>
      <c r="D185" s="64"/>
      <c r="E185" s="66"/>
      <c r="F185" s="103" t="str">
        <f>HYPERLINK("https://pbs.twimg.com/profile_images/1647091506023391233/1SEu43KF_normal.jpg")</f>
        <v>https://pbs.twimg.com/profile_images/1647091506023391233/1SEu43KF_normal.jpg</v>
      </c>
      <c r="G185" s="63"/>
      <c r="H185" s="67"/>
      <c r="I185" s="68"/>
      <c r="J185" s="68"/>
      <c r="K185" s="67" t="s">
        <v>19918</v>
      </c>
      <c r="L185" s="71"/>
      <c r="M185" s="72"/>
      <c r="N185" s="72"/>
      <c r="O185" s="73"/>
      <c r="P185" s="74"/>
      <c r="Q185" s="74"/>
      <c r="R185" s="87"/>
      <c r="S185" s="87"/>
      <c r="T185" s="87"/>
      <c r="U185" s="87"/>
      <c r="V185" s="48"/>
      <c r="W185" s="48"/>
      <c r="X185" s="48"/>
      <c r="Y185" s="48"/>
      <c r="Z185" s="47"/>
      <c r="AA185" s="69">
        <v>185</v>
      </c>
      <c r="AB185" s="69"/>
      <c r="AC185" s="70"/>
      <c r="AD185" s="76" t="s">
        <v>17933</v>
      </c>
      <c r="AE185" s="81" t="s">
        <v>17520</v>
      </c>
      <c r="AF185" s="76">
        <v>66</v>
      </c>
      <c r="AG185" s="76">
        <v>72</v>
      </c>
      <c r="AH185" s="76">
        <v>614</v>
      </c>
      <c r="AI185" s="76">
        <v>1</v>
      </c>
      <c r="AJ185" s="76">
        <v>2408</v>
      </c>
      <c r="AK185" s="76">
        <v>129</v>
      </c>
      <c r="AL185" s="76" t="b">
        <v>0</v>
      </c>
      <c r="AM185" s="78">
        <v>44062.674363425926</v>
      </c>
      <c r="AN185" s="76" t="s">
        <v>18603</v>
      </c>
      <c r="AO185" s="76" t="s">
        <v>18927</v>
      </c>
      <c r="AP185" s="83" t="str">
        <f>HYPERLINK("https://t.co/VrZPdRj4RE")</f>
        <v>https://t.co/VrZPdRj4RE</v>
      </c>
      <c r="AQ185" s="83" t="str">
        <f>HYPERLINK("http://www.gregorioimport.com.br")</f>
        <v>http://www.gregorioimport.com.br</v>
      </c>
      <c r="AR185" s="76" t="s">
        <v>19406</v>
      </c>
      <c r="AS185" s="76"/>
      <c r="AT185" s="76"/>
      <c r="AU185" s="76"/>
      <c r="AV185" s="76"/>
      <c r="AW185" s="83" t="str">
        <f>HYPERLINK("https://t.co/VrZPdRj4RE")</f>
        <v>https://t.co/VrZPdRj4RE</v>
      </c>
      <c r="AX185" s="76" t="b">
        <v>0</v>
      </c>
      <c r="AY185" s="76"/>
      <c r="AZ185" s="76"/>
      <c r="BA185" s="76" t="b">
        <v>1</v>
      </c>
      <c r="BB185" s="76" t="b">
        <v>1</v>
      </c>
      <c r="BC185" s="76" t="b">
        <v>1</v>
      </c>
      <c r="BD185" s="76" t="b">
        <v>0</v>
      </c>
      <c r="BE185" s="76" t="b">
        <v>1</v>
      </c>
      <c r="BF185" s="76" t="b">
        <v>0</v>
      </c>
      <c r="BG185" s="76" t="b">
        <v>0</v>
      </c>
      <c r="BH185" s="83" t="str">
        <f>HYPERLINK("https://pbs.twimg.com/profile_banners/1296117449390206978/1634619618")</f>
        <v>https://pbs.twimg.com/profile_banners/1296117449390206978/1634619618</v>
      </c>
      <c r="BI185" s="76"/>
      <c r="BJ185" s="76" t="s">
        <v>19734</v>
      </c>
      <c r="BK185" s="76" t="b">
        <v>0</v>
      </c>
      <c r="BL185" s="76"/>
      <c r="BM185" s="76" t="s">
        <v>66</v>
      </c>
      <c r="BN185" s="76" t="s">
        <v>19736</v>
      </c>
      <c r="BO185" s="83" t="str">
        <f>HYPERLINK("https://twitter.com/panksgo")</f>
        <v>https://twitter.com/panksgo</v>
      </c>
      <c r="BP185" s="2"/>
    </row>
    <row r="186" spans="1:68" x14ac:dyDescent="0.25">
      <c r="A186" s="62" t="s">
        <v>375</v>
      </c>
      <c r="B186" s="63"/>
      <c r="C186" s="63"/>
      <c r="D186" s="64"/>
      <c r="E186" s="66"/>
      <c r="F186" s="103" t="str">
        <f>HYPERLINK("https://pbs.twimg.com/profile_images/1659180229296902144/sFSlf2jT_normal.jpg")</f>
        <v>https://pbs.twimg.com/profile_images/1659180229296902144/sFSlf2jT_normal.jpg</v>
      </c>
      <c r="G186" s="63"/>
      <c r="H186" s="67"/>
      <c r="I186" s="68"/>
      <c r="J186" s="68"/>
      <c r="K186" s="67" t="s">
        <v>19919</v>
      </c>
      <c r="L186" s="71"/>
      <c r="M186" s="72"/>
      <c r="N186" s="72"/>
      <c r="O186" s="73"/>
      <c r="P186" s="74"/>
      <c r="Q186" s="74"/>
      <c r="R186" s="87"/>
      <c r="S186" s="87"/>
      <c r="T186" s="87"/>
      <c r="U186" s="87"/>
      <c r="V186" s="48"/>
      <c r="W186" s="48"/>
      <c r="X186" s="48"/>
      <c r="Y186" s="48"/>
      <c r="Z186" s="47"/>
      <c r="AA186" s="69">
        <v>186</v>
      </c>
      <c r="AB186" s="69"/>
      <c r="AC186" s="70"/>
      <c r="AD186" s="76" t="s">
        <v>17934</v>
      </c>
      <c r="AE186" s="81" t="s">
        <v>17521</v>
      </c>
      <c r="AF186" s="76">
        <v>7</v>
      </c>
      <c r="AG186" s="76">
        <v>19</v>
      </c>
      <c r="AH186" s="76">
        <v>88</v>
      </c>
      <c r="AI186" s="76">
        <v>0</v>
      </c>
      <c r="AJ186" s="76">
        <v>3</v>
      </c>
      <c r="AK186" s="76">
        <v>83</v>
      </c>
      <c r="AL186" s="76" t="b">
        <v>0</v>
      </c>
      <c r="AM186" s="78">
        <v>45064.53665509259</v>
      </c>
      <c r="AN186" s="76"/>
      <c r="AO186" s="76"/>
      <c r="AP186" s="76"/>
      <c r="AQ186" s="76"/>
      <c r="AR186" s="76"/>
      <c r="AS186" s="76"/>
      <c r="AT186" s="76"/>
      <c r="AU186" s="76"/>
      <c r="AV186" s="76"/>
      <c r="AW186" s="76"/>
      <c r="AX186" s="76" t="b">
        <v>0</v>
      </c>
      <c r="AY186" s="76"/>
      <c r="AZ186" s="76"/>
      <c r="BA186" s="76" t="b">
        <v>0</v>
      </c>
      <c r="BB186" s="76" t="b">
        <v>1</v>
      </c>
      <c r="BC186" s="76" t="b">
        <v>1</v>
      </c>
      <c r="BD186" s="76" t="b">
        <v>0</v>
      </c>
      <c r="BE186" s="76" t="b">
        <v>0</v>
      </c>
      <c r="BF186" s="76" t="b">
        <v>0</v>
      </c>
      <c r="BG186" s="76" t="b">
        <v>0</v>
      </c>
      <c r="BH186" s="83" t="str">
        <f>HYPERLINK("https://pbs.twimg.com/profile_banners/1659179945313161216/1685132405")</f>
        <v>https://pbs.twimg.com/profile_banners/1659179945313161216/1685132405</v>
      </c>
      <c r="BI186" s="76"/>
      <c r="BJ186" s="76" t="s">
        <v>19734</v>
      </c>
      <c r="BK186" s="76" t="b">
        <v>0</v>
      </c>
      <c r="BL186" s="76"/>
      <c r="BM186" s="76" t="s">
        <v>66</v>
      </c>
      <c r="BN186" s="76" t="s">
        <v>19736</v>
      </c>
      <c r="BO186" s="83" t="str">
        <f>HYPERLINK("https://twitter.com/facilinvestidor")</f>
        <v>https://twitter.com/facilinvestidor</v>
      </c>
      <c r="BP186" s="2"/>
    </row>
    <row r="187" spans="1:68" x14ac:dyDescent="0.25">
      <c r="A187" s="62" t="s">
        <v>376</v>
      </c>
      <c r="B187" s="63"/>
      <c r="C187" s="63"/>
      <c r="D187" s="64"/>
      <c r="E187" s="66"/>
      <c r="F187" s="103" t="str">
        <f>HYPERLINK("https://pbs.twimg.com/profile_images/1592968350908424199/r3f_-RP3_normal.jpg")</f>
        <v>https://pbs.twimg.com/profile_images/1592968350908424199/r3f_-RP3_normal.jpg</v>
      </c>
      <c r="G187" s="63"/>
      <c r="H187" s="67"/>
      <c r="I187" s="68"/>
      <c r="J187" s="68"/>
      <c r="K187" s="67" t="s">
        <v>19920</v>
      </c>
      <c r="L187" s="71"/>
      <c r="M187" s="72"/>
      <c r="N187" s="72"/>
      <c r="O187" s="73"/>
      <c r="P187" s="74"/>
      <c r="Q187" s="74"/>
      <c r="R187" s="87"/>
      <c r="S187" s="87"/>
      <c r="T187" s="87"/>
      <c r="U187" s="87"/>
      <c r="V187" s="48"/>
      <c r="W187" s="48"/>
      <c r="X187" s="48"/>
      <c r="Y187" s="48"/>
      <c r="Z187" s="47"/>
      <c r="AA187" s="69">
        <v>187</v>
      </c>
      <c r="AB187" s="69"/>
      <c r="AC187" s="70"/>
      <c r="AD187" s="76" t="s">
        <v>17935</v>
      </c>
      <c r="AE187" s="81" t="s">
        <v>18386</v>
      </c>
      <c r="AF187" s="76">
        <v>1040</v>
      </c>
      <c r="AG187" s="76">
        <v>257</v>
      </c>
      <c r="AH187" s="76">
        <v>3140</v>
      </c>
      <c r="AI187" s="76">
        <v>43</v>
      </c>
      <c r="AJ187" s="76">
        <v>1332</v>
      </c>
      <c r="AK187" s="76">
        <v>1114</v>
      </c>
      <c r="AL187" s="76" t="b">
        <v>0</v>
      </c>
      <c r="AM187" s="78">
        <v>39983.937083333331</v>
      </c>
      <c r="AN187" s="76" t="s">
        <v>12014</v>
      </c>
      <c r="AO187" s="76" t="s">
        <v>18928</v>
      </c>
      <c r="AP187" s="83" t="str">
        <f>HYPERLINK("https://t.co/2Ds76ZLYgu")</f>
        <v>https://t.co/2Ds76ZLYgu</v>
      </c>
      <c r="AQ187" s="83" t="str">
        <f>HYPERLINK("http://www.fxreview.com.br")</f>
        <v>http://www.fxreview.com.br</v>
      </c>
      <c r="AR187" s="76" t="s">
        <v>19407</v>
      </c>
      <c r="AS187" s="76"/>
      <c r="AT187" s="76"/>
      <c r="AU187" s="76"/>
      <c r="AV187" s="76"/>
      <c r="AW187" s="83" t="str">
        <f>HYPERLINK("https://t.co/2Ds76ZLYgu")</f>
        <v>https://t.co/2Ds76ZLYgu</v>
      </c>
      <c r="AX187" s="76" t="b">
        <v>0</v>
      </c>
      <c r="AY187" s="76"/>
      <c r="AZ187" s="76"/>
      <c r="BA187" s="76" t="b">
        <v>0</v>
      </c>
      <c r="BB187" s="76" t="b">
        <v>1</v>
      </c>
      <c r="BC187" s="76" t="b">
        <v>1</v>
      </c>
      <c r="BD187" s="76" t="b">
        <v>0</v>
      </c>
      <c r="BE187" s="76" t="b">
        <v>0</v>
      </c>
      <c r="BF187" s="76" t="b">
        <v>0</v>
      </c>
      <c r="BG187" s="76" t="b">
        <v>0</v>
      </c>
      <c r="BH187" s="76"/>
      <c r="BI187" s="76"/>
      <c r="BJ187" s="76" t="s">
        <v>19734</v>
      </c>
      <c r="BK187" s="76" t="b">
        <v>0</v>
      </c>
      <c r="BL187" s="76"/>
      <c r="BM187" s="76" t="s">
        <v>66</v>
      </c>
      <c r="BN187" s="76" t="s">
        <v>19736</v>
      </c>
      <c r="BO187" s="83" t="str">
        <f>HYPERLINK("https://twitter.com/fxando")</f>
        <v>https://twitter.com/fxando</v>
      </c>
      <c r="BP187" s="2"/>
    </row>
    <row r="188" spans="1:68" x14ac:dyDescent="0.25">
      <c r="A188" s="62" t="s">
        <v>377</v>
      </c>
      <c r="B188" s="63"/>
      <c r="C188" s="63"/>
      <c r="D188" s="64"/>
      <c r="E188" s="66"/>
      <c r="F188" s="103" t="str">
        <f>HYPERLINK("https://pbs.twimg.com/profile_images/1461818210479710210/tJDcz0Ll_normal.jpg")</f>
        <v>https://pbs.twimg.com/profile_images/1461818210479710210/tJDcz0Ll_normal.jpg</v>
      </c>
      <c r="G188" s="63"/>
      <c r="H188" s="67"/>
      <c r="I188" s="68"/>
      <c r="J188" s="68"/>
      <c r="K188" s="67" t="s">
        <v>19921</v>
      </c>
      <c r="L188" s="71"/>
      <c r="M188" s="72"/>
      <c r="N188" s="72"/>
      <c r="O188" s="73"/>
      <c r="P188" s="74"/>
      <c r="Q188" s="74"/>
      <c r="R188" s="87"/>
      <c r="S188" s="87"/>
      <c r="T188" s="87"/>
      <c r="U188" s="87"/>
      <c r="V188" s="48"/>
      <c r="W188" s="48"/>
      <c r="X188" s="48"/>
      <c r="Y188" s="48"/>
      <c r="Z188" s="47"/>
      <c r="AA188" s="69">
        <v>188</v>
      </c>
      <c r="AB188" s="69"/>
      <c r="AC188" s="70"/>
      <c r="AD188" s="76" t="s">
        <v>17936</v>
      </c>
      <c r="AE188" s="81" t="s">
        <v>18387</v>
      </c>
      <c r="AF188" s="76">
        <v>1292396</v>
      </c>
      <c r="AG188" s="76">
        <v>670</v>
      </c>
      <c r="AH188" s="76">
        <v>207606</v>
      </c>
      <c r="AI188" s="76">
        <v>5148</v>
      </c>
      <c r="AJ188" s="76">
        <v>19383</v>
      </c>
      <c r="AK188" s="76">
        <v>62540</v>
      </c>
      <c r="AL188" s="76" t="b">
        <v>0</v>
      </c>
      <c r="AM188" s="78">
        <v>39903.672500000001</v>
      </c>
      <c r="AN188" s="76" t="s">
        <v>12007</v>
      </c>
      <c r="AO188" s="76" t="s">
        <v>18929</v>
      </c>
      <c r="AP188" s="83" t="str">
        <f>HYPERLINK("https://t.co/Xw8Qrbky3g")</f>
        <v>https://t.co/Xw8Qrbky3g</v>
      </c>
      <c r="AQ188" s="83" t="str">
        <f>HYPERLINK("https://jovempan.com.br/entretenimento")</f>
        <v>https://jovempan.com.br/entretenimento</v>
      </c>
      <c r="AR188" s="76" t="s">
        <v>19408</v>
      </c>
      <c r="AS188" s="76"/>
      <c r="AT188" s="76"/>
      <c r="AU188" s="76"/>
      <c r="AV188" s="76"/>
      <c r="AW188" s="83" t="str">
        <f>HYPERLINK("https://t.co/Xw8Qrbky3g")</f>
        <v>https://t.co/Xw8Qrbky3g</v>
      </c>
      <c r="AX188" s="76" t="b">
        <v>1</v>
      </c>
      <c r="AY188" s="76"/>
      <c r="AZ188" s="76"/>
      <c r="BA188" s="76" t="b">
        <v>0</v>
      </c>
      <c r="BB188" s="76" t="b">
        <v>1</v>
      </c>
      <c r="BC188" s="76" t="b">
        <v>0</v>
      </c>
      <c r="BD188" s="76" t="b">
        <v>0</v>
      </c>
      <c r="BE188" s="76" t="b">
        <v>1</v>
      </c>
      <c r="BF188" s="76" t="b">
        <v>0</v>
      </c>
      <c r="BG188" s="76" t="b">
        <v>0</v>
      </c>
      <c r="BH188" s="83" t="str">
        <f>HYPERLINK("https://pbs.twimg.com/profile_banners/27900594/1645209750")</f>
        <v>https://pbs.twimg.com/profile_banners/27900594/1645209750</v>
      </c>
      <c r="BI188" s="76"/>
      <c r="BJ188" s="76" t="s">
        <v>19734</v>
      </c>
      <c r="BK188" s="76" t="b">
        <v>0</v>
      </c>
      <c r="BL188" s="76"/>
      <c r="BM188" s="76" t="s">
        <v>66</v>
      </c>
      <c r="BN188" s="76" t="s">
        <v>19736</v>
      </c>
      <c r="BO188" s="83" t="str">
        <f>HYPERLINK("https://twitter.com/jovempanentrete")</f>
        <v>https://twitter.com/jovempanentrete</v>
      </c>
      <c r="BP188" s="2"/>
    </row>
    <row r="189" spans="1:68" x14ac:dyDescent="0.25">
      <c r="A189" s="62" t="s">
        <v>378</v>
      </c>
      <c r="B189" s="63"/>
      <c r="C189" s="63"/>
      <c r="D189" s="64"/>
      <c r="E189" s="66"/>
      <c r="F189" s="103" t="str">
        <f>HYPERLINK("https://pbs.twimg.com/profile_images/1185282530875990017/qeIRTCAp_normal.jpg")</f>
        <v>https://pbs.twimg.com/profile_images/1185282530875990017/qeIRTCAp_normal.jpg</v>
      </c>
      <c r="G189" s="63"/>
      <c r="H189" s="67"/>
      <c r="I189" s="68"/>
      <c r="J189" s="68"/>
      <c r="K189" s="67" t="s">
        <v>19922</v>
      </c>
      <c r="L189" s="71"/>
      <c r="M189" s="72"/>
      <c r="N189" s="72"/>
      <c r="O189" s="73"/>
      <c r="P189" s="74"/>
      <c r="Q189" s="74"/>
      <c r="R189" s="87"/>
      <c r="S189" s="87"/>
      <c r="T189" s="87"/>
      <c r="U189" s="87"/>
      <c r="V189" s="48"/>
      <c r="W189" s="48"/>
      <c r="X189" s="48"/>
      <c r="Y189" s="48"/>
      <c r="Z189" s="47"/>
      <c r="AA189" s="69">
        <v>189</v>
      </c>
      <c r="AB189" s="69"/>
      <c r="AC189" s="70"/>
      <c r="AD189" s="76" t="s">
        <v>17937</v>
      </c>
      <c r="AE189" s="81" t="s">
        <v>18388</v>
      </c>
      <c r="AF189" s="76">
        <v>1568</v>
      </c>
      <c r="AG189" s="76">
        <v>1800</v>
      </c>
      <c r="AH189" s="76">
        <v>10543</v>
      </c>
      <c r="AI189" s="76">
        <v>1</v>
      </c>
      <c r="AJ189" s="76">
        <v>186</v>
      </c>
      <c r="AK189" s="76">
        <v>1606</v>
      </c>
      <c r="AL189" s="76" t="b">
        <v>0</v>
      </c>
      <c r="AM189" s="78">
        <v>41260.535011574073</v>
      </c>
      <c r="AN189" s="76" t="s">
        <v>12007</v>
      </c>
      <c r="AO189" s="76" t="s">
        <v>18930</v>
      </c>
      <c r="AP189" s="83" t="str">
        <f>HYPERLINK("https://t.co/7k7T9eI37q")</f>
        <v>https://t.co/7k7T9eI37q</v>
      </c>
      <c r="AQ189" s="83" t="str">
        <f>HYPERLINK("http://www.portalviu.com.br")</f>
        <v>http://www.portalviu.com.br</v>
      </c>
      <c r="AR189" s="76" t="s">
        <v>19409</v>
      </c>
      <c r="AS189" s="76"/>
      <c r="AT189" s="76"/>
      <c r="AU189" s="76"/>
      <c r="AV189" s="76"/>
      <c r="AW189" s="83" t="str">
        <f>HYPERLINK("https://t.co/7k7T9eI37q")</f>
        <v>https://t.co/7k7T9eI37q</v>
      </c>
      <c r="AX189" s="76" t="b">
        <v>0</v>
      </c>
      <c r="AY189" s="76"/>
      <c r="AZ189" s="76"/>
      <c r="BA189" s="76" t="b">
        <v>0</v>
      </c>
      <c r="BB189" s="76" t="b">
        <v>1</v>
      </c>
      <c r="BC189" s="76" t="b">
        <v>0</v>
      </c>
      <c r="BD189" s="76" t="b">
        <v>0</v>
      </c>
      <c r="BE189" s="76" t="b">
        <v>0</v>
      </c>
      <c r="BF189" s="76" t="b">
        <v>0</v>
      </c>
      <c r="BG189" s="76" t="b">
        <v>0</v>
      </c>
      <c r="BH189" s="83" t="str">
        <f>HYPERLINK("https://pbs.twimg.com/profile_banners/1017413287/1662943944")</f>
        <v>https://pbs.twimg.com/profile_banners/1017413287/1662943944</v>
      </c>
      <c r="BI189" s="76"/>
      <c r="BJ189" s="76" t="s">
        <v>19734</v>
      </c>
      <c r="BK189" s="76" t="b">
        <v>0</v>
      </c>
      <c r="BL189" s="76"/>
      <c r="BM189" s="76" t="s">
        <v>66</v>
      </c>
      <c r="BN189" s="76" t="s">
        <v>19736</v>
      </c>
      <c r="BO189" s="83" t="str">
        <f>HYPERLINK("https://twitter.com/portal_viu")</f>
        <v>https://twitter.com/portal_viu</v>
      </c>
      <c r="BP189" s="2"/>
    </row>
    <row r="190" spans="1:68" x14ac:dyDescent="0.25">
      <c r="A190" s="62" t="s">
        <v>379</v>
      </c>
      <c r="B190" s="63"/>
      <c r="C190" s="63"/>
      <c r="D190" s="64"/>
      <c r="E190" s="66"/>
      <c r="F190" s="103" t="str">
        <f>HYPERLINK("https://pbs.twimg.com/profile_images/1568043423864594432/NIeaaUix_normal.jpg")</f>
        <v>https://pbs.twimg.com/profile_images/1568043423864594432/NIeaaUix_normal.jpg</v>
      </c>
      <c r="G190" s="63"/>
      <c r="H190" s="67"/>
      <c r="I190" s="68"/>
      <c r="J190" s="68"/>
      <c r="K190" s="67" t="s">
        <v>19923</v>
      </c>
      <c r="L190" s="71"/>
      <c r="M190" s="72"/>
      <c r="N190" s="72"/>
      <c r="O190" s="73"/>
      <c r="P190" s="74"/>
      <c r="Q190" s="74"/>
      <c r="R190" s="87"/>
      <c r="S190" s="87"/>
      <c r="T190" s="87"/>
      <c r="U190" s="87"/>
      <c r="V190" s="48"/>
      <c r="W190" s="48"/>
      <c r="X190" s="48"/>
      <c r="Y190" s="48"/>
      <c r="Z190" s="47"/>
      <c r="AA190" s="69">
        <v>190</v>
      </c>
      <c r="AB190" s="69"/>
      <c r="AC190" s="70"/>
      <c r="AD190" s="76" t="s">
        <v>17938</v>
      </c>
      <c r="AE190" s="81" t="s">
        <v>17522</v>
      </c>
      <c r="AF190" s="76">
        <v>10</v>
      </c>
      <c r="AG190" s="76">
        <v>220</v>
      </c>
      <c r="AH190" s="76">
        <v>499</v>
      </c>
      <c r="AI190" s="76">
        <v>0</v>
      </c>
      <c r="AJ190" s="76">
        <v>543</v>
      </c>
      <c r="AK190" s="76">
        <v>139</v>
      </c>
      <c r="AL190" s="76" t="b">
        <v>0</v>
      </c>
      <c r="AM190" s="78">
        <v>44813.045590277776</v>
      </c>
      <c r="AN190" s="76" t="s">
        <v>18620</v>
      </c>
      <c r="AO190" s="76" t="s">
        <v>18931</v>
      </c>
      <c r="AP190" s="76"/>
      <c r="AQ190" s="76"/>
      <c r="AR190" s="76"/>
      <c r="AS190" s="76"/>
      <c r="AT190" s="76"/>
      <c r="AU190" s="76"/>
      <c r="AV190" s="76"/>
      <c r="AW190" s="76"/>
      <c r="AX190" s="76" t="b">
        <v>0</v>
      </c>
      <c r="AY190" s="76"/>
      <c r="AZ190" s="76"/>
      <c r="BA190" s="76" t="b">
        <v>0</v>
      </c>
      <c r="BB190" s="76" t="b">
        <v>1</v>
      </c>
      <c r="BC190" s="76" t="b">
        <v>1</v>
      </c>
      <c r="BD190" s="76" t="b">
        <v>0</v>
      </c>
      <c r="BE190" s="76" t="b">
        <v>1</v>
      </c>
      <c r="BF190" s="76" t="b">
        <v>0</v>
      </c>
      <c r="BG190" s="76" t="b">
        <v>0</v>
      </c>
      <c r="BH190" s="83" t="str">
        <f>HYPERLINK("https://pbs.twimg.com/profile_banners/1568042857449066496/1662686065")</f>
        <v>https://pbs.twimg.com/profile_banners/1568042857449066496/1662686065</v>
      </c>
      <c r="BI190" s="76"/>
      <c r="BJ190" s="76" t="s">
        <v>19734</v>
      </c>
      <c r="BK190" s="76" t="b">
        <v>0</v>
      </c>
      <c r="BL190" s="76"/>
      <c r="BM190" s="76" t="s">
        <v>66</v>
      </c>
      <c r="BN190" s="76" t="s">
        <v>19736</v>
      </c>
      <c r="BO190" s="83" t="str">
        <f>HYPERLINK("https://twitter.com/jocarlosdaraujo")</f>
        <v>https://twitter.com/jocarlosdaraujo</v>
      </c>
      <c r="BP190" s="2"/>
    </row>
    <row r="191" spans="1:68" x14ac:dyDescent="0.25">
      <c r="A191" s="62" t="s">
        <v>446</v>
      </c>
      <c r="B191" s="63"/>
      <c r="C191" s="63"/>
      <c r="D191" s="64"/>
      <c r="E191" s="66"/>
      <c r="F191" s="103" t="str">
        <f>HYPERLINK("https://pbs.twimg.com/profile_images/1587217097855213577/v4EbJ7bm_normal.jpg")</f>
        <v>https://pbs.twimg.com/profile_images/1587217097855213577/v4EbJ7bm_normal.jpg</v>
      </c>
      <c r="G191" s="63"/>
      <c r="H191" s="67"/>
      <c r="I191" s="68"/>
      <c r="J191" s="68"/>
      <c r="K191" s="67" t="s">
        <v>19924</v>
      </c>
      <c r="L191" s="71"/>
      <c r="M191" s="72"/>
      <c r="N191" s="72"/>
      <c r="O191" s="73"/>
      <c r="P191" s="74"/>
      <c r="Q191" s="74"/>
      <c r="R191" s="87"/>
      <c r="S191" s="87"/>
      <c r="T191" s="87"/>
      <c r="U191" s="87"/>
      <c r="V191" s="48"/>
      <c r="W191" s="48"/>
      <c r="X191" s="48"/>
      <c r="Y191" s="48"/>
      <c r="Z191" s="47"/>
      <c r="AA191" s="69">
        <v>191</v>
      </c>
      <c r="AB191" s="69"/>
      <c r="AC191" s="70"/>
      <c r="AD191" s="76" t="s">
        <v>17939</v>
      </c>
      <c r="AE191" s="81" t="s">
        <v>17559</v>
      </c>
      <c r="AF191" s="76">
        <v>2543260</v>
      </c>
      <c r="AG191" s="76">
        <v>603</v>
      </c>
      <c r="AH191" s="76">
        <v>10858</v>
      </c>
      <c r="AI191" s="76">
        <v>2219</v>
      </c>
      <c r="AJ191" s="76">
        <v>43831</v>
      </c>
      <c r="AK191" s="76">
        <v>2542</v>
      </c>
      <c r="AL191" s="76" t="b">
        <v>0</v>
      </c>
      <c r="AM191" s="78">
        <v>43462.492430555554</v>
      </c>
      <c r="AN191" s="76"/>
      <c r="AO191" s="76" t="s">
        <v>18932</v>
      </c>
      <c r="AP191" s="76"/>
      <c r="AQ191" s="76"/>
      <c r="AR191" s="76"/>
      <c r="AS191" s="76"/>
      <c r="AT191" s="76"/>
      <c r="AU191" s="76"/>
      <c r="AV191" s="76"/>
      <c r="AW191" s="76"/>
      <c r="AX191" s="76" t="b">
        <v>1</v>
      </c>
      <c r="AY191" s="76"/>
      <c r="AZ191" s="76"/>
      <c r="BA191" s="76" t="b">
        <v>0</v>
      </c>
      <c r="BB191" s="76" t="b">
        <v>1</v>
      </c>
      <c r="BC191" s="76" t="b">
        <v>1</v>
      </c>
      <c r="BD191" s="76" t="b">
        <v>0</v>
      </c>
      <c r="BE191" s="76" t="b">
        <v>1</v>
      </c>
      <c r="BF191" s="76" t="b">
        <v>0</v>
      </c>
      <c r="BG191" s="76" t="b">
        <v>0</v>
      </c>
      <c r="BH191" s="83" t="str">
        <f>HYPERLINK("https://pbs.twimg.com/profile_banners/1078618844007157761/1667257673")</f>
        <v>https://pbs.twimg.com/profile_banners/1078618844007157761/1667257673</v>
      </c>
      <c r="BI191" s="76"/>
      <c r="BJ191" s="76" t="s">
        <v>19734</v>
      </c>
      <c r="BK191" s="76" t="b">
        <v>0</v>
      </c>
      <c r="BL191" s="76"/>
      <c r="BM191" s="76" t="s">
        <v>66</v>
      </c>
      <c r="BN191" s="76" t="s">
        <v>19736</v>
      </c>
      <c r="BO191" s="83" t="str">
        <f>HYPERLINK("https://twitter.com/tarcisiogdf")</f>
        <v>https://twitter.com/tarcisiogdf</v>
      </c>
      <c r="BP191" s="2"/>
    </row>
    <row r="192" spans="1:68" x14ac:dyDescent="0.25">
      <c r="A192" s="62" t="s">
        <v>380</v>
      </c>
      <c r="B192" s="63"/>
      <c r="C192" s="63"/>
      <c r="D192" s="64"/>
      <c r="E192" s="66"/>
      <c r="F192" s="103" t="str">
        <f>HYPERLINK("https://pbs.twimg.com/profile_images/1669295709923819529/LNTgwqvp_normal.jpg")</f>
        <v>https://pbs.twimg.com/profile_images/1669295709923819529/LNTgwqvp_normal.jpg</v>
      </c>
      <c r="G192" s="63"/>
      <c r="H192" s="67"/>
      <c r="I192" s="68"/>
      <c r="J192" s="68"/>
      <c r="K192" s="67" t="s">
        <v>19925</v>
      </c>
      <c r="L192" s="71"/>
      <c r="M192" s="72"/>
      <c r="N192" s="72"/>
      <c r="O192" s="73"/>
      <c r="P192" s="74"/>
      <c r="Q192" s="74"/>
      <c r="R192" s="87"/>
      <c r="S192" s="87"/>
      <c r="T192" s="87"/>
      <c r="U192" s="87"/>
      <c r="V192" s="48"/>
      <c r="W192" s="48"/>
      <c r="X192" s="48"/>
      <c r="Y192" s="48"/>
      <c r="Z192" s="47"/>
      <c r="AA192" s="69">
        <v>192</v>
      </c>
      <c r="AB192" s="69"/>
      <c r="AC192" s="70"/>
      <c r="AD192" s="76" t="s">
        <v>17940</v>
      </c>
      <c r="AE192" s="81" t="s">
        <v>17342</v>
      </c>
      <c r="AF192" s="76">
        <v>1126</v>
      </c>
      <c r="AG192" s="76">
        <v>80</v>
      </c>
      <c r="AH192" s="76">
        <v>1472</v>
      </c>
      <c r="AI192" s="76">
        <v>3</v>
      </c>
      <c r="AJ192" s="76">
        <v>405</v>
      </c>
      <c r="AK192" s="76">
        <v>680</v>
      </c>
      <c r="AL192" s="76" t="b">
        <v>0</v>
      </c>
      <c r="AM192" s="78">
        <v>43587.726574074077</v>
      </c>
      <c r="AN192" s="76"/>
      <c r="AO192" s="76" t="s">
        <v>18933</v>
      </c>
      <c r="AP192" s="83" t="str">
        <f>HYPERLINK("https://t.co/gsbxsIaZI3")</f>
        <v>https://t.co/gsbxsIaZI3</v>
      </c>
      <c r="AQ192" s="83" t="str">
        <f>HYPERLINK("http://www.felipedospneus.com/")</f>
        <v>http://www.felipedospneus.com/</v>
      </c>
      <c r="AR192" s="76" t="s">
        <v>19410</v>
      </c>
      <c r="AS192" s="83" t="str">
        <f>HYPERLINK("https://t.co/5qNqG0OoUN")</f>
        <v>https://t.co/5qNqG0OoUN</v>
      </c>
      <c r="AT192" s="83" t="str">
        <f>HYPERLINK("http://instagram.com/felipedospneus")</f>
        <v>http://instagram.com/felipedospneus</v>
      </c>
      <c r="AU192" s="76" t="s">
        <v>19700</v>
      </c>
      <c r="AV192" s="76">
        <v>1.59503148420498E+18</v>
      </c>
      <c r="AW192" s="83" t="str">
        <f>HYPERLINK("https://t.co/gsbxsIaZI3")</f>
        <v>https://t.co/gsbxsIaZI3</v>
      </c>
      <c r="AX192" s="76" t="b">
        <v>0</v>
      </c>
      <c r="AY192" s="76"/>
      <c r="AZ192" s="76"/>
      <c r="BA192" s="76" t="b">
        <v>0</v>
      </c>
      <c r="BB192" s="76" t="b">
        <v>1</v>
      </c>
      <c r="BC192" s="76" t="b">
        <v>1</v>
      </c>
      <c r="BD192" s="76" t="b">
        <v>0</v>
      </c>
      <c r="BE192" s="76" t="b">
        <v>0</v>
      </c>
      <c r="BF192" s="76" t="b">
        <v>0</v>
      </c>
      <c r="BG192" s="76" t="b">
        <v>0</v>
      </c>
      <c r="BH192" s="83" t="str">
        <f>HYPERLINK("https://pbs.twimg.com/profile_banners/1124002177083740162/1679420926")</f>
        <v>https://pbs.twimg.com/profile_banners/1124002177083740162/1679420926</v>
      </c>
      <c r="BI192" s="76"/>
      <c r="BJ192" s="76" t="s">
        <v>19734</v>
      </c>
      <c r="BK192" s="76" t="b">
        <v>0</v>
      </c>
      <c r="BL192" s="76"/>
      <c r="BM192" s="76" t="s">
        <v>66</v>
      </c>
      <c r="BN192" s="76" t="s">
        <v>19736</v>
      </c>
      <c r="BO192" s="83" t="str">
        <f>HYPERLINK("https://twitter.com/felipedospneus")</f>
        <v>https://twitter.com/felipedospneus</v>
      </c>
      <c r="BP192" s="2"/>
    </row>
    <row r="193" spans="1:68" x14ac:dyDescent="0.25">
      <c r="A193" s="62" t="s">
        <v>381</v>
      </c>
      <c r="B193" s="63"/>
      <c r="C193" s="63"/>
      <c r="D193" s="64"/>
      <c r="E193" s="66"/>
      <c r="F193" s="103" t="str">
        <f>HYPERLINK("https://pbs.twimg.com/profile_images/1582404600459657216/J-jAWIzV_normal.jpg")</f>
        <v>https://pbs.twimg.com/profile_images/1582404600459657216/J-jAWIzV_normal.jpg</v>
      </c>
      <c r="G193" s="63"/>
      <c r="H193" s="67"/>
      <c r="I193" s="68"/>
      <c r="J193" s="68"/>
      <c r="K193" s="67" t="s">
        <v>19926</v>
      </c>
      <c r="L193" s="71"/>
      <c r="M193" s="72"/>
      <c r="N193" s="72"/>
      <c r="O193" s="73"/>
      <c r="P193" s="74"/>
      <c r="Q193" s="74"/>
      <c r="R193" s="87"/>
      <c r="S193" s="87"/>
      <c r="T193" s="87"/>
      <c r="U193" s="87"/>
      <c r="V193" s="48"/>
      <c r="W193" s="48"/>
      <c r="X193" s="48"/>
      <c r="Y193" s="48"/>
      <c r="Z193" s="47"/>
      <c r="AA193" s="69">
        <v>193</v>
      </c>
      <c r="AB193" s="69"/>
      <c r="AC193" s="70"/>
      <c r="AD193" s="76" t="s">
        <v>17941</v>
      </c>
      <c r="AE193" s="81" t="s">
        <v>17523</v>
      </c>
      <c r="AF193" s="76">
        <v>50</v>
      </c>
      <c r="AG193" s="76">
        <v>79</v>
      </c>
      <c r="AH193" s="76">
        <v>1434</v>
      </c>
      <c r="AI193" s="76">
        <v>0</v>
      </c>
      <c r="AJ193" s="76">
        <v>17</v>
      </c>
      <c r="AK193" s="76">
        <v>1315</v>
      </c>
      <c r="AL193" s="76" t="b">
        <v>0</v>
      </c>
      <c r="AM193" s="78">
        <v>43382.840914351851</v>
      </c>
      <c r="AN193" s="76" t="s">
        <v>18621</v>
      </c>
      <c r="AO193" s="76" t="s">
        <v>18934</v>
      </c>
      <c r="AP193" s="83" t="str">
        <f>HYPERLINK("https://t.co/XfhJer0xvW")</f>
        <v>https://t.co/XfhJer0xvW</v>
      </c>
      <c r="AQ193" s="83" t="str">
        <f>HYPERLINK("http://www.eniacsjc.com.br")</f>
        <v>http://www.eniacsjc.com.br</v>
      </c>
      <c r="AR193" s="76" t="s">
        <v>19411</v>
      </c>
      <c r="AS193" s="76"/>
      <c r="AT193" s="76"/>
      <c r="AU193" s="76"/>
      <c r="AV193" s="76"/>
      <c r="AW193" s="83" t="str">
        <f>HYPERLINK("https://t.co/XfhJer0xvW")</f>
        <v>https://t.co/XfhJer0xvW</v>
      </c>
      <c r="AX193" s="76" t="b">
        <v>0</v>
      </c>
      <c r="AY193" s="76"/>
      <c r="AZ193" s="76"/>
      <c r="BA193" s="76" t="b">
        <v>1</v>
      </c>
      <c r="BB193" s="76" t="b">
        <v>1</v>
      </c>
      <c r="BC193" s="76" t="b">
        <v>1</v>
      </c>
      <c r="BD193" s="76" t="b">
        <v>0</v>
      </c>
      <c r="BE193" s="76" t="b">
        <v>0</v>
      </c>
      <c r="BF193" s="76" t="b">
        <v>0</v>
      </c>
      <c r="BG193" s="76" t="b">
        <v>0</v>
      </c>
      <c r="BH193" s="83" t="str">
        <f>HYPERLINK("https://pbs.twimg.com/profile_banners/1049754099355439107/1659469250")</f>
        <v>https://pbs.twimg.com/profile_banners/1049754099355439107/1659469250</v>
      </c>
      <c r="BI193" s="76"/>
      <c r="BJ193" s="76" t="s">
        <v>19734</v>
      </c>
      <c r="BK193" s="76" t="b">
        <v>0</v>
      </c>
      <c r="BL193" s="76"/>
      <c r="BM193" s="76" t="s">
        <v>66</v>
      </c>
      <c r="BN193" s="76" t="s">
        <v>19736</v>
      </c>
      <c r="BO193" s="83" t="str">
        <f>HYPERLINK("https://twitter.com/eniacsjc")</f>
        <v>https://twitter.com/eniacsjc</v>
      </c>
      <c r="BP193" s="2"/>
    </row>
    <row r="194" spans="1:68" x14ac:dyDescent="0.25">
      <c r="A194" s="62" t="s">
        <v>382</v>
      </c>
      <c r="B194" s="63"/>
      <c r="C194" s="63"/>
      <c r="D194" s="64"/>
      <c r="E194" s="66"/>
      <c r="F194" s="103" t="str">
        <f>HYPERLINK("https://pbs.twimg.com/profile_images/1053051814554296320/N7-SmvXF_normal.jpg")</f>
        <v>https://pbs.twimg.com/profile_images/1053051814554296320/N7-SmvXF_normal.jpg</v>
      </c>
      <c r="G194" s="63"/>
      <c r="H194" s="67"/>
      <c r="I194" s="68"/>
      <c r="J194" s="68"/>
      <c r="K194" s="67" t="s">
        <v>19927</v>
      </c>
      <c r="L194" s="71"/>
      <c r="M194" s="72"/>
      <c r="N194" s="72"/>
      <c r="O194" s="73"/>
      <c r="P194" s="74"/>
      <c r="Q194" s="74"/>
      <c r="R194" s="87"/>
      <c r="S194" s="87"/>
      <c r="T194" s="87"/>
      <c r="U194" s="87"/>
      <c r="V194" s="48"/>
      <c r="W194" s="48"/>
      <c r="X194" s="48"/>
      <c r="Y194" s="48"/>
      <c r="Z194" s="47"/>
      <c r="AA194" s="69">
        <v>194</v>
      </c>
      <c r="AB194" s="69"/>
      <c r="AC194" s="70"/>
      <c r="AD194" s="76" t="s">
        <v>17942</v>
      </c>
      <c r="AE194" s="81" t="s">
        <v>17524</v>
      </c>
      <c r="AF194" s="76">
        <v>4222</v>
      </c>
      <c r="AG194" s="76">
        <v>4528</v>
      </c>
      <c r="AH194" s="76">
        <v>32616</v>
      </c>
      <c r="AI194" s="76">
        <v>2</v>
      </c>
      <c r="AJ194" s="76">
        <v>55876</v>
      </c>
      <c r="AK194" s="76">
        <v>186</v>
      </c>
      <c r="AL194" s="76" t="b">
        <v>0</v>
      </c>
      <c r="AM194" s="78">
        <v>43357.7499537037</v>
      </c>
      <c r="AN194" s="76"/>
      <c r="AO194" s="76" t="s">
        <v>18935</v>
      </c>
      <c r="AP194" s="76"/>
      <c r="AQ194" s="76"/>
      <c r="AR194" s="76"/>
      <c r="AS194" s="76"/>
      <c r="AT194" s="76"/>
      <c r="AU194" s="76"/>
      <c r="AV194" s="76">
        <v>1.2064204601514501E+18</v>
      </c>
      <c r="AW194" s="76"/>
      <c r="AX194" s="76" t="b">
        <v>0</v>
      </c>
      <c r="AY194" s="76"/>
      <c r="AZ194" s="76"/>
      <c r="BA194" s="76" t="b">
        <v>0</v>
      </c>
      <c r="BB194" s="76" t="b">
        <v>0</v>
      </c>
      <c r="BC194" s="76" t="b">
        <v>1</v>
      </c>
      <c r="BD194" s="76" t="b">
        <v>0</v>
      </c>
      <c r="BE194" s="76" t="b">
        <v>1</v>
      </c>
      <c r="BF194" s="76" t="b">
        <v>0</v>
      </c>
      <c r="BG194" s="76" t="b">
        <v>0</v>
      </c>
      <c r="BH194" s="83" t="str">
        <f>HYPERLINK("https://pbs.twimg.com/profile_banners/1040661437423738882/1539902134")</f>
        <v>https://pbs.twimg.com/profile_banners/1040661437423738882/1539902134</v>
      </c>
      <c r="BI194" s="76"/>
      <c r="BJ194" s="76" t="s">
        <v>19734</v>
      </c>
      <c r="BK194" s="76" t="b">
        <v>0</v>
      </c>
      <c r="BL194" s="76"/>
      <c r="BM194" s="76" t="s">
        <v>66</v>
      </c>
      <c r="BN194" s="76" t="s">
        <v>19736</v>
      </c>
      <c r="BO194" s="83" t="str">
        <f>HYPERLINK("https://twitter.com/darisamattos")</f>
        <v>https://twitter.com/darisamattos</v>
      </c>
      <c r="BP194" s="2"/>
    </row>
    <row r="195" spans="1:68" x14ac:dyDescent="0.25">
      <c r="A195" s="62" t="s">
        <v>383</v>
      </c>
      <c r="B195" s="63"/>
      <c r="C195" s="63"/>
      <c r="D195" s="64"/>
      <c r="E195" s="66"/>
      <c r="F195" s="103" t="str">
        <f>HYPERLINK("https://pbs.twimg.com/profile_images/1641891052591239188/QQSiGUjp_normal.jpg")</f>
        <v>https://pbs.twimg.com/profile_images/1641891052591239188/QQSiGUjp_normal.jpg</v>
      </c>
      <c r="G195" s="63"/>
      <c r="H195" s="67"/>
      <c r="I195" s="68"/>
      <c r="J195" s="68"/>
      <c r="K195" s="67" t="s">
        <v>19928</v>
      </c>
      <c r="L195" s="71"/>
      <c r="M195" s="72"/>
      <c r="N195" s="72"/>
      <c r="O195" s="73"/>
      <c r="P195" s="74"/>
      <c r="Q195" s="74"/>
      <c r="R195" s="87"/>
      <c r="S195" s="87"/>
      <c r="T195" s="87"/>
      <c r="U195" s="87"/>
      <c r="V195" s="48"/>
      <c r="W195" s="48"/>
      <c r="X195" s="48"/>
      <c r="Y195" s="48"/>
      <c r="Z195" s="47"/>
      <c r="AA195" s="69">
        <v>195</v>
      </c>
      <c r="AB195" s="69"/>
      <c r="AC195" s="70"/>
      <c r="AD195" s="76" t="s">
        <v>17943</v>
      </c>
      <c r="AE195" s="81" t="s">
        <v>18389</v>
      </c>
      <c r="AF195" s="76">
        <v>33564</v>
      </c>
      <c r="AG195" s="76">
        <v>620</v>
      </c>
      <c r="AH195" s="76">
        <v>40505</v>
      </c>
      <c r="AI195" s="76">
        <v>144</v>
      </c>
      <c r="AJ195" s="76">
        <v>891</v>
      </c>
      <c r="AK195" s="76">
        <v>9901</v>
      </c>
      <c r="AL195" s="76" t="b">
        <v>0</v>
      </c>
      <c r="AM195" s="78">
        <v>40010.585740740738</v>
      </c>
      <c r="AN195" s="76" t="s">
        <v>18622</v>
      </c>
      <c r="AO195" s="76" t="s">
        <v>18936</v>
      </c>
      <c r="AP195" s="83" t="str">
        <f>HYPERLINK("https://t.co/0itVdrOxO9")</f>
        <v>https://t.co/0itVdrOxO9</v>
      </c>
      <c r="AQ195" s="83" t="str">
        <f>HYPERLINK("http://www.se.gov.br/")</f>
        <v>http://www.se.gov.br/</v>
      </c>
      <c r="AR195" s="76" t="s">
        <v>19412</v>
      </c>
      <c r="AS195" s="76"/>
      <c r="AT195" s="76"/>
      <c r="AU195" s="76"/>
      <c r="AV195" s="76"/>
      <c r="AW195" s="83" t="str">
        <f>HYPERLINK("https://t.co/0itVdrOxO9")</f>
        <v>https://t.co/0itVdrOxO9</v>
      </c>
      <c r="AX195" s="76" t="b">
        <v>0</v>
      </c>
      <c r="AY195" s="76"/>
      <c r="AZ195" s="76"/>
      <c r="BA195" s="76" t="b">
        <v>0</v>
      </c>
      <c r="BB195" s="76" t="b">
        <v>1</v>
      </c>
      <c r="BC195" s="76" t="b">
        <v>0</v>
      </c>
      <c r="BD195" s="76" t="b">
        <v>0</v>
      </c>
      <c r="BE195" s="76" t="b">
        <v>1</v>
      </c>
      <c r="BF195" s="76" t="b">
        <v>0</v>
      </c>
      <c r="BG195" s="76" t="b">
        <v>0</v>
      </c>
      <c r="BH195" s="83" t="str">
        <f>HYPERLINK("https://pbs.twimg.com/profile_banners/57341747/1673448073")</f>
        <v>https://pbs.twimg.com/profile_banners/57341747/1673448073</v>
      </c>
      <c r="BI195" s="76"/>
      <c r="BJ195" s="76" t="s">
        <v>19734</v>
      </c>
      <c r="BK195" s="76" t="b">
        <v>0</v>
      </c>
      <c r="BL195" s="76"/>
      <c r="BM195" s="76" t="s">
        <v>66</v>
      </c>
      <c r="BN195" s="76" t="s">
        <v>19736</v>
      </c>
      <c r="BO195" s="83" t="str">
        <f>HYPERLINK("https://twitter.com/governosergipe")</f>
        <v>https://twitter.com/governosergipe</v>
      </c>
      <c r="BP195" s="2"/>
    </row>
    <row r="196" spans="1:68" x14ac:dyDescent="0.25">
      <c r="A196" s="62" t="s">
        <v>384</v>
      </c>
      <c r="B196" s="63"/>
      <c r="C196" s="63"/>
      <c r="D196" s="64"/>
      <c r="E196" s="66"/>
      <c r="F196" s="103" t="str">
        <f>HYPERLINK("https://pbs.twimg.com/profile_images/1598322970006634500/3Yujn1Iq_normal.jpg")</f>
        <v>https://pbs.twimg.com/profile_images/1598322970006634500/3Yujn1Iq_normal.jpg</v>
      </c>
      <c r="G196" s="63"/>
      <c r="H196" s="67"/>
      <c r="I196" s="68"/>
      <c r="J196" s="68"/>
      <c r="K196" s="67" t="s">
        <v>19929</v>
      </c>
      <c r="L196" s="71"/>
      <c r="M196" s="72"/>
      <c r="N196" s="72"/>
      <c r="O196" s="73"/>
      <c r="P196" s="74"/>
      <c r="Q196" s="74"/>
      <c r="R196" s="87"/>
      <c r="S196" s="87"/>
      <c r="T196" s="87"/>
      <c r="U196" s="87"/>
      <c r="V196" s="48"/>
      <c r="W196" s="48"/>
      <c r="X196" s="48"/>
      <c r="Y196" s="48"/>
      <c r="Z196" s="47"/>
      <c r="AA196" s="69">
        <v>196</v>
      </c>
      <c r="AB196" s="69"/>
      <c r="AC196" s="70"/>
      <c r="AD196" s="76" t="s">
        <v>17944</v>
      </c>
      <c r="AE196" s="81" t="s">
        <v>17525</v>
      </c>
      <c r="AF196" s="76">
        <v>163</v>
      </c>
      <c r="AG196" s="76">
        <v>9</v>
      </c>
      <c r="AH196" s="76">
        <v>5972</v>
      </c>
      <c r="AI196" s="76">
        <v>0</v>
      </c>
      <c r="AJ196" s="76">
        <v>67</v>
      </c>
      <c r="AK196" s="76">
        <v>1192</v>
      </c>
      <c r="AL196" s="76" t="b">
        <v>0</v>
      </c>
      <c r="AM196" s="78">
        <v>44341.715694444443</v>
      </c>
      <c r="AN196" s="76" t="s">
        <v>18623</v>
      </c>
      <c r="AO196" s="76" t="s">
        <v>18937</v>
      </c>
      <c r="AP196" s="83" t="str">
        <f>HYPERLINK("https://t.co/qzxudjyiF1")</f>
        <v>https://t.co/qzxudjyiF1</v>
      </c>
      <c r="AQ196" s="83" t="str">
        <f>HYPERLINK("https://dolcarajas.com.br")</f>
        <v>https://dolcarajas.com.br</v>
      </c>
      <c r="AR196" s="76" t="s">
        <v>19413</v>
      </c>
      <c r="AS196" s="76"/>
      <c r="AT196" s="76"/>
      <c r="AU196" s="76"/>
      <c r="AV196" s="76"/>
      <c r="AW196" s="83" t="str">
        <f>HYPERLINK("https://t.co/qzxudjyiF1")</f>
        <v>https://t.co/qzxudjyiF1</v>
      </c>
      <c r="AX196" s="76" t="b">
        <v>0</v>
      </c>
      <c r="AY196" s="76"/>
      <c r="AZ196" s="76"/>
      <c r="BA196" s="76" t="b">
        <v>0</v>
      </c>
      <c r="BB196" s="76" t="b">
        <v>1</v>
      </c>
      <c r="BC196" s="76" t="b">
        <v>1</v>
      </c>
      <c r="BD196" s="76" t="b">
        <v>0</v>
      </c>
      <c r="BE196" s="76" t="b">
        <v>0</v>
      </c>
      <c r="BF196" s="76" t="b">
        <v>0</v>
      </c>
      <c r="BG196" s="76" t="b">
        <v>0</v>
      </c>
      <c r="BH196" s="83" t="str">
        <f>HYPERLINK("https://pbs.twimg.com/profile_banners/1397238293926801408/1673386178")</f>
        <v>https://pbs.twimg.com/profile_banners/1397238293926801408/1673386178</v>
      </c>
      <c r="BI196" s="76"/>
      <c r="BJ196" s="76" t="s">
        <v>19734</v>
      </c>
      <c r="BK196" s="76" t="b">
        <v>0</v>
      </c>
      <c r="BL196" s="76"/>
      <c r="BM196" s="76" t="s">
        <v>66</v>
      </c>
      <c r="BN196" s="76" t="s">
        <v>19736</v>
      </c>
      <c r="BO196" s="83" t="str">
        <f>HYPERLINK("https://twitter.com/dolcarajas")</f>
        <v>https://twitter.com/dolcarajas</v>
      </c>
      <c r="BP196" s="2"/>
    </row>
    <row r="197" spans="1:68" x14ac:dyDescent="0.25">
      <c r="A197" s="62" t="s">
        <v>385</v>
      </c>
      <c r="B197" s="63"/>
      <c r="C197" s="63"/>
      <c r="D197" s="64"/>
      <c r="E197" s="66"/>
      <c r="F197" s="10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G197" s="63"/>
      <c r="H197" s="67"/>
      <c r="I197" s="68"/>
      <c r="J197" s="68"/>
      <c r="K197" s="67" t="s">
        <v>19930</v>
      </c>
      <c r="L197" s="71"/>
      <c r="M197" s="72"/>
      <c r="N197" s="72"/>
      <c r="O197" s="73"/>
      <c r="P197" s="74"/>
      <c r="Q197" s="74"/>
      <c r="R197" s="87"/>
      <c r="S197" s="87"/>
      <c r="T197" s="87"/>
      <c r="U197" s="87"/>
      <c r="V197" s="48"/>
      <c r="W197" s="48"/>
      <c r="X197" s="48"/>
      <c r="Y197" s="48"/>
      <c r="Z197" s="47"/>
      <c r="AA197" s="69">
        <v>197</v>
      </c>
      <c r="AB197" s="69"/>
      <c r="AC197" s="70"/>
      <c r="AD197" s="76" t="s">
        <v>17945</v>
      </c>
      <c r="AE197" s="81" t="s">
        <v>18390</v>
      </c>
      <c r="AF197" s="76">
        <v>77</v>
      </c>
      <c r="AG197" s="76">
        <v>122</v>
      </c>
      <c r="AH197" s="76">
        <v>5805</v>
      </c>
      <c r="AI197" s="76">
        <v>6</v>
      </c>
      <c r="AJ197" s="76">
        <v>1685</v>
      </c>
      <c r="AK197" s="76">
        <v>1142</v>
      </c>
      <c r="AL197" s="76" t="b">
        <v>0</v>
      </c>
      <c r="AM197" s="78">
        <v>40225.20175925926</v>
      </c>
      <c r="AN197" s="76" t="s">
        <v>12014</v>
      </c>
      <c r="AO197" s="76" t="s">
        <v>18938</v>
      </c>
      <c r="AP197" s="83" t="str">
        <f>HYPERLINK("https://t.co/ygkymBzGYq")</f>
        <v>https://t.co/ygkymBzGYq</v>
      </c>
      <c r="AQ197" s="83" t="str">
        <f>HYPERLINK("https://nakatanis.wordpress.com/")</f>
        <v>https://nakatanis.wordpress.com/</v>
      </c>
      <c r="AR197" s="76" t="s">
        <v>19414</v>
      </c>
      <c r="AS197" s="76"/>
      <c r="AT197" s="76"/>
      <c r="AU197" s="76"/>
      <c r="AV197" s="76"/>
      <c r="AW197" s="83" t="str">
        <f>HYPERLINK("https://t.co/ygkymBzGYq")</f>
        <v>https://t.co/ygkymBzGYq</v>
      </c>
      <c r="AX197" s="76" t="b">
        <v>0</v>
      </c>
      <c r="AY197" s="76"/>
      <c r="AZ197" s="76"/>
      <c r="BA197" s="76" t="b">
        <v>0</v>
      </c>
      <c r="BB197" s="76" t="b">
        <v>0</v>
      </c>
      <c r="BC197" s="76" t="b">
        <v>0</v>
      </c>
      <c r="BD197" s="76" t="b">
        <v>0</v>
      </c>
      <c r="BE197" s="76" t="b">
        <v>1</v>
      </c>
      <c r="BF197" s="76" t="b">
        <v>0</v>
      </c>
      <c r="BG197" s="76" t="b">
        <v>0</v>
      </c>
      <c r="BH197" s="83" t="str">
        <f>HYPERLINK("https://pbs.twimg.com/profile_banners/114651521/1518484415")</f>
        <v>https://pbs.twimg.com/profile_banners/114651521/1518484415</v>
      </c>
      <c r="BI197" s="76"/>
      <c r="BJ197" s="76" t="s">
        <v>19734</v>
      </c>
      <c r="BK197" s="76" t="b">
        <v>0</v>
      </c>
      <c r="BL197" s="76"/>
      <c r="BM197" s="76" t="s">
        <v>66</v>
      </c>
      <c r="BN197" s="76" t="s">
        <v>19736</v>
      </c>
      <c r="BO197" s="83" t="str">
        <f>HYPERLINK("https://twitter.com/shnakatani")</f>
        <v>https://twitter.com/shnakatani</v>
      </c>
      <c r="BP197" s="2"/>
    </row>
    <row r="198" spans="1:68" x14ac:dyDescent="0.25">
      <c r="A198" s="62" t="s">
        <v>386</v>
      </c>
      <c r="B198" s="63"/>
      <c r="C198" s="63"/>
      <c r="D198" s="64"/>
      <c r="E198" s="66"/>
      <c r="F198" s="103" t="str">
        <f>HYPERLINK("https://pbs.twimg.com/profile_images/1533208598012121090/GAlRj4Nn_normal.jpg")</f>
        <v>https://pbs.twimg.com/profile_images/1533208598012121090/GAlRj4Nn_normal.jpg</v>
      </c>
      <c r="G198" s="63"/>
      <c r="H198" s="67"/>
      <c r="I198" s="68"/>
      <c r="J198" s="68"/>
      <c r="K198" s="67" t="s">
        <v>19931</v>
      </c>
      <c r="L198" s="71"/>
      <c r="M198" s="72"/>
      <c r="N198" s="72"/>
      <c r="O198" s="73"/>
      <c r="P198" s="74"/>
      <c r="Q198" s="74"/>
      <c r="R198" s="87"/>
      <c r="S198" s="87"/>
      <c r="T198" s="87"/>
      <c r="U198" s="87"/>
      <c r="V198" s="48"/>
      <c r="W198" s="48"/>
      <c r="X198" s="48"/>
      <c r="Y198" s="48"/>
      <c r="Z198" s="47"/>
      <c r="AA198" s="69">
        <v>198</v>
      </c>
      <c r="AB198" s="69"/>
      <c r="AC198" s="70"/>
      <c r="AD198" s="76" t="s">
        <v>17946</v>
      </c>
      <c r="AE198" s="81" t="s">
        <v>17343</v>
      </c>
      <c r="AF198" s="76">
        <v>27700</v>
      </c>
      <c r="AG198" s="76">
        <v>1513</v>
      </c>
      <c r="AH198" s="76">
        <v>13064</v>
      </c>
      <c r="AI198" s="76">
        <v>415</v>
      </c>
      <c r="AJ198" s="76">
        <v>29444</v>
      </c>
      <c r="AK198" s="76">
        <v>483</v>
      </c>
      <c r="AL198" s="76" t="b">
        <v>0</v>
      </c>
      <c r="AM198" s="78">
        <v>39892.952800925923</v>
      </c>
      <c r="AN198" s="76" t="s">
        <v>12014</v>
      </c>
      <c r="AO198" s="76" t="s">
        <v>18939</v>
      </c>
      <c r="AP198" s="76"/>
      <c r="AQ198" s="76"/>
      <c r="AR198" s="76"/>
      <c r="AS198" s="83" t="str">
        <f>HYPERLINK("https://t.co/wjVkKLSmzP")</f>
        <v>https://t.co/wjVkKLSmzP</v>
      </c>
      <c r="AT198" s="83" t="str">
        <f>HYPERLINK("http://instagram.com/aline_s_cardoso")</f>
        <v>http://instagram.com/aline_s_cardoso</v>
      </c>
      <c r="AU198" s="76" t="s">
        <v>19701</v>
      </c>
      <c r="AV198" s="76"/>
      <c r="AW198" s="76"/>
      <c r="AX198" s="76" t="b">
        <v>0</v>
      </c>
      <c r="AY198" s="76"/>
      <c r="AZ198" s="76"/>
      <c r="BA198" s="76" t="b">
        <v>1</v>
      </c>
      <c r="BB198" s="76" t="b">
        <v>0</v>
      </c>
      <c r="BC198" s="76" t="b">
        <v>1</v>
      </c>
      <c r="BD198" s="76" t="b">
        <v>0</v>
      </c>
      <c r="BE198" s="76" t="b">
        <v>1</v>
      </c>
      <c r="BF198" s="76" t="b">
        <v>0</v>
      </c>
      <c r="BG198" s="76" t="b">
        <v>0</v>
      </c>
      <c r="BH198" s="83" t="str">
        <f>HYPERLINK("https://pbs.twimg.com/profile_banners/25593062/1621541891")</f>
        <v>https://pbs.twimg.com/profile_banners/25593062/1621541891</v>
      </c>
      <c r="BI198" s="76"/>
      <c r="BJ198" s="76" t="s">
        <v>19734</v>
      </c>
      <c r="BK198" s="76" t="b">
        <v>0</v>
      </c>
      <c r="BL198" s="76"/>
      <c r="BM198" s="76" t="s">
        <v>66</v>
      </c>
      <c r="BN198" s="76" t="s">
        <v>19736</v>
      </c>
      <c r="BO198" s="83" t="str">
        <f>HYPERLINK("https://twitter.com/alisc")</f>
        <v>https://twitter.com/alisc</v>
      </c>
      <c r="BP198" s="2"/>
    </row>
    <row r="199" spans="1:68" x14ac:dyDescent="0.25">
      <c r="A199" s="62" t="s">
        <v>387</v>
      </c>
      <c r="B199" s="63"/>
      <c r="C199" s="63"/>
      <c r="D199" s="64"/>
      <c r="E199" s="66"/>
      <c r="F199" s="103" t="str">
        <f>HYPERLINK("https://pbs.twimg.com/profile_images/1287854989734547456/IVjNAuYy_normal.jpg")</f>
        <v>https://pbs.twimg.com/profile_images/1287854989734547456/IVjNAuYy_normal.jpg</v>
      </c>
      <c r="G199" s="63"/>
      <c r="H199" s="67"/>
      <c r="I199" s="68"/>
      <c r="J199" s="68"/>
      <c r="K199" s="67" t="s">
        <v>19932</v>
      </c>
      <c r="L199" s="71"/>
      <c r="M199" s="72"/>
      <c r="N199" s="72"/>
      <c r="O199" s="73"/>
      <c r="P199" s="74"/>
      <c r="Q199" s="74"/>
      <c r="R199" s="87"/>
      <c r="S199" s="87"/>
      <c r="T199" s="87"/>
      <c r="U199" s="87"/>
      <c r="V199" s="48"/>
      <c r="W199" s="48"/>
      <c r="X199" s="48"/>
      <c r="Y199" s="48"/>
      <c r="Z199" s="47"/>
      <c r="AA199" s="69">
        <v>199</v>
      </c>
      <c r="AB199" s="69"/>
      <c r="AC199" s="70"/>
      <c r="AD199" s="76" t="s">
        <v>17947</v>
      </c>
      <c r="AE199" s="81" t="s">
        <v>18391</v>
      </c>
      <c r="AF199" s="76">
        <v>37</v>
      </c>
      <c r="AG199" s="76">
        <v>248</v>
      </c>
      <c r="AH199" s="76">
        <v>717</v>
      </c>
      <c r="AI199" s="76">
        <v>0</v>
      </c>
      <c r="AJ199" s="76">
        <v>873</v>
      </c>
      <c r="AK199" s="76">
        <v>18</v>
      </c>
      <c r="AL199" s="76" t="b">
        <v>0</v>
      </c>
      <c r="AM199" s="78">
        <v>40434.614120370374</v>
      </c>
      <c r="AN199" s="76" t="s">
        <v>18624</v>
      </c>
      <c r="AO199" s="76" t="s">
        <v>18940</v>
      </c>
      <c r="AP199" s="76"/>
      <c r="AQ199" s="76"/>
      <c r="AR199" s="76"/>
      <c r="AS199" s="76"/>
      <c r="AT199" s="76"/>
      <c r="AU199" s="76"/>
      <c r="AV199" s="76">
        <v>1.6719289383423601E+18</v>
      </c>
      <c r="AW199" s="76"/>
      <c r="AX199" s="76" t="b">
        <v>0</v>
      </c>
      <c r="AY199" s="76"/>
      <c r="AZ199" s="76"/>
      <c r="BA199" s="76" t="b">
        <v>0</v>
      </c>
      <c r="BB199" s="76" t="b">
        <v>0</v>
      </c>
      <c r="BC199" s="76" t="b">
        <v>0</v>
      </c>
      <c r="BD199" s="76" t="b">
        <v>0</v>
      </c>
      <c r="BE199" s="76" t="b">
        <v>1</v>
      </c>
      <c r="BF199" s="76" t="b">
        <v>0</v>
      </c>
      <c r="BG199" s="76" t="b">
        <v>0</v>
      </c>
      <c r="BH199" s="83" t="str">
        <f>HYPERLINK("https://pbs.twimg.com/profile_banners/190271535/1509671574")</f>
        <v>https://pbs.twimg.com/profile_banners/190271535/1509671574</v>
      </c>
      <c r="BI199" s="76"/>
      <c r="BJ199" s="76" t="s">
        <v>19734</v>
      </c>
      <c r="BK199" s="76" t="b">
        <v>0</v>
      </c>
      <c r="BL199" s="76"/>
      <c r="BM199" s="76" t="s">
        <v>66</v>
      </c>
      <c r="BN199" s="76" t="s">
        <v>19736</v>
      </c>
      <c r="BO199" s="83" t="str">
        <f>HYPERLINK("https://twitter.com/vi_ruscito")</f>
        <v>https://twitter.com/vi_ruscito</v>
      </c>
      <c r="BP199" s="2"/>
    </row>
    <row r="200" spans="1:68" x14ac:dyDescent="0.25">
      <c r="A200" s="62" t="s">
        <v>755</v>
      </c>
      <c r="B200" s="63"/>
      <c r="C200" s="63"/>
      <c r="D200" s="64"/>
      <c r="E200" s="66"/>
      <c r="F200" s="103" t="str">
        <f>HYPERLINK("https://pbs.twimg.com/profile_images/1598328471729704963/D7slFVZN_normal.jpg")</f>
        <v>https://pbs.twimg.com/profile_images/1598328471729704963/D7slFVZN_normal.jpg</v>
      </c>
      <c r="G200" s="63"/>
      <c r="H200" s="67"/>
      <c r="I200" s="68"/>
      <c r="J200" s="68"/>
      <c r="K200" s="67" t="s">
        <v>19933</v>
      </c>
      <c r="L200" s="71"/>
      <c r="M200" s="72"/>
      <c r="N200" s="72"/>
      <c r="O200" s="73"/>
      <c r="P200" s="74"/>
      <c r="Q200" s="74"/>
      <c r="R200" s="87"/>
      <c r="S200" s="87"/>
      <c r="T200" s="87"/>
      <c r="U200" s="87"/>
      <c r="V200" s="48"/>
      <c r="W200" s="48"/>
      <c r="X200" s="48"/>
      <c r="Y200" s="48"/>
      <c r="Z200" s="47"/>
      <c r="AA200" s="69">
        <v>200</v>
      </c>
      <c r="AB200" s="69"/>
      <c r="AC200" s="70"/>
      <c r="AD200" s="76" t="s">
        <v>8256</v>
      </c>
      <c r="AE200" s="81" t="s">
        <v>18392</v>
      </c>
      <c r="AF200" s="76">
        <v>707497</v>
      </c>
      <c r="AG200" s="76">
        <v>4209</v>
      </c>
      <c r="AH200" s="76">
        <v>153543</v>
      </c>
      <c r="AI200" s="76">
        <v>4486</v>
      </c>
      <c r="AJ200" s="76">
        <v>19887</v>
      </c>
      <c r="AK200" s="76">
        <v>2591</v>
      </c>
      <c r="AL200" s="76" t="b">
        <v>0</v>
      </c>
      <c r="AM200" s="78">
        <v>40800.682384259257</v>
      </c>
      <c r="AN200" s="76" t="s">
        <v>18625</v>
      </c>
      <c r="AO200" s="76" t="s">
        <v>18941</v>
      </c>
      <c r="AP200" s="83" t="str">
        <f>HYPERLINK("https://t.co/2qxxDllrOt")</f>
        <v>https://t.co/2qxxDllrOt</v>
      </c>
      <c r="AQ200" s="83" t="str">
        <f>HYPERLINK("https://www.tradingview.com")</f>
        <v>https://www.tradingview.com</v>
      </c>
      <c r="AR200" s="76" t="s">
        <v>7092</v>
      </c>
      <c r="AS200" s="76"/>
      <c r="AT200" s="76"/>
      <c r="AU200" s="76"/>
      <c r="AV200" s="76">
        <v>1.70669197780547E+18</v>
      </c>
      <c r="AW200" s="83" t="str">
        <f>HYPERLINK("https://t.co/2qxxDllrOt")</f>
        <v>https://t.co/2qxxDllrOt</v>
      </c>
      <c r="AX200" s="76" t="b">
        <v>0</v>
      </c>
      <c r="AY200" s="76"/>
      <c r="AZ200" s="76"/>
      <c r="BA200" s="76" t="b">
        <v>0</v>
      </c>
      <c r="BB200" s="76" t="b">
        <v>1</v>
      </c>
      <c r="BC200" s="76" t="b">
        <v>1</v>
      </c>
      <c r="BD200" s="76" t="b">
        <v>0</v>
      </c>
      <c r="BE200" s="76" t="b">
        <v>0</v>
      </c>
      <c r="BF200" s="76" t="b">
        <v>0</v>
      </c>
      <c r="BG200" s="76" t="b">
        <v>0</v>
      </c>
      <c r="BH200" s="83" t="str">
        <f>HYPERLINK("https://pbs.twimg.com/profile_banners/373457750/1690906544")</f>
        <v>https://pbs.twimg.com/profile_banners/373457750/1690906544</v>
      </c>
      <c r="BI200" s="76"/>
      <c r="BJ200" s="76" t="s">
        <v>19734</v>
      </c>
      <c r="BK200" s="76" t="b">
        <v>0</v>
      </c>
      <c r="BL200" s="76"/>
      <c r="BM200" s="76" t="s">
        <v>65</v>
      </c>
      <c r="BN200" s="76" t="s">
        <v>19736</v>
      </c>
      <c r="BO200" s="83" t="str">
        <f>HYPERLINK("https://twitter.com/tradingview")</f>
        <v>https://twitter.com/tradingview</v>
      </c>
      <c r="BP200" s="2"/>
    </row>
    <row r="201" spans="1:68" x14ac:dyDescent="0.25">
      <c r="A201" s="62" t="s">
        <v>388</v>
      </c>
      <c r="B201" s="63"/>
      <c r="C201" s="63"/>
      <c r="D201" s="64"/>
      <c r="E201" s="66"/>
      <c r="F201" s="103" t="str">
        <f>HYPERLINK("https://pbs.twimg.com/profile_images/1685831655976501248/p4Yj-D92_normal.jpg")</f>
        <v>https://pbs.twimg.com/profile_images/1685831655976501248/p4Yj-D92_normal.jpg</v>
      </c>
      <c r="G201" s="63"/>
      <c r="H201" s="67"/>
      <c r="I201" s="68"/>
      <c r="J201" s="68"/>
      <c r="K201" s="67" t="s">
        <v>19934</v>
      </c>
      <c r="L201" s="71"/>
      <c r="M201" s="72"/>
      <c r="N201" s="72"/>
      <c r="O201" s="73"/>
      <c r="P201" s="74"/>
      <c r="Q201" s="74"/>
      <c r="R201" s="87"/>
      <c r="S201" s="87"/>
      <c r="T201" s="87"/>
      <c r="U201" s="87"/>
      <c r="V201" s="48"/>
      <c r="W201" s="48"/>
      <c r="X201" s="48"/>
      <c r="Y201" s="48"/>
      <c r="Z201" s="47"/>
      <c r="AA201" s="69">
        <v>201</v>
      </c>
      <c r="AB201" s="69"/>
      <c r="AC201" s="70"/>
      <c r="AD201" s="76" t="s">
        <v>17948</v>
      </c>
      <c r="AE201" s="81" t="s">
        <v>18393</v>
      </c>
      <c r="AF201" s="76">
        <v>59279</v>
      </c>
      <c r="AG201" s="76">
        <v>17</v>
      </c>
      <c r="AH201" s="76">
        <v>47831</v>
      </c>
      <c r="AI201" s="76">
        <v>939</v>
      </c>
      <c r="AJ201" s="76">
        <v>220</v>
      </c>
      <c r="AK201" s="76">
        <v>561</v>
      </c>
      <c r="AL201" s="76" t="b">
        <v>0</v>
      </c>
      <c r="AM201" s="78">
        <v>39881.252962962964</v>
      </c>
      <c r="AN201" s="76" t="s">
        <v>12007</v>
      </c>
      <c r="AO201" s="76" t="s">
        <v>18942</v>
      </c>
      <c r="AP201" s="83" t="str">
        <f>HYPERLINK("https://t.co/DkoNZgqTIx")</f>
        <v>https://t.co/DkoNZgqTIx</v>
      </c>
      <c r="AQ201" s="83" t="str">
        <f>HYPERLINK("http://www.dinheirama.com")</f>
        <v>http://www.dinheirama.com</v>
      </c>
      <c r="AR201" s="76" t="s">
        <v>7093</v>
      </c>
      <c r="AS201" s="76"/>
      <c r="AT201" s="76"/>
      <c r="AU201" s="76"/>
      <c r="AV201" s="76"/>
      <c r="AW201" s="83" t="str">
        <f>HYPERLINK("https://t.co/DkoNZgqTIx")</f>
        <v>https://t.co/DkoNZgqTIx</v>
      </c>
      <c r="AX201" s="76" t="b">
        <v>0</v>
      </c>
      <c r="AY201" s="76"/>
      <c r="AZ201" s="76"/>
      <c r="BA201" s="76" t="b">
        <v>1</v>
      </c>
      <c r="BB201" s="76" t="b">
        <v>1</v>
      </c>
      <c r="BC201" s="76" t="b">
        <v>0</v>
      </c>
      <c r="BD201" s="76" t="b">
        <v>0</v>
      </c>
      <c r="BE201" s="76" t="b">
        <v>1</v>
      </c>
      <c r="BF201" s="76" t="b">
        <v>0</v>
      </c>
      <c r="BG201" s="76" t="b">
        <v>0</v>
      </c>
      <c r="BH201" s="83" t="str">
        <f>HYPERLINK("https://pbs.twimg.com/profile_banners/23408209/1690769016")</f>
        <v>https://pbs.twimg.com/profile_banners/23408209/1690769016</v>
      </c>
      <c r="BI201" s="76"/>
      <c r="BJ201" s="76" t="s">
        <v>19734</v>
      </c>
      <c r="BK201" s="76" t="b">
        <v>0</v>
      </c>
      <c r="BL201" s="76"/>
      <c r="BM201" s="76" t="s">
        <v>66</v>
      </c>
      <c r="BN201" s="76" t="s">
        <v>19736</v>
      </c>
      <c r="BO201" s="83" t="str">
        <f>HYPERLINK("https://twitter.com/dinheirama")</f>
        <v>https://twitter.com/dinheirama</v>
      </c>
      <c r="BP201" s="2"/>
    </row>
    <row r="202" spans="1:68" x14ac:dyDescent="0.25">
      <c r="A202" s="62" t="s">
        <v>389</v>
      </c>
      <c r="B202" s="63"/>
      <c r="C202" s="63"/>
      <c r="D202" s="64"/>
      <c r="E202" s="66"/>
      <c r="F202" s="103" t="str">
        <f>HYPERLINK("https://pbs.twimg.com/profile_images/1689377510700584960/POq7HoEV_normal.jpg")</f>
        <v>https://pbs.twimg.com/profile_images/1689377510700584960/POq7HoEV_normal.jpg</v>
      </c>
      <c r="G202" s="63"/>
      <c r="H202" s="67"/>
      <c r="I202" s="68"/>
      <c r="J202" s="68"/>
      <c r="K202" s="67" t="s">
        <v>19935</v>
      </c>
      <c r="L202" s="71"/>
      <c r="M202" s="72"/>
      <c r="N202" s="72"/>
      <c r="O202" s="73"/>
      <c r="P202" s="74"/>
      <c r="Q202" s="74"/>
      <c r="R202" s="87"/>
      <c r="S202" s="87"/>
      <c r="T202" s="87"/>
      <c r="U202" s="87"/>
      <c r="V202" s="48"/>
      <c r="W202" s="48"/>
      <c r="X202" s="48"/>
      <c r="Y202" s="48"/>
      <c r="Z202" s="47"/>
      <c r="AA202" s="69">
        <v>202</v>
      </c>
      <c r="AB202" s="69"/>
      <c r="AC202" s="70"/>
      <c r="AD202" s="76" t="s">
        <v>17949</v>
      </c>
      <c r="AE202" s="81" t="s">
        <v>17526</v>
      </c>
      <c r="AF202" s="76">
        <v>20</v>
      </c>
      <c r="AG202" s="76">
        <v>169</v>
      </c>
      <c r="AH202" s="76">
        <v>1046</v>
      </c>
      <c r="AI202" s="76">
        <v>0</v>
      </c>
      <c r="AJ202" s="76">
        <v>2615</v>
      </c>
      <c r="AK202" s="76">
        <v>934</v>
      </c>
      <c r="AL202" s="76" t="b">
        <v>0</v>
      </c>
      <c r="AM202" s="78">
        <v>44934.635949074072</v>
      </c>
      <c r="AN202" s="76" t="s">
        <v>12040</v>
      </c>
      <c r="AO202" s="76" t="s">
        <v>18943</v>
      </c>
      <c r="AP202" s="83" t="str">
        <f>HYPERLINK("https://t.co/7BUIJWt2F0")</f>
        <v>https://t.co/7BUIJWt2F0</v>
      </c>
      <c r="AQ202" s="83" t="str">
        <f>HYPERLINK("https://www.youtube.com/playlist?list=PLBeaxGVsgNiO0-tICLp1lrxB2h03hD2v2")</f>
        <v>https://www.youtube.com/playlist?list=PLBeaxGVsgNiO0-tICLp1lrxB2h03hD2v2</v>
      </c>
      <c r="AR202" s="76" t="s">
        <v>19415</v>
      </c>
      <c r="AS202" s="76"/>
      <c r="AT202" s="76"/>
      <c r="AU202" s="76"/>
      <c r="AV202" s="76"/>
      <c r="AW202" s="83" t="str">
        <f>HYPERLINK("https://t.co/7BUIJWt2F0")</f>
        <v>https://t.co/7BUIJWt2F0</v>
      </c>
      <c r="AX202" s="76" t="b">
        <v>0</v>
      </c>
      <c r="AY202" s="76"/>
      <c r="AZ202" s="76"/>
      <c r="BA202" s="76" t="b">
        <v>0</v>
      </c>
      <c r="BB202" s="76" t="b">
        <v>1</v>
      </c>
      <c r="BC202" s="76" t="b">
        <v>1</v>
      </c>
      <c r="BD202" s="76" t="b">
        <v>0</v>
      </c>
      <c r="BE202" s="76" t="b">
        <v>0</v>
      </c>
      <c r="BF202" s="76" t="b">
        <v>0</v>
      </c>
      <c r="BG202" s="76" t="b">
        <v>0</v>
      </c>
      <c r="BH202" s="83" t="str">
        <f>HYPERLINK("https://pbs.twimg.com/profile_banners/1612105648036012036/1694000880")</f>
        <v>https://pbs.twimg.com/profile_banners/1612105648036012036/1694000880</v>
      </c>
      <c r="BI202" s="76"/>
      <c r="BJ202" s="76" t="s">
        <v>19734</v>
      </c>
      <c r="BK202" s="76" t="b">
        <v>0</v>
      </c>
      <c r="BL202" s="76"/>
      <c r="BM202" s="76" t="s">
        <v>66</v>
      </c>
      <c r="BN202" s="76" t="s">
        <v>19736</v>
      </c>
      <c r="BO202" s="83" t="str">
        <f>HYPERLINK("https://twitter.com/sigler_marcia")</f>
        <v>https://twitter.com/sigler_marcia</v>
      </c>
      <c r="BP202" s="2"/>
    </row>
    <row r="203" spans="1:68" x14ac:dyDescent="0.25">
      <c r="A203" s="62" t="s">
        <v>390</v>
      </c>
      <c r="B203" s="63"/>
      <c r="C203" s="63"/>
      <c r="D203" s="64"/>
      <c r="E203" s="66"/>
      <c r="F203" s="103" t="str">
        <f>HYPERLINK("https://pbs.twimg.com/profile_images/1562020566579773441/GIpDu5O0_normal.jpg")</f>
        <v>https://pbs.twimg.com/profile_images/1562020566579773441/GIpDu5O0_normal.jpg</v>
      </c>
      <c r="G203" s="63"/>
      <c r="H203" s="67"/>
      <c r="I203" s="68"/>
      <c r="J203" s="68"/>
      <c r="K203" s="67" t="s">
        <v>19936</v>
      </c>
      <c r="L203" s="71"/>
      <c r="M203" s="72"/>
      <c r="N203" s="72"/>
      <c r="O203" s="73"/>
      <c r="P203" s="74"/>
      <c r="Q203" s="74"/>
      <c r="R203" s="87"/>
      <c r="S203" s="87"/>
      <c r="T203" s="87"/>
      <c r="U203" s="87"/>
      <c r="V203" s="48"/>
      <c r="W203" s="48"/>
      <c r="X203" s="48"/>
      <c r="Y203" s="48"/>
      <c r="Z203" s="47"/>
      <c r="AA203" s="69">
        <v>203</v>
      </c>
      <c r="AB203" s="69"/>
      <c r="AC203" s="70"/>
      <c r="AD203" s="76" t="s">
        <v>17950</v>
      </c>
      <c r="AE203" s="81" t="s">
        <v>17527</v>
      </c>
      <c r="AF203" s="76">
        <v>95661</v>
      </c>
      <c r="AG203" s="76">
        <v>10</v>
      </c>
      <c r="AH203" s="76">
        <v>24080</v>
      </c>
      <c r="AI203" s="76">
        <v>1092</v>
      </c>
      <c r="AJ203" s="76">
        <v>1888</v>
      </c>
      <c r="AK203" s="76">
        <v>3559</v>
      </c>
      <c r="AL203" s="76" t="b">
        <v>0</v>
      </c>
      <c r="AM203" s="78">
        <v>42604.695960648147</v>
      </c>
      <c r="AN203" s="76" t="s">
        <v>12014</v>
      </c>
      <c r="AO203" s="76" t="s">
        <v>18944</v>
      </c>
      <c r="AP203" s="83" t="str">
        <f>HYPERLINK("https://t.co/SvaxjbKYsb")</f>
        <v>https://t.co/SvaxjbKYsb</v>
      </c>
      <c r="AQ203" s="83" t="str">
        <f>HYPERLINK("https://tc.com.br/")</f>
        <v>https://tc.com.br/</v>
      </c>
      <c r="AR203" s="76" t="s">
        <v>19416</v>
      </c>
      <c r="AS203" s="76"/>
      <c r="AT203" s="76"/>
      <c r="AU203" s="76"/>
      <c r="AV203" s="76">
        <v>1.56202903822243E+18</v>
      </c>
      <c r="AW203" s="83" t="str">
        <f>HYPERLINK("https://t.co/SvaxjbKYsb")</f>
        <v>https://t.co/SvaxjbKYsb</v>
      </c>
      <c r="AX203" s="76" t="b">
        <v>1</v>
      </c>
      <c r="AY203" s="76"/>
      <c r="AZ203" s="76"/>
      <c r="BA203" s="76" t="b">
        <v>1</v>
      </c>
      <c r="BB203" s="76" t="b">
        <v>1</v>
      </c>
      <c r="BC203" s="76" t="b">
        <v>0</v>
      </c>
      <c r="BD203" s="76" t="b">
        <v>0</v>
      </c>
      <c r="BE203" s="76" t="b">
        <v>1</v>
      </c>
      <c r="BF203" s="76" t="b">
        <v>0</v>
      </c>
      <c r="BG203" s="76" t="b">
        <v>0</v>
      </c>
      <c r="BH203" s="83" t="str">
        <f>HYPERLINK("https://pbs.twimg.com/profile_banners/767763810409181188/1661270253")</f>
        <v>https://pbs.twimg.com/profile_banners/767763810409181188/1661270253</v>
      </c>
      <c r="BI203" s="76"/>
      <c r="BJ203" s="76" t="s">
        <v>19734</v>
      </c>
      <c r="BK203" s="76" t="b">
        <v>0</v>
      </c>
      <c r="BL203" s="76"/>
      <c r="BM203" s="76" t="s">
        <v>66</v>
      </c>
      <c r="BN203" s="76" t="s">
        <v>19736</v>
      </c>
      <c r="BO203" s="83" t="str">
        <f>HYPERLINK("https://twitter.com/tcinvestimentos")</f>
        <v>https://twitter.com/tcinvestimentos</v>
      </c>
      <c r="BP203" s="2"/>
    </row>
    <row r="204" spans="1:68" x14ac:dyDescent="0.25">
      <c r="A204" s="62" t="s">
        <v>391</v>
      </c>
      <c r="B204" s="63"/>
      <c r="C204" s="63"/>
      <c r="D204" s="64"/>
      <c r="E204" s="66"/>
      <c r="F204" s="103" t="str">
        <f>HYPERLINK("https://pbs.twimg.com/profile_images/1604805849679118336/stRYelj2_normal.jpg")</f>
        <v>https://pbs.twimg.com/profile_images/1604805849679118336/stRYelj2_normal.jpg</v>
      </c>
      <c r="G204" s="63"/>
      <c r="H204" s="67"/>
      <c r="I204" s="68"/>
      <c r="J204" s="68"/>
      <c r="K204" s="67" t="s">
        <v>19937</v>
      </c>
      <c r="L204" s="71"/>
      <c r="M204" s="72"/>
      <c r="N204" s="72"/>
      <c r="O204" s="73"/>
      <c r="P204" s="74"/>
      <c r="Q204" s="74"/>
      <c r="R204" s="87"/>
      <c r="S204" s="87"/>
      <c r="T204" s="87"/>
      <c r="U204" s="87"/>
      <c r="V204" s="48"/>
      <c r="W204" s="48"/>
      <c r="X204" s="48"/>
      <c r="Y204" s="48"/>
      <c r="Z204" s="47"/>
      <c r="AA204" s="69">
        <v>204</v>
      </c>
      <c r="AB204" s="69"/>
      <c r="AC204" s="70"/>
      <c r="AD204" s="76" t="s">
        <v>17951</v>
      </c>
      <c r="AE204" s="81" t="s">
        <v>18394</v>
      </c>
      <c r="AF204" s="76">
        <v>2003</v>
      </c>
      <c r="AG204" s="76">
        <v>643</v>
      </c>
      <c r="AH204" s="76">
        <v>50707</v>
      </c>
      <c r="AI204" s="76">
        <v>37</v>
      </c>
      <c r="AJ204" s="76">
        <v>74915</v>
      </c>
      <c r="AK204" s="76">
        <v>1633</v>
      </c>
      <c r="AL204" s="76" t="b">
        <v>0</v>
      </c>
      <c r="AM204" s="78">
        <v>40309.964490740742</v>
      </c>
      <c r="AN204" s="76" t="s">
        <v>12007</v>
      </c>
      <c r="AO204" s="76" t="s">
        <v>18945</v>
      </c>
      <c r="AP204" s="76"/>
      <c r="AQ204" s="76"/>
      <c r="AR204" s="76"/>
      <c r="AS204" s="76"/>
      <c r="AT204" s="76"/>
      <c r="AU204" s="76"/>
      <c r="AV204" s="76"/>
      <c r="AW204" s="76"/>
      <c r="AX204" s="76" t="b">
        <v>1</v>
      </c>
      <c r="AY204" s="76"/>
      <c r="AZ204" s="76"/>
      <c r="BA204" s="76" t="b">
        <v>0</v>
      </c>
      <c r="BB204" s="76" t="b">
        <v>0</v>
      </c>
      <c r="BC204" s="76" t="b">
        <v>1</v>
      </c>
      <c r="BD204" s="76" t="b">
        <v>0</v>
      </c>
      <c r="BE204" s="76" t="b">
        <v>1</v>
      </c>
      <c r="BF204" s="76" t="b">
        <v>0</v>
      </c>
      <c r="BG204" s="76" t="b">
        <v>0</v>
      </c>
      <c r="BH204" s="83" t="str">
        <f>HYPERLINK("https://pbs.twimg.com/profile_banners/142850730/1442101048")</f>
        <v>https://pbs.twimg.com/profile_banners/142850730/1442101048</v>
      </c>
      <c r="BI204" s="76"/>
      <c r="BJ204" s="76" t="s">
        <v>19734</v>
      </c>
      <c r="BK204" s="76" t="b">
        <v>0</v>
      </c>
      <c r="BL204" s="76"/>
      <c r="BM204" s="76" t="s">
        <v>66</v>
      </c>
      <c r="BN204" s="76" t="s">
        <v>19736</v>
      </c>
      <c r="BO204" s="83" t="str">
        <f>HYPERLINK("https://twitter.com/j_ramacciotti")</f>
        <v>https://twitter.com/j_ramacciotti</v>
      </c>
      <c r="BP204" s="2"/>
    </row>
    <row r="205" spans="1:68" x14ac:dyDescent="0.25">
      <c r="A205" s="62" t="s">
        <v>392</v>
      </c>
      <c r="B205" s="63"/>
      <c r="C205" s="63"/>
      <c r="D205" s="64"/>
      <c r="E205" s="66"/>
      <c r="F205" s="103" t="str">
        <f>HYPERLINK("https://pbs.twimg.com/profile_images/1599416664562569217/DER6Jp_e_normal.jpg")</f>
        <v>https://pbs.twimg.com/profile_images/1599416664562569217/DER6Jp_e_normal.jpg</v>
      </c>
      <c r="G205" s="63"/>
      <c r="H205" s="67"/>
      <c r="I205" s="68"/>
      <c r="J205" s="68"/>
      <c r="K205" s="67" t="s">
        <v>19938</v>
      </c>
      <c r="L205" s="71"/>
      <c r="M205" s="72"/>
      <c r="N205" s="72"/>
      <c r="O205" s="73"/>
      <c r="P205" s="74"/>
      <c r="Q205" s="74"/>
      <c r="R205" s="87"/>
      <c r="S205" s="87"/>
      <c r="T205" s="87"/>
      <c r="U205" s="87"/>
      <c r="V205" s="48"/>
      <c r="W205" s="48"/>
      <c r="X205" s="48"/>
      <c r="Y205" s="48"/>
      <c r="Z205" s="47"/>
      <c r="AA205" s="69">
        <v>205</v>
      </c>
      <c r="AB205" s="69"/>
      <c r="AC205" s="70"/>
      <c r="AD205" s="76" t="s">
        <v>17952</v>
      </c>
      <c r="AE205" s="81" t="s">
        <v>17344</v>
      </c>
      <c r="AF205" s="76">
        <v>40</v>
      </c>
      <c r="AG205" s="76">
        <v>97</v>
      </c>
      <c r="AH205" s="76">
        <v>476</v>
      </c>
      <c r="AI205" s="76">
        <v>4</v>
      </c>
      <c r="AJ205" s="76">
        <v>105</v>
      </c>
      <c r="AK205" s="76">
        <v>21</v>
      </c>
      <c r="AL205" s="76" t="b">
        <v>0</v>
      </c>
      <c r="AM205" s="78">
        <v>42616.727303240739</v>
      </c>
      <c r="AN205" s="76" t="s">
        <v>18626</v>
      </c>
      <c r="AO205" s="76" t="s">
        <v>18946</v>
      </c>
      <c r="AP205" s="83" t="str">
        <f>HYPERLINK("https://t.co/UgC2EcrB9A")</f>
        <v>https://t.co/UgC2EcrB9A</v>
      </c>
      <c r="AQ205" s="83" t="str">
        <f>HYPERLINK("http://www.2ndmarket.com.br")</f>
        <v>http://www.2ndmarket.com.br</v>
      </c>
      <c r="AR205" s="76" t="s">
        <v>19417</v>
      </c>
      <c r="AS205" s="76"/>
      <c r="AT205" s="76"/>
      <c r="AU205" s="76"/>
      <c r="AV205" s="76">
        <v>1.6331784385371899E+18</v>
      </c>
      <c r="AW205" s="83" t="str">
        <f>HYPERLINK("https://t.co/UgC2EcrB9A")</f>
        <v>https://t.co/UgC2EcrB9A</v>
      </c>
      <c r="AX205" s="76" t="b">
        <v>0</v>
      </c>
      <c r="AY205" s="76"/>
      <c r="AZ205" s="76"/>
      <c r="BA205" s="76" t="b">
        <v>0</v>
      </c>
      <c r="BB205" s="76" t="b">
        <v>1</v>
      </c>
      <c r="BC205" s="76" t="b">
        <v>0</v>
      </c>
      <c r="BD205" s="76" t="b">
        <v>0</v>
      </c>
      <c r="BE205" s="76" t="b">
        <v>1</v>
      </c>
      <c r="BF205" s="76" t="b">
        <v>0</v>
      </c>
      <c r="BG205" s="76" t="b">
        <v>0</v>
      </c>
      <c r="BH205" s="83" t="str">
        <f>HYPERLINK("https://pbs.twimg.com/profile_banners/772123822409543680/1677250933")</f>
        <v>https://pbs.twimg.com/profile_banners/772123822409543680/1677250933</v>
      </c>
      <c r="BI205" s="76"/>
      <c r="BJ205" s="76" t="s">
        <v>19734</v>
      </c>
      <c r="BK205" s="76" t="b">
        <v>0</v>
      </c>
      <c r="BL205" s="76"/>
      <c r="BM205" s="76" t="s">
        <v>66</v>
      </c>
      <c r="BN205" s="76" t="s">
        <v>19736</v>
      </c>
      <c r="BO205" s="83" t="str">
        <f>HYPERLINK("https://twitter.com/caio_c_antonio")</f>
        <v>https://twitter.com/caio_c_antonio</v>
      </c>
      <c r="BP205" s="2"/>
    </row>
    <row r="206" spans="1:68" x14ac:dyDescent="0.25">
      <c r="A206" s="62" t="s">
        <v>393</v>
      </c>
      <c r="B206" s="63"/>
      <c r="C206" s="63"/>
      <c r="D206" s="64"/>
      <c r="E206" s="66"/>
      <c r="F206" s="103" t="str">
        <f>HYPERLINK("https://pbs.twimg.com/profile_images/1669719795082698754/FYNEQaxI_normal.jpg")</f>
        <v>https://pbs.twimg.com/profile_images/1669719795082698754/FYNEQaxI_normal.jpg</v>
      </c>
      <c r="G206" s="63"/>
      <c r="H206" s="67"/>
      <c r="I206" s="68"/>
      <c r="J206" s="68"/>
      <c r="K206" s="67" t="s">
        <v>19939</v>
      </c>
      <c r="L206" s="71"/>
      <c r="M206" s="72"/>
      <c r="N206" s="72"/>
      <c r="O206" s="73"/>
      <c r="P206" s="74"/>
      <c r="Q206" s="74"/>
      <c r="R206" s="87"/>
      <c r="S206" s="87"/>
      <c r="T206" s="87"/>
      <c r="U206" s="87"/>
      <c r="V206" s="48"/>
      <c r="W206" s="48"/>
      <c r="X206" s="48"/>
      <c r="Y206" s="48"/>
      <c r="Z206" s="47"/>
      <c r="AA206" s="69">
        <v>206</v>
      </c>
      <c r="AB206" s="69"/>
      <c r="AC206" s="70"/>
      <c r="AD206" s="76" t="s">
        <v>17953</v>
      </c>
      <c r="AE206" s="81" t="s">
        <v>17528</v>
      </c>
      <c r="AF206" s="76">
        <v>56</v>
      </c>
      <c r="AG206" s="76">
        <v>789</v>
      </c>
      <c r="AH206" s="76">
        <v>493</v>
      </c>
      <c r="AI206" s="76">
        <v>8</v>
      </c>
      <c r="AJ206" s="76">
        <v>307</v>
      </c>
      <c r="AK206" s="76">
        <v>168</v>
      </c>
      <c r="AL206" s="76" t="b">
        <v>0</v>
      </c>
      <c r="AM206" s="78">
        <v>44498.627939814818</v>
      </c>
      <c r="AN206" s="76" t="s">
        <v>12014</v>
      </c>
      <c r="AO206" s="76" t="s">
        <v>18947</v>
      </c>
      <c r="AP206" s="76"/>
      <c r="AQ206" s="76"/>
      <c r="AR206" s="76"/>
      <c r="AS206" s="76"/>
      <c r="AT206" s="76"/>
      <c r="AU206" s="76"/>
      <c r="AV206" s="76"/>
      <c r="AW206" s="76"/>
      <c r="AX206" s="76" t="b">
        <v>0</v>
      </c>
      <c r="AY206" s="76"/>
      <c r="AZ206" s="76"/>
      <c r="BA206" s="76" t="b">
        <v>0</v>
      </c>
      <c r="BB206" s="76" t="b">
        <v>1</v>
      </c>
      <c r="BC206" s="76" t="b">
        <v>1</v>
      </c>
      <c r="BD206" s="76" t="b">
        <v>0</v>
      </c>
      <c r="BE206" s="76" t="b">
        <v>1</v>
      </c>
      <c r="BF206" s="76" t="b">
        <v>0</v>
      </c>
      <c r="BG206" s="76" t="b">
        <v>0</v>
      </c>
      <c r="BH206" s="83" t="str">
        <f>HYPERLINK("https://pbs.twimg.com/profile_banners/1454101639338598403/1687966530")</f>
        <v>https://pbs.twimg.com/profile_banners/1454101639338598403/1687966530</v>
      </c>
      <c r="BI206" s="76"/>
      <c r="BJ206" s="76" t="s">
        <v>19734</v>
      </c>
      <c r="BK206" s="76" t="b">
        <v>0</v>
      </c>
      <c r="BL206" s="76"/>
      <c r="BM206" s="76" t="s">
        <v>66</v>
      </c>
      <c r="BN206" s="76" t="s">
        <v>19736</v>
      </c>
      <c r="BO206" s="83" t="str">
        <f>HYPERLINK("https://twitter.com/francisinvicto")</f>
        <v>https://twitter.com/francisinvicto</v>
      </c>
      <c r="BP206" s="2"/>
    </row>
    <row r="207" spans="1:68" x14ac:dyDescent="0.25">
      <c r="A207" s="62" t="s">
        <v>756</v>
      </c>
      <c r="B207" s="63"/>
      <c r="C207" s="63"/>
      <c r="D207" s="64"/>
      <c r="E207" s="66"/>
      <c r="F207" s="103" t="str">
        <f>HYPERLINK("https://pbs.twimg.com/profile_images/1675780528992141312/AIth_3GW_normal.jpg")</f>
        <v>https://pbs.twimg.com/profile_images/1675780528992141312/AIth_3GW_normal.jpg</v>
      </c>
      <c r="G207" s="63"/>
      <c r="H207" s="67"/>
      <c r="I207" s="68"/>
      <c r="J207" s="68"/>
      <c r="K207" s="67" t="s">
        <v>19940</v>
      </c>
      <c r="L207" s="71"/>
      <c r="M207" s="72"/>
      <c r="N207" s="72"/>
      <c r="O207" s="73"/>
      <c r="P207" s="74"/>
      <c r="Q207" s="74"/>
      <c r="R207" s="87"/>
      <c r="S207" s="87"/>
      <c r="T207" s="87"/>
      <c r="U207" s="87"/>
      <c r="V207" s="48"/>
      <c r="W207" s="48"/>
      <c r="X207" s="48"/>
      <c r="Y207" s="48"/>
      <c r="Z207" s="47"/>
      <c r="AA207" s="69">
        <v>207</v>
      </c>
      <c r="AB207" s="69"/>
      <c r="AC207" s="70"/>
      <c r="AD207" s="76" t="s">
        <v>17954</v>
      </c>
      <c r="AE207" s="81" t="s">
        <v>18395</v>
      </c>
      <c r="AF207" s="76">
        <v>1419687</v>
      </c>
      <c r="AG207" s="76">
        <v>4</v>
      </c>
      <c r="AH207" s="76">
        <v>7296</v>
      </c>
      <c r="AI207" s="76">
        <v>9066</v>
      </c>
      <c r="AJ207" s="76">
        <v>1942</v>
      </c>
      <c r="AK207" s="76">
        <v>1202</v>
      </c>
      <c r="AL207" s="76" t="b">
        <v>0</v>
      </c>
      <c r="AM207" s="78">
        <v>41470.46292824074</v>
      </c>
      <c r="AN207" s="76"/>
      <c r="AO207" s="76" t="s">
        <v>18948</v>
      </c>
      <c r="AP207" s="83" t="str">
        <f>HYPERLINK("https://t.co/34ZKs2wKlr")</f>
        <v>https://t.co/34ZKs2wKlr</v>
      </c>
      <c r="AQ207" s="83" t="str">
        <f>HYPERLINK("https://polkadot.network/")</f>
        <v>https://polkadot.network/</v>
      </c>
      <c r="AR207" s="76" t="s">
        <v>19418</v>
      </c>
      <c r="AS207" s="76"/>
      <c r="AT207" s="76"/>
      <c r="AU207" s="76"/>
      <c r="AV207" s="76">
        <v>1.70412103888627E+18</v>
      </c>
      <c r="AW207" s="83" t="str">
        <f>HYPERLINK("https://t.co/34ZKs2wKlr")</f>
        <v>https://t.co/34ZKs2wKlr</v>
      </c>
      <c r="AX207" s="76" t="b">
        <v>1</v>
      </c>
      <c r="AY207" s="76"/>
      <c r="AZ207" s="76"/>
      <c r="BA207" s="76" t="b">
        <v>0</v>
      </c>
      <c r="BB207" s="76" t="b">
        <v>1</v>
      </c>
      <c r="BC207" s="76" t="b">
        <v>0</v>
      </c>
      <c r="BD207" s="76" t="b">
        <v>0</v>
      </c>
      <c r="BE207" s="76" t="b">
        <v>0</v>
      </c>
      <c r="BF207" s="76" t="b">
        <v>0</v>
      </c>
      <c r="BG207" s="76" t="b">
        <v>0</v>
      </c>
      <c r="BH207" s="83" t="str">
        <f>HYPERLINK("https://pbs.twimg.com/profile_banners/1595615893/1688502183")</f>
        <v>https://pbs.twimg.com/profile_banners/1595615893/1688502183</v>
      </c>
      <c r="BI207" s="76"/>
      <c r="BJ207" s="76" t="s">
        <v>19734</v>
      </c>
      <c r="BK207" s="76" t="b">
        <v>0</v>
      </c>
      <c r="BL207" s="76"/>
      <c r="BM207" s="76" t="s">
        <v>65</v>
      </c>
      <c r="BN207" s="76" t="s">
        <v>19736</v>
      </c>
      <c r="BO207" s="83" t="str">
        <f>HYPERLINK("https://twitter.com/polkadot")</f>
        <v>https://twitter.com/polkadot</v>
      </c>
      <c r="BP207" s="2"/>
    </row>
    <row r="208" spans="1:68" x14ac:dyDescent="0.25">
      <c r="A208" s="62" t="s">
        <v>757</v>
      </c>
      <c r="B208" s="63"/>
      <c r="C208" s="63"/>
      <c r="D208" s="64"/>
      <c r="E208" s="66"/>
      <c r="F208" s="103" t="str">
        <f>HYPERLINK("https://pbs.twimg.com/profile_images/1398157943967649792/ZFV0N6W4_normal.jpg")</f>
        <v>https://pbs.twimg.com/profile_images/1398157943967649792/ZFV0N6W4_normal.jpg</v>
      </c>
      <c r="G208" s="63"/>
      <c r="H208" s="67"/>
      <c r="I208" s="68"/>
      <c r="J208" s="68"/>
      <c r="K208" s="67" t="s">
        <v>19941</v>
      </c>
      <c r="L208" s="71"/>
      <c r="M208" s="72"/>
      <c r="N208" s="72"/>
      <c r="O208" s="73"/>
      <c r="P208" s="74"/>
      <c r="Q208" s="74"/>
      <c r="R208" s="87"/>
      <c r="S208" s="87"/>
      <c r="T208" s="87"/>
      <c r="U208" s="87"/>
      <c r="V208" s="48"/>
      <c r="W208" s="48"/>
      <c r="X208" s="48"/>
      <c r="Y208" s="48"/>
      <c r="Z208" s="47"/>
      <c r="AA208" s="69">
        <v>208</v>
      </c>
      <c r="AB208" s="69"/>
      <c r="AC208" s="70"/>
      <c r="AD208" s="76" t="s">
        <v>17955</v>
      </c>
      <c r="AE208" s="81" t="s">
        <v>18396</v>
      </c>
      <c r="AF208" s="76">
        <v>15</v>
      </c>
      <c r="AG208" s="76">
        <v>0</v>
      </c>
      <c r="AH208" s="76">
        <v>0</v>
      </c>
      <c r="AI208" s="76">
        <v>0</v>
      </c>
      <c r="AJ208" s="76">
        <v>0</v>
      </c>
      <c r="AK208" s="76">
        <v>0</v>
      </c>
      <c r="AL208" s="76" t="b">
        <v>0</v>
      </c>
      <c r="AM208" s="78">
        <v>44271.277824074074</v>
      </c>
      <c r="AN208" s="76"/>
      <c r="AO208" s="76"/>
      <c r="AP208" s="76"/>
      <c r="AQ208" s="76"/>
      <c r="AR208" s="76"/>
      <c r="AS208" s="76"/>
      <c r="AT208" s="76"/>
      <c r="AU208" s="76"/>
      <c r="AV208" s="76"/>
      <c r="AW208" s="76"/>
      <c r="AX208" s="76" t="b">
        <v>0</v>
      </c>
      <c r="AY208" s="76"/>
      <c r="AZ208" s="76"/>
      <c r="BA208" s="76" t="b">
        <v>0</v>
      </c>
      <c r="BB208" s="76" t="b">
        <v>0</v>
      </c>
      <c r="BC208" s="76" t="b">
        <v>1</v>
      </c>
      <c r="BD208" s="76" t="b">
        <v>0</v>
      </c>
      <c r="BE208" s="76" t="b">
        <v>0</v>
      </c>
      <c r="BF208" s="76" t="b">
        <v>0</v>
      </c>
      <c r="BG208" s="76" t="b">
        <v>0</v>
      </c>
      <c r="BH208" s="76"/>
      <c r="BI208" s="76"/>
      <c r="BJ208" s="76" t="s">
        <v>19734</v>
      </c>
      <c r="BK208" s="76" t="b">
        <v>0</v>
      </c>
      <c r="BL208" s="76"/>
      <c r="BM208" s="76" t="s">
        <v>65</v>
      </c>
      <c r="BN208" s="76" t="s">
        <v>19736</v>
      </c>
      <c r="BO208" s="83" t="str">
        <f>HYPERLINK("https://twitter.com/polkabridge")</f>
        <v>https://twitter.com/polkabridge</v>
      </c>
      <c r="BP208" s="2"/>
    </row>
    <row r="209" spans="1:68" x14ac:dyDescent="0.25">
      <c r="A209" s="62" t="s">
        <v>394</v>
      </c>
      <c r="B209" s="63"/>
      <c r="C209" s="63"/>
      <c r="D209" s="64"/>
      <c r="E209" s="66"/>
      <c r="F209" s="103" t="str">
        <f>HYPERLINK("https://pbs.twimg.com/profile_images/1564389807702376458/1UGzDIk7_normal.jpg")</f>
        <v>https://pbs.twimg.com/profile_images/1564389807702376458/1UGzDIk7_normal.jpg</v>
      </c>
      <c r="G209" s="63"/>
      <c r="H209" s="67"/>
      <c r="I209" s="68"/>
      <c r="J209" s="68"/>
      <c r="K209" s="67" t="s">
        <v>19942</v>
      </c>
      <c r="L209" s="71"/>
      <c r="M209" s="72"/>
      <c r="N209" s="72"/>
      <c r="O209" s="73"/>
      <c r="P209" s="74"/>
      <c r="Q209" s="74"/>
      <c r="R209" s="87"/>
      <c r="S209" s="87"/>
      <c r="T209" s="87"/>
      <c r="U209" s="87"/>
      <c r="V209" s="48"/>
      <c r="W209" s="48"/>
      <c r="X209" s="48"/>
      <c r="Y209" s="48"/>
      <c r="Z209" s="47"/>
      <c r="AA209" s="69">
        <v>209</v>
      </c>
      <c r="AB209" s="69"/>
      <c r="AC209" s="70"/>
      <c r="AD209" s="76" t="s">
        <v>17956</v>
      </c>
      <c r="AE209" s="81" t="s">
        <v>18397</v>
      </c>
      <c r="AF209" s="76">
        <v>84</v>
      </c>
      <c r="AG209" s="76">
        <v>346</v>
      </c>
      <c r="AH209" s="76">
        <v>587</v>
      </c>
      <c r="AI209" s="76">
        <v>2</v>
      </c>
      <c r="AJ209" s="76">
        <v>1045</v>
      </c>
      <c r="AK209" s="76">
        <v>95</v>
      </c>
      <c r="AL209" s="76" t="b">
        <v>0</v>
      </c>
      <c r="AM209" s="78">
        <v>40012.721504629626</v>
      </c>
      <c r="AN209" s="76" t="s">
        <v>18568</v>
      </c>
      <c r="AO209" s="76" t="s">
        <v>18949</v>
      </c>
      <c r="AP209" s="83" t="str">
        <f>HYPERLINK("https://t.co/czl3C0J8lE")</f>
        <v>https://t.co/czl3C0J8lE</v>
      </c>
      <c r="AQ209" s="83" t="str">
        <f>HYPERLINK("http://www.nortusinvestimentos.com.br")</f>
        <v>http://www.nortusinvestimentos.com.br</v>
      </c>
      <c r="AR209" s="76" t="s">
        <v>19419</v>
      </c>
      <c r="AS209" s="76"/>
      <c r="AT209" s="76"/>
      <c r="AU209" s="76"/>
      <c r="AV209" s="76"/>
      <c r="AW209" s="83" t="str">
        <f>HYPERLINK("https://t.co/czl3C0J8lE")</f>
        <v>https://t.co/czl3C0J8lE</v>
      </c>
      <c r="AX209" s="76" t="b">
        <v>0</v>
      </c>
      <c r="AY209" s="76"/>
      <c r="AZ209" s="76"/>
      <c r="BA209" s="76" t="b">
        <v>0</v>
      </c>
      <c r="BB209" s="76" t="b">
        <v>0</v>
      </c>
      <c r="BC209" s="76" t="b">
        <v>0</v>
      </c>
      <c r="BD209" s="76" t="b">
        <v>0</v>
      </c>
      <c r="BE209" s="76" t="b">
        <v>1</v>
      </c>
      <c r="BF209" s="76" t="b">
        <v>0</v>
      </c>
      <c r="BG209" s="76" t="b">
        <v>0</v>
      </c>
      <c r="BH209" s="83" t="str">
        <f>HYPERLINK("https://pbs.twimg.com/profile_banners/57981116/1658760614")</f>
        <v>https://pbs.twimg.com/profile_banners/57981116/1658760614</v>
      </c>
      <c r="BI209" s="76"/>
      <c r="BJ209" s="76" t="s">
        <v>19734</v>
      </c>
      <c r="BK209" s="76" t="b">
        <v>0</v>
      </c>
      <c r="BL209" s="76"/>
      <c r="BM209" s="76" t="s">
        <v>66</v>
      </c>
      <c r="BN209" s="76" t="s">
        <v>19736</v>
      </c>
      <c r="BO209" s="83" t="str">
        <f>HYPERLINK("https://twitter.com/thiagobudni")</f>
        <v>https://twitter.com/thiagobudni</v>
      </c>
      <c r="BP209" s="2"/>
    </row>
    <row r="210" spans="1:68" x14ac:dyDescent="0.25">
      <c r="A210" s="62" t="s">
        <v>395</v>
      </c>
      <c r="B210" s="63"/>
      <c r="C210" s="63"/>
      <c r="D210" s="64"/>
      <c r="E210" s="66"/>
      <c r="F210" s="103" t="str">
        <f>HYPERLINK("https://pbs.twimg.com/profile_images/1619161712967434240/ISM2hv8y_normal.png")</f>
        <v>https://pbs.twimg.com/profile_images/1619161712967434240/ISM2hv8y_normal.png</v>
      </c>
      <c r="G210" s="63"/>
      <c r="H210" s="67"/>
      <c r="I210" s="68"/>
      <c r="J210" s="68"/>
      <c r="K210" s="67" t="s">
        <v>19943</v>
      </c>
      <c r="L210" s="71"/>
      <c r="M210" s="72"/>
      <c r="N210" s="72"/>
      <c r="O210" s="73"/>
      <c r="P210" s="74"/>
      <c r="Q210" s="74"/>
      <c r="R210" s="87"/>
      <c r="S210" s="87"/>
      <c r="T210" s="87"/>
      <c r="U210" s="87"/>
      <c r="V210" s="48"/>
      <c r="W210" s="48"/>
      <c r="X210" s="48"/>
      <c r="Y210" s="48"/>
      <c r="Z210" s="47"/>
      <c r="AA210" s="69">
        <v>210</v>
      </c>
      <c r="AB210" s="69"/>
      <c r="AC210" s="70"/>
      <c r="AD210" s="76" t="s">
        <v>17957</v>
      </c>
      <c r="AE210" s="81" t="s">
        <v>17529</v>
      </c>
      <c r="AF210" s="76">
        <v>105</v>
      </c>
      <c r="AG210" s="76">
        <v>1</v>
      </c>
      <c r="AH210" s="76">
        <v>5087</v>
      </c>
      <c r="AI210" s="76">
        <v>2</v>
      </c>
      <c r="AJ210" s="76">
        <v>484</v>
      </c>
      <c r="AK210" s="76">
        <v>2</v>
      </c>
      <c r="AL210" s="76" t="b">
        <v>0</v>
      </c>
      <c r="AM210" s="78">
        <v>44954.106226851851</v>
      </c>
      <c r="AN210" s="76" t="s">
        <v>18627</v>
      </c>
      <c r="AO210" s="76" t="s">
        <v>18950</v>
      </c>
      <c r="AP210" s="83" t="str">
        <f>HYPERLINK("https://t.co/6zM1sTDnwp")</f>
        <v>https://t.co/6zM1sTDnwp</v>
      </c>
      <c r="AQ210" s="83" t="str">
        <f>HYPERLINK("https://www.falkcapital.com.br")</f>
        <v>https://www.falkcapital.com.br</v>
      </c>
      <c r="AR210" s="76" t="s">
        <v>19420</v>
      </c>
      <c r="AS210" s="76"/>
      <c r="AT210" s="76"/>
      <c r="AU210" s="76"/>
      <c r="AV210" s="76">
        <v>1.6231241475544699E+18</v>
      </c>
      <c r="AW210" s="83" t="str">
        <f>HYPERLINK("https://t.co/6zM1sTDnwp")</f>
        <v>https://t.co/6zM1sTDnwp</v>
      </c>
      <c r="AX210" s="76" t="b">
        <v>0</v>
      </c>
      <c r="AY210" s="76"/>
      <c r="AZ210" s="76"/>
      <c r="BA210" s="76" t="b">
        <v>0</v>
      </c>
      <c r="BB210" s="76" t="b">
        <v>1</v>
      </c>
      <c r="BC210" s="76" t="b">
        <v>1</v>
      </c>
      <c r="BD210" s="76" t="b">
        <v>0</v>
      </c>
      <c r="BE210" s="76" t="b">
        <v>0</v>
      </c>
      <c r="BF210" s="76" t="b">
        <v>0</v>
      </c>
      <c r="BG210" s="76" t="b">
        <v>0</v>
      </c>
      <c r="BH210" s="83" t="str">
        <f>HYPERLINK("https://pbs.twimg.com/profile_banners/1619161540866850818/1692242078")</f>
        <v>https://pbs.twimg.com/profile_banners/1619161540866850818/1692242078</v>
      </c>
      <c r="BI210" s="76"/>
      <c r="BJ210" s="76" t="s">
        <v>19734</v>
      </c>
      <c r="BK210" s="76" t="b">
        <v>0</v>
      </c>
      <c r="BL210" s="76"/>
      <c r="BM210" s="76" t="s">
        <v>66</v>
      </c>
      <c r="BN210" s="76" t="s">
        <v>19736</v>
      </c>
      <c r="BO210" s="83" t="str">
        <f>HYPERLINK("https://twitter.com/falkalertas")</f>
        <v>https://twitter.com/falkalertas</v>
      </c>
      <c r="BP210" s="2"/>
    </row>
    <row r="211" spans="1:68" x14ac:dyDescent="0.25">
      <c r="A211" s="62" t="s">
        <v>580</v>
      </c>
      <c r="B211" s="63"/>
      <c r="C211" s="63"/>
      <c r="D211" s="64"/>
      <c r="E211" s="66"/>
      <c r="F211" s="103" t="str">
        <f>HYPERLINK("https://pbs.twimg.com/profile_images/1623099129726484485/efR1z8CS_normal.png")</f>
        <v>https://pbs.twimg.com/profile_images/1623099129726484485/efR1z8CS_normal.png</v>
      </c>
      <c r="G211" s="63"/>
      <c r="H211" s="67"/>
      <c r="I211" s="68"/>
      <c r="J211" s="68"/>
      <c r="K211" s="67" t="s">
        <v>19944</v>
      </c>
      <c r="L211" s="71"/>
      <c r="M211" s="72"/>
      <c r="N211" s="72"/>
      <c r="O211" s="73"/>
      <c r="P211" s="74"/>
      <c r="Q211" s="74"/>
      <c r="R211" s="87"/>
      <c r="S211" s="87"/>
      <c r="T211" s="87"/>
      <c r="U211" s="87"/>
      <c r="V211" s="48"/>
      <c r="W211" s="48"/>
      <c r="X211" s="48"/>
      <c r="Y211" s="48"/>
      <c r="Z211" s="47"/>
      <c r="AA211" s="69">
        <v>211</v>
      </c>
      <c r="AB211" s="69"/>
      <c r="AC211" s="70"/>
      <c r="AD211" s="76" t="s">
        <v>17958</v>
      </c>
      <c r="AE211" s="81" t="s">
        <v>17628</v>
      </c>
      <c r="AF211" s="76">
        <v>23</v>
      </c>
      <c r="AG211" s="76">
        <v>22</v>
      </c>
      <c r="AH211" s="76">
        <v>403</v>
      </c>
      <c r="AI211" s="76">
        <v>0</v>
      </c>
      <c r="AJ211" s="76">
        <v>111</v>
      </c>
      <c r="AK211" s="76">
        <v>44</v>
      </c>
      <c r="AL211" s="76" t="b">
        <v>0</v>
      </c>
      <c r="AM211" s="78">
        <v>44964.971412037034</v>
      </c>
      <c r="AN211" s="76"/>
      <c r="AO211" s="76" t="s">
        <v>18951</v>
      </c>
      <c r="AP211" s="83" t="str">
        <f>HYPERLINK("https://t.co/3O2bWSKOJy")</f>
        <v>https://t.co/3O2bWSKOJy</v>
      </c>
      <c r="AQ211" s="83" t="str">
        <f>HYPERLINK("https://www.falkcapital.com.br/")</f>
        <v>https://www.falkcapital.com.br/</v>
      </c>
      <c r="AR211" s="76" t="s">
        <v>19420</v>
      </c>
      <c r="AS211" s="76"/>
      <c r="AT211" s="76"/>
      <c r="AU211" s="76"/>
      <c r="AV211" s="76">
        <v>1.6231010909704399E+18</v>
      </c>
      <c r="AW211" s="83" t="str">
        <f>HYPERLINK("https://t.co/3O2bWSKOJy")</f>
        <v>https://t.co/3O2bWSKOJy</v>
      </c>
      <c r="AX211" s="76" t="b">
        <v>0</v>
      </c>
      <c r="AY211" s="76"/>
      <c r="AZ211" s="76"/>
      <c r="BA211" s="76" t="b">
        <v>0</v>
      </c>
      <c r="BB211" s="76" t="b">
        <v>1</v>
      </c>
      <c r="BC211" s="76" t="b">
        <v>1</v>
      </c>
      <c r="BD211" s="76" t="b">
        <v>0</v>
      </c>
      <c r="BE211" s="76" t="b">
        <v>0</v>
      </c>
      <c r="BF211" s="76" t="b">
        <v>0</v>
      </c>
      <c r="BG211" s="76" t="b">
        <v>0</v>
      </c>
      <c r="BH211" s="83" t="str">
        <f>HYPERLINK("https://pbs.twimg.com/profile_banners/1623098958401732610/1692242144")</f>
        <v>https://pbs.twimg.com/profile_banners/1623098958401732610/1692242144</v>
      </c>
      <c r="BI211" s="76"/>
      <c r="BJ211" s="76" t="s">
        <v>19734</v>
      </c>
      <c r="BK211" s="76" t="b">
        <v>0</v>
      </c>
      <c r="BL211" s="76"/>
      <c r="BM211" s="76" t="s">
        <v>66</v>
      </c>
      <c r="BN211" s="76" t="s">
        <v>19736</v>
      </c>
      <c r="BO211" s="83" t="str">
        <f>HYPERLINK("https://twitter.com/falkcapital")</f>
        <v>https://twitter.com/falkcapital</v>
      </c>
      <c r="BP211" s="2"/>
    </row>
    <row r="212" spans="1:68" x14ac:dyDescent="0.25">
      <c r="A212" s="62" t="s">
        <v>396</v>
      </c>
      <c r="B212" s="63"/>
      <c r="C212" s="63"/>
      <c r="D212" s="64"/>
      <c r="E212" s="66"/>
      <c r="F212" s="103" t="str">
        <f>HYPERLINK("https://pbs.twimg.com/profile_images/1011258673547698176/oKX4wRkt_normal.jpg")</f>
        <v>https://pbs.twimg.com/profile_images/1011258673547698176/oKX4wRkt_normal.jpg</v>
      </c>
      <c r="G212" s="63"/>
      <c r="H212" s="67"/>
      <c r="I212" s="68"/>
      <c r="J212" s="68"/>
      <c r="K212" s="67" t="s">
        <v>19945</v>
      </c>
      <c r="L212" s="71"/>
      <c r="M212" s="72"/>
      <c r="N212" s="72"/>
      <c r="O212" s="73"/>
      <c r="P212" s="74"/>
      <c r="Q212" s="74"/>
      <c r="R212" s="87"/>
      <c r="S212" s="87"/>
      <c r="T212" s="87"/>
      <c r="U212" s="87"/>
      <c r="V212" s="48"/>
      <c r="W212" s="48"/>
      <c r="X212" s="48"/>
      <c r="Y212" s="48"/>
      <c r="Z212" s="47"/>
      <c r="AA212" s="69">
        <v>212</v>
      </c>
      <c r="AB212" s="69"/>
      <c r="AC212" s="70"/>
      <c r="AD212" s="76" t="s">
        <v>396</v>
      </c>
      <c r="AE212" s="81" t="s">
        <v>18398</v>
      </c>
      <c r="AF212" s="76">
        <v>141</v>
      </c>
      <c r="AG212" s="76">
        <v>137</v>
      </c>
      <c r="AH212" s="76">
        <v>3558</v>
      </c>
      <c r="AI212" s="76">
        <v>0</v>
      </c>
      <c r="AJ212" s="76">
        <v>3125</v>
      </c>
      <c r="AK212" s="76">
        <v>15</v>
      </c>
      <c r="AL212" s="76" t="b">
        <v>0</v>
      </c>
      <c r="AM212" s="78">
        <v>41568.8669212963</v>
      </c>
      <c r="AN212" s="76"/>
      <c r="AO212" s="76" t="s">
        <v>18952</v>
      </c>
      <c r="AP212" s="76"/>
      <c r="AQ212" s="76"/>
      <c r="AR212" s="76"/>
      <c r="AS212" s="76"/>
      <c r="AT212" s="76"/>
      <c r="AU212" s="76"/>
      <c r="AV212" s="76">
        <v>1.6875494910947E+18</v>
      </c>
      <c r="AW212" s="76"/>
      <c r="AX212" s="76" t="b">
        <v>0</v>
      </c>
      <c r="AY212" s="76"/>
      <c r="AZ212" s="76"/>
      <c r="BA212" s="76" t="b">
        <v>1</v>
      </c>
      <c r="BB212" s="76" t="b">
        <v>1</v>
      </c>
      <c r="BC212" s="76" t="b">
        <v>0</v>
      </c>
      <c r="BD212" s="76" t="b">
        <v>0</v>
      </c>
      <c r="BE212" s="76" t="b">
        <v>0</v>
      </c>
      <c r="BF212" s="76" t="b">
        <v>0</v>
      </c>
      <c r="BG212" s="76" t="b">
        <v>0</v>
      </c>
      <c r="BH212" s="83" t="str">
        <f>HYPERLINK("https://pbs.twimg.com/profile_banners/2147792989/1687207040")</f>
        <v>https://pbs.twimg.com/profile_banners/2147792989/1687207040</v>
      </c>
      <c r="BI212" s="76"/>
      <c r="BJ212" s="76" t="s">
        <v>19734</v>
      </c>
      <c r="BK212" s="76" t="b">
        <v>0</v>
      </c>
      <c r="BL212" s="76"/>
      <c r="BM212" s="76" t="s">
        <v>66</v>
      </c>
      <c r="BN212" s="76" t="s">
        <v>19736</v>
      </c>
      <c r="BO212" s="83" t="str">
        <f>HYPERLINK("https://twitter.com/fcardan")</f>
        <v>https://twitter.com/fcardan</v>
      </c>
      <c r="BP212" s="2"/>
    </row>
    <row r="213" spans="1:68" x14ac:dyDescent="0.25">
      <c r="A213" s="62" t="s">
        <v>397</v>
      </c>
      <c r="B213" s="63"/>
      <c r="C213" s="63"/>
      <c r="D213" s="64"/>
      <c r="E213" s="66"/>
      <c r="F213" s="103" t="str">
        <f>HYPERLINK("https://pbs.twimg.com/profile_images/1063667496446816256/UrRCc-Eg_normal.jpg")</f>
        <v>https://pbs.twimg.com/profile_images/1063667496446816256/UrRCc-Eg_normal.jpg</v>
      </c>
      <c r="G213" s="63"/>
      <c r="H213" s="67"/>
      <c r="I213" s="68"/>
      <c r="J213" s="68"/>
      <c r="K213" s="67" t="s">
        <v>19946</v>
      </c>
      <c r="L213" s="71"/>
      <c r="M213" s="72"/>
      <c r="N213" s="72"/>
      <c r="O213" s="73"/>
      <c r="P213" s="74"/>
      <c r="Q213" s="74"/>
      <c r="R213" s="87"/>
      <c r="S213" s="87"/>
      <c r="T213" s="87"/>
      <c r="U213" s="87"/>
      <c r="V213" s="48"/>
      <c r="W213" s="48"/>
      <c r="X213" s="48"/>
      <c r="Y213" s="48"/>
      <c r="Z213" s="47"/>
      <c r="AA213" s="69">
        <v>213</v>
      </c>
      <c r="AB213" s="69"/>
      <c r="AC213" s="70"/>
      <c r="AD213" s="76" t="s">
        <v>17959</v>
      </c>
      <c r="AE213" s="81" t="s">
        <v>17530</v>
      </c>
      <c r="AF213" s="76">
        <v>212</v>
      </c>
      <c r="AG213" s="76">
        <v>22</v>
      </c>
      <c r="AH213" s="76">
        <v>49061</v>
      </c>
      <c r="AI213" s="76">
        <v>2</v>
      </c>
      <c r="AJ213" s="76">
        <v>664</v>
      </c>
      <c r="AK213" s="76">
        <v>454</v>
      </c>
      <c r="AL213" s="76" t="b">
        <v>0</v>
      </c>
      <c r="AM213" s="78">
        <v>42474.223263888889</v>
      </c>
      <c r="AN213" s="76" t="s">
        <v>12007</v>
      </c>
      <c r="AO213" s="76" t="s">
        <v>18953</v>
      </c>
      <c r="AP213" s="83" t="str">
        <f>HYPERLINK("https://t.co/VpC8NbVbj2")</f>
        <v>https://t.co/VpC8NbVbj2</v>
      </c>
      <c r="AQ213" s="83" t="str">
        <f>HYPERLINK("https://AndroidFinal.com.br")</f>
        <v>https://AndroidFinal.com.br</v>
      </c>
      <c r="AR213" s="76" t="s">
        <v>19421</v>
      </c>
      <c r="AS213" s="76"/>
      <c r="AT213" s="76"/>
      <c r="AU213" s="76"/>
      <c r="AV213" s="76">
        <v>1.4629913717578299E+18</v>
      </c>
      <c r="AW213" s="83" t="str">
        <f>HYPERLINK("https://t.co/VpC8NbVbj2")</f>
        <v>https://t.co/VpC8NbVbj2</v>
      </c>
      <c r="AX213" s="76" t="b">
        <v>0</v>
      </c>
      <c r="AY213" s="76"/>
      <c r="AZ213" s="76"/>
      <c r="BA213" s="76" t="b">
        <v>0</v>
      </c>
      <c r="BB213" s="76" t="b">
        <v>1</v>
      </c>
      <c r="BC213" s="76" t="b">
        <v>0</v>
      </c>
      <c r="BD213" s="76" t="b">
        <v>0</v>
      </c>
      <c r="BE213" s="76" t="b">
        <v>1</v>
      </c>
      <c r="BF213" s="76" t="b">
        <v>0</v>
      </c>
      <c r="BG213" s="76" t="b">
        <v>0</v>
      </c>
      <c r="BH213" s="83" t="str">
        <f>HYPERLINK("https://pbs.twimg.com/profile_banners/720482086688317440/1586493746")</f>
        <v>https://pbs.twimg.com/profile_banners/720482086688317440/1586493746</v>
      </c>
      <c r="BI213" s="76"/>
      <c r="BJ213" s="76" t="s">
        <v>19734</v>
      </c>
      <c r="BK213" s="76" t="b">
        <v>0</v>
      </c>
      <c r="BL213" s="76"/>
      <c r="BM213" s="76" t="s">
        <v>66</v>
      </c>
      <c r="BN213" s="76" t="s">
        <v>19736</v>
      </c>
      <c r="BO213" s="83" t="str">
        <f>HYPERLINK("https://twitter.com/androidfinal")</f>
        <v>https://twitter.com/androidfinal</v>
      </c>
      <c r="BP213" s="2"/>
    </row>
    <row r="214" spans="1:68" x14ac:dyDescent="0.25">
      <c r="A214" s="62" t="s">
        <v>398</v>
      </c>
      <c r="B214" s="63"/>
      <c r="C214" s="63"/>
      <c r="D214" s="64"/>
      <c r="E214" s="66"/>
      <c r="F214" s="103" t="str">
        <f>HYPERLINK("https://pbs.twimg.com/profile_images/1463267535227289606/Pci45gq__normal.jpg")</f>
        <v>https://pbs.twimg.com/profile_images/1463267535227289606/Pci45gq__normal.jpg</v>
      </c>
      <c r="G214" s="63"/>
      <c r="H214" s="67"/>
      <c r="I214" s="68"/>
      <c r="J214" s="68"/>
      <c r="K214" s="67" t="s">
        <v>19947</v>
      </c>
      <c r="L214" s="71"/>
      <c r="M214" s="72"/>
      <c r="N214" s="72"/>
      <c r="O214" s="73"/>
      <c r="P214" s="74"/>
      <c r="Q214" s="74"/>
      <c r="R214" s="87"/>
      <c r="S214" s="87"/>
      <c r="T214" s="87"/>
      <c r="U214" s="87"/>
      <c r="V214" s="48"/>
      <c r="W214" s="48"/>
      <c r="X214" s="48"/>
      <c r="Y214" s="48"/>
      <c r="Z214" s="47"/>
      <c r="AA214" s="69">
        <v>214</v>
      </c>
      <c r="AB214" s="69"/>
      <c r="AC214" s="70"/>
      <c r="AD214" s="76" t="s">
        <v>17960</v>
      </c>
      <c r="AE214" s="81" t="s">
        <v>17531</v>
      </c>
      <c r="AF214" s="76">
        <v>2</v>
      </c>
      <c r="AG214" s="76">
        <v>6</v>
      </c>
      <c r="AH214" s="76">
        <v>208</v>
      </c>
      <c r="AI214" s="76">
        <v>0</v>
      </c>
      <c r="AJ214" s="76">
        <v>2</v>
      </c>
      <c r="AK214" s="76">
        <v>193</v>
      </c>
      <c r="AL214" s="76" t="b">
        <v>0</v>
      </c>
      <c r="AM214" s="78">
        <v>44523.920613425929</v>
      </c>
      <c r="AN214" s="76"/>
      <c r="AO214" s="76" t="s">
        <v>18954</v>
      </c>
      <c r="AP214" s="76"/>
      <c r="AQ214" s="76"/>
      <c r="AR214" s="76"/>
      <c r="AS214" s="83" t="str">
        <f>HYPERLINK("https://t.co/a6CA60FR9S")</f>
        <v>https://t.co/a6CA60FR9S</v>
      </c>
      <c r="AT214" s="83" t="str">
        <f>HYPERLINK("https://www.youtube.com/c/ProfessorCésarUrtado?sub_confirmation=1")</f>
        <v>https://www.youtube.com/c/ProfessorCésarUrtado?sub_confirmation=1</v>
      </c>
      <c r="AU214" s="76" t="s">
        <v>19702</v>
      </c>
      <c r="AV214" s="76"/>
      <c r="AW214" s="76"/>
      <c r="AX214" s="76" t="b">
        <v>0</v>
      </c>
      <c r="AY214" s="76"/>
      <c r="AZ214" s="76"/>
      <c r="BA214" s="76" t="b">
        <v>0</v>
      </c>
      <c r="BB214" s="76" t="b">
        <v>1</v>
      </c>
      <c r="BC214" s="76" t="b">
        <v>1</v>
      </c>
      <c r="BD214" s="76" t="b">
        <v>0</v>
      </c>
      <c r="BE214" s="76" t="b">
        <v>0</v>
      </c>
      <c r="BF214" s="76" t="b">
        <v>0</v>
      </c>
      <c r="BG214" s="76" t="b">
        <v>0</v>
      </c>
      <c r="BH214" s="76"/>
      <c r="BI214" s="76"/>
      <c r="BJ214" s="76" t="s">
        <v>19734</v>
      </c>
      <c r="BK214" s="76" t="b">
        <v>0</v>
      </c>
      <c r="BL214" s="76"/>
      <c r="BM214" s="76" t="s">
        <v>66</v>
      </c>
      <c r="BN214" s="76" t="s">
        <v>19736</v>
      </c>
      <c r="BO214" s="83" t="str">
        <f>HYPERLINK("https://twitter.com/urtado_cesar")</f>
        <v>https://twitter.com/urtado_cesar</v>
      </c>
      <c r="BP214" s="2"/>
    </row>
    <row r="215" spans="1:68" x14ac:dyDescent="0.25">
      <c r="A215" s="62" t="s">
        <v>399</v>
      </c>
      <c r="B215" s="63"/>
      <c r="C215" s="63"/>
      <c r="D215" s="64"/>
      <c r="E215" s="66"/>
      <c r="F215" s="103" t="str">
        <f>HYPERLINK("https://pbs.twimg.com/profile_images/786514102860541953/GsHDtnkM_normal.jpg")</f>
        <v>https://pbs.twimg.com/profile_images/786514102860541953/GsHDtnkM_normal.jpg</v>
      </c>
      <c r="G215" s="63"/>
      <c r="H215" s="67"/>
      <c r="I215" s="68"/>
      <c r="J215" s="68"/>
      <c r="K215" s="67" t="s">
        <v>19948</v>
      </c>
      <c r="L215" s="71"/>
      <c r="M215" s="72"/>
      <c r="N215" s="72"/>
      <c r="O215" s="73"/>
      <c r="P215" s="74"/>
      <c r="Q215" s="74"/>
      <c r="R215" s="87"/>
      <c r="S215" s="87"/>
      <c r="T215" s="87"/>
      <c r="U215" s="87"/>
      <c r="V215" s="48"/>
      <c r="W215" s="48"/>
      <c r="X215" s="48"/>
      <c r="Y215" s="48"/>
      <c r="Z215" s="47"/>
      <c r="AA215" s="69">
        <v>215</v>
      </c>
      <c r="AB215" s="69"/>
      <c r="AC215" s="70"/>
      <c r="AD215" s="76" t="s">
        <v>17961</v>
      </c>
      <c r="AE215" s="81" t="s">
        <v>18399</v>
      </c>
      <c r="AF215" s="76">
        <v>24</v>
      </c>
      <c r="AG215" s="76">
        <v>232</v>
      </c>
      <c r="AH215" s="76">
        <v>1184</v>
      </c>
      <c r="AI215" s="76">
        <v>0</v>
      </c>
      <c r="AJ215" s="76">
        <v>3009</v>
      </c>
      <c r="AK215" s="76">
        <v>36</v>
      </c>
      <c r="AL215" s="76" t="b">
        <v>0</v>
      </c>
      <c r="AM215" s="78">
        <v>41324.013043981482</v>
      </c>
      <c r="AN215" s="76"/>
      <c r="AO215" s="76" t="s">
        <v>18955</v>
      </c>
      <c r="AP215" s="76"/>
      <c r="AQ215" s="76"/>
      <c r="AR215" s="76"/>
      <c r="AS215" s="76"/>
      <c r="AT215" s="76"/>
      <c r="AU215" s="76"/>
      <c r="AV215" s="76"/>
      <c r="AW215" s="76"/>
      <c r="AX215" s="76" t="b">
        <v>0</v>
      </c>
      <c r="AY215" s="76"/>
      <c r="AZ215" s="76"/>
      <c r="BA215" s="76" t="b">
        <v>1</v>
      </c>
      <c r="BB215" s="76" t="b">
        <v>1</v>
      </c>
      <c r="BC215" s="76" t="b">
        <v>1</v>
      </c>
      <c r="BD215" s="76" t="b">
        <v>0</v>
      </c>
      <c r="BE215" s="76" t="b">
        <v>0</v>
      </c>
      <c r="BF215" s="76" t="b">
        <v>0</v>
      </c>
      <c r="BG215" s="76" t="b">
        <v>0</v>
      </c>
      <c r="BH215" s="83" t="str">
        <f>HYPERLINK("https://pbs.twimg.com/profile_banners/1195337472/1361738567")</f>
        <v>https://pbs.twimg.com/profile_banners/1195337472/1361738567</v>
      </c>
      <c r="BI215" s="76"/>
      <c r="BJ215" s="76" t="s">
        <v>19734</v>
      </c>
      <c r="BK215" s="76" t="b">
        <v>0</v>
      </c>
      <c r="BL215" s="76"/>
      <c r="BM215" s="76" t="s">
        <v>66</v>
      </c>
      <c r="BN215" s="76" t="s">
        <v>19736</v>
      </c>
      <c r="BO215" s="83" t="str">
        <f>HYPERLINK("https://twitter.com/nelsonpeixoto20")</f>
        <v>https://twitter.com/nelsonpeixoto20</v>
      </c>
      <c r="BP215" s="2"/>
    </row>
    <row r="216" spans="1:68" x14ac:dyDescent="0.25">
      <c r="A216" s="62" t="s">
        <v>400</v>
      </c>
      <c r="B216" s="63"/>
      <c r="C216" s="63"/>
      <c r="D216" s="64"/>
      <c r="E216" s="66"/>
      <c r="F216" s="103" t="str">
        <f>HYPERLINK("https://pbs.twimg.com/profile_images/1686123415189528577/1Og6Ziio_normal.jpg")</f>
        <v>https://pbs.twimg.com/profile_images/1686123415189528577/1Og6Ziio_normal.jpg</v>
      </c>
      <c r="G216" s="63"/>
      <c r="H216" s="67"/>
      <c r="I216" s="68"/>
      <c r="J216" s="68"/>
      <c r="K216" s="67" t="s">
        <v>19949</v>
      </c>
      <c r="L216" s="71"/>
      <c r="M216" s="72"/>
      <c r="N216" s="72"/>
      <c r="O216" s="73"/>
      <c r="P216" s="74"/>
      <c r="Q216" s="74"/>
      <c r="R216" s="87"/>
      <c r="S216" s="87"/>
      <c r="T216" s="87"/>
      <c r="U216" s="87"/>
      <c r="V216" s="48"/>
      <c r="W216" s="48"/>
      <c r="X216" s="48"/>
      <c r="Y216" s="48"/>
      <c r="Z216" s="47"/>
      <c r="AA216" s="69">
        <v>216</v>
      </c>
      <c r="AB216" s="69"/>
      <c r="AC216" s="70"/>
      <c r="AD216" s="76" t="s">
        <v>17962</v>
      </c>
      <c r="AE216" s="81" t="s">
        <v>17532</v>
      </c>
      <c r="AF216" s="76">
        <v>76</v>
      </c>
      <c r="AG216" s="76">
        <v>272</v>
      </c>
      <c r="AH216" s="76">
        <v>228</v>
      </c>
      <c r="AI216" s="76">
        <v>0</v>
      </c>
      <c r="AJ216" s="76">
        <v>5508</v>
      </c>
      <c r="AK216" s="76">
        <v>31</v>
      </c>
      <c r="AL216" s="76" t="b">
        <v>0</v>
      </c>
      <c r="AM216" s="78">
        <v>43954.681793981479</v>
      </c>
      <c r="AN216" s="76" t="s">
        <v>18628</v>
      </c>
      <c r="AO216" s="76" t="s">
        <v>18956</v>
      </c>
      <c r="AP216" s="83" t="str">
        <f>HYPERLINK("https://t.co/o330bGwDSY")</f>
        <v>https://t.co/o330bGwDSY</v>
      </c>
      <c r="AQ216" s="83" t="str">
        <f>HYPERLINK("https://bit.ly/3lpY4kb")</f>
        <v>https://bit.ly/3lpY4kb</v>
      </c>
      <c r="AR216" s="76" t="s">
        <v>19422</v>
      </c>
      <c r="AS216" s="76"/>
      <c r="AT216" s="76"/>
      <c r="AU216" s="76"/>
      <c r="AV216" s="76"/>
      <c r="AW216" s="83" t="str">
        <f>HYPERLINK("https://t.co/o330bGwDSY")</f>
        <v>https://t.co/o330bGwDSY</v>
      </c>
      <c r="AX216" s="76" t="b">
        <v>0</v>
      </c>
      <c r="AY216" s="76"/>
      <c r="AZ216" s="76"/>
      <c r="BA216" s="76" t="b">
        <v>0</v>
      </c>
      <c r="BB216" s="76" t="b">
        <v>1</v>
      </c>
      <c r="BC216" s="76" t="b">
        <v>1</v>
      </c>
      <c r="BD216" s="76" t="b">
        <v>0</v>
      </c>
      <c r="BE216" s="76" t="b">
        <v>0</v>
      </c>
      <c r="BF216" s="76" t="b">
        <v>0</v>
      </c>
      <c r="BG216" s="76" t="b">
        <v>0</v>
      </c>
      <c r="BH216" s="76"/>
      <c r="BI216" s="76"/>
      <c r="BJ216" s="76" t="s">
        <v>19734</v>
      </c>
      <c r="BK216" s="76" t="b">
        <v>0</v>
      </c>
      <c r="BL216" s="76"/>
      <c r="BM216" s="76" t="s">
        <v>66</v>
      </c>
      <c r="BN216" s="76" t="s">
        <v>19736</v>
      </c>
      <c r="BO216" s="83" t="str">
        <f>HYPERLINK("https://twitter.com/mpzae")</f>
        <v>https://twitter.com/mpzae</v>
      </c>
      <c r="BP216" s="2"/>
    </row>
    <row r="217" spans="1:68" x14ac:dyDescent="0.25">
      <c r="A217" s="62" t="s">
        <v>401</v>
      </c>
      <c r="B217" s="63"/>
      <c r="C217" s="63"/>
      <c r="D217" s="64"/>
      <c r="E217" s="66"/>
      <c r="F217" s="103" t="str">
        <f>HYPERLINK("https://pbs.twimg.com/profile_images/1226689296125628416/-3reXyCa_normal.jpg")</f>
        <v>https://pbs.twimg.com/profile_images/1226689296125628416/-3reXyCa_normal.jpg</v>
      </c>
      <c r="G217" s="63"/>
      <c r="H217" s="67"/>
      <c r="I217" s="68"/>
      <c r="J217" s="68"/>
      <c r="K217" s="67" t="s">
        <v>19950</v>
      </c>
      <c r="L217" s="71"/>
      <c r="M217" s="72"/>
      <c r="N217" s="72"/>
      <c r="O217" s="73"/>
      <c r="P217" s="74"/>
      <c r="Q217" s="74"/>
      <c r="R217" s="87"/>
      <c r="S217" s="87"/>
      <c r="T217" s="87"/>
      <c r="U217" s="87"/>
      <c r="V217" s="48"/>
      <c r="W217" s="48"/>
      <c r="X217" s="48"/>
      <c r="Y217" s="48"/>
      <c r="Z217" s="47"/>
      <c r="AA217" s="69">
        <v>217</v>
      </c>
      <c r="AB217" s="69"/>
      <c r="AC217" s="70"/>
      <c r="AD217" s="76" t="s">
        <v>17963</v>
      </c>
      <c r="AE217" s="81" t="s">
        <v>17533</v>
      </c>
      <c r="AF217" s="76">
        <v>285</v>
      </c>
      <c r="AG217" s="76">
        <v>333</v>
      </c>
      <c r="AH217" s="76">
        <v>2650</v>
      </c>
      <c r="AI217" s="76">
        <v>1</v>
      </c>
      <c r="AJ217" s="76">
        <v>14145</v>
      </c>
      <c r="AK217" s="76">
        <v>254</v>
      </c>
      <c r="AL217" s="76" t="b">
        <v>0</v>
      </c>
      <c r="AM217" s="78">
        <v>43871.088483796295</v>
      </c>
      <c r="AN217" s="76" t="s">
        <v>12007</v>
      </c>
      <c r="AO217" s="76" t="s">
        <v>18957</v>
      </c>
      <c r="AP217" s="76"/>
      <c r="AQ217" s="76"/>
      <c r="AR217" s="76"/>
      <c r="AS217" s="76"/>
      <c r="AT217" s="76"/>
      <c r="AU217" s="76"/>
      <c r="AV217" s="76">
        <v>1.58420958434414E+18</v>
      </c>
      <c r="AW217" s="76"/>
      <c r="AX217" s="76" t="b">
        <v>0</v>
      </c>
      <c r="AY217" s="76"/>
      <c r="AZ217" s="76"/>
      <c r="BA217" s="76" t="b">
        <v>0</v>
      </c>
      <c r="BB217" s="76" t="b">
        <v>1</v>
      </c>
      <c r="BC217" s="76" t="b">
        <v>1</v>
      </c>
      <c r="BD217" s="76" t="b">
        <v>0</v>
      </c>
      <c r="BE217" s="76" t="b">
        <v>1</v>
      </c>
      <c r="BF217" s="76" t="b">
        <v>0</v>
      </c>
      <c r="BG217" s="76" t="b">
        <v>0</v>
      </c>
      <c r="BH217" s="83" t="str">
        <f>HYPERLINK("https://pbs.twimg.com/profile_banners/1226689020492746753/1669933531")</f>
        <v>https://pbs.twimg.com/profile_banners/1226689020492746753/1669933531</v>
      </c>
      <c r="BI217" s="76"/>
      <c r="BJ217" s="76" t="s">
        <v>19734</v>
      </c>
      <c r="BK217" s="76" t="b">
        <v>0</v>
      </c>
      <c r="BL217" s="76"/>
      <c r="BM217" s="76" t="s">
        <v>66</v>
      </c>
      <c r="BN217" s="76" t="s">
        <v>19736</v>
      </c>
      <c r="BO217" s="83" t="str">
        <f>HYPERLINK("https://twitter.com/edivaniobs")</f>
        <v>https://twitter.com/edivaniobs</v>
      </c>
      <c r="BP217" s="2"/>
    </row>
    <row r="218" spans="1:68" x14ac:dyDescent="0.25">
      <c r="A218" s="62" t="s">
        <v>402</v>
      </c>
      <c r="B218" s="63"/>
      <c r="C218" s="63"/>
      <c r="D218" s="64"/>
      <c r="E218" s="66"/>
      <c r="F218" s="103" t="str">
        <f>HYPERLINK("https://pbs.twimg.com/profile_images/1609191412381122560/R9iBJcOv_normal.jpg")</f>
        <v>https://pbs.twimg.com/profile_images/1609191412381122560/R9iBJcOv_normal.jpg</v>
      </c>
      <c r="G218" s="63"/>
      <c r="H218" s="67"/>
      <c r="I218" s="68"/>
      <c r="J218" s="68"/>
      <c r="K218" s="67" t="s">
        <v>19951</v>
      </c>
      <c r="L218" s="71"/>
      <c r="M218" s="72"/>
      <c r="N218" s="72"/>
      <c r="O218" s="73"/>
      <c r="P218" s="74"/>
      <c r="Q218" s="74"/>
      <c r="R218" s="87"/>
      <c r="S218" s="87"/>
      <c r="T218" s="87"/>
      <c r="U218" s="87"/>
      <c r="V218" s="48"/>
      <c r="W218" s="48"/>
      <c r="X218" s="48"/>
      <c r="Y218" s="48"/>
      <c r="Z218" s="47"/>
      <c r="AA218" s="69">
        <v>218</v>
      </c>
      <c r="AB218" s="69"/>
      <c r="AC218" s="70"/>
      <c r="AD218" s="76" t="s">
        <v>17964</v>
      </c>
      <c r="AE218" s="81" t="s">
        <v>18400</v>
      </c>
      <c r="AF218" s="76">
        <v>181</v>
      </c>
      <c r="AG218" s="76">
        <v>1581</v>
      </c>
      <c r="AH218" s="76">
        <v>3019</v>
      </c>
      <c r="AI218" s="76">
        <v>1</v>
      </c>
      <c r="AJ218" s="76">
        <v>721</v>
      </c>
      <c r="AK218" s="76">
        <v>148</v>
      </c>
      <c r="AL218" s="76" t="b">
        <v>0</v>
      </c>
      <c r="AM218" s="78">
        <v>40637.885162037041</v>
      </c>
      <c r="AN218" s="76" t="s">
        <v>18629</v>
      </c>
      <c r="AO218" s="76" t="s">
        <v>18958</v>
      </c>
      <c r="AP218" s="76"/>
      <c r="AQ218" s="76"/>
      <c r="AR218" s="76"/>
      <c r="AS218" s="76"/>
      <c r="AT218" s="76"/>
      <c r="AU218" s="76"/>
      <c r="AV218" s="76">
        <v>1.5796542145567201E+18</v>
      </c>
      <c r="AW218" s="76"/>
      <c r="AX218" s="76" t="b">
        <v>0</v>
      </c>
      <c r="AY218" s="76"/>
      <c r="AZ218" s="76"/>
      <c r="BA218" s="76" t="b">
        <v>0</v>
      </c>
      <c r="BB218" s="76" t="b">
        <v>1</v>
      </c>
      <c r="BC218" s="76" t="b">
        <v>0</v>
      </c>
      <c r="BD218" s="76" t="b">
        <v>0</v>
      </c>
      <c r="BE218" s="76" t="b">
        <v>1</v>
      </c>
      <c r="BF218" s="76" t="b">
        <v>0</v>
      </c>
      <c r="BG218" s="76" t="b">
        <v>0</v>
      </c>
      <c r="BH218" s="83" t="str">
        <f>HYPERLINK("https://pbs.twimg.com/profile_banners/277177609/1398686920")</f>
        <v>https://pbs.twimg.com/profile_banners/277177609/1398686920</v>
      </c>
      <c r="BI218" s="76"/>
      <c r="BJ218" s="76" t="s">
        <v>19734</v>
      </c>
      <c r="BK218" s="76" t="b">
        <v>0</v>
      </c>
      <c r="BL218" s="76"/>
      <c r="BM218" s="76" t="s">
        <v>66</v>
      </c>
      <c r="BN218" s="76" t="s">
        <v>19736</v>
      </c>
      <c r="BO218" s="83" t="str">
        <f>HYPERLINK("https://twitter.com/edmarbertolo")</f>
        <v>https://twitter.com/edmarbertolo</v>
      </c>
      <c r="BP218" s="2"/>
    </row>
    <row r="219" spans="1:68" x14ac:dyDescent="0.25">
      <c r="A219" s="62" t="s">
        <v>403</v>
      </c>
      <c r="B219" s="63"/>
      <c r="C219" s="63"/>
      <c r="D219" s="64"/>
      <c r="E219" s="66"/>
      <c r="F219" s="103" t="str">
        <f>HYPERLINK("https://pbs.twimg.com/profile_images/1241147984924082183/gZgx_hL-_normal.jpg")</f>
        <v>https://pbs.twimg.com/profile_images/1241147984924082183/gZgx_hL-_normal.jpg</v>
      </c>
      <c r="G219" s="63"/>
      <c r="H219" s="67"/>
      <c r="I219" s="68"/>
      <c r="J219" s="68"/>
      <c r="K219" s="67" t="s">
        <v>19952</v>
      </c>
      <c r="L219" s="71"/>
      <c r="M219" s="72"/>
      <c r="N219" s="72"/>
      <c r="O219" s="73"/>
      <c r="P219" s="74"/>
      <c r="Q219" s="74"/>
      <c r="R219" s="87"/>
      <c r="S219" s="87"/>
      <c r="T219" s="87"/>
      <c r="U219" s="87"/>
      <c r="V219" s="48"/>
      <c r="W219" s="48"/>
      <c r="X219" s="48"/>
      <c r="Y219" s="48"/>
      <c r="Z219" s="47"/>
      <c r="AA219" s="69">
        <v>219</v>
      </c>
      <c r="AB219" s="69"/>
      <c r="AC219" s="70"/>
      <c r="AD219" s="76" t="s">
        <v>17965</v>
      </c>
      <c r="AE219" s="81" t="s">
        <v>17534</v>
      </c>
      <c r="AF219" s="76">
        <v>71135</v>
      </c>
      <c r="AG219" s="76">
        <v>28</v>
      </c>
      <c r="AH219" s="76">
        <v>28358</v>
      </c>
      <c r="AI219" s="76">
        <v>327</v>
      </c>
      <c r="AJ219" s="76">
        <v>359</v>
      </c>
      <c r="AK219" s="76">
        <v>2639</v>
      </c>
      <c r="AL219" s="76" t="b">
        <v>0</v>
      </c>
      <c r="AM219" s="78">
        <v>43896.790462962963</v>
      </c>
      <c r="AN219" s="76" t="s">
        <v>12007</v>
      </c>
      <c r="AO219" s="76" t="s">
        <v>18959</v>
      </c>
      <c r="AP219" s="83" t="str">
        <f>HYPERLINK("https://t.co/UXpU15u2ux")</f>
        <v>https://t.co/UXpU15u2ux</v>
      </c>
      <c r="AQ219" s="83" t="str">
        <f>HYPERLINK("https://mla.bs/c1acb5b4")</f>
        <v>https://mla.bs/c1acb5b4</v>
      </c>
      <c r="AR219" s="76" t="s">
        <v>19423</v>
      </c>
      <c r="AS219" s="76"/>
      <c r="AT219" s="76"/>
      <c r="AU219" s="76"/>
      <c r="AV219" s="76">
        <v>1.6658505570456499E+18</v>
      </c>
      <c r="AW219" s="83" t="str">
        <f>HYPERLINK("https://t.co/UXpU15u2ux")</f>
        <v>https://t.co/UXpU15u2ux</v>
      </c>
      <c r="AX219" s="76" t="b">
        <v>0</v>
      </c>
      <c r="AY219" s="76"/>
      <c r="AZ219" s="76"/>
      <c r="BA219" s="76" t="b">
        <v>1</v>
      </c>
      <c r="BB219" s="76" t="b">
        <v>1</v>
      </c>
      <c r="BC219" s="76" t="b">
        <v>1</v>
      </c>
      <c r="BD219" s="76" t="b">
        <v>0</v>
      </c>
      <c r="BE219" s="76" t="b">
        <v>1</v>
      </c>
      <c r="BF219" s="76" t="b">
        <v>0</v>
      </c>
      <c r="BG219" s="76" t="b">
        <v>0</v>
      </c>
      <c r="BH219" s="83" t="str">
        <f>HYPERLINK("https://pbs.twimg.com/profile_banners/1236003131244392448/1685619312")</f>
        <v>https://pbs.twimg.com/profile_banners/1236003131244392448/1685619312</v>
      </c>
      <c r="BI219" s="76"/>
      <c r="BJ219" s="76" t="s">
        <v>19734</v>
      </c>
      <c r="BK219" s="76" t="b">
        <v>0</v>
      </c>
      <c r="BL219" s="76"/>
      <c r="BM219" s="76" t="s">
        <v>66</v>
      </c>
      <c r="BN219" s="76" t="s">
        <v>19736</v>
      </c>
      <c r="BO219" s="83" t="str">
        <f>HYPERLINK("https://twitter.com/einvestidor")</f>
        <v>https://twitter.com/einvestidor</v>
      </c>
      <c r="BP219" s="2"/>
    </row>
    <row r="220" spans="1:68" x14ac:dyDescent="0.25">
      <c r="A220" s="62" t="s">
        <v>404</v>
      </c>
      <c r="B220" s="63"/>
      <c r="C220" s="63"/>
      <c r="D220" s="64"/>
      <c r="E220" s="66"/>
      <c r="F220" s="103" t="str">
        <f>HYPERLINK("https://pbs.twimg.com/profile_images/1527256917663485953/N5V3KY89_normal.jpg")</f>
        <v>https://pbs.twimg.com/profile_images/1527256917663485953/N5V3KY89_normal.jpg</v>
      </c>
      <c r="G220" s="63"/>
      <c r="H220" s="67"/>
      <c r="I220" s="68"/>
      <c r="J220" s="68"/>
      <c r="K220" s="67" t="s">
        <v>19953</v>
      </c>
      <c r="L220" s="71"/>
      <c r="M220" s="72"/>
      <c r="N220" s="72"/>
      <c r="O220" s="73"/>
      <c r="P220" s="74"/>
      <c r="Q220" s="74"/>
      <c r="R220" s="87"/>
      <c r="S220" s="87"/>
      <c r="T220" s="87"/>
      <c r="U220" s="87"/>
      <c r="V220" s="48"/>
      <c r="W220" s="48"/>
      <c r="X220" s="48"/>
      <c r="Y220" s="48"/>
      <c r="Z220" s="47"/>
      <c r="AA220" s="69">
        <v>220</v>
      </c>
      <c r="AB220" s="69"/>
      <c r="AC220" s="70"/>
      <c r="AD220" s="76" t="s">
        <v>17966</v>
      </c>
      <c r="AE220" s="81" t="s">
        <v>17535</v>
      </c>
      <c r="AF220" s="76">
        <v>42106</v>
      </c>
      <c r="AG220" s="76">
        <v>112</v>
      </c>
      <c r="AH220" s="76">
        <v>14737</v>
      </c>
      <c r="AI220" s="76">
        <v>514</v>
      </c>
      <c r="AJ220" s="76">
        <v>1590</v>
      </c>
      <c r="AK220" s="76">
        <v>4286</v>
      </c>
      <c r="AL220" s="76" t="b">
        <v>0</v>
      </c>
      <c r="AM220" s="78">
        <v>43237.905127314814</v>
      </c>
      <c r="AN220" s="76" t="s">
        <v>12014</v>
      </c>
      <c r="AO220" s="76" t="s">
        <v>18960</v>
      </c>
      <c r="AP220" s="83" t="str">
        <f>HYPERLINK("https://t.co/GVztoeRiDh")</f>
        <v>https://t.co/GVztoeRiDh</v>
      </c>
      <c r="AQ220" s="83" t="str">
        <f>HYPERLINK("https://trademap.com.br/links")</f>
        <v>https://trademap.com.br/links</v>
      </c>
      <c r="AR220" s="76" t="s">
        <v>19424</v>
      </c>
      <c r="AS220" s="76"/>
      <c r="AT220" s="76"/>
      <c r="AU220" s="76"/>
      <c r="AV220" s="76"/>
      <c r="AW220" s="83" t="str">
        <f>HYPERLINK("https://t.co/GVztoeRiDh")</f>
        <v>https://t.co/GVztoeRiDh</v>
      </c>
      <c r="AX220" s="76" t="b">
        <v>1</v>
      </c>
      <c r="AY220" s="76"/>
      <c r="AZ220" s="76"/>
      <c r="BA220" s="76" t="b">
        <v>1</v>
      </c>
      <c r="BB220" s="76" t="b">
        <v>1</v>
      </c>
      <c r="BC220" s="76" t="b">
        <v>1</v>
      </c>
      <c r="BD220" s="76" t="b">
        <v>0</v>
      </c>
      <c r="BE220" s="76" t="b">
        <v>1</v>
      </c>
      <c r="BF220" s="76" t="b">
        <v>0</v>
      </c>
      <c r="BG220" s="76" t="b">
        <v>0</v>
      </c>
      <c r="BH220" s="83" t="str">
        <f>HYPERLINK("https://pbs.twimg.com/profile_banners/997231127776677889/1652961399")</f>
        <v>https://pbs.twimg.com/profile_banners/997231127776677889/1652961399</v>
      </c>
      <c r="BI220" s="76"/>
      <c r="BJ220" s="76" t="s">
        <v>19734</v>
      </c>
      <c r="BK220" s="76" t="b">
        <v>0</v>
      </c>
      <c r="BL220" s="76"/>
      <c r="BM220" s="76" t="s">
        <v>66</v>
      </c>
      <c r="BN220" s="76" t="s">
        <v>19736</v>
      </c>
      <c r="BO220" s="83" t="str">
        <f>HYPERLINK("https://twitter.com/trademapapp")</f>
        <v>https://twitter.com/trademapapp</v>
      </c>
      <c r="BP220" s="2"/>
    </row>
    <row r="221" spans="1:68" x14ac:dyDescent="0.25">
      <c r="A221" s="62" t="s">
        <v>405</v>
      </c>
      <c r="B221" s="63"/>
      <c r="C221" s="63"/>
      <c r="D221" s="64"/>
      <c r="E221" s="66"/>
      <c r="F221" s="103" t="str">
        <f>HYPERLINK("https://pbs.twimg.com/profile_images/1542827131201376257/4lpaAbBe_normal.jpg")</f>
        <v>https://pbs.twimg.com/profile_images/1542827131201376257/4lpaAbBe_normal.jpg</v>
      </c>
      <c r="G221" s="63"/>
      <c r="H221" s="67"/>
      <c r="I221" s="68"/>
      <c r="J221" s="68"/>
      <c r="K221" s="67" t="s">
        <v>19954</v>
      </c>
      <c r="L221" s="71"/>
      <c r="M221" s="72"/>
      <c r="N221" s="72"/>
      <c r="O221" s="73"/>
      <c r="P221" s="74"/>
      <c r="Q221" s="74"/>
      <c r="R221" s="87"/>
      <c r="S221" s="87"/>
      <c r="T221" s="87"/>
      <c r="U221" s="87"/>
      <c r="V221" s="48"/>
      <c r="W221" s="48"/>
      <c r="X221" s="48"/>
      <c r="Y221" s="48"/>
      <c r="Z221" s="47"/>
      <c r="AA221" s="69">
        <v>221</v>
      </c>
      <c r="AB221" s="69"/>
      <c r="AC221" s="70"/>
      <c r="AD221" s="76" t="s">
        <v>17967</v>
      </c>
      <c r="AE221" s="81" t="s">
        <v>17345</v>
      </c>
      <c r="AF221" s="76">
        <v>6602</v>
      </c>
      <c r="AG221" s="76">
        <v>659</v>
      </c>
      <c r="AH221" s="76">
        <v>2395</v>
      </c>
      <c r="AI221" s="76">
        <v>11</v>
      </c>
      <c r="AJ221" s="76">
        <v>1542</v>
      </c>
      <c r="AK221" s="76">
        <v>278</v>
      </c>
      <c r="AL221" s="76" t="b">
        <v>0</v>
      </c>
      <c r="AM221" s="78">
        <v>43950.430462962962</v>
      </c>
      <c r="AN221" s="76" t="s">
        <v>18630</v>
      </c>
      <c r="AO221" s="76" t="s">
        <v>18961</v>
      </c>
      <c r="AP221" s="83" t="str">
        <f>HYPERLINK("https://t.co/nlAlCssXok")</f>
        <v>https://t.co/nlAlCssXok</v>
      </c>
      <c r="AQ221" s="83" t="str">
        <f>HYPERLINK("https://porcinews.com/pt-br/paises/brasil/")</f>
        <v>https://porcinews.com/pt-br/paises/brasil/</v>
      </c>
      <c r="AR221" s="76" t="s">
        <v>19425</v>
      </c>
      <c r="AS221" s="76"/>
      <c r="AT221" s="76"/>
      <c r="AU221" s="76"/>
      <c r="AV221" s="76">
        <v>1.5447021996993101E+18</v>
      </c>
      <c r="AW221" s="83" t="str">
        <f>HYPERLINK("https://t.co/nlAlCssXok")</f>
        <v>https://t.co/nlAlCssXok</v>
      </c>
      <c r="AX221" s="76" t="b">
        <v>1</v>
      </c>
      <c r="AY221" s="76"/>
      <c r="AZ221" s="76"/>
      <c r="BA221" s="76" t="b">
        <v>0</v>
      </c>
      <c r="BB221" s="76" t="b">
        <v>1</v>
      </c>
      <c r="BC221" s="76" t="b">
        <v>1</v>
      </c>
      <c r="BD221" s="76" t="b">
        <v>0</v>
      </c>
      <c r="BE221" s="76" t="b">
        <v>0</v>
      </c>
      <c r="BF221" s="76" t="b">
        <v>0</v>
      </c>
      <c r="BG221" s="76" t="b">
        <v>0</v>
      </c>
      <c r="BH221" s="83" t="str">
        <f>HYPERLINK("https://pbs.twimg.com/profile_banners/1255441395579523074/1656673628")</f>
        <v>https://pbs.twimg.com/profile_banners/1255441395579523074/1656673628</v>
      </c>
      <c r="BI221" s="76"/>
      <c r="BJ221" s="76" t="s">
        <v>19734</v>
      </c>
      <c r="BK221" s="76" t="b">
        <v>0</v>
      </c>
      <c r="BL221" s="76"/>
      <c r="BM221" s="76" t="s">
        <v>66</v>
      </c>
      <c r="BN221" s="76" t="s">
        <v>19736</v>
      </c>
      <c r="BO221" s="83" t="str">
        <f>HYPERLINK("https://twitter.com/brasilsuino")</f>
        <v>https://twitter.com/brasilsuino</v>
      </c>
      <c r="BP221" s="2"/>
    </row>
    <row r="222" spans="1:68" x14ac:dyDescent="0.25">
      <c r="A222" s="62" t="s">
        <v>406</v>
      </c>
      <c r="B222" s="63"/>
      <c r="C222" s="63"/>
      <c r="D222" s="64"/>
      <c r="E222" s="66"/>
      <c r="F222" s="103" t="str">
        <f>HYPERLINK("https://pbs.twimg.com/profile_images/1657350236853895168/4QncruIY_normal.jpg")</f>
        <v>https://pbs.twimg.com/profile_images/1657350236853895168/4QncruIY_normal.jpg</v>
      </c>
      <c r="G222" s="63"/>
      <c r="H222" s="67"/>
      <c r="I222" s="68"/>
      <c r="J222" s="68"/>
      <c r="K222" s="67" t="s">
        <v>19955</v>
      </c>
      <c r="L222" s="71"/>
      <c r="M222" s="72"/>
      <c r="N222" s="72"/>
      <c r="O222" s="73"/>
      <c r="P222" s="74"/>
      <c r="Q222" s="74"/>
      <c r="R222" s="87"/>
      <c r="S222" s="87"/>
      <c r="T222" s="87"/>
      <c r="U222" s="87"/>
      <c r="V222" s="48"/>
      <c r="W222" s="48"/>
      <c r="X222" s="48"/>
      <c r="Y222" s="48"/>
      <c r="Z222" s="47"/>
      <c r="AA222" s="69">
        <v>222</v>
      </c>
      <c r="AB222" s="69"/>
      <c r="AC222" s="70"/>
      <c r="AD222" s="76" t="s">
        <v>17968</v>
      </c>
      <c r="AE222" s="81" t="s">
        <v>17536</v>
      </c>
      <c r="AF222" s="76">
        <v>18</v>
      </c>
      <c r="AG222" s="76">
        <v>185</v>
      </c>
      <c r="AH222" s="76">
        <v>162</v>
      </c>
      <c r="AI222" s="76">
        <v>0</v>
      </c>
      <c r="AJ222" s="76">
        <v>172</v>
      </c>
      <c r="AK222" s="76">
        <v>137</v>
      </c>
      <c r="AL222" s="76" t="b">
        <v>0</v>
      </c>
      <c r="AM222" s="78">
        <v>43363.268472222226</v>
      </c>
      <c r="AN222" s="76" t="s">
        <v>18631</v>
      </c>
      <c r="AO222" s="76" t="s">
        <v>18962</v>
      </c>
      <c r="AP222" s="83" t="str">
        <f>HYPERLINK("https://t.co/fNl89ZSEBG")</f>
        <v>https://t.co/fNl89ZSEBG</v>
      </c>
      <c r="AQ222" s="83" t="str">
        <f>HYPERLINK("https://calendly.com/simaocassange")</f>
        <v>https://calendly.com/simaocassange</v>
      </c>
      <c r="AR222" s="76" t="s">
        <v>19426</v>
      </c>
      <c r="AS222" s="83" t="str">
        <f>HYPERLINK("https://t.co/fNl89ZSEBG")</f>
        <v>https://t.co/fNl89ZSEBG</v>
      </c>
      <c r="AT222" s="83" t="str">
        <f>HYPERLINK("https://calendly.com/simaocassange")</f>
        <v>https://calendly.com/simaocassange</v>
      </c>
      <c r="AU222" s="76" t="s">
        <v>19426</v>
      </c>
      <c r="AV222" s="76"/>
      <c r="AW222" s="83" t="str">
        <f>HYPERLINK("https://t.co/fNl89ZSEBG")</f>
        <v>https://t.co/fNl89ZSEBG</v>
      </c>
      <c r="AX222" s="76" t="b">
        <v>0</v>
      </c>
      <c r="AY222" s="76"/>
      <c r="AZ222" s="76"/>
      <c r="BA222" s="76" t="b">
        <v>0</v>
      </c>
      <c r="BB222" s="76" t="b">
        <v>1</v>
      </c>
      <c r="BC222" s="76" t="b">
        <v>1</v>
      </c>
      <c r="BD222" s="76" t="b">
        <v>0</v>
      </c>
      <c r="BE222" s="76" t="b">
        <v>0</v>
      </c>
      <c r="BF222" s="76" t="b">
        <v>0</v>
      </c>
      <c r="BG222" s="76" t="b">
        <v>0</v>
      </c>
      <c r="BH222" s="83" t="str">
        <f>HYPERLINK("https://pbs.twimg.com/profile_banners/1042661282841862144/1683978232")</f>
        <v>https://pbs.twimg.com/profile_banners/1042661282841862144/1683978232</v>
      </c>
      <c r="BI222" s="76"/>
      <c r="BJ222" s="76" t="s">
        <v>19734</v>
      </c>
      <c r="BK222" s="76" t="b">
        <v>0</v>
      </c>
      <c r="BL222" s="76"/>
      <c r="BM222" s="76" t="s">
        <v>66</v>
      </c>
      <c r="BN222" s="76" t="s">
        <v>19736</v>
      </c>
      <c r="BO222" s="83" t="str">
        <f>HYPERLINK("https://twitter.com/simaocassange")</f>
        <v>https://twitter.com/simaocassange</v>
      </c>
      <c r="BP222" s="2"/>
    </row>
    <row r="223" spans="1:68" x14ac:dyDescent="0.25">
      <c r="A223" s="62" t="s">
        <v>407</v>
      </c>
      <c r="B223" s="63"/>
      <c r="C223" s="63"/>
      <c r="D223" s="64"/>
      <c r="E223" s="66"/>
      <c r="F223" s="103" t="str">
        <f>HYPERLINK("https://pbs.twimg.com/profile_images/1452757245675118593/__7461BF_normal.jpg")</f>
        <v>https://pbs.twimg.com/profile_images/1452757245675118593/__7461BF_normal.jpg</v>
      </c>
      <c r="G223" s="63"/>
      <c r="H223" s="67"/>
      <c r="I223" s="68"/>
      <c r="J223" s="68"/>
      <c r="K223" s="67" t="s">
        <v>19956</v>
      </c>
      <c r="L223" s="71"/>
      <c r="M223" s="72"/>
      <c r="N223" s="72"/>
      <c r="O223" s="73"/>
      <c r="P223" s="74"/>
      <c r="Q223" s="74"/>
      <c r="R223" s="87"/>
      <c r="S223" s="87"/>
      <c r="T223" s="87"/>
      <c r="U223" s="87"/>
      <c r="V223" s="48"/>
      <c r="W223" s="48"/>
      <c r="X223" s="48"/>
      <c r="Y223" s="48"/>
      <c r="Z223" s="47"/>
      <c r="AA223" s="69">
        <v>223</v>
      </c>
      <c r="AB223" s="69"/>
      <c r="AC223" s="70"/>
      <c r="AD223" s="76" t="s">
        <v>17969</v>
      </c>
      <c r="AE223" s="81" t="s">
        <v>17537</v>
      </c>
      <c r="AF223" s="76">
        <v>1888</v>
      </c>
      <c r="AG223" s="76">
        <v>24</v>
      </c>
      <c r="AH223" s="76">
        <v>5430</v>
      </c>
      <c r="AI223" s="76">
        <v>5</v>
      </c>
      <c r="AJ223" s="76">
        <v>9</v>
      </c>
      <c r="AK223" s="76">
        <v>347</v>
      </c>
      <c r="AL223" s="76" t="b">
        <v>0</v>
      </c>
      <c r="AM223" s="78">
        <v>44165.822048611109</v>
      </c>
      <c r="AN223" s="76"/>
      <c r="AO223" s="76" t="s">
        <v>18963</v>
      </c>
      <c r="AP223" s="83" t="str">
        <f>HYPERLINK("https://t.co/gykkqqNfWg")</f>
        <v>https://t.co/gykkqqNfWg</v>
      </c>
      <c r="AQ223" s="83" t="str">
        <f>HYPERLINK("http://linktr.ee/estoaresearch")</f>
        <v>http://linktr.ee/estoaresearch</v>
      </c>
      <c r="AR223" s="76" t="s">
        <v>19427</v>
      </c>
      <c r="AS223" s="76"/>
      <c r="AT223" s="76"/>
      <c r="AU223" s="76"/>
      <c r="AV223" s="76"/>
      <c r="AW223" s="83" t="str">
        <f>HYPERLINK("https://t.co/gykkqqNfWg")</f>
        <v>https://t.co/gykkqqNfWg</v>
      </c>
      <c r="AX223" s="76" t="b">
        <v>0</v>
      </c>
      <c r="AY223" s="76"/>
      <c r="AZ223" s="76"/>
      <c r="BA223" s="76" t="b">
        <v>0</v>
      </c>
      <c r="BB223" s="76" t="b">
        <v>1</v>
      </c>
      <c r="BC223" s="76" t="b">
        <v>1</v>
      </c>
      <c r="BD223" s="76" t="b">
        <v>0</v>
      </c>
      <c r="BE223" s="76" t="b">
        <v>1</v>
      </c>
      <c r="BF223" s="76" t="b">
        <v>0</v>
      </c>
      <c r="BG223" s="76" t="b">
        <v>0</v>
      </c>
      <c r="BH223" s="83" t="str">
        <f>HYPERLINK("https://pbs.twimg.com/profile_banners/1333496862435893250/1635199294")</f>
        <v>https://pbs.twimg.com/profile_banners/1333496862435893250/1635199294</v>
      </c>
      <c r="BI223" s="76"/>
      <c r="BJ223" s="76" t="s">
        <v>19734</v>
      </c>
      <c r="BK223" s="76" t="b">
        <v>0</v>
      </c>
      <c r="BL223" s="76"/>
      <c r="BM223" s="76" t="s">
        <v>66</v>
      </c>
      <c r="BN223" s="76" t="s">
        <v>19736</v>
      </c>
      <c r="BO223" s="83" t="str">
        <f>HYPERLINK("https://twitter.com/estoaresearch")</f>
        <v>https://twitter.com/estoaresearch</v>
      </c>
      <c r="BP223" s="2"/>
    </row>
    <row r="224" spans="1:68" x14ac:dyDescent="0.25">
      <c r="A224" s="62" t="s">
        <v>408</v>
      </c>
      <c r="B224" s="63"/>
      <c r="C224" s="63"/>
      <c r="D224" s="64"/>
      <c r="E224" s="66"/>
      <c r="F224" s="103" t="str">
        <f>HYPERLINK("https://pbs.twimg.com/profile_images/1473648803890794502/L1cSndFU_normal.png")</f>
        <v>https://pbs.twimg.com/profile_images/1473648803890794502/L1cSndFU_normal.png</v>
      </c>
      <c r="G224" s="63"/>
      <c r="H224" s="67"/>
      <c r="I224" s="68"/>
      <c r="J224" s="68"/>
      <c r="K224" s="67" t="s">
        <v>19957</v>
      </c>
      <c r="L224" s="71"/>
      <c r="M224" s="72"/>
      <c r="N224" s="72"/>
      <c r="O224" s="73"/>
      <c r="P224" s="74"/>
      <c r="Q224" s="74"/>
      <c r="R224" s="87"/>
      <c r="S224" s="87"/>
      <c r="T224" s="87"/>
      <c r="U224" s="87"/>
      <c r="V224" s="48"/>
      <c r="W224" s="48"/>
      <c r="X224" s="48"/>
      <c r="Y224" s="48"/>
      <c r="Z224" s="47"/>
      <c r="AA224" s="69">
        <v>224</v>
      </c>
      <c r="AB224" s="69"/>
      <c r="AC224" s="70"/>
      <c r="AD224" s="76" t="s">
        <v>17970</v>
      </c>
      <c r="AE224" s="81" t="s">
        <v>17538</v>
      </c>
      <c r="AF224" s="76">
        <v>16</v>
      </c>
      <c r="AG224" s="76">
        <v>119</v>
      </c>
      <c r="AH224" s="76">
        <v>330</v>
      </c>
      <c r="AI224" s="76">
        <v>2</v>
      </c>
      <c r="AJ224" s="76">
        <v>990</v>
      </c>
      <c r="AK224" s="76">
        <v>48</v>
      </c>
      <c r="AL224" s="76" t="b">
        <v>0</v>
      </c>
      <c r="AM224" s="78">
        <v>44552.567453703705</v>
      </c>
      <c r="AN224" s="76"/>
      <c r="AO224" s="76" t="s">
        <v>18964</v>
      </c>
      <c r="AP224" s="76"/>
      <c r="AQ224" s="76"/>
      <c r="AR224" s="76"/>
      <c r="AS224" s="76"/>
      <c r="AT224" s="76"/>
      <c r="AU224" s="76"/>
      <c r="AV224" s="76"/>
      <c r="AW224" s="76"/>
      <c r="AX224" s="76" t="b">
        <v>0</v>
      </c>
      <c r="AY224" s="76"/>
      <c r="AZ224" s="76"/>
      <c r="BA224" s="76" t="b">
        <v>0</v>
      </c>
      <c r="BB224" s="76" t="b">
        <v>1</v>
      </c>
      <c r="BC224" s="76" t="b">
        <v>1</v>
      </c>
      <c r="BD224" s="76" t="b">
        <v>0</v>
      </c>
      <c r="BE224" s="76" t="b">
        <v>0</v>
      </c>
      <c r="BF224" s="76" t="b">
        <v>0</v>
      </c>
      <c r="BG224" s="76" t="b">
        <v>0</v>
      </c>
      <c r="BH224" s="76"/>
      <c r="BI224" s="76"/>
      <c r="BJ224" s="76" t="s">
        <v>19734</v>
      </c>
      <c r="BK224" s="76" t="b">
        <v>0</v>
      </c>
      <c r="BL224" s="76"/>
      <c r="BM224" s="76" t="s">
        <v>66</v>
      </c>
      <c r="BN224" s="76" t="s">
        <v>19736</v>
      </c>
      <c r="BO224" s="83" t="str">
        <f>HYPERLINK("https://twitter.com/daniel_bm92")</f>
        <v>https://twitter.com/daniel_bm92</v>
      </c>
      <c r="BP224" s="2"/>
    </row>
    <row r="225" spans="1:68" x14ac:dyDescent="0.25">
      <c r="A225" s="62" t="s">
        <v>409</v>
      </c>
      <c r="B225" s="63"/>
      <c r="C225" s="63"/>
      <c r="D225" s="64"/>
      <c r="E225" s="66"/>
      <c r="F225" s="103" t="str">
        <f>HYPERLINK("https://pbs.twimg.com/profile_images/593987420/twitter_normal.jpg")</f>
        <v>https://pbs.twimg.com/profile_images/593987420/twitter_normal.jpg</v>
      </c>
      <c r="G225" s="63"/>
      <c r="H225" s="67"/>
      <c r="I225" s="68"/>
      <c r="J225" s="68"/>
      <c r="K225" s="67" t="s">
        <v>19958</v>
      </c>
      <c r="L225" s="71"/>
      <c r="M225" s="72"/>
      <c r="N225" s="72"/>
      <c r="O225" s="73"/>
      <c r="P225" s="74"/>
      <c r="Q225" s="74"/>
      <c r="R225" s="87"/>
      <c r="S225" s="87"/>
      <c r="T225" s="87"/>
      <c r="U225" s="87"/>
      <c r="V225" s="48"/>
      <c r="W225" s="48"/>
      <c r="X225" s="48"/>
      <c r="Y225" s="48"/>
      <c r="Z225" s="47"/>
      <c r="AA225" s="69">
        <v>225</v>
      </c>
      <c r="AB225" s="69"/>
      <c r="AC225" s="70"/>
      <c r="AD225" s="76" t="s">
        <v>17971</v>
      </c>
      <c r="AE225" s="81" t="s">
        <v>18401</v>
      </c>
      <c r="AF225" s="76">
        <v>31</v>
      </c>
      <c r="AG225" s="76">
        <v>266</v>
      </c>
      <c r="AH225" s="76">
        <v>4121</v>
      </c>
      <c r="AI225" s="76">
        <v>1</v>
      </c>
      <c r="AJ225" s="76">
        <v>12853</v>
      </c>
      <c r="AK225" s="76">
        <v>391</v>
      </c>
      <c r="AL225" s="76" t="b">
        <v>0</v>
      </c>
      <c r="AM225" s="78">
        <v>40173.93173611111</v>
      </c>
      <c r="AN225" s="76" t="s">
        <v>12020</v>
      </c>
      <c r="AO225" s="76" t="s">
        <v>18965</v>
      </c>
      <c r="AP225" s="83" t="str">
        <f>HYPERLINK("https://t.co/iyD7HosxpI")</f>
        <v>https://t.co/iyD7HosxpI</v>
      </c>
      <c r="AQ225" s="83" t="str">
        <f>HYPERLINK("https://youtube.com/@renda")</f>
        <v>https://youtube.com/@renda</v>
      </c>
      <c r="AR225" s="76" t="s">
        <v>19428</v>
      </c>
      <c r="AS225" s="76"/>
      <c r="AT225" s="76"/>
      <c r="AU225" s="76"/>
      <c r="AV225" s="76"/>
      <c r="AW225" s="83" t="str">
        <f>HYPERLINK("https://t.co/iyD7HosxpI")</f>
        <v>https://t.co/iyD7HosxpI</v>
      </c>
      <c r="AX225" s="76" t="b">
        <v>0</v>
      </c>
      <c r="AY225" s="76"/>
      <c r="AZ225" s="76"/>
      <c r="BA225" s="76" t="b">
        <v>0</v>
      </c>
      <c r="BB225" s="76" t="b">
        <v>0</v>
      </c>
      <c r="BC225" s="76" t="b">
        <v>0</v>
      </c>
      <c r="BD225" s="76" t="b">
        <v>0</v>
      </c>
      <c r="BE225" s="76" t="b">
        <v>0</v>
      </c>
      <c r="BF225" s="76" t="b">
        <v>0</v>
      </c>
      <c r="BG225" s="76" t="b">
        <v>0</v>
      </c>
      <c r="BH225" s="76"/>
      <c r="BI225" s="76"/>
      <c r="BJ225" s="76" t="s">
        <v>19734</v>
      </c>
      <c r="BK225" s="76" t="b">
        <v>0</v>
      </c>
      <c r="BL225" s="76"/>
      <c r="BM225" s="76" t="s">
        <v>66</v>
      </c>
      <c r="BN225" s="76" t="s">
        <v>19736</v>
      </c>
      <c r="BO225" s="83" t="str">
        <f>HYPERLINK("https://twitter.com/stelute")</f>
        <v>https://twitter.com/stelute</v>
      </c>
      <c r="BP225" s="2"/>
    </row>
    <row r="226" spans="1:68" x14ac:dyDescent="0.25">
      <c r="A226" s="62" t="s">
        <v>410</v>
      </c>
      <c r="B226" s="63"/>
      <c r="C226" s="63"/>
      <c r="D226" s="64"/>
      <c r="E226" s="66"/>
      <c r="F226" s="103" t="str">
        <f>HYPERLINK("https://pbs.twimg.com/profile_images/1652922827811569664/1TVkKQSU_normal.jpg")</f>
        <v>https://pbs.twimg.com/profile_images/1652922827811569664/1TVkKQSU_normal.jpg</v>
      </c>
      <c r="G226" s="63"/>
      <c r="H226" s="67"/>
      <c r="I226" s="68"/>
      <c r="J226" s="68"/>
      <c r="K226" s="67" t="s">
        <v>19959</v>
      </c>
      <c r="L226" s="71"/>
      <c r="M226" s="72"/>
      <c r="N226" s="72"/>
      <c r="O226" s="73"/>
      <c r="P226" s="74"/>
      <c r="Q226" s="74"/>
      <c r="R226" s="87"/>
      <c r="S226" s="87"/>
      <c r="T226" s="87"/>
      <c r="U226" s="87"/>
      <c r="V226" s="48"/>
      <c r="W226" s="48"/>
      <c r="X226" s="48"/>
      <c r="Y226" s="48"/>
      <c r="Z226" s="47"/>
      <c r="AA226" s="69">
        <v>226</v>
      </c>
      <c r="AB226" s="69"/>
      <c r="AC226" s="70"/>
      <c r="AD226" s="76" t="s">
        <v>17972</v>
      </c>
      <c r="AE226" s="81" t="s">
        <v>17539</v>
      </c>
      <c r="AF226" s="76">
        <v>20998</v>
      </c>
      <c r="AG226" s="76">
        <v>213</v>
      </c>
      <c r="AH226" s="76">
        <v>206</v>
      </c>
      <c r="AI226" s="76">
        <v>3</v>
      </c>
      <c r="AJ226" s="76">
        <v>730</v>
      </c>
      <c r="AK226" s="76">
        <v>36</v>
      </c>
      <c r="AL226" s="76" t="b">
        <v>0</v>
      </c>
      <c r="AM226" s="78">
        <v>44521.390590277777</v>
      </c>
      <c r="AN226" s="76" t="s">
        <v>18632</v>
      </c>
      <c r="AO226" s="76" t="s">
        <v>18966</v>
      </c>
      <c r="AP226" s="76"/>
      <c r="AQ226" s="76"/>
      <c r="AR226" s="76"/>
      <c r="AS226" s="76"/>
      <c r="AT226" s="76"/>
      <c r="AU226" s="76"/>
      <c r="AV226" s="76">
        <v>1.6599463519483599E+18</v>
      </c>
      <c r="AW226" s="76"/>
      <c r="AX226" s="76" t="b">
        <v>1</v>
      </c>
      <c r="AY226" s="76"/>
      <c r="AZ226" s="76"/>
      <c r="BA226" s="76" t="b">
        <v>1</v>
      </c>
      <c r="BB226" s="76" t="b">
        <v>1</v>
      </c>
      <c r="BC226" s="76" t="b">
        <v>1</v>
      </c>
      <c r="BD226" s="76" t="b">
        <v>0</v>
      </c>
      <c r="BE226" s="76" t="b">
        <v>0</v>
      </c>
      <c r="BF226" s="76" t="b">
        <v>0</v>
      </c>
      <c r="BG226" s="76" t="b">
        <v>0</v>
      </c>
      <c r="BH226" s="83" t="str">
        <f>HYPERLINK("https://pbs.twimg.com/profile_banners/1462350606627135493/1682969956")</f>
        <v>https://pbs.twimg.com/profile_banners/1462350606627135493/1682969956</v>
      </c>
      <c r="BI226" s="76"/>
      <c r="BJ226" s="76" t="s">
        <v>19734</v>
      </c>
      <c r="BK226" s="76" t="b">
        <v>0</v>
      </c>
      <c r="BL226" s="76"/>
      <c r="BM226" s="76" t="s">
        <v>66</v>
      </c>
      <c r="BN226" s="76" t="s">
        <v>19736</v>
      </c>
      <c r="BO226" s="83" t="str">
        <f>HYPERLINK("https://twitter.com/cripto_leblon")</f>
        <v>https://twitter.com/cripto_leblon</v>
      </c>
      <c r="BP226" s="2"/>
    </row>
    <row r="227" spans="1:68" x14ac:dyDescent="0.25">
      <c r="A227" s="62" t="s">
        <v>411</v>
      </c>
      <c r="B227" s="63"/>
      <c r="C227" s="63"/>
      <c r="D227" s="64"/>
      <c r="E227" s="66"/>
      <c r="F227" s="103" t="str">
        <f>HYPERLINK("https://pbs.twimg.com/profile_images/1161063225716346880/OPCgaPtJ_normal.jpg")</f>
        <v>https://pbs.twimg.com/profile_images/1161063225716346880/OPCgaPtJ_normal.jpg</v>
      </c>
      <c r="G227" s="63"/>
      <c r="H227" s="67"/>
      <c r="I227" s="68"/>
      <c r="J227" s="68"/>
      <c r="K227" s="67" t="s">
        <v>19960</v>
      </c>
      <c r="L227" s="71"/>
      <c r="M227" s="72"/>
      <c r="N227" s="72"/>
      <c r="O227" s="73"/>
      <c r="P227" s="74"/>
      <c r="Q227" s="74"/>
      <c r="R227" s="87"/>
      <c r="S227" s="87"/>
      <c r="T227" s="87"/>
      <c r="U227" s="87"/>
      <c r="V227" s="48"/>
      <c r="W227" s="48"/>
      <c r="X227" s="48"/>
      <c r="Y227" s="48"/>
      <c r="Z227" s="47"/>
      <c r="AA227" s="69">
        <v>227</v>
      </c>
      <c r="AB227" s="69"/>
      <c r="AC227" s="70"/>
      <c r="AD227" s="76" t="s">
        <v>17973</v>
      </c>
      <c r="AE227" s="81" t="s">
        <v>18402</v>
      </c>
      <c r="AF227" s="76">
        <v>140</v>
      </c>
      <c r="AG227" s="76">
        <v>123</v>
      </c>
      <c r="AH227" s="76">
        <v>2601</v>
      </c>
      <c r="AI227" s="76">
        <v>4</v>
      </c>
      <c r="AJ227" s="76">
        <v>663</v>
      </c>
      <c r="AK227" s="76">
        <v>572</v>
      </c>
      <c r="AL227" s="76" t="b">
        <v>0</v>
      </c>
      <c r="AM227" s="78">
        <v>40692.848946759259</v>
      </c>
      <c r="AN227" s="76" t="s">
        <v>12014</v>
      </c>
      <c r="AO227" s="76" t="s">
        <v>18967</v>
      </c>
      <c r="AP227" s="83" t="str">
        <f>HYPERLINK("https://t.co/2cAjri5OKn")</f>
        <v>https://t.co/2cAjri5OKn</v>
      </c>
      <c r="AQ227" s="83" t="str">
        <f>HYPERLINK("http://www.twitch.com/Leomorban")</f>
        <v>http://www.twitch.com/Leomorban</v>
      </c>
      <c r="AR227" s="76" t="s">
        <v>19429</v>
      </c>
      <c r="AS227" s="83" t="str">
        <f>HYPERLINK("https://t.co/Z6L3PsRXk6")</f>
        <v>https://t.co/Z6L3PsRXk6</v>
      </c>
      <c r="AT227" s="83" t="str">
        <f>HYPERLINK("http://steamcommunity.com/id/Leomorban/")</f>
        <v>http://steamcommunity.com/id/Leomorban/</v>
      </c>
      <c r="AU227" s="76" t="s">
        <v>19703</v>
      </c>
      <c r="AV227" s="76"/>
      <c r="AW227" s="83" t="str">
        <f>HYPERLINK("https://t.co/2cAjri5OKn")</f>
        <v>https://t.co/2cAjri5OKn</v>
      </c>
      <c r="AX227" s="76" t="b">
        <v>0</v>
      </c>
      <c r="AY227" s="76"/>
      <c r="AZ227" s="76"/>
      <c r="BA227" s="76" t="b">
        <v>0</v>
      </c>
      <c r="BB227" s="76" t="b">
        <v>1</v>
      </c>
      <c r="BC227" s="76" t="b">
        <v>0</v>
      </c>
      <c r="BD227" s="76" t="b">
        <v>0</v>
      </c>
      <c r="BE227" s="76" t="b">
        <v>0</v>
      </c>
      <c r="BF227" s="76" t="b">
        <v>0</v>
      </c>
      <c r="BG227" s="76" t="b">
        <v>0</v>
      </c>
      <c r="BH227" s="83" t="str">
        <f>HYPERLINK("https://pbs.twimg.com/profile_banners/307533855/1576428641")</f>
        <v>https://pbs.twimg.com/profile_banners/307533855/1576428641</v>
      </c>
      <c r="BI227" s="76"/>
      <c r="BJ227" s="76" t="s">
        <v>19734</v>
      </c>
      <c r="BK227" s="76" t="b">
        <v>0</v>
      </c>
      <c r="BL227" s="76"/>
      <c r="BM227" s="76" t="s">
        <v>66</v>
      </c>
      <c r="BN227" s="76" t="s">
        <v>19736</v>
      </c>
      <c r="BO227" s="83" t="str">
        <f>HYPERLINK("https://twitter.com/leomorban")</f>
        <v>https://twitter.com/leomorban</v>
      </c>
      <c r="BP227" s="2"/>
    </row>
    <row r="228" spans="1:68" x14ac:dyDescent="0.25">
      <c r="A228" s="62" t="s">
        <v>412</v>
      </c>
      <c r="B228" s="63"/>
      <c r="C228" s="63"/>
      <c r="D228" s="64"/>
      <c r="E228" s="66"/>
      <c r="F228" s="103" t="str">
        <f>HYPERLINK("https://pbs.twimg.com/profile_images/1441000283249709057/y9TABbcK_normal.png")</f>
        <v>https://pbs.twimg.com/profile_images/1441000283249709057/y9TABbcK_normal.png</v>
      </c>
      <c r="G228" s="63"/>
      <c r="H228" s="67"/>
      <c r="I228" s="68"/>
      <c r="J228" s="68"/>
      <c r="K228" s="67" t="s">
        <v>19961</v>
      </c>
      <c r="L228" s="71"/>
      <c r="M228" s="72"/>
      <c r="N228" s="72"/>
      <c r="O228" s="73"/>
      <c r="P228" s="74"/>
      <c r="Q228" s="74"/>
      <c r="R228" s="87"/>
      <c r="S228" s="87"/>
      <c r="T228" s="87"/>
      <c r="U228" s="87"/>
      <c r="V228" s="48"/>
      <c r="W228" s="48"/>
      <c r="X228" s="48"/>
      <c r="Y228" s="48"/>
      <c r="Z228" s="47"/>
      <c r="AA228" s="69">
        <v>228</v>
      </c>
      <c r="AB228" s="69"/>
      <c r="AC228" s="70"/>
      <c r="AD228" s="76" t="s">
        <v>17974</v>
      </c>
      <c r="AE228" s="81" t="s">
        <v>17540</v>
      </c>
      <c r="AF228" s="76">
        <v>4</v>
      </c>
      <c r="AG228" s="76">
        <v>0</v>
      </c>
      <c r="AH228" s="76">
        <v>195</v>
      </c>
      <c r="AI228" s="76">
        <v>0</v>
      </c>
      <c r="AJ228" s="76">
        <v>2</v>
      </c>
      <c r="AK228" s="76">
        <v>189</v>
      </c>
      <c r="AL228" s="76" t="b">
        <v>0</v>
      </c>
      <c r="AM228" s="78">
        <v>44462.474699074075</v>
      </c>
      <c r="AN228" s="76"/>
      <c r="AO228" s="76"/>
      <c r="AP228" s="76"/>
      <c r="AQ228" s="76"/>
      <c r="AR228" s="76"/>
      <c r="AS228" s="76"/>
      <c r="AT228" s="76"/>
      <c r="AU228" s="76"/>
      <c r="AV228" s="76"/>
      <c r="AW228" s="76"/>
      <c r="AX228" s="76" t="b">
        <v>0</v>
      </c>
      <c r="AY228" s="76"/>
      <c r="AZ228" s="76"/>
      <c r="BA228" s="76" t="b">
        <v>0</v>
      </c>
      <c r="BB228" s="76" t="b">
        <v>1</v>
      </c>
      <c r="BC228" s="76" t="b">
        <v>1</v>
      </c>
      <c r="BD228" s="76" t="b">
        <v>0</v>
      </c>
      <c r="BE228" s="76" t="b">
        <v>0</v>
      </c>
      <c r="BF228" s="76" t="b">
        <v>0</v>
      </c>
      <c r="BG228" s="76" t="b">
        <v>0</v>
      </c>
      <c r="BH228" s="76"/>
      <c r="BI228" s="76"/>
      <c r="BJ228" s="76" t="s">
        <v>19734</v>
      </c>
      <c r="BK228" s="76" t="b">
        <v>0</v>
      </c>
      <c r="BL228" s="76"/>
      <c r="BM228" s="76" t="s">
        <v>66</v>
      </c>
      <c r="BN228" s="76" t="s">
        <v>19736</v>
      </c>
      <c r="BO228" s="83" t="str">
        <f>HYPERLINK("https://twitter.com/filosofiadetrad")</f>
        <v>https://twitter.com/filosofiadetrad</v>
      </c>
      <c r="BP228" s="2"/>
    </row>
    <row r="229" spans="1:68" x14ac:dyDescent="0.25">
      <c r="A229" s="62" t="s">
        <v>413</v>
      </c>
      <c r="B229" s="63"/>
      <c r="C229" s="63"/>
      <c r="D229" s="64"/>
      <c r="E229" s="66"/>
      <c r="F229" s="103" t="str">
        <f>HYPERLINK("https://pbs.twimg.com/profile_images/1615556497794109440/40Psbejc_normal.png")</f>
        <v>https://pbs.twimg.com/profile_images/1615556497794109440/40Psbejc_normal.png</v>
      </c>
      <c r="G229" s="63"/>
      <c r="H229" s="67"/>
      <c r="I229" s="68"/>
      <c r="J229" s="68"/>
      <c r="K229" s="67" t="s">
        <v>19962</v>
      </c>
      <c r="L229" s="71"/>
      <c r="M229" s="72"/>
      <c r="N229" s="72"/>
      <c r="O229" s="73"/>
      <c r="P229" s="74"/>
      <c r="Q229" s="74"/>
      <c r="R229" s="87"/>
      <c r="S229" s="87"/>
      <c r="T229" s="87"/>
      <c r="U229" s="87"/>
      <c r="V229" s="48"/>
      <c r="W229" s="48"/>
      <c r="X229" s="48"/>
      <c r="Y229" s="48"/>
      <c r="Z229" s="47"/>
      <c r="AA229" s="69">
        <v>229</v>
      </c>
      <c r="AB229" s="69"/>
      <c r="AC229" s="70"/>
      <c r="AD229" s="76" t="s">
        <v>17975</v>
      </c>
      <c r="AE229" s="81" t="s">
        <v>17541</v>
      </c>
      <c r="AF229" s="76">
        <v>321</v>
      </c>
      <c r="AG229" s="76">
        <v>894</v>
      </c>
      <c r="AH229" s="76">
        <v>18804</v>
      </c>
      <c r="AI229" s="76">
        <v>4</v>
      </c>
      <c r="AJ229" s="76">
        <v>3786</v>
      </c>
      <c r="AK229" s="76">
        <v>14602</v>
      </c>
      <c r="AL229" s="76" t="b">
        <v>0</v>
      </c>
      <c r="AM229" s="78">
        <v>42906.597731481481</v>
      </c>
      <c r="AN229" s="76"/>
      <c r="AO229" s="76" t="s">
        <v>18968</v>
      </c>
      <c r="AP229" s="83" t="str">
        <f>HYPERLINK("https://t.co/FHQIxCQCMt")</f>
        <v>https://t.co/FHQIxCQCMt</v>
      </c>
      <c r="AQ229" s="83" t="str">
        <f>HYPERLINK("https://www.meugamer.com")</f>
        <v>https://www.meugamer.com</v>
      </c>
      <c r="AR229" s="76" t="s">
        <v>7098</v>
      </c>
      <c r="AS229" s="76"/>
      <c r="AT229" s="76"/>
      <c r="AU229" s="76"/>
      <c r="AV229" s="76"/>
      <c r="AW229" s="83" t="str">
        <f>HYPERLINK("https://t.co/FHQIxCQCMt")</f>
        <v>https://t.co/FHQIxCQCMt</v>
      </c>
      <c r="AX229" s="76" t="b">
        <v>0</v>
      </c>
      <c r="AY229" s="76"/>
      <c r="AZ229" s="76"/>
      <c r="BA229" s="76" t="b">
        <v>1</v>
      </c>
      <c r="BB229" s="76" t="b">
        <v>1</v>
      </c>
      <c r="BC229" s="76" t="b">
        <v>0</v>
      </c>
      <c r="BD229" s="76" t="b">
        <v>0</v>
      </c>
      <c r="BE229" s="76" t="b">
        <v>1</v>
      </c>
      <c r="BF229" s="76" t="b">
        <v>0</v>
      </c>
      <c r="BG229" s="76" t="b">
        <v>0</v>
      </c>
      <c r="BH229" s="83" t="str">
        <f>HYPERLINK("https://pbs.twimg.com/profile_banners/877169347587919874/1516835014")</f>
        <v>https://pbs.twimg.com/profile_banners/877169347587919874/1516835014</v>
      </c>
      <c r="BI229" s="76"/>
      <c r="BJ229" s="76" t="s">
        <v>19734</v>
      </c>
      <c r="BK229" s="76" t="b">
        <v>0</v>
      </c>
      <c r="BL229" s="76"/>
      <c r="BM229" s="76" t="s">
        <v>66</v>
      </c>
      <c r="BN229" s="76" t="s">
        <v>19736</v>
      </c>
      <c r="BO229" s="83" t="str">
        <f>HYPERLINK("https://twitter.com/meugamerbr")</f>
        <v>https://twitter.com/meugamerbr</v>
      </c>
      <c r="BP229" s="2"/>
    </row>
    <row r="230" spans="1:68" x14ac:dyDescent="0.25">
      <c r="A230" s="62" t="s">
        <v>414</v>
      </c>
      <c r="B230" s="63"/>
      <c r="C230" s="63"/>
      <c r="D230" s="64"/>
      <c r="E230" s="66"/>
      <c r="F230" s="103" t="str">
        <f>HYPERLINK("https://pbs.twimg.com/profile_images/1494327718229381123/6IR7UFhe_normal.jpg")</f>
        <v>https://pbs.twimg.com/profile_images/1494327718229381123/6IR7UFhe_normal.jpg</v>
      </c>
      <c r="G230" s="63"/>
      <c r="H230" s="67"/>
      <c r="I230" s="68"/>
      <c r="J230" s="68"/>
      <c r="K230" s="67" t="s">
        <v>19963</v>
      </c>
      <c r="L230" s="71"/>
      <c r="M230" s="72"/>
      <c r="N230" s="72"/>
      <c r="O230" s="73"/>
      <c r="P230" s="74"/>
      <c r="Q230" s="74"/>
      <c r="R230" s="87"/>
      <c r="S230" s="87"/>
      <c r="T230" s="87"/>
      <c r="U230" s="87"/>
      <c r="V230" s="48"/>
      <c r="W230" s="48"/>
      <c r="X230" s="48"/>
      <c r="Y230" s="48"/>
      <c r="Z230" s="47"/>
      <c r="AA230" s="69">
        <v>230</v>
      </c>
      <c r="AB230" s="69"/>
      <c r="AC230" s="70"/>
      <c r="AD230" s="76" t="s">
        <v>17976</v>
      </c>
      <c r="AE230" s="81" t="s">
        <v>17542</v>
      </c>
      <c r="AF230" s="76">
        <v>6751</v>
      </c>
      <c r="AG230" s="76">
        <v>332</v>
      </c>
      <c r="AH230" s="76">
        <v>2202</v>
      </c>
      <c r="AI230" s="76">
        <v>4</v>
      </c>
      <c r="AJ230" s="76">
        <v>118</v>
      </c>
      <c r="AK230" s="76">
        <v>1720</v>
      </c>
      <c r="AL230" s="76" t="b">
        <v>0</v>
      </c>
      <c r="AM230" s="78">
        <v>43234.579618055555</v>
      </c>
      <c r="AN230" s="76" t="s">
        <v>12014</v>
      </c>
      <c r="AO230" s="76" t="s">
        <v>18969</v>
      </c>
      <c r="AP230" s="83" t="str">
        <f>HYPERLINK("https://t.co/Lm7dR5pwXc")</f>
        <v>https://t.co/Lm7dR5pwXc</v>
      </c>
      <c r="AQ230" s="83" t="str">
        <f>HYPERLINK("https://www.grandesconstrucoes.com.br")</f>
        <v>https://www.grandesconstrucoes.com.br</v>
      </c>
      <c r="AR230" s="76" t="s">
        <v>19430</v>
      </c>
      <c r="AS230" s="76"/>
      <c r="AT230" s="76"/>
      <c r="AU230" s="76"/>
      <c r="AV230" s="76"/>
      <c r="AW230" s="83" t="str">
        <f>HYPERLINK("https://t.co/Lm7dR5pwXc")</f>
        <v>https://t.co/Lm7dR5pwXc</v>
      </c>
      <c r="AX230" s="76" t="b">
        <v>0</v>
      </c>
      <c r="AY230" s="76"/>
      <c r="AZ230" s="76"/>
      <c r="BA230" s="76" t="b">
        <v>0</v>
      </c>
      <c r="BB230" s="76" t="b">
        <v>1</v>
      </c>
      <c r="BC230" s="76" t="b">
        <v>1</v>
      </c>
      <c r="BD230" s="76" t="b">
        <v>0</v>
      </c>
      <c r="BE230" s="76" t="b">
        <v>0</v>
      </c>
      <c r="BF230" s="76" t="b">
        <v>0</v>
      </c>
      <c r="BG230" s="76" t="b">
        <v>0</v>
      </c>
      <c r="BH230" s="83" t="str">
        <f>HYPERLINK("https://pbs.twimg.com/profile_banners/996026004530434048/1645111898")</f>
        <v>https://pbs.twimg.com/profile_banners/996026004530434048/1645111898</v>
      </c>
      <c r="BI230" s="76"/>
      <c r="BJ230" s="76" t="s">
        <v>19734</v>
      </c>
      <c r="BK230" s="76" t="b">
        <v>0</v>
      </c>
      <c r="BL230" s="76"/>
      <c r="BM230" s="76" t="s">
        <v>66</v>
      </c>
      <c r="BN230" s="76" t="s">
        <v>19736</v>
      </c>
      <c r="BO230" s="83" t="str">
        <f>HYPERLINK("https://twitter.com/revistagc1")</f>
        <v>https://twitter.com/revistagc1</v>
      </c>
      <c r="BP230" s="2"/>
    </row>
    <row r="231" spans="1:68" x14ac:dyDescent="0.25">
      <c r="A231" s="62" t="s">
        <v>415</v>
      </c>
      <c r="B231" s="63"/>
      <c r="C231" s="63"/>
      <c r="D231" s="64"/>
      <c r="E231" s="66"/>
      <c r="F231" s="103" t="str">
        <f>HYPERLINK("https://pbs.twimg.com/profile_images/1684928278849613825/tE9twdwC_normal.jpg")</f>
        <v>https://pbs.twimg.com/profile_images/1684928278849613825/tE9twdwC_normal.jpg</v>
      </c>
      <c r="G231" s="63"/>
      <c r="H231" s="67"/>
      <c r="I231" s="68"/>
      <c r="J231" s="68"/>
      <c r="K231" s="67" t="s">
        <v>19964</v>
      </c>
      <c r="L231" s="71"/>
      <c r="M231" s="72"/>
      <c r="N231" s="72"/>
      <c r="O231" s="73"/>
      <c r="P231" s="74"/>
      <c r="Q231" s="74"/>
      <c r="R231" s="87"/>
      <c r="S231" s="87"/>
      <c r="T231" s="87"/>
      <c r="U231" s="87"/>
      <c r="V231" s="48"/>
      <c r="W231" s="48"/>
      <c r="X231" s="48"/>
      <c r="Y231" s="48"/>
      <c r="Z231" s="47"/>
      <c r="AA231" s="69">
        <v>231</v>
      </c>
      <c r="AB231" s="69"/>
      <c r="AC231" s="70"/>
      <c r="AD231" s="76" t="s">
        <v>17977</v>
      </c>
      <c r="AE231" s="81" t="s">
        <v>17543</v>
      </c>
      <c r="AF231" s="76">
        <v>0</v>
      </c>
      <c r="AG231" s="76">
        <v>6</v>
      </c>
      <c r="AH231" s="76">
        <v>30</v>
      </c>
      <c r="AI231" s="76">
        <v>0</v>
      </c>
      <c r="AJ231" s="76">
        <v>13</v>
      </c>
      <c r="AK231" s="76">
        <v>18</v>
      </c>
      <c r="AL231" s="76" t="b">
        <v>0</v>
      </c>
      <c r="AM231" s="78">
        <v>43889.093993055554</v>
      </c>
      <c r="AN231" s="76"/>
      <c r="AO231" s="76" t="s">
        <v>18970</v>
      </c>
      <c r="AP231" s="83" t="str">
        <f>HYPERLINK("https://t.co/vybSKyTIqi")</f>
        <v>https://t.co/vybSKyTIqi</v>
      </c>
      <c r="AQ231" s="83" t="str">
        <f>HYPERLINK("http://www.prospectinvestimentos.com")</f>
        <v>http://www.prospectinvestimentos.com</v>
      </c>
      <c r="AR231" s="76" t="s">
        <v>19431</v>
      </c>
      <c r="AS231" s="76"/>
      <c r="AT231" s="76"/>
      <c r="AU231" s="76"/>
      <c r="AV231" s="76"/>
      <c r="AW231" s="83" t="str">
        <f>HYPERLINK("https://t.co/vybSKyTIqi")</f>
        <v>https://t.co/vybSKyTIqi</v>
      </c>
      <c r="AX231" s="76" t="b">
        <v>0</v>
      </c>
      <c r="AY231" s="76"/>
      <c r="AZ231" s="76"/>
      <c r="BA231" s="76" t="b">
        <v>0</v>
      </c>
      <c r="BB231" s="76" t="b">
        <v>1</v>
      </c>
      <c r="BC231" s="76" t="b">
        <v>1</v>
      </c>
      <c r="BD231" s="76" t="b">
        <v>0</v>
      </c>
      <c r="BE231" s="76" t="b">
        <v>0</v>
      </c>
      <c r="BF231" s="76" t="b">
        <v>0</v>
      </c>
      <c r="BG231" s="76" t="b">
        <v>0</v>
      </c>
      <c r="BH231" s="83" t="str">
        <f>HYPERLINK("https://pbs.twimg.com/profile_banners/1233213986595917824/1679946449")</f>
        <v>https://pbs.twimg.com/profile_banners/1233213986595917824/1679946449</v>
      </c>
      <c r="BI231" s="76"/>
      <c r="BJ231" s="76" t="s">
        <v>19734</v>
      </c>
      <c r="BK231" s="76" t="b">
        <v>0</v>
      </c>
      <c r="BL231" s="76"/>
      <c r="BM231" s="76" t="s">
        <v>66</v>
      </c>
      <c r="BN231" s="76" t="s">
        <v>19736</v>
      </c>
      <c r="BO231" s="83" t="str">
        <f>HYPERLINK("https://twitter.com/jhonata13179362")</f>
        <v>https://twitter.com/jhonata13179362</v>
      </c>
      <c r="BP231" s="2"/>
    </row>
    <row r="232" spans="1:68" x14ac:dyDescent="0.25">
      <c r="A232" s="62" t="s">
        <v>758</v>
      </c>
      <c r="B232" s="63"/>
      <c r="C232" s="63"/>
      <c r="D232" s="64"/>
      <c r="E232" s="66"/>
      <c r="F232" s="103" t="str">
        <f>HYPERLINK("https://pbs.twimg.com/profile_images/1420510146233618432/A4pLrbft_normal.jpg")</f>
        <v>https://pbs.twimg.com/profile_images/1420510146233618432/A4pLrbft_normal.jpg</v>
      </c>
      <c r="G232" s="63"/>
      <c r="H232" s="67"/>
      <c r="I232" s="68"/>
      <c r="J232" s="68"/>
      <c r="K232" s="67" t="s">
        <v>19965</v>
      </c>
      <c r="L232" s="71"/>
      <c r="M232" s="72"/>
      <c r="N232" s="72"/>
      <c r="O232" s="73"/>
      <c r="P232" s="74"/>
      <c r="Q232" s="74"/>
      <c r="R232" s="87"/>
      <c r="S232" s="87"/>
      <c r="T232" s="87"/>
      <c r="U232" s="87"/>
      <c r="V232" s="48"/>
      <c r="W232" s="48"/>
      <c r="X232" s="48"/>
      <c r="Y232" s="48"/>
      <c r="Z232" s="47"/>
      <c r="AA232" s="69">
        <v>232</v>
      </c>
      <c r="AB232" s="69"/>
      <c r="AC232" s="70"/>
      <c r="AD232" s="76" t="s">
        <v>17978</v>
      </c>
      <c r="AE232" s="81" t="s">
        <v>18403</v>
      </c>
      <c r="AF232" s="76">
        <v>9</v>
      </c>
      <c r="AG232" s="76">
        <v>7</v>
      </c>
      <c r="AH232" s="76">
        <v>14</v>
      </c>
      <c r="AI232" s="76">
        <v>0</v>
      </c>
      <c r="AJ232" s="76">
        <v>1</v>
      </c>
      <c r="AK232" s="76">
        <v>2</v>
      </c>
      <c r="AL232" s="76" t="b">
        <v>0</v>
      </c>
      <c r="AM232" s="78">
        <v>42778.702303240738</v>
      </c>
      <c r="AN232" s="76" t="s">
        <v>18633</v>
      </c>
      <c r="AO232" s="76" t="s">
        <v>18971</v>
      </c>
      <c r="AP232" s="83" t="str">
        <f>HYPERLINK("https://t.co/w8UhapfIIp")</f>
        <v>https://t.co/w8UhapfIIp</v>
      </c>
      <c r="AQ232" s="83" t="str">
        <f>HYPERLINK("https://proeducacional.com/")</f>
        <v>https://proeducacional.com/</v>
      </c>
      <c r="AR232" s="76" t="s">
        <v>19432</v>
      </c>
      <c r="AS232" s="76"/>
      <c r="AT232" s="76"/>
      <c r="AU232" s="76"/>
      <c r="AV232" s="76"/>
      <c r="AW232" s="83" t="str">
        <f>HYPERLINK("https://t.co/w8UhapfIIp")</f>
        <v>https://t.co/w8UhapfIIp</v>
      </c>
      <c r="AX232" s="76" t="b">
        <v>0</v>
      </c>
      <c r="AY232" s="76"/>
      <c r="AZ232" s="76"/>
      <c r="BA232" s="76" t="b">
        <v>1</v>
      </c>
      <c r="BB232" s="76" t="b">
        <v>1</v>
      </c>
      <c r="BC232" s="76" t="b">
        <v>0</v>
      </c>
      <c r="BD232" s="76" t="b">
        <v>0</v>
      </c>
      <c r="BE232" s="76" t="b">
        <v>0</v>
      </c>
      <c r="BF232" s="76" t="b">
        <v>0</v>
      </c>
      <c r="BG232" s="76" t="b">
        <v>0</v>
      </c>
      <c r="BH232" s="83" t="str">
        <f>HYPERLINK("https://pbs.twimg.com/profile_banners/830821595082063872/1627510988")</f>
        <v>https://pbs.twimg.com/profile_banners/830821595082063872/1627510988</v>
      </c>
      <c r="BI232" s="76"/>
      <c r="BJ232" s="76" t="s">
        <v>19734</v>
      </c>
      <c r="BK232" s="76" t="b">
        <v>0</v>
      </c>
      <c r="BL232" s="76"/>
      <c r="BM232" s="76" t="s">
        <v>65</v>
      </c>
      <c r="BN232" s="76" t="s">
        <v>19736</v>
      </c>
      <c r="BO232" s="83" t="str">
        <f>HYPERLINK("https://twitter.com/proeducacional")</f>
        <v>https://twitter.com/proeducacional</v>
      </c>
      <c r="BP232" s="2"/>
    </row>
    <row r="233" spans="1:68" x14ac:dyDescent="0.25">
      <c r="A233" s="62" t="s">
        <v>416</v>
      </c>
      <c r="B233" s="63"/>
      <c r="C233" s="63"/>
      <c r="D233" s="64"/>
      <c r="E233" s="66"/>
      <c r="F233" s="103" t="str">
        <f>HYPERLINK("https://pbs.twimg.com/profile_images/1176490241278054400/s4X9C_ZZ_normal.jpg")</f>
        <v>https://pbs.twimg.com/profile_images/1176490241278054400/s4X9C_ZZ_normal.jpg</v>
      </c>
      <c r="G233" s="63"/>
      <c r="H233" s="67"/>
      <c r="I233" s="68"/>
      <c r="J233" s="68"/>
      <c r="K233" s="67" t="s">
        <v>19966</v>
      </c>
      <c r="L233" s="71"/>
      <c r="M233" s="72"/>
      <c r="N233" s="72"/>
      <c r="O233" s="73"/>
      <c r="P233" s="74"/>
      <c r="Q233" s="74"/>
      <c r="R233" s="87"/>
      <c r="S233" s="87"/>
      <c r="T233" s="87"/>
      <c r="U233" s="87"/>
      <c r="V233" s="48"/>
      <c r="W233" s="48"/>
      <c r="X233" s="48"/>
      <c r="Y233" s="48"/>
      <c r="Z233" s="47"/>
      <c r="AA233" s="69">
        <v>233</v>
      </c>
      <c r="AB233" s="69"/>
      <c r="AC233" s="70"/>
      <c r="AD233" s="76" t="s">
        <v>17979</v>
      </c>
      <c r="AE233" s="81" t="s">
        <v>18404</v>
      </c>
      <c r="AF233" s="76">
        <v>1586</v>
      </c>
      <c r="AG233" s="76">
        <v>273</v>
      </c>
      <c r="AH233" s="76">
        <v>3574</v>
      </c>
      <c r="AI233" s="76">
        <v>32</v>
      </c>
      <c r="AJ233" s="76">
        <v>756</v>
      </c>
      <c r="AK233" s="76">
        <v>871</v>
      </c>
      <c r="AL233" s="76" t="b">
        <v>0</v>
      </c>
      <c r="AM233" s="78">
        <v>40291.60869212963</v>
      </c>
      <c r="AN233" s="76" t="s">
        <v>12014</v>
      </c>
      <c r="AO233" s="76" t="s">
        <v>18972</v>
      </c>
      <c r="AP233" s="83" t="str">
        <f>HYPERLINK("https://t.co/zv3e6j8JBo")</f>
        <v>https://t.co/zv3e6j8JBo</v>
      </c>
      <c r="AQ233" s="83" t="str">
        <f>HYPERLINK("http://www.enfoque.com.br")</f>
        <v>http://www.enfoque.com.br</v>
      </c>
      <c r="AR233" s="76" t="s">
        <v>19433</v>
      </c>
      <c r="AS233" s="83" t="str">
        <f>HYPERLINK("https://t.co/VH96ufg0le")</f>
        <v>https://t.co/VH96ufg0le</v>
      </c>
      <c r="AT233" s="83" t="str">
        <f>HYPERLINK("http://facebook.com/enfoqueif")</f>
        <v>http://facebook.com/enfoqueif</v>
      </c>
      <c r="AU233" s="76" t="s">
        <v>19704</v>
      </c>
      <c r="AV233" s="76">
        <v>1.18374056527343E+18</v>
      </c>
      <c r="AW233" s="83" t="str">
        <f>HYPERLINK("https://t.co/zv3e6j8JBo")</f>
        <v>https://t.co/zv3e6j8JBo</v>
      </c>
      <c r="AX233" s="76" t="b">
        <v>0</v>
      </c>
      <c r="AY233" s="76"/>
      <c r="AZ233" s="76"/>
      <c r="BA233" s="76" t="b">
        <v>0</v>
      </c>
      <c r="BB233" s="76" t="b">
        <v>1</v>
      </c>
      <c r="BC233" s="76" t="b">
        <v>1</v>
      </c>
      <c r="BD233" s="76" t="b">
        <v>0</v>
      </c>
      <c r="BE233" s="76" t="b">
        <v>1</v>
      </c>
      <c r="BF233" s="76" t="b">
        <v>0</v>
      </c>
      <c r="BG233" s="76" t="b">
        <v>0</v>
      </c>
      <c r="BH233" s="83" t="str">
        <f>HYPERLINK("https://pbs.twimg.com/profile_banners/136293095/1492000504")</f>
        <v>https://pbs.twimg.com/profile_banners/136293095/1492000504</v>
      </c>
      <c r="BI233" s="76"/>
      <c r="BJ233" s="76" t="s">
        <v>19734</v>
      </c>
      <c r="BK233" s="76" t="b">
        <v>0</v>
      </c>
      <c r="BL233" s="76"/>
      <c r="BM233" s="76" t="s">
        <v>66</v>
      </c>
      <c r="BN233" s="76" t="s">
        <v>19736</v>
      </c>
      <c r="BO233" s="83" t="str">
        <f>HYPERLINK("https://twitter.com/enfoqueif")</f>
        <v>https://twitter.com/enfoqueif</v>
      </c>
      <c r="BP233" s="2"/>
    </row>
    <row r="234" spans="1:68" x14ac:dyDescent="0.25">
      <c r="A234" s="62" t="s">
        <v>417</v>
      </c>
      <c r="B234" s="63"/>
      <c r="C234" s="63"/>
      <c r="D234" s="64"/>
      <c r="E234" s="66"/>
      <c r="F234" s="103" t="str">
        <f>HYPERLINK("https://pbs.twimg.com/profile_images/1686448995923542023/698dY3C5_normal.jpg")</f>
        <v>https://pbs.twimg.com/profile_images/1686448995923542023/698dY3C5_normal.jpg</v>
      </c>
      <c r="G234" s="63"/>
      <c r="H234" s="67"/>
      <c r="I234" s="68"/>
      <c r="J234" s="68"/>
      <c r="K234" s="67" t="s">
        <v>19967</v>
      </c>
      <c r="L234" s="71"/>
      <c r="M234" s="72"/>
      <c r="N234" s="72"/>
      <c r="O234" s="73"/>
      <c r="P234" s="74"/>
      <c r="Q234" s="74"/>
      <c r="R234" s="87"/>
      <c r="S234" s="87"/>
      <c r="T234" s="87"/>
      <c r="U234" s="87"/>
      <c r="V234" s="48"/>
      <c r="W234" s="48"/>
      <c r="X234" s="48"/>
      <c r="Y234" s="48"/>
      <c r="Z234" s="47"/>
      <c r="AA234" s="69">
        <v>234</v>
      </c>
      <c r="AB234" s="69"/>
      <c r="AC234" s="70"/>
      <c r="AD234" s="76" t="s">
        <v>17980</v>
      </c>
      <c r="AE234" s="81" t="s">
        <v>18405</v>
      </c>
      <c r="AF234" s="76">
        <v>730</v>
      </c>
      <c r="AG234" s="76">
        <v>2255</v>
      </c>
      <c r="AH234" s="76">
        <v>8360</v>
      </c>
      <c r="AI234" s="76">
        <v>27</v>
      </c>
      <c r="AJ234" s="76">
        <v>518</v>
      </c>
      <c r="AK234" s="76">
        <v>415</v>
      </c>
      <c r="AL234" s="76" t="b">
        <v>0</v>
      </c>
      <c r="AM234" s="78">
        <v>39786.375185185185</v>
      </c>
      <c r="AN234" s="76" t="s">
        <v>12014</v>
      </c>
      <c r="AO234" s="76" t="s">
        <v>18973</v>
      </c>
      <c r="AP234" s="83" t="str">
        <f>HYPERLINK("https://t.co/cdRJFJ3WrY")</f>
        <v>https://t.co/cdRJFJ3WrY</v>
      </c>
      <c r="AQ234" s="83" t="str">
        <f>HYPERLINK("http://www.agencianoimd.com.br")</f>
        <v>http://www.agencianoimd.com.br</v>
      </c>
      <c r="AR234" s="76" t="s">
        <v>19434</v>
      </c>
      <c r="AS234" s="76"/>
      <c r="AT234" s="76"/>
      <c r="AU234" s="76"/>
      <c r="AV234" s="76"/>
      <c r="AW234" s="83" t="str">
        <f>HYPERLINK("https://t.co/cdRJFJ3WrY")</f>
        <v>https://t.co/cdRJFJ3WrY</v>
      </c>
      <c r="AX234" s="76" t="b">
        <v>0</v>
      </c>
      <c r="AY234" s="76"/>
      <c r="AZ234" s="76"/>
      <c r="BA234" s="76" t="b">
        <v>0</v>
      </c>
      <c r="BB234" s="76" t="b">
        <v>1</v>
      </c>
      <c r="BC234" s="76" t="b">
        <v>0</v>
      </c>
      <c r="BD234" s="76" t="b">
        <v>0</v>
      </c>
      <c r="BE234" s="76" t="b">
        <v>0</v>
      </c>
      <c r="BF234" s="76" t="b">
        <v>0</v>
      </c>
      <c r="BG234" s="76" t="b">
        <v>0</v>
      </c>
      <c r="BH234" s="83" t="str">
        <f>HYPERLINK("https://pbs.twimg.com/profile_banners/17863805/1690851798")</f>
        <v>https://pbs.twimg.com/profile_banners/17863805/1690851798</v>
      </c>
      <c r="BI234" s="76"/>
      <c r="BJ234" s="76" t="s">
        <v>19734</v>
      </c>
      <c r="BK234" s="76" t="b">
        <v>0</v>
      </c>
      <c r="BL234" s="76"/>
      <c r="BM234" s="76" t="s">
        <v>66</v>
      </c>
      <c r="BN234" s="76" t="s">
        <v>19736</v>
      </c>
      <c r="BO234" s="83" t="str">
        <f>HYPERLINK("https://twitter.com/rferreirasbc")</f>
        <v>https://twitter.com/rferreirasbc</v>
      </c>
      <c r="BP234" s="2"/>
    </row>
    <row r="235" spans="1:68" x14ac:dyDescent="0.25">
      <c r="A235" s="62" t="s">
        <v>418</v>
      </c>
      <c r="B235" s="63"/>
      <c r="C235" s="63"/>
      <c r="D235" s="64"/>
      <c r="E235" s="66"/>
      <c r="F235" s="103" t="str">
        <f>HYPERLINK("https://pbs.twimg.com/profile_images/1488083579355779074/bLc3qQlo_normal.png")</f>
        <v>https://pbs.twimg.com/profile_images/1488083579355779074/bLc3qQlo_normal.png</v>
      </c>
      <c r="G235" s="63"/>
      <c r="H235" s="67"/>
      <c r="I235" s="68"/>
      <c r="J235" s="68"/>
      <c r="K235" s="67" t="s">
        <v>19968</v>
      </c>
      <c r="L235" s="71"/>
      <c r="M235" s="72"/>
      <c r="N235" s="72"/>
      <c r="O235" s="73"/>
      <c r="P235" s="74"/>
      <c r="Q235" s="74"/>
      <c r="R235" s="87"/>
      <c r="S235" s="87"/>
      <c r="T235" s="87"/>
      <c r="U235" s="87"/>
      <c r="V235" s="48"/>
      <c r="W235" s="48"/>
      <c r="X235" s="48"/>
      <c r="Y235" s="48"/>
      <c r="Z235" s="47"/>
      <c r="AA235" s="69">
        <v>235</v>
      </c>
      <c r="AB235" s="69"/>
      <c r="AC235" s="70"/>
      <c r="AD235" s="76" t="s">
        <v>17981</v>
      </c>
      <c r="AE235" s="81" t="s">
        <v>17544</v>
      </c>
      <c r="AF235" s="76">
        <v>57</v>
      </c>
      <c r="AG235" s="76">
        <v>1</v>
      </c>
      <c r="AH235" s="76">
        <v>825</v>
      </c>
      <c r="AI235" s="76">
        <v>0</v>
      </c>
      <c r="AJ235" s="76">
        <v>15</v>
      </c>
      <c r="AK235" s="76">
        <v>101</v>
      </c>
      <c r="AL235" s="76" t="b">
        <v>0</v>
      </c>
      <c r="AM235" s="78">
        <v>44592.397916666669</v>
      </c>
      <c r="AN235" s="76"/>
      <c r="AO235" s="76" t="s">
        <v>18974</v>
      </c>
      <c r="AP235" s="83" t="str">
        <f>HYPERLINK("https://t.co/GVotCObdiG")</f>
        <v>https://t.co/GVotCObdiG</v>
      </c>
      <c r="AQ235" s="83" t="str">
        <f>HYPERLINK("https://bit.ly/36fBBCu")</f>
        <v>https://bit.ly/36fBBCu</v>
      </c>
      <c r="AR235" s="76" t="s">
        <v>19435</v>
      </c>
      <c r="AS235" s="76"/>
      <c r="AT235" s="76"/>
      <c r="AU235" s="76"/>
      <c r="AV235" s="76"/>
      <c r="AW235" s="83" t="str">
        <f>HYPERLINK("https://t.co/GVotCObdiG")</f>
        <v>https://t.co/GVotCObdiG</v>
      </c>
      <c r="AX235" s="76" t="b">
        <v>0</v>
      </c>
      <c r="AY235" s="76"/>
      <c r="AZ235" s="76"/>
      <c r="BA235" s="76" t="b">
        <v>0</v>
      </c>
      <c r="BB235" s="76" t="b">
        <v>1</v>
      </c>
      <c r="BC235" s="76" t="b">
        <v>1</v>
      </c>
      <c r="BD235" s="76" t="b">
        <v>0</v>
      </c>
      <c r="BE235" s="76" t="b">
        <v>0</v>
      </c>
      <c r="BF235" s="76" t="b">
        <v>0</v>
      </c>
      <c r="BG235" s="76" t="b">
        <v>0</v>
      </c>
      <c r="BH235" s="83" t="str">
        <f>HYPERLINK("https://pbs.twimg.com/profile_banners/1488082842189975553/1644490090")</f>
        <v>https://pbs.twimg.com/profile_banners/1488082842189975553/1644490090</v>
      </c>
      <c r="BI235" s="76"/>
      <c r="BJ235" s="76" t="s">
        <v>19734</v>
      </c>
      <c r="BK235" s="76" t="b">
        <v>0</v>
      </c>
      <c r="BL235" s="76"/>
      <c r="BM235" s="76" t="s">
        <v>66</v>
      </c>
      <c r="BN235" s="76" t="s">
        <v>19736</v>
      </c>
      <c r="BO235" s="83" t="str">
        <f>HYPERLINK("https://twitter.com/iqoption_pt")</f>
        <v>https://twitter.com/iqoption_pt</v>
      </c>
      <c r="BP235" s="2"/>
    </row>
    <row r="236" spans="1:68" x14ac:dyDescent="0.25">
      <c r="A236" s="62" t="s">
        <v>759</v>
      </c>
      <c r="B236" s="63"/>
      <c r="C236" s="63"/>
      <c r="D236" s="64"/>
      <c r="E236" s="66"/>
      <c r="F236" s="103" t="str">
        <f>HYPERLINK("https://pbs.twimg.com/profile_images/1631723279676317709/-fjgaR2p_normal.jpg")</f>
        <v>https://pbs.twimg.com/profile_images/1631723279676317709/-fjgaR2p_normal.jpg</v>
      </c>
      <c r="G236" s="63"/>
      <c r="H236" s="67"/>
      <c r="I236" s="68"/>
      <c r="J236" s="68"/>
      <c r="K236" s="67" t="s">
        <v>19969</v>
      </c>
      <c r="L236" s="71"/>
      <c r="M236" s="72"/>
      <c r="N236" s="72"/>
      <c r="O236" s="73"/>
      <c r="P236" s="74"/>
      <c r="Q236" s="74"/>
      <c r="R236" s="87"/>
      <c r="S236" s="87"/>
      <c r="T236" s="87"/>
      <c r="U236" s="87"/>
      <c r="V236" s="48"/>
      <c r="W236" s="48"/>
      <c r="X236" s="48"/>
      <c r="Y236" s="48"/>
      <c r="Z236" s="47"/>
      <c r="AA236" s="69">
        <v>236</v>
      </c>
      <c r="AB236" s="69"/>
      <c r="AC236" s="70"/>
      <c r="AD236" s="76" t="s">
        <v>17982</v>
      </c>
      <c r="AE236" s="81" t="s">
        <v>18406</v>
      </c>
      <c r="AF236" s="76">
        <v>9344937</v>
      </c>
      <c r="AG236" s="76">
        <v>57</v>
      </c>
      <c r="AH236" s="76">
        <v>990216</v>
      </c>
      <c r="AI236" s="76">
        <v>70975</v>
      </c>
      <c r="AJ236" s="76">
        <v>4167</v>
      </c>
      <c r="AK236" s="76">
        <v>306341</v>
      </c>
      <c r="AL236" s="76" t="b">
        <v>0</v>
      </c>
      <c r="AM236" s="78">
        <v>39926.837002314816</v>
      </c>
      <c r="AN236" s="76" t="s">
        <v>18634</v>
      </c>
      <c r="AO236" s="76" t="s">
        <v>18975</v>
      </c>
      <c r="AP236" s="83" t="str">
        <f>HYPERLINK("https://t.co/bFEYDg8UQy")</f>
        <v>https://t.co/bFEYDg8UQy</v>
      </c>
      <c r="AQ236" s="83" t="str">
        <f>HYPERLINK("http://bloomberg.com")</f>
        <v>http://bloomberg.com</v>
      </c>
      <c r="AR236" s="76" t="s">
        <v>7133</v>
      </c>
      <c r="AS236" s="76" t="s">
        <v>19655</v>
      </c>
      <c r="AT236" s="76" t="s">
        <v>19670</v>
      </c>
      <c r="AU236" s="76" t="s">
        <v>19705</v>
      </c>
      <c r="AV236" s="76"/>
      <c r="AW236" s="83" t="str">
        <f>HYPERLINK("https://t.co/bFEYDg8UQy")</f>
        <v>https://t.co/bFEYDg8UQy</v>
      </c>
      <c r="AX236" s="76" t="b">
        <v>1</v>
      </c>
      <c r="AY236" s="76"/>
      <c r="AZ236" s="76"/>
      <c r="BA236" s="76" t="b">
        <v>1</v>
      </c>
      <c r="BB236" s="76" t="b">
        <v>1</v>
      </c>
      <c r="BC236" s="76" t="b">
        <v>0</v>
      </c>
      <c r="BD236" s="76" t="b">
        <v>0</v>
      </c>
      <c r="BE236" s="76" t="b">
        <v>1</v>
      </c>
      <c r="BF236" s="76" t="b">
        <v>0</v>
      </c>
      <c r="BG236" s="76" t="b">
        <v>0</v>
      </c>
      <c r="BH236" s="83" t="str">
        <f>HYPERLINK("https://pbs.twimg.com/profile_banners/34713362/1693185763")</f>
        <v>https://pbs.twimg.com/profile_banners/34713362/1693185763</v>
      </c>
      <c r="BI236" s="76"/>
      <c r="BJ236" s="76" t="s">
        <v>19734</v>
      </c>
      <c r="BK236" s="76" t="b">
        <v>0</v>
      </c>
      <c r="BL236" s="76"/>
      <c r="BM236" s="76" t="s">
        <v>65</v>
      </c>
      <c r="BN236" s="76" t="s">
        <v>19736</v>
      </c>
      <c r="BO236" s="83" t="str">
        <f>HYPERLINK("https://twitter.com/business")</f>
        <v>https://twitter.com/business</v>
      </c>
      <c r="BP236" s="2"/>
    </row>
    <row r="237" spans="1:68" x14ac:dyDescent="0.25">
      <c r="A237" s="62" t="s">
        <v>760</v>
      </c>
      <c r="B237" s="63"/>
      <c r="C237" s="63"/>
      <c r="D237" s="64"/>
      <c r="E237" s="66"/>
      <c r="F237" s="103" t="str">
        <f>HYPERLINK("https://pbs.twimg.com/profile_images/534299535552421888/eHacq8EQ_normal.png")</f>
        <v>https://pbs.twimg.com/profile_images/534299535552421888/eHacq8EQ_normal.png</v>
      </c>
      <c r="G237" s="63"/>
      <c r="H237" s="67"/>
      <c r="I237" s="68"/>
      <c r="J237" s="68"/>
      <c r="K237" s="67" t="s">
        <v>19970</v>
      </c>
      <c r="L237" s="71"/>
      <c r="M237" s="72"/>
      <c r="N237" s="72"/>
      <c r="O237" s="73"/>
      <c r="P237" s="74"/>
      <c r="Q237" s="74"/>
      <c r="R237" s="87"/>
      <c r="S237" s="87"/>
      <c r="T237" s="87"/>
      <c r="U237" s="87"/>
      <c r="V237" s="48"/>
      <c r="W237" s="48"/>
      <c r="X237" s="48"/>
      <c r="Y237" s="48"/>
      <c r="Z237" s="47"/>
      <c r="AA237" s="69">
        <v>237</v>
      </c>
      <c r="AB237" s="69"/>
      <c r="AC237" s="70"/>
      <c r="AD237" s="76" t="s">
        <v>17983</v>
      </c>
      <c r="AE237" s="81" t="s">
        <v>18407</v>
      </c>
      <c r="AF237" s="76">
        <v>235585</v>
      </c>
      <c r="AG237" s="76">
        <v>148</v>
      </c>
      <c r="AH237" s="76">
        <v>999772</v>
      </c>
      <c r="AI237" s="76">
        <v>5285</v>
      </c>
      <c r="AJ237" s="76">
        <v>3114</v>
      </c>
      <c r="AK237" s="76">
        <v>468</v>
      </c>
      <c r="AL237" s="76" t="b">
        <v>0</v>
      </c>
      <c r="AM237" s="78">
        <v>39878.536759259259</v>
      </c>
      <c r="AN237" s="76" t="s">
        <v>18635</v>
      </c>
      <c r="AO237" s="76" t="s">
        <v>18976</v>
      </c>
      <c r="AP237" s="83" t="str">
        <f>HYPERLINK("https://t.co/DCOjRXqPph")</f>
        <v>https://t.co/DCOjRXqPph</v>
      </c>
      <c r="AQ237" s="83" t="str">
        <f>HYPERLINK("https://bit.ly/3bBUVdb")</f>
        <v>https://bit.ly/3bBUVdb</v>
      </c>
      <c r="AR237" s="76" t="s">
        <v>19436</v>
      </c>
      <c r="AS237" s="76"/>
      <c r="AT237" s="76"/>
      <c r="AU237" s="76"/>
      <c r="AV237" s="76">
        <v>1.68199420880082E+18</v>
      </c>
      <c r="AW237" s="83" t="str">
        <f>HYPERLINK("https://t.co/DCOjRXqPph")</f>
        <v>https://t.co/DCOjRXqPph</v>
      </c>
      <c r="AX237" s="76" t="b">
        <v>1</v>
      </c>
      <c r="AY237" s="76"/>
      <c r="AZ237" s="76"/>
      <c r="BA237" s="76" t="b">
        <v>1</v>
      </c>
      <c r="BB237" s="76" t="b">
        <v>1</v>
      </c>
      <c r="BC237" s="76" t="b">
        <v>0</v>
      </c>
      <c r="BD237" s="76" t="b">
        <v>0</v>
      </c>
      <c r="BE237" s="76" t="b">
        <v>1</v>
      </c>
      <c r="BF237" s="76" t="b">
        <v>0</v>
      </c>
      <c r="BG237" s="76" t="b">
        <v>0</v>
      </c>
      <c r="BH237" s="83" t="str">
        <f>HYPERLINK("https://pbs.twimg.com/profile_banners/23059499/1620049411")</f>
        <v>https://pbs.twimg.com/profile_banners/23059499/1620049411</v>
      </c>
      <c r="BI237" s="76"/>
      <c r="BJ237" s="76" t="s">
        <v>19734</v>
      </c>
      <c r="BK237" s="76" t="b">
        <v>0</v>
      </c>
      <c r="BL237" s="76"/>
      <c r="BM237" s="76" t="s">
        <v>65</v>
      </c>
      <c r="BN237" s="76" t="s">
        <v>19736</v>
      </c>
      <c r="BO237" s="83" t="str">
        <f>HYPERLINK("https://twitter.com/seekingalpha")</f>
        <v>https://twitter.com/seekingalpha</v>
      </c>
      <c r="BP237" s="2"/>
    </row>
    <row r="238" spans="1:68" x14ac:dyDescent="0.25">
      <c r="A238" s="62" t="s">
        <v>761</v>
      </c>
      <c r="B238" s="63"/>
      <c r="C238" s="63"/>
      <c r="D238" s="64"/>
      <c r="E238" s="66"/>
      <c r="F238" s="103" t="str">
        <f>HYPERLINK("https://pbs.twimg.com/profile_images/1631724634675585035/vWm9ufLQ_normal.jpg")</f>
        <v>https://pbs.twimg.com/profile_images/1631724634675585035/vWm9ufLQ_normal.jpg</v>
      </c>
      <c r="G238" s="63"/>
      <c r="H238" s="67"/>
      <c r="I238" s="68"/>
      <c r="J238" s="68"/>
      <c r="K238" s="67" t="s">
        <v>19971</v>
      </c>
      <c r="L238" s="71"/>
      <c r="M238" s="72"/>
      <c r="N238" s="72"/>
      <c r="O238" s="73"/>
      <c r="P238" s="74"/>
      <c r="Q238" s="74"/>
      <c r="R238" s="87"/>
      <c r="S238" s="87"/>
      <c r="T238" s="87"/>
      <c r="U238" s="87"/>
      <c r="V238" s="48"/>
      <c r="W238" s="48"/>
      <c r="X238" s="48"/>
      <c r="Y238" s="48"/>
      <c r="Z238" s="47"/>
      <c r="AA238" s="69">
        <v>238</v>
      </c>
      <c r="AB238" s="69"/>
      <c r="AC238" s="70"/>
      <c r="AD238" s="76" t="s">
        <v>17984</v>
      </c>
      <c r="AE238" s="81" t="s">
        <v>18408</v>
      </c>
      <c r="AF238" s="76">
        <v>1636970</v>
      </c>
      <c r="AG238" s="76">
        <v>222</v>
      </c>
      <c r="AH238" s="76">
        <v>220655</v>
      </c>
      <c r="AI238" s="76">
        <v>18125</v>
      </c>
      <c r="AJ238" s="76">
        <v>306</v>
      </c>
      <c r="AK238" s="76">
        <v>45929</v>
      </c>
      <c r="AL238" s="76" t="b">
        <v>0</v>
      </c>
      <c r="AM238" s="78">
        <v>40053.661597222221</v>
      </c>
      <c r="AN238" s="76" t="s">
        <v>18636</v>
      </c>
      <c r="AO238" s="76" t="s">
        <v>18977</v>
      </c>
      <c r="AP238" s="83" t="str">
        <f>HYPERLINK("https://t.co/Kh6ITvCRUC")</f>
        <v>https://t.co/Kh6ITvCRUC</v>
      </c>
      <c r="AQ238" s="83" t="str">
        <f>HYPERLINK("https://www.bloomberg.com/graphics/2023-wall-street-speeds-california-groundwater-depletion/?srnd=gr")</f>
        <v>https://www.bloomberg.com/graphics/2023-wall-street-speeds-california-groundwater-depletion/?srnd=gr</v>
      </c>
      <c r="AR238" s="76" t="s">
        <v>19437</v>
      </c>
      <c r="AS238" s="83" t="str">
        <f>HYPERLINK("https://t.co/3zp754sbuD")</f>
        <v>https://t.co/3zp754sbuD</v>
      </c>
      <c r="AT238" s="83" t="str">
        <f>HYPERLINK("http://bloom.bg/40oQnhj")</f>
        <v>http://bloom.bg/40oQnhj</v>
      </c>
      <c r="AU238" s="76" t="s">
        <v>19706</v>
      </c>
      <c r="AV238" s="76"/>
      <c r="AW238" s="83" t="str">
        <f>HYPERLINK("https://t.co/Kh6ITvCRUC")</f>
        <v>https://t.co/Kh6ITvCRUC</v>
      </c>
      <c r="AX238" s="76" t="b">
        <v>1</v>
      </c>
      <c r="AY238" s="76"/>
      <c r="AZ238" s="76"/>
      <c r="BA238" s="76" t="b">
        <v>1</v>
      </c>
      <c r="BB238" s="76" t="b">
        <v>1</v>
      </c>
      <c r="BC238" s="76" t="b">
        <v>0</v>
      </c>
      <c r="BD238" s="76" t="b">
        <v>0</v>
      </c>
      <c r="BE238" s="76" t="b">
        <v>1</v>
      </c>
      <c r="BF238" s="76" t="b">
        <v>0</v>
      </c>
      <c r="BG238" s="76" t="b">
        <v>0</v>
      </c>
      <c r="BH238" s="83" t="str">
        <f>HYPERLINK("https://pbs.twimg.com/profile_banners/69620713/1681239239")</f>
        <v>https://pbs.twimg.com/profile_banners/69620713/1681239239</v>
      </c>
      <c r="BI238" s="76"/>
      <c r="BJ238" s="76" t="s">
        <v>19734</v>
      </c>
      <c r="BK238" s="76" t="b">
        <v>0</v>
      </c>
      <c r="BL238" s="76"/>
      <c r="BM238" s="76" t="s">
        <v>65</v>
      </c>
      <c r="BN238" s="76" t="s">
        <v>19736</v>
      </c>
      <c r="BO238" s="83" t="str">
        <f>HYPERLINK("https://twitter.com/markets")</f>
        <v>https://twitter.com/markets</v>
      </c>
      <c r="BP238" s="2"/>
    </row>
    <row r="239" spans="1:68" x14ac:dyDescent="0.25">
      <c r="A239" s="62" t="s">
        <v>419</v>
      </c>
      <c r="B239" s="63"/>
      <c r="C239" s="63"/>
      <c r="D239" s="64"/>
      <c r="E239" s="66"/>
      <c r="F239" s="103" t="str">
        <f>HYPERLINK("https://pbs.twimg.com/profile_images/1663935189913837572/GWDclZxJ_normal.jpg")</f>
        <v>https://pbs.twimg.com/profile_images/1663935189913837572/GWDclZxJ_normal.jpg</v>
      </c>
      <c r="G239" s="63"/>
      <c r="H239" s="67"/>
      <c r="I239" s="68"/>
      <c r="J239" s="68"/>
      <c r="K239" s="67" t="s">
        <v>19972</v>
      </c>
      <c r="L239" s="71"/>
      <c r="M239" s="72"/>
      <c r="N239" s="72"/>
      <c r="O239" s="73"/>
      <c r="P239" s="74"/>
      <c r="Q239" s="74"/>
      <c r="R239" s="87"/>
      <c r="S239" s="87"/>
      <c r="T239" s="87"/>
      <c r="U239" s="87"/>
      <c r="V239" s="48"/>
      <c r="W239" s="48"/>
      <c r="X239" s="48"/>
      <c r="Y239" s="48"/>
      <c r="Z239" s="47"/>
      <c r="AA239" s="69">
        <v>239</v>
      </c>
      <c r="AB239" s="69"/>
      <c r="AC239" s="70"/>
      <c r="AD239" s="76" t="s">
        <v>17985</v>
      </c>
      <c r="AE239" s="81" t="s">
        <v>17545</v>
      </c>
      <c r="AF239" s="76">
        <v>72</v>
      </c>
      <c r="AG239" s="76">
        <v>129</v>
      </c>
      <c r="AH239" s="76">
        <v>889</v>
      </c>
      <c r="AI239" s="76">
        <v>1</v>
      </c>
      <c r="AJ239" s="76">
        <v>258</v>
      </c>
      <c r="AK239" s="76">
        <v>91</v>
      </c>
      <c r="AL239" s="76" t="b">
        <v>0</v>
      </c>
      <c r="AM239" s="78">
        <v>44695.716446759259</v>
      </c>
      <c r="AN239" s="76"/>
      <c r="AO239" s="76" t="s">
        <v>18978</v>
      </c>
      <c r="AP239" s="83" t="str">
        <f>HYPERLINK("https://t.co/46hpcSsWus")</f>
        <v>https://t.co/46hpcSsWus</v>
      </c>
      <c r="AQ239" s="83" t="str">
        <f>HYPERLINK("https://bento.me/pmartinsdev")</f>
        <v>https://bento.me/pmartinsdev</v>
      </c>
      <c r="AR239" s="76" t="s">
        <v>19438</v>
      </c>
      <c r="AS239" s="76"/>
      <c r="AT239" s="76"/>
      <c r="AU239" s="76"/>
      <c r="AV239" s="76">
        <v>1.6097380867490099E+18</v>
      </c>
      <c r="AW239" s="83" t="str">
        <f>HYPERLINK("https://t.co/46hpcSsWus")</f>
        <v>https://t.co/46hpcSsWus</v>
      </c>
      <c r="AX239" s="76" t="b">
        <v>0</v>
      </c>
      <c r="AY239" s="76"/>
      <c r="AZ239" s="76"/>
      <c r="BA239" s="76" t="b">
        <v>1</v>
      </c>
      <c r="BB239" s="76" t="b">
        <v>1</v>
      </c>
      <c r="BC239" s="76" t="b">
        <v>1</v>
      </c>
      <c r="BD239" s="76" t="b">
        <v>0</v>
      </c>
      <c r="BE239" s="76" t="b">
        <v>0</v>
      </c>
      <c r="BF239" s="76" t="b">
        <v>0</v>
      </c>
      <c r="BG239" s="76" t="b">
        <v>0</v>
      </c>
      <c r="BH239" s="83" t="str">
        <f>HYPERLINK("https://pbs.twimg.com/profile_banners/1525524145659858947/1681778229")</f>
        <v>https://pbs.twimg.com/profile_banners/1525524145659858947/1681778229</v>
      </c>
      <c r="BI239" s="76"/>
      <c r="BJ239" s="76" t="s">
        <v>19734</v>
      </c>
      <c r="BK239" s="76" t="b">
        <v>0</v>
      </c>
      <c r="BL239" s="76"/>
      <c r="BM239" s="76" t="s">
        <v>66</v>
      </c>
      <c r="BN239" s="76" t="s">
        <v>19736</v>
      </c>
      <c r="BO239" s="83" t="str">
        <f>HYPERLINK("https://twitter.com/paulomartinsdev")</f>
        <v>https://twitter.com/paulomartinsdev</v>
      </c>
      <c r="BP239" s="2"/>
    </row>
    <row r="240" spans="1:68" x14ac:dyDescent="0.25">
      <c r="A240" s="62" t="s">
        <v>420</v>
      </c>
      <c r="B240" s="63"/>
      <c r="C240" s="63"/>
      <c r="D240" s="64"/>
      <c r="E240" s="66"/>
      <c r="F240" s="103" t="str">
        <f>HYPERLINK("https://pbs.twimg.com/profile_images/1419306919957835777/YkOLJSly_normal.jpg")</f>
        <v>https://pbs.twimg.com/profile_images/1419306919957835777/YkOLJSly_normal.jpg</v>
      </c>
      <c r="G240" s="63"/>
      <c r="H240" s="67"/>
      <c r="I240" s="68"/>
      <c r="J240" s="68"/>
      <c r="K240" s="67" t="s">
        <v>19973</v>
      </c>
      <c r="L240" s="71"/>
      <c r="M240" s="72"/>
      <c r="N240" s="72"/>
      <c r="O240" s="73"/>
      <c r="P240" s="74"/>
      <c r="Q240" s="74"/>
      <c r="R240" s="87"/>
      <c r="S240" s="87"/>
      <c r="T240" s="87"/>
      <c r="U240" s="87"/>
      <c r="V240" s="48"/>
      <c r="W240" s="48"/>
      <c r="X240" s="48"/>
      <c r="Y240" s="48"/>
      <c r="Z240" s="47"/>
      <c r="AA240" s="69">
        <v>240</v>
      </c>
      <c r="AB240" s="69"/>
      <c r="AC240" s="70"/>
      <c r="AD240" s="76" t="s">
        <v>17986</v>
      </c>
      <c r="AE240" s="81" t="s">
        <v>17546</v>
      </c>
      <c r="AF240" s="76">
        <v>941</v>
      </c>
      <c r="AG240" s="76">
        <v>163</v>
      </c>
      <c r="AH240" s="76">
        <v>67204</v>
      </c>
      <c r="AI240" s="76">
        <v>16</v>
      </c>
      <c r="AJ240" s="76">
        <v>204</v>
      </c>
      <c r="AK240" s="76">
        <v>20630</v>
      </c>
      <c r="AL240" s="76" t="b">
        <v>0</v>
      </c>
      <c r="AM240" s="78">
        <v>44242.637314814812</v>
      </c>
      <c r="AN240" s="76" t="s">
        <v>18637</v>
      </c>
      <c r="AO240" s="76" t="s">
        <v>18979</v>
      </c>
      <c r="AP240" s="83" t="str">
        <f>HYPERLINK("https://t.co/AL5ktPoOdf")</f>
        <v>https://t.co/AL5ktPoOdf</v>
      </c>
      <c r="AQ240" s="83" t="str">
        <f>HYPERLINK("https://idolink.com/noalvo")</f>
        <v>https://idolink.com/noalvo</v>
      </c>
      <c r="AR240" s="76" t="s">
        <v>19439</v>
      </c>
      <c r="AS240" s="76"/>
      <c r="AT240" s="76"/>
      <c r="AU240" s="76"/>
      <c r="AV240" s="76"/>
      <c r="AW240" s="83" t="str">
        <f>HYPERLINK("https://t.co/AL5ktPoOdf")</f>
        <v>https://t.co/AL5ktPoOdf</v>
      </c>
      <c r="AX240" s="76" t="b">
        <v>0</v>
      </c>
      <c r="AY240" s="76"/>
      <c r="AZ240" s="76"/>
      <c r="BA240" s="76" t="b">
        <v>0</v>
      </c>
      <c r="BB240" s="76" t="b">
        <v>1</v>
      </c>
      <c r="BC240" s="76" t="b">
        <v>1</v>
      </c>
      <c r="BD240" s="76" t="b">
        <v>0</v>
      </c>
      <c r="BE240" s="76" t="b">
        <v>0</v>
      </c>
      <c r="BF240" s="76" t="b">
        <v>0</v>
      </c>
      <c r="BG240" s="76" t="b">
        <v>0</v>
      </c>
      <c r="BH240" s="83" t="str">
        <f>HYPERLINK("https://pbs.twimg.com/profile_banners/1361333840833376263/1638108654")</f>
        <v>https://pbs.twimg.com/profile_banners/1361333840833376263/1638108654</v>
      </c>
      <c r="BI240" s="76"/>
      <c r="BJ240" s="76" t="s">
        <v>19734</v>
      </c>
      <c r="BK240" s="76" t="b">
        <v>0</v>
      </c>
      <c r="BL240" s="76"/>
      <c r="BM240" s="76" t="s">
        <v>66</v>
      </c>
      <c r="BN240" s="76" t="s">
        <v>19736</v>
      </c>
      <c r="BO240" s="83" t="str">
        <f>HYPERLINK("https://twitter.com/noalvo3")</f>
        <v>https://twitter.com/noalvo3</v>
      </c>
      <c r="BP240" s="2"/>
    </row>
    <row r="241" spans="1:68" x14ac:dyDescent="0.25">
      <c r="A241" s="62" t="s">
        <v>421</v>
      </c>
      <c r="B241" s="63"/>
      <c r="C241" s="63"/>
      <c r="D241" s="64"/>
      <c r="E241" s="66"/>
      <c r="F241" s="103" t="str">
        <f>HYPERLINK("https://pbs.twimg.com/profile_images/1508811278768291850/Pj789JmG_normal.jpg")</f>
        <v>https://pbs.twimg.com/profile_images/1508811278768291850/Pj789JmG_normal.jpg</v>
      </c>
      <c r="G241" s="63"/>
      <c r="H241" s="67"/>
      <c r="I241" s="68"/>
      <c r="J241" s="68"/>
      <c r="K241" s="67" t="s">
        <v>19974</v>
      </c>
      <c r="L241" s="71"/>
      <c r="M241" s="72"/>
      <c r="N241" s="72"/>
      <c r="O241" s="73"/>
      <c r="P241" s="74"/>
      <c r="Q241" s="74"/>
      <c r="R241" s="87"/>
      <c r="S241" s="87"/>
      <c r="T241" s="87"/>
      <c r="U241" s="87"/>
      <c r="V241" s="48"/>
      <c r="W241" s="48"/>
      <c r="X241" s="48"/>
      <c r="Y241" s="48"/>
      <c r="Z241" s="47"/>
      <c r="AA241" s="69">
        <v>241</v>
      </c>
      <c r="AB241" s="69"/>
      <c r="AC241" s="70"/>
      <c r="AD241" s="76" t="s">
        <v>17987</v>
      </c>
      <c r="AE241" s="81" t="s">
        <v>17547</v>
      </c>
      <c r="AF241" s="76">
        <v>31</v>
      </c>
      <c r="AG241" s="76">
        <v>23</v>
      </c>
      <c r="AH241" s="76">
        <v>22</v>
      </c>
      <c r="AI241" s="76">
        <v>0</v>
      </c>
      <c r="AJ241" s="76">
        <v>7</v>
      </c>
      <c r="AK241" s="76">
        <v>12</v>
      </c>
      <c r="AL241" s="76" t="b">
        <v>0</v>
      </c>
      <c r="AM241" s="78">
        <v>44649.592488425929</v>
      </c>
      <c r="AN241" s="76" t="s">
        <v>18638</v>
      </c>
      <c r="AO241" s="76" t="s">
        <v>18980</v>
      </c>
      <c r="AP241" s="76"/>
      <c r="AQ241" s="76"/>
      <c r="AR241" s="76"/>
      <c r="AS241" s="76"/>
      <c r="AT241" s="76"/>
      <c r="AU241" s="76"/>
      <c r="AV241" s="76"/>
      <c r="AW241" s="76"/>
      <c r="AX241" s="76" t="b">
        <v>0</v>
      </c>
      <c r="AY241" s="76"/>
      <c r="AZ241" s="76"/>
      <c r="BA241" s="76" t="b">
        <v>0</v>
      </c>
      <c r="BB241" s="76" t="b">
        <v>1</v>
      </c>
      <c r="BC241" s="76" t="b">
        <v>1</v>
      </c>
      <c r="BD241" s="76" t="b">
        <v>0</v>
      </c>
      <c r="BE241" s="76" t="b">
        <v>0</v>
      </c>
      <c r="BF241" s="76" t="b">
        <v>0</v>
      </c>
      <c r="BG241" s="76" t="b">
        <v>0</v>
      </c>
      <c r="BH241" s="83" t="str">
        <f>HYPERLINK("https://pbs.twimg.com/profile_banners/1508809466803798021/1648563616")</f>
        <v>https://pbs.twimg.com/profile_banners/1508809466803798021/1648563616</v>
      </c>
      <c r="BI241" s="76"/>
      <c r="BJ241" s="76" t="s">
        <v>19734</v>
      </c>
      <c r="BK241" s="76" t="b">
        <v>0</v>
      </c>
      <c r="BL241" s="76"/>
      <c r="BM241" s="76" t="s">
        <v>66</v>
      </c>
      <c r="BN241" s="76" t="s">
        <v>19736</v>
      </c>
      <c r="BO241" s="83" t="str">
        <f>HYPERLINK("https://twitter.com/georgestmattos")</f>
        <v>https://twitter.com/georgestmattos</v>
      </c>
      <c r="BP241" s="2"/>
    </row>
    <row r="242" spans="1:68" x14ac:dyDescent="0.25">
      <c r="A242" s="62" t="s">
        <v>422</v>
      </c>
      <c r="B242" s="63"/>
      <c r="C242" s="63"/>
      <c r="D242" s="64"/>
      <c r="E242" s="66"/>
      <c r="F242" s="103" t="str">
        <f>HYPERLINK("https://pbs.twimg.com/profile_images/1640709089033596929/sg0WZLfH_normal.jpg")</f>
        <v>https://pbs.twimg.com/profile_images/1640709089033596929/sg0WZLfH_normal.jpg</v>
      </c>
      <c r="G242" s="63"/>
      <c r="H242" s="67"/>
      <c r="I242" s="68"/>
      <c r="J242" s="68"/>
      <c r="K242" s="67" t="s">
        <v>19975</v>
      </c>
      <c r="L242" s="71"/>
      <c r="M242" s="72"/>
      <c r="N242" s="72"/>
      <c r="O242" s="73"/>
      <c r="P242" s="74"/>
      <c r="Q242" s="74"/>
      <c r="R242" s="87"/>
      <c r="S242" s="87"/>
      <c r="T242" s="87"/>
      <c r="U242" s="87"/>
      <c r="V242" s="48"/>
      <c r="W242" s="48"/>
      <c r="X242" s="48"/>
      <c r="Y242" s="48"/>
      <c r="Z242" s="47"/>
      <c r="AA242" s="69">
        <v>242</v>
      </c>
      <c r="AB242" s="69"/>
      <c r="AC242" s="70"/>
      <c r="AD242" s="76" t="s">
        <v>17988</v>
      </c>
      <c r="AE242" s="81" t="s">
        <v>18409</v>
      </c>
      <c r="AF242" s="76">
        <v>15805</v>
      </c>
      <c r="AG242" s="76">
        <v>43</v>
      </c>
      <c r="AH242" s="76">
        <v>11735</v>
      </c>
      <c r="AI242" s="76">
        <v>236</v>
      </c>
      <c r="AJ242" s="76">
        <v>600</v>
      </c>
      <c r="AK242" s="76">
        <v>5305</v>
      </c>
      <c r="AL242" s="76" t="b">
        <v>0</v>
      </c>
      <c r="AM242" s="78">
        <v>42186.652928240743</v>
      </c>
      <c r="AN242" s="76" t="s">
        <v>12014</v>
      </c>
      <c r="AO242" s="76" t="s">
        <v>18981</v>
      </c>
      <c r="AP242" s="83" t="str">
        <f>HYPERLINK("https://t.co/0XKO2huwf3")</f>
        <v>https://t.co/0XKO2huwf3</v>
      </c>
      <c r="AQ242" s="83" t="str">
        <f>HYPERLINK("http://genial.vc/linktree")</f>
        <v>http://genial.vc/linktree</v>
      </c>
      <c r="AR242" s="76" t="s">
        <v>19440</v>
      </c>
      <c r="AS242" s="76"/>
      <c r="AT242" s="76"/>
      <c r="AU242" s="76"/>
      <c r="AV242" s="76"/>
      <c r="AW242" s="83" t="str">
        <f>HYPERLINK("https://t.co/0XKO2huwf3")</f>
        <v>https://t.co/0XKO2huwf3</v>
      </c>
      <c r="AX242" s="76" t="b">
        <v>1</v>
      </c>
      <c r="AY242" s="76"/>
      <c r="AZ242" s="76"/>
      <c r="BA242" s="76" t="b">
        <v>1</v>
      </c>
      <c r="BB242" s="76" t="b">
        <v>1</v>
      </c>
      <c r="BC242" s="76" t="b">
        <v>0</v>
      </c>
      <c r="BD242" s="76" t="b">
        <v>0</v>
      </c>
      <c r="BE242" s="76" t="b">
        <v>1</v>
      </c>
      <c r="BF242" s="76" t="b">
        <v>0</v>
      </c>
      <c r="BG242" s="76" t="b">
        <v>0</v>
      </c>
      <c r="BH242" s="83" t="str">
        <f>HYPERLINK("https://pbs.twimg.com/profile_banners/3353280789/1694628948")</f>
        <v>https://pbs.twimg.com/profile_banners/3353280789/1694628948</v>
      </c>
      <c r="BI242" s="76"/>
      <c r="BJ242" s="76" t="s">
        <v>19734</v>
      </c>
      <c r="BK242" s="76" t="b">
        <v>0</v>
      </c>
      <c r="BL242" s="76"/>
      <c r="BM242" s="76" t="s">
        <v>66</v>
      </c>
      <c r="BN242" s="76" t="s">
        <v>19736</v>
      </c>
      <c r="BO242" s="83" t="str">
        <f>HYPERLINK("https://twitter.com/genialinveste")</f>
        <v>https://twitter.com/genialinveste</v>
      </c>
      <c r="BP242" s="2"/>
    </row>
    <row r="243" spans="1:68" x14ac:dyDescent="0.25">
      <c r="A243" s="62" t="s">
        <v>762</v>
      </c>
      <c r="B243" s="63"/>
      <c r="C243" s="63"/>
      <c r="D243" s="64"/>
      <c r="E243" s="66"/>
      <c r="F243" s="103" t="str">
        <f>HYPERLINK("https://pbs.twimg.com/profile_images/1142920214566309888/o0NjhTLi_normal.jpg")</f>
        <v>https://pbs.twimg.com/profile_images/1142920214566309888/o0NjhTLi_normal.jpg</v>
      </c>
      <c r="G243" s="63"/>
      <c r="H243" s="67"/>
      <c r="I243" s="68"/>
      <c r="J243" s="68"/>
      <c r="K243" s="67" t="s">
        <v>19976</v>
      </c>
      <c r="L243" s="71"/>
      <c r="M243" s="72"/>
      <c r="N243" s="72"/>
      <c r="O243" s="73"/>
      <c r="P243" s="74"/>
      <c r="Q243" s="74"/>
      <c r="R243" s="87"/>
      <c r="S243" s="87"/>
      <c r="T243" s="87"/>
      <c r="U243" s="87"/>
      <c r="V243" s="48"/>
      <c r="W243" s="48"/>
      <c r="X243" s="48"/>
      <c r="Y243" s="48"/>
      <c r="Z243" s="47"/>
      <c r="AA243" s="69">
        <v>243</v>
      </c>
      <c r="AB243" s="69"/>
      <c r="AC243" s="70"/>
      <c r="AD243" s="76" t="s">
        <v>17989</v>
      </c>
      <c r="AE243" s="81" t="s">
        <v>18410</v>
      </c>
      <c r="AF243" s="76">
        <v>28607</v>
      </c>
      <c r="AG243" s="76">
        <v>1048</v>
      </c>
      <c r="AH243" s="76">
        <v>23366</v>
      </c>
      <c r="AI243" s="76">
        <v>527</v>
      </c>
      <c r="AJ243" s="76">
        <v>6371</v>
      </c>
      <c r="AK243" s="76">
        <v>1842</v>
      </c>
      <c r="AL243" s="76" t="b">
        <v>0</v>
      </c>
      <c r="AM243" s="78">
        <v>40004.989317129628</v>
      </c>
      <c r="AN243" s="76" t="s">
        <v>18639</v>
      </c>
      <c r="AO243" s="76" t="s">
        <v>18982</v>
      </c>
      <c r="AP243" s="83" t="str">
        <f>HYPERLINK("https://t.co/hcNBbGV339")</f>
        <v>https://t.co/hcNBbGV339</v>
      </c>
      <c r="AQ243" s="83" t="str">
        <f>HYPERLINK("https://filipevillegas.substack.com")</f>
        <v>https://filipevillegas.substack.com</v>
      </c>
      <c r="AR243" s="76" t="s">
        <v>19441</v>
      </c>
      <c r="AS243" s="76" t="s">
        <v>19656</v>
      </c>
      <c r="AT243" s="76" t="s">
        <v>19671</v>
      </c>
      <c r="AU243" s="76" t="s">
        <v>19707</v>
      </c>
      <c r="AV243" s="76"/>
      <c r="AW243" s="83" t="str">
        <f>HYPERLINK("https://t.co/hcNBbGV339")</f>
        <v>https://t.co/hcNBbGV339</v>
      </c>
      <c r="AX243" s="76" t="b">
        <v>0</v>
      </c>
      <c r="AY243" s="76"/>
      <c r="AZ243" s="76"/>
      <c r="BA243" s="76" t="b">
        <v>1</v>
      </c>
      <c r="BB243" s="76" t="b">
        <v>1</v>
      </c>
      <c r="BC243" s="76" t="b">
        <v>0</v>
      </c>
      <c r="BD243" s="76" t="b">
        <v>0</v>
      </c>
      <c r="BE243" s="76" t="b">
        <v>1</v>
      </c>
      <c r="BF243" s="76" t="b">
        <v>0</v>
      </c>
      <c r="BG243" s="76" t="b">
        <v>0</v>
      </c>
      <c r="BH243" s="83" t="str">
        <f>HYPERLINK("https://pbs.twimg.com/profile_banners/55700238/1659463548")</f>
        <v>https://pbs.twimg.com/profile_banners/55700238/1659463548</v>
      </c>
      <c r="BI243" s="76"/>
      <c r="BJ243" s="76" t="s">
        <v>19734</v>
      </c>
      <c r="BK243" s="76" t="b">
        <v>0</v>
      </c>
      <c r="BL243" s="76"/>
      <c r="BM243" s="76" t="s">
        <v>65</v>
      </c>
      <c r="BN243" s="76" t="s">
        <v>19736</v>
      </c>
      <c r="BO243" s="83" t="str">
        <f>HYPERLINK("https://twitter.com/filipevillegas")</f>
        <v>https://twitter.com/filipevillegas</v>
      </c>
      <c r="BP243" s="2"/>
    </row>
    <row r="244" spans="1:68" x14ac:dyDescent="0.25">
      <c r="A244" s="62" t="s">
        <v>763</v>
      </c>
      <c r="B244" s="63"/>
      <c r="C244" s="63"/>
      <c r="D244" s="64"/>
      <c r="E244" s="66"/>
      <c r="F244" s="103" t="str">
        <f>HYPERLINK("https://pbs.twimg.com/profile_images/1301221123816919040/9PS91us4_normal.jpg")</f>
        <v>https://pbs.twimg.com/profile_images/1301221123816919040/9PS91us4_normal.jpg</v>
      </c>
      <c r="G244" s="63"/>
      <c r="H244" s="67"/>
      <c r="I244" s="68"/>
      <c r="J244" s="68"/>
      <c r="K244" s="67" t="s">
        <v>19977</v>
      </c>
      <c r="L244" s="71"/>
      <c r="M244" s="72"/>
      <c r="N244" s="72"/>
      <c r="O244" s="73"/>
      <c r="P244" s="74"/>
      <c r="Q244" s="74"/>
      <c r="R244" s="87"/>
      <c r="S244" s="87"/>
      <c r="T244" s="87"/>
      <c r="U244" s="87"/>
      <c r="V244" s="48"/>
      <c r="W244" s="48"/>
      <c r="X244" s="48"/>
      <c r="Y244" s="48"/>
      <c r="Z244" s="47"/>
      <c r="AA244" s="69">
        <v>244</v>
      </c>
      <c r="AB244" s="69"/>
      <c r="AC244" s="70"/>
      <c r="AD244" s="76" t="s">
        <v>17990</v>
      </c>
      <c r="AE244" s="81" t="s">
        <v>18411</v>
      </c>
      <c r="AF244" s="76">
        <v>15221</v>
      </c>
      <c r="AG244" s="76">
        <v>1062</v>
      </c>
      <c r="AH244" s="76">
        <v>20744</v>
      </c>
      <c r="AI244" s="76">
        <v>250</v>
      </c>
      <c r="AJ244" s="76">
        <v>12655</v>
      </c>
      <c r="AK244" s="76">
        <v>5801</v>
      </c>
      <c r="AL244" s="76" t="b">
        <v>0</v>
      </c>
      <c r="AM244" s="78">
        <v>43312.565127314818</v>
      </c>
      <c r="AN244" s="76" t="s">
        <v>18640</v>
      </c>
      <c r="AO244" s="76" t="s">
        <v>18983</v>
      </c>
      <c r="AP244" s="83" t="str">
        <f>HYPERLINK("https://t.co/WbEBKEZm4T")</f>
        <v>https://t.co/WbEBKEZm4T</v>
      </c>
      <c r="AQ244" s="83" t="str">
        <f>HYPERLINK("https://bit.ly/2EY89Dq")</f>
        <v>https://bit.ly/2EY89Dq</v>
      </c>
      <c r="AR244" s="76" t="s">
        <v>19442</v>
      </c>
      <c r="AS244" s="76"/>
      <c r="AT244" s="76"/>
      <c r="AU244" s="76"/>
      <c r="AV244" s="76"/>
      <c r="AW244" s="83" t="str">
        <f>HYPERLINK("https://t.co/WbEBKEZm4T")</f>
        <v>https://t.co/WbEBKEZm4T</v>
      </c>
      <c r="AX244" s="76" t="b">
        <v>1</v>
      </c>
      <c r="AY244" s="76"/>
      <c r="AZ244" s="76"/>
      <c r="BA244" s="76" t="b">
        <v>1</v>
      </c>
      <c r="BB244" s="76" t="b">
        <v>1</v>
      </c>
      <c r="BC244" s="76" t="b">
        <v>1</v>
      </c>
      <c r="BD244" s="76" t="b">
        <v>0</v>
      </c>
      <c r="BE244" s="76" t="b">
        <v>1</v>
      </c>
      <c r="BF244" s="76" t="b">
        <v>0</v>
      </c>
      <c r="BG244" s="76" t="b">
        <v>0</v>
      </c>
      <c r="BH244" s="83" t="str">
        <f>HYPERLINK("https://pbs.twimg.com/profile_banners/1024287005058981888/1599070267")</f>
        <v>https://pbs.twimg.com/profile_banners/1024287005058981888/1599070267</v>
      </c>
      <c r="BI244" s="76"/>
      <c r="BJ244" s="76" t="s">
        <v>19734</v>
      </c>
      <c r="BK244" s="76" t="b">
        <v>0</v>
      </c>
      <c r="BL244" s="76"/>
      <c r="BM244" s="76" t="s">
        <v>65</v>
      </c>
      <c r="BN244" s="76" t="s">
        <v>19736</v>
      </c>
      <c r="BO244" s="83" t="str">
        <f>HYPERLINK("https://twitter.com/_robertomotta")</f>
        <v>https://twitter.com/_robertomotta</v>
      </c>
      <c r="BP244" s="2"/>
    </row>
    <row r="245" spans="1:68" x14ac:dyDescent="0.25">
      <c r="A245" s="62" t="s">
        <v>423</v>
      </c>
      <c r="B245" s="63"/>
      <c r="C245" s="63"/>
      <c r="D245" s="64"/>
      <c r="E245" s="66"/>
      <c r="F245" s="103" t="str">
        <f>HYPERLINK("https://pbs.twimg.com/profile_images/1662255358281232384/VCpgqGrM_normal.jpg")</f>
        <v>https://pbs.twimg.com/profile_images/1662255358281232384/VCpgqGrM_normal.jpg</v>
      </c>
      <c r="G245" s="63"/>
      <c r="H245" s="67"/>
      <c r="I245" s="68"/>
      <c r="J245" s="68"/>
      <c r="K245" s="67" t="s">
        <v>19978</v>
      </c>
      <c r="L245" s="71"/>
      <c r="M245" s="72"/>
      <c r="N245" s="72"/>
      <c r="O245" s="73"/>
      <c r="P245" s="74"/>
      <c r="Q245" s="74"/>
      <c r="R245" s="87"/>
      <c r="S245" s="87"/>
      <c r="T245" s="87"/>
      <c r="U245" s="87"/>
      <c r="V245" s="48"/>
      <c r="W245" s="48"/>
      <c r="X245" s="48"/>
      <c r="Y245" s="48"/>
      <c r="Z245" s="47"/>
      <c r="AA245" s="69">
        <v>245</v>
      </c>
      <c r="AB245" s="69"/>
      <c r="AC245" s="70"/>
      <c r="AD245" s="76" t="s">
        <v>17991</v>
      </c>
      <c r="AE245" s="81" t="s">
        <v>17548</v>
      </c>
      <c r="AF245" s="76">
        <v>2</v>
      </c>
      <c r="AG245" s="76">
        <v>0</v>
      </c>
      <c r="AH245" s="76">
        <v>192</v>
      </c>
      <c r="AI245" s="76">
        <v>0</v>
      </c>
      <c r="AJ245" s="76">
        <v>0</v>
      </c>
      <c r="AK245" s="76">
        <v>0</v>
      </c>
      <c r="AL245" s="76" t="b">
        <v>0</v>
      </c>
      <c r="AM245" s="78">
        <v>45073.022210648145</v>
      </c>
      <c r="AN245" s="76"/>
      <c r="AO245" s="76" t="s">
        <v>18984</v>
      </c>
      <c r="AP245" s="83" t="str">
        <f>HYPERLINK("https://t.co/lH4DuljcOx")</f>
        <v>https://t.co/lH4DuljcOx</v>
      </c>
      <c r="AQ245" s="83" t="str">
        <f>HYPERLINK("https://invistafinancas.com.br/")</f>
        <v>https://invistafinancas.com.br/</v>
      </c>
      <c r="AR245" s="76" t="s">
        <v>19443</v>
      </c>
      <c r="AS245" s="76" t="s">
        <v>19657</v>
      </c>
      <c r="AT245" s="76" t="s">
        <v>19672</v>
      </c>
      <c r="AU245" s="76" t="s">
        <v>19708</v>
      </c>
      <c r="AV245" s="76"/>
      <c r="AW245" s="83" t="str">
        <f>HYPERLINK("https://t.co/lH4DuljcOx")</f>
        <v>https://t.co/lH4DuljcOx</v>
      </c>
      <c r="AX245" s="76" t="b">
        <v>0</v>
      </c>
      <c r="AY245" s="76"/>
      <c r="AZ245" s="76"/>
      <c r="BA245" s="76" t="b">
        <v>0</v>
      </c>
      <c r="BB245" s="76" t="b">
        <v>1</v>
      </c>
      <c r="BC245" s="76" t="b">
        <v>1</v>
      </c>
      <c r="BD245" s="76" t="b">
        <v>0</v>
      </c>
      <c r="BE245" s="76" t="b">
        <v>0</v>
      </c>
      <c r="BF245" s="76" t="b">
        <v>0</v>
      </c>
      <c r="BG245" s="76" t="b">
        <v>0</v>
      </c>
      <c r="BH245" s="83" t="str">
        <f>HYPERLINK("https://pbs.twimg.com/profile_banners/1662255263951343617/1685147688")</f>
        <v>https://pbs.twimg.com/profile_banners/1662255263951343617/1685147688</v>
      </c>
      <c r="BI245" s="76"/>
      <c r="BJ245" s="76" t="s">
        <v>19734</v>
      </c>
      <c r="BK245" s="76" t="b">
        <v>0</v>
      </c>
      <c r="BL245" s="76"/>
      <c r="BM245" s="76" t="s">
        <v>66</v>
      </c>
      <c r="BN245" s="76" t="s">
        <v>19736</v>
      </c>
      <c r="BO245" s="83" t="str">
        <f>HYPERLINK("https://twitter.com/invistafinancas")</f>
        <v>https://twitter.com/invistafinancas</v>
      </c>
      <c r="BP245" s="2"/>
    </row>
    <row r="246" spans="1:68" x14ac:dyDescent="0.25">
      <c r="A246" s="62" t="s">
        <v>424</v>
      </c>
      <c r="B246" s="63"/>
      <c r="C246" s="63"/>
      <c r="D246" s="64"/>
      <c r="E246" s="66"/>
      <c r="F246" s="103" t="str">
        <f>HYPERLINK("https://pbs.twimg.com/profile_images/1324374202254807040/YzIrsvCU_normal.jpg")</f>
        <v>https://pbs.twimg.com/profile_images/1324374202254807040/YzIrsvCU_normal.jpg</v>
      </c>
      <c r="G246" s="63"/>
      <c r="H246" s="67"/>
      <c r="I246" s="68"/>
      <c r="J246" s="68"/>
      <c r="K246" s="67" t="s">
        <v>19979</v>
      </c>
      <c r="L246" s="71"/>
      <c r="M246" s="72"/>
      <c r="N246" s="72"/>
      <c r="O246" s="73"/>
      <c r="P246" s="74"/>
      <c r="Q246" s="74"/>
      <c r="R246" s="87"/>
      <c r="S246" s="87"/>
      <c r="T246" s="87"/>
      <c r="U246" s="87"/>
      <c r="V246" s="48"/>
      <c r="W246" s="48"/>
      <c r="X246" s="48"/>
      <c r="Y246" s="48"/>
      <c r="Z246" s="47"/>
      <c r="AA246" s="69">
        <v>246</v>
      </c>
      <c r="AB246" s="69"/>
      <c r="AC246" s="70"/>
      <c r="AD246" s="76" t="s">
        <v>17992</v>
      </c>
      <c r="AE246" s="81" t="s">
        <v>17549</v>
      </c>
      <c r="AF246" s="76">
        <v>50544</v>
      </c>
      <c r="AG246" s="76">
        <v>16</v>
      </c>
      <c r="AH246" s="76">
        <v>42431</v>
      </c>
      <c r="AI246" s="76">
        <v>375</v>
      </c>
      <c r="AJ246" s="76">
        <v>233</v>
      </c>
      <c r="AK246" s="76">
        <v>208</v>
      </c>
      <c r="AL246" s="76" t="b">
        <v>0</v>
      </c>
      <c r="AM246" s="78">
        <v>43010.062488425923</v>
      </c>
      <c r="AN246" s="76"/>
      <c r="AO246" s="76" t="s">
        <v>18985</v>
      </c>
      <c r="AP246" s="83" t="str">
        <f>HYPERLINK("https://t.co/PpB18uXQGu")</f>
        <v>https://t.co/PpB18uXQGu</v>
      </c>
      <c r="AQ246" s="83" t="str">
        <f>HYPERLINK("https://br.cointelegraph.com")</f>
        <v>https://br.cointelegraph.com</v>
      </c>
      <c r="AR246" s="76" t="s">
        <v>19444</v>
      </c>
      <c r="AS246" s="76"/>
      <c r="AT246" s="76"/>
      <c r="AU246" s="76"/>
      <c r="AV246" s="76"/>
      <c r="AW246" s="83" t="str">
        <f>HYPERLINK("https://t.co/PpB18uXQGu")</f>
        <v>https://t.co/PpB18uXQGu</v>
      </c>
      <c r="AX246" s="76" t="b">
        <v>0</v>
      </c>
      <c r="AY246" s="76"/>
      <c r="AZ246" s="76"/>
      <c r="BA246" s="76" t="b">
        <v>0</v>
      </c>
      <c r="BB246" s="76" t="b">
        <v>1</v>
      </c>
      <c r="BC246" s="76" t="b">
        <v>0</v>
      </c>
      <c r="BD246" s="76" t="b">
        <v>0</v>
      </c>
      <c r="BE246" s="76" t="b">
        <v>0</v>
      </c>
      <c r="BF246" s="76" t="b">
        <v>0</v>
      </c>
      <c r="BG246" s="76" t="b">
        <v>0</v>
      </c>
      <c r="BH246" s="83" t="str">
        <f>HYPERLINK("https://pbs.twimg.com/profile_banners/914663722970435584/1524144104")</f>
        <v>https://pbs.twimg.com/profile_banners/914663722970435584/1524144104</v>
      </c>
      <c r="BI246" s="76"/>
      <c r="BJ246" s="76" t="s">
        <v>19734</v>
      </c>
      <c r="BK246" s="76" t="b">
        <v>0</v>
      </c>
      <c r="BL246" s="76"/>
      <c r="BM246" s="76" t="s">
        <v>66</v>
      </c>
      <c r="BN246" s="76" t="s">
        <v>19736</v>
      </c>
      <c r="BO246" s="83" t="str">
        <f>HYPERLINK("https://twitter.com/brcointelegraph")</f>
        <v>https://twitter.com/brcointelegraph</v>
      </c>
      <c r="BP246" s="2"/>
    </row>
    <row r="247" spans="1:68" x14ac:dyDescent="0.25">
      <c r="A247" s="62" t="s">
        <v>425</v>
      </c>
      <c r="B247" s="63"/>
      <c r="C247" s="63"/>
      <c r="D247" s="64"/>
      <c r="E247" s="66"/>
      <c r="F247" s="103" t="str">
        <f>HYPERLINK("https://pbs.twimg.com/profile_images/1041725334431952896/uaPtkYSp_normal.jpg")</f>
        <v>https://pbs.twimg.com/profile_images/1041725334431952896/uaPtkYSp_normal.jpg</v>
      </c>
      <c r="G247" s="63"/>
      <c r="H247" s="67"/>
      <c r="I247" s="68"/>
      <c r="J247" s="68"/>
      <c r="K247" s="67" t="s">
        <v>19980</v>
      </c>
      <c r="L247" s="71"/>
      <c r="M247" s="72"/>
      <c r="N247" s="72"/>
      <c r="O247" s="73"/>
      <c r="P247" s="74"/>
      <c r="Q247" s="74"/>
      <c r="R247" s="87"/>
      <c r="S247" s="87"/>
      <c r="T247" s="87"/>
      <c r="U247" s="87"/>
      <c r="V247" s="48"/>
      <c r="W247" s="48"/>
      <c r="X247" s="48"/>
      <c r="Y247" s="48"/>
      <c r="Z247" s="47"/>
      <c r="AA247" s="69">
        <v>247</v>
      </c>
      <c r="AB247" s="69"/>
      <c r="AC247" s="70"/>
      <c r="AD247" s="76" t="s">
        <v>17993</v>
      </c>
      <c r="AE247" s="81" t="s">
        <v>17550</v>
      </c>
      <c r="AF247" s="76">
        <v>13872</v>
      </c>
      <c r="AG247" s="76">
        <v>34</v>
      </c>
      <c r="AH247" s="76">
        <v>24407</v>
      </c>
      <c r="AI247" s="76">
        <v>251</v>
      </c>
      <c r="AJ247" s="76">
        <v>409</v>
      </c>
      <c r="AK247" s="76">
        <v>5791</v>
      </c>
      <c r="AL247" s="76" t="b">
        <v>0</v>
      </c>
      <c r="AM247" s="78">
        <v>43360.684699074074</v>
      </c>
      <c r="AN247" s="76" t="s">
        <v>12014</v>
      </c>
      <c r="AO247" s="76" t="s">
        <v>18986</v>
      </c>
      <c r="AP247" s="83" t="str">
        <f>HYPERLINK("https://t.co/nXFGfCwP7j")</f>
        <v>https://t.co/nXFGfCwP7j</v>
      </c>
      <c r="AQ247" s="83" t="str">
        <f>HYPERLINK("https://www.seudinheiro.com/")</f>
        <v>https://www.seudinheiro.com/</v>
      </c>
      <c r="AR247" s="76" t="s">
        <v>7102</v>
      </c>
      <c r="AS247" s="76"/>
      <c r="AT247" s="76"/>
      <c r="AU247" s="76"/>
      <c r="AV247" s="76"/>
      <c r="AW247" s="83" t="str">
        <f>HYPERLINK("https://t.co/nXFGfCwP7j")</f>
        <v>https://t.co/nXFGfCwP7j</v>
      </c>
      <c r="AX247" s="76" t="b">
        <v>0</v>
      </c>
      <c r="AY247" s="76"/>
      <c r="AZ247" s="76"/>
      <c r="BA247" s="76" t="b">
        <v>0</v>
      </c>
      <c r="BB247" s="76" t="b">
        <v>1</v>
      </c>
      <c r="BC247" s="76" t="b">
        <v>1</v>
      </c>
      <c r="BD247" s="76" t="b">
        <v>0</v>
      </c>
      <c r="BE247" s="76" t="b">
        <v>1</v>
      </c>
      <c r="BF247" s="76" t="b">
        <v>0</v>
      </c>
      <c r="BG247" s="76" t="b">
        <v>0</v>
      </c>
      <c r="BH247" s="83" t="str">
        <f>HYPERLINK("https://pbs.twimg.com/profile_banners/1041724956839698433/1600351810")</f>
        <v>https://pbs.twimg.com/profile_banners/1041724956839698433/1600351810</v>
      </c>
      <c r="BI247" s="76"/>
      <c r="BJ247" s="76" t="s">
        <v>19734</v>
      </c>
      <c r="BK247" s="76" t="b">
        <v>0</v>
      </c>
      <c r="BL247" s="76"/>
      <c r="BM247" s="76" t="s">
        <v>66</v>
      </c>
      <c r="BN247" s="76" t="s">
        <v>19736</v>
      </c>
      <c r="BO247" s="83" t="str">
        <f>HYPERLINK("https://twitter.com/seu_dinheiro_br")</f>
        <v>https://twitter.com/seu_dinheiro_br</v>
      </c>
      <c r="BP247" s="2"/>
    </row>
    <row r="248" spans="1:68" x14ac:dyDescent="0.25">
      <c r="A248" s="62" t="s">
        <v>426</v>
      </c>
      <c r="B248" s="63"/>
      <c r="C248" s="63"/>
      <c r="D248" s="64"/>
      <c r="E248" s="66"/>
      <c r="F248" s="103" t="str">
        <f>HYPERLINK("https://pbs.twimg.com/profile_images/927616517377810432/VhTC5JuQ_normal.jpg")</f>
        <v>https://pbs.twimg.com/profile_images/927616517377810432/VhTC5JuQ_normal.jpg</v>
      </c>
      <c r="G248" s="63"/>
      <c r="H248" s="67"/>
      <c r="I248" s="68"/>
      <c r="J248" s="68"/>
      <c r="K248" s="67" t="s">
        <v>19981</v>
      </c>
      <c r="L248" s="71"/>
      <c r="M248" s="72"/>
      <c r="N248" s="72"/>
      <c r="O248" s="73"/>
      <c r="P248" s="74"/>
      <c r="Q248" s="74"/>
      <c r="R248" s="87"/>
      <c r="S248" s="87"/>
      <c r="T248" s="87"/>
      <c r="U248" s="87"/>
      <c r="V248" s="48"/>
      <c r="W248" s="48"/>
      <c r="X248" s="48"/>
      <c r="Y248" s="48"/>
      <c r="Z248" s="47"/>
      <c r="AA248" s="69">
        <v>248</v>
      </c>
      <c r="AB248" s="69"/>
      <c r="AC248" s="70"/>
      <c r="AD248" s="76" t="s">
        <v>17994</v>
      </c>
      <c r="AE248" s="81" t="s">
        <v>18412</v>
      </c>
      <c r="AF248" s="76">
        <v>8000</v>
      </c>
      <c r="AG248" s="76">
        <v>99</v>
      </c>
      <c r="AH248" s="76">
        <v>10818</v>
      </c>
      <c r="AI248" s="76">
        <v>42</v>
      </c>
      <c r="AJ248" s="76">
        <v>31</v>
      </c>
      <c r="AK248" s="76">
        <v>989</v>
      </c>
      <c r="AL248" s="76" t="b">
        <v>0</v>
      </c>
      <c r="AM248" s="78">
        <v>40232.818923611114</v>
      </c>
      <c r="AN248" s="76" t="s">
        <v>18568</v>
      </c>
      <c r="AO248" s="76" t="s">
        <v>18987</v>
      </c>
      <c r="AP248" s="83" t="str">
        <f>HYPERLINK("https://t.co/pYqubxAMz6")</f>
        <v>https://t.co/pYqubxAMz6</v>
      </c>
      <c r="AQ248" s="83" t="str">
        <f>HYPERLINK("http://www.motorshow.com.br")</f>
        <v>http://www.motorshow.com.br</v>
      </c>
      <c r="AR248" s="76" t="s">
        <v>19445</v>
      </c>
      <c r="AS248" s="76"/>
      <c r="AT248" s="76"/>
      <c r="AU248" s="76"/>
      <c r="AV248" s="76"/>
      <c r="AW248" s="83" t="str">
        <f>HYPERLINK("https://t.co/pYqubxAMz6")</f>
        <v>https://t.co/pYqubxAMz6</v>
      </c>
      <c r="AX248" s="76" t="b">
        <v>0</v>
      </c>
      <c r="AY248" s="76"/>
      <c r="AZ248" s="76"/>
      <c r="BA248" s="76" t="b">
        <v>0</v>
      </c>
      <c r="BB248" s="76" t="b">
        <v>1</v>
      </c>
      <c r="BC248" s="76" t="b">
        <v>0</v>
      </c>
      <c r="BD248" s="76" t="b">
        <v>0</v>
      </c>
      <c r="BE248" s="76" t="b">
        <v>0</v>
      </c>
      <c r="BF248" s="76" t="b">
        <v>0</v>
      </c>
      <c r="BG248" s="76" t="b">
        <v>0</v>
      </c>
      <c r="BH248" s="83" t="str">
        <f>HYPERLINK("https://pbs.twimg.com/profile_banners/116852305/1621615006")</f>
        <v>https://pbs.twimg.com/profile_banners/116852305/1621615006</v>
      </c>
      <c r="BI248" s="76"/>
      <c r="BJ248" s="76" t="s">
        <v>19734</v>
      </c>
      <c r="BK248" s="76" t="b">
        <v>0</v>
      </c>
      <c r="BL248" s="76"/>
      <c r="BM248" s="76" t="s">
        <v>66</v>
      </c>
      <c r="BN248" s="76" t="s">
        <v>19736</v>
      </c>
      <c r="BO248" s="83" t="str">
        <f>HYPERLINK("https://twitter.com/motorshow_ed3")</f>
        <v>https://twitter.com/motorshow_ed3</v>
      </c>
      <c r="BP248" s="2"/>
    </row>
    <row r="249" spans="1:68" x14ac:dyDescent="0.25">
      <c r="A249" s="62" t="s">
        <v>427</v>
      </c>
      <c r="B249" s="63"/>
      <c r="C249" s="63"/>
      <c r="D249" s="64"/>
      <c r="E249" s="66"/>
      <c r="F249" s="103" t="str">
        <f>HYPERLINK("https://pbs.twimg.com/profile_images/1618007896712683520/JUd11X4d_normal.jpg")</f>
        <v>https://pbs.twimg.com/profile_images/1618007896712683520/JUd11X4d_normal.jpg</v>
      </c>
      <c r="G249" s="63"/>
      <c r="H249" s="67"/>
      <c r="I249" s="68"/>
      <c r="J249" s="68"/>
      <c r="K249" s="67" t="s">
        <v>19982</v>
      </c>
      <c r="L249" s="71"/>
      <c r="M249" s="72"/>
      <c r="N249" s="72"/>
      <c r="O249" s="73"/>
      <c r="P249" s="74"/>
      <c r="Q249" s="74"/>
      <c r="R249" s="87"/>
      <c r="S249" s="87"/>
      <c r="T249" s="87"/>
      <c r="U249" s="87"/>
      <c r="V249" s="48"/>
      <c r="W249" s="48"/>
      <c r="X249" s="48"/>
      <c r="Y249" s="48"/>
      <c r="Z249" s="47"/>
      <c r="AA249" s="69">
        <v>249</v>
      </c>
      <c r="AB249" s="69"/>
      <c r="AC249" s="70"/>
      <c r="AD249" s="76" t="s">
        <v>17995</v>
      </c>
      <c r="AE249" s="81" t="s">
        <v>17551</v>
      </c>
      <c r="AF249" s="76">
        <v>17</v>
      </c>
      <c r="AG249" s="76">
        <v>71</v>
      </c>
      <c r="AH249" s="76">
        <v>72</v>
      </c>
      <c r="AI249" s="76">
        <v>0</v>
      </c>
      <c r="AJ249" s="76">
        <v>36</v>
      </c>
      <c r="AK249" s="76">
        <v>62</v>
      </c>
      <c r="AL249" s="76" t="b">
        <v>0</v>
      </c>
      <c r="AM249" s="78">
        <v>42947.025995370372</v>
      </c>
      <c r="AN249" s="76" t="s">
        <v>12014</v>
      </c>
      <c r="AO249" s="76" t="s">
        <v>18988</v>
      </c>
      <c r="AP249" s="83" t="str">
        <f>HYPERLINK("https://t.co/EPmsKFjClO")</f>
        <v>https://t.co/EPmsKFjClO</v>
      </c>
      <c r="AQ249" s="83" t="str">
        <f>HYPERLINK("https://linkpop.com/financa")</f>
        <v>https://linkpop.com/financa</v>
      </c>
      <c r="AR249" s="76" t="s">
        <v>19446</v>
      </c>
      <c r="AS249" s="76"/>
      <c r="AT249" s="76"/>
      <c r="AU249" s="76"/>
      <c r="AV249" s="76"/>
      <c r="AW249" s="83" t="str">
        <f>HYPERLINK("https://t.co/EPmsKFjClO")</f>
        <v>https://t.co/EPmsKFjClO</v>
      </c>
      <c r="AX249" s="76" t="b">
        <v>0</v>
      </c>
      <c r="AY249" s="76"/>
      <c r="AZ249" s="76"/>
      <c r="BA249" s="76" t="b">
        <v>0</v>
      </c>
      <c r="BB249" s="76" t="b">
        <v>1</v>
      </c>
      <c r="BC249" s="76" t="b">
        <v>0</v>
      </c>
      <c r="BD249" s="76" t="b">
        <v>0</v>
      </c>
      <c r="BE249" s="76" t="b">
        <v>0</v>
      </c>
      <c r="BF249" s="76" t="b">
        <v>0</v>
      </c>
      <c r="BG249" s="76" t="b">
        <v>0</v>
      </c>
      <c r="BH249" s="83" t="str">
        <f>HYPERLINK("https://pbs.twimg.com/profile_banners/891820062839115777/1538004435")</f>
        <v>https://pbs.twimg.com/profile_banners/891820062839115777/1538004435</v>
      </c>
      <c r="BI249" s="76"/>
      <c r="BJ249" s="76" t="s">
        <v>19734</v>
      </c>
      <c r="BK249" s="76" t="b">
        <v>0</v>
      </c>
      <c r="BL249" s="76"/>
      <c r="BM249" s="76" t="s">
        <v>66</v>
      </c>
      <c r="BN249" s="76" t="s">
        <v>19736</v>
      </c>
      <c r="BO249" s="83" t="str">
        <f>HYPERLINK("https://twitter.com/financad")</f>
        <v>https://twitter.com/financad</v>
      </c>
      <c r="BP249" s="2"/>
    </row>
    <row r="250" spans="1:68" x14ac:dyDescent="0.25">
      <c r="A250" s="62" t="s">
        <v>428</v>
      </c>
      <c r="B250" s="63"/>
      <c r="C250" s="63"/>
      <c r="D250" s="64"/>
      <c r="E250" s="66"/>
      <c r="F250" s="103" t="str">
        <f>HYPERLINK("https://pbs.twimg.com/profile_images/1697954976490745856/_K5jNfr3_normal.jpg")</f>
        <v>https://pbs.twimg.com/profile_images/1697954976490745856/_K5jNfr3_normal.jpg</v>
      </c>
      <c r="G250" s="63"/>
      <c r="H250" s="67"/>
      <c r="I250" s="68"/>
      <c r="J250" s="68"/>
      <c r="K250" s="67" t="s">
        <v>19983</v>
      </c>
      <c r="L250" s="71"/>
      <c r="M250" s="72"/>
      <c r="N250" s="72"/>
      <c r="O250" s="73"/>
      <c r="P250" s="74"/>
      <c r="Q250" s="74"/>
      <c r="R250" s="87"/>
      <c r="S250" s="87"/>
      <c r="T250" s="87"/>
      <c r="U250" s="87"/>
      <c r="V250" s="48"/>
      <c r="W250" s="48"/>
      <c r="X250" s="48"/>
      <c r="Y250" s="48"/>
      <c r="Z250" s="47"/>
      <c r="AA250" s="69">
        <v>250</v>
      </c>
      <c r="AB250" s="69"/>
      <c r="AC250" s="70"/>
      <c r="AD250" s="76" t="s">
        <v>17996</v>
      </c>
      <c r="AE250" s="81" t="s">
        <v>17552</v>
      </c>
      <c r="AF250" s="76">
        <v>10</v>
      </c>
      <c r="AG250" s="76">
        <v>37</v>
      </c>
      <c r="AH250" s="76">
        <v>272</v>
      </c>
      <c r="AI250" s="76">
        <v>1</v>
      </c>
      <c r="AJ250" s="76">
        <v>337</v>
      </c>
      <c r="AK250" s="76">
        <v>6</v>
      </c>
      <c r="AL250" s="76" t="b">
        <v>0</v>
      </c>
      <c r="AM250" s="78">
        <v>45045.60224537037</v>
      </c>
      <c r="AN250" s="76" t="s">
        <v>12013</v>
      </c>
      <c r="AO250" s="76" t="s">
        <v>18989</v>
      </c>
      <c r="AP250" s="76"/>
      <c r="AQ250" s="76"/>
      <c r="AR250" s="76"/>
      <c r="AS250" s="76"/>
      <c r="AT250" s="76"/>
      <c r="AU250" s="76"/>
      <c r="AV250" s="76">
        <v>1.66431115955665E+18</v>
      </c>
      <c r="AW250" s="76"/>
      <c r="AX250" s="76" t="b">
        <v>0</v>
      </c>
      <c r="AY250" s="76"/>
      <c r="AZ250" s="76"/>
      <c r="BA250" s="76" t="b">
        <v>0</v>
      </c>
      <c r="BB250" s="76" t="b">
        <v>1</v>
      </c>
      <c r="BC250" s="76" t="b">
        <v>1</v>
      </c>
      <c r="BD250" s="76" t="b">
        <v>0</v>
      </c>
      <c r="BE250" s="76" t="b">
        <v>0</v>
      </c>
      <c r="BF250" s="76" t="b">
        <v>0</v>
      </c>
      <c r="BG250" s="76" t="b">
        <v>0</v>
      </c>
      <c r="BH250" s="83" t="str">
        <f>HYPERLINK("https://pbs.twimg.com/profile_banners/1652318496926179328/1683254882")</f>
        <v>https://pbs.twimg.com/profile_banners/1652318496926179328/1683254882</v>
      </c>
      <c r="BI250" s="76"/>
      <c r="BJ250" s="76" t="s">
        <v>19734</v>
      </c>
      <c r="BK250" s="76" t="b">
        <v>0</v>
      </c>
      <c r="BL250" s="76"/>
      <c r="BM250" s="76" t="s">
        <v>66</v>
      </c>
      <c r="BN250" s="76" t="s">
        <v>19736</v>
      </c>
      <c r="BO250" s="83" t="str">
        <f>HYPERLINK("https://twitter.com/vnc_005")</f>
        <v>https://twitter.com/vnc_005</v>
      </c>
      <c r="BP250" s="2"/>
    </row>
    <row r="251" spans="1:68" x14ac:dyDescent="0.25">
      <c r="A251" s="62" t="s">
        <v>429</v>
      </c>
      <c r="B251" s="63"/>
      <c r="C251" s="63"/>
      <c r="D251" s="64"/>
      <c r="E251" s="66"/>
      <c r="F251" s="103" t="str">
        <f>HYPERLINK("https://pbs.twimg.com/profile_images/1666518697479905287/9cACXEY2_normal.jpg")</f>
        <v>https://pbs.twimg.com/profile_images/1666518697479905287/9cACXEY2_normal.jpg</v>
      </c>
      <c r="G251" s="63"/>
      <c r="H251" s="67"/>
      <c r="I251" s="68"/>
      <c r="J251" s="68"/>
      <c r="K251" s="67" t="s">
        <v>19984</v>
      </c>
      <c r="L251" s="71"/>
      <c r="M251" s="72"/>
      <c r="N251" s="72"/>
      <c r="O251" s="73"/>
      <c r="P251" s="74"/>
      <c r="Q251" s="74"/>
      <c r="R251" s="87"/>
      <c r="S251" s="87"/>
      <c r="T251" s="87"/>
      <c r="U251" s="87"/>
      <c r="V251" s="48"/>
      <c r="W251" s="48"/>
      <c r="X251" s="48"/>
      <c r="Y251" s="48"/>
      <c r="Z251" s="47"/>
      <c r="AA251" s="69">
        <v>251</v>
      </c>
      <c r="AB251" s="69"/>
      <c r="AC251" s="70"/>
      <c r="AD251" s="76" t="s">
        <v>17997</v>
      </c>
      <c r="AE251" s="81" t="s">
        <v>17553</v>
      </c>
      <c r="AF251" s="76">
        <v>3</v>
      </c>
      <c r="AG251" s="76">
        <v>148</v>
      </c>
      <c r="AH251" s="76">
        <v>40</v>
      </c>
      <c r="AI251" s="76">
        <v>0</v>
      </c>
      <c r="AJ251" s="76">
        <v>290</v>
      </c>
      <c r="AK251" s="76">
        <v>10</v>
      </c>
      <c r="AL251" s="76" t="b">
        <v>0</v>
      </c>
      <c r="AM251" s="78">
        <v>44769.56962962963</v>
      </c>
      <c r="AN251" s="76" t="s">
        <v>12022</v>
      </c>
      <c r="AO251" s="76" t="s">
        <v>18990</v>
      </c>
      <c r="AP251" s="83" t="str">
        <f>HYPERLINK("https://t.co/toUMSUAbOO")</f>
        <v>https://t.co/toUMSUAbOO</v>
      </c>
      <c r="AQ251" s="83" t="str">
        <f>HYPERLINK("https://www.youtube.com/@pittertrader")</f>
        <v>https://www.youtube.com/@pittertrader</v>
      </c>
      <c r="AR251" s="76" t="s">
        <v>19447</v>
      </c>
      <c r="AS251" s="76"/>
      <c r="AT251" s="76"/>
      <c r="AU251" s="76"/>
      <c r="AV251" s="76"/>
      <c r="AW251" s="83" t="str">
        <f>HYPERLINK("https://t.co/toUMSUAbOO")</f>
        <v>https://t.co/toUMSUAbOO</v>
      </c>
      <c r="AX251" s="76" t="b">
        <v>0</v>
      </c>
      <c r="AY251" s="76"/>
      <c r="AZ251" s="76"/>
      <c r="BA251" s="76" t="b">
        <v>0</v>
      </c>
      <c r="BB251" s="76" t="b">
        <v>1</v>
      </c>
      <c r="BC251" s="76" t="b">
        <v>1</v>
      </c>
      <c r="BD251" s="76" t="b">
        <v>0</v>
      </c>
      <c r="BE251" s="76" t="b">
        <v>1</v>
      </c>
      <c r="BF251" s="76" t="b">
        <v>0</v>
      </c>
      <c r="BG251" s="76" t="b">
        <v>0</v>
      </c>
      <c r="BH251" s="83" t="str">
        <f>HYPERLINK("https://pbs.twimg.com/profile_banners/1552287518913167362/1685229167")</f>
        <v>https://pbs.twimg.com/profile_banners/1552287518913167362/1685229167</v>
      </c>
      <c r="BI251" s="76"/>
      <c r="BJ251" s="76" t="s">
        <v>19734</v>
      </c>
      <c r="BK251" s="76" t="b">
        <v>0</v>
      </c>
      <c r="BL251" s="76"/>
      <c r="BM251" s="76" t="s">
        <v>66</v>
      </c>
      <c r="BN251" s="76" t="s">
        <v>19736</v>
      </c>
      <c r="BO251" s="83" t="str">
        <f>HYPERLINK("https://twitter.com/pittertrader")</f>
        <v>https://twitter.com/pittertrader</v>
      </c>
      <c r="BP251" s="2"/>
    </row>
    <row r="252" spans="1:68" x14ac:dyDescent="0.25">
      <c r="A252" s="62" t="s">
        <v>430</v>
      </c>
      <c r="B252" s="63"/>
      <c r="C252" s="63"/>
      <c r="D252" s="64"/>
      <c r="E252" s="66"/>
      <c r="F252" s="103" t="str">
        <f>HYPERLINK("https://pbs.twimg.com/profile_images/1650837777649418241/jnGKtY2v_normal.jpg")</f>
        <v>https://pbs.twimg.com/profile_images/1650837777649418241/jnGKtY2v_normal.jpg</v>
      </c>
      <c r="G252" s="63"/>
      <c r="H252" s="67"/>
      <c r="I252" s="68"/>
      <c r="J252" s="68"/>
      <c r="K252" s="67" t="s">
        <v>19985</v>
      </c>
      <c r="L252" s="71"/>
      <c r="M252" s="72"/>
      <c r="N252" s="72"/>
      <c r="O252" s="73"/>
      <c r="P252" s="74"/>
      <c r="Q252" s="74"/>
      <c r="R252" s="87"/>
      <c r="S252" s="87"/>
      <c r="T252" s="87"/>
      <c r="U252" s="87"/>
      <c r="V252" s="48"/>
      <c r="W252" s="48"/>
      <c r="X252" s="48"/>
      <c r="Y252" s="48"/>
      <c r="Z252" s="47"/>
      <c r="AA252" s="69">
        <v>252</v>
      </c>
      <c r="AB252" s="69"/>
      <c r="AC252" s="70"/>
      <c r="AD252" s="76" t="s">
        <v>17998</v>
      </c>
      <c r="AE252" s="81" t="s">
        <v>17554</v>
      </c>
      <c r="AF252" s="76">
        <v>52</v>
      </c>
      <c r="AG252" s="76">
        <v>392</v>
      </c>
      <c r="AH252" s="76">
        <v>848</v>
      </c>
      <c r="AI252" s="76">
        <v>0</v>
      </c>
      <c r="AJ252" s="76">
        <v>1499</v>
      </c>
      <c r="AK252" s="76">
        <v>155</v>
      </c>
      <c r="AL252" s="76" t="b">
        <v>0</v>
      </c>
      <c r="AM252" s="78">
        <v>45041.51494212963</v>
      </c>
      <c r="AN252" s="76" t="s">
        <v>12007</v>
      </c>
      <c r="AO252" s="76" t="s">
        <v>18991</v>
      </c>
      <c r="AP252" s="83" t="str">
        <f>HYPERLINK("https://t.co/uFvdnjRFW6")</f>
        <v>https://t.co/uFvdnjRFW6</v>
      </c>
      <c r="AQ252" s="83" t="str">
        <f>HYPERLINK("https://moneymarkets.com.br/")</f>
        <v>https://moneymarkets.com.br/</v>
      </c>
      <c r="AR252" s="76" t="s">
        <v>19448</v>
      </c>
      <c r="AS252" s="76"/>
      <c r="AT252" s="76"/>
      <c r="AU252" s="76"/>
      <c r="AV252" s="76"/>
      <c r="AW252" s="83" t="str">
        <f>HYPERLINK("https://t.co/uFvdnjRFW6")</f>
        <v>https://t.co/uFvdnjRFW6</v>
      </c>
      <c r="AX252" s="76" t="b">
        <v>0</v>
      </c>
      <c r="AY252" s="76"/>
      <c r="AZ252" s="76"/>
      <c r="BA252" s="76" t="b">
        <v>0</v>
      </c>
      <c r="BB252" s="76" t="b">
        <v>1</v>
      </c>
      <c r="BC252" s="76" t="b">
        <v>1</v>
      </c>
      <c r="BD252" s="76" t="b">
        <v>0</v>
      </c>
      <c r="BE252" s="76" t="b">
        <v>0</v>
      </c>
      <c r="BF252" s="76" t="b">
        <v>0</v>
      </c>
      <c r="BG252" s="76" t="b">
        <v>0</v>
      </c>
      <c r="BH252" s="83" t="str">
        <f>HYPERLINK("https://pbs.twimg.com/profile_banners/1650837402607386624/1682429229")</f>
        <v>https://pbs.twimg.com/profile_banners/1650837402607386624/1682429229</v>
      </c>
      <c r="BI252" s="76"/>
      <c r="BJ252" s="76" t="s">
        <v>19734</v>
      </c>
      <c r="BK252" s="76" t="b">
        <v>0</v>
      </c>
      <c r="BL252" s="76"/>
      <c r="BM252" s="76" t="s">
        <v>66</v>
      </c>
      <c r="BN252" s="76" t="s">
        <v>19736</v>
      </c>
      <c r="BO252" s="83" t="str">
        <f>HYPERLINK("https://twitter.com/moneymarkets_br")</f>
        <v>https://twitter.com/moneymarkets_br</v>
      </c>
      <c r="BP252" s="2"/>
    </row>
    <row r="253" spans="1:68" x14ac:dyDescent="0.25">
      <c r="A253" s="62" t="s">
        <v>431</v>
      </c>
      <c r="B253" s="63"/>
      <c r="C253" s="63"/>
      <c r="D253" s="64"/>
      <c r="E253" s="66"/>
      <c r="F253" s="103" t="str">
        <f>HYPERLINK("https://pbs.twimg.com/profile_images/1678560901010452480/AKRnhp2X_normal.jpg")</f>
        <v>https://pbs.twimg.com/profile_images/1678560901010452480/AKRnhp2X_normal.jpg</v>
      </c>
      <c r="G253" s="63"/>
      <c r="H253" s="67"/>
      <c r="I253" s="68"/>
      <c r="J253" s="68"/>
      <c r="K253" s="67" t="s">
        <v>19986</v>
      </c>
      <c r="L253" s="71"/>
      <c r="M253" s="72"/>
      <c r="N253" s="72"/>
      <c r="O253" s="73"/>
      <c r="P253" s="74"/>
      <c r="Q253" s="74"/>
      <c r="R253" s="87"/>
      <c r="S253" s="87"/>
      <c r="T253" s="87"/>
      <c r="U253" s="87"/>
      <c r="V253" s="48"/>
      <c r="W253" s="48"/>
      <c r="X253" s="48"/>
      <c r="Y253" s="48"/>
      <c r="Z253" s="47"/>
      <c r="AA253" s="69">
        <v>253</v>
      </c>
      <c r="AB253" s="69"/>
      <c r="AC253" s="70"/>
      <c r="AD253" s="76" t="s">
        <v>17999</v>
      </c>
      <c r="AE253" s="81" t="s">
        <v>18413</v>
      </c>
      <c r="AF253" s="76">
        <v>6968</v>
      </c>
      <c r="AG253" s="76">
        <v>84</v>
      </c>
      <c r="AH253" s="76">
        <v>29991</v>
      </c>
      <c r="AI253" s="76">
        <v>98</v>
      </c>
      <c r="AJ253" s="76">
        <v>771</v>
      </c>
      <c r="AK253" s="76">
        <v>594</v>
      </c>
      <c r="AL253" s="76" t="b">
        <v>0</v>
      </c>
      <c r="AM253" s="78">
        <v>41729.828761574077</v>
      </c>
      <c r="AN253" s="76" t="s">
        <v>18641</v>
      </c>
      <c r="AO253" s="76" t="s">
        <v>18992</v>
      </c>
      <c r="AP253" s="83" t="str">
        <f>HYPERLINK("https://t.co/L6hzJ9u1vt")</f>
        <v>https://t.co/L6hzJ9u1vt</v>
      </c>
      <c r="AQ253" s="83" t="str">
        <f>HYPERLINK("https://bit.ly/EUQUEROMW9")</f>
        <v>https://bit.ly/EUQUEROMW9</v>
      </c>
      <c r="AR253" s="76" t="s">
        <v>19449</v>
      </c>
      <c r="AS253" s="76"/>
      <c r="AT253" s="76"/>
      <c r="AU253" s="76"/>
      <c r="AV253" s="76">
        <v>1.7074027963733499E+18</v>
      </c>
      <c r="AW253" s="83" t="str">
        <f>HYPERLINK("https://t.co/L6hzJ9u1vt")</f>
        <v>https://t.co/L6hzJ9u1vt</v>
      </c>
      <c r="AX253" s="76" t="b">
        <v>0</v>
      </c>
      <c r="AY253" s="76"/>
      <c r="AZ253" s="76"/>
      <c r="BA253" s="76" t="b">
        <v>1</v>
      </c>
      <c r="BB253" s="76" t="b">
        <v>1</v>
      </c>
      <c r="BC253" s="76" t="b">
        <v>1</v>
      </c>
      <c r="BD253" s="76" t="b">
        <v>0</v>
      </c>
      <c r="BE253" s="76" t="b">
        <v>0</v>
      </c>
      <c r="BF253" s="76" t="b">
        <v>0</v>
      </c>
      <c r="BG253" s="76" t="b">
        <v>0</v>
      </c>
      <c r="BH253" s="83" t="str">
        <f>HYPERLINK("https://pbs.twimg.com/profile_banners/2421006511/1692367632")</f>
        <v>https://pbs.twimg.com/profile_banners/2421006511/1692367632</v>
      </c>
      <c r="BI253" s="76"/>
      <c r="BJ253" s="76" t="s">
        <v>19734</v>
      </c>
      <c r="BK253" s="76" t="b">
        <v>0</v>
      </c>
      <c r="BL253" s="76"/>
      <c r="BM253" s="76" t="s">
        <v>66</v>
      </c>
      <c r="BN253" s="76" t="s">
        <v>19736</v>
      </c>
      <c r="BO253" s="83" t="str">
        <f>HYPERLINK("https://twitter.com/euqueroinvestir")</f>
        <v>https://twitter.com/euqueroinvestir</v>
      </c>
      <c r="BP253" s="2"/>
    </row>
    <row r="254" spans="1:68" x14ac:dyDescent="0.25">
      <c r="A254" s="62" t="s">
        <v>432</v>
      </c>
      <c r="B254" s="63"/>
      <c r="C254" s="63"/>
      <c r="D254" s="64"/>
      <c r="E254" s="66"/>
      <c r="F254" s="103" t="str">
        <f>HYPERLINK("https://pbs.twimg.com/profile_images/1258464586426200064/qUXK11xT_normal.jpg")</f>
        <v>https://pbs.twimg.com/profile_images/1258464586426200064/qUXK11xT_normal.jpg</v>
      </c>
      <c r="G254" s="63"/>
      <c r="H254" s="67"/>
      <c r="I254" s="68"/>
      <c r="J254" s="68"/>
      <c r="K254" s="67" t="s">
        <v>19987</v>
      </c>
      <c r="L254" s="71"/>
      <c r="M254" s="72"/>
      <c r="N254" s="72"/>
      <c r="O254" s="73"/>
      <c r="P254" s="74"/>
      <c r="Q254" s="74"/>
      <c r="R254" s="87"/>
      <c r="S254" s="87"/>
      <c r="T254" s="87"/>
      <c r="U254" s="87"/>
      <c r="V254" s="48"/>
      <c r="W254" s="48"/>
      <c r="X254" s="48"/>
      <c r="Y254" s="48"/>
      <c r="Z254" s="47"/>
      <c r="AA254" s="69">
        <v>254</v>
      </c>
      <c r="AB254" s="69"/>
      <c r="AC254" s="70"/>
      <c r="AD254" s="76" t="s">
        <v>18000</v>
      </c>
      <c r="AE254" s="81" t="s">
        <v>18414</v>
      </c>
      <c r="AF254" s="76">
        <v>173</v>
      </c>
      <c r="AG254" s="76">
        <v>315</v>
      </c>
      <c r="AH254" s="76">
        <v>1274</v>
      </c>
      <c r="AI254" s="76">
        <v>3</v>
      </c>
      <c r="AJ254" s="76">
        <v>230</v>
      </c>
      <c r="AK254" s="76">
        <v>279</v>
      </c>
      <c r="AL254" s="76" t="b">
        <v>0</v>
      </c>
      <c r="AM254" s="78">
        <v>39962.652685185189</v>
      </c>
      <c r="AN254" s="76" t="s">
        <v>18642</v>
      </c>
      <c r="AO254" s="76" t="s">
        <v>18993</v>
      </c>
      <c r="AP254" s="83" t="str">
        <f>HYPERLINK("https://t.co/QWiFSfXTWZ")</f>
        <v>https://t.co/QWiFSfXTWZ</v>
      </c>
      <c r="AQ254" s="83" t="str">
        <f>HYPERLINK("https://www.paivapiovesan.com/")</f>
        <v>https://www.paivapiovesan.com/</v>
      </c>
      <c r="AR254" s="76" t="s">
        <v>19450</v>
      </c>
      <c r="AS254" s="76"/>
      <c r="AT254" s="76"/>
      <c r="AU254" s="76"/>
      <c r="AV254" s="76"/>
      <c r="AW254" s="83" t="str">
        <f>HYPERLINK("https://t.co/QWiFSfXTWZ")</f>
        <v>https://t.co/QWiFSfXTWZ</v>
      </c>
      <c r="AX254" s="76" t="b">
        <v>0</v>
      </c>
      <c r="AY254" s="76"/>
      <c r="AZ254" s="76"/>
      <c r="BA254" s="76" t="b">
        <v>0</v>
      </c>
      <c r="BB254" s="76" t="b">
        <v>1</v>
      </c>
      <c r="BC254" s="76" t="b">
        <v>0</v>
      </c>
      <c r="BD254" s="76" t="b">
        <v>0</v>
      </c>
      <c r="BE254" s="76" t="b">
        <v>1</v>
      </c>
      <c r="BF254" s="76" t="b">
        <v>0</v>
      </c>
      <c r="BG254" s="76" t="b">
        <v>0</v>
      </c>
      <c r="BH254" s="83" t="str">
        <f>HYPERLINK("https://pbs.twimg.com/profile_banners/43351877/1619465579")</f>
        <v>https://pbs.twimg.com/profile_banners/43351877/1619465579</v>
      </c>
      <c r="BI254" s="76"/>
      <c r="BJ254" s="76" t="s">
        <v>19734</v>
      </c>
      <c r="BK254" s="76" t="b">
        <v>0</v>
      </c>
      <c r="BL254" s="76"/>
      <c r="BM254" s="76" t="s">
        <v>66</v>
      </c>
      <c r="BN254" s="76" t="s">
        <v>19736</v>
      </c>
      <c r="BO254" s="83" t="str">
        <f>HYPERLINK("https://twitter.com/paivapiovesan")</f>
        <v>https://twitter.com/paivapiovesan</v>
      </c>
      <c r="BP254" s="2"/>
    </row>
    <row r="255" spans="1:68" x14ac:dyDescent="0.25">
      <c r="A255" s="62" t="s">
        <v>433</v>
      </c>
      <c r="B255" s="63"/>
      <c r="C255" s="63"/>
      <c r="D255" s="64"/>
      <c r="E255" s="66"/>
      <c r="F255" s="103" t="str">
        <f>HYPERLINK("https://pbs.twimg.com/profile_images/1701311218097541120/rDP8vMkB_normal.jpg")</f>
        <v>https://pbs.twimg.com/profile_images/1701311218097541120/rDP8vMkB_normal.jpg</v>
      </c>
      <c r="G255" s="63"/>
      <c r="H255" s="67"/>
      <c r="I255" s="68"/>
      <c r="J255" s="68"/>
      <c r="K255" s="67" t="s">
        <v>19988</v>
      </c>
      <c r="L255" s="71"/>
      <c r="M255" s="72"/>
      <c r="N255" s="72"/>
      <c r="O255" s="73"/>
      <c r="P255" s="74"/>
      <c r="Q255" s="74"/>
      <c r="R255" s="87"/>
      <c r="S255" s="87"/>
      <c r="T255" s="87"/>
      <c r="U255" s="87"/>
      <c r="V255" s="48"/>
      <c r="W255" s="48"/>
      <c r="X255" s="48"/>
      <c r="Y255" s="48"/>
      <c r="Z255" s="47"/>
      <c r="AA255" s="69">
        <v>255</v>
      </c>
      <c r="AB255" s="69"/>
      <c r="AC255" s="70"/>
      <c r="AD255" s="76" t="s">
        <v>18001</v>
      </c>
      <c r="AE255" s="81" t="s">
        <v>17555</v>
      </c>
      <c r="AF255" s="76">
        <v>17</v>
      </c>
      <c r="AG255" s="76">
        <v>367</v>
      </c>
      <c r="AH255" s="76">
        <v>321</v>
      </c>
      <c r="AI255" s="76">
        <v>0</v>
      </c>
      <c r="AJ255" s="76">
        <v>115</v>
      </c>
      <c r="AK255" s="76">
        <v>0</v>
      </c>
      <c r="AL255" s="76" t="b">
        <v>0</v>
      </c>
      <c r="AM255" s="78">
        <v>44433.956203703703</v>
      </c>
      <c r="AN255" s="76"/>
      <c r="AO255" s="76"/>
      <c r="AP255" s="76"/>
      <c r="AQ255" s="76"/>
      <c r="AR255" s="76"/>
      <c r="AS255" s="76"/>
      <c r="AT255" s="76"/>
      <c r="AU255" s="76"/>
      <c r="AV255" s="76"/>
      <c r="AW255" s="76"/>
      <c r="AX255" s="76" t="b">
        <v>0</v>
      </c>
      <c r="AY255" s="76"/>
      <c r="AZ255" s="76"/>
      <c r="BA255" s="76" t="b">
        <v>0</v>
      </c>
      <c r="BB255" s="76" t="b">
        <v>1</v>
      </c>
      <c r="BC255" s="76" t="b">
        <v>1</v>
      </c>
      <c r="BD255" s="76" t="b">
        <v>0</v>
      </c>
      <c r="BE255" s="76" t="b">
        <v>0</v>
      </c>
      <c r="BF255" s="76" t="b">
        <v>0</v>
      </c>
      <c r="BG255" s="76" t="b">
        <v>0</v>
      </c>
      <c r="BH255" s="83" t="str">
        <f>HYPERLINK("https://pbs.twimg.com/profile_banners/1430665453488254979/1694459439")</f>
        <v>https://pbs.twimg.com/profile_banners/1430665453488254979/1694459439</v>
      </c>
      <c r="BI255" s="76"/>
      <c r="BJ255" s="76" t="s">
        <v>19734</v>
      </c>
      <c r="BK255" s="76" t="b">
        <v>0</v>
      </c>
      <c r="BL255" s="76"/>
      <c r="BM255" s="76" t="s">
        <v>66</v>
      </c>
      <c r="BN255" s="76" t="s">
        <v>19736</v>
      </c>
      <c r="BO255" s="83" t="str">
        <f>HYPERLINK("https://twitter.com/o_turco_")</f>
        <v>https://twitter.com/o_turco_</v>
      </c>
      <c r="BP255" s="2"/>
    </row>
    <row r="256" spans="1:68" x14ac:dyDescent="0.25">
      <c r="A256" s="62" t="s">
        <v>434</v>
      </c>
      <c r="B256" s="63"/>
      <c r="C256" s="63"/>
      <c r="D256" s="64"/>
      <c r="E256" s="66"/>
      <c r="F256" s="103" t="str">
        <f>HYPERLINK("https://pbs.twimg.com/profile_images/1590759271397990401/qBa_OgmJ_normal.jpg")</f>
        <v>https://pbs.twimg.com/profile_images/1590759271397990401/qBa_OgmJ_normal.jpg</v>
      </c>
      <c r="G256" s="63"/>
      <c r="H256" s="67"/>
      <c r="I256" s="68"/>
      <c r="J256" s="68"/>
      <c r="K256" s="67" t="s">
        <v>19989</v>
      </c>
      <c r="L256" s="71"/>
      <c r="M256" s="72"/>
      <c r="N256" s="72"/>
      <c r="O256" s="73"/>
      <c r="P256" s="74"/>
      <c r="Q256" s="74"/>
      <c r="R256" s="87"/>
      <c r="S256" s="87"/>
      <c r="T256" s="87"/>
      <c r="U256" s="87"/>
      <c r="V256" s="48"/>
      <c r="W256" s="48"/>
      <c r="X256" s="48"/>
      <c r="Y256" s="48"/>
      <c r="Z256" s="47"/>
      <c r="AA256" s="69">
        <v>256</v>
      </c>
      <c r="AB256" s="69"/>
      <c r="AC256" s="70"/>
      <c r="AD256" s="76" t="s">
        <v>18002</v>
      </c>
      <c r="AE256" s="81" t="s">
        <v>17556</v>
      </c>
      <c r="AF256" s="76">
        <v>699</v>
      </c>
      <c r="AG256" s="76">
        <v>760</v>
      </c>
      <c r="AH256" s="76">
        <v>2523</v>
      </c>
      <c r="AI256" s="76">
        <v>2</v>
      </c>
      <c r="AJ256" s="76">
        <v>6647</v>
      </c>
      <c r="AK256" s="76">
        <v>855</v>
      </c>
      <c r="AL256" s="76" t="b">
        <v>0</v>
      </c>
      <c r="AM256" s="78">
        <v>44875.730775462966</v>
      </c>
      <c r="AN256" s="76"/>
      <c r="AO256" s="76" t="s">
        <v>18994</v>
      </c>
      <c r="AP256" s="76"/>
      <c r="AQ256" s="76"/>
      <c r="AR256" s="76"/>
      <c r="AS256" s="76"/>
      <c r="AT256" s="76"/>
      <c r="AU256" s="76"/>
      <c r="AV256" s="76"/>
      <c r="AW256" s="76"/>
      <c r="AX256" s="76" t="b">
        <v>0</v>
      </c>
      <c r="AY256" s="76"/>
      <c r="AZ256" s="76"/>
      <c r="BA256" s="76" t="b">
        <v>0</v>
      </c>
      <c r="BB256" s="76" t="b">
        <v>1</v>
      </c>
      <c r="BC256" s="76" t="b">
        <v>1</v>
      </c>
      <c r="BD256" s="76" t="b">
        <v>0</v>
      </c>
      <c r="BE256" s="76" t="b">
        <v>0</v>
      </c>
      <c r="BF256" s="76" t="b">
        <v>0</v>
      </c>
      <c r="BG256" s="76" t="b">
        <v>0</v>
      </c>
      <c r="BH256" s="83" t="str">
        <f>HYPERLINK("https://pbs.twimg.com/profile_banners/1590758849933443072/1668103826")</f>
        <v>https://pbs.twimg.com/profile_banners/1590758849933443072/1668103826</v>
      </c>
      <c r="BI256" s="76"/>
      <c r="BJ256" s="76" t="s">
        <v>19734</v>
      </c>
      <c r="BK256" s="76" t="b">
        <v>0</v>
      </c>
      <c r="BL256" s="76"/>
      <c r="BM256" s="76" t="s">
        <v>66</v>
      </c>
      <c r="BN256" s="76" t="s">
        <v>19736</v>
      </c>
      <c r="BO256" s="83" t="str">
        <f>HYPERLINK("https://twitter.com/monicabrisolla")</f>
        <v>https://twitter.com/monicabrisolla</v>
      </c>
      <c r="BP256" s="2"/>
    </row>
    <row r="257" spans="1:68" x14ac:dyDescent="0.25">
      <c r="A257" s="62" t="s">
        <v>435</v>
      </c>
      <c r="B257" s="63"/>
      <c r="C257" s="63"/>
      <c r="D257" s="64"/>
      <c r="E257" s="66"/>
      <c r="F257" s="103" t="str">
        <f>HYPERLINK("https://pbs.twimg.com/profile_images/1620068456165933060/TShADQck_normal.jpg")</f>
        <v>https://pbs.twimg.com/profile_images/1620068456165933060/TShADQck_normal.jpg</v>
      </c>
      <c r="G257" s="63"/>
      <c r="H257" s="67"/>
      <c r="I257" s="68"/>
      <c r="J257" s="68"/>
      <c r="K257" s="67" t="s">
        <v>19990</v>
      </c>
      <c r="L257" s="71"/>
      <c r="M257" s="72"/>
      <c r="N257" s="72"/>
      <c r="O257" s="73"/>
      <c r="P257" s="74"/>
      <c r="Q257" s="74"/>
      <c r="R257" s="87"/>
      <c r="S257" s="87"/>
      <c r="T257" s="87"/>
      <c r="U257" s="87"/>
      <c r="V257" s="48"/>
      <c r="W257" s="48"/>
      <c r="X257" s="48"/>
      <c r="Y257" s="48"/>
      <c r="Z257" s="47"/>
      <c r="AA257" s="69">
        <v>257</v>
      </c>
      <c r="AB257" s="69"/>
      <c r="AC257" s="70"/>
      <c r="AD257" s="76" t="s">
        <v>18003</v>
      </c>
      <c r="AE257" s="81" t="s">
        <v>17557</v>
      </c>
      <c r="AF257" s="76">
        <v>2367</v>
      </c>
      <c r="AG257" s="76">
        <v>0</v>
      </c>
      <c r="AH257" s="76">
        <v>3775</v>
      </c>
      <c r="AI257" s="76">
        <v>34</v>
      </c>
      <c r="AJ257" s="76">
        <v>27</v>
      </c>
      <c r="AK257" s="76">
        <v>223</v>
      </c>
      <c r="AL257" s="76" t="b">
        <v>0</v>
      </c>
      <c r="AM257" s="78">
        <v>44154.484259259261</v>
      </c>
      <c r="AN257" s="76"/>
      <c r="AO257" s="76" t="s">
        <v>18995</v>
      </c>
      <c r="AP257" s="83" t="str">
        <f>HYPERLINK("https://t.co/0uJ9BYJxkN")</f>
        <v>https://t.co/0uJ9BYJxkN</v>
      </c>
      <c r="AQ257" s="83" t="str">
        <f>HYPERLINK("http://flj.com.br")</f>
        <v>http://flj.com.br</v>
      </c>
      <c r="AR257" s="76" t="s">
        <v>19451</v>
      </c>
      <c r="AS257" s="76"/>
      <c r="AT257" s="76"/>
      <c r="AU257" s="76"/>
      <c r="AV257" s="76">
        <v>1.6201214122154099E+18</v>
      </c>
      <c r="AW257" s="83" t="str">
        <f>HYPERLINK("https://t.co/0uJ9BYJxkN")</f>
        <v>https://t.co/0uJ9BYJxkN</v>
      </c>
      <c r="AX257" s="76" t="b">
        <v>1</v>
      </c>
      <c r="AY257" s="76"/>
      <c r="AZ257" s="76"/>
      <c r="BA257" s="76" t="b">
        <v>1</v>
      </c>
      <c r="BB257" s="76" t="b">
        <v>1</v>
      </c>
      <c r="BC257" s="76" t="b">
        <v>1</v>
      </c>
      <c r="BD257" s="76" t="b">
        <v>0</v>
      </c>
      <c r="BE257" s="76" t="b">
        <v>0</v>
      </c>
      <c r="BF257" s="76" t="b">
        <v>0</v>
      </c>
      <c r="BG257" s="76" t="b">
        <v>0</v>
      </c>
      <c r="BH257" s="83" t="str">
        <f>HYPERLINK("https://pbs.twimg.com/profile_banners/1329388236519727105/1675271884")</f>
        <v>https://pbs.twimg.com/profile_banners/1329388236519727105/1675271884</v>
      </c>
      <c r="BI257" s="76"/>
      <c r="BJ257" s="76" t="s">
        <v>19734</v>
      </c>
      <c r="BK257" s="76" t="b">
        <v>0</v>
      </c>
      <c r="BL257" s="76"/>
      <c r="BM257" s="76" t="s">
        <v>66</v>
      </c>
      <c r="BN257" s="76" t="s">
        <v>19736</v>
      </c>
      <c r="BO257" s="83" t="str">
        <f>HYPERLINK("https://twitter.com/leiaflj")</f>
        <v>https://twitter.com/leiaflj</v>
      </c>
      <c r="BP257" s="2"/>
    </row>
    <row r="258" spans="1:68" x14ac:dyDescent="0.25">
      <c r="A258" s="62" t="s">
        <v>764</v>
      </c>
      <c r="B258" s="63"/>
      <c r="C258" s="63"/>
      <c r="D258" s="64"/>
      <c r="E258" s="66"/>
      <c r="F258" s="103" t="str">
        <f>HYPERLINK("https://pbs.twimg.com/profile_images/1688604781768585216/-PARYIgh_normal.jpg")</f>
        <v>https://pbs.twimg.com/profile_images/1688604781768585216/-PARYIgh_normal.jpg</v>
      </c>
      <c r="G258" s="63"/>
      <c r="H258" s="67"/>
      <c r="I258" s="68"/>
      <c r="J258" s="68"/>
      <c r="K258" s="67" t="s">
        <v>19991</v>
      </c>
      <c r="L258" s="71"/>
      <c r="M258" s="72"/>
      <c r="N258" s="72"/>
      <c r="O258" s="73"/>
      <c r="P258" s="74"/>
      <c r="Q258" s="74"/>
      <c r="R258" s="87"/>
      <c r="S258" s="87"/>
      <c r="T258" s="87"/>
      <c r="U258" s="87"/>
      <c r="V258" s="48"/>
      <c r="W258" s="48"/>
      <c r="X258" s="48"/>
      <c r="Y258" s="48"/>
      <c r="Z258" s="47"/>
      <c r="AA258" s="69">
        <v>258</v>
      </c>
      <c r="AB258" s="69"/>
      <c r="AC258" s="70"/>
      <c r="AD258" s="76" t="s">
        <v>18004</v>
      </c>
      <c r="AE258" s="81" t="s">
        <v>18415</v>
      </c>
      <c r="AF258" s="76">
        <v>13975</v>
      </c>
      <c r="AG258" s="76">
        <v>1854</v>
      </c>
      <c r="AH258" s="76">
        <v>18626</v>
      </c>
      <c r="AI258" s="76">
        <v>261</v>
      </c>
      <c r="AJ258" s="76">
        <v>10351</v>
      </c>
      <c r="AK258" s="76">
        <v>8696</v>
      </c>
      <c r="AL258" s="76" t="b">
        <v>0</v>
      </c>
      <c r="AM258" s="78">
        <v>41465.633194444446</v>
      </c>
      <c r="AN258" s="76" t="s">
        <v>12014</v>
      </c>
      <c r="AO258" s="76" t="s">
        <v>18996</v>
      </c>
      <c r="AP258" s="83" t="str">
        <f>HYPERLINK("https://t.co/zDi758Qcb7")</f>
        <v>https://t.co/zDi758Qcb7</v>
      </c>
      <c r="AQ258" s="83" t="str">
        <f>HYPERLINK("https://tc.com.br/")</f>
        <v>https://tc.com.br/</v>
      </c>
      <c r="AR258" s="76" t="s">
        <v>19416</v>
      </c>
      <c r="AS258" s="76"/>
      <c r="AT258" s="76"/>
      <c r="AU258" s="76"/>
      <c r="AV258" s="76"/>
      <c r="AW258" s="83" t="str">
        <f>HYPERLINK("https://t.co/zDi758Qcb7")</f>
        <v>https://t.co/zDi758Qcb7</v>
      </c>
      <c r="AX258" s="76" t="b">
        <v>1</v>
      </c>
      <c r="AY258" s="76"/>
      <c r="AZ258" s="76"/>
      <c r="BA258" s="76" t="b">
        <v>1</v>
      </c>
      <c r="BB258" s="76" t="b">
        <v>1</v>
      </c>
      <c r="BC258" s="76" t="b">
        <v>1</v>
      </c>
      <c r="BD258" s="76" t="b">
        <v>0</v>
      </c>
      <c r="BE258" s="76" t="b">
        <v>1</v>
      </c>
      <c r="BF258" s="76" t="b">
        <v>0</v>
      </c>
      <c r="BG258" s="76" t="b">
        <v>0</v>
      </c>
      <c r="BH258" s="83" t="str">
        <f>HYPERLINK("https://pbs.twimg.com/profile_banners/1583315124/1450901560")</f>
        <v>https://pbs.twimg.com/profile_banners/1583315124/1450901560</v>
      </c>
      <c r="BI258" s="76"/>
      <c r="BJ258" s="76" t="s">
        <v>19734</v>
      </c>
      <c r="BK258" s="76" t="b">
        <v>0</v>
      </c>
      <c r="BL258" s="76"/>
      <c r="BM258" s="76" t="s">
        <v>65</v>
      </c>
      <c r="BN258" s="76" t="s">
        <v>19736</v>
      </c>
      <c r="BO258" s="83" t="str">
        <f>HYPERLINK("https://twitter.com/analiseenergia")</f>
        <v>https://twitter.com/analiseenergia</v>
      </c>
      <c r="BP258" s="2"/>
    </row>
    <row r="259" spans="1:68" x14ac:dyDescent="0.25">
      <c r="A259" s="62" t="s">
        <v>436</v>
      </c>
      <c r="B259" s="63"/>
      <c r="C259" s="63"/>
      <c r="D259" s="64"/>
      <c r="E259" s="66"/>
      <c r="F259" s="103" t="str">
        <f>HYPERLINK("https://pbs.twimg.com/profile_images/1124885071410888704/eth6sYa8_normal.png")</f>
        <v>https://pbs.twimg.com/profile_images/1124885071410888704/eth6sYa8_normal.png</v>
      </c>
      <c r="G259" s="63"/>
      <c r="H259" s="67"/>
      <c r="I259" s="68"/>
      <c r="J259" s="68"/>
      <c r="K259" s="67" t="s">
        <v>19992</v>
      </c>
      <c r="L259" s="71"/>
      <c r="M259" s="72"/>
      <c r="N259" s="72"/>
      <c r="O259" s="73"/>
      <c r="P259" s="74"/>
      <c r="Q259" s="74"/>
      <c r="R259" s="87"/>
      <c r="S259" s="87"/>
      <c r="T259" s="87"/>
      <c r="U259" s="87"/>
      <c r="V259" s="48"/>
      <c r="W259" s="48"/>
      <c r="X259" s="48"/>
      <c r="Y259" s="48"/>
      <c r="Z259" s="47"/>
      <c r="AA259" s="69">
        <v>259</v>
      </c>
      <c r="AB259" s="69"/>
      <c r="AC259" s="70"/>
      <c r="AD259" s="76" t="s">
        <v>18005</v>
      </c>
      <c r="AE259" s="81" t="s">
        <v>17346</v>
      </c>
      <c r="AF259" s="76">
        <v>0</v>
      </c>
      <c r="AG259" s="76">
        <v>30</v>
      </c>
      <c r="AH259" s="76">
        <v>1789</v>
      </c>
      <c r="AI259" s="76">
        <v>0</v>
      </c>
      <c r="AJ259" s="76">
        <v>1095</v>
      </c>
      <c r="AK259" s="76">
        <v>711</v>
      </c>
      <c r="AL259" s="76" t="b">
        <v>0</v>
      </c>
      <c r="AM259" s="78">
        <v>42856.109120370369</v>
      </c>
      <c r="AN259" s="76"/>
      <c r="AO259" s="76" t="s">
        <v>18997</v>
      </c>
      <c r="AP259" s="76"/>
      <c r="AQ259" s="76"/>
      <c r="AR259" s="76"/>
      <c r="AS259" s="76"/>
      <c r="AT259" s="76"/>
      <c r="AU259" s="76"/>
      <c r="AV259" s="76">
        <v>1.33994502791779E+18</v>
      </c>
      <c r="AW259" s="76"/>
      <c r="AX259" s="76" t="b">
        <v>0</v>
      </c>
      <c r="AY259" s="76"/>
      <c r="AZ259" s="76"/>
      <c r="BA259" s="76" t="b">
        <v>0</v>
      </c>
      <c r="BB259" s="76" t="b">
        <v>1</v>
      </c>
      <c r="BC259" s="76" t="b">
        <v>1</v>
      </c>
      <c r="BD259" s="76" t="b">
        <v>0</v>
      </c>
      <c r="BE259" s="76" t="b">
        <v>1</v>
      </c>
      <c r="BF259" s="76" t="b">
        <v>0</v>
      </c>
      <c r="BG259" s="76" t="b">
        <v>1</v>
      </c>
      <c r="BH259" s="83" t="str">
        <f>HYPERLINK("https://pbs.twimg.com/profile_banners/858872888321089537/1684797490")</f>
        <v>https://pbs.twimg.com/profile_banners/858872888321089537/1684797490</v>
      </c>
      <c r="BI259" s="76"/>
      <c r="BJ259" s="76" t="s">
        <v>19734</v>
      </c>
      <c r="BK259" s="76" t="b">
        <v>0</v>
      </c>
      <c r="BL259" s="76"/>
      <c r="BM259" s="76" t="s">
        <v>66</v>
      </c>
      <c r="BN259" s="76" t="s">
        <v>19736</v>
      </c>
      <c r="BO259" s="83" t="str">
        <f>HYPERLINK("https://twitter.com/czambelo")</f>
        <v>https://twitter.com/czambelo</v>
      </c>
      <c r="BP259" s="2"/>
    </row>
    <row r="260" spans="1:68" x14ac:dyDescent="0.25">
      <c r="A260" s="62" t="s">
        <v>437</v>
      </c>
      <c r="B260" s="63"/>
      <c r="C260" s="63"/>
      <c r="D260" s="64"/>
      <c r="E260" s="66"/>
      <c r="F260" s="103" t="str">
        <f>HYPERLINK("https://pbs.twimg.com/profile_images/1135695260724711429/8kzWQQ8m_normal.jpg")</f>
        <v>https://pbs.twimg.com/profile_images/1135695260724711429/8kzWQQ8m_normal.jpg</v>
      </c>
      <c r="G260" s="63"/>
      <c r="H260" s="67"/>
      <c r="I260" s="68"/>
      <c r="J260" s="68"/>
      <c r="K260" s="67" t="s">
        <v>19993</v>
      </c>
      <c r="L260" s="71"/>
      <c r="M260" s="72"/>
      <c r="N260" s="72"/>
      <c r="O260" s="73"/>
      <c r="P260" s="74"/>
      <c r="Q260" s="74"/>
      <c r="R260" s="87"/>
      <c r="S260" s="87"/>
      <c r="T260" s="87"/>
      <c r="U260" s="87"/>
      <c r="V260" s="48"/>
      <c r="W260" s="48"/>
      <c r="X260" s="48"/>
      <c r="Y260" s="48"/>
      <c r="Z260" s="47"/>
      <c r="AA260" s="69">
        <v>260</v>
      </c>
      <c r="AB260" s="69"/>
      <c r="AC260" s="70"/>
      <c r="AD260" s="76" t="s">
        <v>18006</v>
      </c>
      <c r="AE260" s="81" t="s">
        <v>18416</v>
      </c>
      <c r="AF260" s="76">
        <v>2138</v>
      </c>
      <c r="AG260" s="76">
        <v>4996</v>
      </c>
      <c r="AH260" s="76">
        <v>208305</v>
      </c>
      <c r="AI260" s="76">
        <v>21</v>
      </c>
      <c r="AJ260" s="76">
        <v>306650</v>
      </c>
      <c r="AK260" s="76">
        <v>3898</v>
      </c>
      <c r="AL260" s="76" t="b">
        <v>0</v>
      </c>
      <c r="AM260" s="78">
        <v>40600.628599537034</v>
      </c>
      <c r="AN260" s="76" t="s">
        <v>18643</v>
      </c>
      <c r="AO260" s="76" t="s">
        <v>18998</v>
      </c>
      <c r="AP260" s="76"/>
      <c r="AQ260" s="76"/>
      <c r="AR260" s="76"/>
      <c r="AS260" s="76"/>
      <c r="AT260" s="76"/>
      <c r="AU260" s="76"/>
      <c r="AV260" s="76">
        <v>1.2769342662371899E+18</v>
      </c>
      <c r="AW260" s="76"/>
      <c r="AX260" s="76" t="b">
        <v>0</v>
      </c>
      <c r="AY260" s="76"/>
      <c r="AZ260" s="76"/>
      <c r="BA260" s="76" t="b">
        <v>1</v>
      </c>
      <c r="BB260" s="76" t="b">
        <v>0</v>
      </c>
      <c r="BC260" s="76" t="b">
        <v>0</v>
      </c>
      <c r="BD260" s="76" t="b">
        <v>0</v>
      </c>
      <c r="BE260" s="76" t="b">
        <v>1</v>
      </c>
      <c r="BF260" s="76" t="b">
        <v>0</v>
      </c>
      <c r="BG260" s="76" t="b">
        <v>1</v>
      </c>
      <c r="BH260" s="83" t="str">
        <f>HYPERLINK("https://pbs.twimg.com/profile_banners/257906367/1580952857")</f>
        <v>https://pbs.twimg.com/profile_banners/257906367/1580952857</v>
      </c>
      <c r="BI260" s="76"/>
      <c r="BJ260" s="76" t="s">
        <v>19734</v>
      </c>
      <c r="BK260" s="76" t="b">
        <v>0</v>
      </c>
      <c r="BL260" s="76"/>
      <c r="BM260" s="76" t="s">
        <v>66</v>
      </c>
      <c r="BN260" s="76" t="s">
        <v>19736</v>
      </c>
      <c r="BO260" s="83" t="str">
        <f>HYPERLINK("https://twitter.com/maribh2")</f>
        <v>https://twitter.com/maribh2</v>
      </c>
      <c r="BP260" s="2"/>
    </row>
    <row r="261" spans="1:68" x14ac:dyDescent="0.25">
      <c r="A261" s="62" t="s">
        <v>438</v>
      </c>
      <c r="B261" s="63"/>
      <c r="C261" s="63"/>
      <c r="D261" s="64"/>
      <c r="E261" s="66"/>
      <c r="F261" s="103" t="str">
        <f>HYPERLINK("https://pbs.twimg.com/profile_images/1704543649676021760/Uj1yft1T_normal.jpg")</f>
        <v>https://pbs.twimg.com/profile_images/1704543649676021760/Uj1yft1T_normal.jpg</v>
      </c>
      <c r="G261" s="63"/>
      <c r="H261" s="67"/>
      <c r="I261" s="68"/>
      <c r="J261" s="68"/>
      <c r="K261" s="67" t="s">
        <v>19994</v>
      </c>
      <c r="L261" s="71"/>
      <c r="M261" s="72"/>
      <c r="N261" s="72"/>
      <c r="O261" s="73"/>
      <c r="P261" s="74"/>
      <c r="Q261" s="74"/>
      <c r="R261" s="87"/>
      <c r="S261" s="87"/>
      <c r="T261" s="87"/>
      <c r="U261" s="87"/>
      <c r="V261" s="48"/>
      <c r="W261" s="48"/>
      <c r="X261" s="48"/>
      <c r="Y261" s="48"/>
      <c r="Z261" s="47"/>
      <c r="AA261" s="69">
        <v>261</v>
      </c>
      <c r="AB261" s="69"/>
      <c r="AC261" s="70"/>
      <c r="AD261" s="76" t="s">
        <v>18007</v>
      </c>
      <c r="AE261" s="81" t="s">
        <v>18417</v>
      </c>
      <c r="AF261" s="76">
        <v>4934</v>
      </c>
      <c r="AG261" s="76">
        <v>3745</v>
      </c>
      <c r="AH261" s="76">
        <v>13256</v>
      </c>
      <c r="AI261" s="76">
        <v>3</v>
      </c>
      <c r="AJ261" s="76">
        <v>248</v>
      </c>
      <c r="AK261" s="76">
        <v>37</v>
      </c>
      <c r="AL261" s="76" t="b">
        <v>0</v>
      </c>
      <c r="AM261" s="78">
        <v>41639.670347222222</v>
      </c>
      <c r="AN261" s="76" t="s">
        <v>18575</v>
      </c>
      <c r="AO261" s="76" t="s">
        <v>18999</v>
      </c>
      <c r="AP261" s="76"/>
      <c r="AQ261" s="76"/>
      <c r="AR261" s="76"/>
      <c r="AS261" s="76"/>
      <c r="AT261" s="76"/>
      <c r="AU261" s="76"/>
      <c r="AV261" s="76"/>
      <c r="AW261" s="76"/>
      <c r="AX261" s="76" t="b">
        <v>0</v>
      </c>
      <c r="AY261" s="76"/>
      <c r="AZ261" s="76"/>
      <c r="BA261" s="76" t="b">
        <v>0</v>
      </c>
      <c r="BB261" s="76" t="b">
        <v>0</v>
      </c>
      <c r="BC261" s="76" t="b">
        <v>0</v>
      </c>
      <c r="BD261" s="76" t="b">
        <v>0</v>
      </c>
      <c r="BE261" s="76" t="b">
        <v>1</v>
      </c>
      <c r="BF261" s="76" t="b">
        <v>0</v>
      </c>
      <c r="BG261" s="76" t="b">
        <v>0</v>
      </c>
      <c r="BH261" s="83" t="str">
        <f>HYPERLINK("https://pbs.twimg.com/profile_banners/2270546359/1622814437")</f>
        <v>https://pbs.twimg.com/profile_banners/2270546359/1622814437</v>
      </c>
      <c r="BI261" s="76"/>
      <c r="BJ261" s="76" t="s">
        <v>19734</v>
      </c>
      <c r="BK261" s="76" t="b">
        <v>0</v>
      </c>
      <c r="BL261" s="76"/>
      <c r="BM261" s="76" t="s">
        <v>66</v>
      </c>
      <c r="BN261" s="76" t="s">
        <v>19736</v>
      </c>
      <c r="BO261" s="83" t="str">
        <f>HYPERLINK("https://twitter.com/israelborba")</f>
        <v>https://twitter.com/israelborba</v>
      </c>
      <c r="BP261" s="2"/>
    </row>
    <row r="262" spans="1:68" x14ac:dyDescent="0.25">
      <c r="A262" s="62" t="s">
        <v>439</v>
      </c>
      <c r="B262" s="63"/>
      <c r="C262" s="63"/>
      <c r="D262" s="64"/>
      <c r="E262" s="66"/>
      <c r="F262" s="103" t="str">
        <f>HYPERLINK("https://pbs.twimg.com/profile_images/1157780273112715264/VrTYn4Si_normal.jpg")</f>
        <v>https://pbs.twimg.com/profile_images/1157780273112715264/VrTYn4Si_normal.jpg</v>
      </c>
      <c r="G262" s="63"/>
      <c r="H262" s="67"/>
      <c r="I262" s="68"/>
      <c r="J262" s="68"/>
      <c r="K262" s="67" t="s">
        <v>19995</v>
      </c>
      <c r="L262" s="71"/>
      <c r="M262" s="72"/>
      <c r="N262" s="72"/>
      <c r="O262" s="73"/>
      <c r="P262" s="74"/>
      <c r="Q262" s="74"/>
      <c r="R262" s="87"/>
      <c r="S262" s="87"/>
      <c r="T262" s="87"/>
      <c r="U262" s="87"/>
      <c r="V262" s="48"/>
      <c r="W262" s="48"/>
      <c r="X262" s="48"/>
      <c r="Y262" s="48"/>
      <c r="Z262" s="47"/>
      <c r="AA262" s="69">
        <v>262</v>
      </c>
      <c r="AB262" s="69"/>
      <c r="AC262" s="70"/>
      <c r="AD262" s="76" t="s">
        <v>18008</v>
      </c>
      <c r="AE262" s="81" t="s">
        <v>18418</v>
      </c>
      <c r="AF262" s="76">
        <v>15093</v>
      </c>
      <c r="AG262" s="76">
        <v>3790</v>
      </c>
      <c r="AH262" s="76">
        <v>40847</v>
      </c>
      <c r="AI262" s="76">
        <v>180</v>
      </c>
      <c r="AJ262" s="76">
        <v>10610</v>
      </c>
      <c r="AK262" s="76">
        <v>15716</v>
      </c>
      <c r="AL262" s="76" t="b">
        <v>0</v>
      </c>
      <c r="AM262" s="78">
        <v>40729.778067129628</v>
      </c>
      <c r="AN262" s="76" t="s">
        <v>18565</v>
      </c>
      <c r="AO262" s="76" t="s">
        <v>19000</v>
      </c>
      <c r="AP262" s="83" t="str">
        <f>HYPERLINK("https://t.co/diQhU18WJr")</f>
        <v>https://t.co/diQhU18WJr</v>
      </c>
      <c r="AQ262" s="83" t="str">
        <f>HYPERLINK("https://www.sonoticiaboa.com.br/")</f>
        <v>https://www.sonoticiaboa.com.br/</v>
      </c>
      <c r="AR262" s="76" t="s">
        <v>19452</v>
      </c>
      <c r="AS262" s="76"/>
      <c r="AT262" s="76"/>
      <c r="AU262" s="76"/>
      <c r="AV262" s="76">
        <v>1.70733686798352E+18</v>
      </c>
      <c r="AW262" s="83" t="str">
        <f>HYPERLINK("https://t.co/diQhU18WJr")</f>
        <v>https://t.co/diQhU18WJr</v>
      </c>
      <c r="AX262" s="76" t="b">
        <v>0</v>
      </c>
      <c r="AY262" s="76"/>
      <c r="AZ262" s="76"/>
      <c r="BA262" s="76" t="b">
        <v>1</v>
      </c>
      <c r="BB262" s="76" t="b">
        <v>1</v>
      </c>
      <c r="BC262" s="76" t="b">
        <v>0</v>
      </c>
      <c r="BD262" s="76" t="b">
        <v>0</v>
      </c>
      <c r="BE262" s="76" t="b">
        <v>0</v>
      </c>
      <c r="BF262" s="76" t="b">
        <v>0</v>
      </c>
      <c r="BG262" s="76" t="b">
        <v>1</v>
      </c>
      <c r="BH262" s="83" t="str">
        <f>HYPERLINK("https://pbs.twimg.com/profile_banners/329857969/1564871306")</f>
        <v>https://pbs.twimg.com/profile_banners/329857969/1564871306</v>
      </c>
      <c r="BI262" s="76"/>
      <c r="BJ262" s="76" t="s">
        <v>19734</v>
      </c>
      <c r="BK262" s="76" t="b">
        <v>0</v>
      </c>
      <c r="BL262" s="76"/>
      <c r="BM262" s="76" t="s">
        <v>66</v>
      </c>
      <c r="BN262" s="76" t="s">
        <v>19736</v>
      </c>
      <c r="BO262" s="83" t="str">
        <f>HYPERLINK("https://twitter.com/sonoticiaboaofc")</f>
        <v>https://twitter.com/sonoticiaboaofc</v>
      </c>
      <c r="BP262" s="2"/>
    </row>
    <row r="263" spans="1:68" x14ac:dyDescent="0.25">
      <c r="A263" s="62" t="s">
        <v>440</v>
      </c>
      <c r="B263" s="63"/>
      <c r="C263" s="63"/>
      <c r="D263" s="64"/>
      <c r="E263" s="66"/>
      <c r="F263" s="103" t="str">
        <f>HYPERLINK("https://pbs.twimg.com/profile_images/1671655458036219905/GgDI_nve_normal.jpg")</f>
        <v>https://pbs.twimg.com/profile_images/1671655458036219905/GgDI_nve_normal.jpg</v>
      </c>
      <c r="G263" s="63"/>
      <c r="H263" s="67"/>
      <c r="I263" s="68"/>
      <c r="J263" s="68"/>
      <c r="K263" s="67" t="s">
        <v>19996</v>
      </c>
      <c r="L263" s="71"/>
      <c r="M263" s="72"/>
      <c r="N263" s="72"/>
      <c r="O263" s="73"/>
      <c r="P263" s="74"/>
      <c r="Q263" s="74"/>
      <c r="R263" s="87"/>
      <c r="S263" s="87"/>
      <c r="T263" s="87"/>
      <c r="U263" s="87"/>
      <c r="V263" s="48"/>
      <c r="W263" s="48"/>
      <c r="X263" s="48"/>
      <c r="Y263" s="48"/>
      <c r="Z263" s="47"/>
      <c r="AA263" s="69">
        <v>263</v>
      </c>
      <c r="AB263" s="69"/>
      <c r="AC263" s="70"/>
      <c r="AD263" s="76" t="s">
        <v>18009</v>
      </c>
      <c r="AE263" s="81" t="s">
        <v>17558</v>
      </c>
      <c r="AF263" s="76">
        <v>37</v>
      </c>
      <c r="AG263" s="76">
        <v>29</v>
      </c>
      <c r="AH263" s="76">
        <v>530</v>
      </c>
      <c r="AI263" s="76">
        <v>1</v>
      </c>
      <c r="AJ263" s="76">
        <v>29</v>
      </c>
      <c r="AK263" s="76">
        <v>413</v>
      </c>
      <c r="AL263" s="76" t="b">
        <v>0</v>
      </c>
      <c r="AM263" s="78">
        <v>43961.692210648151</v>
      </c>
      <c r="AN263" s="76" t="s">
        <v>18644</v>
      </c>
      <c r="AO263" s="76" t="s">
        <v>19001</v>
      </c>
      <c r="AP263" s="83" t="str">
        <f>HYPERLINK("https://t.co/MYbQ59r6GT")</f>
        <v>https://t.co/MYbQ59r6GT</v>
      </c>
      <c r="AQ263" s="83" t="str">
        <f>HYPERLINK("https://bit.ly/ExpertRendaVariavel")</f>
        <v>https://bit.ly/ExpertRendaVariavel</v>
      </c>
      <c r="AR263" s="76" t="s">
        <v>19453</v>
      </c>
      <c r="AS263" s="76"/>
      <c r="AT263" s="76"/>
      <c r="AU263" s="76"/>
      <c r="AV263" s="76"/>
      <c r="AW263" s="83" t="str">
        <f>HYPERLINK("https://t.co/MYbQ59r6GT")</f>
        <v>https://t.co/MYbQ59r6GT</v>
      </c>
      <c r="AX263" s="76" t="b">
        <v>0</v>
      </c>
      <c r="AY263" s="76"/>
      <c r="AZ263" s="76"/>
      <c r="BA263" s="76" t="b">
        <v>0</v>
      </c>
      <c r="BB263" s="76" t="b">
        <v>1</v>
      </c>
      <c r="BC263" s="76" t="b">
        <v>1</v>
      </c>
      <c r="BD263" s="76" t="b">
        <v>0</v>
      </c>
      <c r="BE263" s="76" t="b">
        <v>0</v>
      </c>
      <c r="BF263" s="76" t="b">
        <v>0</v>
      </c>
      <c r="BG263" s="76" t="b">
        <v>0</v>
      </c>
      <c r="BH263" s="83" t="str">
        <f>HYPERLINK("https://pbs.twimg.com/profile_banners/1259522744770797568/1589408233")</f>
        <v>https://pbs.twimg.com/profile_banners/1259522744770797568/1589408233</v>
      </c>
      <c r="BI263" s="76"/>
      <c r="BJ263" s="76" t="s">
        <v>19734</v>
      </c>
      <c r="BK263" s="76" t="b">
        <v>0</v>
      </c>
      <c r="BL263" s="76"/>
      <c r="BM263" s="76" t="s">
        <v>66</v>
      </c>
      <c r="BN263" s="76" t="s">
        <v>19736</v>
      </c>
      <c r="BO263" s="83" t="str">
        <f>HYPERLINK("https://twitter.com/casal_trader")</f>
        <v>https://twitter.com/casal_trader</v>
      </c>
      <c r="BP263" s="2"/>
    </row>
    <row r="264" spans="1:68" x14ac:dyDescent="0.25">
      <c r="A264" s="62" t="s">
        <v>441</v>
      </c>
      <c r="B264" s="63"/>
      <c r="C264" s="63"/>
      <c r="D264" s="64"/>
      <c r="E264" s="66"/>
      <c r="F264" s="103" t="str">
        <f>HYPERLINK("https://pbs.twimg.com/profile_images/1681702977587892224/qAfYM-oD_normal.jpg")</f>
        <v>https://pbs.twimg.com/profile_images/1681702977587892224/qAfYM-oD_normal.jpg</v>
      </c>
      <c r="G264" s="63"/>
      <c r="H264" s="67"/>
      <c r="I264" s="68"/>
      <c r="J264" s="68"/>
      <c r="K264" s="67" t="s">
        <v>19997</v>
      </c>
      <c r="L264" s="71"/>
      <c r="M264" s="72"/>
      <c r="N264" s="72"/>
      <c r="O264" s="73"/>
      <c r="P264" s="74"/>
      <c r="Q264" s="74"/>
      <c r="R264" s="87"/>
      <c r="S264" s="87"/>
      <c r="T264" s="87"/>
      <c r="U264" s="87"/>
      <c r="V264" s="48"/>
      <c r="W264" s="48"/>
      <c r="X264" s="48"/>
      <c r="Y264" s="48"/>
      <c r="Z264" s="47"/>
      <c r="AA264" s="69">
        <v>264</v>
      </c>
      <c r="AB264" s="69"/>
      <c r="AC264" s="70"/>
      <c r="AD264" s="76" t="s">
        <v>18010</v>
      </c>
      <c r="AE264" s="81" t="s">
        <v>18419</v>
      </c>
      <c r="AF264" s="76">
        <v>224667</v>
      </c>
      <c r="AG264" s="76">
        <v>3411</v>
      </c>
      <c r="AH264" s="76">
        <v>45998</v>
      </c>
      <c r="AI264" s="76">
        <v>2361</v>
      </c>
      <c r="AJ264" s="76">
        <v>18122</v>
      </c>
      <c r="AK264" s="76">
        <v>6707</v>
      </c>
      <c r="AL264" s="76" t="b">
        <v>0</v>
      </c>
      <c r="AM264" s="78">
        <v>41720.083379629628</v>
      </c>
      <c r="AN264" s="76" t="s">
        <v>18645</v>
      </c>
      <c r="AO264" s="76" t="s">
        <v>19002</v>
      </c>
      <c r="AP264" s="83" t="str">
        <f>HYPERLINK("https://t.co/Hzpesxquev")</f>
        <v>https://t.co/Hzpesxquev</v>
      </c>
      <c r="AQ264" s="83" t="str">
        <f>HYPERLINK("https://suno.me/48tKqUM")</f>
        <v>https://suno.me/48tKqUM</v>
      </c>
      <c r="AR264" s="76" t="s">
        <v>19454</v>
      </c>
      <c r="AS264" s="76"/>
      <c r="AT264" s="76"/>
      <c r="AU264" s="76"/>
      <c r="AV264" s="76">
        <v>1.7064714488380201E+18</v>
      </c>
      <c r="AW264" s="83" t="str">
        <f>HYPERLINK("https://t.co/Hzpesxquev")</f>
        <v>https://t.co/Hzpesxquev</v>
      </c>
      <c r="AX264" s="76" t="b">
        <v>1</v>
      </c>
      <c r="AY264" s="76"/>
      <c r="AZ264" s="76"/>
      <c r="BA264" s="76" t="b">
        <v>1</v>
      </c>
      <c r="BB264" s="76" t="b">
        <v>0</v>
      </c>
      <c r="BC264" s="76" t="b">
        <v>1</v>
      </c>
      <c r="BD264" s="76" t="b">
        <v>0</v>
      </c>
      <c r="BE264" s="76" t="b">
        <v>1</v>
      </c>
      <c r="BF264" s="76" t="b">
        <v>0</v>
      </c>
      <c r="BG264" s="76" t="b">
        <v>0</v>
      </c>
      <c r="BH264" s="83" t="str">
        <f>HYPERLINK("https://pbs.twimg.com/profile_banners/2428055045/1694261980")</f>
        <v>https://pbs.twimg.com/profile_banners/2428055045/1694261980</v>
      </c>
      <c r="BI264" s="76"/>
      <c r="BJ264" s="76" t="s">
        <v>19734</v>
      </c>
      <c r="BK264" s="76" t="b">
        <v>0</v>
      </c>
      <c r="BL264" s="76"/>
      <c r="BM264" s="76" t="s">
        <v>66</v>
      </c>
      <c r="BN264" s="76" t="s">
        <v>19736</v>
      </c>
      <c r="BO264" s="83" t="str">
        <f>HYPERLINK("https://twitter.com/tiagogreis")</f>
        <v>https://twitter.com/tiagogreis</v>
      </c>
      <c r="BP264" s="2"/>
    </row>
    <row r="265" spans="1:68" x14ac:dyDescent="0.25">
      <c r="A265" s="62" t="s">
        <v>442</v>
      </c>
      <c r="B265" s="63"/>
      <c r="C265" s="63"/>
      <c r="D265" s="64"/>
      <c r="E265" s="66"/>
      <c r="F265" s="103" t="str">
        <f>HYPERLINK("https://pbs.twimg.com/profile_images/1573715760773419008/Zqmb-kMr_normal.jpg")</f>
        <v>https://pbs.twimg.com/profile_images/1573715760773419008/Zqmb-kMr_normal.jpg</v>
      </c>
      <c r="G265" s="63"/>
      <c r="H265" s="67"/>
      <c r="I265" s="68"/>
      <c r="J265" s="68"/>
      <c r="K265" s="67" t="s">
        <v>19998</v>
      </c>
      <c r="L265" s="71"/>
      <c r="M265" s="72"/>
      <c r="N265" s="72"/>
      <c r="O265" s="73"/>
      <c r="P265" s="74"/>
      <c r="Q265" s="74"/>
      <c r="R265" s="87"/>
      <c r="S265" s="87"/>
      <c r="T265" s="87"/>
      <c r="U265" s="87"/>
      <c r="V265" s="48"/>
      <c r="W265" s="48"/>
      <c r="X265" s="48"/>
      <c r="Y265" s="48"/>
      <c r="Z265" s="47"/>
      <c r="AA265" s="69">
        <v>265</v>
      </c>
      <c r="AB265" s="69"/>
      <c r="AC265" s="70"/>
      <c r="AD265" s="76" t="s">
        <v>18011</v>
      </c>
      <c r="AE265" s="81" t="s">
        <v>17347</v>
      </c>
      <c r="AF265" s="76">
        <v>88</v>
      </c>
      <c r="AG265" s="76">
        <v>1181</v>
      </c>
      <c r="AH265" s="76">
        <v>2216</v>
      </c>
      <c r="AI265" s="76">
        <v>7</v>
      </c>
      <c r="AJ265" s="76">
        <v>2172</v>
      </c>
      <c r="AK265" s="76">
        <v>118</v>
      </c>
      <c r="AL265" s="76" t="b">
        <v>0</v>
      </c>
      <c r="AM265" s="78">
        <v>44477.618067129632</v>
      </c>
      <c r="AN265" s="76" t="s">
        <v>18646</v>
      </c>
      <c r="AO265" s="76" t="s">
        <v>19003</v>
      </c>
      <c r="AP265" s="76"/>
      <c r="AQ265" s="76"/>
      <c r="AR265" s="76"/>
      <c r="AS265" s="76"/>
      <c r="AT265" s="76"/>
      <c r="AU265" s="76"/>
      <c r="AV265" s="76">
        <v>1.6499850334517399E+18</v>
      </c>
      <c r="AW265" s="76"/>
      <c r="AX265" s="76" t="b">
        <v>0</v>
      </c>
      <c r="AY265" s="76"/>
      <c r="AZ265" s="76"/>
      <c r="BA265" s="76" t="b">
        <v>0</v>
      </c>
      <c r="BB265" s="76" t="b">
        <v>1</v>
      </c>
      <c r="BC265" s="76" t="b">
        <v>1</v>
      </c>
      <c r="BD265" s="76" t="b">
        <v>0</v>
      </c>
      <c r="BE265" s="76" t="b">
        <v>0</v>
      </c>
      <c r="BF265" s="76" t="b">
        <v>0</v>
      </c>
      <c r="BG265" s="76" t="b">
        <v>0</v>
      </c>
      <c r="BH265" s="83" t="str">
        <f>HYPERLINK("https://pbs.twimg.com/profile_banners/1446487919682748419/1645265597")</f>
        <v>https://pbs.twimg.com/profile_banners/1446487919682748419/1645265597</v>
      </c>
      <c r="BI265" s="76"/>
      <c r="BJ265" s="76" t="s">
        <v>19734</v>
      </c>
      <c r="BK265" s="76" t="b">
        <v>0</v>
      </c>
      <c r="BL265" s="76"/>
      <c r="BM265" s="76" t="s">
        <v>66</v>
      </c>
      <c r="BN265" s="76" t="s">
        <v>19736</v>
      </c>
      <c r="BO265" s="83" t="str">
        <f>HYPERLINK("https://twitter.com/japonews_eth")</f>
        <v>https://twitter.com/japonews_eth</v>
      </c>
      <c r="BP265" s="2"/>
    </row>
    <row r="266" spans="1:68" x14ac:dyDescent="0.25">
      <c r="A266" s="62" t="s">
        <v>443</v>
      </c>
      <c r="B266" s="63"/>
      <c r="C266" s="63"/>
      <c r="D266" s="64"/>
      <c r="E266" s="66"/>
      <c r="F266" s="103" t="str">
        <f>HYPERLINK("https://pbs.twimg.com/profile_images/1643698665330991107/q-oA2Hc2_normal.jpg")</f>
        <v>https://pbs.twimg.com/profile_images/1643698665330991107/q-oA2Hc2_normal.jpg</v>
      </c>
      <c r="G266" s="63"/>
      <c r="H266" s="67"/>
      <c r="I266" s="68"/>
      <c r="J266" s="68"/>
      <c r="K266" s="67" t="s">
        <v>19999</v>
      </c>
      <c r="L266" s="71"/>
      <c r="M266" s="72"/>
      <c r="N266" s="72"/>
      <c r="O266" s="73"/>
      <c r="P266" s="74"/>
      <c r="Q266" s="74"/>
      <c r="R266" s="87"/>
      <c r="S266" s="87"/>
      <c r="T266" s="87"/>
      <c r="U266" s="87"/>
      <c r="V266" s="48"/>
      <c r="W266" s="48"/>
      <c r="X266" s="48"/>
      <c r="Y266" s="48"/>
      <c r="Z266" s="47"/>
      <c r="AA266" s="69">
        <v>266</v>
      </c>
      <c r="AB266" s="69"/>
      <c r="AC266" s="70"/>
      <c r="AD266" s="76" t="s">
        <v>18012</v>
      </c>
      <c r="AE266" s="81" t="s">
        <v>18420</v>
      </c>
      <c r="AF266" s="76">
        <v>190</v>
      </c>
      <c r="AG266" s="76">
        <v>118</v>
      </c>
      <c r="AH266" s="76">
        <v>458</v>
      </c>
      <c r="AI266" s="76">
        <v>5</v>
      </c>
      <c r="AJ266" s="76">
        <v>172</v>
      </c>
      <c r="AK266" s="76">
        <v>59</v>
      </c>
      <c r="AL266" s="76" t="b">
        <v>0</v>
      </c>
      <c r="AM266" s="78">
        <v>40262.078287037039</v>
      </c>
      <c r="AN266" s="76" t="s">
        <v>12040</v>
      </c>
      <c r="AO266" s="76" t="s">
        <v>19004</v>
      </c>
      <c r="AP266" s="83" t="str">
        <f>HYPERLINK("https://t.co/s5IP0ktf8h")</f>
        <v>https://t.co/s5IP0ktf8h</v>
      </c>
      <c r="AQ266" s="83" t="str">
        <f>HYPERLINK("http://www.filipeborges.com.br")</f>
        <v>http://www.filipeborges.com.br</v>
      </c>
      <c r="AR266" s="76" t="s">
        <v>19455</v>
      </c>
      <c r="AS266" s="76"/>
      <c r="AT266" s="76"/>
      <c r="AU266" s="76"/>
      <c r="AV266" s="76"/>
      <c r="AW266" s="83" t="str">
        <f>HYPERLINK("https://t.co/s5IP0ktf8h")</f>
        <v>https://t.co/s5IP0ktf8h</v>
      </c>
      <c r="AX266" s="76" t="b">
        <v>0</v>
      </c>
      <c r="AY266" s="76"/>
      <c r="AZ266" s="76"/>
      <c r="BA266" s="76" t="b">
        <v>0</v>
      </c>
      <c r="BB266" s="76" t="b">
        <v>1</v>
      </c>
      <c r="BC266" s="76" t="b">
        <v>0</v>
      </c>
      <c r="BD266" s="76" t="b">
        <v>0</v>
      </c>
      <c r="BE266" s="76" t="b">
        <v>0</v>
      </c>
      <c r="BF266" s="76" t="b">
        <v>0</v>
      </c>
      <c r="BG266" s="76" t="b">
        <v>0</v>
      </c>
      <c r="BH266" s="83" t="str">
        <f>HYPERLINK("https://pbs.twimg.com/profile_banners/126173807/1680723275")</f>
        <v>https://pbs.twimg.com/profile_banners/126173807/1680723275</v>
      </c>
      <c r="BI266" s="76"/>
      <c r="BJ266" s="76" t="s">
        <v>19734</v>
      </c>
      <c r="BK266" s="76" t="b">
        <v>0</v>
      </c>
      <c r="BL266" s="76"/>
      <c r="BM266" s="76" t="s">
        <v>66</v>
      </c>
      <c r="BN266" s="76" t="s">
        <v>19736</v>
      </c>
      <c r="BO266" s="83" t="str">
        <f>HYPERLINK("https://twitter.com/filipeborgesfb")</f>
        <v>https://twitter.com/filipeborgesfb</v>
      </c>
      <c r="BP266" s="2"/>
    </row>
    <row r="267" spans="1:68" x14ac:dyDescent="0.25">
      <c r="A267" s="62" t="s">
        <v>444</v>
      </c>
      <c r="B267" s="63"/>
      <c r="C267" s="63"/>
      <c r="D267" s="64"/>
      <c r="E267" s="66"/>
      <c r="F267" s="103" t="str">
        <f>HYPERLINK("https://pbs.twimg.com/profile_images/488773771914776576/907rHRaK_normal.png")</f>
        <v>https://pbs.twimg.com/profile_images/488773771914776576/907rHRaK_normal.png</v>
      </c>
      <c r="G267" s="63"/>
      <c r="H267" s="67"/>
      <c r="I267" s="68"/>
      <c r="J267" s="68"/>
      <c r="K267" s="67" t="s">
        <v>20000</v>
      </c>
      <c r="L267" s="71"/>
      <c r="M267" s="72"/>
      <c r="N267" s="72"/>
      <c r="O267" s="73"/>
      <c r="P267" s="74"/>
      <c r="Q267" s="74"/>
      <c r="R267" s="87"/>
      <c r="S267" s="87"/>
      <c r="T267" s="87"/>
      <c r="U267" s="87"/>
      <c r="V267" s="48"/>
      <c r="W267" s="48"/>
      <c r="X267" s="48"/>
      <c r="Y267" s="48"/>
      <c r="Z267" s="47"/>
      <c r="AA267" s="69">
        <v>267</v>
      </c>
      <c r="AB267" s="69"/>
      <c r="AC267" s="70"/>
      <c r="AD267" s="76" t="s">
        <v>18013</v>
      </c>
      <c r="AE267" s="81" t="s">
        <v>18421</v>
      </c>
      <c r="AF267" s="76">
        <v>18</v>
      </c>
      <c r="AG267" s="76">
        <v>30</v>
      </c>
      <c r="AH267" s="76">
        <v>353</v>
      </c>
      <c r="AI267" s="76">
        <v>15</v>
      </c>
      <c r="AJ267" s="76">
        <v>4</v>
      </c>
      <c r="AK267" s="76">
        <v>174</v>
      </c>
      <c r="AL267" s="76" t="b">
        <v>0</v>
      </c>
      <c r="AM267" s="78">
        <v>41673.736018518517</v>
      </c>
      <c r="AN267" s="76" t="s">
        <v>18647</v>
      </c>
      <c r="AO267" s="76" t="s">
        <v>19005</v>
      </c>
      <c r="AP267" s="83" t="str">
        <f>HYPERLINK("https://t.co/33rXfqsQc4")</f>
        <v>https://t.co/33rXfqsQc4</v>
      </c>
      <c r="AQ267" s="83" t="str">
        <f>HYPERLINK("https://heylink.me/cmsoftware/")</f>
        <v>https://heylink.me/cmsoftware/</v>
      </c>
      <c r="AR267" s="76" t="s">
        <v>19456</v>
      </c>
      <c r="AS267" s="76"/>
      <c r="AT267" s="76"/>
      <c r="AU267" s="76"/>
      <c r="AV267" s="76"/>
      <c r="AW267" s="83" t="str">
        <f>HYPERLINK("https://t.co/33rXfqsQc4")</f>
        <v>https://t.co/33rXfqsQc4</v>
      </c>
      <c r="AX267" s="76" t="b">
        <v>0</v>
      </c>
      <c r="AY267" s="76"/>
      <c r="AZ267" s="76"/>
      <c r="BA267" s="76" t="b">
        <v>0</v>
      </c>
      <c r="BB267" s="76" t="b">
        <v>1</v>
      </c>
      <c r="BC267" s="76" t="b">
        <v>1</v>
      </c>
      <c r="BD267" s="76" t="b">
        <v>0</v>
      </c>
      <c r="BE267" s="76" t="b">
        <v>0</v>
      </c>
      <c r="BF267" s="76" t="b">
        <v>0</v>
      </c>
      <c r="BG267" s="76" t="b">
        <v>0</v>
      </c>
      <c r="BH267" s="83" t="str">
        <f>HYPERLINK("https://pbs.twimg.com/profile_banners/2325810834/1693226275")</f>
        <v>https://pbs.twimg.com/profile_banners/2325810834/1693226275</v>
      </c>
      <c r="BI267" s="76"/>
      <c r="BJ267" s="76" t="s">
        <v>19734</v>
      </c>
      <c r="BK267" s="76" t="b">
        <v>0</v>
      </c>
      <c r="BL267" s="76"/>
      <c r="BM267" s="76" t="s">
        <v>66</v>
      </c>
      <c r="BN267" s="76" t="s">
        <v>19736</v>
      </c>
      <c r="BO267" s="83" t="str">
        <f>HYPERLINK("https://twitter.com/cmswbr")</f>
        <v>https://twitter.com/cmswbr</v>
      </c>
      <c r="BP267" s="2"/>
    </row>
    <row r="268" spans="1:68" x14ac:dyDescent="0.25">
      <c r="A268" s="62" t="s">
        <v>445</v>
      </c>
      <c r="B268" s="63"/>
      <c r="C268" s="63"/>
      <c r="D268" s="64"/>
      <c r="E268" s="66"/>
      <c r="F268" s="103" t="str">
        <f>HYPERLINK("https://pbs.twimg.com/profile_images/1396145253820903426/_VX1GTKG_normal.jpg")</f>
        <v>https://pbs.twimg.com/profile_images/1396145253820903426/_VX1GTKG_normal.jpg</v>
      </c>
      <c r="G268" s="63"/>
      <c r="H268" s="67"/>
      <c r="I268" s="68"/>
      <c r="J268" s="68"/>
      <c r="K268" s="67" t="s">
        <v>20001</v>
      </c>
      <c r="L268" s="71"/>
      <c r="M268" s="72"/>
      <c r="N268" s="72"/>
      <c r="O268" s="73"/>
      <c r="P268" s="74"/>
      <c r="Q268" s="74"/>
      <c r="R268" s="87"/>
      <c r="S268" s="87"/>
      <c r="T268" s="87"/>
      <c r="U268" s="87"/>
      <c r="V268" s="48"/>
      <c r="W268" s="48"/>
      <c r="X268" s="48"/>
      <c r="Y268" s="48"/>
      <c r="Z268" s="47"/>
      <c r="AA268" s="69">
        <v>268</v>
      </c>
      <c r="AB268" s="69"/>
      <c r="AC268" s="70"/>
      <c r="AD268" s="76" t="s">
        <v>18014</v>
      </c>
      <c r="AE268" s="81" t="s">
        <v>18422</v>
      </c>
      <c r="AF268" s="76">
        <v>470</v>
      </c>
      <c r="AG268" s="76">
        <v>259</v>
      </c>
      <c r="AH268" s="76">
        <v>6470</v>
      </c>
      <c r="AI268" s="76">
        <v>0</v>
      </c>
      <c r="AJ268" s="76">
        <v>940</v>
      </c>
      <c r="AK268" s="76">
        <v>528</v>
      </c>
      <c r="AL268" s="76" t="b">
        <v>0</v>
      </c>
      <c r="AM268" s="78">
        <v>42254.957951388889</v>
      </c>
      <c r="AN268" s="76" t="s">
        <v>18648</v>
      </c>
      <c r="AO268" s="76" t="s">
        <v>19006</v>
      </c>
      <c r="AP268" s="83" t="str">
        <f>HYPERLINK("https://t.co/3X73bAPI5g")</f>
        <v>https://t.co/3X73bAPI5g</v>
      </c>
      <c r="AQ268" s="83" t="str">
        <f>HYPERLINK("http://www.jornaldaki.com.br")</f>
        <v>http://www.jornaldaki.com.br</v>
      </c>
      <c r="AR268" s="76" t="s">
        <v>19457</v>
      </c>
      <c r="AS268" s="76"/>
      <c r="AT268" s="76"/>
      <c r="AU268" s="76"/>
      <c r="AV268" s="76"/>
      <c r="AW268" s="83" t="str">
        <f>HYPERLINK("https://t.co/3X73bAPI5g")</f>
        <v>https://t.co/3X73bAPI5g</v>
      </c>
      <c r="AX268" s="76" t="b">
        <v>0</v>
      </c>
      <c r="AY268" s="76"/>
      <c r="AZ268" s="76"/>
      <c r="BA268" s="76" t="b">
        <v>1</v>
      </c>
      <c r="BB268" s="76" t="b">
        <v>1</v>
      </c>
      <c r="BC268" s="76" t="b">
        <v>1</v>
      </c>
      <c r="BD268" s="76" t="b">
        <v>0</v>
      </c>
      <c r="BE268" s="76" t="b">
        <v>1</v>
      </c>
      <c r="BF268" s="76" t="b">
        <v>0</v>
      </c>
      <c r="BG268" s="76" t="b">
        <v>0</v>
      </c>
      <c r="BH268" s="83" t="str">
        <f>HYPERLINK("https://pbs.twimg.com/profile_banners/3581596336/1621702134")</f>
        <v>https://pbs.twimg.com/profile_banners/3581596336/1621702134</v>
      </c>
      <c r="BI268" s="76"/>
      <c r="BJ268" s="76" t="s">
        <v>19734</v>
      </c>
      <c r="BK268" s="76" t="b">
        <v>0</v>
      </c>
      <c r="BL268" s="76"/>
      <c r="BM268" s="76" t="s">
        <v>66</v>
      </c>
      <c r="BN268" s="76" t="s">
        <v>19736</v>
      </c>
      <c r="BO268" s="83" t="str">
        <f>HYPERLINK("https://twitter.com/jornaldaki")</f>
        <v>https://twitter.com/jornaldaki</v>
      </c>
      <c r="BP268" s="2"/>
    </row>
    <row r="269" spans="1:68" x14ac:dyDescent="0.25">
      <c r="A269" s="62" t="s">
        <v>765</v>
      </c>
      <c r="B269" s="63"/>
      <c r="C269" s="63"/>
      <c r="D269" s="64"/>
      <c r="E269" s="66"/>
      <c r="F269" s="103" t="str">
        <f>HYPERLINK("https://pbs.twimg.com/profile_images/1634233380727566340/cV63e4qU_normal.jpg")</f>
        <v>https://pbs.twimg.com/profile_images/1634233380727566340/cV63e4qU_normal.jpg</v>
      </c>
      <c r="G269" s="63"/>
      <c r="H269" s="67"/>
      <c r="I269" s="68"/>
      <c r="J269" s="68"/>
      <c r="K269" s="67" t="s">
        <v>20002</v>
      </c>
      <c r="L269" s="71"/>
      <c r="M269" s="72"/>
      <c r="N269" s="72"/>
      <c r="O269" s="73"/>
      <c r="P269" s="74"/>
      <c r="Q269" s="74"/>
      <c r="R269" s="87"/>
      <c r="S269" s="87"/>
      <c r="T269" s="87"/>
      <c r="U269" s="87"/>
      <c r="V269" s="48"/>
      <c r="W269" s="48"/>
      <c r="X269" s="48"/>
      <c r="Y269" s="48"/>
      <c r="Z269" s="47"/>
      <c r="AA269" s="69">
        <v>269</v>
      </c>
      <c r="AB269" s="69"/>
      <c r="AC269" s="70"/>
      <c r="AD269" s="76" t="s">
        <v>18015</v>
      </c>
      <c r="AE269" s="81" t="s">
        <v>18423</v>
      </c>
      <c r="AF269" s="76">
        <v>87959</v>
      </c>
      <c r="AG269" s="76">
        <v>61</v>
      </c>
      <c r="AH269" s="76">
        <v>19666</v>
      </c>
      <c r="AI269" s="76">
        <v>326</v>
      </c>
      <c r="AJ269" s="76">
        <v>1783</v>
      </c>
      <c r="AK269" s="76">
        <v>7226</v>
      </c>
      <c r="AL269" s="76" t="b">
        <v>0</v>
      </c>
      <c r="AM269" s="78">
        <v>39996.921481481484</v>
      </c>
      <c r="AN269" s="76" t="s">
        <v>12014</v>
      </c>
      <c r="AO269" s="76" t="s">
        <v>19007</v>
      </c>
      <c r="AP269" s="83" t="str">
        <f>HYPERLINK("https://t.co/G8fcuOT27x")</f>
        <v>https://t.co/G8fcuOT27x</v>
      </c>
      <c r="AQ269" s="83" t="str">
        <f>HYPERLINK("http://www.ssp.sp.gov.br")</f>
        <v>http://www.ssp.sp.gov.br</v>
      </c>
      <c r="AR269" s="76" t="s">
        <v>19458</v>
      </c>
      <c r="AS269" s="76"/>
      <c r="AT269" s="76"/>
      <c r="AU269" s="76"/>
      <c r="AV269" s="76"/>
      <c r="AW269" s="83" t="str">
        <f>HYPERLINK("https://t.co/G8fcuOT27x")</f>
        <v>https://t.co/G8fcuOT27x</v>
      </c>
      <c r="AX269" s="76" t="b">
        <v>0</v>
      </c>
      <c r="AY269" s="76"/>
      <c r="AZ269" s="76"/>
      <c r="BA269" s="76" t="b">
        <v>0</v>
      </c>
      <c r="BB269" s="76" t="b">
        <v>0</v>
      </c>
      <c r="BC269" s="76" t="b">
        <v>0</v>
      </c>
      <c r="BD269" s="76" t="b">
        <v>0</v>
      </c>
      <c r="BE269" s="76" t="b">
        <v>0</v>
      </c>
      <c r="BF269" s="76" t="b">
        <v>0</v>
      </c>
      <c r="BG269" s="76" t="b">
        <v>0</v>
      </c>
      <c r="BH269" s="83" t="str">
        <f>HYPERLINK("https://pbs.twimg.com/profile_banners/53203723/1678466576")</f>
        <v>https://pbs.twimg.com/profile_banners/53203723/1678466576</v>
      </c>
      <c r="BI269" s="76"/>
      <c r="BJ269" s="76" t="s">
        <v>19734</v>
      </c>
      <c r="BK269" s="76" t="b">
        <v>0</v>
      </c>
      <c r="BL269" s="76"/>
      <c r="BM269" s="76" t="s">
        <v>65</v>
      </c>
      <c r="BN269" s="76" t="s">
        <v>19736</v>
      </c>
      <c r="BO269" s="83" t="str">
        <f>HYPERLINK("https://twitter.com/segurancasp")</f>
        <v>https://twitter.com/segurancasp</v>
      </c>
      <c r="BP269" s="2"/>
    </row>
    <row r="270" spans="1:68" x14ac:dyDescent="0.25">
      <c r="A270" s="62" t="s">
        <v>447</v>
      </c>
      <c r="B270" s="63"/>
      <c r="C270" s="63"/>
      <c r="D270" s="64"/>
      <c r="E270" s="66"/>
      <c r="F270" s="103" t="str">
        <f>HYPERLINK("https://pbs.twimg.com/profile_images/1316845696058875909/UmEo9HZn_normal.jpg")</f>
        <v>https://pbs.twimg.com/profile_images/1316845696058875909/UmEo9HZn_normal.jpg</v>
      </c>
      <c r="G270" s="63"/>
      <c r="H270" s="67"/>
      <c r="I270" s="68"/>
      <c r="J270" s="68"/>
      <c r="K270" s="67" t="s">
        <v>20003</v>
      </c>
      <c r="L270" s="71"/>
      <c r="M270" s="72"/>
      <c r="N270" s="72"/>
      <c r="O270" s="73"/>
      <c r="P270" s="74"/>
      <c r="Q270" s="74"/>
      <c r="R270" s="87"/>
      <c r="S270" s="87"/>
      <c r="T270" s="87"/>
      <c r="U270" s="87"/>
      <c r="V270" s="48"/>
      <c r="W270" s="48"/>
      <c r="X270" s="48"/>
      <c r="Y270" s="48"/>
      <c r="Z270" s="47"/>
      <c r="AA270" s="69">
        <v>270</v>
      </c>
      <c r="AB270" s="69"/>
      <c r="AC270" s="70"/>
      <c r="AD270" s="76" t="s">
        <v>18016</v>
      </c>
      <c r="AE270" s="81" t="s">
        <v>18424</v>
      </c>
      <c r="AF270" s="76">
        <v>120</v>
      </c>
      <c r="AG270" s="76">
        <v>162</v>
      </c>
      <c r="AH270" s="76">
        <v>3649</v>
      </c>
      <c r="AI270" s="76">
        <v>0</v>
      </c>
      <c r="AJ270" s="76">
        <v>162</v>
      </c>
      <c r="AK270" s="76">
        <v>965</v>
      </c>
      <c r="AL270" s="76" t="b">
        <v>0</v>
      </c>
      <c r="AM270" s="78">
        <v>40233.589479166665</v>
      </c>
      <c r="AN270" s="76" t="s">
        <v>18649</v>
      </c>
      <c r="AO270" s="76" t="s">
        <v>19008</v>
      </c>
      <c r="AP270" s="83" t="str">
        <f>HYPERLINK("https://t.co/UpSRZIQBhd")</f>
        <v>https://t.co/UpSRZIQBhd</v>
      </c>
      <c r="AQ270" s="83" t="str">
        <f>HYPERLINK("https://linktr.ee/PIXTVHD")</f>
        <v>https://linktr.ee/PIXTVHD</v>
      </c>
      <c r="AR270" s="76" t="s">
        <v>19459</v>
      </c>
      <c r="AS270" s="76"/>
      <c r="AT270" s="76"/>
      <c r="AU270" s="76"/>
      <c r="AV270" s="76"/>
      <c r="AW270" s="83" t="str">
        <f>HYPERLINK("https://t.co/UpSRZIQBhd")</f>
        <v>https://t.co/UpSRZIQBhd</v>
      </c>
      <c r="AX270" s="76" t="b">
        <v>0</v>
      </c>
      <c r="AY270" s="76"/>
      <c r="AZ270" s="76"/>
      <c r="BA270" s="76" t="b">
        <v>0</v>
      </c>
      <c r="BB270" s="76" t="b">
        <v>1</v>
      </c>
      <c r="BC270" s="76" t="b">
        <v>0</v>
      </c>
      <c r="BD270" s="76" t="b">
        <v>0</v>
      </c>
      <c r="BE270" s="76" t="b">
        <v>0</v>
      </c>
      <c r="BF270" s="76" t="b">
        <v>0</v>
      </c>
      <c r="BG270" s="76" t="b">
        <v>0</v>
      </c>
      <c r="BH270" s="83" t="str">
        <f>HYPERLINK("https://pbs.twimg.com/profile_banners/117089350/1648768090")</f>
        <v>https://pbs.twimg.com/profile_banners/117089350/1648768090</v>
      </c>
      <c r="BI270" s="76"/>
      <c r="BJ270" s="76" t="s">
        <v>19734</v>
      </c>
      <c r="BK270" s="76" t="b">
        <v>0</v>
      </c>
      <c r="BL270" s="76"/>
      <c r="BM270" s="76" t="s">
        <v>66</v>
      </c>
      <c r="BN270" s="76" t="s">
        <v>19736</v>
      </c>
      <c r="BO270" s="83" t="str">
        <f>HYPERLINK("https://twitter.com/pixtvhd")</f>
        <v>https://twitter.com/pixtvhd</v>
      </c>
      <c r="BP270" s="2"/>
    </row>
    <row r="271" spans="1:68" x14ac:dyDescent="0.25">
      <c r="A271" s="62" t="s">
        <v>448</v>
      </c>
      <c r="B271" s="63"/>
      <c r="C271" s="63"/>
      <c r="D271" s="64"/>
      <c r="E271" s="66"/>
      <c r="F271" s="103" t="str">
        <f>HYPERLINK("https://pbs.twimg.com/profile_images/887707958540480512/LNuIcBe1_normal.jpg")</f>
        <v>https://pbs.twimg.com/profile_images/887707958540480512/LNuIcBe1_normal.jpg</v>
      </c>
      <c r="G271" s="63"/>
      <c r="H271" s="67"/>
      <c r="I271" s="68"/>
      <c r="J271" s="68"/>
      <c r="K271" s="67" t="s">
        <v>20004</v>
      </c>
      <c r="L271" s="71"/>
      <c r="M271" s="72"/>
      <c r="N271" s="72"/>
      <c r="O271" s="73"/>
      <c r="P271" s="74"/>
      <c r="Q271" s="74"/>
      <c r="R271" s="87"/>
      <c r="S271" s="87"/>
      <c r="T271" s="87"/>
      <c r="U271" s="87"/>
      <c r="V271" s="48"/>
      <c r="W271" s="48"/>
      <c r="X271" s="48"/>
      <c r="Y271" s="48"/>
      <c r="Z271" s="47"/>
      <c r="AA271" s="69">
        <v>271</v>
      </c>
      <c r="AB271" s="69"/>
      <c r="AC271" s="70"/>
      <c r="AD271" s="76" t="s">
        <v>18017</v>
      </c>
      <c r="AE271" s="81" t="s">
        <v>18425</v>
      </c>
      <c r="AF271" s="76">
        <v>1021</v>
      </c>
      <c r="AG271" s="76">
        <v>203</v>
      </c>
      <c r="AH271" s="76">
        <v>22130</v>
      </c>
      <c r="AI271" s="76">
        <v>11</v>
      </c>
      <c r="AJ271" s="76">
        <v>62</v>
      </c>
      <c r="AK271" s="76">
        <v>4495</v>
      </c>
      <c r="AL271" s="76" t="b">
        <v>0</v>
      </c>
      <c r="AM271" s="78">
        <v>40561.209652777776</v>
      </c>
      <c r="AN271" s="76" t="s">
        <v>18650</v>
      </c>
      <c r="AO271" s="76" t="s">
        <v>19009</v>
      </c>
      <c r="AP271" s="83" t="str">
        <f>HYPERLINK("http://t.co/gCjQn4ShzB")</f>
        <v>http://t.co/gCjQn4ShzB</v>
      </c>
      <c r="AQ271" s="83" t="str">
        <f>HYPERLINK("http://www.granjanews.com.br")</f>
        <v>http://www.granjanews.com.br</v>
      </c>
      <c r="AR271" s="76" t="s">
        <v>19460</v>
      </c>
      <c r="AS271" s="76"/>
      <c r="AT271" s="76"/>
      <c r="AU271" s="76"/>
      <c r="AV271" s="76"/>
      <c r="AW271" s="83" t="str">
        <f>HYPERLINK("http://t.co/gCjQn4ShzB")</f>
        <v>http://t.co/gCjQn4ShzB</v>
      </c>
      <c r="AX271" s="76" t="b">
        <v>0</v>
      </c>
      <c r="AY271" s="76"/>
      <c r="AZ271" s="76"/>
      <c r="BA271" s="76" t="b">
        <v>0</v>
      </c>
      <c r="BB271" s="76" t="b">
        <v>1</v>
      </c>
      <c r="BC271" s="76" t="b">
        <v>0</v>
      </c>
      <c r="BD271" s="76" t="b">
        <v>0</v>
      </c>
      <c r="BE271" s="76" t="b">
        <v>1</v>
      </c>
      <c r="BF271" s="76" t="b">
        <v>0</v>
      </c>
      <c r="BG271" s="76" t="b">
        <v>0</v>
      </c>
      <c r="BH271" s="83" t="str">
        <f>HYPERLINK("https://pbs.twimg.com/profile_banners/239678012/1566335119")</f>
        <v>https://pbs.twimg.com/profile_banners/239678012/1566335119</v>
      </c>
      <c r="BI271" s="76"/>
      <c r="BJ271" s="76" t="s">
        <v>19734</v>
      </c>
      <c r="BK271" s="76" t="b">
        <v>0</v>
      </c>
      <c r="BL271" s="76"/>
      <c r="BM271" s="76" t="s">
        <v>66</v>
      </c>
      <c r="BN271" s="76" t="s">
        <v>19736</v>
      </c>
      <c r="BO271" s="83" t="str">
        <f>HYPERLINK("https://twitter.com/granjanews")</f>
        <v>https://twitter.com/granjanews</v>
      </c>
      <c r="BP271" s="2"/>
    </row>
    <row r="272" spans="1:68" x14ac:dyDescent="0.25">
      <c r="A272" s="62" t="s">
        <v>766</v>
      </c>
      <c r="B272" s="63"/>
      <c r="C272" s="63"/>
      <c r="D272" s="64"/>
      <c r="E272" s="66"/>
      <c r="F272" s="103" t="str">
        <f>HYPERLINK("https://pbs.twimg.com/profile_images/1121467539119378432/MVa0WItz_normal.png")</f>
        <v>https://pbs.twimg.com/profile_images/1121467539119378432/MVa0WItz_normal.png</v>
      </c>
      <c r="G272" s="63"/>
      <c r="H272" s="67"/>
      <c r="I272" s="68"/>
      <c r="J272" s="68"/>
      <c r="K272" s="67" t="s">
        <v>20005</v>
      </c>
      <c r="L272" s="71"/>
      <c r="M272" s="72"/>
      <c r="N272" s="72"/>
      <c r="O272" s="73"/>
      <c r="P272" s="74"/>
      <c r="Q272" s="74"/>
      <c r="R272" s="87"/>
      <c r="S272" s="87"/>
      <c r="T272" s="87"/>
      <c r="U272" s="87"/>
      <c r="V272" s="48"/>
      <c r="W272" s="48"/>
      <c r="X272" s="48"/>
      <c r="Y272" s="48"/>
      <c r="Z272" s="47"/>
      <c r="AA272" s="69">
        <v>272</v>
      </c>
      <c r="AB272" s="69"/>
      <c r="AC272" s="70"/>
      <c r="AD272" s="76" t="s">
        <v>18018</v>
      </c>
      <c r="AE272" s="81" t="s">
        <v>18426</v>
      </c>
      <c r="AF272" s="76">
        <v>430</v>
      </c>
      <c r="AG272" s="76">
        <v>54</v>
      </c>
      <c r="AH272" s="76">
        <v>120</v>
      </c>
      <c r="AI272" s="76">
        <v>3</v>
      </c>
      <c r="AJ272" s="76">
        <v>1</v>
      </c>
      <c r="AK272" s="76">
        <v>51</v>
      </c>
      <c r="AL272" s="76" t="b">
        <v>0</v>
      </c>
      <c r="AM272" s="78">
        <v>43543.736875000002</v>
      </c>
      <c r="AN272" s="76" t="s">
        <v>18651</v>
      </c>
      <c r="AO272" s="76" t="s">
        <v>19010</v>
      </c>
      <c r="AP272" s="83" t="str">
        <f>HYPERLINK("https://t.co/7e6A8hEYhB")</f>
        <v>https://t.co/7e6A8hEYhB</v>
      </c>
      <c r="AQ272" s="83" t="str">
        <f>HYPERLINK("http://cotia.sp.gov.br/")</f>
        <v>http://cotia.sp.gov.br/</v>
      </c>
      <c r="AR272" s="76" t="s">
        <v>19461</v>
      </c>
      <c r="AS272" s="76"/>
      <c r="AT272" s="76"/>
      <c r="AU272" s="76"/>
      <c r="AV272" s="76"/>
      <c r="AW272" s="83" t="str">
        <f>HYPERLINK("https://t.co/7e6A8hEYhB")</f>
        <v>https://t.co/7e6A8hEYhB</v>
      </c>
      <c r="AX272" s="76" t="b">
        <v>0</v>
      </c>
      <c r="AY272" s="76"/>
      <c r="AZ272" s="76"/>
      <c r="BA272" s="76" t="b">
        <v>0</v>
      </c>
      <c r="BB272" s="76" t="b">
        <v>1</v>
      </c>
      <c r="BC272" s="76" t="b">
        <v>1</v>
      </c>
      <c r="BD272" s="76" t="b">
        <v>0</v>
      </c>
      <c r="BE272" s="76" t="b">
        <v>0</v>
      </c>
      <c r="BF272" s="76" t="b">
        <v>0</v>
      </c>
      <c r="BG272" s="76" t="b">
        <v>0</v>
      </c>
      <c r="BH272" s="76"/>
      <c r="BI272" s="76"/>
      <c r="BJ272" s="76" t="s">
        <v>19734</v>
      </c>
      <c r="BK272" s="76" t="b">
        <v>0</v>
      </c>
      <c r="BL272" s="76"/>
      <c r="BM272" s="76" t="s">
        <v>65</v>
      </c>
      <c r="BN272" s="76" t="s">
        <v>19736</v>
      </c>
      <c r="BO272" s="83" t="str">
        <f>HYPERLINK("https://twitter.com/prefdecotia")</f>
        <v>https://twitter.com/prefdecotia</v>
      </c>
      <c r="BP272" s="2"/>
    </row>
    <row r="273" spans="1:68" x14ac:dyDescent="0.25">
      <c r="A273" s="62" t="s">
        <v>449</v>
      </c>
      <c r="B273" s="63"/>
      <c r="C273" s="63"/>
      <c r="D273" s="64"/>
      <c r="E273" s="66"/>
      <c r="F273" s="103" t="str">
        <f>HYPERLINK("https://pbs.twimg.com/profile_images/1638104589604995073/r7qdG73d_normal.jpg")</f>
        <v>https://pbs.twimg.com/profile_images/1638104589604995073/r7qdG73d_normal.jpg</v>
      </c>
      <c r="G273" s="63"/>
      <c r="H273" s="67"/>
      <c r="I273" s="68"/>
      <c r="J273" s="68"/>
      <c r="K273" s="67" t="s">
        <v>20006</v>
      </c>
      <c r="L273" s="71"/>
      <c r="M273" s="72"/>
      <c r="N273" s="72"/>
      <c r="O273" s="73"/>
      <c r="P273" s="74"/>
      <c r="Q273" s="74"/>
      <c r="R273" s="87"/>
      <c r="S273" s="87"/>
      <c r="T273" s="87"/>
      <c r="U273" s="87"/>
      <c r="V273" s="48"/>
      <c r="W273" s="48"/>
      <c r="X273" s="48"/>
      <c r="Y273" s="48"/>
      <c r="Z273" s="47"/>
      <c r="AA273" s="69">
        <v>273</v>
      </c>
      <c r="AB273" s="69"/>
      <c r="AC273" s="70"/>
      <c r="AD273" s="76" t="s">
        <v>18019</v>
      </c>
      <c r="AE273" s="81" t="s">
        <v>17560</v>
      </c>
      <c r="AF273" s="76">
        <v>103</v>
      </c>
      <c r="AG273" s="76">
        <v>865</v>
      </c>
      <c r="AH273" s="76">
        <v>520</v>
      </c>
      <c r="AI273" s="76">
        <v>1</v>
      </c>
      <c r="AJ273" s="76">
        <v>55</v>
      </c>
      <c r="AK273" s="76">
        <v>137</v>
      </c>
      <c r="AL273" s="76" t="b">
        <v>0</v>
      </c>
      <c r="AM273" s="78">
        <v>44596.43005787037</v>
      </c>
      <c r="AN273" s="76"/>
      <c r="AO273" s="76" t="s">
        <v>19011</v>
      </c>
      <c r="AP273" s="83" t="str">
        <f>HYPERLINK("https://t.co/xv7bUsMlLM")</f>
        <v>https://t.co/xv7bUsMlLM</v>
      </c>
      <c r="AQ273" s="83" t="str">
        <f>HYPERLINK("http://bit.ly/3SEidTO")</f>
        <v>http://bit.ly/3SEidTO</v>
      </c>
      <c r="AR273" s="76" t="s">
        <v>19462</v>
      </c>
      <c r="AS273" s="76"/>
      <c r="AT273" s="76"/>
      <c r="AU273" s="76"/>
      <c r="AV273" s="76">
        <v>1.69730890890003E+18</v>
      </c>
      <c r="AW273" s="83" t="str">
        <f>HYPERLINK("https://t.co/xv7bUsMlLM")</f>
        <v>https://t.co/xv7bUsMlLM</v>
      </c>
      <c r="AX273" s="76" t="b">
        <v>0</v>
      </c>
      <c r="AY273" s="76"/>
      <c r="AZ273" s="76"/>
      <c r="BA273" s="76" t="b">
        <v>0</v>
      </c>
      <c r="BB273" s="76" t="b">
        <v>1</v>
      </c>
      <c r="BC273" s="76" t="b">
        <v>1</v>
      </c>
      <c r="BD273" s="76" t="b">
        <v>0</v>
      </c>
      <c r="BE273" s="76" t="b">
        <v>0</v>
      </c>
      <c r="BF273" s="76" t="b">
        <v>0</v>
      </c>
      <c r="BG273" s="76" t="b">
        <v>0</v>
      </c>
      <c r="BH273" s="83" t="str">
        <f>HYPERLINK("https://pbs.twimg.com/profile_banners/1489544001032273925/1679389544")</f>
        <v>https://pbs.twimg.com/profile_banners/1489544001032273925/1679389544</v>
      </c>
      <c r="BI273" s="76"/>
      <c r="BJ273" s="76" t="s">
        <v>19734</v>
      </c>
      <c r="BK273" s="76" t="b">
        <v>0</v>
      </c>
      <c r="BL273" s="76"/>
      <c r="BM273" s="76" t="s">
        <v>66</v>
      </c>
      <c r="BN273" s="76" t="s">
        <v>19736</v>
      </c>
      <c r="BO273" s="83" t="str">
        <f>HYPERLINK("https://twitter.com/exnova_pt")</f>
        <v>https://twitter.com/exnova_pt</v>
      </c>
      <c r="BP273" s="2"/>
    </row>
    <row r="274" spans="1:68" x14ac:dyDescent="0.25">
      <c r="A274" s="62" t="s">
        <v>767</v>
      </c>
      <c r="B274" s="63"/>
      <c r="C274" s="63"/>
      <c r="D274" s="64"/>
      <c r="E274" s="66"/>
      <c r="F274" s="103" t="str">
        <f>HYPERLINK("https://pbs.twimg.com/profile_images/705601245596090368/Z6xUOnRg_normal.jpg")</f>
        <v>https://pbs.twimg.com/profile_images/705601245596090368/Z6xUOnRg_normal.jpg</v>
      </c>
      <c r="G274" s="63"/>
      <c r="H274" s="67"/>
      <c r="I274" s="68"/>
      <c r="J274" s="68"/>
      <c r="K274" s="67" t="s">
        <v>20007</v>
      </c>
      <c r="L274" s="71"/>
      <c r="M274" s="72"/>
      <c r="N274" s="72"/>
      <c r="O274" s="73"/>
      <c r="P274" s="74"/>
      <c r="Q274" s="74"/>
      <c r="R274" s="87"/>
      <c r="S274" s="87"/>
      <c r="T274" s="87"/>
      <c r="U274" s="87"/>
      <c r="V274" s="48"/>
      <c r="W274" s="48"/>
      <c r="X274" s="48"/>
      <c r="Y274" s="48"/>
      <c r="Z274" s="47"/>
      <c r="AA274" s="69">
        <v>274</v>
      </c>
      <c r="AB274" s="69"/>
      <c r="AC274" s="70"/>
      <c r="AD274" s="76" t="s">
        <v>18020</v>
      </c>
      <c r="AE274" s="81" t="s">
        <v>18427</v>
      </c>
      <c r="AF274" s="76">
        <v>4538296</v>
      </c>
      <c r="AG274" s="76">
        <v>229</v>
      </c>
      <c r="AH274" s="76">
        <v>412609</v>
      </c>
      <c r="AI274" s="76">
        <v>31175</v>
      </c>
      <c r="AJ274" s="76">
        <v>3229</v>
      </c>
      <c r="AK274" s="76">
        <v>60148</v>
      </c>
      <c r="AL274" s="76" t="b">
        <v>0</v>
      </c>
      <c r="AM274" s="78">
        <v>39093.219305555554</v>
      </c>
      <c r="AN274" s="76" t="s">
        <v>18635</v>
      </c>
      <c r="AO274" s="76" t="s">
        <v>19012</v>
      </c>
      <c r="AP274" s="83" t="str">
        <f>HYPERLINK("https://t.co/Z9DRUcnQ8M")</f>
        <v>https://t.co/Z9DRUcnQ8M</v>
      </c>
      <c r="AQ274" s="83" t="str">
        <f>HYPERLINK("http://www.marketwatch.com/")</f>
        <v>http://www.marketwatch.com/</v>
      </c>
      <c r="AR274" s="76" t="s">
        <v>19463</v>
      </c>
      <c r="AS274" s="83" t="str">
        <f>HYPERLINK("https://t.co/Uu49STq7M6")</f>
        <v>https://t.co/Uu49STq7M6</v>
      </c>
      <c r="AT274" s="83" t="str">
        <f>HYPERLINK("https://customercenter.marketwatch.com")</f>
        <v>https://customercenter.marketwatch.com</v>
      </c>
      <c r="AU274" s="76" t="s">
        <v>19709</v>
      </c>
      <c r="AV274" s="76">
        <v>1.7070625511318799E+18</v>
      </c>
      <c r="AW274" s="83" t="str">
        <f>HYPERLINK("https://t.co/Z9DRUcnQ8M")</f>
        <v>https://t.co/Z9DRUcnQ8M</v>
      </c>
      <c r="AX274" s="76" t="b">
        <v>1</v>
      </c>
      <c r="AY274" s="76"/>
      <c r="AZ274" s="76"/>
      <c r="BA274" s="76" t="b">
        <v>0</v>
      </c>
      <c r="BB274" s="76" t="b">
        <v>1</v>
      </c>
      <c r="BC274" s="76" t="b">
        <v>0</v>
      </c>
      <c r="BD274" s="76" t="b">
        <v>0</v>
      </c>
      <c r="BE274" s="76" t="b">
        <v>1</v>
      </c>
      <c r="BF274" s="76" t="b">
        <v>0</v>
      </c>
      <c r="BG274" s="76" t="b">
        <v>0</v>
      </c>
      <c r="BH274" s="83" t="str">
        <f>HYPERLINK("https://pbs.twimg.com/profile_banners/624413/1398380735")</f>
        <v>https://pbs.twimg.com/profile_banners/624413/1398380735</v>
      </c>
      <c r="BI274" s="76"/>
      <c r="BJ274" s="76" t="s">
        <v>19734</v>
      </c>
      <c r="BK274" s="76" t="b">
        <v>0</v>
      </c>
      <c r="BL274" s="76"/>
      <c r="BM274" s="76" t="s">
        <v>65</v>
      </c>
      <c r="BN274" s="76" t="s">
        <v>19736</v>
      </c>
      <c r="BO274" s="83" t="str">
        <f>HYPERLINK("https://twitter.com/marketwatch")</f>
        <v>https://twitter.com/marketwatch</v>
      </c>
      <c r="BP274" s="2"/>
    </row>
    <row r="275" spans="1:68" x14ac:dyDescent="0.25">
      <c r="A275" s="62" t="s">
        <v>768</v>
      </c>
      <c r="B275" s="63"/>
      <c r="C275" s="63"/>
      <c r="D275" s="64"/>
      <c r="E275" s="66"/>
      <c r="F275" s="103" t="str">
        <f>HYPERLINK("https://pbs.twimg.com/profile_images/1377788667691855872/LrysCc5Q_normal.jpg")</f>
        <v>https://pbs.twimg.com/profile_images/1377788667691855872/LrysCc5Q_normal.jpg</v>
      </c>
      <c r="G275" s="63"/>
      <c r="H275" s="67"/>
      <c r="I275" s="68"/>
      <c r="J275" s="68"/>
      <c r="K275" s="67" t="s">
        <v>20008</v>
      </c>
      <c r="L275" s="71"/>
      <c r="M275" s="72"/>
      <c r="N275" s="72"/>
      <c r="O275" s="73"/>
      <c r="P275" s="74"/>
      <c r="Q275" s="74"/>
      <c r="R275" s="87"/>
      <c r="S275" s="87"/>
      <c r="T275" s="87"/>
      <c r="U275" s="87"/>
      <c r="V275" s="48"/>
      <c r="W275" s="48"/>
      <c r="X275" s="48"/>
      <c r="Y275" s="48"/>
      <c r="Z275" s="47"/>
      <c r="AA275" s="69">
        <v>275</v>
      </c>
      <c r="AB275" s="69"/>
      <c r="AC275" s="70"/>
      <c r="AD275" s="76" t="s">
        <v>18021</v>
      </c>
      <c r="AE275" s="81" t="s">
        <v>18428</v>
      </c>
      <c r="AF275" s="76">
        <v>998689</v>
      </c>
      <c r="AG275" s="76">
        <v>23</v>
      </c>
      <c r="AH275" s="76">
        <v>3062</v>
      </c>
      <c r="AI275" s="76">
        <v>4838</v>
      </c>
      <c r="AJ275" s="76">
        <v>877</v>
      </c>
      <c r="AK275" s="76">
        <v>798</v>
      </c>
      <c r="AL275" s="76" t="b">
        <v>0</v>
      </c>
      <c r="AM275" s="78">
        <v>40821.771412037036</v>
      </c>
      <c r="AN275" s="76"/>
      <c r="AO275" s="76" t="s">
        <v>19013</v>
      </c>
      <c r="AP275" s="83" t="str">
        <f>HYPERLINK("https://t.co/lOwpK1FF18")</f>
        <v>https://t.co/lOwpK1FF18</v>
      </c>
      <c r="AQ275" s="83" t="str">
        <f>HYPERLINK("https://litecoin.org")</f>
        <v>https://litecoin.org</v>
      </c>
      <c r="AR275" s="76" t="s">
        <v>19464</v>
      </c>
      <c r="AS275" s="83" t="str">
        <f>HYPERLINK("https://t.co/xDdwb7Qx1P")</f>
        <v>https://t.co/xDdwb7Qx1P</v>
      </c>
      <c r="AT275" s="83" t="str">
        <f>HYPERLINK("http://t.me/litecoin")</f>
        <v>http://t.me/litecoin</v>
      </c>
      <c r="AU275" s="76" t="s">
        <v>19710</v>
      </c>
      <c r="AV275" s="76"/>
      <c r="AW275" s="83" t="str">
        <f>HYPERLINK("https://t.co/lOwpK1FF18")</f>
        <v>https://t.co/lOwpK1FF18</v>
      </c>
      <c r="AX275" s="76" t="b">
        <v>0</v>
      </c>
      <c r="AY275" s="76"/>
      <c r="AZ275" s="76"/>
      <c r="BA275" s="76" t="b">
        <v>0</v>
      </c>
      <c r="BB275" s="76" t="b">
        <v>1</v>
      </c>
      <c r="BC275" s="76" t="b">
        <v>1</v>
      </c>
      <c r="BD275" s="76" t="b">
        <v>0</v>
      </c>
      <c r="BE275" s="76" t="b">
        <v>0</v>
      </c>
      <c r="BF275" s="76" t="b">
        <v>0</v>
      </c>
      <c r="BG275" s="76" t="b">
        <v>0</v>
      </c>
      <c r="BH275" s="83" t="str">
        <f>HYPERLINK("https://pbs.twimg.com/profile_banners/385562752/1651127565")</f>
        <v>https://pbs.twimg.com/profile_banners/385562752/1651127565</v>
      </c>
      <c r="BI275" s="76"/>
      <c r="BJ275" s="76" t="s">
        <v>19734</v>
      </c>
      <c r="BK275" s="76" t="b">
        <v>0</v>
      </c>
      <c r="BL275" s="76"/>
      <c r="BM275" s="76" t="s">
        <v>65</v>
      </c>
      <c r="BN275" s="76" t="s">
        <v>19736</v>
      </c>
      <c r="BO275" s="83" t="str">
        <f>HYPERLINK("https://twitter.com/litecoin")</f>
        <v>https://twitter.com/litecoin</v>
      </c>
      <c r="BP275" s="2"/>
    </row>
    <row r="276" spans="1:68" x14ac:dyDescent="0.25">
      <c r="A276" s="62" t="s">
        <v>769</v>
      </c>
      <c r="B276" s="63"/>
      <c r="C276" s="63"/>
      <c r="D276" s="64"/>
      <c r="E276" s="66"/>
      <c r="F276" s="103" t="str">
        <f>HYPERLINK("https://pbs.twimg.com/profile_images/1670792494991171586/QqQelgJQ_normal.jpg")</f>
        <v>https://pbs.twimg.com/profile_images/1670792494991171586/QqQelgJQ_normal.jpg</v>
      </c>
      <c r="G276" s="63"/>
      <c r="H276" s="67"/>
      <c r="I276" s="68"/>
      <c r="J276" s="68"/>
      <c r="K276" s="67" t="s">
        <v>20009</v>
      </c>
      <c r="L276" s="71"/>
      <c r="M276" s="72"/>
      <c r="N276" s="72"/>
      <c r="O276" s="73"/>
      <c r="P276" s="74"/>
      <c r="Q276" s="74"/>
      <c r="R276" s="87"/>
      <c r="S276" s="87"/>
      <c r="T276" s="87"/>
      <c r="U276" s="87"/>
      <c r="V276" s="48"/>
      <c r="W276" s="48"/>
      <c r="X276" s="48"/>
      <c r="Y276" s="48"/>
      <c r="Z276" s="47"/>
      <c r="AA276" s="69">
        <v>276</v>
      </c>
      <c r="AB276" s="69"/>
      <c r="AC276" s="70"/>
      <c r="AD276" s="76" t="s">
        <v>18022</v>
      </c>
      <c r="AE276" s="81" t="s">
        <v>18429</v>
      </c>
      <c r="AF276" s="76">
        <v>184371</v>
      </c>
      <c r="AG276" s="76">
        <v>3337</v>
      </c>
      <c r="AH276" s="76">
        <v>12862</v>
      </c>
      <c r="AI276" s="76">
        <v>1618</v>
      </c>
      <c r="AJ276" s="76">
        <v>6964</v>
      </c>
      <c r="AK276" s="76">
        <v>3419</v>
      </c>
      <c r="AL276" s="76" t="b">
        <v>0</v>
      </c>
      <c r="AM276" s="78">
        <v>39591.670358796298</v>
      </c>
      <c r="AN276" s="76" t="s">
        <v>18652</v>
      </c>
      <c r="AO276" s="76" t="s">
        <v>19014</v>
      </c>
      <c r="AP276" s="83" t="str">
        <f>HYPERLINK("https://t.co/uwCxEsp7qv")</f>
        <v>https://t.co/uwCxEsp7qv</v>
      </c>
      <c r="AQ276" s="83" t="str">
        <f>HYPERLINK("http://www.microstrategy.com")</f>
        <v>http://www.microstrategy.com</v>
      </c>
      <c r="AR276" s="76" t="s">
        <v>19465</v>
      </c>
      <c r="AS276" s="76"/>
      <c r="AT276" s="76"/>
      <c r="AU276" s="76"/>
      <c r="AV276" s="76">
        <v>1.7038615440045701E+18</v>
      </c>
      <c r="AW276" s="83" t="str">
        <f>HYPERLINK("https://t.co/uwCxEsp7qv")</f>
        <v>https://t.co/uwCxEsp7qv</v>
      </c>
      <c r="AX276" s="76" t="b">
        <v>0</v>
      </c>
      <c r="AY276" s="76"/>
      <c r="AZ276" s="76"/>
      <c r="BA276" s="76" t="b">
        <v>1</v>
      </c>
      <c r="BB276" s="76" t="b">
        <v>1</v>
      </c>
      <c r="BC276" s="76" t="b">
        <v>0</v>
      </c>
      <c r="BD276" s="76" t="b">
        <v>0</v>
      </c>
      <c r="BE276" s="76" t="b">
        <v>1</v>
      </c>
      <c r="BF276" s="76" t="b">
        <v>0</v>
      </c>
      <c r="BG276" s="76" t="b">
        <v>0</v>
      </c>
      <c r="BH276" s="83" t="str">
        <f>HYPERLINK("https://pbs.twimg.com/profile_banners/14883246/1630588669")</f>
        <v>https://pbs.twimg.com/profile_banners/14883246/1630588669</v>
      </c>
      <c r="BI276" s="76"/>
      <c r="BJ276" s="76" t="s">
        <v>19734</v>
      </c>
      <c r="BK276" s="76" t="b">
        <v>0</v>
      </c>
      <c r="BL276" s="76"/>
      <c r="BM276" s="76" t="s">
        <v>65</v>
      </c>
      <c r="BN276" s="76" t="s">
        <v>19736</v>
      </c>
      <c r="BO276" s="83" t="str">
        <f>HYPERLINK("https://twitter.com/microstrategy")</f>
        <v>https://twitter.com/microstrategy</v>
      </c>
      <c r="BP276" s="2"/>
    </row>
    <row r="277" spans="1:68" x14ac:dyDescent="0.25">
      <c r="A277" s="62" t="s">
        <v>770</v>
      </c>
      <c r="B277" s="63"/>
      <c r="C277" s="63"/>
      <c r="D277" s="64"/>
      <c r="E277" s="66"/>
      <c r="F277" s="103" t="str">
        <f>HYPERLINK("https://pbs.twimg.com/profile_images/1573118374779179013/T7JWXueK_normal.png")</f>
        <v>https://pbs.twimg.com/profile_images/1573118374779179013/T7JWXueK_normal.png</v>
      </c>
      <c r="G277" s="63"/>
      <c r="H277" s="67"/>
      <c r="I277" s="68"/>
      <c r="J277" s="68"/>
      <c r="K277" s="67" t="s">
        <v>20010</v>
      </c>
      <c r="L277" s="71"/>
      <c r="M277" s="72"/>
      <c r="N277" s="72"/>
      <c r="O277" s="73"/>
      <c r="P277" s="74"/>
      <c r="Q277" s="74"/>
      <c r="R277" s="87"/>
      <c r="S277" s="87"/>
      <c r="T277" s="87"/>
      <c r="U277" s="87"/>
      <c r="V277" s="48"/>
      <c r="W277" s="48"/>
      <c r="X277" s="48"/>
      <c r="Y277" s="48"/>
      <c r="Z277" s="47"/>
      <c r="AA277" s="69">
        <v>277</v>
      </c>
      <c r="AB277" s="69"/>
      <c r="AC277" s="70"/>
      <c r="AD277" s="76" t="s">
        <v>18023</v>
      </c>
      <c r="AE277" s="81" t="s">
        <v>18430</v>
      </c>
      <c r="AF277" s="76">
        <v>70258</v>
      </c>
      <c r="AG277" s="76">
        <v>1</v>
      </c>
      <c r="AH277" s="76">
        <v>2849</v>
      </c>
      <c r="AI277" s="76">
        <v>1373</v>
      </c>
      <c r="AJ277" s="76">
        <v>23</v>
      </c>
      <c r="AK277" s="76">
        <v>700</v>
      </c>
      <c r="AL277" s="76" t="b">
        <v>0</v>
      </c>
      <c r="AM277" s="78">
        <v>40466.085798611108</v>
      </c>
      <c r="AN277" s="76" t="s">
        <v>18653</v>
      </c>
      <c r="AO277" s="76" t="s">
        <v>19015</v>
      </c>
      <c r="AP277" s="83" t="str">
        <f>HYPERLINK("https://t.co/q81ZqV9zqV")</f>
        <v>https://t.co/q81ZqV9zqV</v>
      </c>
      <c r="AQ277" s="83" t="str">
        <f>HYPERLINK("http://www.rba.gov.au")</f>
        <v>http://www.rba.gov.au</v>
      </c>
      <c r="AR277" s="76" t="s">
        <v>19466</v>
      </c>
      <c r="AS277" s="83" t="str">
        <f>HYPERLINK("https://t.co/ExsVRGm333")</f>
        <v>https://t.co/ExsVRGm333</v>
      </c>
      <c r="AT277" s="83" t="str">
        <f>HYPERLINK("http://bit.ly/3RgTFyH")</f>
        <v>http://bit.ly/3RgTFyH</v>
      </c>
      <c r="AU277" s="76" t="s">
        <v>19711</v>
      </c>
      <c r="AV277" s="76"/>
      <c r="AW277" s="83" t="str">
        <f>HYPERLINK("https://t.co/q81ZqV9zqV")</f>
        <v>https://t.co/q81ZqV9zqV</v>
      </c>
      <c r="AX277" s="76" t="b">
        <v>0</v>
      </c>
      <c r="AY277" s="76"/>
      <c r="AZ277" s="76"/>
      <c r="BA277" s="76" t="b">
        <v>1</v>
      </c>
      <c r="BB277" s="76" t="b">
        <v>1</v>
      </c>
      <c r="BC277" s="76" t="b">
        <v>0</v>
      </c>
      <c r="BD277" s="76" t="b">
        <v>0</v>
      </c>
      <c r="BE277" s="76" t="b">
        <v>0</v>
      </c>
      <c r="BF277" s="76" t="b">
        <v>0</v>
      </c>
      <c r="BG277" s="76" t="b">
        <v>0</v>
      </c>
      <c r="BH277" s="83" t="str">
        <f>HYPERLINK("https://pbs.twimg.com/profile_banners/202896989/1505880244")</f>
        <v>https://pbs.twimg.com/profile_banners/202896989/1505880244</v>
      </c>
      <c r="BI277" s="76"/>
      <c r="BJ277" s="76" t="s">
        <v>19734</v>
      </c>
      <c r="BK277" s="76" t="b">
        <v>0</v>
      </c>
      <c r="BL277" s="76"/>
      <c r="BM277" s="76" t="s">
        <v>65</v>
      </c>
      <c r="BN277" s="76" t="s">
        <v>19736</v>
      </c>
      <c r="BO277" s="83" t="str">
        <f>HYPERLINK("https://twitter.com/rbainfo")</f>
        <v>https://twitter.com/rbainfo</v>
      </c>
      <c r="BP277" s="2"/>
    </row>
    <row r="278" spans="1:68" x14ac:dyDescent="0.25">
      <c r="A278" s="62" t="s">
        <v>450</v>
      </c>
      <c r="B278" s="63"/>
      <c r="C278" s="63"/>
      <c r="D278" s="64"/>
      <c r="E278" s="66"/>
      <c r="F278" s="103" t="str">
        <f>HYPERLINK("https://pbs.twimg.com/profile_images/1696090953533054976/ItvzgiH2_normal.jpg")</f>
        <v>https://pbs.twimg.com/profile_images/1696090953533054976/ItvzgiH2_normal.jpg</v>
      </c>
      <c r="G278" s="63"/>
      <c r="H278" s="67"/>
      <c r="I278" s="68"/>
      <c r="J278" s="68"/>
      <c r="K278" s="67" t="s">
        <v>20011</v>
      </c>
      <c r="L278" s="71"/>
      <c r="M278" s="72"/>
      <c r="N278" s="72"/>
      <c r="O278" s="73"/>
      <c r="P278" s="74"/>
      <c r="Q278" s="74"/>
      <c r="R278" s="87"/>
      <c r="S278" s="87"/>
      <c r="T278" s="87"/>
      <c r="U278" s="87"/>
      <c r="V278" s="48"/>
      <c r="W278" s="48"/>
      <c r="X278" s="48"/>
      <c r="Y278" s="48"/>
      <c r="Z278" s="47"/>
      <c r="AA278" s="69">
        <v>278</v>
      </c>
      <c r="AB278" s="69"/>
      <c r="AC278" s="70"/>
      <c r="AD278" s="76" t="s">
        <v>18024</v>
      </c>
      <c r="AE278" s="81" t="s">
        <v>18431</v>
      </c>
      <c r="AF278" s="76">
        <v>67</v>
      </c>
      <c r="AG278" s="76">
        <v>93</v>
      </c>
      <c r="AH278" s="76">
        <v>2003</v>
      </c>
      <c r="AI278" s="76">
        <v>1</v>
      </c>
      <c r="AJ278" s="76">
        <v>4109</v>
      </c>
      <c r="AK278" s="76">
        <v>160</v>
      </c>
      <c r="AL278" s="76" t="b">
        <v>0</v>
      </c>
      <c r="AM278" s="78">
        <v>40870.679780092592</v>
      </c>
      <c r="AN278" s="76" t="s">
        <v>18638</v>
      </c>
      <c r="AO278" s="76" t="s">
        <v>19016</v>
      </c>
      <c r="AP278" s="76"/>
      <c r="AQ278" s="76"/>
      <c r="AR278" s="76"/>
      <c r="AS278" s="76"/>
      <c r="AT278" s="76"/>
      <c r="AU278" s="76"/>
      <c r="AV278" s="76">
        <v>1.6010313068669199E+18</v>
      </c>
      <c r="AW278" s="76"/>
      <c r="AX278" s="76" t="b">
        <v>0</v>
      </c>
      <c r="AY278" s="76"/>
      <c r="AZ278" s="76"/>
      <c r="BA278" s="76" t="b">
        <v>0</v>
      </c>
      <c r="BB278" s="76" t="b">
        <v>0</v>
      </c>
      <c r="BC278" s="76" t="b">
        <v>0</v>
      </c>
      <c r="BD278" s="76" t="b">
        <v>0</v>
      </c>
      <c r="BE278" s="76" t="b">
        <v>1</v>
      </c>
      <c r="BF278" s="76" t="b">
        <v>0</v>
      </c>
      <c r="BG278" s="76" t="b">
        <v>0</v>
      </c>
      <c r="BH278" s="83" t="str">
        <f>HYPERLINK("https://pbs.twimg.com/profile_banners/419646071/1691879584")</f>
        <v>https://pbs.twimg.com/profile_banners/419646071/1691879584</v>
      </c>
      <c r="BI278" s="76"/>
      <c r="BJ278" s="76" t="s">
        <v>19734</v>
      </c>
      <c r="BK278" s="76" t="b">
        <v>0</v>
      </c>
      <c r="BL278" s="76"/>
      <c r="BM278" s="76" t="s">
        <v>66</v>
      </c>
      <c r="BN278" s="76" t="s">
        <v>19736</v>
      </c>
      <c r="BO278" s="83" t="str">
        <f>HYPERLINK("https://twitter.com/dygosilvagraves")</f>
        <v>https://twitter.com/dygosilvagraves</v>
      </c>
      <c r="BP278" s="2"/>
    </row>
    <row r="279" spans="1:68" x14ac:dyDescent="0.25">
      <c r="A279" s="62" t="s">
        <v>451</v>
      </c>
      <c r="B279" s="63"/>
      <c r="C279" s="63"/>
      <c r="D279" s="64"/>
      <c r="E279" s="66"/>
      <c r="F279" s="103" t="str">
        <f>HYPERLINK("https://pbs.twimg.com/profile_images/1677275777631416326/KA-PslZw_normal.jpg")</f>
        <v>https://pbs.twimg.com/profile_images/1677275777631416326/KA-PslZw_normal.jpg</v>
      </c>
      <c r="G279" s="63"/>
      <c r="H279" s="67"/>
      <c r="I279" s="68"/>
      <c r="J279" s="68"/>
      <c r="K279" s="67" t="s">
        <v>20012</v>
      </c>
      <c r="L279" s="71"/>
      <c r="M279" s="72"/>
      <c r="N279" s="72"/>
      <c r="O279" s="73"/>
      <c r="P279" s="74"/>
      <c r="Q279" s="74"/>
      <c r="R279" s="87"/>
      <c r="S279" s="87"/>
      <c r="T279" s="87"/>
      <c r="U279" s="87"/>
      <c r="V279" s="48"/>
      <c r="W279" s="48"/>
      <c r="X279" s="48"/>
      <c r="Y279" s="48"/>
      <c r="Z279" s="47"/>
      <c r="AA279" s="69">
        <v>279</v>
      </c>
      <c r="AB279" s="69"/>
      <c r="AC279" s="70"/>
      <c r="AD279" s="76" t="s">
        <v>18025</v>
      </c>
      <c r="AE279" s="81" t="s">
        <v>18432</v>
      </c>
      <c r="AF279" s="76">
        <v>22</v>
      </c>
      <c r="AG279" s="76">
        <v>51</v>
      </c>
      <c r="AH279" s="76">
        <v>783</v>
      </c>
      <c r="AI279" s="76">
        <v>0</v>
      </c>
      <c r="AJ279" s="76">
        <v>968</v>
      </c>
      <c r="AK279" s="76">
        <v>125</v>
      </c>
      <c r="AL279" s="76" t="b">
        <v>0</v>
      </c>
      <c r="AM279" s="78">
        <v>41470.476423611108</v>
      </c>
      <c r="AN279" s="76" t="s">
        <v>18654</v>
      </c>
      <c r="AO279" s="76" t="s">
        <v>19017</v>
      </c>
      <c r="AP279" s="83" t="str">
        <f>HYPERLINK("https://t.co/pZELZVOy2v")</f>
        <v>https://t.co/pZELZVOy2v</v>
      </c>
      <c r="AQ279" s="83" t="str">
        <f>HYPERLINK("http://www.omegaeducation.com")</f>
        <v>http://www.omegaeducation.com</v>
      </c>
      <c r="AR279" s="76" t="s">
        <v>19467</v>
      </c>
      <c r="AS279" s="76"/>
      <c r="AT279" s="76"/>
      <c r="AU279" s="76"/>
      <c r="AV279" s="76">
        <v>1.03352636747911E+18</v>
      </c>
      <c r="AW279" s="83" t="str">
        <f>HYPERLINK("https://t.co/pZELZVOy2v")</f>
        <v>https://t.co/pZELZVOy2v</v>
      </c>
      <c r="AX279" s="76" t="b">
        <v>0</v>
      </c>
      <c r="AY279" s="76"/>
      <c r="AZ279" s="76"/>
      <c r="BA279" s="76" t="b">
        <v>0</v>
      </c>
      <c r="BB279" s="76" t="b">
        <v>1</v>
      </c>
      <c r="BC279" s="76" t="b">
        <v>0</v>
      </c>
      <c r="BD279" s="76" t="b">
        <v>0</v>
      </c>
      <c r="BE279" s="76" t="b">
        <v>1</v>
      </c>
      <c r="BF279" s="76" t="b">
        <v>0</v>
      </c>
      <c r="BG279" s="76" t="b">
        <v>0</v>
      </c>
      <c r="BH279" s="83" t="str">
        <f>HYPERLINK("https://pbs.twimg.com/profile_banners/1595648917/1688728730")</f>
        <v>https://pbs.twimg.com/profile_banners/1595648917/1688728730</v>
      </c>
      <c r="BI279" s="76"/>
      <c r="BJ279" s="76" t="s">
        <v>19734</v>
      </c>
      <c r="BK279" s="76" t="b">
        <v>0</v>
      </c>
      <c r="BL279" s="76"/>
      <c r="BM279" s="76" t="s">
        <v>66</v>
      </c>
      <c r="BN279" s="76" t="s">
        <v>19736</v>
      </c>
      <c r="BO279" s="83" t="str">
        <f>HYPERLINK("https://twitter.com/matheuscdesales")</f>
        <v>https://twitter.com/matheuscdesales</v>
      </c>
      <c r="BP279" s="2"/>
    </row>
    <row r="280" spans="1:68" x14ac:dyDescent="0.25">
      <c r="A280" s="62" t="s">
        <v>452</v>
      </c>
      <c r="B280" s="63"/>
      <c r="C280" s="63"/>
      <c r="D280" s="64"/>
      <c r="E280" s="66"/>
      <c r="F280" s="103" t="str">
        <f>HYPERLINK("https://pbs.twimg.com/profile_images/1688894010964803585/OvqlwEeb_normal.jpg")</f>
        <v>https://pbs.twimg.com/profile_images/1688894010964803585/OvqlwEeb_normal.jpg</v>
      </c>
      <c r="G280" s="63"/>
      <c r="H280" s="67"/>
      <c r="I280" s="68"/>
      <c r="J280" s="68"/>
      <c r="K280" s="67" t="s">
        <v>20013</v>
      </c>
      <c r="L280" s="71"/>
      <c r="M280" s="72"/>
      <c r="N280" s="72"/>
      <c r="O280" s="73"/>
      <c r="P280" s="74"/>
      <c r="Q280" s="74"/>
      <c r="R280" s="87"/>
      <c r="S280" s="87"/>
      <c r="T280" s="87"/>
      <c r="U280" s="87"/>
      <c r="V280" s="48"/>
      <c r="W280" s="48"/>
      <c r="X280" s="48"/>
      <c r="Y280" s="48"/>
      <c r="Z280" s="47"/>
      <c r="AA280" s="69">
        <v>280</v>
      </c>
      <c r="AB280" s="69"/>
      <c r="AC280" s="70"/>
      <c r="AD280" s="76" t="s">
        <v>18026</v>
      </c>
      <c r="AE280" s="81" t="s">
        <v>17348</v>
      </c>
      <c r="AF280" s="76">
        <v>21</v>
      </c>
      <c r="AG280" s="76">
        <v>12</v>
      </c>
      <c r="AH280" s="76">
        <v>196</v>
      </c>
      <c r="AI280" s="76">
        <v>0</v>
      </c>
      <c r="AJ280" s="76">
        <v>86</v>
      </c>
      <c r="AK280" s="76">
        <v>142</v>
      </c>
      <c r="AL280" s="76" t="b">
        <v>0</v>
      </c>
      <c r="AM280" s="78">
        <v>45081.881180555552</v>
      </c>
      <c r="AN280" s="76"/>
      <c r="AO280" s="76" t="s">
        <v>19018</v>
      </c>
      <c r="AP280" s="76"/>
      <c r="AQ280" s="76"/>
      <c r="AR280" s="76"/>
      <c r="AS280" s="76"/>
      <c r="AT280" s="76"/>
      <c r="AU280" s="76"/>
      <c r="AV280" s="76"/>
      <c r="AW280" s="76"/>
      <c r="AX280" s="76" t="b">
        <v>0</v>
      </c>
      <c r="AY280" s="76"/>
      <c r="AZ280" s="76"/>
      <c r="BA280" s="76" t="b">
        <v>0</v>
      </c>
      <c r="BB280" s="76" t="b">
        <v>1</v>
      </c>
      <c r="BC280" s="76" t="b">
        <v>1</v>
      </c>
      <c r="BD280" s="76" t="b">
        <v>0</v>
      </c>
      <c r="BE280" s="76" t="b">
        <v>0</v>
      </c>
      <c r="BF280" s="76" t="b">
        <v>0</v>
      </c>
      <c r="BG280" s="76" t="b">
        <v>0</v>
      </c>
      <c r="BH280" s="76"/>
      <c r="BI280" s="76"/>
      <c r="BJ280" s="76" t="s">
        <v>19734</v>
      </c>
      <c r="BK280" s="76" t="b">
        <v>0</v>
      </c>
      <c r="BL280" s="76"/>
      <c r="BM280" s="76" t="s">
        <v>66</v>
      </c>
      <c r="BN280" s="76" t="s">
        <v>19736</v>
      </c>
      <c r="BO280" s="83" t="str">
        <f>HYPERLINK("https://twitter.com/kratoncapital")</f>
        <v>https://twitter.com/kratoncapital</v>
      </c>
      <c r="BP280" s="2"/>
    </row>
    <row r="281" spans="1:68" x14ac:dyDescent="0.25">
      <c r="A281" s="62" t="s">
        <v>453</v>
      </c>
      <c r="B281" s="63"/>
      <c r="C281" s="63"/>
      <c r="D281" s="64"/>
      <c r="E281" s="66"/>
      <c r="F281" s="103" t="str">
        <f>HYPERLINK("https://pbs.twimg.com/profile_images/1247162537256185857/MJT2WjKw_normal.jpg")</f>
        <v>https://pbs.twimg.com/profile_images/1247162537256185857/MJT2WjKw_normal.jpg</v>
      </c>
      <c r="G281" s="63"/>
      <c r="H281" s="67"/>
      <c r="I281" s="68"/>
      <c r="J281" s="68"/>
      <c r="K281" s="67" t="s">
        <v>20014</v>
      </c>
      <c r="L281" s="71"/>
      <c r="M281" s="72"/>
      <c r="N281" s="72"/>
      <c r="O281" s="73"/>
      <c r="P281" s="74"/>
      <c r="Q281" s="74"/>
      <c r="R281" s="87"/>
      <c r="S281" s="87"/>
      <c r="T281" s="87"/>
      <c r="U281" s="87"/>
      <c r="V281" s="48"/>
      <c r="W281" s="48"/>
      <c r="X281" s="48"/>
      <c r="Y281" s="48"/>
      <c r="Z281" s="47"/>
      <c r="AA281" s="69">
        <v>281</v>
      </c>
      <c r="AB281" s="69"/>
      <c r="AC281" s="70"/>
      <c r="AD281" s="76" t="s">
        <v>18027</v>
      </c>
      <c r="AE281" s="81" t="s">
        <v>17561</v>
      </c>
      <c r="AF281" s="76">
        <v>776</v>
      </c>
      <c r="AG281" s="76">
        <v>696</v>
      </c>
      <c r="AH281" s="76">
        <v>8624</v>
      </c>
      <c r="AI281" s="76">
        <v>3</v>
      </c>
      <c r="AJ281" s="76">
        <v>307</v>
      </c>
      <c r="AK281" s="76">
        <v>0</v>
      </c>
      <c r="AL281" s="76" t="b">
        <v>0</v>
      </c>
      <c r="AM281" s="78">
        <v>43925.891261574077</v>
      </c>
      <c r="AN281" s="76"/>
      <c r="AO281" s="76" t="s">
        <v>19019</v>
      </c>
      <c r="AP281" s="83" t="str">
        <f>HYPERLINK("https://t.co/1S9kimte3r")</f>
        <v>https://t.co/1S9kimte3r</v>
      </c>
      <c r="AQ281" s="83" t="str">
        <f>HYPERLINK("https://portaloantenado.com.br")</f>
        <v>https://portaloantenado.com.br</v>
      </c>
      <c r="AR281" s="76" t="s">
        <v>19468</v>
      </c>
      <c r="AS281" s="76"/>
      <c r="AT281" s="76"/>
      <c r="AU281" s="76"/>
      <c r="AV281" s="76"/>
      <c r="AW281" s="83" t="str">
        <f>HYPERLINK("https://t.co/1S9kimte3r")</f>
        <v>https://t.co/1S9kimte3r</v>
      </c>
      <c r="AX281" s="76" t="b">
        <v>0</v>
      </c>
      <c r="AY281" s="76"/>
      <c r="AZ281" s="76"/>
      <c r="BA281" s="76" t="b">
        <v>0</v>
      </c>
      <c r="BB281" s="76" t="b">
        <v>1</v>
      </c>
      <c r="BC281" s="76" t="b">
        <v>1</v>
      </c>
      <c r="BD281" s="76" t="b">
        <v>0</v>
      </c>
      <c r="BE281" s="76" t="b">
        <v>0</v>
      </c>
      <c r="BF281" s="76" t="b">
        <v>0</v>
      </c>
      <c r="BG281" s="76" t="b">
        <v>0</v>
      </c>
      <c r="BH281" s="83" t="str">
        <f>HYPERLINK("https://pbs.twimg.com/profile_banners/1246548901936709633/1586181696")</f>
        <v>https://pbs.twimg.com/profile_banners/1246548901936709633/1586181696</v>
      </c>
      <c r="BI281" s="76"/>
      <c r="BJ281" s="76" t="s">
        <v>19734</v>
      </c>
      <c r="BK281" s="76" t="b">
        <v>0</v>
      </c>
      <c r="BL281" s="76"/>
      <c r="BM281" s="76" t="s">
        <v>66</v>
      </c>
      <c r="BN281" s="76" t="s">
        <v>19736</v>
      </c>
      <c r="BO281" s="83" t="str">
        <f>HYPERLINK("https://twitter.com/oantenado_")</f>
        <v>https://twitter.com/oantenado_</v>
      </c>
      <c r="BP281" s="2"/>
    </row>
    <row r="282" spans="1:68" x14ac:dyDescent="0.25">
      <c r="A282" s="62" t="s">
        <v>454</v>
      </c>
      <c r="B282" s="63"/>
      <c r="C282" s="63"/>
      <c r="D282" s="64"/>
      <c r="E282" s="66"/>
      <c r="F282" s="103" t="str">
        <f>HYPERLINK("https://pbs.twimg.com/profile_images/1261853585429745664/nyvk0Pkh_normal.png")</f>
        <v>https://pbs.twimg.com/profile_images/1261853585429745664/nyvk0Pkh_normal.png</v>
      </c>
      <c r="G282" s="63"/>
      <c r="H282" s="67"/>
      <c r="I282" s="68"/>
      <c r="J282" s="68"/>
      <c r="K282" s="67" t="s">
        <v>20015</v>
      </c>
      <c r="L282" s="71"/>
      <c r="M282" s="72"/>
      <c r="N282" s="72"/>
      <c r="O282" s="73"/>
      <c r="P282" s="74"/>
      <c r="Q282" s="74"/>
      <c r="R282" s="87"/>
      <c r="S282" s="87"/>
      <c r="T282" s="87"/>
      <c r="U282" s="87"/>
      <c r="V282" s="48"/>
      <c r="W282" s="48"/>
      <c r="X282" s="48"/>
      <c r="Y282" s="48"/>
      <c r="Z282" s="47"/>
      <c r="AA282" s="69">
        <v>282</v>
      </c>
      <c r="AB282" s="69"/>
      <c r="AC282" s="70"/>
      <c r="AD282" s="76" t="s">
        <v>18028</v>
      </c>
      <c r="AE282" s="81" t="s">
        <v>18433</v>
      </c>
      <c r="AF282" s="76">
        <v>9901</v>
      </c>
      <c r="AG282" s="76">
        <v>620</v>
      </c>
      <c r="AH282" s="76">
        <v>12448</v>
      </c>
      <c r="AI282" s="76">
        <v>152</v>
      </c>
      <c r="AJ282" s="76">
        <v>10907</v>
      </c>
      <c r="AK282" s="76">
        <v>2783</v>
      </c>
      <c r="AL282" s="76" t="b">
        <v>0</v>
      </c>
      <c r="AM282" s="78">
        <v>42223.018425925926</v>
      </c>
      <c r="AN282" s="76" t="s">
        <v>18655</v>
      </c>
      <c r="AO282" s="76" t="s">
        <v>19020</v>
      </c>
      <c r="AP282" s="83" t="str">
        <f>HYPERLINK("https://t.co/LTb9Lr60jY")</f>
        <v>https://t.co/LTb9Lr60jY</v>
      </c>
      <c r="AQ282" s="83" t="str">
        <f>HYPERLINK("https://viverdedividendos.org")</f>
        <v>https://viverdedividendos.org</v>
      </c>
      <c r="AR282" s="76" t="s">
        <v>7105</v>
      </c>
      <c r="AS282" s="76"/>
      <c r="AT282" s="76"/>
      <c r="AU282" s="76"/>
      <c r="AV282" s="76">
        <v>1.30424689555712E+18</v>
      </c>
      <c r="AW282" s="83" t="str">
        <f>HYPERLINK("https://t.co/LTb9Lr60jY")</f>
        <v>https://t.co/LTb9Lr60jY</v>
      </c>
      <c r="AX282" s="76" t="b">
        <v>1</v>
      </c>
      <c r="AY282" s="76"/>
      <c r="AZ282" s="76"/>
      <c r="BA282" s="76" t="b">
        <v>1</v>
      </c>
      <c r="BB282" s="76" t="b">
        <v>1</v>
      </c>
      <c r="BC282" s="76" t="b">
        <v>0</v>
      </c>
      <c r="BD282" s="76" t="b">
        <v>0</v>
      </c>
      <c r="BE282" s="76" t="b">
        <v>1</v>
      </c>
      <c r="BF282" s="76" t="b">
        <v>0</v>
      </c>
      <c r="BG282" s="76" t="b">
        <v>0</v>
      </c>
      <c r="BH282" s="83" t="str">
        <f>HYPERLINK("https://pbs.twimg.com/profile_banners/3406447954/1595992501")</f>
        <v>https://pbs.twimg.com/profile_banners/3406447954/1595992501</v>
      </c>
      <c r="BI282" s="76"/>
      <c r="BJ282" s="76" t="s">
        <v>19734</v>
      </c>
      <c r="BK282" s="76" t="b">
        <v>0</v>
      </c>
      <c r="BL282" s="76"/>
      <c r="BM282" s="76" t="s">
        <v>66</v>
      </c>
      <c r="BN282" s="76" t="s">
        <v>19736</v>
      </c>
      <c r="BO282" s="83" t="str">
        <f>HYPERLINK("https://twitter.com/vdividendos")</f>
        <v>https://twitter.com/vdividendos</v>
      </c>
      <c r="BP282" s="2"/>
    </row>
    <row r="283" spans="1:68" x14ac:dyDescent="0.25">
      <c r="A283" s="62" t="s">
        <v>455</v>
      </c>
      <c r="B283" s="63"/>
      <c r="C283" s="63"/>
      <c r="D283" s="64"/>
      <c r="E283" s="66"/>
      <c r="F283" s="103" t="str">
        <f>HYPERLINK("https://pbs.twimg.com/profile_images/754400492936048640/PTx0GzQn_normal.jpg")</f>
        <v>https://pbs.twimg.com/profile_images/754400492936048640/PTx0GzQn_normal.jpg</v>
      </c>
      <c r="G283" s="63"/>
      <c r="H283" s="67"/>
      <c r="I283" s="68"/>
      <c r="J283" s="68"/>
      <c r="K283" s="67" t="s">
        <v>20016</v>
      </c>
      <c r="L283" s="71"/>
      <c r="M283" s="72"/>
      <c r="N283" s="72"/>
      <c r="O283" s="73"/>
      <c r="P283" s="74"/>
      <c r="Q283" s="74"/>
      <c r="R283" s="87"/>
      <c r="S283" s="87"/>
      <c r="T283" s="87"/>
      <c r="U283" s="87"/>
      <c r="V283" s="48"/>
      <c r="W283" s="48"/>
      <c r="X283" s="48"/>
      <c r="Y283" s="48"/>
      <c r="Z283" s="47"/>
      <c r="AA283" s="69">
        <v>283</v>
      </c>
      <c r="AB283" s="69"/>
      <c r="AC283" s="70"/>
      <c r="AD283" s="76" t="s">
        <v>18029</v>
      </c>
      <c r="AE283" s="81" t="s">
        <v>18434</v>
      </c>
      <c r="AF283" s="76">
        <v>4019</v>
      </c>
      <c r="AG283" s="76">
        <v>2373</v>
      </c>
      <c r="AH283" s="76">
        <v>33071</v>
      </c>
      <c r="AI283" s="76">
        <v>24</v>
      </c>
      <c r="AJ283" s="76">
        <v>62</v>
      </c>
      <c r="AK283" s="76">
        <v>2399</v>
      </c>
      <c r="AL283" s="76" t="b">
        <v>0</v>
      </c>
      <c r="AM283" s="78">
        <v>40106.09815972222</v>
      </c>
      <c r="AN283" s="76" t="s">
        <v>18656</v>
      </c>
      <c r="AO283" s="76" t="s">
        <v>19021</v>
      </c>
      <c r="AP283" s="76"/>
      <c r="AQ283" s="76"/>
      <c r="AR283" s="76"/>
      <c r="AS283" s="76"/>
      <c r="AT283" s="76"/>
      <c r="AU283" s="76"/>
      <c r="AV283" s="76"/>
      <c r="AW283" s="76"/>
      <c r="AX283" s="76" t="b">
        <v>0</v>
      </c>
      <c r="AY283" s="76"/>
      <c r="AZ283" s="76"/>
      <c r="BA283" s="76" t="b">
        <v>0</v>
      </c>
      <c r="BB283" s="76" t="b">
        <v>1</v>
      </c>
      <c r="BC283" s="76" t="b">
        <v>0</v>
      </c>
      <c r="BD283" s="76" t="b">
        <v>0</v>
      </c>
      <c r="BE283" s="76" t="b">
        <v>1</v>
      </c>
      <c r="BF283" s="76" t="b">
        <v>0</v>
      </c>
      <c r="BG283" s="76" t="b">
        <v>0</v>
      </c>
      <c r="BH283" s="83" t="str">
        <f>HYPERLINK("https://pbs.twimg.com/profile_banners/83748411/1482483011")</f>
        <v>https://pbs.twimg.com/profile_banners/83748411/1482483011</v>
      </c>
      <c r="BI283" s="76"/>
      <c r="BJ283" s="76" t="s">
        <v>19734</v>
      </c>
      <c r="BK283" s="76" t="b">
        <v>0</v>
      </c>
      <c r="BL283" s="76"/>
      <c r="BM283" s="76" t="s">
        <v>66</v>
      </c>
      <c r="BN283" s="76" t="s">
        <v>19736</v>
      </c>
      <c r="BO283" s="83" t="str">
        <f>HYPERLINK("https://twitter.com/1bertoalexandre")</f>
        <v>https://twitter.com/1bertoalexandre</v>
      </c>
      <c r="BP283" s="2"/>
    </row>
    <row r="284" spans="1:68" x14ac:dyDescent="0.25">
      <c r="A284" s="62" t="s">
        <v>771</v>
      </c>
      <c r="B284" s="63"/>
      <c r="C284" s="63"/>
      <c r="D284" s="64"/>
      <c r="E284" s="66"/>
      <c r="F284" s="103" t="str">
        <f>HYPERLINK("https://pbs.twimg.com/profile_images/667263925/Nova_Imagem_normal.bmp")</f>
        <v>https://pbs.twimg.com/profile_images/667263925/Nova_Imagem_normal.bmp</v>
      </c>
      <c r="G284" s="63"/>
      <c r="H284" s="67"/>
      <c r="I284" s="68"/>
      <c r="J284" s="68"/>
      <c r="K284" s="67" t="s">
        <v>20017</v>
      </c>
      <c r="L284" s="71"/>
      <c r="M284" s="72"/>
      <c r="N284" s="72"/>
      <c r="O284" s="73"/>
      <c r="P284" s="74"/>
      <c r="Q284" s="74"/>
      <c r="R284" s="87"/>
      <c r="S284" s="87"/>
      <c r="T284" s="87"/>
      <c r="U284" s="87"/>
      <c r="V284" s="48"/>
      <c r="W284" s="48"/>
      <c r="X284" s="48"/>
      <c r="Y284" s="48"/>
      <c r="Z284" s="47"/>
      <c r="AA284" s="69">
        <v>284</v>
      </c>
      <c r="AB284" s="69"/>
      <c r="AC284" s="70"/>
      <c r="AD284" s="76" t="s">
        <v>18030</v>
      </c>
      <c r="AE284" s="81" t="s">
        <v>18435</v>
      </c>
      <c r="AF284" s="76">
        <v>117</v>
      </c>
      <c r="AG284" s="76">
        <v>209</v>
      </c>
      <c r="AH284" s="76">
        <v>1383</v>
      </c>
      <c r="AI284" s="76">
        <v>1</v>
      </c>
      <c r="AJ284" s="76">
        <v>0</v>
      </c>
      <c r="AK284" s="76">
        <v>5</v>
      </c>
      <c r="AL284" s="76" t="b">
        <v>0</v>
      </c>
      <c r="AM284" s="78">
        <v>40209.609375</v>
      </c>
      <c r="AN284" s="76" t="s">
        <v>18657</v>
      </c>
      <c r="AO284" s="76"/>
      <c r="AP284" s="76"/>
      <c r="AQ284" s="76"/>
      <c r="AR284" s="76"/>
      <c r="AS284" s="76"/>
      <c r="AT284" s="76"/>
      <c r="AU284" s="76"/>
      <c r="AV284" s="76"/>
      <c r="AW284" s="76"/>
      <c r="AX284" s="76" t="b">
        <v>0</v>
      </c>
      <c r="AY284" s="76"/>
      <c r="AZ284" s="76"/>
      <c r="BA284" s="76" t="b">
        <v>0</v>
      </c>
      <c r="BB284" s="76" t="b">
        <v>1</v>
      </c>
      <c r="BC284" s="76" t="b">
        <v>0</v>
      </c>
      <c r="BD284" s="76" t="b">
        <v>0</v>
      </c>
      <c r="BE284" s="76" t="b">
        <v>0</v>
      </c>
      <c r="BF284" s="76" t="b">
        <v>0</v>
      </c>
      <c r="BG284" s="76" t="b">
        <v>0</v>
      </c>
      <c r="BH284" s="76"/>
      <c r="BI284" s="76"/>
      <c r="BJ284" s="76" t="s">
        <v>19734</v>
      </c>
      <c r="BK284" s="76" t="b">
        <v>0</v>
      </c>
      <c r="BL284" s="76"/>
      <c r="BM284" s="76" t="s">
        <v>65</v>
      </c>
      <c r="BN284" s="76" t="s">
        <v>19736</v>
      </c>
      <c r="BO284" s="83" t="str">
        <f>HYPERLINK("https://twitter.com/radiotabajara")</f>
        <v>https://twitter.com/radiotabajara</v>
      </c>
      <c r="BP284" s="2"/>
    </row>
    <row r="285" spans="1:68" x14ac:dyDescent="0.25">
      <c r="A285" s="62" t="s">
        <v>456</v>
      </c>
      <c r="B285" s="63"/>
      <c r="C285" s="63"/>
      <c r="D285" s="64"/>
      <c r="E285" s="66"/>
      <c r="F285" s="103" t="str">
        <f>HYPERLINK("https://pbs.twimg.com/profile_images/1616806584377610241/ozOsnixB_normal.jpg")</f>
        <v>https://pbs.twimg.com/profile_images/1616806584377610241/ozOsnixB_normal.jpg</v>
      </c>
      <c r="G285" s="63"/>
      <c r="H285" s="67"/>
      <c r="I285" s="68"/>
      <c r="J285" s="68"/>
      <c r="K285" s="67" t="s">
        <v>20018</v>
      </c>
      <c r="L285" s="71"/>
      <c r="M285" s="72"/>
      <c r="N285" s="72"/>
      <c r="O285" s="73"/>
      <c r="P285" s="74"/>
      <c r="Q285" s="74"/>
      <c r="R285" s="87"/>
      <c r="S285" s="87"/>
      <c r="T285" s="87"/>
      <c r="U285" s="87"/>
      <c r="V285" s="48"/>
      <c r="W285" s="48"/>
      <c r="X285" s="48"/>
      <c r="Y285" s="48"/>
      <c r="Z285" s="47"/>
      <c r="AA285" s="69">
        <v>285</v>
      </c>
      <c r="AB285" s="69"/>
      <c r="AC285" s="70"/>
      <c r="AD285" s="76" t="s">
        <v>18031</v>
      </c>
      <c r="AE285" s="81" t="s">
        <v>17562</v>
      </c>
      <c r="AF285" s="76">
        <v>25</v>
      </c>
      <c r="AG285" s="76">
        <v>71</v>
      </c>
      <c r="AH285" s="76">
        <v>143</v>
      </c>
      <c r="AI285" s="76">
        <v>0</v>
      </c>
      <c r="AJ285" s="76">
        <v>305</v>
      </c>
      <c r="AK285" s="76">
        <v>6</v>
      </c>
      <c r="AL285" s="76" t="b">
        <v>0</v>
      </c>
      <c r="AM285" s="78">
        <v>42796.010358796295</v>
      </c>
      <c r="AN285" s="76" t="s">
        <v>18658</v>
      </c>
      <c r="AO285" s="76" t="s">
        <v>19022</v>
      </c>
      <c r="AP285" s="76"/>
      <c r="AQ285" s="76"/>
      <c r="AR285" s="76"/>
      <c r="AS285" s="76"/>
      <c r="AT285" s="76"/>
      <c r="AU285" s="76"/>
      <c r="AV285" s="76"/>
      <c r="AW285" s="76"/>
      <c r="AX285" s="76" t="b">
        <v>0</v>
      </c>
      <c r="AY285" s="76"/>
      <c r="AZ285" s="76"/>
      <c r="BA285" s="76" t="b">
        <v>0</v>
      </c>
      <c r="BB285" s="76" t="b">
        <v>1</v>
      </c>
      <c r="BC285" s="76" t="b">
        <v>1</v>
      </c>
      <c r="BD285" s="76" t="b">
        <v>0</v>
      </c>
      <c r="BE285" s="76" t="b">
        <v>1</v>
      </c>
      <c r="BF285" s="76" t="b">
        <v>0</v>
      </c>
      <c r="BG285" s="76" t="b">
        <v>0</v>
      </c>
      <c r="BH285" s="83" t="str">
        <f>HYPERLINK("https://pbs.twimg.com/profile_banners/837093828129603584/1603917391")</f>
        <v>https://pbs.twimg.com/profile_banners/837093828129603584/1603917391</v>
      </c>
      <c r="BI285" s="76"/>
      <c r="BJ285" s="76" t="s">
        <v>19734</v>
      </c>
      <c r="BK285" s="76" t="b">
        <v>0</v>
      </c>
      <c r="BL285" s="76"/>
      <c r="BM285" s="76" t="s">
        <v>66</v>
      </c>
      <c r="BN285" s="76" t="s">
        <v>19736</v>
      </c>
      <c r="BO285" s="83" t="str">
        <f>HYPERLINK("https://twitter.com/rafaeldemello_")</f>
        <v>https://twitter.com/rafaeldemello_</v>
      </c>
      <c r="BP285" s="2"/>
    </row>
    <row r="286" spans="1:68" x14ac:dyDescent="0.25">
      <c r="A286" s="62" t="s">
        <v>457</v>
      </c>
      <c r="B286" s="63"/>
      <c r="C286" s="63"/>
      <c r="D286" s="64"/>
      <c r="E286" s="66"/>
      <c r="F286" s="103" t="str">
        <f>HYPERLINK("https://pbs.twimg.com/profile_images/1518454435596451840/43IH31L9_normal.jpg")</f>
        <v>https://pbs.twimg.com/profile_images/1518454435596451840/43IH31L9_normal.jpg</v>
      </c>
      <c r="G286" s="63"/>
      <c r="H286" s="67"/>
      <c r="I286" s="68"/>
      <c r="J286" s="68"/>
      <c r="K286" s="67" t="s">
        <v>20019</v>
      </c>
      <c r="L286" s="71"/>
      <c r="M286" s="72"/>
      <c r="N286" s="72"/>
      <c r="O286" s="73"/>
      <c r="P286" s="74"/>
      <c r="Q286" s="74"/>
      <c r="R286" s="87"/>
      <c r="S286" s="87"/>
      <c r="T286" s="87"/>
      <c r="U286" s="87"/>
      <c r="V286" s="48"/>
      <c r="W286" s="48"/>
      <c r="X286" s="48"/>
      <c r="Y286" s="48"/>
      <c r="Z286" s="47"/>
      <c r="AA286" s="69">
        <v>286</v>
      </c>
      <c r="AB286" s="69"/>
      <c r="AC286" s="70"/>
      <c r="AD286" s="76" t="s">
        <v>18032</v>
      </c>
      <c r="AE286" s="81" t="s">
        <v>17563</v>
      </c>
      <c r="AF286" s="76">
        <v>60</v>
      </c>
      <c r="AG286" s="76">
        <v>11</v>
      </c>
      <c r="AH286" s="76">
        <v>46725</v>
      </c>
      <c r="AI286" s="76">
        <v>2</v>
      </c>
      <c r="AJ286" s="76">
        <v>19</v>
      </c>
      <c r="AK286" s="76">
        <v>0</v>
      </c>
      <c r="AL286" s="76" t="b">
        <v>0</v>
      </c>
      <c r="AM286" s="78">
        <v>44637.201736111114</v>
      </c>
      <c r="AN286" s="76"/>
      <c r="AO286" s="76" t="s">
        <v>19023</v>
      </c>
      <c r="AP286" s="83" t="str">
        <f>HYPERLINK("https://t.co/VWbrkwX6Gw")</f>
        <v>https://t.co/VWbrkwX6Gw</v>
      </c>
      <c r="AQ286" s="83" t="str">
        <f>HYPERLINK("http://teg6.com")</f>
        <v>http://teg6.com</v>
      </c>
      <c r="AR286" s="76" t="s">
        <v>19469</v>
      </c>
      <c r="AS286" s="76"/>
      <c r="AT286" s="76"/>
      <c r="AU286" s="76"/>
      <c r="AV286" s="76"/>
      <c r="AW286" s="83" t="str">
        <f>HYPERLINK("https://t.co/VWbrkwX6Gw")</f>
        <v>https://t.co/VWbrkwX6Gw</v>
      </c>
      <c r="AX286" s="76" t="b">
        <v>0</v>
      </c>
      <c r="AY286" s="76"/>
      <c r="AZ286" s="76"/>
      <c r="BA286" s="76" t="b">
        <v>0</v>
      </c>
      <c r="BB286" s="76" t="b">
        <v>1</v>
      </c>
      <c r="BC286" s="76" t="b">
        <v>1</v>
      </c>
      <c r="BD286" s="76" t="b">
        <v>0</v>
      </c>
      <c r="BE286" s="76" t="b">
        <v>0</v>
      </c>
      <c r="BF286" s="76" t="b">
        <v>0</v>
      </c>
      <c r="BG286" s="76" t="b">
        <v>0</v>
      </c>
      <c r="BH286" s="83" t="str">
        <f>HYPERLINK("https://pbs.twimg.com/profile_banners/1504319197492436992/1650862997")</f>
        <v>https://pbs.twimg.com/profile_banners/1504319197492436992/1650862997</v>
      </c>
      <c r="BI286" s="76"/>
      <c r="BJ286" s="76" t="s">
        <v>19734</v>
      </c>
      <c r="BK286" s="76" t="b">
        <v>0</v>
      </c>
      <c r="BL286" s="76"/>
      <c r="BM286" s="76" t="s">
        <v>66</v>
      </c>
      <c r="BN286" s="76" t="s">
        <v>19736</v>
      </c>
      <c r="BO286" s="83" t="str">
        <f>HYPERLINK("https://twitter.com/teg6oficial")</f>
        <v>https://twitter.com/teg6oficial</v>
      </c>
      <c r="BP286" s="2"/>
    </row>
    <row r="287" spans="1:68" x14ac:dyDescent="0.25">
      <c r="A287" s="62" t="s">
        <v>458</v>
      </c>
      <c r="B287" s="63"/>
      <c r="C287" s="63"/>
      <c r="D287" s="64"/>
      <c r="E287" s="66"/>
      <c r="F287" s="103" t="str">
        <f>HYPERLINK("https://pbs.twimg.com/profile_images/1369044652138115081/1MonDOgI_normal.jpg")</f>
        <v>https://pbs.twimg.com/profile_images/1369044652138115081/1MonDOgI_normal.jpg</v>
      </c>
      <c r="G287" s="63"/>
      <c r="H287" s="67"/>
      <c r="I287" s="68"/>
      <c r="J287" s="68"/>
      <c r="K287" s="67" t="s">
        <v>20020</v>
      </c>
      <c r="L287" s="71"/>
      <c r="M287" s="72"/>
      <c r="N287" s="72"/>
      <c r="O287" s="73"/>
      <c r="P287" s="74"/>
      <c r="Q287" s="74"/>
      <c r="R287" s="87"/>
      <c r="S287" s="87"/>
      <c r="T287" s="87"/>
      <c r="U287" s="87"/>
      <c r="V287" s="48"/>
      <c r="W287" s="48"/>
      <c r="X287" s="48"/>
      <c r="Y287" s="48"/>
      <c r="Z287" s="47"/>
      <c r="AA287" s="69">
        <v>287</v>
      </c>
      <c r="AB287" s="69"/>
      <c r="AC287" s="70"/>
      <c r="AD287" s="76" t="s">
        <v>18033</v>
      </c>
      <c r="AE287" s="81" t="s">
        <v>17564</v>
      </c>
      <c r="AF287" s="76">
        <v>79</v>
      </c>
      <c r="AG287" s="76">
        <v>176</v>
      </c>
      <c r="AH287" s="76">
        <v>8942</v>
      </c>
      <c r="AI287" s="76">
        <v>0</v>
      </c>
      <c r="AJ287" s="76">
        <v>358</v>
      </c>
      <c r="AK287" s="76">
        <v>8928</v>
      </c>
      <c r="AL287" s="76" t="b">
        <v>0</v>
      </c>
      <c r="AM287" s="78">
        <v>43361.739293981482</v>
      </c>
      <c r="AN287" s="76" t="s">
        <v>18659</v>
      </c>
      <c r="AO287" s="76" t="s">
        <v>19024</v>
      </c>
      <c r="AP287" s="83" t="str">
        <f>HYPERLINK("https://t.co/1qCcVhnCDD")</f>
        <v>https://t.co/1qCcVhnCDD</v>
      </c>
      <c r="AQ287" s="83" t="str">
        <f>HYPERLINK("http://portaljuristec.com.br")</f>
        <v>http://portaljuristec.com.br</v>
      </c>
      <c r="AR287" s="76" t="s">
        <v>19470</v>
      </c>
      <c r="AS287" s="76"/>
      <c r="AT287" s="76"/>
      <c r="AU287" s="76"/>
      <c r="AV287" s="76"/>
      <c r="AW287" s="83" t="str">
        <f>HYPERLINK("https://t.co/1qCcVhnCDD")</f>
        <v>https://t.co/1qCcVhnCDD</v>
      </c>
      <c r="AX287" s="76" t="b">
        <v>0</v>
      </c>
      <c r="AY287" s="76"/>
      <c r="AZ287" s="76"/>
      <c r="BA287" s="76" t="b">
        <v>0</v>
      </c>
      <c r="BB287" s="76" t="b">
        <v>1</v>
      </c>
      <c r="BC287" s="76" t="b">
        <v>1</v>
      </c>
      <c r="BD287" s="76" t="b">
        <v>0</v>
      </c>
      <c r="BE287" s="76" t="b">
        <v>1</v>
      </c>
      <c r="BF287" s="76" t="b">
        <v>0</v>
      </c>
      <c r="BG287" s="76" t="b">
        <v>0</v>
      </c>
      <c r="BH287" s="83" t="str">
        <f>HYPERLINK("https://pbs.twimg.com/profile_banners/1042107129224724485/1627932404")</f>
        <v>https://pbs.twimg.com/profile_banners/1042107129224724485/1627932404</v>
      </c>
      <c r="BI287" s="76"/>
      <c r="BJ287" s="76" t="s">
        <v>19734</v>
      </c>
      <c r="BK287" s="76" t="b">
        <v>0</v>
      </c>
      <c r="BL287" s="76"/>
      <c r="BM287" s="76" t="s">
        <v>66</v>
      </c>
      <c r="BN287" s="76" t="s">
        <v>19736</v>
      </c>
      <c r="BO287" s="83" t="str">
        <f>HYPERLINK("https://twitter.com/juristecadv")</f>
        <v>https://twitter.com/juristecadv</v>
      </c>
      <c r="BP287" s="2"/>
    </row>
    <row r="288" spans="1:68" x14ac:dyDescent="0.25">
      <c r="A288" s="62" t="s">
        <v>459</v>
      </c>
      <c r="B288" s="63"/>
      <c r="C288" s="63"/>
      <c r="D288" s="64"/>
      <c r="E288" s="66"/>
      <c r="F288" s="103" t="str">
        <f>HYPERLINK("https://pbs.twimg.com/profile_images/1529892630808735773/dNNPnEnb_normal.jpg")</f>
        <v>https://pbs.twimg.com/profile_images/1529892630808735773/dNNPnEnb_normal.jpg</v>
      </c>
      <c r="G288" s="63"/>
      <c r="H288" s="67"/>
      <c r="I288" s="68"/>
      <c r="J288" s="68"/>
      <c r="K288" s="67" t="s">
        <v>20021</v>
      </c>
      <c r="L288" s="71"/>
      <c r="M288" s="72"/>
      <c r="N288" s="72"/>
      <c r="O288" s="73"/>
      <c r="P288" s="74"/>
      <c r="Q288" s="74"/>
      <c r="R288" s="87"/>
      <c r="S288" s="87"/>
      <c r="T288" s="87"/>
      <c r="U288" s="87"/>
      <c r="V288" s="48"/>
      <c r="W288" s="48"/>
      <c r="X288" s="48"/>
      <c r="Y288" s="48"/>
      <c r="Z288" s="47"/>
      <c r="AA288" s="69">
        <v>288</v>
      </c>
      <c r="AB288" s="69"/>
      <c r="AC288" s="70"/>
      <c r="AD288" s="76" t="s">
        <v>18034</v>
      </c>
      <c r="AE288" s="81" t="s">
        <v>17565</v>
      </c>
      <c r="AF288" s="76">
        <v>2</v>
      </c>
      <c r="AG288" s="76">
        <v>49</v>
      </c>
      <c r="AH288" s="76">
        <v>728</v>
      </c>
      <c r="AI288" s="76">
        <v>0</v>
      </c>
      <c r="AJ288" s="76">
        <v>45</v>
      </c>
      <c r="AK288" s="76">
        <v>236</v>
      </c>
      <c r="AL288" s="76" t="b">
        <v>0</v>
      </c>
      <c r="AM288" s="78">
        <v>44675.549907407411</v>
      </c>
      <c r="AN288" s="76" t="s">
        <v>18660</v>
      </c>
      <c r="AO288" s="76" t="s">
        <v>19025</v>
      </c>
      <c r="AP288" s="76"/>
      <c r="AQ288" s="76"/>
      <c r="AR288" s="76"/>
      <c r="AS288" s="76"/>
      <c r="AT288" s="76"/>
      <c r="AU288" s="76"/>
      <c r="AV288" s="76">
        <v>1.65974533083599E+18</v>
      </c>
      <c r="AW288" s="76"/>
      <c r="AX288" s="76" t="b">
        <v>0</v>
      </c>
      <c r="AY288" s="76"/>
      <c r="AZ288" s="76"/>
      <c r="BA288" s="76" t="b">
        <v>1</v>
      </c>
      <c r="BB288" s="76" t="b">
        <v>0</v>
      </c>
      <c r="BC288" s="76" t="b">
        <v>1</v>
      </c>
      <c r="BD288" s="76" t="b">
        <v>0</v>
      </c>
      <c r="BE288" s="76" t="b">
        <v>0</v>
      </c>
      <c r="BF288" s="76" t="b">
        <v>0</v>
      </c>
      <c r="BG288" s="76" t="b">
        <v>0</v>
      </c>
      <c r="BH288" s="83" t="str">
        <f>HYPERLINK("https://pbs.twimg.com/profile_banners/1518215974331297794/1653590106")</f>
        <v>https://pbs.twimg.com/profile_banners/1518215974331297794/1653590106</v>
      </c>
      <c r="BI288" s="76"/>
      <c r="BJ288" s="76" t="s">
        <v>19734</v>
      </c>
      <c r="BK288" s="76" t="b">
        <v>0</v>
      </c>
      <c r="BL288" s="76"/>
      <c r="BM288" s="76" t="s">
        <v>66</v>
      </c>
      <c r="BN288" s="76" t="s">
        <v>19736</v>
      </c>
      <c r="BO288" s="83" t="str">
        <f>HYPERLINK("https://twitter.com/adrieli05758330")</f>
        <v>https://twitter.com/adrieli05758330</v>
      </c>
      <c r="BP288" s="2"/>
    </row>
    <row r="289" spans="1:68" x14ac:dyDescent="0.25">
      <c r="A289" s="62" t="s">
        <v>772</v>
      </c>
      <c r="B289" s="63"/>
      <c r="C289" s="63"/>
      <c r="D289" s="64"/>
      <c r="E289" s="66"/>
      <c r="F289" s="103" t="str">
        <f>HYPERLINK("https://pbs.twimg.com/profile_images/1505242947637366789/jJgCkFPq_normal.jpg")</f>
        <v>https://pbs.twimg.com/profile_images/1505242947637366789/jJgCkFPq_normal.jpg</v>
      </c>
      <c r="G289" s="63"/>
      <c r="H289" s="67"/>
      <c r="I289" s="68"/>
      <c r="J289" s="68"/>
      <c r="K289" s="67" t="s">
        <v>20022</v>
      </c>
      <c r="L289" s="71"/>
      <c r="M289" s="72"/>
      <c r="N289" s="72"/>
      <c r="O289" s="73"/>
      <c r="P289" s="74"/>
      <c r="Q289" s="74"/>
      <c r="R289" s="87"/>
      <c r="S289" s="87"/>
      <c r="T289" s="87"/>
      <c r="U289" s="87"/>
      <c r="V289" s="48"/>
      <c r="W289" s="48"/>
      <c r="X289" s="48"/>
      <c r="Y289" s="48"/>
      <c r="Z289" s="47"/>
      <c r="AA289" s="69">
        <v>289</v>
      </c>
      <c r="AB289" s="69"/>
      <c r="AC289" s="70"/>
      <c r="AD289" s="76" t="s">
        <v>18035</v>
      </c>
      <c r="AE289" s="81" t="s">
        <v>17349</v>
      </c>
      <c r="AF289" s="76">
        <v>487645</v>
      </c>
      <c r="AG289" s="76">
        <v>1</v>
      </c>
      <c r="AH289" s="76">
        <v>7063</v>
      </c>
      <c r="AI289" s="76">
        <v>146</v>
      </c>
      <c r="AJ289" s="76">
        <v>1396</v>
      </c>
      <c r="AK289" s="76">
        <v>6837</v>
      </c>
      <c r="AL289" s="76" t="b">
        <v>0</v>
      </c>
      <c r="AM289" s="78">
        <v>41246.217997685184</v>
      </c>
      <c r="AN289" s="76" t="s">
        <v>18661</v>
      </c>
      <c r="AO289" s="76" t="s">
        <v>19026</v>
      </c>
      <c r="AP289" s="83" t="str">
        <f>HYPERLINK("https://t.co/wKZ5k1adsB")</f>
        <v>https://t.co/wKZ5k1adsB</v>
      </c>
      <c r="AQ289" s="83" t="str">
        <f>HYPERLINK("https://www.snapchat.com/add/hrh.mbs")</f>
        <v>https://www.snapchat.com/add/hrh.mbs</v>
      </c>
      <c r="AR289" s="76" t="s">
        <v>19471</v>
      </c>
      <c r="AS289" s="76"/>
      <c r="AT289" s="76"/>
      <c r="AU289" s="76"/>
      <c r="AV289" s="76">
        <v>1.70479573150302E+18</v>
      </c>
      <c r="AW289" s="83" t="str">
        <f>HYPERLINK("https://t.co/wKZ5k1adsB")</f>
        <v>https://t.co/wKZ5k1adsB</v>
      </c>
      <c r="AX289" s="76" t="b">
        <v>1</v>
      </c>
      <c r="AY289" s="76"/>
      <c r="AZ289" s="76"/>
      <c r="BA289" s="76" t="b">
        <v>0</v>
      </c>
      <c r="BB289" s="76" t="b">
        <v>1</v>
      </c>
      <c r="BC289" s="76" t="b">
        <v>1</v>
      </c>
      <c r="BD289" s="76" t="b">
        <v>0</v>
      </c>
      <c r="BE289" s="76" t="b">
        <v>1</v>
      </c>
      <c r="BF289" s="76" t="b">
        <v>0</v>
      </c>
      <c r="BG289" s="76" t="b">
        <v>0</v>
      </c>
      <c r="BH289" s="83" t="str">
        <f>HYPERLINK("https://pbs.twimg.com/profile_banners/985976864/1647712101")</f>
        <v>https://pbs.twimg.com/profile_banners/985976864/1647712101</v>
      </c>
      <c r="BI289" s="76"/>
      <c r="BJ289" s="76" t="s">
        <v>19734</v>
      </c>
      <c r="BK289" s="76" t="b">
        <v>0</v>
      </c>
      <c r="BL289" s="76"/>
      <c r="BM289" s="76" t="s">
        <v>65</v>
      </c>
      <c r="BN289" s="76" t="s">
        <v>19736</v>
      </c>
      <c r="BO289" s="83" t="str">
        <f>HYPERLINK("https://twitter.com/hrhmbnsalmaan")</f>
        <v>https://twitter.com/hrhmbnsalmaan</v>
      </c>
      <c r="BP289" s="2"/>
    </row>
    <row r="290" spans="1:68" x14ac:dyDescent="0.25">
      <c r="A290" s="62" t="s">
        <v>460</v>
      </c>
      <c r="B290" s="63"/>
      <c r="C290" s="63"/>
      <c r="D290" s="64"/>
      <c r="E290" s="66"/>
      <c r="F290" s="103" t="str">
        <f>HYPERLINK("https://pbs.twimg.com/profile_images/1200382144989802497/IuPsIewo_normal.jpg")</f>
        <v>https://pbs.twimg.com/profile_images/1200382144989802497/IuPsIewo_normal.jpg</v>
      </c>
      <c r="G290" s="63"/>
      <c r="H290" s="67"/>
      <c r="I290" s="68"/>
      <c r="J290" s="68"/>
      <c r="K290" s="67" t="s">
        <v>20023</v>
      </c>
      <c r="L290" s="71"/>
      <c r="M290" s="72"/>
      <c r="N290" s="72"/>
      <c r="O290" s="73"/>
      <c r="P290" s="74"/>
      <c r="Q290" s="74"/>
      <c r="R290" s="87"/>
      <c r="S290" s="87"/>
      <c r="T290" s="87"/>
      <c r="U290" s="87"/>
      <c r="V290" s="48"/>
      <c r="W290" s="48"/>
      <c r="X290" s="48"/>
      <c r="Y290" s="48"/>
      <c r="Z290" s="47"/>
      <c r="AA290" s="69">
        <v>290</v>
      </c>
      <c r="AB290" s="69"/>
      <c r="AC290" s="70"/>
      <c r="AD290" s="76" t="s">
        <v>18036</v>
      </c>
      <c r="AE290" s="81" t="s">
        <v>17566</v>
      </c>
      <c r="AF290" s="76">
        <v>133</v>
      </c>
      <c r="AG290" s="76">
        <v>128</v>
      </c>
      <c r="AH290" s="76">
        <v>1281</v>
      </c>
      <c r="AI290" s="76">
        <v>0</v>
      </c>
      <c r="AJ290" s="76">
        <v>323</v>
      </c>
      <c r="AK290" s="76">
        <v>131</v>
      </c>
      <c r="AL290" s="76" t="b">
        <v>0</v>
      </c>
      <c r="AM290" s="78">
        <v>43489.529594907406</v>
      </c>
      <c r="AN290" s="76" t="s">
        <v>18662</v>
      </c>
      <c r="AO290" s="76" t="s">
        <v>19027</v>
      </c>
      <c r="AP290" s="76"/>
      <c r="AQ290" s="76"/>
      <c r="AR290" s="76"/>
      <c r="AS290" s="76"/>
      <c r="AT290" s="76"/>
      <c r="AU290" s="76"/>
      <c r="AV290" s="76"/>
      <c r="AW290" s="76"/>
      <c r="AX290" s="76" t="b">
        <v>0</v>
      </c>
      <c r="AY290" s="76"/>
      <c r="AZ290" s="76"/>
      <c r="BA290" s="76" t="b">
        <v>0</v>
      </c>
      <c r="BB290" s="76" t="b">
        <v>1</v>
      </c>
      <c r="BC290" s="76" t="b">
        <v>1</v>
      </c>
      <c r="BD290" s="76" t="b">
        <v>0</v>
      </c>
      <c r="BE290" s="76" t="b">
        <v>0</v>
      </c>
      <c r="BF290" s="76" t="b">
        <v>0</v>
      </c>
      <c r="BG290" s="76" t="b">
        <v>0</v>
      </c>
      <c r="BH290" s="83" t="str">
        <f>HYPERLINK("https://pbs.twimg.com/profile_banners/1088416780463296513/1554637692")</f>
        <v>https://pbs.twimg.com/profile_banners/1088416780463296513/1554637692</v>
      </c>
      <c r="BI290" s="76"/>
      <c r="BJ290" s="76" t="s">
        <v>19734</v>
      </c>
      <c r="BK290" s="76" t="b">
        <v>0</v>
      </c>
      <c r="BL290" s="76"/>
      <c r="BM290" s="76" t="s">
        <v>66</v>
      </c>
      <c r="BN290" s="76" t="s">
        <v>19736</v>
      </c>
      <c r="BO290" s="83" t="str">
        <f>HYPERLINK("https://twitter.com/fumarmata8")</f>
        <v>https://twitter.com/fumarmata8</v>
      </c>
      <c r="BP290" s="2"/>
    </row>
    <row r="291" spans="1:68" x14ac:dyDescent="0.25">
      <c r="A291" s="62" t="s">
        <v>479</v>
      </c>
      <c r="B291" s="63"/>
      <c r="C291" s="63"/>
      <c r="D291" s="64"/>
      <c r="E291" s="66"/>
      <c r="F291" s="103" t="str">
        <f>HYPERLINK("https://pbs.twimg.com/profile_images/1461646964098019334/SkZ6Bicv_normal.jpg")</f>
        <v>https://pbs.twimg.com/profile_images/1461646964098019334/SkZ6Bicv_normal.jpg</v>
      </c>
      <c r="G291" s="63"/>
      <c r="H291" s="67"/>
      <c r="I291" s="68"/>
      <c r="J291" s="68"/>
      <c r="K291" s="67" t="s">
        <v>20024</v>
      </c>
      <c r="L291" s="71"/>
      <c r="M291" s="72"/>
      <c r="N291" s="72"/>
      <c r="O291" s="73"/>
      <c r="P291" s="74"/>
      <c r="Q291" s="74"/>
      <c r="R291" s="87"/>
      <c r="S291" s="87"/>
      <c r="T291" s="87"/>
      <c r="U291" s="87"/>
      <c r="V291" s="48"/>
      <c r="W291" s="48"/>
      <c r="X291" s="48"/>
      <c r="Y291" s="48"/>
      <c r="Z291" s="47"/>
      <c r="AA291" s="69">
        <v>291</v>
      </c>
      <c r="AB291" s="69"/>
      <c r="AC291" s="70"/>
      <c r="AD291" s="76" t="s">
        <v>7110</v>
      </c>
      <c r="AE291" s="81" t="s">
        <v>18436</v>
      </c>
      <c r="AF291" s="76">
        <v>12467</v>
      </c>
      <c r="AG291" s="76">
        <v>5433</v>
      </c>
      <c r="AH291" s="76">
        <v>165071</v>
      </c>
      <c r="AI291" s="76">
        <v>0</v>
      </c>
      <c r="AJ291" s="76">
        <v>3242</v>
      </c>
      <c r="AK291" s="76">
        <v>18437</v>
      </c>
      <c r="AL291" s="76" t="b">
        <v>0</v>
      </c>
      <c r="AM291" s="78">
        <v>40071.464155092595</v>
      </c>
      <c r="AN291" s="76" t="s">
        <v>18663</v>
      </c>
      <c r="AO291" s="76" t="s">
        <v>19028</v>
      </c>
      <c r="AP291" s="83" t="str">
        <f>HYPERLINK("https://t.co/GCo1g6beRJ")</f>
        <v>https://t.co/GCo1g6beRJ</v>
      </c>
      <c r="AQ291" s="83" t="str">
        <f>HYPERLINK("http://www.estrelladigital.es")</f>
        <v>http://www.estrelladigital.es</v>
      </c>
      <c r="AR291" s="76" t="s">
        <v>7110</v>
      </c>
      <c r="AS291" s="83" t="str">
        <f>HYPERLINK("https://t.co/uDFbANSvhX")</f>
        <v>https://t.co/uDFbANSvhX</v>
      </c>
      <c r="AT291" s="83" t="str">
        <f>HYPERLINK("http://estrelladigital.es")</f>
        <v>http://estrelladigital.es</v>
      </c>
      <c r="AU291" s="76" t="s">
        <v>7110</v>
      </c>
      <c r="AV291" s="76"/>
      <c r="AW291" s="83" t="str">
        <f>HYPERLINK("https://t.co/GCo1g6beRJ")</f>
        <v>https://t.co/GCo1g6beRJ</v>
      </c>
      <c r="AX291" s="76" t="b">
        <v>1</v>
      </c>
      <c r="AY291" s="76"/>
      <c r="AZ291" s="76"/>
      <c r="BA291" s="76" t="b">
        <v>1</v>
      </c>
      <c r="BB291" s="76" t="b">
        <v>0</v>
      </c>
      <c r="BC291" s="76" t="b">
        <v>0</v>
      </c>
      <c r="BD291" s="76" t="b">
        <v>0</v>
      </c>
      <c r="BE291" s="76" t="b">
        <v>0</v>
      </c>
      <c r="BF291" s="76" t="b">
        <v>0</v>
      </c>
      <c r="BG291" s="76" t="b">
        <v>0</v>
      </c>
      <c r="BH291" s="83" t="str">
        <f>HYPERLINK("https://pbs.twimg.com/profile_banners/74421223/1673425518")</f>
        <v>https://pbs.twimg.com/profile_banners/74421223/1673425518</v>
      </c>
      <c r="BI291" s="76"/>
      <c r="BJ291" s="76" t="s">
        <v>19734</v>
      </c>
      <c r="BK291" s="76" t="b">
        <v>0</v>
      </c>
      <c r="BL291" s="76"/>
      <c r="BM291" s="76" t="s">
        <v>66</v>
      </c>
      <c r="BN291" s="76" t="s">
        <v>19736</v>
      </c>
      <c r="BO291" s="83" t="str">
        <f>HYPERLINK("https://twitter.com/estrelladigital")</f>
        <v>https://twitter.com/estrelladigital</v>
      </c>
      <c r="BP291" s="2"/>
    </row>
    <row r="292" spans="1:68" x14ac:dyDescent="0.25">
      <c r="A292" s="62" t="s">
        <v>461</v>
      </c>
      <c r="B292" s="63"/>
      <c r="C292" s="63"/>
      <c r="D292" s="64"/>
      <c r="E292" s="66"/>
      <c r="F292" s="103" t="str">
        <f>HYPERLINK("https://pbs.twimg.com/profile_images/1667709439397208067/bNhXV0v1_normal.jpg")</f>
        <v>https://pbs.twimg.com/profile_images/1667709439397208067/bNhXV0v1_normal.jpg</v>
      </c>
      <c r="G292" s="63"/>
      <c r="H292" s="67"/>
      <c r="I292" s="68"/>
      <c r="J292" s="68"/>
      <c r="K292" s="67" t="s">
        <v>20025</v>
      </c>
      <c r="L292" s="71"/>
      <c r="M292" s="72"/>
      <c r="N292" s="72"/>
      <c r="O292" s="73"/>
      <c r="P292" s="74"/>
      <c r="Q292" s="74"/>
      <c r="R292" s="87"/>
      <c r="S292" s="87"/>
      <c r="T292" s="87"/>
      <c r="U292" s="87"/>
      <c r="V292" s="48"/>
      <c r="W292" s="48"/>
      <c r="X292" s="48"/>
      <c r="Y292" s="48"/>
      <c r="Z292" s="47"/>
      <c r="AA292" s="69">
        <v>292</v>
      </c>
      <c r="AB292" s="69"/>
      <c r="AC292" s="70"/>
      <c r="AD292" s="76" t="s">
        <v>18037</v>
      </c>
      <c r="AE292" s="81" t="s">
        <v>17567</v>
      </c>
      <c r="AF292" s="76">
        <v>0</v>
      </c>
      <c r="AG292" s="76">
        <v>1</v>
      </c>
      <c r="AH292" s="76">
        <v>3</v>
      </c>
      <c r="AI292" s="76">
        <v>0</v>
      </c>
      <c r="AJ292" s="76">
        <v>0</v>
      </c>
      <c r="AK292" s="76">
        <v>2</v>
      </c>
      <c r="AL292" s="76" t="b">
        <v>0</v>
      </c>
      <c r="AM292" s="78">
        <v>45088.072789351849</v>
      </c>
      <c r="AN292" s="76"/>
      <c r="AO292" s="76" t="s">
        <v>19029</v>
      </c>
      <c r="AP292" s="76"/>
      <c r="AQ292" s="76"/>
      <c r="AR292" s="76"/>
      <c r="AS292" s="76"/>
      <c r="AT292" s="76"/>
      <c r="AU292" s="76"/>
      <c r="AV292" s="76"/>
      <c r="AW292" s="76"/>
      <c r="AX292" s="76" t="b">
        <v>0</v>
      </c>
      <c r="AY292" s="76"/>
      <c r="AZ292" s="76"/>
      <c r="BA292" s="76" t="b">
        <v>0</v>
      </c>
      <c r="BB292" s="76" t="b">
        <v>1</v>
      </c>
      <c r="BC292" s="76" t="b">
        <v>1</v>
      </c>
      <c r="BD292" s="76" t="b">
        <v>0</v>
      </c>
      <c r="BE292" s="76" t="b">
        <v>0</v>
      </c>
      <c r="BF292" s="76" t="b">
        <v>0</v>
      </c>
      <c r="BG292" s="76" t="b">
        <v>0</v>
      </c>
      <c r="BH292" s="76"/>
      <c r="BI292" s="76"/>
      <c r="BJ292" s="76" t="s">
        <v>19734</v>
      </c>
      <c r="BK292" s="76" t="b">
        <v>0</v>
      </c>
      <c r="BL292" s="76"/>
      <c r="BM292" s="76" t="s">
        <v>66</v>
      </c>
      <c r="BN292" s="76" t="s">
        <v>19736</v>
      </c>
      <c r="BO292" s="83" t="str">
        <f>HYPERLINK("https://twitter.com/jbmholding")</f>
        <v>https://twitter.com/jbmholding</v>
      </c>
      <c r="BP292" s="2"/>
    </row>
    <row r="293" spans="1:68" x14ac:dyDescent="0.25">
      <c r="A293" s="62" t="s">
        <v>462</v>
      </c>
      <c r="B293" s="63"/>
      <c r="C293" s="63"/>
      <c r="D293" s="64"/>
      <c r="E293" s="66"/>
      <c r="F293" s="103" t="str">
        <f>HYPERLINK("https://pbs.twimg.com/profile_images/1691558653873082368/TD1U89n9_normal.jpg")</f>
        <v>https://pbs.twimg.com/profile_images/1691558653873082368/TD1U89n9_normal.jpg</v>
      </c>
      <c r="G293" s="63"/>
      <c r="H293" s="67"/>
      <c r="I293" s="68"/>
      <c r="J293" s="68"/>
      <c r="K293" s="67" t="s">
        <v>20026</v>
      </c>
      <c r="L293" s="71"/>
      <c r="M293" s="72"/>
      <c r="N293" s="72"/>
      <c r="O293" s="73"/>
      <c r="P293" s="74"/>
      <c r="Q293" s="74"/>
      <c r="R293" s="87"/>
      <c r="S293" s="87"/>
      <c r="T293" s="87"/>
      <c r="U293" s="87"/>
      <c r="V293" s="48"/>
      <c r="W293" s="48"/>
      <c r="X293" s="48"/>
      <c r="Y293" s="48"/>
      <c r="Z293" s="47"/>
      <c r="AA293" s="69">
        <v>293</v>
      </c>
      <c r="AB293" s="69"/>
      <c r="AC293" s="70"/>
      <c r="AD293" s="76" t="s">
        <v>18038</v>
      </c>
      <c r="AE293" s="81" t="s">
        <v>18437</v>
      </c>
      <c r="AF293" s="76">
        <v>36</v>
      </c>
      <c r="AG293" s="76">
        <v>239</v>
      </c>
      <c r="AH293" s="76">
        <v>140</v>
      </c>
      <c r="AI293" s="76">
        <v>1</v>
      </c>
      <c r="AJ293" s="76">
        <v>31</v>
      </c>
      <c r="AK293" s="76">
        <v>12</v>
      </c>
      <c r="AL293" s="76" t="b">
        <v>0</v>
      </c>
      <c r="AM293" s="78">
        <v>39864.686111111114</v>
      </c>
      <c r="AN293" s="76"/>
      <c r="AO293" s="76" t="s">
        <v>19030</v>
      </c>
      <c r="AP293" s="83" t="str">
        <f>HYPERLINK("https://t.co/GXxjhU5Ord")</f>
        <v>https://t.co/GXxjhU5Ord</v>
      </c>
      <c r="AQ293" s="83" t="str">
        <f>HYPERLINK("https://linktr.ee/brunovenancio")</f>
        <v>https://linktr.ee/brunovenancio</v>
      </c>
      <c r="AR293" s="76" t="s">
        <v>19472</v>
      </c>
      <c r="AS293" s="83" t="str">
        <f>HYPERLINK("https://t.co/dSvHnaty95")</f>
        <v>https://t.co/dSvHnaty95</v>
      </c>
      <c r="AT293" s="83" t="str">
        <f>HYPERLINK("http://tickt.pt")</f>
        <v>http://tickt.pt</v>
      </c>
      <c r="AU293" s="76" t="s">
        <v>19712</v>
      </c>
      <c r="AV293" s="76"/>
      <c r="AW293" s="83" t="str">
        <f>HYPERLINK("https://t.co/GXxjhU5Ord")</f>
        <v>https://t.co/GXxjhU5Ord</v>
      </c>
      <c r="AX293" s="76" t="b">
        <v>1</v>
      </c>
      <c r="AY293" s="76"/>
      <c r="AZ293" s="76"/>
      <c r="BA293" s="76" t="b">
        <v>1</v>
      </c>
      <c r="BB293" s="76" t="b">
        <v>0</v>
      </c>
      <c r="BC293" s="76" t="b">
        <v>0</v>
      </c>
      <c r="BD293" s="76" t="b">
        <v>0</v>
      </c>
      <c r="BE293" s="76" t="b">
        <v>0</v>
      </c>
      <c r="BF293" s="76" t="b">
        <v>0</v>
      </c>
      <c r="BG293" s="76" t="b">
        <v>0</v>
      </c>
      <c r="BH293" s="83" t="str">
        <f>HYPERLINK("https://pbs.twimg.com/profile_banners/21410087/1690233390")</f>
        <v>https://pbs.twimg.com/profile_banners/21410087/1690233390</v>
      </c>
      <c r="BI293" s="76"/>
      <c r="BJ293" s="76" t="s">
        <v>19734</v>
      </c>
      <c r="BK293" s="76" t="b">
        <v>0</v>
      </c>
      <c r="BL293" s="76"/>
      <c r="BM293" s="76" t="s">
        <v>66</v>
      </c>
      <c r="BN293" s="76" t="s">
        <v>19736</v>
      </c>
      <c r="BO293" s="83" t="str">
        <f>HYPERLINK("https://twitter.com/brunovenancio")</f>
        <v>https://twitter.com/brunovenancio</v>
      </c>
      <c r="BP293" s="2"/>
    </row>
    <row r="294" spans="1:68" x14ac:dyDescent="0.25">
      <c r="A294" s="62" t="s">
        <v>463</v>
      </c>
      <c r="B294" s="63"/>
      <c r="C294" s="63"/>
      <c r="D294" s="64"/>
      <c r="E294" s="66"/>
      <c r="F294" s="103" t="str">
        <f>HYPERLINK("https://pbs.twimg.com/profile_images/1177674270320791555/Hqj5TC8g_normal.jpg")</f>
        <v>https://pbs.twimg.com/profile_images/1177674270320791555/Hqj5TC8g_normal.jpg</v>
      </c>
      <c r="G294" s="63"/>
      <c r="H294" s="67"/>
      <c r="I294" s="68"/>
      <c r="J294" s="68"/>
      <c r="K294" s="67" t="s">
        <v>20027</v>
      </c>
      <c r="L294" s="71"/>
      <c r="M294" s="72"/>
      <c r="N294" s="72"/>
      <c r="O294" s="73"/>
      <c r="P294" s="74"/>
      <c r="Q294" s="74"/>
      <c r="R294" s="87"/>
      <c r="S294" s="87"/>
      <c r="T294" s="87"/>
      <c r="U294" s="87"/>
      <c r="V294" s="48"/>
      <c r="W294" s="48"/>
      <c r="X294" s="48"/>
      <c r="Y294" s="48"/>
      <c r="Z294" s="47"/>
      <c r="AA294" s="69">
        <v>294</v>
      </c>
      <c r="AB294" s="69"/>
      <c r="AC294" s="70"/>
      <c r="AD294" s="76" t="s">
        <v>18039</v>
      </c>
      <c r="AE294" s="81" t="s">
        <v>18438</v>
      </c>
      <c r="AF294" s="76">
        <v>114</v>
      </c>
      <c r="AG294" s="76">
        <v>355</v>
      </c>
      <c r="AH294" s="76">
        <v>10875</v>
      </c>
      <c r="AI294" s="76">
        <v>1</v>
      </c>
      <c r="AJ294" s="76">
        <v>2</v>
      </c>
      <c r="AK294" s="76">
        <v>4997</v>
      </c>
      <c r="AL294" s="76" t="b">
        <v>0</v>
      </c>
      <c r="AM294" s="78">
        <v>40354.969375000001</v>
      </c>
      <c r="AN294" s="76" t="s">
        <v>18664</v>
      </c>
      <c r="AO294" s="76" t="s">
        <v>19031</v>
      </c>
      <c r="AP294" s="83" t="str">
        <f>HYPERLINK("https://t.co/8gxv6r2mWx")</f>
        <v>https://t.co/8gxv6r2mWx</v>
      </c>
      <c r="AQ294" s="83" t="str">
        <f>HYPERLINK("http://censurazero.com.br")</f>
        <v>http://censurazero.com.br</v>
      </c>
      <c r="AR294" s="76" t="s">
        <v>19473</v>
      </c>
      <c r="AS294" s="76" t="s">
        <v>19658</v>
      </c>
      <c r="AT294" s="76" t="s">
        <v>19673</v>
      </c>
      <c r="AU294" s="76" t="s">
        <v>19713</v>
      </c>
      <c r="AV294" s="76"/>
      <c r="AW294" s="83" t="str">
        <f>HYPERLINK("https://t.co/8gxv6r2mWx")</f>
        <v>https://t.co/8gxv6r2mWx</v>
      </c>
      <c r="AX294" s="76" t="b">
        <v>0</v>
      </c>
      <c r="AY294" s="76"/>
      <c r="AZ294" s="76"/>
      <c r="BA294" s="76" t="b">
        <v>0</v>
      </c>
      <c r="BB294" s="76" t="b">
        <v>1</v>
      </c>
      <c r="BC294" s="76" t="b">
        <v>0</v>
      </c>
      <c r="BD294" s="76" t="b">
        <v>0</v>
      </c>
      <c r="BE294" s="76" t="b">
        <v>1</v>
      </c>
      <c r="BF294" s="76" t="b">
        <v>0</v>
      </c>
      <c r="BG294" s="76" t="b">
        <v>0</v>
      </c>
      <c r="BH294" s="83" t="str">
        <f>HYPERLINK("https://pbs.twimg.com/profile_banners/159638345/1660276974")</f>
        <v>https://pbs.twimg.com/profile_banners/159638345/1660276974</v>
      </c>
      <c r="BI294" s="76"/>
      <c r="BJ294" s="76" t="s">
        <v>19734</v>
      </c>
      <c r="BK294" s="76" t="b">
        <v>0</v>
      </c>
      <c r="BL294" s="76"/>
      <c r="BM294" s="76" t="s">
        <v>66</v>
      </c>
      <c r="BN294" s="76" t="s">
        <v>19736</v>
      </c>
      <c r="BO294" s="83" t="str">
        <f>HYPERLINK("https://twitter.com/andreczero")</f>
        <v>https://twitter.com/andreczero</v>
      </c>
      <c r="BP294" s="2"/>
    </row>
    <row r="295" spans="1:68" x14ac:dyDescent="0.25">
      <c r="A295" s="62" t="s">
        <v>464</v>
      </c>
      <c r="B295" s="63"/>
      <c r="C295" s="63"/>
      <c r="D295" s="64"/>
      <c r="E295" s="66"/>
      <c r="F295" s="103" t="str">
        <f>HYPERLINK("https://pbs.twimg.com/profile_images/1092950948253704194/72JGZUOJ_normal.jpg")</f>
        <v>https://pbs.twimg.com/profile_images/1092950948253704194/72JGZUOJ_normal.jpg</v>
      </c>
      <c r="G295" s="63"/>
      <c r="H295" s="67"/>
      <c r="I295" s="68"/>
      <c r="J295" s="68"/>
      <c r="K295" s="67" t="s">
        <v>20028</v>
      </c>
      <c r="L295" s="71"/>
      <c r="M295" s="72"/>
      <c r="N295" s="72"/>
      <c r="O295" s="73"/>
      <c r="P295" s="74"/>
      <c r="Q295" s="74"/>
      <c r="R295" s="87"/>
      <c r="S295" s="87"/>
      <c r="T295" s="87"/>
      <c r="U295" s="87"/>
      <c r="V295" s="48"/>
      <c r="W295" s="48"/>
      <c r="X295" s="48"/>
      <c r="Y295" s="48"/>
      <c r="Z295" s="47"/>
      <c r="AA295" s="69">
        <v>295</v>
      </c>
      <c r="AB295" s="69"/>
      <c r="AC295" s="70"/>
      <c r="AD295" s="76" t="s">
        <v>18040</v>
      </c>
      <c r="AE295" s="81" t="s">
        <v>18439</v>
      </c>
      <c r="AF295" s="76">
        <v>2369</v>
      </c>
      <c r="AG295" s="76">
        <v>1739</v>
      </c>
      <c r="AH295" s="76">
        <v>68690</v>
      </c>
      <c r="AI295" s="76">
        <v>64</v>
      </c>
      <c r="AJ295" s="76">
        <v>3818</v>
      </c>
      <c r="AK295" s="76">
        <v>8128</v>
      </c>
      <c r="AL295" s="76" t="b">
        <v>0</v>
      </c>
      <c r="AM295" s="78">
        <v>40069.538680555554</v>
      </c>
      <c r="AN295" s="76"/>
      <c r="AO295" s="76" t="s">
        <v>19032</v>
      </c>
      <c r="AP295" s="83" t="str">
        <f>HYPERLINK("https://t.co/9g0dDiWz4l")</f>
        <v>https://t.co/9g0dDiWz4l</v>
      </c>
      <c r="AQ295" s="83" t="str">
        <f>HYPERLINK("http://biolinky.co/iarvut/")</f>
        <v>http://biolinky.co/iarvut/</v>
      </c>
      <c r="AR295" s="76" t="s">
        <v>19474</v>
      </c>
      <c r="AS295" s="76"/>
      <c r="AT295" s="76"/>
      <c r="AU295" s="76"/>
      <c r="AV295" s="76"/>
      <c r="AW295" s="83" t="str">
        <f>HYPERLINK("https://t.co/9g0dDiWz4l")</f>
        <v>https://t.co/9g0dDiWz4l</v>
      </c>
      <c r="AX295" s="76" t="b">
        <v>0</v>
      </c>
      <c r="AY295" s="76"/>
      <c r="AZ295" s="76"/>
      <c r="BA295" s="76" t="b">
        <v>0</v>
      </c>
      <c r="BB295" s="76" t="b">
        <v>1</v>
      </c>
      <c r="BC295" s="76" t="b">
        <v>0</v>
      </c>
      <c r="BD295" s="76" t="b">
        <v>0</v>
      </c>
      <c r="BE295" s="76" t="b">
        <v>1</v>
      </c>
      <c r="BF295" s="76" t="b">
        <v>0</v>
      </c>
      <c r="BG295" s="76" t="b">
        <v>0</v>
      </c>
      <c r="BH295" s="83" t="str">
        <f>HYPERLINK("https://pbs.twimg.com/profile_banners/73877449/1534340957")</f>
        <v>https://pbs.twimg.com/profile_banners/73877449/1534340957</v>
      </c>
      <c r="BI295" s="76"/>
      <c r="BJ295" s="76" t="s">
        <v>19734</v>
      </c>
      <c r="BK295" s="76" t="b">
        <v>0</v>
      </c>
      <c r="BL295" s="76"/>
      <c r="BM295" s="76" t="s">
        <v>66</v>
      </c>
      <c r="BN295" s="76" t="s">
        <v>19736</v>
      </c>
      <c r="BO295" s="83" t="str">
        <f>HYPERLINK("https://twitter.com/kabbalahinfopt")</f>
        <v>https://twitter.com/kabbalahinfopt</v>
      </c>
      <c r="BP295" s="2"/>
    </row>
    <row r="296" spans="1:68" x14ac:dyDescent="0.25">
      <c r="A296" s="62" t="s">
        <v>465</v>
      </c>
      <c r="B296" s="63"/>
      <c r="C296" s="63"/>
      <c r="D296" s="64"/>
      <c r="E296" s="66"/>
      <c r="F296" s="103" t="str">
        <f>HYPERLINK("https://pbs.twimg.com/profile_images/1707371642135957504/WWiIJNyA_normal.jpg")</f>
        <v>https://pbs.twimg.com/profile_images/1707371642135957504/WWiIJNyA_normal.jpg</v>
      </c>
      <c r="G296" s="63"/>
      <c r="H296" s="67"/>
      <c r="I296" s="68"/>
      <c r="J296" s="68"/>
      <c r="K296" s="67" t="s">
        <v>20029</v>
      </c>
      <c r="L296" s="71"/>
      <c r="M296" s="72"/>
      <c r="N296" s="72"/>
      <c r="O296" s="73"/>
      <c r="P296" s="74"/>
      <c r="Q296" s="74"/>
      <c r="R296" s="87"/>
      <c r="S296" s="87"/>
      <c r="T296" s="87"/>
      <c r="U296" s="87"/>
      <c r="V296" s="48"/>
      <c r="W296" s="48"/>
      <c r="X296" s="48"/>
      <c r="Y296" s="48"/>
      <c r="Z296" s="47"/>
      <c r="AA296" s="69">
        <v>296</v>
      </c>
      <c r="AB296" s="69"/>
      <c r="AC296" s="70"/>
      <c r="AD296" s="76" t="s">
        <v>18041</v>
      </c>
      <c r="AE296" s="81" t="s">
        <v>17568</v>
      </c>
      <c r="AF296" s="76">
        <v>6</v>
      </c>
      <c r="AG296" s="76">
        <v>3</v>
      </c>
      <c r="AH296" s="76">
        <v>27</v>
      </c>
      <c r="AI296" s="76">
        <v>0</v>
      </c>
      <c r="AJ296" s="76">
        <v>34</v>
      </c>
      <c r="AK296" s="76">
        <v>24</v>
      </c>
      <c r="AL296" s="76" t="b">
        <v>0</v>
      </c>
      <c r="AM296" s="78">
        <v>44763.511562500003</v>
      </c>
      <c r="AN296" s="76" t="s">
        <v>12007</v>
      </c>
      <c r="AO296" s="76" t="s">
        <v>19033</v>
      </c>
      <c r="AP296" s="76"/>
      <c r="AQ296" s="76"/>
      <c r="AR296" s="76"/>
      <c r="AS296" s="76"/>
      <c r="AT296" s="76"/>
      <c r="AU296" s="76"/>
      <c r="AV296" s="76"/>
      <c r="AW296" s="76"/>
      <c r="AX296" s="76" t="b">
        <v>0</v>
      </c>
      <c r="AY296" s="76"/>
      <c r="AZ296" s="76"/>
      <c r="BA296" s="76" t="b">
        <v>0</v>
      </c>
      <c r="BB296" s="76" t="b">
        <v>1</v>
      </c>
      <c r="BC296" s="76" t="b">
        <v>1</v>
      </c>
      <c r="BD296" s="76" t="b">
        <v>0</v>
      </c>
      <c r="BE296" s="76" t="b">
        <v>0</v>
      </c>
      <c r="BF296" s="76" t="b">
        <v>0</v>
      </c>
      <c r="BG296" s="76" t="b">
        <v>0</v>
      </c>
      <c r="BH296" s="83" t="str">
        <f>HYPERLINK("https://pbs.twimg.com/profile_banners/1550092327284252672/1693529939")</f>
        <v>https://pbs.twimg.com/profile_banners/1550092327284252672/1693529939</v>
      </c>
      <c r="BI296" s="76"/>
      <c r="BJ296" s="76" t="s">
        <v>19734</v>
      </c>
      <c r="BK296" s="76" t="b">
        <v>0</v>
      </c>
      <c r="BL296" s="76"/>
      <c r="BM296" s="76" t="s">
        <v>66</v>
      </c>
      <c r="BN296" s="76" t="s">
        <v>19736</v>
      </c>
      <c r="BO296" s="83" t="str">
        <f>HYPERLINK("https://twitter.com/raphael_tesla")</f>
        <v>https://twitter.com/raphael_tesla</v>
      </c>
      <c r="BP296" s="2"/>
    </row>
    <row r="297" spans="1:68" x14ac:dyDescent="0.25">
      <c r="A297" s="62" t="s">
        <v>466</v>
      </c>
      <c r="B297" s="63"/>
      <c r="C297" s="63"/>
      <c r="D297" s="64"/>
      <c r="E297" s="66"/>
      <c r="F297" s="103" t="str">
        <f>HYPERLINK("https://pbs.twimg.com/profile_images/1634158577576296448/0tjMOHCY_normal.jpg")</f>
        <v>https://pbs.twimg.com/profile_images/1634158577576296448/0tjMOHCY_normal.jpg</v>
      </c>
      <c r="G297" s="63"/>
      <c r="H297" s="67"/>
      <c r="I297" s="68"/>
      <c r="J297" s="68"/>
      <c r="K297" s="67" t="s">
        <v>20030</v>
      </c>
      <c r="L297" s="71"/>
      <c r="M297" s="72"/>
      <c r="N297" s="72"/>
      <c r="O297" s="73"/>
      <c r="P297" s="74"/>
      <c r="Q297" s="74"/>
      <c r="R297" s="87"/>
      <c r="S297" s="87"/>
      <c r="T297" s="87"/>
      <c r="U297" s="87"/>
      <c r="V297" s="48"/>
      <c r="W297" s="48"/>
      <c r="X297" s="48"/>
      <c r="Y297" s="48"/>
      <c r="Z297" s="47"/>
      <c r="AA297" s="69">
        <v>297</v>
      </c>
      <c r="AB297" s="69"/>
      <c r="AC297" s="70"/>
      <c r="AD297" s="76" t="s">
        <v>18042</v>
      </c>
      <c r="AE297" s="81" t="s">
        <v>17569</v>
      </c>
      <c r="AF297" s="76">
        <v>0</v>
      </c>
      <c r="AG297" s="76">
        <v>14</v>
      </c>
      <c r="AH297" s="76">
        <v>14</v>
      </c>
      <c r="AI297" s="76">
        <v>0</v>
      </c>
      <c r="AJ297" s="76">
        <v>16</v>
      </c>
      <c r="AK297" s="76">
        <v>8</v>
      </c>
      <c r="AL297" s="76" t="b">
        <v>0</v>
      </c>
      <c r="AM297" s="78">
        <v>44706.936331018522</v>
      </c>
      <c r="AN297" s="76"/>
      <c r="AO297" s="76" t="s">
        <v>19034</v>
      </c>
      <c r="AP297" s="76"/>
      <c r="AQ297" s="76"/>
      <c r="AR297" s="76"/>
      <c r="AS297" s="76"/>
      <c r="AT297" s="76"/>
      <c r="AU297" s="76"/>
      <c r="AV297" s="76"/>
      <c r="AW297" s="76"/>
      <c r="AX297" s="76" t="b">
        <v>0</v>
      </c>
      <c r="AY297" s="76"/>
      <c r="AZ297" s="76"/>
      <c r="BA297" s="76" t="b">
        <v>0</v>
      </c>
      <c r="BB297" s="76" t="b">
        <v>1</v>
      </c>
      <c r="BC297" s="76" t="b">
        <v>1</v>
      </c>
      <c r="BD297" s="76" t="b">
        <v>0</v>
      </c>
      <c r="BE297" s="76" t="b">
        <v>0</v>
      </c>
      <c r="BF297" s="76" t="b">
        <v>0</v>
      </c>
      <c r="BG297" s="76" t="b">
        <v>0</v>
      </c>
      <c r="BH297" s="83" t="str">
        <f>HYPERLINK("https://pbs.twimg.com/profile_banners/1529590160974876673/1678448752")</f>
        <v>https://pbs.twimg.com/profile_banners/1529590160974876673/1678448752</v>
      </c>
      <c r="BI297" s="76"/>
      <c r="BJ297" s="76" t="s">
        <v>19734</v>
      </c>
      <c r="BK297" s="76" t="b">
        <v>0</v>
      </c>
      <c r="BL297" s="76"/>
      <c r="BM297" s="76" t="s">
        <v>66</v>
      </c>
      <c r="BN297" s="76" t="s">
        <v>19736</v>
      </c>
      <c r="BO297" s="83" t="str">
        <f>HYPERLINK("https://twitter.com/ricomonteiro76")</f>
        <v>https://twitter.com/ricomonteiro76</v>
      </c>
      <c r="BP297" s="2"/>
    </row>
    <row r="298" spans="1:68" x14ac:dyDescent="0.25">
      <c r="A298" s="62" t="s">
        <v>467</v>
      </c>
      <c r="B298" s="63"/>
      <c r="C298" s="63"/>
      <c r="D298" s="64"/>
      <c r="E298" s="66"/>
      <c r="F298" s="103" t="str">
        <f>HYPERLINK("https://pbs.twimg.com/profile_images/1387518297860628483/90Ffrl0y_normal.jpg")</f>
        <v>https://pbs.twimg.com/profile_images/1387518297860628483/90Ffrl0y_normal.jpg</v>
      </c>
      <c r="G298" s="63"/>
      <c r="H298" s="67"/>
      <c r="I298" s="68"/>
      <c r="J298" s="68"/>
      <c r="K298" s="67" t="s">
        <v>20031</v>
      </c>
      <c r="L298" s="71"/>
      <c r="M298" s="72"/>
      <c r="N298" s="72"/>
      <c r="O298" s="73"/>
      <c r="P298" s="74"/>
      <c r="Q298" s="74"/>
      <c r="R298" s="87"/>
      <c r="S298" s="87"/>
      <c r="T298" s="87"/>
      <c r="U298" s="87"/>
      <c r="V298" s="48"/>
      <c r="W298" s="48"/>
      <c r="X298" s="48"/>
      <c r="Y298" s="48"/>
      <c r="Z298" s="47"/>
      <c r="AA298" s="69">
        <v>298</v>
      </c>
      <c r="AB298" s="69"/>
      <c r="AC298" s="70"/>
      <c r="AD298" s="76" t="s">
        <v>18043</v>
      </c>
      <c r="AE298" s="81" t="s">
        <v>17570</v>
      </c>
      <c r="AF298" s="76">
        <v>114</v>
      </c>
      <c r="AG298" s="76">
        <v>3</v>
      </c>
      <c r="AH298" s="76">
        <v>2450</v>
      </c>
      <c r="AI298" s="76">
        <v>3</v>
      </c>
      <c r="AJ298" s="76">
        <v>46</v>
      </c>
      <c r="AK298" s="76">
        <v>1489</v>
      </c>
      <c r="AL298" s="76" t="b">
        <v>0</v>
      </c>
      <c r="AM298" s="78">
        <v>43670.672152777777</v>
      </c>
      <c r="AN298" s="76" t="s">
        <v>18589</v>
      </c>
      <c r="AO298" s="76" t="s">
        <v>19035</v>
      </c>
      <c r="AP298" s="83" t="str">
        <f>HYPERLINK("https://t.co/5l5QLOj7tM")</f>
        <v>https://t.co/5l5QLOj7tM</v>
      </c>
      <c r="AQ298" s="83" t="str">
        <f>HYPERLINK("https://br.lexlatin.com")</f>
        <v>https://br.lexlatin.com</v>
      </c>
      <c r="AR298" s="76" t="s">
        <v>19475</v>
      </c>
      <c r="AS298" s="76"/>
      <c r="AT298" s="76"/>
      <c r="AU298" s="76"/>
      <c r="AV298" s="76"/>
      <c r="AW298" s="83" t="str">
        <f>HYPERLINK("https://t.co/5l5QLOj7tM")</f>
        <v>https://t.co/5l5QLOj7tM</v>
      </c>
      <c r="AX298" s="76" t="b">
        <v>1</v>
      </c>
      <c r="AY298" s="76"/>
      <c r="AZ298" s="76"/>
      <c r="BA298" s="76" t="b">
        <v>0</v>
      </c>
      <c r="BB298" s="76" t="b">
        <v>1</v>
      </c>
      <c r="BC298" s="76" t="b">
        <v>1</v>
      </c>
      <c r="BD298" s="76" t="b">
        <v>0</v>
      </c>
      <c r="BE298" s="76" t="b">
        <v>0</v>
      </c>
      <c r="BF298" s="76" t="b">
        <v>0</v>
      </c>
      <c r="BG298" s="76" t="b">
        <v>0</v>
      </c>
      <c r="BH298" s="83" t="str">
        <f>HYPERLINK("https://pbs.twimg.com/profile_banners/1154060645861666816/1675808304")</f>
        <v>https://pbs.twimg.com/profile_banners/1154060645861666816/1675808304</v>
      </c>
      <c r="BI298" s="76"/>
      <c r="BJ298" s="76" t="s">
        <v>19734</v>
      </c>
      <c r="BK298" s="76" t="b">
        <v>0</v>
      </c>
      <c r="BL298" s="76"/>
      <c r="BM298" s="76" t="s">
        <v>66</v>
      </c>
      <c r="BN298" s="76" t="s">
        <v>19736</v>
      </c>
      <c r="BO298" s="83" t="str">
        <f>HYPERLINK("https://twitter.com/lexlatinbr")</f>
        <v>https://twitter.com/lexlatinbr</v>
      </c>
      <c r="BP298" s="2"/>
    </row>
    <row r="299" spans="1:68" x14ac:dyDescent="0.25">
      <c r="A299" s="62" t="s">
        <v>468</v>
      </c>
      <c r="B299" s="63"/>
      <c r="C299" s="63"/>
      <c r="D299" s="64"/>
      <c r="E299" s="66"/>
      <c r="F299" s="103" t="str">
        <f>HYPERLINK("https://pbs.twimg.com/profile_images/1631106378407239684/jh9SohJl_normal.jpg")</f>
        <v>https://pbs.twimg.com/profile_images/1631106378407239684/jh9SohJl_normal.jpg</v>
      </c>
      <c r="G299" s="63"/>
      <c r="H299" s="67"/>
      <c r="I299" s="68"/>
      <c r="J299" s="68"/>
      <c r="K299" s="67" t="s">
        <v>20032</v>
      </c>
      <c r="L299" s="71"/>
      <c r="M299" s="72"/>
      <c r="N299" s="72"/>
      <c r="O299" s="73"/>
      <c r="P299" s="74"/>
      <c r="Q299" s="74"/>
      <c r="R299" s="87"/>
      <c r="S299" s="87"/>
      <c r="T299" s="87"/>
      <c r="U299" s="87"/>
      <c r="V299" s="48"/>
      <c r="W299" s="48"/>
      <c r="X299" s="48"/>
      <c r="Y299" s="48"/>
      <c r="Z299" s="47"/>
      <c r="AA299" s="69">
        <v>299</v>
      </c>
      <c r="AB299" s="69"/>
      <c r="AC299" s="70"/>
      <c r="AD299" s="76" t="s">
        <v>18044</v>
      </c>
      <c r="AE299" s="81" t="s">
        <v>17350</v>
      </c>
      <c r="AF299" s="76">
        <v>4</v>
      </c>
      <c r="AG299" s="76">
        <v>2</v>
      </c>
      <c r="AH299" s="76">
        <v>410</v>
      </c>
      <c r="AI299" s="76">
        <v>0</v>
      </c>
      <c r="AJ299" s="76">
        <v>11</v>
      </c>
      <c r="AK299" s="76">
        <v>231</v>
      </c>
      <c r="AL299" s="76" t="b">
        <v>0</v>
      </c>
      <c r="AM299" s="78">
        <v>44987.06758101852</v>
      </c>
      <c r="AN299" s="76"/>
      <c r="AO299" s="76" t="s">
        <v>19036</v>
      </c>
      <c r="AP299" s="76"/>
      <c r="AQ299" s="76"/>
      <c r="AR299" s="76"/>
      <c r="AS299" s="76"/>
      <c r="AT299" s="76"/>
      <c r="AU299" s="76"/>
      <c r="AV299" s="76"/>
      <c r="AW299" s="76"/>
      <c r="AX299" s="76" t="b">
        <v>0</v>
      </c>
      <c r="AY299" s="76"/>
      <c r="AZ299" s="76"/>
      <c r="BA299" s="76" t="b">
        <v>0</v>
      </c>
      <c r="BB299" s="76" t="b">
        <v>1</v>
      </c>
      <c r="BC299" s="76" t="b">
        <v>1</v>
      </c>
      <c r="BD299" s="76" t="b">
        <v>0</v>
      </c>
      <c r="BE299" s="76" t="b">
        <v>0</v>
      </c>
      <c r="BF299" s="76" t="b">
        <v>0</v>
      </c>
      <c r="BG299" s="76" t="b">
        <v>0</v>
      </c>
      <c r="BH299" s="76"/>
      <c r="BI299" s="76"/>
      <c r="BJ299" s="76" t="s">
        <v>19734</v>
      </c>
      <c r="BK299" s="76" t="b">
        <v>0</v>
      </c>
      <c r="BL299" s="76"/>
      <c r="BM299" s="76" t="s">
        <v>66</v>
      </c>
      <c r="BN299" s="76" t="s">
        <v>19736</v>
      </c>
      <c r="BO299" s="83" t="str">
        <f>HYPERLINK("https://twitter.com/luyzananna")</f>
        <v>https://twitter.com/luyzananna</v>
      </c>
      <c r="BP299" s="2"/>
    </row>
    <row r="300" spans="1:68" x14ac:dyDescent="0.25">
      <c r="A300" s="62" t="s">
        <v>469</v>
      </c>
      <c r="B300" s="63"/>
      <c r="C300" s="63"/>
      <c r="D300" s="64"/>
      <c r="E300" s="66"/>
      <c r="F300" s="103" t="str">
        <f>HYPERLINK("https://pbs.twimg.com/profile_images/1647594480084582400/Lc1YFi3J_normal.jpg")</f>
        <v>https://pbs.twimg.com/profile_images/1647594480084582400/Lc1YFi3J_normal.jpg</v>
      </c>
      <c r="G300" s="63"/>
      <c r="H300" s="67"/>
      <c r="I300" s="68"/>
      <c r="J300" s="68"/>
      <c r="K300" s="67" t="s">
        <v>20033</v>
      </c>
      <c r="L300" s="71"/>
      <c r="M300" s="72"/>
      <c r="N300" s="72"/>
      <c r="O300" s="73"/>
      <c r="P300" s="74"/>
      <c r="Q300" s="74"/>
      <c r="R300" s="87"/>
      <c r="S300" s="87"/>
      <c r="T300" s="87"/>
      <c r="U300" s="87"/>
      <c r="V300" s="48"/>
      <c r="W300" s="48"/>
      <c r="X300" s="48"/>
      <c r="Y300" s="48"/>
      <c r="Z300" s="47"/>
      <c r="AA300" s="69">
        <v>300</v>
      </c>
      <c r="AB300" s="69"/>
      <c r="AC300" s="70"/>
      <c r="AD300" s="76" t="s">
        <v>18045</v>
      </c>
      <c r="AE300" s="81" t="s">
        <v>17571</v>
      </c>
      <c r="AF300" s="76">
        <v>2</v>
      </c>
      <c r="AG300" s="76">
        <v>27</v>
      </c>
      <c r="AH300" s="76">
        <v>20</v>
      </c>
      <c r="AI300" s="76">
        <v>0</v>
      </c>
      <c r="AJ300" s="76">
        <v>12</v>
      </c>
      <c r="AK300" s="76">
        <v>14</v>
      </c>
      <c r="AL300" s="76" t="b">
        <v>0</v>
      </c>
      <c r="AM300" s="78">
        <v>45032.56554398148</v>
      </c>
      <c r="AN300" s="76" t="s">
        <v>18665</v>
      </c>
      <c r="AO300" s="76" t="s">
        <v>19037</v>
      </c>
      <c r="AP300" s="76"/>
      <c r="AQ300" s="76"/>
      <c r="AR300" s="76"/>
      <c r="AS300" s="76"/>
      <c r="AT300" s="76"/>
      <c r="AU300" s="76"/>
      <c r="AV300" s="76"/>
      <c r="AW300" s="76"/>
      <c r="AX300" s="76" t="b">
        <v>0</v>
      </c>
      <c r="AY300" s="76"/>
      <c r="AZ300" s="76"/>
      <c r="BA300" s="76" t="b">
        <v>0</v>
      </c>
      <c r="BB300" s="76" t="b">
        <v>1</v>
      </c>
      <c r="BC300" s="76" t="b">
        <v>1</v>
      </c>
      <c r="BD300" s="76" t="b">
        <v>0</v>
      </c>
      <c r="BE300" s="76" t="b">
        <v>0</v>
      </c>
      <c r="BF300" s="76" t="b">
        <v>0</v>
      </c>
      <c r="BG300" s="76" t="b">
        <v>0</v>
      </c>
      <c r="BH300" s="83" t="str">
        <f>HYPERLINK("https://pbs.twimg.com/profile_banners/1647594155965595649/1686834374")</f>
        <v>https://pbs.twimg.com/profile_banners/1647594155965595649/1686834374</v>
      </c>
      <c r="BI300" s="76"/>
      <c r="BJ300" s="76" t="s">
        <v>19734</v>
      </c>
      <c r="BK300" s="76" t="b">
        <v>0</v>
      </c>
      <c r="BL300" s="76"/>
      <c r="BM300" s="76" t="s">
        <v>66</v>
      </c>
      <c r="BN300" s="76" t="s">
        <v>19736</v>
      </c>
      <c r="BO300" s="83" t="str">
        <f>HYPERLINK("https://twitter.com/demoedaemmoeda")</f>
        <v>https://twitter.com/demoedaemmoeda</v>
      </c>
      <c r="BP300" s="2"/>
    </row>
    <row r="301" spans="1:68" x14ac:dyDescent="0.25">
      <c r="A301" s="62" t="s">
        <v>470</v>
      </c>
      <c r="B301" s="63"/>
      <c r="C301" s="63"/>
      <c r="D301" s="64"/>
      <c r="E301" s="66"/>
      <c r="F301" s="103" t="str">
        <f>HYPERLINK("https://pbs.twimg.com/profile_images/1419995425491333120/wGuKJNby_normal.jpg")</f>
        <v>https://pbs.twimg.com/profile_images/1419995425491333120/wGuKJNby_normal.jpg</v>
      </c>
      <c r="G301" s="63"/>
      <c r="H301" s="67"/>
      <c r="I301" s="68"/>
      <c r="J301" s="68"/>
      <c r="K301" s="67" t="s">
        <v>20034</v>
      </c>
      <c r="L301" s="71"/>
      <c r="M301" s="72"/>
      <c r="N301" s="72"/>
      <c r="O301" s="73"/>
      <c r="P301" s="74"/>
      <c r="Q301" s="74"/>
      <c r="R301" s="87"/>
      <c r="S301" s="87"/>
      <c r="T301" s="87"/>
      <c r="U301" s="87"/>
      <c r="V301" s="48"/>
      <c r="W301" s="48"/>
      <c r="X301" s="48"/>
      <c r="Y301" s="48"/>
      <c r="Z301" s="47"/>
      <c r="AA301" s="69">
        <v>301</v>
      </c>
      <c r="AB301" s="69"/>
      <c r="AC301" s="70"/>
      <c r="AD301" s="76" t="s">
        <v>18046</v>
      </c>
      <c r="AE301" s="81" t="s">
        <v>17572</v>
      </c>
      <c r="AF301" s="76">
        <v>6</v>
      </c>
      <c r="AG301" s="76">
        <v>66</v>
      </c>
      <c r="AH301" s="76">
        <v>76</v>
      </c>
      <c r="AI301" s="76">
        <v>1</v>
      </c>
      <c r="AJ301" s="76">
        <v>117</v>
      </c>
      <c r="AK301" s="76">
        <v>21</v>
      </c>
      <c r="AL301" s="76" t="b">
        <v>0</v>
      </c>
      <c r="AM301" s="78">
        <v>42786.798483796294</v>
      </c>
      <c r="AN301" s="76"/>
      <c r="AO301" s="76" t="s">
        <v>19038</v>
      </c>
      <c r="AP301" s="83" t="str">
        <f>HYPERLINK("https://t.co/icND2e3gEh")</f>
        <v>https://t.co/icND2e3gEh</v>
      </c>
      <c r="AQ301" s="83" t="str">
        <f>HYPERLINK("http://beacons.ai/misaelnascimentofinancas")</f>
        <v>http://beacons.ai/misaelnascimentofinancas</v>
      </c>
      <c r="AR301" s="76" t="s">
        <v>19476</v>
      </c>
      <c r="AS301" s="76"/>
      <c r="AT301" s="76"/>
      <c r="AU301" s="76"/>
      <c r="AV301" s="76"/>
      <c r="AW301" s="83" t="str">
        <f>HYPERLINK("https://t.co/icND2e3gEh")</f>
        <v>https://t.co/icND2e3gEh</v>
      </c>
      <c r="AX301" s="76" t="b">
        <v>0</v>
      </c>
      <c r="AY301" s="76"/>
      <c r="AZ301" s="76"/>
      <c r="BA301" s="76" t="b">
        <v>0</v>
      </c>
      <c r="BB301" s="76" t="b">
        <v>1</v>
      </c>
      <c r="BC301" s="76" t="b">
        <v>1</v>
      </c>
      <c r="BD301" s="76" t="b">
        <v>0</v>
      </c>
      <c r="BE301" s="76" t="b">
        <v>0</v>
      </c>
      <c r="BF301" s="76" t="b">
        <v>0</v>
      </c>
      <c r="BG301" s="76" t="b">
        <v>0</v>
      </c>
      <c r="BH301" s="83" t="str">
        <f>HYPERLINK("https://pbs.twimg.com/profile_banners/833755553620959234/1627388337")</f>
        <v>https://pbs.twimg.com/profile_banners/833755553620959234/1627388337</v>
      </c>
      <c r="BI301" s="76"/>
      <c r="BJ301" s="76" t="s">
        <v>19734</v>
      </c>
      <c r="BK301" s="76" t="b">
        <v>0</v>
      </c>
      <c r="BL301" s="76"/>
      <c r="BM301" s="76" t="s">
        <v>66</v>
      </c>
      <c r="BN301" s="76" t="s">
        <v>19736</v>
      </c>
      <c r="BO301" s="83" t="str">
        <f>HYPERLINK("https://twitter.com/nascimentomma")</f>
        <v>https://twitter.com/nascimentomma</v>
      </c>
      <c r="BP301" s="2"/>
    </row>
    <row r="302" spans="1:68" x14ac:dyDescent="0.25">
      <c r="A302" s="62" t="s">
        <v>471</v>
      </c>
      <c r="B302" s="63"/>
      <c r="C302" s="63"/>
      <c r="D302" s="64"/>
      <c r="E302" s="66"/>
      <c r="F302" s="103" t="str">
        <f>HYPERLINK("https://pbs.twimg.com/profile_images/1656679527534428162/WlBzoLoa_normal.jpg")</f>
        <v>https://pbs.twimg.com/profile_images/1656679527534428162/WlBzoLoa_normal.jpg</v>
      </c>
      <c r="G302" s="63"/>
      <c r="H302" s="67"/>
      <c r="I302" s="68"/>
      <c r="J302" s="68"/>
      <c r="K302" s="67" t="s">
        <v>20035</v>
      </c>
      <c r="L302" s="71"/>
      <c r="M302" s="72"/>
      <c r="N302" s="72"/>
      <c r="O302" s="73"/>
      <c r="P302" s="74"/>
      <c r="Q302" s="74"/>
      <c r="R302" s="87"/>
      <c r="S302" s="87"/>
      <c r="T302" s="87"/>
      <c r="U302" s="87"/>
      <c r="V302" s="48"/>
      <c r="W302" s="48"/>
      <c r="X302" s="48"/>
      <c r="Y302" s="48"/>
      <c r="Z302" s="47"/>
      <c r="AA302" s="69">
        <v>302</v>
      </c>
      <c r="AB302" s="69"/>
      <c r="AC302" s="70"/>
      <c r="AD302" s="76" t="s">
        <v>18047</v>
      </c>
      <c r="AE302" s="81" t="s">
        <v>17573</v>
      </c>
      <c r="AF302" s="76">
        <v>4</v>
      </c>
      <c r="AG302" s="76">
        <v>48</v>
      </c>
      <c r="AH302" s="76">
        <v>9</v>
      </c>
      <c r="AI302" s="76">
        <v>0</v>
      </c>
      <c r="AJ302" s="76">
        <v>1</v>
      </c>
      <c r="AK302" s="76">
        <v>8</v>
      </c>
      <c r="AL302" s="76" t="b">
        <v>0</v>
      </c>
      <c r="AM302" s="78">
        <v>45057.629780092589</v>
      </c>
      <c r="AN302" s="76"/>
      <c r="AO302" s="76" t="s">
        <v>19039</v>
      </c>
      <c r="AP302" s="83" t="str">
        <f>HYPERLINK("https://t.co/Yfs2P9AAtN")</f>
        <v>https://t.co/Yfs2P9AAtN</v>
      </c>
      <c r="AQ302" s="83" t="str">
        <f>HYPERLINK("https://www.youtube.com/@dropsdomercado")</f>
        <v>https://www.youtube.com/@dropsdomercado</v>
      </c>
      <c r="AR302" s="76" t="s">
        <v>19477</v>
      </c>
      <c r="AS302" s="76"/>
      <c r="AT302" s="76"/>
      <c r="AU302" s="76"/>
      <c r="AV302" s="76"/>
      <c r="AW302" s="83" t="str">
        <f>HYPERLINK("https://t.co/Yfs2P9AAtN")</f>
        <v>https://t.co/Yfs2P9AAtN</v>
      </c>
      <c r="AX302" s="76" t="b">
        <v>0</v>
      </c>
      <c r="AY302" s="76"/>
      <c r="AZ302" s="76"/>
      <c r="BA302" s="76" t="b">
        <v>0</v>
      </c>
      <c r="BB302" s="76" t="b">
        <v>1</v>
      </c>
      <c r="BC302" s="76" t="b">
        <v>1</v>
      </c>
      <c r="BD302" s="76" t="b">
        <v>0</v>
      </c>
      <c r="BE302" s="76" t="b">
        <v>0</v>
      </c>
      <c r="BF302" s="76" t="b">
        <v>0</v>
      </c>
      <c r="BG302" s="76" t="b">
        <v>0</v>
      </c>
      <c r="BH302" s="83" t="str">
        <f>HYPERLINK("https://pbs.twimg.com/profile_banners/1656677128640040965/1683823028")</f>
        <v>https://pbs.twimg.com/profile_banners/1656677128640040965/1683823028</v>
      </c>
      <c r="BI302" s="76"/>
      <c r="BJ302" s="76" t="s">
        <v>19734</v>
      </c>
      <c r="BK302" s="76" t="b">
        <v>0</v>
      </c>
      <c r="BL302" s="76"/>
      <c r="BM302" s="76" t="s">
        <v>66</v>
      </c>
      <c r="BN302" s="76" t="s">
        <v>19736</v>
      </c>
      <c r="BO302" s="83" t="str">
        <f>HYPERLINK("https://twitter.com/dropsdomercado")</f>
        <v>https://twitter.com/dropsdomercado</v>
      </c>
      <c r="BP302" s="2"/>
    </row>
    <row r="303" spans="1:68" x14ac:dyDescent="0.25">
      <c r="A303" s="62" t="s">
        <v>472</v>
      </c>
      <c r="B303" s="63"/>
      <c r="C303" s="63"/>
      <c r="D303" s="64"/>
      <c r="E303" s="66"/>
      <c r="F303" s="103" t="str">
        <f>HYPERLINK("https://pbs.twimg.com/profile_images/1520029481431441410/ArgaUkE__normal.jpg")</f>
        <v>https://pbs.twimg.com/profile_images/1520029481431441410/ArgaUkE__normal.jpg</v>
      </c>
      <c r="G303" s="63"/>
      <c r="H303" s="67"/>
      <c r="I303" s="68"/>
      <c r="J303" s="68"/>
      <c r="K303" s="67" t="s">
        <v>20036</v>
      </c>
      <c r="L303" s="71"/>
      <c r="M303" s="72"/>
      <c r="N303" s="72"/>
      <c r="O303" s="73"/>
      <c r="P303" s="74"/>
      <c r="Q303" s="74"/>
      <c r="R303" s="87"/>
      <c r="S303" s="87"/>
      <c r="T303" s="87"/>
      <c r="U303" s="87"/>
      <c r="V303" s="48"/>
      <c r="W303" s="48"/>
      <c r="X303" s="48"/>
      <c r="Y303" s="48"/>
      <c r="Z303" s="47"/>
      <c r="AA303" s="69">
        <v>303</v>
      </c>
      <c r="AB303" s="69"/>
      <c r="AC303" s="70"/>
      <c r="AD303" s="76" t="s">
        <v>18048</v>
      </c>
      <c r="AE303" s="81" t="s">
        <v>17351</v>
      </c>
      <c r="AF303" s="76">
        <v>2556</v>
      </c>
      <c r="AG303" s="76">
        <v>61</v>
      </c>
      <c r="AH303" s="76">
        <v>499</v>
      </c>
      <c r="AI303" s="76">
        <v>18</v>
      </c>
      <c r="AJ303" s="76">
        <v>324</v>
      </c>
      <c r="AK303" s="76">
        <v>155</v>
      </c>
      <c r="AL303" s="76" t="b">
        <v>0</v>
      </c>
      <c r="AM303" s="78">
        <v>40110.658495370371</v>
      </c>
      <c r="AN303" s="76" t="s">
        <v>12014</v>
      </c>
      <c r="AO303" s="76" t="s">
        <v>19040</v>
      </c>
      <c r="AP303" s="83" t="str">
        <f>HYPERLINK("https://t.co/dmbwjbGgwu")</f>
        <v>https://t.co/dmbwjbGgwu</v>
      </c>
      <c r="AQ303" s="83" t="str">
        <f>HYPERLINK("http://www.comdinheiro.com.br")</f>
        <v>http://www.comdinheiro.com.br</v>
      </c>
      <c r="AR303" s="76" t="s">
        <v>19478</v>
      </c>
      <c r="AS303" s="76"/>
      <c r="AT303" s="76"/>
      <c r="AU303" s="76"/>
      <c r="AV303" s="76"/>
      <c r="AW303" s="83" t="str">
        <f>HYPERLINK("https://t.co/dmbwjbGgwu")</f>
        <v>https://t.co/dmbwjbGgwu</v>
      </c>
      <c r="AX303" s="76" t="b">
        <v>0</v>
      </c>
      <c r="AY303" s="76"/>
      <c r="AZ303" s="76"/>
      <c r="BA303" s="76" t="b">
        <v>0</v>
      </c>
      <c r="BB303" s="76" t="b">
        <v>1</v>
      </c>
      <c r="BC303" s="76" t="b">
        <v>1</v>
      </c>
      <c r="BD303" s="76" t="b">
        <v>0</v>
      </c>
      <c r="BE303" s="76" t="b">
        <v>0</v>
      </c>
      <c r="BF303" s="76" t="b">
        <v>0</v>
      </c>
      <c r="BG303" s="76" t="b">
        <v>0</v>
      </c>
      <c r="BH303" s="83" t="str">
        <f>HYPERLINK("https://pbs.twimg.com/profile_banners/84877345/1651239738")</f>
        <v>https://pbs.twimg.com/profile_banners/84877345/1651239738</v>
      </c>
      <c r="BI303" s="76"/>
      <c r="BJ303" s="76" t="s">
        <v>19734</v>
      </c>
      <c r="BK303" s="76" t="b">
        <v>0</v>
      </c>
      <c r="BL303" s="76"/>
      <c r="BM303" s="76" t="s">
        <v>66</v>
      </c>
      <c r="BN303" s="76" t="s">
        <v>19736</v>
      </c>
      <c r="BO303" s="83" t="str">
        <f>HYPERLINK("https://twitter.com/comdinheiro")</f>
        <v>https://twitter.com/comdinheiro</v>
      </c>
      <c r="BP303" s="2"/>
    </row>
    <row r="304" spans="1:68" x14ac:dyDescent="0.25">
      <c r="A304" s="62" t="s">
        <v>473</v>
      </c>
      <c r="B304" s="63"/>
      <c r="C304" s="63"/>
      <c r="D304" s="64"/>
      <c r="E304" s="66"/>
      <c r="F304" s="103" t="str">
        <f>HYPERLINK("https://pbs.twimg.com/profile_images/1685822024101380096/R7GLHn_J_normal.jpg")</f>
        <v>https://pbs.twimg.com/profile_images/1685822024101380096/R7GLHn_J_normal.jpg</v>
      </c>
      <c r="G304" s="63"/>
      <c r="H304" s="67"/>
      <c r="I304" s="68"/>
      <c r="J304" s="68"/>
      <c r="K304" s="67" t="s">
        <v>20037</v>
      </c>
      <c r="L304" s="71"/>
      <c r="M304" s="72"/>
      <c r="N304" s="72"/>
      <c r="O304" s="73"/>
      <c r="P304" s="74"/>
      <c r="Q304" s="74"/>
      <c r="R304" s="87"/>
      <c r="S304" s="87"/>
      <c r="T304" s="87"/>
      <c r="U304" s="87"/>
      <c r="V304" s="48"/>
      <c r="W304" s="48"/>
      <c r="X304" s="48"/>
      <c r="Y304" s="48"/>
      <c r="Z304" s="47"/>
      <c r="AA304" s="69">
        <v>304</v>
      </c>
      <c r="AB304" s="69"/>
      <c r="AC304" s="70"/>
      <c r="AD304" s="76" t="s">
        <v>18049</v>
      </c>
      <c r="AE304" s="81" t="s">
        <v>18440</v>
      </c>
      <c r="AF304" s="76">
        <v>1802</v>
      </c>
      <c r="AG304" s="76">
        <v>4285</v>
      </c>
      <c r="AH304" s="76">
        <v>62640</v>
      </c>
      <c r="AI304" s="76">
        <v>146</v>
      </c>
      <c r="AJ304" s="76">
        <v>122362</v>
      </c>
      <c r="AK304" s="76">
        <v>5921</v>
      </c>
      <c r="AL304" s="76" t="b">
        <v>0</v>
      </c>
      <c r="AM304" s="78">
        <v>39948.078310185185</v>
      </c>
      <c r="AN304" s="76" t="s">
        <v>12014</v>
      </c>
      <c r="AO304" s="76" t="s">
        <v>19041</v>
      </c>
      <c r="AP304" s="83" t="str">
        <f>HYPERLINK("https://t.co/DK6ewNPotf")</f>
        <v>https://t.co/DK6ewNPotf</v>
      </c>
      <c r="AQ304" s="83" t="str">
        <f>HYPERLINK("https://www.luizbotelho.biz")</f>
        <v>https://www.luizbotelho.biz</v>
      </c>
      <c r="AR304" s="76" t="s">
        <v>19479</v>
      </c>
      <c r="AS304" s="76"/>
      <c r="AT304" s="76"/>
      <c r="AU304" s="76"/>
      <c r="AV304" s="76">
        <v>1.06693367739598E+18</v>
      </c>
      <c r="AW304" s="83" t="str">
        <f>HYPERLINK("https://t.co/DK6ewNPotf")</f>
        <v>https://t.co/DK6ewNPotf</v>
      </c>
      <c r="AX304" s="76" t="b">
        <v>0</v>
      </c>
      <c r="AY304" s="76"/>
      <c r="AZ304" s="76"/>
      <c r="BA304" s="76" t="b">
        <v>0</v>
      </c>
      <c r="BB304" s="76" t="b">
        <v>1</v>
      </c>
      <c r="BC304" s="76" t="b">
        <v>0</v>
      </c>
      <c r="BD304" s="76" t="b">
        <v>0</v>
      </c>
      <c r="BE304" s="76" t="b">
        <v>1</v>
      </c>
      <c r="BF304" s="76" t="b">
        <v>0</v>
      </c>
      <c r="BG304" s="76" t="b">
        <v>0</v>
      </c>
      <c r="BH304" s="83" t="str">
        <f>HYPERLINK("https://pbs.twimg.com/profile_banners/40146795/1690850067")</f>
        <v>https://pbs.twimg.com/profile_banners/40146795/1690850067</v>
      </c>
      <c r="BI304" s="76"/>
      <c r="BJ304" s="76" t="s">
        <v>19734</v>
      </c>
      <c r="BK304" s="76" t="b">
        <v>0</v>
      </c>
      <c r="BL304" s="76"/>
      <c r="BM304" s="76" t="s">
        <v>66</v>
      </c>
      <c r="BN304" s="76" t="s">
        <v>19736</v>
      </c>
      <c r="BO304" s="83" t="str">
        <f>HYPERLINK("https://twitter.com/lubashivaya")</f>
        <v>https://twitter.com/lubashivaya</v>
      </c>
      <c r="BP304" s="2"/>
    </row>
    <row r="305" spans="1:68" x14ac:dyDescent="0.25">
      <c r="A305" s="62" t="s">
        <v>476</v>
      </c>
      <c r="B305" s="63"/>
      <c r="C305" s="63"/>
      <c r="D305" s="64"/>
      <c r="E305" s="66"/>
      <c r="F305" s="103" t="str">
        <f>HYPERLINK("https://pbs.twimg.com/profile_images/1647262674126815232/bDDdXBPp_normal.jpg")</f>
        <v>https://pbs.twimg.com/profile_images/1647262674126815232/bDDdXBPp_normal.jpg</v>
      </c>
      <c r="G305" s="63"/>
      <c r="H305" s="67"/>
      <c r="I305" s="68"/>
      <c r="J305" s="68"/>
      <c r="K305" s="67" t="s">
        <v>20038</v>
      </c>
      <c r="L305" s="71"/>
      <c r="M305" s="72"/>
      <c r="N305" s="72"/>
      <c r="O305" s="73"/>
      <c r="P305" s="74"/>
      <c r="Q305" s="74"/>
      <c r="R305" s="87"/>
      <c r="S305" s="87"/>
      <c r="T305" s="87"/>
      <c r="U305" s="87"/>
      <c r="V305" s="48"/>
      <c r="W305" s="48"/>
      <c r="X305" s="48"/>
      <c r="Y305" s="48"/>
      <c r="Z305" s="47"/>
      <c r="AA305" s="69">
        <v>305</v>
      </c>
      <c r="AB305" s="69"/>
      <c r="AC305" s="70"/>
      <c r="AD305" s="76" t="s">
        <v>18050</v>
      </c>
      <c r="AE305" s="81" t="s">
        <v>18441</v>
      </c>
      <c r="AF305" s="76">
        <v>201</v>
      </c>
      <c r="AG305" s="76">
        <v>599</v>
      </c>
      <c r="AH305" s="76">
        <v>6654</v>
      </c>
      <c r="AI305" s="76">
        <v>1</v>
      </c>
      <c r="AJ305" s="76">
        <v>5872</v>
      </c>
      <c r="AK305" s="76">
        <v>98</v>
      </c>
      <c r="AL305" s="76" t="b">
        <v>0</v>
      </c>
      <c r="AM305" s="78">
        <v>41057.050798611112</v>
      </c>
      <c r="AN305" s="76" t="s">
        <v>18666</v>
      </c>
      <c r="AO305" s="76" t="s">
        <v>19042</v>
      </c>
      <c r="AP305" s="76"/>
      <c r="AQ305" s="76"/>
      <c r="AR305" s="76"/>
      <c r="AS305" s="76"/>
      <c r="AT305" s="76"/>
      <c r="AU305" s="76"/>
      <c r="AV305" s="76">
        <v>1.3147362716637901E+18</v>
      </c>
      <c r="AW305" s="76"/>
      <c r="AX305" s="76" t="b">
        <v>0</v>
      </c>
      <c r="AY305" s="76"/>
      <c r="AZ305" s="76"/>
      <c r="BA305" s="76" t="b">
        <v>0</v>
      </c>
      <c r="BB305" s="76" t="b">
        <v>1</v>
      </c>
      <c r="BC305" s="76" t="b">
        <v>1</v>
      </c>
      <c r="BD305" s="76" t="b">
        <v>0</v>
      </c>
      <c r="BE305" s="76" t="b">
        <v>1</v>
      </c>
      <c r="BF305" s="76" t="b">
        <v>0</v>
      </c>
      <c r="BG305" s="76" t="b">
        <v>0</v>
      </c>
      <c r="BH305" s="83" t="str">
        <f>HYPERLINK("https://pbs.twimg.com/profile_banners/592291183/1688344114")</f>
        <v>https://pbs.twimg.com/profile_banners/592291183/1688344114</v>
      </c>
      <c r="BI305" s="76"/>
      <c r="BJ305" s="76" t="s">
        <v>19734</v>
      </c>
      <c r="BK305" s="76" t="b">
        <v>0</v>
      </c>
      <c r="BL305" s="76"/>
      <c r="BM305" s="76" t="s">
        <v>66</v>
      </c>
      <c r="BN305" s="76" t="s">
        <v>19736</v>
      </c>
      <c r="BO305" s="83" t="str">
        <f>HYPERLINK("https://twitter.com/jose_saragoza")</f>
        <v>https://twitter.com/jose_saragoza</v>
      </c>
      <c r="BP305" s="2"/>
    </row>
    <row r="306" spans="1:68" x14ac:dyDescent="0.25">
      <c r="A306" s="62" t="s">
        <v>477</v>
      </c>
      <c r="B306" s="63"/>
      <c r="C306" s="63"/>
      <c r="D306" s="64"/>
      <c r="E306" s="66"/>
      <c r="F306" s="103" t="str">
        <f>HYPERLINK("https://pbs.twimg.com/profile_images/1671995706209361920/TG8YInRd_normal.jpg")</f>
        <v>https://pbs.twimg.com/profile_images/1671995706209361920/TG8YInRd_normal.jpg</v>
      </c>
      <c r="G306" s="63"/>
      <c r="H306" s="67"/>
      <c r="I306" s="68"/>
      <c r="J306" s="68"/>
      <c r="K306" s="67" t="s">
        <v>20039</v>
      </c>
      <c r="L306" s="71"/>
      <c r="M306" s="72"/>
      <c r="N306" s="72"/>
      <c r="O306" s="73"/>
      <c r="P306" s="74"/>
      <c r="Q306" s="74"/>
      <c r="R306" s="87"/>
      <c r="S306" s="87"/>
      <c r="T306" s="87"/>
      <c r="U306" s="87"/>
      <c r="V306" s="48"/>
      <c r="W306" s="48"/>
      <c r="X306" s="48"/>
      <c r="Y306" s="48"/>
      <c r="Z306" s="47"/>
      <c r="AA306" s="69">
        <v>306</v>
      </c>
      <c r="AB306" s="69"/>
      <c r="AC306" s="70"/>
      <c r="AD306" s="76" t="s">
        <v>18051</v>
      </c>
      <c r="AE306" s="81" t="s">
        <v>18442</v>
      </c>
      <c r="AF306" s="76">
        <v>2570</v>
      </c>
      <c r="AG306" s="76">
        <v>216</v>
      </c>
      <c r="AH306" s="76">
        <v>5113</v>
      </c>
      <c r="AI306" s="76">
        <v>20</v>
      </c>
      <c r="AJ306" s="76">
        <v>11819</v>
      </c>
      <c r="AK306" s="76">
        <v>1056</v>
      </c>
      <c r="AL306" s="76" t="b">
        <v>0</v>
      </c>
      <c r="AM306" s="78">
        <v>41599.722256944442</v>
      </c>
      <c r="AN306" s="76"/>
      <c r="AO306" s="76" t="s">
        <v>19043</v>
      </c>
      <c r="AP306" s="76"/>
      <c r="AQ306" s="76"/>
      <c r="AR306" s="76"/>
      <c r="AS306" s="76"/>
      <c r="AT306" s="76"/>
      <c r="AU306" s="76"/>
      <c r="AV306" s="76">
        <v>1.6694390746277299E+18</v>
      </c>
      <c r="AW306" s="76"/>
      <c r="AX306" s="76" t="b">
        <v>0</v>
      </c>
      <c r="AY306" s="76"/>
      <c r="AZ306" s="76"/>
      <c r="BA306" s="76" t="b">
        <v>0</v>
      </c>
      <c r="BB306" s="76" t="b">
        <v>1</v>
      </c>
      <c r="BC306" s="76" t="b">
        <v>1</v>
      </c>
      <c r="BD306" s="76" t="b">
        <v>0</v>
      </c>
      <c r="BE306" s="76" t="b">
        <v>0</v>
      </c>
      <c r="BF306" s="76" t="b">
        <v>0</v>
      </c>
      <c r="BG306" s="76" t="b">
        <v>0</v>
      </c>
      <c r="BH306" s="83" t="str">
        <f>HYPERLINK("https://pbs.twimg.com/profile_banners/2207524092/1685500046")</f>
        <v>https://pbs.twimg.com/profile_banners/2207524092/1685500046</v>
      </c>
      <c r="BI306" s="76"/>
      <c r="BJ306" s="76" t="s">
        <v>19734</v>
      </c>
      <c r="BK306" s="76" t="b">
        <v>0</v>
      </c>
      <c r="BL306" s="76"/>
      <c r="BM306" s="76" t="s">
        <v>66</v>
      </c>
      <c r="BN306" s="76" t="s">
        <v>19736</v>
      </c>
      <c r="BO306" s="83" t="str">
        <f>HYPERLINK("https://twitter.com/alelansampa")</f>
        <v>https://twitter.com/alelansampa</v>
      </c>
      <c r="BP306" s="2"/>
    </row>
    <row r="307" spans="1:68" x14ac:dyDescent="0.25">
      <c r="A307" s="62" t="s">
        <v>660</v>
      </c>
      <c r="B307" s="63"/>
      <c r="C307" s="63"/>
      <c r="D307" s="64"/>
      <c r="E307" s="66"/>
      <c r="F307" s="103" t="str">
        <f>HYPERLINK("https://pbs.twimg.com/profile_images/1643164946782404608/lX5Wyiwx_normal.jpg")</f>
        <v>https://pbs.twimg.com/profile_images/1643164946782404608/lX5Wyiwx_normal.jpg</v>
      </c>
      <c r="G307" s="63"/>
      <c r="H307" s="67"/>
      <c r="I307" s="68"/>
      <c r="J307" s="68"/>
      <c r="K307" s="67" t="s">
        <v>20040</v>
      </c>
      <c r="L307" s="71"/>
      <c r="M307" s="72"/>
      <c r="N307" s="72"/>
      <c r="O307" s="73"/>
      <c r="P307" s="74"/>
      <c r="Q307" s="74"/>
      <c r="R307" s="87"/>
      <c r="S307" s="87"/>
      <c r="T307" s="87"/>
      <c r="U307" s="87"/>
      <c r="V307" s="48"/>
      <c r="W307" s="48"/>
      <c r="X307" s="48"/>
      <c r="Y307" s="48"/>
      <c r="Z307" s="47"/>
      <c r="AA307" s="69">
        <v>307</v>
      </c>
      <c r="AB307" s="69"/>
      <c r="AC307" s="70"/>
      <c r="AD307" s="76" t="s">
        <v>18052</v>
      </c>
      <c r="AE307" s="81" t="s">
        <v>17678</v>
      </c>
      <c r="AF307" s="76">
        <v>73921</v>
      </c>
      <c r="AG307" s="76">
        <v>303</v>
      </c>
      <c r="AH307" s="76">
        <v>18829</v>
      </c>
      <c r="AI307" s="76">
        <v>894</v>
      </c>
      <c r="AJ307" s="76">
        <v>29881</v>
      </c>
      <c r="AK307" s="76">
        <v>9834</v>
      </c>
      <c r="AL307" s="76" t="b">
        <v>0</v>
      </c>
      <c r="AM307" s="78">
        <v>43968.73027777778</v>
      </c>
      <c r="AN307" s="76" t="s">
        <v>18667</v>
      </c>
      <c r="AO307" s="76" t="s">
        <v>19044</v>
      </c>
      <c r="AP307" s="83" t="str">
        <f>HYPERLINK("https://t.co/nIVmWWPLc7")</f>
        <v>https://t.co/nIVmWWPLc7</v>
      </c>
      <c r="AQ307" s="83" t="str">
        <f>HYPERLINK("https://bit.ly/3nRmIzu")</f>
        <v>https://bit.ly/3nRmIzu</v>
      </c>
      <c r="AR307" s="76" t="s">
        <v>19480</v>
      </c>
      <c r="AS307" s="76"/>
      <c r="AT307" s="76"/>
      <c r="AU307" s="76"/>
      <c r="AV307" s="76">
        <v>1.69892033255858E+18</v>
      </c>
      <c r="AW307" s="83" t="str">
        <f>HYPERLINK("https://t.co/nIVmWWPLc7")</f>
        <v>https://t.co/nIVmWWPLc7</v>
      </c>
      <c r="AX307" s="76" t="b">
        <v>1</v>
      </c>
      <c r="AY307" s="76"/>
      <c r="AZ307" s="76"/>
      <c r="BA307" s="76" t="b">
        <v>0</v>
      </c>
      <c r="BB307" s="76" t="b">
        <v>0</v>
      </c>
      <c r="BC307" s="76" t="b">
        <v>1</v>
      </c>
      <c r="BD307" s="76" t="b">
        <v>0</v>
      </c>
      <c r="BE307" s="76" t="b">
        <v>1</v>
      </c>
      <c r="BF307" s="76" t="b">
        <v>0</v>
      </c>
      <c r="BG307" s="76" t="b">
        <v>0</v>
      </c>
      <c r="BH307" s="83" t="str">
        <f>HYPERLINK("https://pbs.twimg.com/profile_banners/1262073227968425985/1643386764")</f>
        <v>https://pbs.twimg.com/profile_banners/1262073227968425985/1643386764</v>
      </c>
      <c r="BI307" s="76"/>
      <c r="BJ307" s="76" t="s">
        <v>19734</v>
      </c>
      <c r="BK307" s="76" t="b">
        <v>0</v>
      </c>
      <c r="BL307" s="76"/>
      <c r="BM307" s="76" t="s">
        <v>66</v>
      </c>
      <c r="BN307" s="76" t="s">
        <v>19736</v>
      </c>
      <c r="BO307" s="83" t="str">
        <f>HYPERLINK("https://twitter.com/tmarketl")</f>
        <v>https://twitter.com/tmarketl</v>
      </c>
      <c r="BP307" s="2"/>
    </row>
    <row r="308" spans="1:68" x14ac:dyDescent="0.25">
      <c r="A308" s="62" t="s">
        <v>478</v>
      </c>
      <c r="B308" s="63"/>
      <c r="C308" s="63"/>
      <c r="D308" s="64"/>
      <c r="E308" s="66"/>
      <c r="F308" s="103" t="str">
        <f>HYPERLINK("https://pbs.twimg.com/profile_images/1038783713780400128/bhoacSfn_normal.jpg")</f>
        <v>https://pbs.twimg.com/profile_images/1038783713780400128/bhoacSfn_normal.jpg</v>
      </c>
      <c r="G308" s="63"/>
      <c r="H308" s="67"/>
      <c r="I308" s="68"/>
      <c r="J308" s="68"/>
      <c r="K308" s="67" t="s">
        <v>20041</v>
      </c>
      <c r="L308" s="71"/>
      <c r="M308" s="72"/>
      <c r="N308" s="72"/>
      <c r="O308" s="73"/>
      <c r="P308" s="74"/>
      <c r="Q308" s="74"/>
      <c r="R308" s="87"/>
      <c r="S308" s="87"/>
      <c r="T308" s="87"/>
      <c r="U308" s="87"/>
      <c r="V308" s="48"/>
      <c r="W308" s="48"/>
      <c r="X308" s="48"/>
      <c r="Y308" s="48"/>
      <c r="Z308" s="47"/>
      <c r="AA308" s="69">
        <v>308</v>
      </c>
      <c r="AB308" s="69"/>
      <c r="AC308" s="70"/>
      <c r="AD308" s="76" t="s">
        <v>18053</v>
      </c>
      <c r="AE308" s="81" t="s">
        <v>18443</v>
      </c>
      <c r="AF308" s="76">
        <v>302</v>
      </c>
      <c r="AG308" s="76">
        <v>10</v>
      </c>
      <c r="AH308" s="76">
        <v>119</v>
      </c>
      <c r="AI308" s="76">
        <v>1</v>
      </c>
      <c r="AJ308" s="76">
        <v>10</v>
      </c>
      <c r="AK308" s="76">
        <v>2</v>
      </c>
      <c r="AL308" s="76" t="b">
        <v>0</v>
      </c>
      <c r="AM308" s="78">
        <v>41521.025902777779</v>
      </c>
      <c r="AN308" s="76" t="s">
        <v>12014</v>
      </c>
      <c r="AO308" s="76" t="s">
        <v>19045</v>
      </c>
      <c r="AP308" s="76"/>
      <c r="AQ308" s="76"/>
      <c r="AR308" s="76"/>
      <c r="AS308" s="76"/>
      <c r="AT308" s="76"/>
      <c r="AU308" s="76"/>
      <c r="AV308" s="76"/>
      <c r="AW308" s="76"/>
      <c r="AX308" s="76" t="b">
        <v>0</v>
      </c>
      <c r="AY308" s="76"/>
      <c r="AZ308" s="76"/>
      <c r="BA308" s="76" t="b">
        <v>0</v>
      </c>
      <c r="BB308" s="76" t="b">
        <v>1</v>
      </c>
      <c r="BC308" s="76" t="b">
        <v>0</v>
      </c>
      <c r="BD308" s="76" t="b">
        <v>0</v>
      </c>
      <c r="BE308" s="76" t="b">
        <v>1</v>
      </c>
      <c r="BF308" s="76" t="b">
        <v>0</v>
      </c>
      <c r="BG308" s="76" t="b">
        <v>0</v>
      </c>
      <c r="BH308" s="83" t="str">
        <f>HYPERLINK("https://pbs.twimg.com/profile_banners/1727074148/1536500330")</f>
        <v>https://pbs.twimg.com/profile_banners/1727074148/1536500330</v>
      </c>
      <c r="BI308" s="76"/>
      <c r="BJ308" s="76" t="s">
        <v>19734</v>
      </c>
      <c r="BK308" s="76" t="b">
        <v>0</v>
      </c>
      <c r="BL308" s="76"/>
      <c r="BM308" s="76" t="s">
        <v>66</v>
      </c>
      <c r="BN308" s="76" t="s">
        <v>19736</v>
      </c>
      <c r="BO308" s="83" t="str">
        <f>HYPERLINK("https://twitter.com/ydlpizarro")</f>
        <v>https://twitter.com/ydlpizarro</v>
      </c>
      <c r="BP308" s="2"/>
    </row>
    <row r="309" spans="1:68" x14ac:dyDescent="0.25">
      <c r="A309" s="62" t="s">
        <v>480</v>
      </c>
      <c r="B309" s="63"/>
      <c r="C309" s="63"/>
      <c r="D309" s="64"/>
      <c r="E309" s="66"/>
      <c r="F309" s="103" t="str">
        <f>HYPERLINK("https://pbs.twimg.com/profile_images/1675132868509548545/mmUaCGuZ_normal.jpg")</f>
        <v>https://pbs.twimg.com/profile_images/1675132868509548545/mmUaCGuZ_normal.jpg</v>
      </c>
      <c r="G309" s="63"/>
      <c r="H309" s="67"/>
      <c r="I309" s="68"/>
      <c r="J309" s="68"/>
      <c r="K309" s="67" t="s">
        <v>20042</v>
      </c>
      <c r="L309" s="71"/>
      <c r="M309" s="72"/>
      <c r="N309" s="72"/>
      <c r="O309" s="73"/>
      <c r="P309" s="74"/>
      <c r="Q309" s="74"/>
      <c r="R309" s="87"/>
      <c r="S309" s="87"/>
      <c r="T309" s="87"/>
      <c r="U309" s="87"/>
      <c r="V309" s="48"/>
      <c r="W309" s="48"/>
      <c r="X309" s="48"/>
      <c r="Y309" s="48"/>
      <c r="Z309" s="47"/>
      <c r="AA309" s="69">
        <v>309</v>
      </c>
      <c r="AB309" s="69"/>
      <c r="AC309" s="70"/>
      <c r="AD309" s="76" t="s">
        <v>18054</v>
      </c>
      <c r="AE309" s="81" t="s">
        <v>17574</v>
      </c>
      <c r="AF309" s="76">
        <v>3</v>
      </c>
      <c r="AG309" s="76">
        <v>74</v>
      </c>
      <c r="AH309" s="76">
        <v>212</v>
      </c>
      <c r="AI309" s="76">
        <v>0</v>
      </c>
      <c r="AJ309" s="76">
        <v>35</v>
      </c>
      <c r="AK309" s="76">
        <v>211</v>
      </c>
      <c r="AL309" s="76" t="b">
        <v>0</v>
      </c>
      <c r="AM309" s="78">
        <v>45108.551122685189</v>
      </c>
      <c r="AN309" s="76" t="s">
        <v>12040</v>
      </c>
      <c r="AO309" s="76" t="s">
        <v>19046</v>
      </c>
      <c r="AP309" s="83" t="str">
        <f>HYPERLINK("https://t.co/Pkpd07wydM")</f>
        <v>https://t.co/Pkpd07wydM</v>
      </c>
      <c r="AQ309" s="83" t="str">
        <f>HYPERLINK("https://www.clinicawashingtonamancio.com/")</f>
        <v>https://www.clinicawashingtonamancio.com/</v>
      </c>
      <c r="AR309" s="76" t="s">
        <v>7111</v>
      </c>
      <c r="AS309" s="76"/>
      <c r="AT309" s="76"/>
      <c r="AU309" s="76"/>
      <c r="AV309" s="76"/>
      <c r="AW309" s="83" t="str">
        <f>HYPERLINK("https://t.co/Pkpd07wydM")</f>
        <v>https://t.co/Pkpd07wydM</v>
      </c>
      <c r="AX309" s="76" t="b">
        <v>0</v>
      </c>
      <c r="AY309" s="76"/>
      <c r="AZ309" s="76"/>
      <c r="BA309" s="76" t="b">
        <v>0</v>
      </c>
      <c r="BB309" s="76" t="b">
        <v>1</v>
      </c>
      <c r="BC309" s="76" t="b">
        <v>1</v>
      </c>
      <c r="BD309" s="76" t="b">
        <v>0</v>
      </c>
      <c r="BE309" s="76" t="b">
        <v>0</v>
      </c>
      <c r="BF309" s="76" t="b">
        <v>0</v>
      </c>
      <c r="BG309" s="76" t="b">
        <v>0</v>
      </c>
      <c r="BH309" s="83" t="str">
        <f>HYPERLINK("https://pbs.twimg.com/profile_banners/1675130387658407938/1688217931")</f>
        <v>https://pbs.twimg.com/profile_banners/1675130387658407938/1688217931</v>
      </c>
      <c r="BI309" s="76"/>
      <c r="BJ309" s="76" t="s">
        <v>19734</v>
      </c>
      <c r="BK309" s="76" t="b">
        <v>0</v>
      </c>
      <c r="BL309" s="76"/>
      <c r="BM309" s="76" t="s">
        <v>66</v>
      </c>
      <c r="BN309" s="76" t="s">
        <v>19736</v>
      </c>
      <c r="BO309" s="83" t="str">
        <f>HYPERLINK("https://twitter.com/marcia23403")</f>
        <v>https://twitter.com/marcia23403</v>
      </c>
      <c r="BP309" s="2"/>
    </row>
    <row r="310" spans="1:68" x14ac:dyDescent="0.25">
      <c r="A310" s="62" t="s">
        <v>481</v>
      </c>
      <c r="B310" s="63"/>
      <c r="C310" s="63"/>
      <c r="D310" s="64"/>
      <c r="E310" s="66"/>
      <c r="F310" s="103" t="str">
        <f>HYPERLINK("https://pbs.twimg.com/profile_images/1632316240193626112/cjQVXLrS_normal.jpg")</f>
        <v>https://pbs.twimg.com/profile_images/1632316240193626112/cjQVXLrS_normal.jpg</v>
      </c>
      <c r="G310" s="63"/>
      <c r="H310" s="67"/>
      <c r="I310" s="68"/>
      <c r="J310" s="68"/>
      <c r="K310" s="67" t="s">
        <v>20043</v>
      </c>
      <c r="L310" s="71"/>
      <c r="M310" s="72"/>
      <c r="N310" s="72"/>
      <c r="O310" s="73"/>
      <c r="P310" s="74"/>
      <c r="Q310" s="74"/>
      <c r="R310" s="87"/>
      <c r="S310" s="87"/>
      <c r="T310" s="87"/>
      <c r="U310" s="87"/>
      <c r="V310" s="48"/>
      <c r="W310" s="48"/>
      <c r="X310" s="48"/>
      <c r="Y310" s="48"/>
      <c r="Z310" s="47"/>
      <c r="AA310" s="69">
        <v>310</v>
      </c>
      <c r="AB310" s="69"/>
      <c r="AC310" s="70"/>
      <c r="AD310" s="76" t="s">
        <v>18055</v>
      </c>
      <c r="AE310" s="81" t="s">
        <v>18444</v>
      </c>
      <c r="AF310" s="76">
        <v>3390</v>
      </c>
      <c r="AG310" s="76">
        <v>869</v>
      </c>
      <c r="AH310" s="76">
        <v>4527</v>
      </c>
      <c r="AI310" s="76">
        <v>19</v>
      </c>
      <c r="AJ310" s="76">
        <v>10821</v>
      </c>
      <c r="AK310" s="76">
        <v>1819</v>
      </c>
      <c r="AL310" s="76" t="b">
        <v>0</v>
      </c>
      <c r="AM310" s="78">
        <v>41283.501898148148</v>
      </c>
      <c r="AN310" s="76" t="s">
        <v>18668</v>
      </c>
      <c r="AO310" s="76" t="s">
        <v>19047</v>
      </c>
      <c r="AP310" s="83" t="str">
        <f>HYPERLINK("https://t.co/lb92LVLxby")</f>
        <v>https://t.co/lb92LVLxby</v>
      </c>
      <c r="AQ310" s="83" t="str">
        <f>HYPERLINK("http://www.gilvanbueno.com.br")</f>
        <v>http://www.gilvanbueno.com.br</v>
      </c>
      <c r="AR310" s="76" t="s">
        <v>19481</v>
      </c>
      <c r="AS310" s="76"/>
      <c r="AT310" s="76"/>
      <c r="AU310" s="76"/>
      <c r="AV310" s="76">
        <v>1.56277232079551E+18</v>
      </c>
      <c r="AW310" s="83" t="str">
        <f>HYPERLINK("https://t.co/lb92LVLxby")</f>
        <v>https://t.co/lb92LVLxby</v>
      </c>
      <c r="AX310" s="76" t="b">
        <v>1</v>
      </c>
      <c r="AY310" s="76"/>
      <c r="AZ310" s="76"/>
      <c r="BA310" s="76" t="b">
        <v>0</v>
      </c>
      <c r="BB310" s="76" t="b">
        <v>1</v>
      </c>
      <c r="BC310" s="76" t="b">
        <v>1</v>
      </c>
      <c r="BD310" s="76" t="b">
        <v>0</v>
      </c>
      <c r="BE310" s="76" t="b">
        <v>1</v>
      </c>
      <c r="BF310" s="76" t="b">
        <v>0</v>
      </c>
      <c r="BG310" s="76" t="b">
        <v>0</v>
      </c>
      <c r="BH310" s="83" t="str">
        <f>HYPERLINK("https://pbs.twimg.com/profile_banners/1073582198/1630667245")</f>
        <v>https://pbs.twimg.com/profile_banners/1073582198/1630667245</v>
      </c>
      <c r="BI310" s="76"/>
      <c r="BJ310" s="76" t="s">
        <v>19734</v>
      </c>
      <c r="BK310" s="76" t="b">
        <v>0</v>
      </c>
      <c r="BL310" s="76"/>
      <c r="BM310" s="76" t="s">
        <v>66</v>
      </c>
      <c r="BN310" s="76" t="s">
        <v>19736</v>
      </c>
      <c r="BO310" s="83" t="str">
        <f>HYPERLINK("https://twitter.com/buenocosta20")</f>
        <v>https://twitter.com/buenocosta20</v>
      </c>
      <c r="BP310" s="2"/>
    </row>
    <row r="311" spans="1:68" x14ac:dyDescent="0.25">
      <c r="A311" s="62" t="s">
        <v>482</v>
      </c>
      <c r="B311" s="63"/>
      <c r="C311" s="63"/>
      <c r="D311" s="64"/>
      <c r="E311" s="66"/>
      <c r="F311" s="103" t="str">
        <f>HYPERLINK("https://pbs.twimg.com/profile_images/1653841607945334786/FLrjXjIv_normal.jpg")</f>
        <v>https://pbs.twimg.com/profile_images/1653841607945334786/FLrjXjIv_normal.jpg</v>
      </c>
      <c r="G311" s="63"/>
      <c r="H311" s="67"/>
      <c r="I311" s="68"/>
      <c r="J311" s="68"/>
      <c r="K311" s="67" t="s">
        <v>20044</v>
      </c>
      <c r="L311" s="71"/>
      <c r="M311" s="72"/>
      <c r="N311" s="72"/>
      <c r="O311" s="73"/>
      <c r="P311" s="74"/>
      <c r="Q311" s="74"/>
      <c r="R311" s="87"/>
      <c r="S311" s="87"/>
      <c r="T311" s="87"/>
      <c r="U311" s="87"/>
      <c r="V311" s="48"/>
      <c r="W311" s="48"/>
      <c r="X311" s="48"/>
      <c r="Y311" s="48"/>
      <c r="Z311" s="47"/>
      <c r="AA311" s="69">
        <v>311</v>
      </c>
      <c r="AB311" s="69"/>
      <c r="AC311" s="70"/>
      <c r="AD311" s="76" t="s">
        <v>18056</v>
      </c>
      <c r="AE311" s="81" t="s">
        <v>18445</v>
      </c>
      <c r="AF311" s="76">
        <v>79</v>
      </c>
      <c r="AG311" s="76">
        <v>279</v>
      </c>
      <c r="AH311" s="76">
        <v>453</v>
      </c>
      <c r="AI311" s="76">
        <v>0</v>
      </c>
      <c r="AJ311" s="76">
        <v>2091</v>
      </c>
      <c r="AK311" s="76">
        <v>39</v>
      </c>
      <c r="AL311" s="76" t="b">
        <v>0</v>
      </c>
      <c r="AM311" s="78">
        <v>40751.736296296294</v>
      </c>
      <c r="AN311" s="76" t="s">
        <v>18669</v>
      </c>
      <c r="AO311" s="76" t="s">
        <v>19048</v>
      </c>
      <c r="AP311" s="76"/>
      <c r="AQ311" s="76"/>
      <c r="AR311" s="76"/>
      <c r="AS311" s="76"/>
      <c r="AT311" s="76"/>
      <c r="AU311" s="76"/>
      <c r="AV311" s="76"/>
      <c r="AW311" s="76"/>
      <c r="AX311" s="76" t="b">
        <v>0</v>
      </c>
      <c r="AY311" s="76"/>
      <c r="AZ311" s="76"/>
      <c r="BA311" s="76" t="b">
        <v>0</v>
      </c>
      <c r="BB311" s="76" t="b">
        <v>1</v>
      </c>
      <c r="BC311" s="76" t="b">
        <v>1</v>
      </c>
      <c r="BD311" s="76" t="b">
        <v>0</v>
      </c>
      <c r="BE311" s="76" t="b">
        <v>1</v>
      </c>
      <c r="BF311" s="76" t="b">
        <v>0</v>
      </c>
      <c r="BG311" s="76" t="b">
        <v>0</v>
      </c>
      <c r="BH311" s="83" t="str">
        <f>HYPERLINK("https://pbs.twimg.com/profile_banners/343506818/1683141193")</f>
        <v>https://pbs.twimg.com/profile_banners/343506818/1683141193</v>
      </c>
      <c r="BI311" s="76"/>
      <c r="BJ311" s="76" t="s">
        <v>19734</v>
      </c>
      <c r="BK311" s="76" t="b">
        <v>0</v>
      </c>
      <c r="BL311" s="76"/>
      <c r="BM311" s="76" t="s">
        <v>66</v>
      </c>
      <c r="BN311" s="76" t="s">
        <v>19736</v>
      </c>
      <c r="BO311" s="83" t="str">
        <f>HYPERLINK("https://twitter.com/cayocesar89")</f>
        <v>https://twitter.com/cayocesar89</v>
      </c>
      <c r="BP311" s="2"/>
    </row>
    <row r="312" spans="1:68" x14ac:dyDescent="0.25">
      <c r="A312" s="62" t="s">
        <v>483</v>
      </c>
      <c r="B312" s="63"/>
      <c r="C312" s="63"/>
      <c r="D312" s="64"/>
      <c r="E312" s="66"/>
      <c r="F312" s="103" t="str">
        <f>HYPERLINK("https://pbs.twimg.com/profile_images/1680908361997471746/mbPeB0fP_normal.jpg")</f>
        <v>https://pbs.twimg.com/profile_images/1680908361997471746/mbPeB0fP_normal.jpg</v>
      </c>
      <c r="G312" s="63"/>
      <c r="H312" s="67"/>
      <c r="I312" s="68"/>
      <c r="J312" s="68"/>
      <c r="K312" s="67" t="s">
        <v>20045</v>
      </c>
      <c r="L312" s="71"/>
      <c r="M312" s="72"/>
      <c r="N312" s="72"/>
      <c r="O312" s="73"/>
      <c r="P312" s="74"/>
      <c r="Q312" s="74"/>
      <c r="R312" s="87"/>
      <c r="S312" s="87"/>
      <c r="T312" s="87"/>
      <c r="U312" s="87"/>
      <c r="V312" s="48"/>
      <c r="W312" s="48"/>
      <c r="X312" s="48"/>
      <c r="Y312" s="48"/>
      <c r="Z312" s="47"/>
      <c r="AA312" s="69">
        <v>312</v>
      </c>
      <c r="AB312" s="69"/>
      <c r="AC312" s="70"/>
      <c r="AD312" s="76" t="s">
        <v>18057</v>
      </c>
      <c r="AE312" s="81" t="s">
        <v>17575</v>
      </c>
      <c r="AF312" s="76">
        <v>1474</v>
      </c>
      <c r="AG312" s="76">
        <v>2073</v>
      </c>
      <c r="AH312" s="76">
        <v>14791</v>
      </c>
      <c r="AI312" s="76">
        <v>0</v>
      </c>
      <c r="AJ312" s="76">
        <v>49</v>
      </c>
      <c r="AK312" s="76">
        <v>88</v>
      </c>
      <c r="AL312" s="76" t="b">
        <v>0</v>
      </c>
      <c r="AM312" s="78">
        <v>43604.673819444448</v>
      </c>
      <c r="AN312" s="76"/>
      <c r="AO312" s="76" t="s">
        <v>19049</v>
      </c>
      <c r="AP312" s="83" t="str">
        <f>HYPERLINK("https://t.co/HnIu17QmFG")</f>
        <v>https://t.co/HnIu17QmFG</v>
      </c>
      <c r="AQ312" s="83" t="str">
        <f>HYPERLINK("http://www.pensarpiaui.com")</f>
        <v>http://www.pensarpiaui.com</v>
      </c>
      <c r="AR312" s="76" t="s">
        <v>7112</v>
      </c>
      <c r="AS312" s="76"/>
      <c r="AT312" s="76"/>
      <c r="AU312" s="76"/>
      <c r="AV312" s="76">
        <v>1.1307892135726001E+18</v>
      </c>
      <c r="AW312" s="83" t="str">
        <f>HYPERLINK("https://t.co/HnIu17QmFG")</f>
        <v>https://t.co/HnIu17QmFG</v>
      </c>
      <c r="AX312" s="76" t="b">
        <v>0</v>
      </c>
      <c r="AY312" s="76"/>
      <c r="AZ312" s="76"/>
      <c r="BA312" s="76" t="b">
        <v>1</v>
      </c>
      <c r="BB312" s="76" t="b">
        <v>1</v>
      </c>
      <c r="BC312" s="76" t="b">
        <v>1</v>
      </c>
      <c r="BD312" s="76" t="b">
        <v>0</v>
      </c>
      <c r="BE312" s="76" t="b">
        <v>0</v>
      </c>
      <c r="BF312" s="76" t="b">
        <v>0</v>
      </c>
      <c r="BG312" s="76" t="b">
        <v>0</v>
      </c>
      <c r="BH312" s="83" t="str">
        <f>HYPERLINK("https://pbs.twimg.com/profile_banners/1130143652146237440/1689601160")</f>
        <v>https://pbs.twimg.com/profile_banners/1130143652146237440/1689601160</v>
      </c>
      <c r="BI312" s="76"/>
      <c r="BJ312" s="76" t="s">
        <v>19734</v>
      </c>
      <c r="BK312" s="76" t="b">
        <v>0</v>
      </c>
      <c r="BL312" s="76"/>
      <c r="BM312" s="76" t="s">
        <v>66</v>
      </c>
      <c r="BN312" s="76" t="s">
        <v>19736</v>
      </c>
      <c r="BO312" s="83" t="str">
        <f>HYPERLINK("https://twitter.com/pensarpiaui")</f>
        <v>https://twitter.com/pensarpiaui</v>
      </c>
      <c r="BP312" s="2"/>
    </row>
    <row r="313" spans="1:68" x14ac:dyDescent="0.25">
      <c r="A313" s="62" t="s">
        <v>484</v>
      </c>
      <c r="B313" s="63"/>
      <c r="C313" s="63"/>
      <c r="D313" s="64"/>
      <c r="E313" s="66"/>
      <c r="F313" s="103" t="str">
        <f>HYPERLINK("https://pbs.twimg.com/profile_images/1362407924870623232/rrq7HwoE_normal.jpg")</f>
        <v>https://pbs.twimg.com/profile_images/1362407924870623232/rrq7HwoE_normal.jpg</v>
      </c>
      <c r="G313" s="63"/>
      <c r="H313" s="67"/>
      <c r="I313" s="68"/>
      <c r="J313" s="68"/>
      <c r="K313" s="67" t="s">
        <v>20046</v>
      </c>
      <c r="L313" s="71"/>
      <c r="M313" s="72"/>
      <c r="N313" s="72"/>
      <c r="O313" s="73"/>
      <c r="P313" s="74"/>
      <c r="Q313" s="74"/>
      <c r="R313" s="87"/>
      <c r="S313" s="87"/>
      <c r="T313" s="87"/>
      <c r="U313" s="87"/>
      <c r="V313" s="48"/>
      <c r="W313" s="48"/>
      <c r="X313" s="48"/>
      <c r="Y313" s="48"/>
      <c r="Z313" s="47"/>
      <c r="AA313" s="69">
        <v>313</v>
      </c>
      <c r="AB313" s="69"/>
      <c r="AC313" s="70"/>
      <c r="AD313" s="76" t="s">
        <v>18058</v>
      </c>
      <c r="AE313" s="81" t="s">
        <v>17576</v>
      </c>
      <c r="AF313" s="76">
        <v>1156</v>
      </c>
      <c r="AG313" s="76">
        <v>101</v>
      </c>
      <c r="AH313" s="76">
        <v>1190</v>
      </c>
      <c r="AI313" s="76">
        <v>37</v>
      </c>
      <c r="AJ313" s="76">
        <v>79</v>
      </c>
      <c r="AK313" s="76">
        <v>15</v>
      </c>
      <c r="AL313" s="76" t="b">
        <v>0</v>
      </c>
      <c r="AM313" s="78">
        <v>44208.631412037037</v>
      </c>
      <c r="AN313" s="76"/>
      <c r="AO313" s="76" t="s">
        <v>19050</v>
      </c>
      <c r="AP313" s="83" t="str">
        <f>HYPERLINK("https://t.co/tgBg6ppB4v")</f>
        <v>https://t.co/tgBg6ppB4v</v>
      </c>
      <c r="AQ313" s="83" t="str">
        <f>HYPERLINK("http://Pipelinevalor.globo.com")</f>
        <v>http://Pipelinevalor.globo.com</v>
      </c>
      <c r="AR313" s="76" t="s">
        <v>19482</v>
      </c>
      <c r="AS313" s="76"/>
      <c r="AT313" s="76"/>
      <c r="AU313" s="76"/>
      <c r="AV313" s="76"/>
      <c r="AW313" s="83" t="str">
        <f>HYPERLINK("https://t.co/tgBg6ppB4v")</f>
        <v>https://t.co/tgBg6ppB4v</v>
      </c>
      <c r="AX313" s="76" t="b">
        <v>0</v>
      </c>
      <c r="AY313" s="76"/>
      <c r="AZ313" s="76"/>
      <c r="BA313" s="76" t="b">
        <v>0</v>
      </c>
      <c r="BB313" s="76" t="b">
        <v>1</v>
      </c>
      <c r="BC313" s="76" t="b">
        <v>1</v>
      </c>
      <c r="BD313" s="76" t="b">
        <v>0</v>
      </c>
      <c r="BE313" s="76" t="b">
        <v>0</v>
      </c>
      <c r="BF313" s="76" t="b">
        <v>0</v>
      </c>
      <c r="BG313" s="76" t="b">
        <v>0</v>
      </c>
      <c r="BH313" s="83" t="str">
        <f>HYPERLINK("https://pbs.twimg.com/profile_banners/1349010483781709834/1613671174")</f>
        <v>https://pbs.twimg.com/profile_banners/1349010483781709834/1613671174</v>
      </c>
      <c r="BI313" s="76"/>
      <c r="BJ313" s="76" t="s">
        <v>19734</v>
      </c>
      <c r="BK313" s="76" t="b">
        <v>0</v>
      </c>
      <c r="BL313" s="76"/>
      <c r="BM313" s="76" t="s">
        <v>66</v>
      </c>
      <c r="BN313" s="76" t="s">
        <v>19736</v>
      </c>
      <c r="BO313" s="83" t="str">
        <f>HYPERLINK("https://twitter.com/pipelinevalor")</f>
        <v>https://twitter.com/pipelinevalor</v>
      </c>
      <c r="BP313" s="2"/>
    </row>
    <row r="314" spans="1:68" x14ac:dyDescent="0.25">
      <c r="A314" s="62" t="s">
        <v>485</v>
      </c>
      <c r="B314" s="63"/>
      <c r="C314" s="63"/>
      <c r="D314" s="64"/>
      <c r="E314" s="66"/>
      <c r="F314" s="103" t="str">
        <f>HYPERLINK("https://pbs.twimg.com/profile_images/1678539023646597120/QA3ED3j2_normal.jpg")</f>
        <v>https://pbs.twimg.com/profile_images/1678539023646597120/QA3ED3j2_normal.jpg</v>
      </c>
      <c r="G314" s="63"/>
      <c r="H314" s="67"/>
      <c r="I314" s="68"/>
      <c r="J314" s="68"/>
      <c r="K314" s="67" t="s">
        <v>20047</v>
      </c>
      <c r="L314" s="71"/>
      <c r="M314" s="72"/>
      <c r="N314" s="72"/>
      <c r="O314" s="73"/>
      <c r="P314" s="74"/>
      <c r="Q314" s="74"/>
      <c r="R314" s="87"/>
      <c r="S314" s="87"/>
      <c r="T314" s="87"/>
      <c r="U314" s="87"/>
      <c r="V314" s="48"/>
      <c r="W314" s="48"/>
      <c r="X314" s="48"/>
      <c r="Y314" s="48"/>
      <c r="Z314" s="47"/>
      <c r="AA314" s="69">
        <v>314</v>
      </c>
      <c r="AB314" s="69"/>
      <c r="AC314" s="70"/>
      <c r="AD314" s="76" t="s">
        <v>18059</v>
      </c>
      <c r="AE314" s="81" t="s">
        <v>17577</v>
      </c>
      <c r="AF314" s="76">
        <v>3</v>
      </c>
      <c r="AG314" s="76">
        <v>24</v>
      </c>
      <c r="AH314" s="76">
        <v>103</v>
      </c>
      <c r="AI314" s="76">
        <v>0</v>
      </c>
      <c r="AJ314" s="76">
        <v>0</v>
      </c>
      <c r="AK314" s="76">
        <v>9</v>
      </c>
      <c r="AL314" s="76" t="b">
        <v>0</v>
      </c>
      <c r="AM314" s="78">
        <v>44870.634293981479</v>
      </c>
      <c r="AN314" s="76" t="s">
        <v>18565</v>
      </c>
      <c r="AO314" s="76" t="s">
        <v>19051</v>
      </c>
      <c r="AP314" s="83" t="str">
        <f>HYPERLINK("https://t.co/TiWXRJZ7Lw")</f>
        <v>https://t.co/TiWXRJZ7Lw</v>
      </c>
      <c r="AQ314" s="83" t="str">
        <f>HYPERLINK("http://www.instagram.com/r")</f>
        <v>http://www.instagram.com/r</v>
      </c>
      <c r="AR314" s="76" t="s">
        <v>19483</v>
      </c>
      <c r="AS314" s="76"/>
      <c r="AT314" s="76"/>
      <c r="AU314" s="76"/>
      <c r="AV314" s="76"/>
      <c r="AW314" s="83" t="str">
        <f>HYPERLINK("https://t.co/TiWXRJZ7Lw")</f>
        <v>https://t.co/TiWXRJZ7Lw</v>
      </c>
      <c r="AX314" s="76" t="b">
        <v>0</v>
      </c>
      <c r="AY314" s="76"/>
      <c r="AZ314" s="76"/>
      <c r="BA314" s="76" t="b">
        <v>0</v>
      </c>
      <c r="BB314" s="76" t="b">
        <v>1</v>
      </c>
      <c r="BC314" s="76" t="b">
        <v>1</v>
      </c>
      <c r="BD314" s="76" t="b">
        <v>0</v>
      </c>
      <c r="BE314" s="76" t="b">
        <v>0</v>
      </c>
      <c r="BF314" s="76" t="b">
        <v>0</v>
      </c>
      <c r="BG314" s="76" t="b">
        <v>0</v>
      </c>
      <c r="BH314" s="83" t="str">
        <f>HYPERLINK("https://pbs.twimg.com/profile_banners/1588912224625725440/1689029875")</f>
        <v>https://pbs.twimg.com/profile_banners/1588912224625725440/1689029875</v>
      </c>
      <c r="BI314" s="76"/>
      <c r="BJ314" s="76" t="s">
        <v>19734</v>
      </c>
      <c r="BK314" s="76" t="b">
        <v>0</v>
      </c>
      <c r="BL314" s="76"/>
      <c r="BM314" s="76" t="s">
        <v>66</v>
      </c>
      <c r="BN314" s="76" t="s">
        <v>19736</v>
      </c>
      <c r="BO314" s="83" t="str">
        <f>HYPERLINK("https://twitter.com/stigertrodrigo")</f>
        <v>https://twitter.com/stigertrodrigo</v>
      </c>
      <c r="BP314" s="2"/>
    </row>
    <row r="315" spans="1:68" x14ac:dyDescent="0.25">
      <c r="A315" s="62" t="s">
        <v>486</v>
      </c>
      <c r="B315" s="63"/>
      <c r="C315" s="63"/>
      <c r="D315" s="64"/>
      <c r="E315" s="66"/>
      <c r="F315" s="103" t="str">
        <f>HYPERLINK("https://pbs.twimg.com/profile_images/1664096165070028801/PSJeAwx__normal.jpg")</f>
        <v>https://pbs.twimg.com/profile_images/1664096165070028801/PSJeAwx__normal.jpg</v>
      </c>
      <c r="G315" s="63"/>
      <c r="H315" s="67"/>
      <c r="I315" s="68"/>
      <c r="J315" s="68"/>
      <c r="K315" s="67" t="s">
        <v>20048</v>
      </c>
      <c r="L315" s="71"/>
      <c r="M315" s="72"/>
      <c r="N315" s="72"/>
      <c r="O315" s="73"/>
      <c r="P315" s="74"/>
      <c r="Q315" s="74"/>
      <c r="R315" s="87"/>
      <c r="S315" s="87"/>
      <c r="T315" s="87"/>
      <c r="U315" s="87"/>
      <c r="V315" s="48"/>
      <c r="W315" s="48"/>
      <c r="X315" s="48"/>
      <c r="Y315" s="48"/>
      <c r="Z315" s="47"/>
      <c r="AA315" s="69">
        <v>315</v>
      </c>
      <c r="AB315" s="69"/>
      <c r="AC315" s="70"/>
      <c r="AD315" s="76" t="s">
        <v>18060</v>
      </c>
      <c r="AE315" s="81" t="s">
        <v>17578</v>
      </c>
      <c r="AF315" s="76">
        <v>1262</v>
      </c>
      <c r="AG315" s="76">
        <v>30</v>
      </c>
      <c r="AH315" s="76">
        <v>3534</v>
      </c>
      <c r="AI315" s="76">
        <v>2</v>
      </c>
      <c r="AJ315" s="76">
        <v>4</v>
      </c>
      <c r="AK315" s="76">
        <v>1331</v>
      </c>
      <c r="AL315" s="76" t="b">
        <v>0</v>
      </c>
      <c r="AM315" s="78">
        <v>44309.834710648145</v>
      </c>
      <c r="AN315" s="76"/>
      <c r="AO315" s="76" t="s">
        <v>19052</v>
      </c>
      <c r="AP315" s="76"/>
      <c r="AQ315" s="76"/>
      <c r="AR315" s="76"/>
      <c r="AS315" s="76"/>
      <c r="AT315" s="76"/>
      <c r="AU315" s="76"/>
      <c r="AV315" s="76">
        <v>1.6693259074152499E+18</v>
      </c>
      <c r="AW315" s="76"/>
      <c r="AX315" s="76" t="b">
        <v>1</v>
      </c>
      <c r="AY315" s="76"/>
      <c r="AZ315" s="76"/>
      <c r="BA315" s="76" t="b">
        <v>0</v>
      </c>
      <c r="BB315" s="76" t="b">
        <v>0</v>
      </c>
      <c r="BC315" s="76" t="b">
        <v>1</v>
      </c>
      <c r="BD315" s="76" t="b">
        <v>0</v>
      </c>
      <c r="BE315" s="76" t="b">
        <v>0</v>
      </c>
      <c r="BF315" s="76" t="b">
        <v>0</v>
      </c>
      <c r="BG315" s="76" t="b">
        <v>0</v>
      </c>
      <c r="BH315" s="83" t="str">
        <f>HYPERLINK("https://pbs.twimg.com/profile_banners/1385685363952324609/1685586420")</f>
        <v>https://pbs.twimg.com/profile_banners/1385685363952324609/1685586420</v>
      </c>
      <c r="BI315" s="76"/>
      <c r="BJ315" s="76" t="s">
        <v>19734</v>
      </c>
      <c r="BK315" s="76" t="b">
        <v>0</v>
      </c>
      <c r="BL315" s="76"/>
      <c r="BM315" s="76" t="s">
        <v>66</v>
      </c>
      <c r="BN315" s="76" t="s">
        <v>19736</v>
      </c>
      <c r="BO315" s="83" t="str">
        <f>HYPERLINK("https://twitter.com/theinfoveritas")</f>
        <v>https://twitter.com/theinfoveritas</v>
      </c>
      <c r="BP315" s="2"/>
    </row>
    <row r="316" spans="1:68" x14ac:dyDescent="0.25">
      <c r="A316" s="62" t="s">
        <v>487</v>
      </c>
      <c r="B316" s="63"/>
      <c r="C316" s="63"/>
      <c r="D316" s="64"/>
      <c r="E316" s="66"/>
      <c r="F316" s="103" t="str">
        <f>HYPERLINK("https://pbs.twimg.com/profile_images/1594732407848144899/xb1Y4Q8f_normal.jpg")</f>
        <v>https://pbs.twimg.com/profile_images/1594732407848144899/xb1Y4Q8f_normal.jpg</v>
      </c>
      <c r="G316" s="63"/>
      <c r="H316" s="67"/>
      <c r="I316" s="68"/>
      <c r="J316" s="68"/>
      <c r="K316" s="67" t="s">
        <v>20049</v>
      </c>
      <c r="L316" s="71"/>
      <c r="M316" s="72"/>
      <c r="N316" s="72"/>
      <c r="O316" s="73"/>
      <c r="P316" s="74"/>
      <c r="Q316" s="74"/>
      <c r="R316" s="87"/>
      <c r="S316" s="87"/>
      <c r="T316" s="87"/>
      <c r="U316" s="87"/>
      <c r="V316" s="48"/>
      <c r="W316" s="48"/>
      <c r="X316" s="48"/>
      <c r="Y316" s="48"/>
      <c r="Z316" s="47"/>
      <c r="AA316" s="69">
        <v>316</v>
      </c>
      <c r="AB316" s="69"/>
      <c r="AC316" s="70"/>
      <c r="AD316" s="76" t="s">
        <v>8264</v>
      </c>
      <c r="AE316" s="81" t="s">
        <v>18446</v>
      </c>
      <c r="AF316" s="76">
        <v>206597</v>
      </c>
      <c r="AG316" s="76">
        <v>0</v>
      </c>
      <c r="AH316" s="76">
        <v>229516</v>
      </c>
      <c r="AI316" s="76">
        <v>1156</v>
      </c>
      <c r="AJ316" s="76">
        <v>185</v>
      </c>
      <c r="AK316" s="76">
        <v>31918</v>
      </c>
      <c r="AL316" s="76" t="b">
        <v>0</v>
      </c>
      <c r="AM316" s="78">
        <v>39787.005439814813</v>
      </c>
      <c r="AN316" s="76" t="s">
        <v>18670</v>
      </c>
      <c r="AO316" s="76" t="s">
        <v>19053</v>
      </c>
      <c r="AP316" s="83" t="str">
        <f>HYPERLINK("https://t.co/dNAFE3RmU9")</f>
        <v>https://t.co/dNAFE3RmU9</v>
      </c>
      <c r="AQ316" s="83" t="str">
        <f>HYPERLINK("https://www.jornaldenegocios.pt/assinaturas")</f>
        <v>https://www.jornaldenegocios.pt/assinaturas</v>
      </c>
      <c r="AR316" s="76" t="s">
        <v>19484</v>
      </c>
      <c r="AS316" s="76"/>
      <c r="AT316" s="76"/>
      <c r="AU316" s="76"/>
      <c r="AV316" s="76"/>
      <c r="AW316" s="83" t="str">
        <f>HYPERLINK("https://t.co/dNAFE3RmU9")</f>
        <v>https://t.co/dNAFE3RmU9</v>
      </c>
      <c r="AX316" s="76" t="b">
        <v>0</v>
      </c>
      <c r="AY316" s="76"/>
      <c r="AZ316" s="76"/>
      <c r="BA316" s="76" t="b">
        <v>1</v>
      </c>
      <c r="BB316" s="76" t="b">
        <v>1</v>
      </c>
      <c r="BC316" s="76" t="b">
        <v>0</v>
      </c>
      <c r="BD316" s="76" t="b">
        <v>0</v>
      </c>
      <c r="BE316" s="76" t="b">
        <v>1</v>
      </c>
      <c r="BF316" s="76" t="b">
        <v>0</v>
      </c>
      <c r="BG316" s="76" t="b">
        <v>0</v>
      </c>
      <c r="BH316" s="83" t="str">
        <f>HYPERLINK("https://pbs.twimg.com/profile_banners/17884125/1452188020")</f>
        <v>https://pbs.twimg.com/profile_banners/17884125/1452188020</v>
      </c>
      <c r="BI316" s="76"/>
      <c r="BJ316" s="76" t="s">
        <v>19734</v>
      </c>
      <c r="BK316" s="76" t="b">
        <v>0</v>
      </c>
      <c r="BL316" s="76"/>
      <c r="BM316" s="76" t="s">
        <v>66</v>
      </c>
      <c r="BN316" s="76" t="s">
        <v>19736</v>
      </c>
      <c r="BO316" s="83" t="str">
        <f>HYPERLINK("https://twitter.com/jnegocios")</f>
        <v>https://twitter.com/jnegocios</v>
      </c>
      <c r="BP316" s="2"/>
    </row>
    <row r="317" spans="1:68" x14ac:dyDescent="0.25">
      <c r="A317" s="62" t="s">
        <v>488</v>
      </c>
      <c r="B317" s="63"/>
      <c r="C317" s="63"/>
      <c r="D317" s="64"/>
      <c r="E317" s="66"/>
      <c r="F317" s="103" t="str">
        <f>HYPERLINK("https://pbs.twimg.com/profile_images/1494034280338571265/5HQ_Gu6j_normal.jpg")</f>
        <v>https://pbs.twimg.com/profile_images/1494034280338571265/5HQ_Gu6j_normal.jpg</v>
      </c>
      <c r="G317" s="63"/>
      <c r="H317" s="67"/>
      <c r="I317" s="68"/>
      <c r="J317" s="68"/>
      <c r="K317" s="67" t="s">
        <v>20050</v>
      </c>
      <c r="L317" s="71"/>
      <c r="M317" s="72"/>
      <c r="N317" s="72"/>
      <c r="O317" s="73"/>
      <c r="P317" s="74"/>
      <c r="Q317" s="74"/>
      <c r="R317" s="87"/>
      <c r="S317" s="87"/>
      <c r="T317" s="87"/>
      <c r="U317" s="87"/>
      <c r="V317" s="48"/>
      <c r="W317" s="48"/>
      <c r="X317" s="48"/>
      <c r="Y317" s="48"/>
      <c r="Z317" s="47"/>
      <c r="AA317" s="69">
        <v>317</v>
      </c>
      <c r="AB317" s="69"/>
      <c r="AC317" s="70"/>
      <c r="AD317" s="76" t="s">
        <v>18061</v>
      </c>
      <c r="AE317" s="81" t="s">
        <v>17579</v>
      </c>
      <c r="AF317" s="76">
        <v>41</v>
      </c>
      <c r="AG317" s="76">
        <v>95</v>
      </c>
      <c r="AH317" s="76">
        <v>2247</v>
      </c>
      <c r="AI317" s="76">
        <v>0</v>
      </c>
      <c r="AJ317" s="76">
        <v>677</v>
      </c>
      <c r="AK317" s="76">
        <v>50</v>
      </c>
      <c r="AL317" s="76" t="b">
        <v>0</v>
      </c>
      <c r="AM317" s="78">
        <v>44608.8202662037</v>
      </c>
      <c r="AN317" s="76" t="s">
        <v>18671</v>
      </c>
      <c r="AO317" s="76" t="s">
        <v>19054</v>
      </c>
      <c r="AP317" s="83" t="str">
        <f>HYPERLINK("https://t.co/yIPLP8RErk")</f>
        <v>https://t.co/yIPLP8RErk</v>
      </c>
      <c r="AQ317" s="83" t="str">
        <f>HYPERLINK("https://linktr.ee/caminhodoinvestimento")</f>
        <v>https://linktr.ee/caminhodoinvestimento</v>
      </c>
      <c r="AR317" s="76" t="s">
        <v>19485</v>
      </c>
      <c r="AS317" s="76"/>
      <c r="AT317" s="76"/>
      <c r="AU317" s="76"/>
      <c r="AV317" s="76"/>
      <c r="AW317" s="83" t="str">
        <f>HYPERLINK("https://t.co/yIPLP8RErk")</f>
        <v>https://t.co/yIPLP8RErk</v>
      </c>
      <c r="AX317" s="76" t="b">
        <v>0</v>
      </c>
      <c r="AY317" s="76"/>
      <c r="AZ317" s="76"/>
      <c r="BA317" s="76" t="b">
        <v>0</v>
      </c>
      <c r="BB317" s="76" t="b">
        <v>1</v>
      </c>
      <c r="BC317" s="76" t="b">
        <v>1</v>
      </c>
      <c r="BD317" s="76" t="b">
        <v>0</v>
      </c>
      <c r="BE317" s="76" t="b">
        <v>1</v>
      </c>
      <c r="BF317" s="76" t="b">
        <v>0</v>
      </c>
      <c r="BG317" s="76" t="b">
        <v>0</v>
      </c>
      <c r="BH317" s="83" t="str">
        <f>HYPERLINK("https://pbs.twimg.com/profile_banners/1494033577427849218/1646679519")</f>
        <v>https://pbs.twimg.com/profile_banners/1494033577427849218/1646679519</v>
      </c>
      <c r="BI317" s="76"/>
      <c r="BJ317" s="76" t="s">
        <v>19734</v>
      </c>
      <c r="BK317" s="76" t="b">
        <v>0</v>
      </c>
      <c r="BL317" s="76"/>
      <c r="BM317" s="76" t="s">
        <v>66</v>
      </c>
      <c r="BN317" s="76" t="s">
        <v>19736</v>
      </c>
      <c r="BO317" s="83" t="str">
        <f>HYPERLINK("https://twitter.com/caminhodoinves1")</f>
        <v>https://twitter.com/caminhodoinves1</v>
      </c>
      <c r="BP317" s="2"/>
    </row>
    <row r="318" spans="1:68" x14ac:dyDescent="0.25">
      <c r="A318" s="62" t="s">
        <v>588</v>
      </c>
      <c r="B318" s="63"/>
      <c r="C318" s="63"/>
      <c r="D318" s="64"/>
      <c r="E318" s="66"/>
      <c r="F318" s="103" t="str">
        <f>HYPERLINK("https://pbs.twimg.com/profile_images/1699863400589787136/ty8wmwcC_normal.jpg")</f>
        <v>https://pbs.twimg.com/profile_images/1699863400589787136/ty8wmwcC_normal.jpg</v>
      </c>
      <c r="G318" s="63"/>
      <c r="H318" s="67"/>
      <c r="I318" s="68"/>
      <c r="J318" s="68"/>
      <c r="K318" s="67" t="s">
        <v>20051</v>
      </c>
      <c r="L318" s="71"/>
      <c r="M318" s="72"/>
      <c r="N318" s="72"/>
      <c r="O318" s="73"/>
      <c r="P318" s="74"/>
      <c r="Q318" s="74"/>
      <c r="R318" s="87"/>
      <c r="S318" s="87"/>
      <c r="T318" s="87"/>
      <c r="U318" s="87"/>
      <c r="V318" s="48"/>
      <c r="W318" s="48"/>
      <c r="X318" s="48"/>
      <c r="Y318" s="48"/>
      <c r="Z318" s="47"/>
      <c r="AA318" s="69">
        <v>318</v>
      </c>
      <c r="AB318" s="69"/>
      <c r="AC318" s="70"/>
      <c r="AD318" s="76" t="s">
        <v>18062</v>
      </c>
      <c r="AE318" s="81" t="s">
        <v>18447</v>
      </c>
      <c r="AF318" s="76">
        <v>96308</v>
      </c>
      <c r="AG318" s="76">
        <v>1192</v>
      </c>
      <c r="AH318" s="76">
        <v>22072</v>
      </c>
      <c r="AI318" s="76">
        <v>1450</v>
      </c>
      <c r="AJ318" s="76">
        <v>30924</v>
      </c>
      <c r="AK318" s="76">
        <v>1607</v>
      </c>
      <c r="AL318" s="76" t="b">
        <v>0</v>
      </c>
      <c r="AM318" s="78">
        <v>40667.662870370368</v>
      </c>
      <c r="AN318" s="76" t="s">
        <v>18672</v>
      </c>
      <c r="AO318" s="76" t="s">
        <v>19055</v>
      </c>
      <c r="AP318" s="83" t="str">
        <f>HYPERLINK("https://t.co/PI1CEhhJkj")</f>
        <v>https://t.co/PI1CEhhJkj</v>
      </c>
      <c r="AQ318" s="83" t="str">
        <f>HYPERLINK("https://gritcap.io/")</f>
        <v>https://gritcap.io/</v>
      </c>
      <c r="AR318" s="76" t="s">
        <v>19486</v>
      </c>
      <c r="AS318" s="76"/>
      <c r="AT318" s="76"/>
      <c r="AU318" s="76"/>
      <c r="AV318" s="76">
        <v>1.68611486879599E+18</v>
      </c>
      <c r="AW318" s="83" t="str">
        <f>HYPERLINK("https://t.co/PI1CEhhJkj")</f>
        <v>https://t.co/PI1CEhhJkj</v>
      </c>
      <c r="AX318" s="76" t="b">
        <v>1</v>
      </c>
      <c r="AY318" s="76"/>
      <c r="AZ318" s="76"/>
      <c r="BA318" s="76" t="b">
        <v>1</v>
      </c>
      <c r="BB318" s="76" t="b">
        <v>0</v>
      </c>
      <c r="BC318" s="76" t="b">
        <v>1</v>
      </c>
      <c r="BD318" s="76" t="b">
        <v>0</v>
      </c>
      <c r="BE318" s="76" t="b">
        <v>1</v>
      </c>
      <c r="BF318" s="76" t="b">
        <v>0</v>
      </c>
      <c r="BG318" s="76" t="b">
        <v>0</v>
      </c>
      <c r="BH318" s="83" t="str">
        <f>HYPERLINK("https://pbs.twimg.com/profile_banners/292998364/1645405700")</f>
        <v>https://pbs.twimg.com/profile_banners/292998364/1645405700</v>
      </c>
      <c r="BI318" s="76"/>
      <c r="BJ318" s="76" t="s">
        <v>19734</v>
      </c>
      <c r="BK318" s="76" t="b">
        <v>0</v>
      </c>
      <c r="BL318" s="76"/>
      <c r="BM318" s="76" t="s">
        <v>66</v>
      </c>
      <c r="BN318" s="76" t="s">
        <v>19736</v>
      </c>
      <c r="BO318" s="83" t="str">
        <f>HYPERLINK("https://twitter.com/investmattallen")</f>
        <v>https://twitter.com/investmattallen</v>
      </c>
      <c r="BP318" s="2"/>
    </row>
    <row r="319" spans="1:68" x14ac:dyDescent="0.25">
      <c r="A319" s="62" t="s">
        <v>489</v>
      </c>
      <c r="B319" s="63"/>
      <c r="C319" s="63"/>
      <c r="D319" s="64"/>
      <c r="E319" s="66"/>
      <c r="F319" s="103" t="str">
        <f>HYPERLINK("https://pbs.twimg.com/profile_images/1663892931973898241/ujrMdnIE_normal.jpg")</f>
        <v>https://pbs.twimg.com/profile_images/1663892931973898241/ujrMdnIE_normal.jpg</v>
      </c>
      <c r="G319" s="63"/>
      <c r="H319" s="67"/>
      <c r="I319" s="68"/>
      <c r="J319" s="68"/>
      <c r="K319" s="67" t="s">
        <v>20052</v>
      </c>
      <c r="L319" s="71"/>
      <c r="M319" s="72"/>
      <c r="N319" s="72"/>
      <c r="O319" s="73"/>
      <c r="P319" s="74"/>
      <c r="Q319" s="74"/>
      <c r="R319" s="87"/>
      <c r="S319" s="87"/>
      <c r="T319" s="87"/>
      <c r="U319" s="87"/>
      <c r="V319" s="48"/>
      <c r="W319" s="48"/>
      <c r="X319" s="48"/>
      <c r="Y319" s="48"/>
      <c r="Z319" s="47"/>
      <c r="AA319" s="69">
        <v>319</v>
      </c>
      <c r="AB319" s="69"/>
      <c r="AC319" s="70"/>
      <c r="AD319" s="76" t="s">
        <v>18063</v>
      </c>
      <c r="AE319" s="81" t="s">
        <v>17580</v>
      </c>
      <c r="AF319" s="76">
        <v>94</v>
      </c>
      <c r="AG319" s="76">
        <v>996</v>
      </c>
      <c r="AH319" s="76">
        <v>143</v>
      </c>
      <c r="AI319" s="76">
        <v>0</v>
      </c>
      <c r="AJ319" s="76">
        <v>16</v>
      </c>
      <c r="AK319" s="76">
        <v>4</v>
      </c>
      <c r="AL319" s="76" t="b">
        <v>0</v>
      </c>
      <c r="AM319" s="78">
        <v>44861.532430555555</v>
      </c>
      <c r="AN319" s="76"/>
      <c r="AO319" s="76" t="s">
        <v>19056</v>
      </c>
      <c r="AP319" s="83" t="str">
        <f>HYPERLINK("https://t.co/bkxITT2HwB")</f>
        <v>https://t.co/bkxITT2HwB</v>
      </c>
      <c r="AQ319" s="83" t="str">
        <f>HYPERLINK("https://ionited.io")</f>
        <v>https://ionited.io</v>
      </c>
      <c r="AR319" s="76" t="s">
        <v>19487</v>
      </c>
      <c r="AS319" s="76"/>
      <c r="AT319" s="76"/>
      <c r="AU319" s="76"/>
      <c r="AV319" s="76">
        <v>1.6995409581848699E+18</v>
      </c>
      <c r="AW319" s="83" t="str">
        <f>HYPERLINK("https://t.co/bkxITT2HwB")</f>
        <v>https://t.co/bkxITT2HwB</v>
      </c>
      <c r="AX319" s="76" t="b">
        <v>0</v>
      </c>
      <c r="AY319" s="76"/>
      <c r="AZ319" s="76"/>
      <c r="BA319" s="76" t="b">
        <v>0</v>
      </c>
      <c r="BB319" s="76" t="b">
        <v>1</v>
      </c>
      <c r="BC319" s="76" t="b">
        <v>1</v>
      </c>
      <c r="BD319" s="76" t="b">
        <v>0</v>
      </c>
      <c r="BE319" s="76" t="b">
        <v>0</v>
      </c>
      <c r="BF319" s="76" t="b">
        <v>0</v>
      </c>
      <c r="BG319" s="76" t="b">
        <v>0</v>
      </c>
      <c r="BH319" s="76"/>
      <c r="BI319" s="76"/>
      <c r="BJ319" s="76" t="s">
        <v>19734</v>
      </c>
      <c r="BK319" s="76" t="b">
        <v>0</v>
      </c>
      <c r="BL319" s="76"/>
      <c r="BM319" s="76" t="s">
        <v>66</v>
      </c>
      <c r="BN319" s="76" t="s">
        <v>19736</v>
      </c>
      <c r="BO319" s="83" t="str">
        <f>HYPERLINK("https://twitter.com/ionited_io")</f>
        <v>https://twitter.com/ionited_io</v>
      </c>
      <c r="BP319" s="2"/>
    </row>
    <row r="320" spans="1:68" x14ac:dyDescent="0.25">
      <c r="A320" s="62" t="s">
        <v>490</v>
      </c>
      <c r="B320" s="63"/>
      <c r="C320" s="63"/>
      <c r="D320" s="64"/>
      <c r="E320" s="66"/>
      <c r="F320" s="103" t="str">
        <f>HYPERLINK("https://pbs.twimg.com/profile_images/1688988152566816768/bhlqRTy1_normal.jpg")</f>
        <v>https://pbs.twimg.com/profile_images/1688988152566816768/bhlqRTy1_normal.jpg</v>
      </c>
      <c r="G320" s="63"/>
      <c r="H320" s="67"/>
      <c r="I320" s="68"/>
      <c r="J320" s="68"/>
      <c r="K320" s="67" t="s">
        <v>20053</v>
      </c>
      <c r="L320" s="71"/>
      <c r="M320" s="72"/>
      <c r="N320" s="72"/>
      <c r="O320" s="73"/>
      <c r="P320" s="74"/>
      <c r="Q320" s="74"/>
      <c r="R320" s="87"/>
      <c r="S320" s="87"/>
      <c r="T320" s="87"/>
      <c r="U320" s="87"/>
      <c r="V320" s="48"/>
      <c r="W320" s="48"/>
      <c r="X320" s="48"/>
      <c r="Y320" s="48"/>
      <c r="Z320" s="47"/>
      <c r="AA320" s="69">
        <v>320</v>
      </c>
      <c r="AB320" s="69"/>
      <c r="AC320" s="70"/>
      <c r="AD320" s="76" t="s">
        <v>18064</v>
      </c>
      <c r="AE320" s="81" t="s">
        <v>17581</v>
      </c>
      <c r="AF320" s="76">
        <v>157</v>
      </c>
      <c r="AG320" s="76">
        <v>113</v>
      </c>
      <c r="AH320" s="76">
        <v>231</v>
      </c>
      <c r="AI320" s="76">
        <v>1</v>
      </c>
      <c r="AJ320" s="76">
        <v>913</v>
      </c>
      <c r="AK320" s="76">
        <v>28</v>
      </c>
      <c r="AL320" s="76" t="b">
        <v>0</v>
      </c>
      <c r="AM320" s="78">
        <v>43289.514652777776</v>
      </c>
      <c r="AN320" s="76" t="s">
        <v>12009</v>
      </c>
      <c r="AO320" s="76" t="s">
        <v>19057</v>
      </c>
      <c r="AP320" s="76"/>
      <c r="AQ320" s="76"/>
      <c r="AR320" s="76"/>
      <c r="AS320" s="76"/>
      <c r="AT320" s="76"/>
      <c r="AU320" s="76"/>
      <c r="AV320" s="76"/>
      <c r="AW320" s="76"/>
      <c r="AX320" s="76" t="b">
        <v>1</v>
      </c>
      <c r="AY320" s="76"/>
      <c r="AZ320" s="76"/>
      <c r="BA320" s="76" t="b">
        <v>0</v>
      </c>
      <c r="BB320" s="76" t="b">
        <v>1</v>
      </c>
      <c r="BC320" s="76" t="b">
        <v>1</v>
      </c>
      <c r="BD320" s="76" t="b">
        <v>0</v>
      </c>
      <c r="BE320" s="76" t="b">
        <v>0</v>
      </c>
      <c r="BF320" s="76" t="b">
        <v>0</v>
      </c>
      <c r="BG320" s="76" t="b">
        <v>0</v>
      </c>
      <c r="BH320" s="83" t="str">
        <f>HYPERLINK("https://pbs.twimg.com/profile_banners/1015933795629821954/1691585851")</f>
        <v>https://pbs.twimg.com/profile_banners/1015933795629821954/1691585851</v>
      </c>
      <c r="BI320" s="76"/>
      <c r="BJ320" s="76" t="s">
        <v>19734</v>
      </c>
      <c r="BK320" s="76" t="b">
        <v>0</v>
      </c>
      <c r="BL320" s="76"/>
      <c r="BM320" s="76" t="s">
        <v>66</v>
      </c>
      <c r="BN320" s="76" t="s">
        <v>19736</v>
      </c>
      <c r="BO320" s="83" t="str">
        <f>HYPERLINK("https://twitter.com/ricsantosesilva")</f>
        <v>https://twitter.com/ricsantosesilva</v>
      </c>
      <c r="BP320" s="2"/>
    </row>
    <row r="321" spans="1:68" x14ac:dyDescent="0.25">
      <c r="A321" s="62" t="s">
        <v>491</v>
      </c>
      <c r="B321" s="63"/>
      <c r="C321" s="63"/>
      <c r="D321" s="64"/>
      <c r="E321" s="66"/>
      <c r="F321" s="103" t="str">
        <f>HYPERLINK("https://pbs.twimg.com/profile_images/1497629475445555204/cAyqnNO-_normal.jpg")</f>
        <v>https://pbs.twimg.com/profile_images/1497629475445555204/cAyqnNO-_normal.jpg</v>
      </c>
      <c r="G321" s="63"/>
      <c r="H321" s="67"/>
      <c r="I321" s="68"/>
      <c r="J321" s="68"/>
      <c r="K321" s="67" t="s">
        <v>20054</v>
      </c>
      <c r="L321" s="71"/>
      <c r="M321" s="72"/>
      <c r="N321" s="72"/>
      <c r="O321" s="73"/>
      <c r="P321" s="74"/>
      <c r="Q321" s="74"/>
      <c r="R321" s="87"/>
      <c r="S321" s="87"/>
      <c r="T321" s="87"/>
      <c r="U321" s="87"/>
      <c r="V321" s="48"/>
      <c r="W321" s="48"/>
      <c r="X321" s="48"/>
      <c r="Y321" s="48"/>
      <c r="Z321" s="47"/>
      <c r="AA321" s="69">
        <v>321</v>
      </c>
      <c r="AB321" s="69"/>
      <c r="AC321" s="70"/>
      <c r="AD321" s="76" t="s">
        <v>18065</v>
      </c>
      <c r="AE321" s="81" t="s">
        <v>18448</v>
      </c>
      <c r="AF321" s="76">
        <v>103</v>
      </c>
      <c r="AG321" s="76">
        <v>296</v>
      </c>
      <c r="AH321" s="76">
        <v>1238</v>
      </c>
      <c r="AI321" s="76">
        <v>1</v>
      </c>
      <c r="AJ321" s="76">
        <v>3183</v>
      </c>
      <c r="AK321" s="76">
        <v>391</v>
      </c>
      <c r="AL321" s="76" t="b">
        <v>0</v>
      </c>
      <c r="AM321" s="78">
        <v>42263.196469907409</v>
      </c>
      <c r="AN321" s="76" t="s">
        <v>12007</v>
      </c>
      <c r="AO321" s="76" t="s">
        <v>19058</v>
      </c>
      <c r="AP321" s="76"/>
      <c r="AQ321" s="76"/>
      <c r="AR321" s="76"/>
      <c r="AS321" s="76"/>
      <c r="AT321" s="76"/>
      <c r="AU321" s="76"/>
      <c r="AV321" s="76">
        <v>1.61330185594929E+18</v>
      </c>
      <c r="AW321" s="76"/>
      <c r="AX321" s="76" t="b">
        <v>0</v>
      </c>
      <c r="AY321" s="76"/>
      <c r="AZ321" s="76"/>
      <c r="BA321" s="76" t="b">
        <v>0</v>
      </c>
      <c r="BB321" s="76" t="b">
        <v>0</v>
      </c>
      <c r="BC321" s="76" t="b">
        <v>1</v>
      </c>
      <c r="BD321" s="76" t="b">
        <v>0</v>
      </c>
      <c r="BE321" s="76" t="b">
        <v>1</v>
      </c>
      <c r="BF321" s="76" t="b">
        <v>0</v>
      </c>
      <c r="BG321" s="76" t="b">
        <v>0</v>
      </c>
      <c r="BH321" s="83" t="str">
        <f>HYPERLINK("https://pbs.twimg.com/profile_banners/3671199437/1645897677")</f>
        <v>https://pbs.twimg.com/profile_banners/3671199437/1645897677</v>
      </c>
      <c r="BI321" s="76"/>
      <c r="BJ321" s="76" t="s">
        <v>19734</v>
      </c>
      <c r="BK321" s="76" t="b">
        <v>0</v>
      </c>
      <c r="BL321" s="76"/>
      <c r="BM321" s="76" t="s">
        <v>66</v>
      </c>
      <c r="BN321" s="76" t="s">
        <v>19736</v>
      </c>
      <c r="BO321" s="83" t="str">
        <f>HYPERLINK("https://twitter.com/rodrigofv")</f>
        <v>https://twitter.com/rodrigofv</v>
      </c>
      <c r="BP321" s="2"/>
    </row>
    <row r="322" spans="1:68" x14ac:dyDescent="0.25">
      <c r="A322" s="62" t="s">
        <v>492</v>
      </c>
      <c r="B322" s="63"/>
      <c r="C322" s="63"/>
      <c r="D322" s="64"/>
      <c r="E322" s="66"/>
      <c r="F322" s="103" t="str">
        <f>HYPERLINK("https://pbs.twimg.com/profile_images/1668391532842434561/lx4cSEUa_normal.png")</f>
        <v>https://pbs.twimg.com/profile_images/1668391532842434561/lx4cSEUa_normal.png</v>
      </c>
      <c r="G322" s="63"/>
      <c r="H322" s="67"/>
      <c r="I322" s="68"/>
      <c r="J322" s="68"/>
      <c r="K322" s="67" t="s">
        <v>20055</v>
      </c>
      <c r="L322" s="71"/>
      <c r="M322" s="72"/>
      <c r="N322" s="72"/>
      <c r="O322" s="73"/>
      <c r="P322" s="74"/>
      <c r="Q322" s="74"/>
      <c r="R322" s="87"/>
      <c r="S322" s="87"/>
      <c r="T322" s="87"/>
      <c r="U322" s="87"/>
      <c r="V322" s="48"/>
      <c r="W322" s="48"/>
      <c r="X322" s="48"/>
      <c r="Y322" s="48"/>
      <c r="Z322" s="47"/>
      <c r="AA322" s="69">
        <v>322</v>
      </c>
      <c r="AB322" s="69"/>
      <c r="AC322" s="70"/>
      <c r="AD322" s="76" t="s">
        <v>18066</v>
      </c>
      <c r="AE322" s="81" t="s">
        <v>17582</v>
      </c>
      <c r="AF322" s="76">
        <v>2</v>
      </c>
      <c r="AG322" s="76">
        <v>26</v>
      </c>
      <c r="AH322" s="76">
        <v>248</v>
      </c>
      <c r="AI322" s="76">
        <v>0</v>
      </c>
      <c r="AJ322" s="76">
        <v>3</v>
      </c>
      <c r="AK322" s="76">
        <v>248</v>
      </c>
      <c r="AL322" s="76" t="b">
        <v>0</v>
      </c>
      <c r="AM322" s="78">
        <v>45089.955000000002</v>
      </c>
      <c r="AN322" s="76"/>
      <c r="AO322" s="76"/>
      <c r="AP322" s="76"/>
      <c r="AQ322" s="76"/>
      <c r="AR322" s="76"/>
      <c r="AS322" s="76"/>
      <c r="AT322" s="76"/>
      <c r="AU322" s="76"/>
      <c r="AV322" s="76"/>
      <c r="AW322" s="76"/>
      <c r="AX322" s="76" t="b">
        <v>0</v>
      </c>
      <c r="AY322" s="76"/>
      <c r="AZ322" s="76"/>
      <c r="BA322" s="76" t="b">
        <v>0</v>
      </c>
      <c r="BB322" s="76" t="b">
        <v>1</v>
      </c>
      <c r="BC322" s="76" t="b">
        <v>1</v>
      </c>
      <c r="BD322" s="76" t="b">
        <v>0</v>
      </c>
      <c r="BE322" s="76" t="b">
        <v>0</v>
      </c>
      <c r="BF322" s="76" t="b">
        <v>0</v>
      </c>
      <c r="BG322" s="76" t="b">
        <v>0</v>
      </c>
      <c r="BH322" s="76"/>
      <c r="BI322" s="76"/>
      <c r="BJ322" s="76" t="s">
        <v>19734</v>
      </c>
      <c r="BK322" s="76" t="b">
        <v>0</v>
      </c>
      <c r="BL322" s="76"/>
      <c r="BM322" s="76" t="s">
        <v>66</v>
      </c>
      <c r="BN322" s="76" t="s">
        <v>19736</v>
      </c>
      <c r="BO322" s="83" t="str">
        <f>HYPERLINK("https://twitter.com/flaviosouza2810")</f>
        <v>https://twitter.com/flaviosouza2810</v>
      </c>
      <c r="BP322" s="2"/>
    </row>
    <row r="323" spans="1:68" x14ac:dyDescent="0.25">
      <c r="A323" s="62" t="s">
        <v>493</v>
      </c>
      <c r="B323" s="63"/>
      <c r="C323" s="63"/>
      <c r="D323" s="64"/>
      <c r="E323" s="66"/>
      <c r="F323" s="103" t="str">
        <f>HYPERLINK("https://pbs.twimg.com/profile_images/1675869103095939073/wqpQkXlv_normal.jpg")</f>
        <v>https://pbs.twimg.com/profile_images/1675869103095939073/wqpQkXlv_normal.jpg</v>
      </c>
      <c r="G323" s="63"/>
      <c r="H323" s="67"/>
      <c r="I323" s="68"/>
      <c r="J323" s="68"/>
      <c r="K323" s="67" t="s">
        <v>20056</v>
      </c>
      <c r="L323" s="71"/>
      <c r="M323" s="72"/>
      <c r="N323" s="72"/>
      <c r="O323" s="73"/>
      <c r="P323" s="74"/>
      <c r="Q323" s="74"/>
      <c r="R323" s="87"/>
      <c r="S323" s="87"/>
      <c r="T323" s="87"/>
      <c r="U323" s="87"/>
      <c r="V323" s="48"/>
      <c r="W323" s="48"/>
      <c r="X323" s="48"/>
      <c r="Y323" s="48"/>
      <c r="Z323" s="47"/>
      <c r="AA323" s="69">
        <v>323</v>
      </c>
      <c r="AB323" s="69"/>
      <c r="AC323" s="70"/>
      <c r="AD323" s="76" t="s">
        <v>18067</v>
      </c>
      <c r="AE323" s="81" t="s">
        <v>18449</v>
      </c>
      <c r="AF323" s="76">
        <v>8573</v>
      </c>
      <c r="AG323" s="76">
        <v>5039</v>
      </c>
      <c r="AH323" s="76">
        <v>47416</v>
      </c>
      <c r="AI323" s="76">
        <v>243</v>
      </c>
      <c r="AJ323" s="76">
        <v>58</v>
      </c>
      <c r="AK323" s="76">
        <v>31428</v>
      </c>
      <c r="AL323" s="76" t="b">
        <v>0</v>
      </c>
      <c r="AM323" s="78">
        <v>40316.72761574074</v>
      </c>
      <c r="AN323" s="76" t="s">
        <v>18673</v>
      </c>
      <c r="AO323" s="76" t="s">
        <v>19059</v>
      </c>
      <c r="AP323" s="83" t="str">
        <f>HYPERLINK("https://t.co/86atz7jUf3")</f>
        <v>https://t.co/86atz7jUf3</v>
      </c>
      <c r="AQ323" s="83" t="str">
        <f>HYPERLINK("https://escoladeoperadores.com.br/")</f>
        <v>https://escoladeoperadores.com.br/</v>
      </c>
      <c r="AR323" s="76" t="s">
        <v>19488</v>
      </c>
      <c r="AS323" s="76"/>
      <c r="AT323" s="76"/>
      <c r="AU323" s="76"/>
      <c r="AV323" s="76"/>
      <c r="AW323" s="83" t="str">
        <f>HYPERLINK("https://t.co/86atz7jUf3")</f>
        <v>https://t.co/86atz7jUf3</v>
      </c>
      <c r="AX323" s="76" t="b">
        <v>0</v>
      </c>
      <c r="AY323" s="76"/>
      <c r="AZ323" s="76"/>
      <c r="BA323" s="76" t="b">
        <v>0</v>
      </c>
      <c r="BB323" s="76" t="b">
        <v>1</v>
      </c>
      <c r="BC323" s="76" t="b">
        <v>0</v>
      </c>
      <c r="BD323" s="76" t="b">
        <v>0</v>
      </c>
      <c r="BE323" s="76" t="b">
        <v>0</v>
      </c>
      <c r="BF323" s="76" t="b">
        <v>0</v>
      </c>
      <c r="BG323" s="76" t="b">
        <v>0</v>
      </c>
      <c r="BH323" s="83" t="str">
        <f>HYPERLINK("https://pbs.twimg.com/profile_banners/145317578/1427507507")</f>
        <v>https://pbs.twimg.com/profile_banners/145317578/1427507507</v>
      </c>
      <c r="BI323" s="76"/>
      <c r="BJ323" s="76" t="s">
        <v>19734</v>
      </c>
      <c r="BK323" s="76" t="b">
        <v>0</v>
      </c>
      <c r="BL323" s="76"/>
      <c r="BM323" s="76" t="s">
        <v>66</v>
      </c>
      <c r="BN323" s="76" t="s">
        <v>19736</v>
      </c>
      <c r="BO323" s="83" t="str">
        <f>HYPERLINK("https://twitter.com/operadoresbr")</f>
        <v>https://twitter.com/operadoresbr</v>
      </c>
      <c r="BP323" s="2"/>
    </row>
    <row r="324" spans="1:68" x14ac:dyDescent="0.25">
      <c r="A324" s="62" t="s">
        <v>494</v>
      </c>
      <c r="B324" s="63"/>
      <c r="C324" s="63"/>
      <c r="D324" s="64"/>
      <c r="E324" s="66"/>
      <c r="F324" s="103" t="str">
        <f>HYPERLINK("https://pbs.twimg.com/profile_images/1418198910791610370/mV5TwRwZ_normal.jpg")</f>
        <v>https://pbs.twimg.com/profile_images/1418198910791610370/mV5TwRwZ_normal.jpg</v>
      </c>
      <c r="G324" s="63"/>
      <c r="H324" s="67"/>
      <c r="I324" s="68"/>
      <c r="J324" s="68"/>
      <c r="K324" s="67" t="s">
        <v>20057</v>
      </c>
      <c r="L324" s="71"/>
      <c r="M324" s="72"/>
      <c r="N324" s="72"/>
      <c r="O324" s="73"/>
      <c r="P324" s="74"/>
      <c r="Q324" s="74"/>
      <c r="R324" s="87"/>
      <c r="S324" s="87"/>
      <c r="T324" s="87"/>
      <c r="U324" s="87"/>
      <c r="V324" s="48"/>
      <c r="W324" s="48"/>
      <c r="X324" s="48"/>
      <c r="Y324" s="48"/>
      <c r="Z324" s="47"/>
      <c r="AA324" s="69">
        <v>324</v>
      </c>
      <c r="AB324" s="69"/>
      <c r="AC324" s="70"/>
      <c r="AD324" s="76" t="s">
        <v>18068</v>
      </c>
      <c r="AE324" s="81" t="s">
        <v>18450</v>
      </c>
      <c r="AF324" s="76">
        <v>528</v>
      </c>
      <c r="AG324" s="76">
        <v>1399</v>
      </c>
      <c r="AH324" s="76">
        <v>12280</v>
      </c>
      <c r="AI324" s="76">
        <v>8</v>
      </c>
      <c r="AJ324" s="76">
        <v>6635</v>
      </c>
      <c r="AK324" s="76">
        <v>1777</v>
      </c>
      <c r="AL324" s="76" t="b">
        <v>0</v>
      </c>
      <c r="AM324" s="78">
        <v>39947.6174537037</v>
      </c>
      <c r="AN324" s="76" t="s">
        <v>12039</v>
      </c>
      <c r="AO324" s="76" t="s">
        <v>19060</v>
      </c>
      <c r="AP324" s="76"/>
      <c r="AQ324" s="76"/>
      <c r="AR324" s="76"/>
      <c r="AS324" s="76"/>
      <c r="AT324" s="76"/>
      <c r="AU324" s="76"/>
      <c r="AV324" s="76"/>
      <c r="AW324" s="76"/>
      <c r="AX324" s="76" t="b">
        <v>0</v>
      </c>
      <c r="AY324" s="76"/>
      <c r="AZ324" s="76"/>
      <c r="BA324" s="76" t="b">
        <v>0</v>
      </c>
      <c r="BB324" s="76" t="b">
        <v>0</v>
      </c>
      <c r="BC324" s="76" t="b">
        <v>0</v>
      </c>
      <c r="BD324" s="76" t="b">
        <v>0</v>
      </c>
      <c r="BE324" s="76" t="b">
        <v>1</v>
      </c>
      <c r="BF324" s="76" t="b">
        <v>0</v>
      </c>
      <c r="BG324" s="76" t="b">
        <v>0</v>
      </c>
      <c r="BH324" s="83" t="str">
        <f>HYPERLINK("https://pbs.twimg.com/profile_banners/40008185/1678405430")</f>
        <v>https://pbs.twimg.com/profile_banners/40008185/1678405430</v>
      </c>
      <c r="BI324" s="76"/>
      <c r="BJ324" s="76" t="s">
        <v>19734</v>
      </c>
      <c r="BK324" s="76" t="b">
        <v>0</v>
      </c>
      <c r="BL324" s="76"/>
      <c r="BM324" s="76" t="s">
        <v>66</v>
      </c>
      <c r="BN324" s="76" t="s">
        <v>19736</v>
      </c>
      <c r="BO324" s="83" t="str">
        <f>HYPERLINK("https://twitter.com/wladuarte")</f>
        <v>https://twitter.com/wladuarte</v>
      </c>
      <c r="BP324" s="2"/>
    </row>
    <row r="325" spans="1:68" x14ac:dyDescent="0.25">
      <c r="A325" s="62" t="s">
        <v>773</v>
      </c>
      <c r="B325" s="63"/>
      <c r="C325" s="63"/>
      <c r="D325" s="64"/>
      <c r="E325" s="66"/>
      <c r="F325" s="103" t="str">
        <f>HYPERLINK("https://pbs.twimg.com/profile_images/1412003782192472066/-I2a8aCs_normal.jpg")</f>
        <v>https://pbs.twimg.com/profile_images/1412003782192472066/-I2a8aCs_normal.jpg</v>
      </c>
      <c r="G325" s="63"/>
      <c r="H325" s="67"/>
      <c r="I325" s="68"/>
      <c r="J325" s="68"/>
      <c r="K325" s="67" t="s">
        <v>20058</v>
      </c>
      <c r="L325" s="71"/>
      <c r="M325" s="72"/>
      <c r="N325" s="72"/>
      <c r="O325" s="73"/>
      <c r="P325" s="74"/>
      <c r="Q325" s="74"/>
      <c r="R325" s="87"/>
      <c r="S325" s="87"/>
      <c r="T325" s="87"/>
      <c r="U325" s="87"/>
      <c r="V325" s="48"/>
      <c r="W325" s="48"/>
      <c r="X325" s="48"/>
      <c r="Y325" s="48"/>
      <c r="Z325" s="47"/>
      <c r="AA325" s="69">
        <v>325</v>
      </c>
      <c r="AB325" s="69"/>
      <c r="AC325" s="70"/>
      <c r="AD325" s="76" t="s">
        <v>8265</v>
      </c>
      <c r="AE325" s="81" t="s">
        <v>18451</v>
      </c>
      <c r="AF325" s="76">
        <v>49507</v>
      </c>
      <c r="AG325" s="76">
        <v>3866</v>
      </c>
      <c r="AH325" s="76">
        <v>20560</v>
      </c>
      <c r="AI325" s="76">
        <v>764</v>
      </c>
      <c r="AJ325" s="76">
        <v>6588</v>
      </c>
      <c r="AK325" s="76">
        <v>2325</v>
      </c>
      <c r="AL325" s="76" t="b">
        <v>0</v>
      </c>
      <c r="AM325" s="78">
        <v>39997.7966087963</v>
      </c>
      <c r="AN325" s="76" t="s">
        <v>18635</v>
      </c>
      <c r="AO325" s="76" t="s">
        <v>19061</v>
      </c>
      <c r="AP325" s="83" t="str">
        <f>HYPERLINK("https://t.co/dxhtyZ6j55")</f>
        <v>https://t.co/dxhtyZ6j55</v>
      </c>
      <c r="AQ325" s="83" t="str">
        <f>HYPERLINK("https://linktr.ee/spreaker")</f>
        <v>https://linktr.ee/spreaker</v>
      </c>
      <c r="AR325" s="76" t="s">
        <v>19489</v>
      </c>
      <c r="AS325" s="76"/>
      <c r="AT325" s="76"/>
      <c r="AU325" s="76"/>
      <c r="AV325" s="76"/>
      <c r="AW325" s="83" t="str">
        <f>HYPERLINK("https://t.co/dxhtyZ6j55")</f>
        <v>https://t.co/dxhtyZ6j55</v>
      </c>
      <c r="AX325" s="76" t="b">
        <v>0</v>
      </c>
      <c r="AY325" s="76"/>
      <c r="AZ325" s="76"/>
      <c r="BA325" s="76" t="b">
        <v>0</v>
      </c>
      <c r="BB325" s="76" t="b">
        <v>1</v>
      </c>
      <c r="BC325" s="76" t="b">
        <v>0</v>
      </c>
      <c r="BD325" s="76" t="b">
        <v>0</v>
      </c>
      <c r="BE325" s="76" t="b">
        <v>0</v>
      </c>
      <c r="BF325" s="76" t="b">
        <v>0</v>
      </c>
      <c r="BG325" s="76" t="b">
        <v>0</v>
      </c>
      <c r="BH325" s="83" t="str">
        <f>HYPERLINK("https://pbs.twimg.com/profile_banners/53469538/1656604190")</f>
        <v>https://pbs.twimg.com/profile_banners/53469538/1656604190</v>
      </c>
      <c r="BI325" s="76"/>
      <c r="BJ325" s="76" t="s">
        <v>19734</v>
      </c>
      <c r="BK325" s="76" t="b">
        <v>0</v>
      </c>
      <c r="BL325" s="76"/>
      <c r="BM325" s="76" t="s">
        <v>65</v>
      </c>
      <c r="BN325" s="76" t="s">
        <v>19736</v>
      </c>
      <c r="BO325" s="83" t="str">
        <f>HYPERLINK("https://twitter.com/spreaker")</f>
        <v>https://twitter.com/spreaker</v>
      </c>
      <c r="BP325" s="2"/>
    </row>
    <row r="326" spans="1:68" x14ac:dyDescent="0.25">
      <c r="A326" s="62" t="s">
        <v>495</v>
      </c>
      <c r="B326" s="63"/>
      <c r="C326" s="63"/>
      <c r="D326" s="64"/>
      <c r="E326" s="66"/>
      <c r="F326" s="103" t="str">
        <f>HYPERLINK("https://pbs.twimg.com/profile_images/1622767050283225090/OIQqJWOd_normal.jpg")</f>
        <v>https://pbs.twimg.com/profile_images/1622767050283225090/OIQqJWOd_normal.jpg</v>
      </c>
      <c r="G326" s="63"/>
      <c r="H326" s="67"/>
      <c r="I326" s="68"/>
      <c r="J326" s="68"/>
      <c r="K326" s="67" t="s">
        <v>20059</v>
      </c>
      <c r="L326" s="71"/>
      <c r="M326" s="72"/>
      <c r="N326" s="72"/>
      <c r="O326" s="73"/>
      <c r="P326" s="74"/>
      <c r="Q326" s="74"/>
      <c r="R326" s="87"/>
      <c r="S326" s="87"/>
      <c r="T326" s="87"/>
      <c r="U326" s="87"/>
      <c r="V326" s="48"/>
      <c r="W326" s="48"/>
      <c r="X326" s="48"/>
      <c r="Y326" s="48"/>
      <c r="Z326" s="47"/>
      <c r="AA326" s="69">
        <v>326</v>
      </c>
      <c r="AB326" s="69"/>
      <c r="AC326" s="70"/>
      <c r="AD326" s="76" t="s">
        <v>18069</v>
      </c>
      <c r="AE326" s="81" t="s">
        <v>18452</v>
      </c>
      <c r="AF326" s="76">
        <v>106</v>
      </c>
      <c r="AG326" s="76">
        <v>191</v>
      </c>
      <c r="AH326" s="76">
        <v>3118</v>
      </c>
      <c r="AI326" s="76">
        <v>2</v>
      </c>
      <c r="AJ326" s="76">
        <v>1550</v>
      </c>
      <c r="AK326" s="76">
        <v>2318</v>
      </c>
      <c r="AL326" s="76" t="b">
        <v>0</v>
      </c>
      <c r="AM326" s="78">
        <v>40025.70548611111</v>
      </c>
      <c r="AN326" s="76" t="s">
        <v>18674</v>
      </c>
      <c r="AO326" s="76" t="s">
        <v>19062</v>
      </c>
      <c r="AP326" s="83" t="str">
        <f>HYPERLINK("https://t.co/szXVOxKh3s")</f>
        <v>https://t.co/szXVOxKh3s</v>
      </c>
      <c r="AQ326" s="83" t="str">
        <f>HYPERLINK("https://www.politicadistrital.com.br")</f>
        <v>https://www.politicadistrital.com.br</v>
      </c>
      <c r="AR326" s="76" t="s">
        <v>19490</v>
      </c>
      <c r="AS326" s="83" t="str">
        <f>HYPERLINK("https://t.co/YoOx2MDOjg")</f>
        <v>https://t.co/YoOx2MDOjg</v>
      </c>
      <c r="AT326" s="83" t="str">
        <f>HYPERLINK("http://politicadistrital.com.br")</f>
        <v>http://politicadistrital.com.br</v>
      </c>
      <c r="AU326" s="76" t="s">
        <v>19490</v>
      </c>
      <c r="AV326" s="76"/>
      <c r="AW326" s="83" t="str">
        <f>HYPERLINK("https://t.co/szXVOxKh3s")</f>
        <v>https://t.co/szXVOxKh3s</v>
      </c>
      <c r="AX326" s="76" t="b">
        <v>0</v>
      </c>
      <c r="AY326" s="76"/>
      <c r="AZ326" s="76"/>
      <c r="BA326" s="76" t="b">
        <v>0</v>
      </c>
      <c r="BB326" s="76" t="b">
        <v>1</v>
      </c>
      <c r="BC326" s="76" t="b">
        <v>0</v>
      </c>
      <c r="BD326" s="76" t="b">
        <v>0</v>
      </c>
      <c r="BE326" s="76" t="b">
        <v>0</v>
      </c>
      <c r="BF326" s="76" t="b">
        <v>0</v>
      </c>
      <c r="BG326" s="76" t="b">
        <v>0</v>
      </c>
      <c r="BH326" s="83" t="str">
        <f>HYPERLINK("https://pbs.twimg.com/profile_banners/61815962/1685456005")</f>
        <v>https://pbs.twimg.com/profile_banners/61815962/1685456005</v>
      </c>
      <c r="BI326" s="76"/>
      <c r="BJ326" s="76" t="s">
        <v>19734</v>
      </c>
      <c r="BK326" s="76" t="b">
        <v>0</v>
      </c>
      <c r="BL326" s="76"/>
      <c r="BM326" s="76" t="s">
        <v>66</v>
      </c>
      <c r="BN326" s="76" t="s">
        <v>19736</v>
      </c>
      <c r="BO326" s="83" t="str">
        <f>HYPERLINK("https://twitter.com/polidistrital")</f>
        <v>https://twitter.com/polidistrital</v>
      </c>
      <c r="BP326" s="2"/>
    </row>
    <row r="327" spans="1:68" x14ac:dyDescent="0.25">
      <c r="A327" s="62" t="s">
        <v>496</v>
      </c>
      <c r="B327" s="63"/>
      <c r="C327" s="63"/>
      <c r="D327" s="64"/>
      <c r="E327" s="66"/>
      <c r="F327" s="103" t="str">
        <f>HYPERLINK("https://pbs.twimg.com/profile_images/1522674008482848770/ZppdBZ1n_normal.jpg")</f>
        <v>https://pbs.twimg.com/profile_images/1522674008482848770/ZppdBZ1n_normal.jpg</v>
      </c>
      <c r="G327" s="63"/>
      <c r="H327" s="67"/>
      <c r="I327" s="68"/>
      <c r="J327" s="68"/>
      <c r="K327" s="67" t="s">
        <v>20060</v>
      </c>
      <c r="L327" s="71"/>
      <c r="M327" s="72"/>
      <c r="N327" s="72"/>
      <c r="O327" s="73"/>
      <c r="P327" s="74"/>
      <c r="Q327" s="74"/>
      <c r="R327" s="87"/>
      <c r="S327" s="87"/>
      <c r="T327" s="87"/>
      <c r="U327" s="87"/>
      <c r="V327" s="48"/>
      <c r="W327" s="48"/>
      <c r="X327" s="48"/>
      <c r="Y327" s="48"/>
      <c r="Z327" s="47"/>
      <c r="AA327" s="69">
        <v>327</v>
      </c>
      <c r="AB327" s="69"/>
      <c r="AC327" s="70"/>
      <c r="AD327" s="76" t="s">
        <v>18070</v>
      </c>
      <c r="AE327" s="81" t="s">
        <v>18453</v>
      </c>
      <c r="AF327" s="76">
        <v>112799</v>
      </c>
      <c r="AG327" s="76">
        <v>1348</v>
      </c>
      <c r="AH327" s="76">
        <v>17626</v>
      </c>
      <c r="AI327" s="76">
        <v>1205</v>
      </c>
      <c r="AJ327" s="76">
        <v>35447</v>
      </c>
      <c r="AK327" s="76">
        <v>3882</v>
      </c>
      <c r="AL327" s="76" t="b">
        <v>0</v>
      </c>
      <c r="AM327" s="78">
        <v>40008.795300925929</v>
      </c>
      <c r="AN327" s="76" t="s">
        <v>18645</v>
      </c>
      <c r="AO327" s="76" t="s">
        <v>19063</v>
      </c>
      <c r="AP327" s="83" t="str">
        <f>HYPERLINK("https://t.co/9jxWDsX5SU")</f>
        <v>https://t.co/9jxWDsX5SU</v>
      </c>
      <c r="AQ327" s="83" t="str">
        <f>HYPERLINK("http://www.nordwealth.com.br")</f>
        <v>http://www.nordwealth.com.br</v>
      </c>
      <c r="AR327" s="76" t="s">
        <v>19491</v>
      </c>
      <c r="AS327" s="83" t="str">
        <f>HYPERLINK("https://t.co/kDDRwAaECN")</f>
        <v>https://t.co/kDDRwAaECN</v>
      </c>
      <c r="AT327" s="83" t="str">
        <f>HYPERLINK("http://instagram.com/renatobreia")</f>
        <v>http://instagram.com/renatobreia</v>
      </c>
      <c r="AU327" s="76" t="s">
        <v>19714</v>
      </c>
      <c r="AV327" s="76"/>
      <c r="AW327" s="83" t="str">
        <f>HYPERLINK("https://t.co/9jxWDsX5SU")</f>
        <v>https://t.co/9jxWDsX5SU</v>
      </c>
      <c r="AX327" s="76" t="b">
        <v>1</v>
      </c>
      <c r="AY327" s="76"/>
      <c r="AZ327" s="76"/>
      <c r="BA327" s="76" t="b">
        <v>1</v>
      </c>
      <c r="BB327" s="76" t="b">
        <v>0</v>
      </c>
      <c r="BC327" s="76" t="b">
        <v>1</v>
      </c>
      <c r="BD327" s="76" t="b">
        <v>0</v>
      </c>
      <c r="BE327" s="76" t="b">
        <v>1</v>
      </c>
      <c r="BF327" s="76" t="b">
        <v>0</v>
      </c>
      <c r="BG327" s="76" t="b">
        <v>0</v>
      </c>
      <c r="BH327" s="83" t="str">
        <f>HYPERLINK("https://pbs.twimg.com/profile_banners/56782939/1533727187")</f>
        <v>https://pbs.twimg.com/profile_banners/56782939/1533727187</v>
      </c>
      <c r="BI327" s="76"/>
      <c r="BJ327" s="76" t="s">
        <v>19734</v>
      </c>
      <c r="BK327" s="76" t="b">
        <v>0</v>
      </c>
      <c r="BL327" s="76"/>
      <c r="BM327" s="76" t="s">
        <v>66</v>
      </c>
      <c r="BN327" s="76" t="s">
        <v>19736</v>
      </c>
      <c r="BO327" s="83" t="str">
        <f>HYPERLINK("https://twitter.com/rbreia")</f>
        <v>https://twitter.com/rbreia</v>
      </c>
      <c r="BP327" s="2"/>
    </row>
    <row r="328" spans="1:68" x14ac:dyDescent="0.25">
      <c r="A328" s="62" t="s">
        <v>497</v>
      </c>
      <c r="B328" s="63"/>
      <c r="C328" s="63"/>
      <c r="D328" s="64"/>
      <c r="E328" s="66"/>
      <c r="F328" s="103" t="str">
        <f>HYPERLINK("https://pbs.twimg.com/profile_images/1590030296724000769/ez2-eHGx_normal.jpg")</f>
        <v>https://pbs.twimg.com/profile_images/1590030296724000769/ez2-eHGx_normal.jpg</v>
      </c>
      <c r="G328" s="63"/>
      <c r="H328" s="67"/>
      <c r="I328" s="68"/>
      <c r="J328" s="68"/>
      <c r="K328" s="67" t="s">
        <v>20061</v>
      </c>
      <c r="L328" s="71"/>
      <c r="M328" s="72"/>
      <c r="N328" s="72"/>
      <c r="O328" s="73"/>
      <c r="P328" s="74"/>
      <c r="Q328" s="74"/>
      <c r="R328" s="87"/>
      <c r="S328" s="87"/>
      <c r="T328" s="87"/>
      <c r="U328" s="87"/>
      <c r="V328" s="48"/>
      <c r="W328" s="48"/>
      <c r="X328" s="48"/>
      <c r="Y328" s="48"/>
      <c r="Z328" s="47"/>
      <c r="AA328" s="69">
        <v>328</v>
      </c>
      <c r="AB328" s="69"/>
      <c r="AC328" s="70"/>
      <c r="AD328" s="76" t="s">
        <v>18071</v>
      </c>
      <c r="AE328" s="81" t="s">
        <v>17583</v>
      </c>
      <c r="AF328" s="76">
        <v>4</v>
      </c>
      <c r="AG328" s="76">
        <v>26</v>
      </c>
      <c r="AH328" s="76">
        <v>108</v>
      </c>
      <c r="AI328" s="76">
        <v>1</v>
      </c>
      <c r="AJ328" s="76">
        <v>3</v>
      </c>
      <c r="AK328" s="76">
        <v>84</v>
      </c>
      <c r="AL328" s="76" t="b">
        <v>0</v>
      </c>
      <c r="AM328" s="78">
        <v>44873.681921296295</v>
      </c>
      <c r="AN328" s="76"/>
      <c r="AO328" s="76" t="s">
        <v>19064</v>
      </c>
      <c r="AP328" s="76"/>
      <c r="AQ328" s="76"/>
      <c r="AR328" s="76"/>
      <c r="AS328" s="76"/>
      <c r="AT328" s="76"/>
      <c r="AU328" s="76"/>
      <c r="AV328" s="76"/>
      <c r="AW328" s="76"/>
      <c r="AX328" s="76" t="b">
        <v>0</v>
      </c>
      <c r="AY328" s="76"/>
      <c r="AZ328" s="76"/>
      <c r="BA328" s="76" t="b">
        <v>0</v>
      </c>
      <c r="BB328" s="76" t="b">
        <v>1</v>
      </c>
      <c r="BC328" s="76" t="b">
        <v>1</v>
      </c>
      <c r="BD328" s="76" t="b">
        <v>0</v>
      </c>
      <c r="BE328" s="76" t="b">
        <v>0</v>
      </c>
      <c r="BF328" s="76" t="b">
        <v>0</v>
      </c>
      <c r="BG328" s="76" t="b">
        <v>0</v>
      </c>
      <c r="BH328" s="76"/>
      <c r="BI328" s="76"/>
      <c r="BJ328" s="76" t="s">
        <v>19734</v>
      </c>
      <c r="BK328" s="76" t="b">
        <v>0</v>
      </c>
      <c r="BL328" s="76"/>
      <c r="BM328" s="76" t="s">
        <v>66</v>
      </c>
      <c r="BN328" s="76" t="s">
        <v>19736</v>
      </c>
      <c r="BO328" s="83" t="str">
        <f>HYPERLINK("https://twitter.com/dinheirovdd")</f>
        <v>https://twitter.com/dinheirovdd</v>
      </c>
      <c r="BP328" s="2"/>
    </row>
    <row r="329" spans="1:68" x14ac:dyDescent="0.25">
      <c r="A329" s="62" t="s">
        <v>498</v>
      </c>
      <c r="B329" s="63"/>
      <c r="C329" s="63"/>
      <c r="D329" s="64"/>
      <c r="E329" s="66"/>
      <c r="F329" s="103" t="str">
        <f>HYPERLINK("https://pbs.twimg.com/profile_images/1558454749606952960/bKVZpiOW_normal.jpg")</f>
        <v>https://pbs.twimg.com/profile_images/1558454749606952960/bKVZpiOW_normal.jpg</v>
      </c>
      <c r="G329" s="63"/>
      <c r="H329" s="67"/>
      <c r="I329" s="68"/>
      <c r="J329" s="68"/>
      <c r="K329" s="67" t="s">
        <v>20062</v>
      </c>
      <c r="L329" s="71"/>
      <c r="M329" s="72"/>
      <c r="N329" s="72"/>
      <c r="O329" s="73"/>
      <c r="P329" s="74"/>
      <c r="Q329" s="74"/>
      <c r="R329" s="87"/>
      <c r="S329" s="87"/>
      <c r="T329" s="87"/>
      <c r="U329" s="87"/>
      <c r="V329" s="48"/>
      <c r="W329" s="48"/>
      <c r="X329" s="48"/>
      <c r="Y329" s="48"/>
      <c r="Z329" s="47"/>
      <c r="AA329" s="69">
        <v>329</v>
      </c>
      <c r="AB329" s="69"/>
      <c r="AC329" s="70"/>
      <c r="AD329" s="76" t="s">
        <v>18072</v>
      </c>
      <c r="AE329" s="81" t="s">
        <v>17584</v>
      </c>
      <c r="AF329" s="76">
        <v>10</v>
      </c>
      <c r="AG329" s="76">
        <v>65</v>
      </c>
      <c r="AH329" s="76">
        <v>112</v>
      </c>
      <c r="AI329" s="76">
        <v>0</v>
      </c>
      <c r="AJ329" s="76">
        <v>136</v>
      </c>
      <c r="AK329" s="76">
        <v>12</v>
      </c>
      <c r="AL329" s="76" t="b">
        <v>0</v>
      </c>
      <c r="AM329" s="78">
        <v>44670.83320601852</v>
      </c>
      <c r="AN329" s="76"/>
      <c r="AO329" s="76" t="s">
        <v>19065</v>
      </c>
      <c r="AP329" s="76"/>
      <c r="AQ329" s="76"/>
      <c r="AR329" s="76"/>
      <c r="AS329" s="76"/>
      <c r="AT329" s="76"/>
      <c r="AU329" s="76"/>
      <c r="AV329" s="76"/>
      <c r="AW329" s="76"/>
      <c r="AX329" s="76" t="b">
        <v>0</v>
      </c>
      <c r="AY329" s="76"/>
      <c r="AZ329" s="76"/>
      <c r="BA329" s="76" t="b">
        <v>0</v>
      </c>
      <c r="BB329" s="76" t="b">
        <v>1</v>
      </c>
      <c r="BC329" s="76" t="b">
        <v>1</v>
      </c>
      <c r="BD329" s="76" t="b">
        <v>0</v>
      </c>
      <c r="BE329" s="76" t="b">
        <v>0</v>
      </c>
      <c r="BF329" s="76" t="b">
        <v>0</v>
      </c>
      <c r="BG329" s="76" t="b">
        <v>0</v>
      </c>
      <c r="BH329" s="83" t="str">
        <f>HYPERLINK("https://pbs.twimg.com/profile_banners/1516506688634986505/1650996611")</f>
        <v>https://pbs.twimg.com/profile_banners/1516506688634986505/1650996611</v>
      </c>
      <c r="BI329" s="76"/>
      <c r="BJ329" s="76" t="s">
        <v>19734</v>
      </c>
      <c r="BK329" s="76" t="b">
        <v>0</v>
      </c>
      <c r="BL329" s="76"/>
      <c r="BM329" s="76" t="s">
        <v>66</v>
      </c>
      <c r="BN329" s="76" t="s">
        <v>19736</v>
      </c>
      <c r="BO329" s="83" t="str">
        <f>HYPERLINK("https://twitter.com/gabrielrigon86")</f>
        <v>https://twitter.com/gabrielrigon86</v>
      </c>
      <c r="BP329" s="2"/>
    </row>
    <row r="330" spans="1:68" x14ac:dyDescent="0.25">
      <c r="A330" s="62" t="s">
        <v>499</v>
      </c>
      <c r="B330" s="63"/>
      <c r="C330" s="63"/>
      <c r="D330" s="64"/>
      <c r="E330" s="66"/>
      <c r="F330" s="103" t="str">
        <f>HYPERLINK("https://pbs.twimg.com/profile_images/1539234851198492678/gKZ0CP6m_normal.jpg")</f>
        <v>https://pbs.twimg.com/profile_images/1539234851198492678/gKZ0CP6m_normal.jpg</v>
      </c>
      <c r="G330" s="63"/>
      <c r="H330" s="67"/>
      <c r="I330" s="68"/>
      <c r="J330" s="68"/>
      <c r="K330" s="67" t="s">
        <v>20063</v>
      </c>
      <c r="L330" s="71"/>
      <c r="M330" s="72"/>
      <c r="N330" s="72"/>
      <c r="O330" s="73"/>
      <c r="P330" s="74"/>
      <c r="Q330" s="74"/>
      <c r="R330" s="87"/>
      <c r="S330" s="87"/>
      <c r="T330" s="87"/>
      <c r="U330" s="87"/>
      <c r="V330" s="48"/>
      <c r="W330" s="48"/>
      <c r="X330" s="48"/>
      <c r="Y330" s="48"/>
      <c r="Z330" s="47"/>
      <c r="AA330" s="69">
        <v>330</v>
      </c>
      <c r="AB330" s="69"/>
      <c r="AC330" s="70"/>
      <c r="AD330" s="76" t="s">
        <v>18073</v>
      </c>
      <c r="AE330" s="81" t="s">
        <v>17585</v>
      </c>
      <c r="AF330" s="76">
        <v>132</v>
      </c>
      <c r="AG330" s="76">
        <v>538</v>
      </c>
      <c r="AH330" s="76">
        <v>8535</v>
      </c>
      <c r="AI330" s="76">
        <v>6</v>
      </c>
      <c r="AJ330" s="76">
        <v>14856</v>
      </c>
      <c r="AK330" s="76">
        <v>1383</v>
      </c>
      <c r="AL330" s="76" t="b">
        <v>0</v>
      </c>
      <c r="AM330" s="78">
        <v>44192.557743055557</v>
      </c>
      <c r="AN330" s="76" t="s">
        <v>18589</v>
      </c>
      <c r="AO330" s="76" t="s">
        <v>19066</v>
      </c>
      <c r="AP330" s="83" t="str">
        <f>HYPERLINK("https://t.co/RQ81LKEpEH")</f>
        <v>https://t.co/RQ81LKEpEH</v>
      </c>
      <c r="AQ330" s="83" t="str">
        <f>HYPERLINK("https://www.youtube.com/@CharlesFibonacci")</f>
        <v>https://www.youtube.com/@CharlesFibonacci</v>
      </c>
      <c r="AR330" s="76" t="s">
        <v>19492</v>
      </c>
      <c r="AS330" s="76"/>
      <c r="AT330" s="76"/>
      <c r="AU330" s="76"/>
      <c r="AV330" s="76">
        <v>1.61617279520497E+18</v>
      </c>
      <c r="AW330" s="83" t="str">
        <f>HYPERLINK("https://t.co/RQ81LKEpEH")</f>
        <v>https://t.co/RQ81LKEpEH</v>
      </c>
      <c r="AX330" s="76" t="b">
        <v>0</v>
      </c>
      <c r="AY330" s="76"/>
      <c r="AZ330" s="76"/>
      <c r="BA330" s="76" t="b">
        <v>0</v>
      </c>
      <c r="BB330" s="76" t="b">
        <v>1</v>
      </c>
      <c r="BC330" s="76" t="b">
        <v>1</v>
      </c>
      <c r="BD330" s="76" t="b">
        <v>0</v>
      </c>
      <c r="BE330" s="76" t="b">
        <v>1</v>
      </c>
      <c r="BF330" s="76" t="b">
        <v>0</v>
      </c>
      <c r="BG330" s="76" t="b">
        <v>0</v>
      </c>
      <c r="BH330" s="83" t="str">
        <f>HYPERLINK("https://pbs.twimg.com/profile_banners/1343185244384583681/1670238851")</f>
        <v>https://pbs.twimg.com/profile_banners/1343185244384583681/1670238851</v>
      </c>
      <c r="BI330" s="76"/>
      <c r="BJ330" s="76" t="s">
        <v>19734</v>
      </c>
      <c r="BK330" s="76" t="b">
        <v>0</v>
      </c>
      <c r="BL330" s="76"/>
      <c r="BM330" s="76" t="s">
        <v>66</v>
      </c>
      <c r="BN330" s="76" t="s">
        <v>19736</v>
      </c>
      <c r="BO330" s="83" t="str">
        <f>HYPERLINK("https://twitter.com/charlesfibonacc")</f>
        <v>https://twitter.com/charlesfibonacc</v>
      </c>
      <c r="BP330" s="2"/>
    </row>
    <row r="331" spans="1:68" x14ac:dyDescent="0.25">
      <c r="A331" s="62" t="s">
        <v>774</v>
      </c>
      <c r="B331" s="63"/>
      <c r="C331" s="63"/>
      <c r="D331" s="64"/>
      <c r="E331" s="66"/>
      <c r="F331" s="103" t="str">
        <f>HYPERLINK("https://pbs.twimg.com/profile_images/1401576575297069057/k4RgU7t6_normal.jpg")</f>
        <v>https://pbs.twimg.com/profile_images/1401576575297069057/k4RgU7t6_normal.jpg</v>
      </c>
      <c r="G331" s="63"/>
      <c r="H331" s="67"/>
      <c r="I331" s="68"/>
      <c r="J331" s="68"/>
      <c r="K331" s="67" t="s">
        <v>20064</v>
      </c>
      <c r="L331" s="71"/>
      <c r="M331" s="72"/>
      <c r="N331" s="72"/>
      <c r="O331" s="73"/>
      <c r="P331" s="74"/>
      <c r="Q331" s="74"/>
      <c r="R331" s="87"/>
      <c r="S331" s="87"/>
      <c r="T331" s="87"/>
      <c r="U331" s="87"/>
      <c r="V331" s="48"/>
      <c r="W331" s="48"/>
      <c r="X331" s="48"/>
      <c r="Y331" s="48"/>
      <c r="Z331" s="47"/>
      <c r="AA331" s="69">
        <v>331</v>
      </c>
      <c r="AB331" s="69"/>
      <c r="AC331" s="70"/>
      <c r="AD331" s="76" t="s">
        <v>18074</v>
      </c>
      <c r="AE331" s="81" t="s">
        <v>18454</v>
      </c>
      <c r="AF331" s="76">
        <v>12130</v>
      </c>
      <c r="AG331" s="76">
        <v>101</v>
      </c>
      <c r="AH331" s="76">
        <v>16642</v>
      </c>
      <c r="AI331" s="76">
        <v>143</v>
      </c>
      <c r="AJ331" s="76">
        <v>634</v>
      </c>
      <c r="AK331" s="76">
        <v>580</v>
      </c>
      <c r="AL331" s="76" t="b">
        <v>0</v>
      </c>
      <c r="AM331" s="78">
        <v>43987.79650462963</v>
      </c>
      <c r="AN331" s="76" t="s">
        <v>12040</v>
      </c>
      <c r="AO331" s="76" t="s">
        <v>19067</v>
      </c>
      <c r="AP331" s="83" t="str">
        <f>HYPERLINK("https://t.co/yMrnVCvqWk")</f>
        <v>https://t.co/yMrnVCvqWk</v>
      </c>
      <c r="AQ331" s="83" t="str">
        <f>HYPERLINK("http://lnk.bio/bmcnews")</f>
        <v>http://lnk.bio/bmcnews</v>
      </c>
      <c r="AR331" s="76" t="s">
        <v>19493</v>
      </c>
      <c r="AS331" s="76"/>
      <c r="AT331" s="76"/>
      <c r="AU331" s="76"/>
      <c r="AV331" s="76">
        <v>1.6642548741528399E+18</v>
      </c>
      <c r="AW331" s="83" t="str">
        <f>HYPERLINK("https://t.co/yMrnVCvqWk")</f>
        <v>https://t.co/yMrnVCvqWk</v>
      </c>
      <c r="AX331" s="76" t="b">
        <v>0</v>
      </c>
      <c r="AY331" s="76"/>
      <c r="AZ331" s="76"/>
      <c r="BA331" s="76" t="b">
        <v>0</v>
      </c>
      <c r="BB331" s="76" t="b">
        <v>1</v>
      </c>
      <c r="BC331" s="76" t="b">
        <v>1</v>
      </c>
      <c r="BD331" s="76" t="b">
        <v>0</v>
      </c>
      <c r="BE331" s="76" t="b">
        <v>1</v>
      </c>
      <c r="BF331" s="76" t="b">
        <v>0</v>
      </c>
      <c r="BG331" s="76" t="b">
        <v>0</v>
      </c>
      <c r="BH331" s="83" t="str">
        <f>HYPERLINK("https://pbs.twimg.com/profile_banners/1268982620047671297/1637602479")</f>
        <v>https://pbs.twimg.com/profile_banners/1268982620047671297/1637602479</v>
      </c>
      <c r="BI331" s="76"/>
      <c r="BJ331" s="76" t="s">
        <v>19734</v>
      </c>
      <c r="BK331" s="76" t="b">
        <v>0</v>
      </c>
      <c r="BL331" s="76"/>
      <c r="BM331" s="76" t="s">
        <v>65</v>
      </c>
      <c r="BN331" s="76" t="s">
        <v>19736</v>
      </c>
      <c r="BO331" s="83" t="str">
        <f>HYPERLINK("https://twitter.com/bmcnewstv")</f>
        <v>https://twitter.com/bmcnewstv</v>
      </c>
      <c r="BP331" s="2"/>
    </row>
    <row r="332" spans="1:68" x14ac:dyDescent="0.25">
      <c r="A332" s="62" t="s">
        <v>775</v>
      </c>
      <c r="B332" s="63"/>
      <c r="C332" s="63"/>
      <c r="D332" s="64"/>
      <c r="E332" s="66"/>
      <c r="F332" s="103" t="str">
        <f>HYPERLINK("https://pbs.twimg.com/profile_images/1495783956880498689/k__Zfo1o_normal.jpg")</f>
        <v>https://pbs.twimg.com/profile_images/1495783956880498689/k__Zfo1o_normal.jpg</v>
      </c>
      <c r="G332" s="63"/>
      <c r="H332" s="67"/>
      <c r="I332" s="68"/>
      <c r="J332" s="68"/>
      <c r="K332" s="67" t="s">
        <v>20065</v>
      </c>
      <c r="L332" s="71"/>
      <c r="M332" s="72"/>
      <c r="N332" s="72"/>
      <c r="O332" s="73"/>
      <c r="P332" s="74"/>
      <c r="Q332" s="74"/>
      <c r="R332" s="87"/>
      <c r="S332" s="87"/>
      <c r="T332" s="87"/>
      <c r="U332" s="87"/>
      <c r="V332" s="48"/>
      <c r="W332" s="48"/>
      <c r="X332" s="48"/>
      <c r="Y332" s="48"/>
      <c r="Z332" s="47"/>
      <c r="AA332" s="69">
        <v>332</v>
      </c>
      <c r="AB332" s="69"/>
      <c r="AC332" s="70"/>
      <c r="AD332" s="76" t="s">
        <v>18075</v>
      </c>
      <c r="AE332" s="81" t="s">
        <v>18455</v>
      </c>
      <c r="AF332" s="76">
        <v>1866</v>
      </c>
      <c r="AG332" s="76">
        <v>1209</v>
      </c>
      <c r="AH332" s="76">
        <v>1157</v>
      </c>
      <c r="AI332" s="76">
        <v>16</v>
      </c>
      <c r="AJ332" s="76">
        <v>138</v>
      </c>
      <c r="AK332" s="76">
        <v>836</v>
      </c>
      <c r="AL332" s="76" t="b">
        <v>0</v>
      </c>
      <c r="AM332" s="78">
        <v>41136.597708333335</v>
      </c>
      <c r="AN332" s="76" t="s">
        <v>18675</v>
      </c>
      <c r="AO332" s="76" t="s">
        <v>19068</v>
      </c>
      <c r="AP332" s="83" t="str">
        <f>HYPERLINK("https://t.co/oBfLBS4R4k")</f>
        <v>https://t.co/oBfLBS4R4k</v>
      </c>
      <c r="AQ332" s="83" t="str">
        <f>HYPERLINK("https://www.activtrades.co.uk/en")</f>
        <v>https://www.activtrades.co.uk/en</v>
      </c>
      <c r="AR332" s="76" t="s">
        <v>19494</v>
      </c>
      <c r="AS332" s="76"/>
      <c r="AT332" s="76"/>
      <c r="AU332" s="76"/>
      <c r="AV332" s="76"/>
      <c r="AW332" s="83" t="str">
        <f>HYPERLINK("https://t.co/oBfLBS4R4k")</f>
        <v>https://t.co/oBfLBS4R4k</v>
      </c>
      <c r="AX332" s="76" t="b">
        <v>0</v>
      </c>
      <c r="AY332" s="76"/>
      <c r="AZ332" s="76"/>
      <c r="BA332" s="76" t="b">
        <v>0</v>
      </c>
      <c r="BB332" s="76" t="b">
        <v>1</v>
      </c>
      <c r="BC332" s="76" t="b">
        <v>0</v>
      </c>
      <c r="BD332" s="76" t="b">
        <v>0</v>
      </c>
      <c r="BE332" s="76" t="b">
        <v>0</v>
      </c>
      <c r="BF332" s="76" t="b">
        <v>0</v>
      </c>
      <c r="BG332" s="76" t="b">
        <v>0</v>
      </c>
      <c r="BH332" s="83" t="str">
        <f>HYPERLINK("https://pbs.twimg.com/profile_banners/759465295/1691063017")</f>
        <v>https://pbs.twimg.com/profile_banners/759465295/1691063017</v>
      </c>
      <c r="BI332" s="76"/>
      <c r="BJ332" s="76" t="s">
        <v>19734</v>
      </c>
      <c r="BK332" s="76" t="b">
        <v>0</v>
      </c>
      <c r="BL332" s="76"/>
      <c r="BM332" s="76" t="s">
        <v>65</v>
      </c>
      <c r="BN332" s="76" t="s">
        <v>19736</v>
      </c>
      <c r="BO332" s="83" t="str">
        <f>HYPERLINK("https://twitter.com/activtrades")</f>
        <v>https://twitter.com/activtrades</v>
      </c>
      <c r="BP332" s="2"/>
    </row>
    <row r="333" spans="1:68" x14ac:dyDescent="0.25">
      <c r="A333" s="62" t="s">
        <v>776</v>
      </c>
      <c r="B333" s="63"/>
      <c r="C333" s="63"/>
      <c r="D333" s="64"/>
      <c r="E333" s="66"/>
      <c r="F333" s="103" t="str">
        <f>HYPERLINK("https://pbs.twimg.com/profile_images/1478045842619740167/GfLV1GT2_normal.jpg")</f>
        <v>https://pbs.twimg.com/profile_images/1478045842619740167/GfLV1GT2_normal.jpg</v>
      </c>
      <c r="G333" s="63"/>
      <c r="H333" s="67"/>
      <c r="I333" s="68"/>
      <c r="J333" s="68"/>
      <c r="K333" s="67" t="s">
        <v>20066</v>
      </c>
      <c r="L333" s="71"/>
      <c r="M333" s="72"/>
      <c r="N333" s="72"/>
      <c r="O333" s="73"/>
      <c r="P333" s="74"/>
      <c r="Q333" s="74"/>
      <c r="R333" s="87"/>
      <c r="S333" s="87"/>
      <c r="T333" s="87"/>
      <c r="U333" s="87"/>
      <c r="V333" s="48"/>
      <c r="W333" s="48"/>
      <c r="X333" s="48"/>
      <c r="Y333" s="48"/>
      <c r="Z333" s="47"/>
      <c r="AA333" s="69">
        <v>333</v>
      </c>
      <c r="AB333" s="69"/>
      <c r="AC333" s="70"/>
      <c r="AD333" s="76" t="s">
        <v>18076</v>
      </c>
      <c r="AE333" s="81" t="s">
        <v>18456</v>
      </c>
      <c r="AF333" s="76">
        <v>1093</v>
      </c>
      <c r="AG333" s="76">
        <v>159</v>
      </c>
      <c r="AH333" s="76">
        <v>2686</v>
      </c>
      <c r="AI333" s="76">
        <v>15</v>
      </c>
      <c r="AJ333" s="76">
        <v>304</v>
      </c>
      <c r="AK333" s="76">
        <v>789</v>
      </c>
      <c r="AL333" s="76" t="b">
        <v>0</v>
      </c>
      <c r="AM333" s="78">
        <v>43579.82576388889</v>
      </c>
      <c r="AN333" s="76" t="s">
        <v>12014</v>
      </c>
      <c r="AO333" s="76" t="s">
        <v>19069</v>
      </c>
      <c r="AP333" s="83" t="str">
        <f>HYPERLINK("https://t.co/mMgErb3iAf")</f>
        <v>https://t.co/mMgErb3iAf</v>
      </c>
      <c r="AQ333" s="83" t="str">
        <f>HYPERLINK("https://cmcapital.com.br/")</f>
        <v>https://cmcapital.com.br/</v>
      </c>
      <c r="AR333" s="76" t="s">
        <v>19495</v>
      </c>
      <c r="AS333" s="76"/>
      <c r="AT333" s="76"/>
      <c r="AU333" s="76"/>
      <c r="AV333" s="76">
        <v>1.61242240815715E+18</v>
      </c>
      <c r="AW333" s="83" t="str">
        <f>HYPERLINK("https://t.co/mMgErb3iAf")</f>
        <v>https://t.co/mMgErb3iAf</v>
      </c>
      <c r="AX333" s="76" t="b">
        <v>0</v>
      </c>
      <c r="AY333" s="76"/>
      <c r="AZ333" s="76"/>
      <c r="BA333" s="76" t="b">
        <v>1</v>
      </c>
      <c r="BB333" s="76" t="b">
        <v>1</v>
      </c>
      <c r="BC333" s="76" t="b">
        <v>1</v>
      </c>
      <c r="BD333" s="76" t="b">
        <v>0</v>
      </c>
      <c r="BE333" s="76" t="b">
        <v>1</v>
      </c>
      <c r="BF333" s="76" t="b">
        <v>0</v>
      </c>
      <c r="BG333" s="76" t="b">
        <v>0</v>
      </c>
      <c r="BH333" s="83" t="str">
        <f>HYPERLINK("https://pbs.twimg.com/profile_banners/1121139020115918849/1689021912")</f>
        <v>https://pbs.twimg.com/profile_banners/1121139020115918849/1689021912</v>
      </c>
      <c r="BI333" s="76"/>
      <c r="BJ333" s="76" t="s">
        <v>19734</v>
      </c>
      <c r="BK333" s="76" t="b">
        <v>0</v>
      </c>
      <c r="BL333" s="76"/>
      <c r="BM333" s="76" t="s">
        <v>65</v>
      </c>
      <c r="BN333" s="76" t="s">
        <v>19736</v>
      </c>
      <c r="BO333" s="83" t="str">
        <f>HYPERLINK("https://twitter.com/cmcapitaleplus")</f>
        <v>https://twitter.com/cmcapitaleplus</v>
      </c>
      <c r="BP333" s="2"/>
    </row>
    <row r="334" spans="1:68" x14ac:dyDescent="0.25">
      <c r="A334" s="62" t="s">
        <v>500</v>
      </c>
      <c r="B334" s="63"/>
      <c r="C334" s="63"/>
      <c r="D334" s="64"/>
      <c r="E334" s="66"/>
      <c r="F334" s="103" t="str">
        <f>HYPERLINK("https://pbs.twimg.com/profile_images/1067039778795937797/PnnLGTU4_normal.jpg")</f>
        <v>https://pbs.twimg.com/profile_images/1067039778795937797/PnnLGTU4_normal.jpg</v>
      </c>
      <c r="G334" s="63"/>
      <c r="H334" s="67"/>
      <c r="I334" s="68"/>
      <c r="J334" s="68"/>
      <c r="K334" s="67" t="s">
        <v>20067</v>
      </c>
      <c r="L334" s="71"/>
      <c r="M334" s="72"/>
      <c r="N334" s="72"/>
      <c r="O334" s="73"/>
      <c r="P334" s="74"/>
      <c r="Q334" s="74"/>
      <c r="R334" s="87"/>
      <c r="S334" s="87"/>
      <c r="T334" s="87"/>
      <c r="U334" s="87"/>
      <c r="V334" s="48"/>
      <c r="W334" s="48"/>
      <c r="X334" s="48"/>
      <c r="Y334" s="48"/>
      <c r="Z334" s="47"/>
      <c r="AA334" s="69">
        <v>334</v>
      </c>
      <c r="AB334" s="69"/>
      <c r="AC334" s="70"/>
      <c r="AD334" s="76" t="s">
        <v>500</v>
      </c>
      <c r="AE334" s="81" t="s">
        <v>18457</v>
      </c>
      <c r="AF334" s="76">
        <v>70080</v>
      </c>
      <c r="AG334" s="76">
        <v>1</v>
      </c>
      <c r="AH334" s="76">
        <v>26621</v>
      </c>
      <c r="AI334" s="76">
        <v>230</v>
      </c>
      <c r="AJ334" s="76">
        <v>1043</v>
      </c>
      <c r="AK334" s="76">
        <v>4264</v>
      </c>
      <c r="AL334" s="76" t="b">
        <v>0</v>
      </c>
      <c r="AM334" s="78">
        <v>41810.617245370369</v>
      </c>
      <c r="AN334" s="76" t="s">
        <v>12007</v>
      </c>
      <c r="AO334" s="76" t="s">
        <v>19070</v>
      </c>
      <c r="AP334" s="83" t="str">
        <f>HYPERLINK("https://t.co/YW2b8gJ3vQ")</f>
        <v>https://t.co/YW2b8gJ3vQ</v>
      </c>
      <c r="AQ334" s="83" t="str">
        <f>HYPERLINK("https://www.modalmais.com.br")</f>
        <v>https://www.modalmais.com.br</v>
      </c>
      <c r="AR334" s="76" t="s">
        <v>19496</v>
      </c>
      <c r="AS334" s="76"/>
      <c r="AT334" s="76"/>
      <c r="AU334" s="76"/>
      <c r="AV334" s="76"/>
      <c r="AW334" s="83" t="str">
        <f>HYPERLINK("https://t.co/YW2b8gJ3vQ")</f>
        <v>https://t.co/YW2b8gJ3vQ</v>
      </c>
      <c r="AX334" s="76" t="b">
        <v>0</v>
      </c>
      <c r="AY334" s="76"/>
      <c r="AZ334" s="76"/>
      <c r="BA334" s="76" t="b">
        <v>1</v>
      </c>
      <c r="BB334" s="76" t="b">
        <v>1</v>
      </c>
      <c r="BC334" s="76" t="b">
        <v>1</v>
      </c>
      <c r="BD334" s="76" t="b">
        <v>0</v>
      </c>
      <c r="BE334" s="76" t="b">
        <v>0</v>
      </c>
      <c r="BF334" s="76" t="b">
        <v>0</v>
      </c>
      <c r="BG334" s="76" t="b">
        <v>0</v>
      </c>
      <c r="BH334" s="83" t="str">
        <f>HYPERLINK("https://pbs.twimg.com/profile_banners/2578778256/1695849869")</f>
        <v>https://pbs.twimg.com/profile_banners/2578778256/1695849869</v>
      </c>
      <c r="BI334" s="76"/>
      <c r="BJ334" s="76" t="s">
        <v>19734</v>
      </c>
      <c r="BK334" s="76" t="b">
        <v>0</v>
      </c>
      <c r="BL334" s="76"/>
      <c r="BM334" s="76" t="s">
        <v>66</v>
      </c>
      <c r="BN334" s="76" t="s">
        <v>19736</v>
      </c>
      <c r="BO334" s="83" t="str">
        <f>HYPERLINK("https://twitter.com/modalmais")</f>
        <v>https://twitter.com/modalmais</v>
      </c>
      <c r="BP334" s="2"/>
    </row>
    <row r="335" spans="1:68" x14ac:dyDescent="0.25">
      <c r="A335" s="62" t="s">
        <v>523</v>
      </c>
      <c r="B335" s="63"/>
      <c r="C335" s="63"/>
      <c r="D335" s="64"/>
      <c r="E335" s="66"/>
      <c r="F335" s="103" t="str">
        <f>HYPERLINK("https://pbs.twimg.com/profile_images/1496044203415064580/VKaLEV6b_normal.jpg")</f>
        <v>https://pbs.twimg.com/profile_images/1496044203415064580/VKaLEV6b_normal.jpg</v>
      </c>
      <c r="G335" s="63"/>
      <c r="H335" s="67"/>
      <c r="I335" s="68"/>
      <c r="J335" s="68"/>
      <c r="K335" s="67" t="s">
        <v>20068</v>
      </c>
      <c r="L335" s="71"/>
      <c r="M335" s="72"/>
      <c r="N335" s="72"/>
      <c r="O335" s="73"/>
      <c r="P335" s="74"/>
      <c r="Q335" s="74"/>
      <c r="R335" s="87"/>
      <c r="S335" s="87"/>
      <c r="T335" s="87"/>
      <c r="U335" s="87"/>
      <c r="V335" s="48"/>
      <c r="W335" s="48"/>
      <c r="X335" s="48"/>
      <c r="Y335" s="48"/>
      <c r="Z335" s="47"/>
      <c r="AA335" s="69">
        <v>335</v>
      </c>
      <c r="AB335" s="69"/>
      <c r="AC335" s="70"/>
      <c r="AD335" s="76" t="s">
        <v>18077</v>
      </c>
      <c r="AE335" s="81" t="s">
        <v>18458</v>
      </c>
      <c r="AF335" s="76">
        <v>1252</v>
      </c>
      <c r="AG335" s="76">
        <v>595</v>
      </c>
      <c r="AH335" s="76">
        <v>3267</v>
      </c>
      <c r="AI335" s="76">
        <v>16</v>
      </c>
      <c r="AJ335" s="76">
        <v>163</v>
      </c>
      <c r="AK335" s="76">
        <v>686</v>
      </c>
      <c r="AL335" s="76" t="b">
        <v>0</v>
      </c>
      <c r="AM335" s="78">
        <v>40765.215289351851</v>
      </c>
      <c r="AN335" s="76" t="s">
        <v>18676</v>
      </c>
      <c r="AO335" s="76" t="s">
        <v>19071</v>
      </c>
      <c r="AP335" s="83" t="str">
        <f>HYPERLINK("https://t.co/6MLCsUUwby")</f>
        <v>https://t.co/6MLCsUUwby</v>
      </c>
      <c r="AQ335" s="83" t="str">
        <f>HYPERLINK("https://www.activtrades.com/pt/")</f>
        <v>https://www.activtrades.com/pt/</v>
      </c>
      <c r="AR335" s="76" t="s">
        <v>19497</v>
      </c>
      <c r="AS335" s="76"/>
      <c r="AT335" s="76"/>
      <c r="AU335" s="76"/>
      <c r="AV335" s="76"/>
      <c r="AW335" s="83" t="str">
        <f>HYPERLINK("https://t.co/6MLCsUUwby")</f>
        <v>https://t.co/6MLCsUUwby</v>
      </c>
      <c r="AX335" s="76" t="b">
        <v>0</v>
      </c>
      <c r="AY335" s="76"/>
      <c r="AZ335" s="76"/>
      <c r="BA335" s="76" t="b">
        <v>0</v>
      </c>
      <c r="BB335" s="76" t="b">
        <v>1</v>
      </c>
      <c r="BC335" s="76" t="b">
        <v>0</v>
      </c>
      <c r="BD335" s="76" t="b">
        <v>0</v>
      </c>
      <c r="BE335" s="76" t="b">
        <v>0</v>
      </c>
      <c r="BF335" s="76" t="b">
        <v>0</v>
      </c>
      <c r="BG335" s="76" t="b">
        <v>0</v>
      </c>
      <c r="BH335" s="83" t="str">
        <f>HYPERLINK("https://pbs.twimg.com/profile_banners/352118324/1691593107")</f>
        <v>https://pbs.twimg.com/profile_banners/352118324/1691593107</v>
      </c>
      <c r="BI335" s="76"/>
      <c r="BJ335" s="76" t="s">
        <v>19734</v>
      </c>
      <c r="BK335" s="76" t="b">
        <v>0</v>
      </c>
      <c r="BL335" s="76"/>
      <c r="BM335" s="76" t="s">
        <v>66</v>
      </c>
      <c r="BN335" s="76" t="s">
        <v>19736</v>
      </c>
      <c r="BO335" s="83" t="str">
        <f>HYPERLINK("https://twitter.com/activtrades_pt")</f>
        <v>https://twitter.com/activtrades_pt</v>
      </c>
      <c r="BP335" s="2"/>
    </row>
    <row r="336" spans="1:68" x14ac:dyDescent="0.25">
      <c r="A336" s="62" t="s">
        <v>501</v>
      </c>
      <c r="B336" s="63"/>
      <c r="C336" s="63"/>
      <c r="D336" s="64"/>
      <c r="E336" s="66"/>
      <c r="F336" s="103" t="str">
        <f>HYPERLINK("https://pbs.twimg.com/profile_images/1478391888076058624/G9nBw5N__normal.jpg")</f>
        <v>https://pbs.twimg.com/profile_images/1478391888076058624/G9nBw5N__normal.jpg</v>
      </c>
      <c r="G336" s="63"/>
      <c r="H336" s="67"/>
      <c r="I336" s="68"/>
      <c r="J336" s="68"/>
      <c r="K336" s="67" t="s">
        <v>20069</v>
      </c>
      <c r="L336" s="71"/>
      <c r="M336" s="72"/>
      <c r="N336" s="72"/>
      <c r="O336" s="73"/>
      <c r="P336" s="74"/>
      <c r="Q336" s="74"/>
      <c r="R336" s="87"/>
      <c r="S336" s="87"/>
      <c r="T336" s="87"/>
      <c r="U336" s="87"/>
      <c r="V336" s="48"/>
      <c r="W336" s="48"/>
      <c r="X336" s="48"/>
      <c r="Y336" s="48"/>
      <c r="Z336" s="47"/>
      <c r="AA336" s="69">
        <v>336</v>
      </c>
      <c r="AB336" s="69"/>
      <c r="AC336" s="70"/>
      <c r="AD336" s="76" t="s">
        <v>18078</v>
      </c>
      <c r="AE336" s="81" t="s">
        <v>18459</v>
      </c>
      <c r="AF336" s="76">
        <v>156</v>
      </c>
      <c r="AG336" s="76">
        <v>796</v>
      </c>
      <c r="AH336" s="76">
        <v>1564</v>
      </c>
      <c r="AI336" s="76">
        <v>11</v>
      </c>
      <c r="AJ336" s="76">
        <v>1019</v>
      </c>
      <c r="AK336" s="76">
        <v>360</v>
      </c>
      <c r="AL336" s="76" t="b">
        <v>0</v>
      </c>
      <c r="AM336" s="78">
        <v>40617.599942129629</v>
      </c>
      <c r="AN336" s="76" t="s">
        <v>18677</v>
      </c>
      <c r="AO336" s="76" t="s">
        <v>19072</v>
      </c>
      <c r="AP336" s="76"/>
      <c r="AQ336" s="76"/>
      <c r="AR336" s="76"/>
      <c r="AS336" s="76"/>
      <c r="AT336" s="76"/>
      <c r="AU336" s="76"/>
      <c r="AV336" s="76"/>
      <c r="AW336" s="76"/>
      <c r="AX336" s="76" t="b">
        <v>0</v>
      </c>
      <c r="AY336" s="76"/>
      <c r="AZ336" s="76"/>
      <c r="BA336" s="76" t="b">
        <v>0</v>
      </c>
      <c r="BB336" s="76" t="b">
        <v>1</v>
      </c>
      <c r="BC336" s="76" t="b">
        <v>0</v>
      </c>
      <c r="BD336" s="76" t="b">
        <v>0</v>
      </c>
      <c r="BE336" s="76" t="b">
        <v>1</v>
      </c>
      <c r="BF336" s="76" t="b">
        <v>0</v>
      </c>
      <c r="BG336" s="76" t="b">
        <v>0</v>
      </c>
      <c r="BH336" s="83" t="str">
        <f>HYPERLINK("https://pbs.twimg.com/profile_banners/266611119/1641311068")</f>
        <v>https://pbs.twimg.com/profile_banners/266611119/1641311068</v>
      </c>
      <c r="BI336" s="76"/>
      <c r="BJ336" s="76" t="s">
        <v>19734</v>
      </c>
      <c r="BK336" s="76" t="b">
        <v>0</v>
      </c>
      <c r="BL336" s="76"/>
      <c r="BM336" s="76" t="s">
        <v>66</v>
      </c>
      <c r="BN336" s="76" t="s">
        <v>19736</v>
      </c>
      <c r="BO336" s="83" t="str">
        <f>HYPERLINK("https://twitter.com/ygor_fbc")</f>
        <v>https://twitter.com/ygor_fbc</v>
      </c>
      <c r="BP336" s="2"/>
    </row>
    <row r="337" spans="1:68" x14ac:dyDescent="0.25">
      <c r="A337" s="62" t="s">
        <v>502</v>
      </c>
      <c r="B337" s="63"/>
      <c r="C337" s="63"/>
      <c r="D337" s="64"/>
      <c r="E337" s="66"/>
      <c r="F337" s="103" t="str">
        <f>HYPERLINK("https://pbs.twimg.com/profile_images/799749303497584640/-yU1tKyG_normal.jpg")</f>
        <v>https://pbs.twimg.com/profile_images/799749303497584640/-yU1tKyG_normal.jpg</v>
      </c>
      <c r="G337" s="63"/>
      <c r="H337" s="67"/>
      <c r="I337" s="68"/>
      <c r="J337" s="68"/>
      <c r="K337" s="67" t="s">
        <v>20070</v>
      </c>
      <c r="L337" s="71"/>
      <c r="M337" s="72"/>
      <c r="N337" s="72"/>
      <c r="O337" s="73"/>
      <c r="P337" s="74"/>
      <c r="Q337" s="74"/>
      <c r="R337" s="87"/>
      <c r="S337" s="87"/>
      <c r="T337" s="87"/>
      <c r="U337" s="87"/>
      <c r="V337" s="48"/>
      <c r="W337" s="48"/>
      <c r="X337" s="48"/>
      <c r="Y337" s="48"/>
      <c r="Z337" s="47"/>
      <c r="AA337" s="69">
        <v>337</v>
      </c>
      <c r="AB337" s="69"/>
      <c r="AC337" s="70"/>
      <c r="AD337" s="76" t="s">
        <v>18079</v>
      </c>
      <c r="AE337" s="81" t="s">
        <v>18460</v>
      </c>
      <c r="AF337" s="76">
        <v>879</v>
      </c>
      <c r="AG337" s="76">
        <v>192</v>
      </c>
      <c r="AH337" s="76">
        <v>8006</v>
      </c>
      <c r="AI337" s="76">
        <v>9</v>
      </c>
      <c r="AJ337" s="76">
        <v>89</v>
      </c>
      <c r="AK337" s="76">
        <v>4144</v>
      </c>
      <c r="AL337" s="76" t="b">
        <v>0</v>
      </c>
      <c r="AM337" s="78">
        <v>39927.903414351851</v>
      </c>
      <c r="AN337" s="76" t="s">
        <v>18678</v>
      </c>
      <c r="AO337" s="76" t="s">
        <v>19073</v>
      </c>
      <c r="AP337" s="83" t="str">
        <f>HYPERLINK("https://t.co/upgSizsH9z")</f>
        <v>https://t.co/upgSizsH9z</v>
      </c>
      <c r="AQ337" s="83" t="str">
        <f>HYPERLINK("http://www.portalviva.com.br")</f>
        <v>http://www.portalviva.com.br</v>
      </c>
      <c r="AR337" s="76" t="s">
        <v>19498</v>
      </c>
      <c r="AS337" s="76"/>
      <c r="AT337" s="76"/>
      <c r="AU337" s="76"/>
      <c r="AV337" s="76"/>
      <c r="AW337" s="83" t="str">
        <f>HYPERLINK("https://t.co/upgSizsH9z")</f>
        <v>https://t.co/upgSizsH9z</v>
      </c>
      <c r="AX337" s="76" t="b">
        <v>0</v>
      </c>
      <c r="AY337" s="76"/>
      <c r="AZ337" s="76"/>
      <c r="BA337" s="76" t="b">
        <v>0</v>
      </c>
      <c r="BB337" s="76" t="b">
        <v>1</v>
      </c>
      <c r="BC337" s="76" t="b">
        <v>0</v>
      </c>
      <c r="BD337" s="76" t="b">
        <v>0</v>
      </c>
      <c r="BE337" s="76" t="b">
        <v>1</v>
      </c>
      <c r="BF337" s="76" t="b">
        <v>0</v>
      </c>
      <c r="BG337" s="76" t="b">
        <v>0</v>
      </c>
      <c r="BH337" s="83" t="str">
        <f>HYPERLINK("https://pbs.twimg.com/profile_banners/35049549/1479509924")</f>
        <v>https://pbs.twimg.com/profile_banners/35049549/1479509924</v>
      </c>
      <c r="BI337" s="76"/>
      <c r="BJ337" s="76" t="s">
        <v>19734</v>
      </c>
      <c r="BK337" s="76" t="b">
        <v>0</v>
      </c>
      <c r="BL337" s="76"/>
      <c r="BM337" s="76" t="s">
        <v>66</v>
      </c>
      <c r="BN337" s="76" t="s">
        <v>19736</v>
      </c>
      <c r="BO337" s="83" t="str">
        <f>HYPERLINK("https://twitter.com/portal_viva")</f>
        <v>https://twitter.com/portal_viva</v>
      </c>
      <c r="BP337" s="2"/>
    </row>
    <row r="338" spans="1:68" x14ac:dyDescent="0.25">
      <c r="A338" s="62" t="s">
        <v>503</v>
      </c>
      <c r="B338" s="63"/>
      <c r="C338" s="63"/>
      <c r="D338" s="64"/>
      <c r="E338" s="66"/>
      <c r="F338" s="103" t="str">
        <f>HYPERLINK("https://pbs.twimg.com/profile_images/1413718019788902400/XtmRZ8pG_normal.jpg")</f>
        <v>https://pbs.twimg.com/profile_images/1413718019788902400/XtmRZ8pG_normal.jpg</v>
      </c>
      <c r="G338" s="63"/>
      <c r="H338" s="67"/>
      <c r="I338" s="68"/>
      <c r="J338" s="68"/>
      <c r="K338" s="67" t="s">
        <v>20071</v>
      </c>
      <c r="L338" s="71"/>
      <c r="M338" s="72"/>
      <c r="N338" s="72"/>
      <c r="O338" s="73"/>
      <c r="P338" s="74"/>
      <c r="Q338" s="74"/>
      <c r="R338" s="87"/>
      <c r="S338" s="87"/>
      <c r="T338" s="87"/>
      <c r="U338" s="87"/>
      <c r="V338" s="48"/>
      <c r="W338" s="48"/>
      <c r="X338" s="48"/>
      <c r="Y338" s="48"/>
      <c r="Z338" s="47"/>
      <c r="AA338" s="69">
        <v>338</v>
      </c>
      <c r="AB338" s="69"/>
      <c r="AC338" s="70"/>
      <c r="AD338" s="76" t="s">
        <v>18080</v>
      </c>
      <c r="AE338" s="81" t="s">
        <v>17586</v>
      </c>
      <c r="AF338" s="76">
        <v>372</v>
      </c>
      <c r="AG338" s="76">
        <v>743</v>
      </c>
      <c r="AH338" s="76">
        <v>12012</v>
      </c>
      <c r="AI338" s="76">
        <v>0</v>
      </c>
      <c r="AJ338" s="76">
        <v>19</v>
      </c>
      <c r="AK338" s="76">
        <v>5133</v>
      </c>
      <c r="AL338" s="76" t="b">
        <v>0</v>
      </c>
      <c r="AM338" s="78">
        <v>43046.929826388892</v>
      </c>
      <c r="AN338" s="76" t="s">
        <v>18679</v>
      </c>
      <c r="AO338" s="76" t="s">
        <v>19074</v>
      </c>
      <c r="AP338" s="83" t="str">
        <f>HYPERLINK("https://t.co/GX2Ckusu7p")</f>
        <v>https://t.co/GX2Ckusu7p</v>
      </c>
      <c r="AQ338" s="83" t="str">
        <f>HYPERLINK("http://www.fontecerta.com")</f>
        <v>http://www.fontecerta.com</v>
      </c>
      <c r="AR338" s="76" t="s">
        <v>7117</v>
      </c>
      <c r="AS338" s="76"/>
      <c r="AT338" s="76"/>
      <c r="AU338" s="76"/>
      <c r="AV338" s="76"/>
      <c r="AW338" s="83" t="str">
        <f>HYPERLINK("https://t.co/GX2Ckusu7p")</f>
        <v>https://t.co/GX2Ckusu7p</v>
      </c>
      <c r="AX338" s="76" t="b">
        <v>0</v>
      </c>
      <c r="AY338" s="76"/>
      <c r="AZ338" s="76"/>
      <c r="BA338" s="76" t="b">
        <v>1</v>
      </c>
      <c r="BB338" s="76" t="b">
        <v>1</v>
      </c>
      <c r="BC338" s="76" t="b">
        <v>1</v>
      </c>
      <c r="BD338" s="76" t="b">
        <v>0</v>
      </c>
      <c r="BE338" s="76" t="b">
        <v>0</v>
      </c>
      <c r="BF338" s="76" t="b">
        <v>0</v>
      </c>
      <c r="BG338" s="76" t="b">
        <v>0</v>
      </c>
      <c r="BH338" s="83" t="str">
        <f>HYPERLINK("https://pbs.twimg.com/profile_banners/928023996377026561/1575329537")</f>
        <v>https://pbs.twimg.com/profile_banners/928023996377026561/1575329537</v>
      </c>
      <c r="BI338" s="76"/>
      <c r="BJ338" s="76" t="s">
        <v>19734</v>
      </c>
      <c r="BK338" s="76" t="b">
        <v>0</v>
      </c>
      <c r="BL338" s="76"/>
      <c r="BM338" s="76" t="s">
        <v>66</v>
      </c>
      <c r="BN338" s="76" t="s">
        <v>19736</v>
      </c>
      <c r="BO338" s="83" t="str">
        <f>HYPERLINK("https://twitter.com/fonte_certa")</f>
        <v>https://twitter.com/fonte_certa</v>
      </c>
      <c r="BP338" s="2"/>
    </row>
    <row r="339" spans="1:68" x14ac:dyDescent="0.25">
      <c r="A339" s="62" t="s">
        <v>504</v>
      </c>
      <c r="B339" s="63"/>
      <c r="C339" s="63"/>
      <c r="D339" s="64"/>
      <c r="E339" s="66"/>
      <c r="F339" s="103" t="str">
        <f>HYPERLINK("https://pbs.twimg.com/profile_images/1463165138748514312/Wk4FkFbr_normal.jpg")</f>
        <v>https://pbs.twimg.com/profile_images/1463165138748514312/Wk4FkFbr_normal.jpg</v>
      </c>
      <c r="G339" s="63"/>
      <c r="H339" s="67"/>
      <c r="I339" s="68"/>
      <c r="J339" s="68"/>
      <c r="K339" s="67" t="s">
        <v>20072</v>
      </c>
      <c r="L339" s="71"/>
      <c r="M339" s="72"/>
      <c r="N339" s="72"/>
      <c r="O339" s="73"/>
      <c r="P339" s="74"/>
      <c r="Q339" s="74"/>
      <c r="R339" s="87"/>
      <c r="S339" s="87"/>
      <c r="T339" s="87"/>
      <c r="U339" s="87"/>
      <c r="V339" s="48"/>
      <c r="W339" s="48"/>
      <c r="X339" s="48"/>
      <c r="Y339" s="48"/>
      <c r="Z339" s="47"/>
      <c r="AA339" s="69">
        <v>339</v>
      </c>
      <c r="AB339" s="69"/>
      <c r="AC339" s="70"/>
      <c r="AD339" s="76" t="s">
        <v>18081</v>
      </c>
      <c r="AE339" s="81" t="s">
        <v>17587</v>
      </c>
      <c r="AF339" s="76">
        <v>19</v>
      </c>
      <c r="AG339" s="76">
        <v>56</v>
      </c>
      <c r="AH339" s="76">
        <v>253</v>
      </c>
      <c r="AI339" s="76">
        <v>0</v>
      </c>
      <c r="AJ339" s="76">
        <v>82</v>
      </c>
      <c r="AK339" s="76">
        <v>252</v>
      </c>
      <c r="AL339" s="76" t="b">
        <v>0</v>
      </c>
      <c r="AM339" s="78">
        <v>44523.633888888886</v>
      </c>
      <c r="AN339" s="76"/>
      <c r="AO339" s="76" t="s">
        <v>19075</v>
      </c>
      <c r="AP339" s="83" t="str">
        <f>HYPERLINK("https://t.co/8uVDLEcjFn")</f>
        <v>https://t.co/8uVDLEcjFn</v>
      </c>
      <c r="AQ339" s="83" t="str">
        <f>HYPERLINK("http://www.exxcede.com.br")</f>
        <v>http://www.exxcede.com.br</v>
      </c>
      <c r="AR339" s="76" t="s">
        <v>19499</v>
      </c>
      <c r="AS339" s="76"/>
      <c r="AT339" s="76"/>
      <c r="AU339" s="76"/>
      <c r="AV339" s="76"/>
      <c r="AW339" s="83" t="str">
        <f>HYPERLINK("https://t.co/8uVDLEcjFn")</f>
        <v>https://t.co/8uVDLEcjFn</v>
      </c>
      <c r="AX339" s="76" t="b">
        <v>0</v>
      </c>
      <c r="AY339" s="76"/>
      <c r="AZ339" s="76"/>
      <c r="BA339" s="76" t="b">
        <v>0</v>
      </c>
      <c r="BB339" s="76" t="b">
        <v>1</v>
      </c>
      <c r="BC339" s="76" t="b">
        <v>1</v>
      </c>
      <c r="BD339" s="76" t="b">
        <v>0</v>
      </c>
      <c r="BE339" s="76" t="b">
        <v>0</v>
      </c>
      <c r="BF339" s="76" t="b">
        <v>0</v>
      </c>
      <c r="BG339" s="76" t="b">
        <v>0</v>
      </c>
      <c r="BH339" s="83" t="str">
        <f>HYPERLINK("https://pbs.twimg.com/profile_banners/1463163550084521986/1640493543")</f>
        <v>https://pbs.twimg.com/profile_banners/1463163550084521986/1640493543</v>
      </c>
      <c r="BI339" s="76"/>
      <c r="BJ339" s="76" t="s">
        <v>19734</v>
      </c>
      <c r="BK339" s="76" t="b">
        <v>0</v>
      </c>
      <c r="BL339" s="76"/>
      <c r="BM339" s="76" t="s">
        <v>66</v>
      </c>
      <c r="BN339" s="76" t="s">
        <v>19736</v>
      </c>
      <c r="BO339" s="83" t="str">
        <f>HYPERLINK("https://twitter.com/exxcedeoficial")</f>
        <v>https://twitter.com/exxcedeoficial</v>
      </c>
      <c r="BP339" s="2"/>
    </row>
    <row r="340" spans="1:68" x14ac:dyDescent="0.25">
      <c r="A340" s="62" t="s">
        <v>777</v>
      </c>
      <c r="B340" s="63"/>
      <c r="C340" s="63"/>
      <c r="D340" s="64"/>
      <c r="E340" s="66"/>
      <c r="F340" s="103" t="str">
        <f>HYPERLINK("https://pbs.twimg.com/profile_images/1701567885800321024/KxWAi-7Y_normal.jpg")</f>
        <v>https://pbs.twimg.com/profile_images/1701567885800321024/KxWAi-7Y_normal.jpg</v>
      </c>
      <c r="G340" s="63"/>
      <c r="H340" s="67"/>
      <c r="I340" s="68"/>
      <c r="J340" s="68"/>
      <c r="K340" s="67" t="s">
        <v>20073</v>
      </c>
      <c r="L340" s="71"/>
      <c r="M340" s="72"/>
      <c r="N340" s="72"/>
      <c r="O340" s="73"/>
      <c r="P340" s="74"/>
      <c r="Q340" s="74"/>
      <c r="R340" s="87"/>
      <c r="S340" s="87"/>
      <c r="T340" s="87"/>
      <c r="U340" s="87"/>
      <c r="V340" s="48"/>
      <c r="W340" s="48"/>
      <c r="X340" s="48"/>
      <c r="Y340" s="48"/>
      <c r="Z340" s="47"/>
      <c r="AA340" s="69">
        <v>340</v>
      </c>
      <c r="AB340" s="69"/>
      <c r="AC340" s="70"/>
      <c r="AD340" s="76" t="s">
        <v>18082</v>
      </c>
      <c r="AE340" s="81" t="s">
        <v>18461</v>
      </c>
      <c r="AF340" s="76">
        <v>24008</v>
      </c>
      <c r="AG340" s="76">
        <v>959</v>
      </c>
      <c r="AH340" s="76">
        <v>12339</v>
      </c>
      <c r="AI340" s="76">
        <v>305</v>
      </c>
      <c r="AJ340" s="76">
        <v>13899</v>
      </c>
      <c r="AK340" s="76">
        <v>3830</v>
      </c>
      <c r="AL340" s="76" t="b">
        <v>0</v>
      </c>
      <c r="AM340" s="78">
        <v>41050.457499999997</v>
      </c>
      <c r="AN340" s="76" t="s">
        <v>18680</v>
      </c>
      <c r="AO340" s="76" t="s">
        <v>19076</v>
      </c>
      <c r="AP340" s="83" t="str">
        <f>HYPERLINK("https://t.co/E1FZn69ZyG")</f>
        <v>https://t.co/E1FZn69ZyG</v>
      </c>
      <c r="AQ340" s="83" t="str">
        <f>HYPERLINK("http://www.freepik.com")</f>
        <v>http://www.freepik.com</v>
      </c>
      <c r="AR340" s="76" t="s">
        <v>19500</v>
      </c>
      <c r="AS340" s="76"/>
      <c r="AT340" s="76"/>
      <c r="AU340" s="76"/>
      <c r="AV340" s="76"/>
      <c r="AW340" s="83" t="str">
        <f>HYPERLINK("https://t.co/E1FZn69ZyG")</f>
        <v>https://t.co/E1FZn69ZyG</v>
      </c>
      <c r="AX340" s="76" t="b">
        <v>0</v>
      </c>
      <c r="AY340" s="76"/>
      <c r="AZ340" s="76"/>
      <c r="BA340" s="76" t="b">
        <v>1</v>
      </c>
      <c r="BB340" s="76" t="b">
        <v>1</v>
      </c>
      <c r="BC340" s="76" t="b">
        <v>0</v>
      </c>
      <c r="BD340" s="76" t="b">
        <v>0</v>
      </c>
      <c r="BE340" s="76" t="b">
        <v>1</v>
      </c>
      <c r="BF340" s="76" t="b">
        <v>0</v>
      </c>
      <c r="BG340" s="76" t="b">
        <v>0</v>
      </c>
      <c r="BH340" s="83" t="str">
        <f>HYPERLINK("https://pbs.twimg.com/profile_banners/586453534/1694512903")</f>
        <v>https://pbs.twimg.com/profile_banners/586453534/1694512903</v>
      </c>
      <c r="BI340" s="76"/>
      <c r="BJ340" s="76" t="s">
        <v>19734</v>
      </c>
      <c r="BK340" s="76" t="b">
        <v>0</v>
      </c>
      <c r="BL340" s="76"/>
      <c r="BM340" s="76" t="s">
        <v>65</v>
      </c>
      <c r="BN340" s="76" t="s">
        <v>19736</v>
      </c>
      <c r="BO340" s="83" t="str">
        <f>HYPERLINK("https://twitter.com/freepik")</f>
        <v>https://twitter.com/freepik</v>
      </c>
      <c r="BP340" s="2"/>
    </row>
    <row r="341" spans="1:68" x14ac:dyDescent="0.25">
      <c r="A341" s="62" t="s">
        <v>505</v>
      </c>
      <c r="B341" s="63"/>
      <c r="C341" s="63"/>
      <c r="D341" s="64"/>
      <c r="E341" s="66"/>
      <c r="F341" s="103" t="str">
        <f>HYPERLINK("https://pbs.twimg.com/profile_images/1149766047983198208/fggbbXa-_normal.png")</f>
        <v>https://pbs.twimg.com/profile_images/1149766047983198208/fggbbXa-_normal.png</v>
      </c>
      <c r="G341" s="63"/>
      <c r="H341" s="67"/>
      <c r="I341" s="68"/>
      <c r="J341" s="68"/>
      <c r="K341" s="67" t="s">
        <v>20074</v>
      </c>
      <c r="L341" s="71"/>
      <c r="M341" s="72"/>
      <c r="N341" s="72"/>
      <c r="O341" s="73"/>
      <c r="P341" s="74"/>
      <c r="Q341" s="74"/>
      <c r="R341" s="87"/>
      <c r="S341" s="87"/>
      <c r="T341" s="87"/>
      <c r="U341" s="87"/>
      <c r="V341" s="48"/>
      <c r="W341" s="48"/>
      <c r="X341" s="48"/>
      <c r="Y341" s="48"/>
      <c r="Z341" s="47"/>
      <c r="AA341" s="69">
        <v>341</v>
      </c>
      <c r="AB341" s="69"/>
      <c r="AC341" s="70"/>
      <c r="AD341" s="76" t="s">
        <v>18083</v>
      </c>
      <c r="AE341" s="81" t="s">
        <v>17354</v>
      </c>
      <c r="AF341" s="76">
        <v>547</v>
      </c>
      <c r="AG341" s="76">
        <v>39</v>
      </c>
      <c r="AH341" s="76">
        <v>1563</v>
      </c>
      <c r="AI341" s="76">
        <v>5</v>
      </c>
      <c r="AJ341" s="76">
        <v>17</v>
      </c>
      <c r="AK341" s="76">
        <v>373</v>
      </c>
      <c r="AL341" s="76" t="b">
        <v>0</v>
      </c>
      <c r="AM341" s="78">
        <v>43658.819594907407</v>
      </c>
      <c r="AN341" s="76" t="s">
        <v>12039</v>
      </c>
      <c r="AO341" s="76" t="s">
        <v>19077</v>
      </c>
      <c r="AP341" s="83" t="str">
        <f>HYPERLINK("https://t.co/11HmKL9mhU")</f>
        <v>https://t.co/11HmKL9mhU</v>
      </c>
      <c r="AQ341" s="83" t="str">
        <f>HYPERLINK("http://www.truxt.com.br")</f>
        <v>http://www.truxt.com.br</v>
      </c>
      <c r="AR341" s="76" t="s">
        <v>19501</v>
      </c>
      <c r="AS341" s="76"/>
      <c r="AT341" s="76"/>
      <c r="AU341" s="76"/>
      <c r="AV341" s="76"/>
      <c r="AW341" s="83" t="str">
        <f>HYPERLINK("https://t.co/11HmKL9mhU")</f>
        <v>https://t.co/11HmKL9mhU</v>
      </c>
      <c r="AX341" s="76" t="b">
        <v>0</v>
      </c>
      <c r="AY341" s="76"/>
      <c r="AZ341" s="76"/>
      <c r="BA341" s="76" t="b">
        <v>1</v>
      </c>
      <c r="BB341" s="76" t="b">
        <v>1</v>
      </c>
      <c r="BC341" s="76" t="b">
        <v>1</v>
      </c>
      <c r="BD341" s="76" t="b">
        <v>0</v>
      </c>
      <c r="BE341" s="76" t="b">
        <v>1</v>
      </c>
      <c r="BF341" s="76" t="b">
        <v>0</v>
      </c>
      <c r="BG341" s="76" t="b">
        <v>0</v>
      </c>
      <c r="BH341" s="83" t="str">
        <f>HYPERLINK("https://pbs.twimg.com/profile_banners/1149765422360797184/1564610587")</f>
        <v>https://pbs.twimg.com/profile_banners/1149765422360797184/1564610587</v>
      </c>
      <c r="BI341" s="76"/>
      <c r="BJ341" s="76" t="s">
        <v>19734</v>
      </c>
      <c r="BK341" s="76" t="b">
        <v>0</v>
      </c>
      <c r="BL341" s="76"/>
      <c r="BM341" s="76" t="s">
        <v>66</v>
      </c>
      <c r="BN341" s="76" t="s">
        <v>19736</v>
      </c>
      <c r="BO341" s="83" t="str">
        <f>HYPERLINK("https://twitter.com/truxtinvest")</f>
        <v>https://twitter.com/truxtinvest</v>
      </c>
      <c r="BP341" s="2"/>
    </row>
    <row r="342" spans="1:68" x14ac:dyDescent="0.25">
      <c r="A342" s="62" t="s">
        <v>506</v>
      </c>
      <c r="B342" s="63"/>
      <c r="C342" s="63"/>
      <c r="D342" s="64"/>
      <c r="E342" s="66"/>
      <c r="F342" s="103" t="str">
        <f>HYPERLINK("https://pbs.twimg.com/profile_images/1518465479953862657/QfzoQANd_normal.jpg")</f>
        <v>https://pbs.twimg.com/profile_images/1518465479953862657/QfzoQANd_normal.jpg</v>
      </c>
      <c r="G342" s="63"/>
      <c r="H342" s="67"/>
      <c r="I342" s="68"/>
      <c r="J342" s="68"/>
      <c r="K342" s="67" t="s">
        <v>20075</v>
      </c>
      <c r="L342" s="71"/>
      <c r="M342" s="72"/>
      <c r="N342" s="72"/>
      <c r="O342" s="73"/>
      <c r="P342" s="74"/>
      <c r="Q342" s="74"/>
      <c r="R342" s="87"/>
      <c r="S342" s="87"/>
      <c r="T342" s="87"/>
      <c r="U342" s="87"/>
      <c r="V342" s="48"/>
      <c r="W342" s="48"/>
      <c r="X342" s="48"/>
      <c r="Y342" s="48"/>
      <c r="Z342" s="47"/>
      <c r="AA342" s="69">
        <v>342</v>
      </c>
      <c r="AB342" s="69"/>
      <c r="AC342" s="70"/>
      <c r="AD342" s="76" t="s">
        <v>18084</v>
      </c>
      <c r="AE342" s="81" t="s">
        <v>17588</v>
      </c>
      <c r="AF342" s="76">
        <v>65</v>
      </c>
      <c r="AG342" s="76">
        <v>13</v>
      </c>
      <c r="AH342" s="76">
        <v>44251</v>
      </c>
      <c r="AI342" s="76">
        <v>0</v>
      </c>
      <c r="AJ342" s="76">
        <v>23</v>
      </c>
      <c r="AK342" s="76">
        <v>0</v>
      </c>
      <c r="AL342" s="76" t="b">
        <v>0</v>
      </c>
      <c r="AM342" s="78">
        <v>44676.234756944446</v>
      </c>
      <c r="AN342" s="76"/>
      <c r="AO342" s="76" t="s">
        <v>19078</v>
      </c>
      <c r="AP342" s="83" t="str">
        <f>HYPERLINK("https://t.co/upXqhaDdoQ")</f>
        <v>https://t.co/upXqhaDdoQ</v>
      </c>
      <c r="AQ342" s="83" t="str">
        <f>HYPERLINK("https://t2id.com")</f>
        <v>https://t2id.com</v>
      </c>
      <c r="AR342" s="76" t="s">
        <v>19502</v>
      </c>
      <c r="AS342" s="76"/>
      <c r="AT342" s="76"/>
      <c r="AU342" s="76"/>
      <c r="AV342" s="76"/>
      <c r="AW342" s="83" t="str">
        <f>HYPERLINK("https://t.co/upXqhaDdoQ")</f>
        <v>https://t.co/upXqhaDdoQ</v>
      </c>
      <c r="AX342" s="76" t="b">
        <v>0</v>
      </c>
      <c r="AY342" s="76"/>
      <c r="AZ342" s="76"/>
      <c r="BA342" s="76" t="b">
        <v>0</v>
      </c>
      <c r="BB342" s="76" t="b">
        <v>1</v>
      </c>
      <c r="BC342" s="76" t="b">
        <v>1</v>
      </c>
      <c r="BD342" s="76" t="b">
        <v>0</v>
      </c>
      <c r="BE342" s="76" t="b">
        <v>0</v>
      </c>
      <c r="BF342" s="76" t="b">
        <v>0</v>
      </c>
      <c r="BG342" s="76" t="b">
        <v>0</v>
      </c>
      <c r="BH342" s="83" t="str">
        <f>HYPERLINK("https://pbs.twimg.com/profile_banners/1518464282589114373/1650865510")</f>
        <v>https://pbs.twimg.com/profile_banners/1518464282589114373/1650865510</v>
      </c>
      <c r="BI342" s="76"/>
      <c r="BJ342" s="76" t="s">
        <v>19734</v>
      </c>
      <c r="BK342" s="76" t="b">
        <v>0</v>
      </c>
      <c r="BL342" s="76"/>
      <c r="BM342" s="76" t="s">
        <v>66</v>
      </c>
      <c r="BN342" s="76" t="s">
        <v>19736</v>
      </c>
      <c r="BO342" s="83" t="str">
        <f>HYPERLINK("https://twitter.com/t2id_")</f>
        <v>https://twitter.com/t2id_</v>
      </c>
      <c r="BP342" s="2"/>
    </row>
    <row r="343" spans="1:68" x14ac:dyDescent="0.25">
      <c r="A343" s="62" t="s">
        <v>507</v>
      </c>
      <c r="B343" s="63"/>
      <c r="C343" s="63"/>
      <c r="D343" s="64"/>
      <c r="E343" s="66"/>
      <c r="F343" s="103" t="str">
        <f>HYPERLINK("https://pbs.twimg.com/profile_images/1582943349333532672/jSHnGkQs_normal.jpg")</f>
        <v>https://pbs.twimg.com/profile_images/1582943349333532672/jSHnGkQs_normal.jpg</v>
      </c>
      <c r="G343" s="63"/>
      <c r="H343" s="67"/>
      <c r="I343" s="68"/>
      <c r="J343" s="68"/>
      <c r="K343" s="67" t="s">
        <v>20076</v>
      </c>
      <c r="L343" s="71"/>
      <c r="M343" s="72"/>
      <c r="N343" s="72"/>
      <c r="O343" s="73"/>
      <c r="P343" s="74"/>
      <c r="Q343" s="74"/>
      <c r="R343" s="87"/>
      <c r="S343" s="87"/>
      <c r="T343" s="87"/>
      <c r="U343" s="87"/>
      <c r="V343" s="48"/>
      <c r="W343" s="48"/>
      <c r="X343" s="48"/>
      <c r="Y343" s="48"/>
      <c r="Z343" s="47"/>
      <c r="AA343" s="69">
        <v>343</v>
      </c>
      <c r="AB343" s="69"/>
      <c r="AC343" s="70"/>
      <c r="AD343" s="76" t="s">
        <v>18085</v>
      </c>
      <c r="AE343" s="81" t="s">
        <v>17589</v>
      </c>
      <c r="AF343" s="76">
        <v>89</v>
      </c>
      <c r="AG343" s="76">
        <v>806</v>
      </c>
      <c r="AH343" s="76">
        <v>4856</v>
      </c>
      <c r="AI343" s="76">
        <v>1</v>
      </c>
      <c r="AJ343" s="76">
        <v>9199</v>
      </c>
      <c r="AK343" s="76">
        <v>821</v>
      </c>
      <c r="AL343" s="76" t="b">
        <v>0</v>
      </c>
      <c r="AM343" s="78">
        <v>42750.115798611114</v>
      </c>
      <c r="AN343" s="76" t="s">
        <v>18681</v>
      </c>
      <c r="AO343" s="76" t="s">
        <v>19079</v>
      </c>
      <c r="AP343" s="83" t="str">
        <f>HYPERLINK("https://t.co/tIVq3VoUbG")</f>
        <v>https://t.co/tIVq3VoUbG</v>
      </c>
      <c r="AQ343" s="83" t="str">
        <f>HYPERLINK("https://www.embuscadaliberdade.com.br")</f>
        <v>https://www.embuscadaliberdade.com.br</v>
      </c>
      <c r="AR343" s="76" t="s">
        <v>19503</v>
      </c>
      <c r="AS343" s="76"/>
      <c r="AT343" s="76"/>
      <c r="AU343" s="76"/>
      <c r="AV343" s="76">
        <v>1.10081588675843E+18</v>
      </c>
      <c r="AW343" s="83" t="str">
        <f>HYPERLINK("https://t.co/tIVq3VoUbG")</f>
        <v>https://t.co/tIVq3VoUbG</v>
      </c>
      <c r="AX343" s="76" t="b">
        <v>0</v>
      </c>
      <c r="AY343" s="76"/>
      <c r="AZ343" s="76"/>
      <c r="BA343" s="76" t="b">
        <v>0</v>
      </c>
      <c r="BB343" s="76" t="b">
        <v>1</v>
      </c>
      <c r="BC343" s="76" t="b">
        <v>0</v>
      </c>
      <c r="BD343" s="76" t="b">
        <v>0</v>
      </c>
      <c r="BE343" s="76" t="b">
        <v>0</v>
      </c>
      <c r="BF343" s="76" t="b">
        <v>0</v>
      </c>
      <c r="BG343" s="76" t="b">
        <v>0</v>
      </c>
      <c r="BH343" s="83" t="str">
        <f>HYPERLINK("https://pbs.twimg.com/profile_banners/820462194282418176/1572036364")</f>
        <v>https://pbs.twimg.com/profile_banners/820462194282418176/1572036364</v>
      </c>
      <c r="BI343" s="76"/>
      <c r="BJ343" s="76" t="s">
        <v>19734</v>
      </c>
      <c r="BK343" s="76" t="b">
        <v>0</v>
      </c>
      <c r="BL343" s="76"/>
      <c r="BM343" s="76" t="s">
        <v>66</v>
      </c>
      <c r="BN343" s="76" t="s">
        <v>19736</v>
      </c>
      <c r="BO343" s="83" t="str">
        <f>HYPERLINK("https://twitter.com/gabriiiell_gb")</f>
        <v>https://twitter.com/gabriiiell_gb</v>
      </c>
      <c r="BP343" s="2"/>
    </row>
    <row r="344" spans="1:68" x14ac:dyDescent="0.25">
      <c r="A344" s="62" t="s">
        <v>508</v>
      </c>
      <c r="B344" s="63"/>
      <c r="C344" s="63"/>
      <c r="D344" s="64"/>
      <c r="E344" s="66"/>
      <c r="F344" s="103" t="str">
        <f>HYPERLINK("https://pbs.twimg.com/profile_images/1379448930539347970/l4l0elk1_normal.jpg")</f>
        <v>https://pbs.twimg.com/profile_images/1379448930539347970/l4l0elk1_normal.jpg</v>
      </c>
      <c r="G344" s="63"/>
      <c r="H344" s="67"/>
      <c r="I344" s="68"/>
      <c r="J344" s="68"/>
      <c r="K344" s="67" t="s">
        <v>20077</v>
      </c>
      <c r="L344" s="71"/>
      <c r="M344" s="72"/>
      <c r="N344" s="72"/>
      <c r="O344" s="73"/>
      <c r="P344" s="74"/>
      <c r="Q344" s="74"/>
      <c r="R344" s="87"/>
      <c r="S344" s="87"/>
      <c r="T344" s="87"/>
      <c r="U344" s="87"/>
      <c r="V344" s="48"/>
      <c r="W344" s="48"/>
      <c r="X344" s="48"/>
      <c r="Y344" s="48"/>
      <c r="Z344" s="47"/>
      <c r="AA344" s="69">
        <v>344</v>
      </c>
      <c r="AB344" s="69"/>
      <c r="AC344" s="70"/>
      <c r="AD344" s="76" t="s">
        <v>18086</v>
      </c>
      <c r="AE344" s="81" t="s">
        <v>17590</v>
      </c>
      <c r="AF344" s="76">
        <v>123</v>
      </c>
      <c r="AG344" s="76">
        <v>131</v>
      </c>
      <c r="AH344" s="76">
        <v>67497</v>
      </c>
      <c r="AI344" s="76">
        <v>3</v>
      </c>
      <c r="AJ344" s="76">
        <v>11641</v>
      </c>
      <c r="AK344" s="76">
        <v>51710</v>
      </c>
      <c r="AL344" s="76" t="b">
        <v>0</v>
      </c>
      <c r="AM344" s="78">
        <v>44005.526319444441</v>
      </c>
      <c r="AN344" s="76" t="s">
        <v>18682</v>
      </c>
      <c r="AO344" s="76" t="s">
        <v>19080</v>
      </c>
      <c r="AP344" s="83" t="str">
        <f>HYPERLINK("https://t.co/FPf3TArvDl")</f>
        <v>https://t.co/FPf3TArvDl</v>
      </c>
      <c r="AQ344" s="83" t="str">
        <f>HYPERLINK("https://linktr.ee/digital.profit1")</f>
        <v>https://linktr.ee/digital.profit1</v>
      </c>
      <c r="AR344" s="76" t="s">
        <v>19504</v>
      </c>
      <c r="AS344" s="76"/>
      <c r="AT344" s="76"/>
      <c r="AU344" s="76"/>
      <c r="AV344" s="76"/>
      <c r="AW344" s="83" t="str">
        <f>HYPERLINK("https://t.co/FPf3TArvDl")</f>
        <v>https://t.co/FPf3TArvDl</v>
      </c>
      <c r="AX344" s="76" t="b">
        <v>0</v>
      </c>
      <c r="AY344" s="76"/>
      <c r="AZ344" s="76"/>
      <c r="BA344" s="76" t="b">
        <v>0</v>
      </c>
      <c r="BB344" s="76" t="b">
        <v>1</v>
      </c>
      <c r="BC344" s="76" t="b">
        <v>1</v>
      </c>
      <c r="BD344" s="76" t="b">
        <v>0</v>
      </c>
      <c r="BE344" s="76" t="b">
        <v>0</v>
      </c>
      <c r="BF344" s="76" t="b">
        <v>0</v>
      </c>
      <c r="BG344" s="76" t="b">
        <v>0</v>
      </c>
      <c r="BH344" s="83" t="str">
        <f>HYPERLINK("https://pbs.twimg.com/profile_banners/1275407666320465924/1619632443")</f>
        <v>https://pbs.twimg.com/profile_banners/1275407666320465924/1619632443</v>
      </c>
      <c r="BI344" s="76"/>
      <c r="BJ344" s="76" t="s">
        <v>19734</v>
      </c>
      <c r="BK344" s="76" t="b">
        <v>0</v>
      </c>
      <c r="BL344" s="76"/>
      <c r="BM344" s="76" t="s">
        <v>66</v>
      </c>
      <c r="BN344" s="76" t="s">
        <v>19736</v>
      </c>
      <c r="BO344" s="83" t="str">
        <f>HYPERLINK("https://twitter.com/digital_profit1")</f>
        <v>https://twitter.com/digital_profit1</v>
      </c>
      <c r="BP344" s="2"/>
    </row>
    <row r="345" spans="1:68" x14ac:dyDescent="0.25">
      <c r="A345" s="62" t="s">
        <v>509</v>
      </c>
      <c r="B345" s="63"/>
      <c r="C345" s="63"/>
      <c r="D345" s="64"/>
      <c r="E345" s="66"/>
      <c r="F345" s="103" t="str">
        <f>HYPERLINK("https://pbs.twimg.com/profile_images/1695096176889020416/siqthmmn_normal.jpg")</f>
        <v>https://pbs.twimg.com/profile_images/1695096176889020416/siqthmmn_normal.jpg</v>
      </c>
      <c r="G345" s="63"/>
      <c r="H345" s="67"/>
      <c r="I345" s="68"/>
      <c r="J345" s="68"/>
      <c r="K345" s="67" t="s">
        <v>20078</v>
      </c>
      <c r="L345" s="71"/>
      <c r="M345" s="72"/>
      <c r="N345" s="72"/>
      <c r="O345" s="73"/>
      <c r="P345" s="74"/>
      <c r="Q345" s="74"/>
      <c r="R345" s="87"/>
      <c r="S345" s="87"/>
      <c r="T345" s="87"/>
      <c r="U345" s="87"/>
      <c r="V345" s="48"/>
      <c r="W345" s="48"/>
      <c r="X345" s="48"/>
      <c r="Y345" s="48"/>
      <c r="Z345" s="47"/>
      <c r="AA345" s="69">
        <v>345</v>
      </c>
      <c r="AB345" s="69"/>
      <c r="AC345" s="70"/>
      <c r="AD345" s="76" t="s">
        <v>18087</v>
      </c>
      <c r="AE345" s="81" t="s">
        <v>18462</v>
      </c>
      <c r="AF345" s="76">
        <v>79</v>
      </c>
      <c r="AG345" s="76">
        <v>28</v>
      </c>
      <c r="AH345" s="76">
        <v>1426</v>
      </c>
      <c r="AI345" s="76">
        <v>0</v>
      </c>
      <c r="AJ345" s="76">
        <v>463</v>
      </c>
      <c r="AK345" s="76">
        <v>556</v>
      </c>
      <c r="AL345" s="76" t="b">
        <v>0</v>
      </c>
      <c r="AM345" s="78">
        <v>41514.677997685183</v>
      </c>
      <c r="AN345" s="76" t="s">
        <v>18683</v>
      </c>
      <c r="AO345" s="76" t="s">
        <v>19081</v>
      </c>
      <c r="AP345" s="83" t="str">
        <f>HYPERLINK("https://t.co/JEmMit4K4i")</f>
        <v>https://t.co/JEmMit4K4i</v>
      </c>
      <c r="AQ345" s="83" t="str">
        <f>HYPERLINK("https://kontabil.net/")</f>
        <v>https://kontabil.net/</v>
      </c>
      <c r="AR345" s="76" t="s">
        <v>7119</v>
      </c>
      <c r="AS345" s="76"/>
      <c r="AT345" s="76"/>
      <c r="AU345" s="76"/>
      <c r="AV345" s="76">
        <v>1.6955777884832799E+18</v>
      </c>
      <c r="AW345" s="83" t="str">
        <f>HYPERLINK("https://t.co/JEmMit4K4i")</f>
        <v>https://t.co/JEmMit4K4i</v>
      </c>
      <c r="AX345" s="76" t="b">
        <v>0</v>
      </c>
      <c r="AY345" s="76"/>
      <c r="AZ345" s="76"/>
      <c r="BA345" s="76" t="b">
        <v>0</v>
      </c>
      <c r="BB345" s="76" t="b">
        <v>1</v>
      </c>
      <c r="BC345" s="76" t="b">
        <v>0</v>
      </c>
      <c r="BD345" s="76" t="b">
        <v>0</v>
      </c>
      <c r="BE345" s="76" t="b">
        <v>1</v>
      </c>
      <c r="BF345" s="76" t="b">
        <v>0</v>
      </c>
      <c r="BG345" s="76" t="b">
        <v>0</v>
      </c>
      <c r="BH345" s="83" t="str">
        <f>HYPERLINK("https://pbs.twimg.com/profile_banners/1707652002/1695067645")</f>
        <v>https://pbs.twimg.com/profile_banners/1707652002/1695067645</v>
      </c>
      <c r="BI345" s="76"/>
      <c r="BJ345" s="76" t="s">
        <v>19734</v>
      </c>
      <c r="BK345" s="76" t="b">
        <v>0</v>
      </c>
      <c r="BL345" s="76"/>
      <c r="BM345" s="76" t="s">
        <v>66</v>
      </c>
      <c r="BN345" s="76" t="s">
        <v>19736</v>
      </c>
      <c r="BO345" s="83" t="str">
        <f>HYPERLINK("https://twitter.com/contadorfred")</f>
        <v>https://twitter.com/contadorfred</v>
      </c>
      <c r="BP345" s="2"/>
    </row>
    <row r="346" spans="1:68" x14ac:dyDescent="0.25">
      <c r="A346" s="62" t="s">
        <v>510</v>
      </c>
      <c r="B346" s="63"/>
      <c r="C346" s="63"/>
      <c r="D346" s="64"/>
      <c r="E346" s="66"/>
      <c r="F346" s="103" t="str">
        <f>HYPERLINK("https://pbs.twimg.com/profile_images/1593269386919526400/K9Vw4SjY_normal.jpg")</f>
        <v>https://pbs.twimg.com/profile_images/1593269386919526400/K9Vw4SjY_normal.jpg</v>
      </c>
      <c r="G346" s="63"/>
      <c r="H346" s="67"/>
      <c r="I346" s="68"/>
      <c r="J346" s="68"/>
      <c r="K346" s="67" t="s">
        <v>20079</v>
      </c>
      <c r="L346" s="71"/>
      <c r="M346" s="72"/>
      <c r="N346" s="72"/>
      <c r="O346" s="73"/>
      <c r="P346" s="74"/>
      <c r="Q346" s="74"/>
      <c r="R346" s="87"/>
      <c r="S346" s="87"/>
      <c r="T346" s="87"/>
      <c r="U346" s="87"/>
      <c r="V346" s="48"/>
      <c r="W346" s="48"/>
      <c r="X346" s="48"/>
      <c r="Y346" s="48"/>
      <c r="Z346" s="47"/>
      <c r="AA346" s="69">
        <v>346</v>
      </c>
      <c r="AB346" s="69"/>
      <c r="AC346" s="70"/>
      <c r="AD346" s="76" t="s">
        <v>18088</v>
      </c>
      <c r="AE346" s="81" t="s">
        <v>17591</v>
      </c>
      <c r="AF346" s="76">
        <v>8</v>
      </c>
      <c r="AG346" s="76">
        <v>29</v>
      </c>
      <c r="AH346" s="76">
        <v>61</v>
      </c>
      <c r="AI346" s="76">
        <v>0</v>
      </c>
      <c r="AJ346" s="76">
        <v>14</v>
      </c>
      <c r="AK346" s="76">
        <v>10</v>
      </c>
      <c r="AL346" s="76" t="b">
        <v>0</v>
      </c>
      <c r="AM346" s="78">
        <v>44882.657372685186</v>
      </c>
      <c r="AN346" s="76"/>
      <c r="AO346" s="76"/>
      <c r="AP346" s="76"/>
      <c r="AQ346" s="76"/>
      <c r="AR346" s="76"/>
      <c r="AS346" s="76"/>
      <c r="AT346" s="76"/>
      <c r="AU346" s="76"/>
      <c r="AV346" s="76"/>
      <c r="AW346" s="76"/>
      <c r="AX346" s="76" t="b">
        <v>0</v>
      </c>
      <c r="AY346" s="76"/>
      <c r="AZ346" s="76"/>
      <c r="BA346" s="76" t="b">
        <v>0</v>
      </c>
      <c r="BB346" s="76" t="b">
        <v>1</v>
      </c>
      <c r="BC346" s="76" t="b">
        <v>1</v>
      </c>
      <c r="BD346" s="76" t="b">
        <v>0</v>
      </c>
      <c r="BE346" s="76" t="b">
        <v>0</v>
      </c>
      <c r="BF346" s="76" t="b">
        <v>0</v>
      </c>
      <c r="BG346" s="76" t="b">
        <v>0</v>
      </c>
      <c r="BH346" s="76"/>
      <c r="BI346" s="76"/>
      <c r="BJ346" s="76" t="s">
        <v>19734</v>
      </c>
      <c r="BK346" s="76" t="b">
        <v>0</v>
      </c>
      <c r="BL346" s="76"/>
      <c r="BM346" s="76" t="s">
        <v>66</v>
      </c>
      <c r="BN346" s="76" t="s">
        <v>19736</v>
      </c>
      <c r="BO346" s="83" t="str">
        <f>HYPERLINK("https://twitter.com/arhursantos")</f>
        <v>https://twitter.com/arhursantos</v>
      </c>
      <c r="BP346" s="2"/>
    </row>
    <row r="347" spans="1:68" x14ac:dyDescent="0.25">
      <c r="A347" s="62" t="s">
        <v>511</v>
      </c>
      <c r="B347" s="63"/>
      <c r="C347" s="63"/>
      <c r="D347" s="64"/>
      <c r="E347" s="66"/>
      <c r="F347" s="103" t="str">
        <f>HYPERLINK("https://pbs.twimg.com/profile_images/1659223740339634179/kmGlmFwA_normal.jpg")</f>
        <v>https://pbs.twimg.com/profile_images/1659223740339634179/kmGlmFwA_normal.jpg</v>
      </c>
      <c r="G347" s="63"/>
      <c r="H347" s="67"/>
      <c r="I347" s="68"/>
      <c r="J347" s="68"/>
      <c r="K347" s="67" t="s">
        <v>20080</v>
      </c>
      <c r="L347" s="71"/>
      <c r="M347" s="72"/>
      <c r="N347" s="72"/>
      <c r="O347" s="73"/>
      <c r="P347" s="74"/>
      <c r="Q347" s="74"/>
      <c r="R347" s="87"/>
      <c r="S347" s="87"/>
      <c r="T347" s="87"/>
      <c r="U347" s="87"/>
      <c r="V347" s="48"/>
      <c r="W347" s="48"/>
      <c r="X347" s="48"/>
      <c r="Y347" s="48"/>
      <c r="Z347" s="47"/>
      <c r="AA347" s="69">
        <v>347</v>
      </c>
      <c r="AB347" s="69"/>
      <c r="AC347" s="70"/>
      <c r="AD347" s="76" t="s">
        <v>18089</v>
      </c>
      <c r="AE347" s="81" t="s">
        <v>17592</v>
      </c>
      <c r="AF347" s="76">
        <v>146</v>
      </c>
      <c r="AG347" s="76">
        <v>280</v>
      </c>
      <c r="AH347" s="76">
        <v>1874</v>
      </c>
      <c r="AI347" s="76">
        <v>2</v>
      </c>
      <c r="AJ347" s="76">
        <v>796</v>
      </c>
      <c r="AK347" s="76">
        <v>130</v>
      </c>
      <c r="AL347" s="76" t="b">
        <v>0</v>
      </c>
      <c r="AM347" s="78">
        <v>44128.602175925924</v>
      </c>
      <c r="AN347" s="76"/>
      <c r="AO347" s="76" t="s">
        <v>19082</v>
      </c>
      <c r="AP347" s="83" t="str">
        <f>HYPERLINK("https://t.co/YovEoYYsGE")</f>
        <v>https://t.co/YovEoYYsGE</v>
      </c>
      <c r="AQ347" s="83" t="str">
        <f>HYPERLINK("https://conecta.bio/viciodeinvestidor")</f>
        <v>https://conecta.bio/viciodeinvestidor</v>
      </c>
      <c r="AR347" s="76" t="s">
        <v>19505</v>
      </c>
      <c r="AS347" s="76"/>
      <c r="AT347" s="76"/>
      <c r="AU347" s="76"/>
      <c r="AV347" s="76"/>
      <c r="AW347" s="83" t="str">
        <f>HYPERLINK("https://t.co/YovEoYYsGE")</f>
        <v>https://t.co/YovEoYYsGE</v>
      </c>
      <c r="AX347" s="76" t="b">
        <v>0</v>
      </c>
      <c r="AY347" s="76"/>
      <c r="AZ347" s="76"/>
      <c r="BA347" s="76" t="b">
        <v>0</v>
      </c>
      <c r="BB347" s="76" t="b">
        <v>1</v>
      </c>
      <c r="BC347" s="76" t="b">
        <v>1</v>
      </c>
      <c r="BD347" s="76" t="b">
        <v>0</v>
      </c>
      <c r="BE347" s="76" t="b">
        <v>0</v>
      </c>
      <c r="BF347" s="76" t="b">
        <v>0</v>
      </c>
      <c r="BG347" s="76" t="b">
        <v>0</v>
      </c>
      <c r="BH347" s="83" t="str">
        <f>HYPERLINK("https://pbs.twimg.com/profile_banners/1320008883658686465/1667471304")</f>
        <v>https://pbs.twimg.com/profile_banners/1320008883658686465/1667471304</v>
      </c>
      <c r="BI347" s="76"/>
      <c r="BJ347" s="76" t="s">
        <v>19734</v>
      </c>
      <c r="BK347" s="76" t="b">
        <v>0</v>
      </c>
      <c r="BL347" s="76"/>
      <c r="BM347" s="76" t="s">
        <v>66</v>
      </c>
      <c r="BN347" s="76" t="s">
        <v>19736</v>
      </c>
      <c r="BO347" s="83" t="str">
        <f>HYPERLINK("https://twitter.com/viciodeinvestid")</f>
        <v>https://twitter.com/viciodeinvestid</v>
      </c>
      <c r="BP347" s="2"/>
    </row>
    <row r="348" spans="1:68" x14ac:dyDescent="0.25">
      <c r="A348" s="62" t="s">
        <v>512</v>
      </c>
      <c r="B348" s="63"/>
      <c r="C348" s="63"/>
      <c r="D348" s="64"/>
      <c r="E348" s="66"/>
      <c r="F348" s="103" t="str">
        <f>HYPERLINK("https://pbs.twimg.com/profile_images/1610890499480604672/yhHNTgnc_normal.jpg")</f>
        <v>https://pbs.twimg.com/profile_images/1610890499480604672/yhHNTgnc_normal.jpg</v>
      </c>
      <c r="G348" s="63"/>
      <c r="H348" s="67"/>
      <c r="I348" s="68"/>
      <c r="J348" s="68"/>
      <c r="K348" s="67" t="s">
        <v>20081</v>
      </c>
      <c r="L348" s="71"/>
      <c r="M348" s="72"/>
      <c r="N348" s="72"/>
      <c r="O348" s="73"/>
      <c r="P348" s="74"/>
      <c r="Q348" s="74"/>
      <c r="R348" s="87"/>
      <c r="S348" s="87"/>
      <c r="T348" s="87"/>
      <c r="U348" s="87"/>
      <c r="V348" s="48"/>
      <c r="W348" s="48"/>
      <c r="X348" s="48"/>
      <c r="Y348" s="48"/>
      <c r="Z348" s="47"/>
      <c r="AA348" s="69">
        <v>348</v>
      </c>
      <c r="AB348" s="69"/>
      <c r="AC348" s="70"/>
      <c r="AD348" s="76" t="s">
        <v>18090</v>
      </c>
      <c r="AE348" s="81" t="s">
        <v>17593</v>
      </c>
      <c r="AF348" s="76">
        <v>100</v>
      </c>
      <c r="AG348" s="76">
        <v>2</v>
      </c>
      <c r="AH348" s="76">
        <v>295</v>
      </c>
      <c r="AI348" s="76">
        <v>1</v>
      </c>
      <c r="AJ348" s="76">
        <v>6</v>
      </c>
      <c r="AK348" s="76">
        <v>20</v>
      </c>
      <c r="AL348" s="76" t="b">
        <v>0</v>
      </c>
      <c r="AM348" s="78">
        <v>44776.362569444442</v>
      </c>
      <c r="AN348" s="76"/>
      <c r="AO348" s="76" t="s">
        <v>19083</v>
      </c>
      <c r="AP348" s="83" t="str">
        <f>HYPERLINK("https://t.co/RKAcBMVLEP")</f>
        <v>https://t.co/RKAcBMVLEP</v>
      </c>
      <c r="AQ348" s="83" t="str">
        <f>HYPERLINK("https://investidorprudente.com")</f>
        <v>https://investidorprudente.com</v>
      </c>
      <c r="AR348" s="76" t="s">
        <v>7120</v>
      </c>
      <c r="AS348" s="76"/>
      <c r="AT348" s="76"/>
      <c r="AU348" s="76"/>
      <c r="AV348" s="76"/>
      <c r="AW348" s="83" t="str">
        <f>HYPERLINK("https://t.co/RKAcBMVLEP")</f>
        <v>https://t.co/RKAcBMVLEP</v>
      </c>
      <c r="AX348" s="76" t="b">
        <v>0</v>
      </c>
      <c r="AY348" s="76"/>
      <c r="AZ348" s="76"/>
      <c r="BA348" s="76" t="b">
        <v>0</v>
      </c>
      <c r="BB348" s="76" t="b">
        <v>1</v>
      </c>
      <c r="BC348" s="76" t="b">
        <v>1</v>
      </c>
      <c r="BD348" s="76" t="b">
        <v>0</v>
      </c>
      <c r="BE348" s="76" t="b">
        <v>0</v>
      </c>
      <c r="BF348" s="76" t="b">
        <v>0</v>
      </c>
      <c r="BG348" s="76" t="b">
        <v>0</v>
      </c>
      <c r="BH348" s="83" t="str">
        <f>HYPERLINK("https://pbs.twimg.com/profile_banners/1554749349061591040/1672910630")</f>
        <v>https://pbs.twimg.com/profile_banners/1554749349061591040/1672910630</v>
      </c>
      <c r="BI348" s="76"/>
      <c r="BJ348" s="76" t="s">
        <v>19734</v>
      </c>
      <c r="BK348" s="76" t="b">
        <v>0</v>
      </c>
      <c r="BL348" s="76"/>
      <c r="BM348" s="76" t="s">
        <v>66</v>
      </c>
      <c r="BN348" s="76" t="s">
        <v>19736</v>
      </c>
      <c r="BO348" s="83" t="str">
        <f>HYPERLINK("https://twitter.com/prudente_ip")</f>
        <v>https://twitter.com/prudente_ip</v>
      </c>
      <c r="BP348" s="2"/>
    </row>
    <row r="349" spans="1:68" x14ac:dyDescent="0.25">
      <c r="A349" s="62" t="s">
        <v>513</v>
      </c>
      <c r="B349" s="63"/>
      <c r="C349" s="63"/>
      <c r="D349" s="64"/>
      <c r="E349" s="66"/>
      <c r="F349" s="103" t="str">
        <f>HYPERLINK("https://pbs.twimg.com/profile_images/1377746086446694403/Xn4eshg-_normal.jpg")</f>
        <v>https://pbs.twimg.com/profile_images/1377746086446694403/Xn4eshg-_normal.jpg</v>
      </c>
      <c r="G349" s="63"/>
      <c r="H349" s="67"/>
      <c r="I349" s="68"/>
      <c r="J349" s="68"/>
      <c r="K349" s="67" t="s">
        <v>20082</v>
      </c>
      <c r="L349" s="71"/>
      <c r="M349" s="72"/>
      <c r="N349" s="72"/>
      <c r="O349" s="73"/>
      <c r="P349" s="74"/>
      <c r="Q349" s="74"/>
      <c r="R349" s="87"/>
      <c r="S349" s="87"/>
      <c r="T349" s="87"/>
      <c r="U349" s="87"/>
      <c r="V349" s="48"/>
      <c r="W349" s="48"/>
      <c r="X349" s="48"/>
      <c r="Y349" s="48"/>
      <c r="Z349" s="47"/>
      <c r="AA349" s="69">
        <v>349</v>
      </c>
      <c r="AB349" s="69"/>
      <c r="AC349" s="70"/>
      <c r="AD349" s="76" t="s">
        <v>18091</v>
      </c>
      <c r="AE349" s="81" t="s">
        <v>17355</v>
      </c>
      <c r="AF349" s="76">
        <v>698</v>
      </c>
      <c r="AG349" s="76">
        <v>28</v>
      </c>
      <c r="AH349" s="76">
        <v>5728</v>
      </c>
      <c r="AI349" s="76">
        <v>7</v>
      </c>
      <c r="AJ349" s="76">
        <v>85</v>
      </c>
      <c r="AK349" s="76">
        <v>67</v>
      </c>
      <c r="AL349" s="76" t="b">
        <v>0</v>
      </c>
      <c r="AM349" s="78">
        <v>44287.918854166666</v>
      </c>
      <c r="AN349" s="76" t="s">
        <v>18684</v>
      </c>
      <c r="AO349" s="76" t="s">
        <v>19084</v>
      </c>
      <c r="AP349" s="83" t="str">
        <f>HYPERLINK("https://t.co/fax9unJstw")</f>
        <v>https://t.co/fax9unJstw</v>
      </c>
      <c r="AQ349" s="83" t="str">
        <f>HYPERLINK("https://linktr.ee/grana_capital")</f>
        <v>https://linktr.ee/grana_capital</v>
      </c>
      <c r="AR349" s="76" t="s">
        <v>19506</v>
      </c>
      <c r="AS349" s="76"/>
      <c r="AT349" s="76"/>
      <c r="AU349" s="76"/>
      <c r="AV349" s="76">
        <v>1.70456824544803E+18</v>
      </c>
      <c r="AW349" s="83" t="str">
        <f>HYPERLINK("https://t.co/fax9unJstw")</f>
        <v>https://t.co/fax9unJstw</v>
      </c>
      <c r="AX349" s="76" t="b">
        <v>0</v>
      </c>
      <c r="AY349" s="76"/>
      <c r="AZ349" s="76"/>
      <c r="BA349" s="76" t="b">
        <v>1</v>
      </c>
      <c r="BB349" s="76" t="b">
        <v>1</v>
      </c>
      <c r="BC349" s="76" t="b">
        <v>1</v>
      </c>
      <c r="BD349" s="76" t="b">
        <v>0</v>
      </c>
      <c r="BE349" s="76" t="b">
        <v>0</v>
      </c>
      <c r="BF349" s="76" t="b">
        <v>0</v>
      </c>
      <c r="BG349" s="76" t="b">
        <v>0</v>
      </c>
      <c r="BH349" s="83" t="str">
        <f>HYPERLINK("https://pbs.twimg.com/profile_banners/1377743124844445701/1695234053")</f>
        <v>https://pbs.twimg.com/profile_banners/1377743124844445701/1695234053</v>
      </c>
      <c r="BI349" s="76"/>
      <c r="BJ349" s="76" t="s">
        <v>19734</v>
      </c>
      <c r="BK349" s="76" t="b">
        <v>0</v>
      </c>
      <c r="BL349" s="76"/>
      <c r="BM349" s="76" t="s">
        <v>66</v>
      </c>
      <c r="BN349" s="76" t="s">
        <v>19736</v>
      </c>
      <c r="BO349" s="83" t="str">
        <f>HYPERLINK("https://twitter.com/granacapital")</f>
        <v>https://twitter.com/granacapital</v>
      </c>
      <c r="BP349" s="2"/>
    </row>
    <row r="350" spans="1:68" x14ac:dyDescent="0.25">
      <c r="A350" s="62" t="s">
        <v>514</v>
      </c>
      <c r="B350" s="63"/>
      <c r="C350" s="63"/>
      <c r="D350" s="64"/>
      <c r="E350" s="66"/>
      <c r="F350" s="103" t="str">
        <f>HYPERLINK("https://pbs.twimg.com/profile_images/1285216485846245376/YYJMxEpd_normal.jpg")</f>
        <v>https://pbs.twimg.com/profile_images/1285216485846245376/YYJMxEpd_normal.jpg</v>
      </c>
      <c r="G350" s="63"/>
      <c r="H350" s="67"/>
      <c r="I350" s="68"/>
      <c r="J350" s="68"/>
      <c r="K350" s="67" t="s">
        <v>20083</v>
      </c>
      <c r="L350" s="71"/>
      <c r="M350" s="72"/>
      <c r="N350" s="72"/>
      <c r="O350" s="73"/>
      <c r="P350" s="74"/>
      <c r="Q350" s="74"/>
      <c r="R350" s="87"/>
      <c r="S350" s="87"/>
      <c r="T350" s="87"/>
      <c r="U350" s="87"/>
      <c r="V350" s="48"/>
      <c r="W350" s="48"/>
      <c r="X350" s="48"/>
      <c r="Y350" s="48"/>
      <c r="Z350" s="47"/>
      <c r="AA350" s="69">
        <v>350</v>
      </c>
      <c r="AB350" s="69"/>
      <c r="AC350" s="70"/>
      <c r="AD350" s="76" t="s">
        <v>18092</v>
      </c>
      <c r="AE350" s="81" t="s">
        <v>17356</v>
      </c>
      <c r="AF350" s="76">
        <v>534</v>
      </c>
      <c r="AG350" s="76">
        <v>1</v>
      </c>
      <c r="AH350" s="76">
        <v>761</v>
      </c>
      <c r="AI350" s="76">
        <v>8</v>
      </c>
      <c r="AJ350" s="76">
        <v>568</v>
      </c>
      <c r="AK350" s="76">
        <v>435</v>
      </c>
      <c r="AL350" s="76" t="b">
        <v>0</v>
      </c>
      <c r="AM350" s="78">
        <v>44005.877766203703</v>
      </c>
      <c r="AN350" s="76" t="s">
        <v>12040</v>
      </c>
      <c r="AO350" s="76" t="s">
        <v>19085</v>
      </c>
      <c r="AP350" s="83" t="str">
        <f>HYPERLINK("https://t.co/mKQk5hkmXY")</f>
        <v>https://t.co/mKQk5hkmXY</v>
      </c>
      <c r="AQ350" s="83" t="str">
        <f>HYPERLINK("http://sfainvestimentos.com.br")</f>
        <v>http://sfainvestimentos.com.br</v>
      </c>
      <c r="AR350" s="76" t="s">
        <v>19507</v>
      </c>
      <c r="AS350" s="76"/>
      <c r="AT350" s="76"/>
      <c r="AU350" s="76"/>
      <c r="AV350" s="76"/>
      <c r="AW350" s="83" t="str">
        <f>HYPERLINK("https://t.co/mKQk5hkmXY")</f>
        <v>https://t.co/mKQk5hkmXY</v>
      </c>
      <c r="AX350" s="76" t="b">
        <v>0</v>
      </c>
      <c r="AY350" s="76"/>
      <c r="AZ350" s="76"/>
      <c r="BA350" s="76" t="b">
        <v>0</v>
      </c>
      <c r="BB350" s="76" t="b">
        <v>1</v>
      </c>
      <c r="BC350" s="76" t="b">
        <v>1</v>
      </c>
      <c r="BD350" s="76" t="b">
        <v>0</v>
      </c>
      <c r="BE350" s="76" t="b">
        <v>0</v>
      </c>
      <c r="BF350" s="76" t="b">
        <v>0</v>
      </c>
      <c r="BG350" s="76" t="b">
        <v>0</v>
      </c>
      <c r="BH350" s="83" t="str">
        <f>HYPERLINK("https://pbs.twimg.com/profile_banners/1275534875550978060/1595283057")</f>
        <v>https://pbs.twimg.com/profile_banners/1275534875550978060/1595283057</v>
      </c>
      <c r="BI350" s="76"/>
      <c r="BJ350" s="76" t="s">
        <v>19734</v>
      </c>
      <c r="BK350" s="76" t="b">
        <v>0</v>
      </c>
      <c r="BL350" s="76"/>
      <c r="BM350" s="76" t="s">
        <v>66</v>
      </c>
      <c r="BN350" s="76" t="s">
        <v>19736</v>
      </c>
      <c r="BO350" s="83" t="str">
        <f>HYPERLINK("https://twitter.com/sfainvest")</f>
        <v>https://twitter.com/sfainvest</v>
      </c>
      <c r="BP350" s="2"/>
    </row>
    <row r="351" spans="1:68" x14ac:dyDescent="0.25">
      <c r="A351" s="62" t="s">
        <v>515</v>
      </c>
      <c r="B351" s="63"/>
      <c r="C351" s="63"/>
      <c r="D351" s="64"/>
      <c r="E351" s="66"/>
      <c r="F351" s="103" t="str">
        <f>HYPERLINK("https://pbs.twimg.com/profile_images/1544429274689593344/lR8dzIm9_normal.jpg")</f>
        <v>https://pbs.twimg.com/profile_images/1544429274689593344/lR8dzIm9_normal.jpg</v>
      </c>
      <c r="G351" s="63"/>
      <c r="H351" s="67"/>
      <c r="I351" s="68"/>
      <c r="J351" s="68"/>
      <c r="K351" s="67" t="s">
        <v>20084</v>
      </c>
      <c r="L351" s="71"/>
      <c r="M351" s="72"/>
      <c r="N351" s="72"/>
      <c r="O351" s="73"/>
      <c r="P351" s="74"/>
      <c r="Q351" s="74"/>
      <c r="R351" s="87"/>
      <c r="S351" s="87"/>
      <c r="T351" s="87"/>
      <c r="U351" s="87"/>
      <c r="V351" s="48"/>
      <c r="W351" s="48"/>
      <c r="X351" s="48"/>
      <c r="Y351" s="48"/>
      <c r="Z351" s="47"/>
      <c r="AA351" s="69">
        <v>351</v>
      </c>
      <c r="AB351" s="69"/>
      <c r="AC351" s="70"/>
      <c r="AD351" s="76" t="s">
        <v>18093</v>
      </c>
      <c r="AE351" s="81" t="s">
        <v>17594</v>
      </c>
      <c r="AF351" s="76">
        <v>89</v>
      </c>
      <c r="AG351" s="76">
        <v>26</v>
      </c>
      <c r="AH351" s="76">
        <v>434</v>
      </c>
      <c r="AI351" s="76">
        <v>4</v>
      </c>
      <c r="AJ351" s="76">
        <v>66</v>
      </c>
      <c r="AK351" s="76">
        <v>326</v>
      </c>
      <c r="AL351" s="76" t="b">
        <v>0</v>
      </c>
      <c r="AM351" s="78">
        <v>44592.058078703703</v>
      </c>
      <c r="AN351" s="76" t="s">
        <v>18685</v>
      </c>
      <c r="AO351" s="76" t="s">
        <v>19086</v>
      </c>
      <c r="AP351" s="83" t="str">
        <f>HYPERLINK("https://t.co/fEyQO6jpSM")</f>
        <v>https://t.co/fEyQO6jpSM</v>
      </c>
      <c r="AQ351" s="83" t="str">
        <f>HYPERLINK("https://www.gerandoalfa.com.br/")</f>
        <v>https://www.gerandoalfa.com.br/</v>
      </c>
      <c r="AR351" s="76" t="s">
        <v>19508</v>
      </c>
      <c r="AS351" s="76"/>
      <c r="AT351" s="76"/>
      <c r="AU351" s="76"/>
      <c r="AV351" s="76">
        <v>1.4879698073330501E+18</v>
      </c>
      <c r="AW351" s="83" t="str">
        <f>HYPERLINK("https://t.co/fEyQO6jpSM")</f>
        <v>https://t.co/fEyQO6jpSM</v>
      </c>
      <c r="AX351" s="76" t="b">
        <v>0</v>
      </c>
      <c r="AY351" s="76"/>
      <c r="AZ351" s="76"/>
      <c r="BA351" s="76" t="b">
        <v>0</v>
      </c>
      <c r="BB351" s="76" t="b">
        <v>1</v>
      </c>
      <c r="BC351" s="76" t="b">
        <v>1</v>
      </c>
      <c r="BD351" s="76" t="b">
        <v>0</v>
      </c>
      <c r="BE351" s="76" t="b">
        <v>0</v>
      </c>
      <c r="BF351" s="76" t="b">
        <v>0</v>
      </c>
      <c r="BG351" s="76" t="b">
        <v>0</v>
      </c>
      <c r="BH351" s="83" t="str">
        <f>HYPERLINK("https://pbs.twimg.com/profile_banners/1487959577551327232/1643593970")</f>
        <v>https://pbs.twimg.com/profile_banners/1487959577551327232/1643593970</v>
      </c>
      <c r="BI351" s="76"/>
      <c r="BJ351" s="76" t="s">
        <v>19734</v>
      </c>
      <c r="BK351" s="76" t="b">
        <v>0</v>
      </c>
      <c r="BL351" s="76"/>
      <c r="BM351" s="76" t="s">
        <v>66</v>
      </c>
      <c r="BN351" s="76" t="s">
        <v>19736</v>
      </c>
      <c r="BO351" s="83" t="str">
        <f>HYPERLINK("https://twitter.com/kaio_csilva")</f>
        <v>https://twitter.com/kaio_csilva</v>
      </c>
      <c r="BP351" s="2"/>
    </row>
    <row r="352" spans="1:68" x14ac:dyDescent="0.25">
      <c r="A352" s="62" t="s">
        <v>778</v>
      </c>
      <c r="B352" s="63"/>
      <c r="C352" s="63"/>
      <c r="D352" s="64"/>
      <c r="E352" s="66"/>
      <c r="F352" s="103" t="str">
        <f>HYPERLINK("https://pbs.twimg.com/profile_images/1658459136030388225/q8ac1wI7_normal.jpg")</f>
        <v>https://pbs.twimg.com/profile_images/1658459136030388225/q8ac1wI7_normal.jpg</v>
      </c>
      <c r="G352" s="63"/>
      <c r="H352" s="67"/>
      <c r="I352" s="68"/>
      <c r="J352" s="68"/>
      <c r="K352" s="67" t="s">
        <v>20085</v>
      </c>
      <c r="L352" s="71"/>
      <c r="M352" s="72"/>
      <c r="N352" s="72"/>
      <c r="O352" s="73"/>
      <c r="P352" s="74"/>
      <c r="Q352" s="74"/>
      <c r="R352" s="87"/>
      <c r="S352" s="87"/>
      <c r="T352" s="87"/>
      <c r="U352" s="87"/>
      <c r="V352" s="48"/>
      <c r="W352" s="48"/>
      <c r="X352" s="48"/>
      <c r="Y352" s="48"/>
      <c r="Z352" s="47"/>
      <c r="AA352" s="69">
        <v>352</v>
      </c>
      <c r="AB352" s="69"/>
      <c r="AC352" s="70"/>
      <c r="AD352" s="76" t="s">
        <v>18094</v>
      </c>
      <c r="AE352" s="81" t="s">
        <v>18463</v>
      </c>
      <c r="AF352" s="76">
        <v>508451</v>
      </c>
      <c r="AG352" s="76">
        <v>485</v>
      </c>
      <c r="AH352" s="76">
        <v>25887</v>
      </c>
      <c r="AI352" s="76">
        <v>11024</v>
      </c>
      <c r="AJ352" s="76">
        <v>27308</v>
      </c>
      <c r="AK352" s="76">
        <v>3939</v>
      </c>
      <c r="AL352" s="76" t="b">
        <v>0</v>
      </c>
      <c r="AM352" s="78">
        <v>40024.764293981483</v>
      </c>
      <c r="AN352" s="76" t="s">
        <v>18686</v>
      </c>
      <c r="AO352" s="76" t="s">
        <v>19087</v>
      </c>
      <c r="AP352" s="83" t="str">
        <f>HYPERLINK("https://t.co/y2dsG7jS42")</f>
        <v>https://t.co/y2dsG7jS42</v>
      </c>
      <c r="AQ352" s="83" t="str">
        <f>HYPERLINK("https://brianferoldi.com/newsletter")</f>
        <v>https://brianferoldi.com/newsletter</v>
      </c>
      <c r="AR352" s="76" t="s">
        <v>19509</v>
      </c>
      <c r="AS352" s="76"/>
      <c r="AT352" s="76"/>
      <c r="AU352" s="76"/>
      <c r="AV352" s="76">
        <v>1.6765590683521101E+18</v>
      </c>
      <c r="AW352" s="83" t="str">
        <f>HYPERLINK("https://t.co/y2dsG7jS42")</f>
        <v>https://t.co/y2dsG7jS42</v>
      </c>
      <c r="AX352" s="76" t="b">
        <v>1</v>
      </c>
      <c r="AY352" s="76"/>
      <c r="AZ352" s="76"/>
      <c r="BA352" s="76" t="b">
        <v>1</v>
      </c>
      <c r="BB352" s="76" t="b">
        <v>0</v>
      </c>
      <c r="BC352" s="76" t="b">
        <v>1</v>
      </c>
      <c r="BD352" s="76" t="b">
        <v>0</v>
      </c>
      <c r="BE352" s="76" t="b">
        <v>1</v>
      </c>
      <c r="BF352" s="76" t="b">
        <v>0</v>
      </c>
      <c r="BG352" s="76" t="b">
        <v>0</v>
      </c>
      <c r="BH352" s="83" t="str">
        <f>HYPERLINK("https://pbs.twimg.com/profile_banners/61558281/1658943190")</f>
        <v>https://pbs.twimg.com/profile_banners/61558281/1658943190</v>
      </c>
      <c r="BI352" s="76"/>
      <c r="BJ352" s="76" t="s">
        <v>19734</v>
      </c>
      <c r="BK352" s="76" t="b">
        <v>0</v>
      </c>
      <c r="BL352" s="76"/>
      <c r="BM352" s="76" t="s">
        <v>65</v>
      </c>
      <c r="BN352" s="76" t="s">
        <v>19736</v>
      </c>
      <c r="BO352" s="83" t="str">
        <f>HYPERLINK("https://twitter.com/brianferoldi")</f>
        <v>https://twitter.com/brianferoldi</v>
      </c>
      <c r="BP352" s="2"/>
    </row>
    <row r="353" spans="1:68" x14ac:dyDescent="0.25">
      <c r="A353" s="62" t="s">
        <v>516</v>
      </c>
      <c r="B353" s="63"/>
      <c r="C353" s="63"/>
      <c r="D353" s="64"/>
      <c r="E353" s="66"/>
      <c r="F353" s="103" t="str">
        <f>HYPERLINK("https://pbs.twimg.com/profile_images/1631720949522341891/Wv7JBC7c_normal.jpg")</f>
        <v>https://pbs.twimg.com/profile_images/1631720949522341891/Wv7JBC7c_normal.jpg</v>
      </c>
      <c r="G353" s="63"/>
      <c r="H353" s="67"/>
      <c r="I353" s="68"/>
      <c r="J353" s="68"/>
      <c r="K353" s="67" t="s">
        <v>20086</v>
      </c>
      <c r="L353" s="71"/>
      <c r="M353" s="72"/>
      <c r="N353" s="72"/>
      <c r="O353" s="73"/>
      <c r="P353" s="74"/>
      <c r="Q353" s="74"/>
      <c r="R353" s="87"/>
      <c r="S353" s="87"/>
      <c r="T353" s="87"/>
      <c r="U353" s="87"/>
      <c r="V353" s="48"/>
      <c r="W353" s="48"/>
      <c r="X353" s="48"/>
      <c r="Y353" s="48"/>
      <c r="Z353" s="47"/>
      <c r="AA353" s="69">
        <v>353</v>
      </c>
      <c r="AB353" s="69"/>
      <c r="AC353" s="70"/>
      <c r="AD353" s="76" t="s">
        <v>18095</v>
      </c>
      <c r="AE353" s="81" t="s">
        <v>17357</v>
      </c>
      <c r="AF353" s="76">
        <v>778058</v>
      </c>
      <c r="AG353" s="76">
        <v>76</v>
      </c>
      <c r="AH353" s="76">
        <v>100530</v>
      </c>
      <c r="AI353" s="76">
        <v>891</v>
      </c>
      <c r="AJ353" s="76">
        <v>3756</v>
      </c>
      <c r="AK353" s="76">
        <v>5612</v>
      </c>
      <c r="AL353" s="76" t="b">
        <v>0</v>
      </c>
      <c r="AM353" s="78">
        <v>40074.568472222221</v>
      </c>
      <c r="AN353" s="76" t="s">
        <v>12014</v>
      </c>
      <c r="AO353" s="76" t="s">
        <v>19088</v>
      </c>
      <c r="AP353" s="83" t="str">
        <f>HYPERLINK("https://t.co/4pmhkEiqxD")</f>
        <v>https://t.co/4pmhkEiqxD</v>
      </c>
      <c r="AQ353" s="83" t="str">
        <f>HYPERLINK("http://www.cptm.sp.gov.br")</f>
        <v>http://www.cptm.sp.gov.br</v>
      </c>
      <c r="AR353" s="76" t="s">
        <v>19510</v>
      </c>
      <c r="AS353" s="76"/>
      <c r="AT353" s="76"/>
      <c r="AU353" s="76"/>
      <c r="AV353" s="76"/>
      <c r="AW353" s="83" t="str">
        <f>HYPERLINK("https://t.co/4pmhkEiqxD")</f>
        <v>https://t.co/4pmhkEiqxD</v>
      </c>
      <c r="AX353" s="76" t="b">
        <v>0</v>
      </c>
      <c r="AY353" s="76"/>
      <c r="AZ353" s="76"/>
      <c r="BA353" s="76" t="b">
        <v>1</v>
      </c>
      <c r="BB353" s="76" t="b">
        <v>1</v>
      </c>
      <c r="BC353" s="76" t="b">
        <v>0</v>
      </c>
      <c r="BD353" s="76" t="b">
        <v>0</v>
      </c>
      <c r="BE353" s="76" t="b">
        <v>1</v>
      </c>
      <c r="BF353" s="76" t="b">
        <v>0</v>
      </c>
      <c r="BG353" s="76" t="b">
        <v>0</v>
      </c>
      <c r="BH353" s="83" t="str">
        <f>HYPERLINK("https://pbs.twimg.com/profile_banners/75281850/1667912871")</f>
        <v>https://pbs.twimg.com/profile_banners/75281850/1667912871</v>
      </c>
      <c r="BI353" s="76"/>
      <c r="BJ353" s="76" t="s">
        <v>19734</v>
      </c>
      <c r="BK353" s="76" t="b">
        <v>0</v>
      </c>
      <c r="BL353" s="76"/>
      <c r="BM353" s="76" t="s">
        <v>66</v>
      </c>
      <c r="BN353" s="76" t="s">
        <v>19736</v>
      </c>
      <c r="BO353" s="83" t="str">
        <f>HYPERLINK("https://twitter.com/cptm_oficial")</f>
        <v>https://twitter.com/cptm_oficial</v>
      </c>
      <c r="BP353" s="2"/>
    </row>
    <row r="354" spans="1:68" x14ac:dyDescent="0.25">
      <c r="A354" s="62" t="s">
        <v>517</v>
      </c>
      <c r="B354" s="63"/>
      <c r="C354" s="63"/>
      <c r="D354" s="64"/>
      <c r="E354" s="66"/>
      <c r="F354" s="103" t="str">
        <f>HYPERLINK("https://pbs.twimg.com/profile_images/1510664743832465412/BvXqwj7s_normal.jpg")</f>
        <v>https://pbs.twimg.com/profile_images/1510664743832465412/BvXqwj7s_normal.jpg</v>
      </c>
      <c r="G354" s="63"/>
      <c r="H354" s="67"/>
      <c r="I354" s="68"/>
      <c r="J354" s="68"/>
      <c r="K354" s="67" t="s">
        <v>20087</v>
      </c>
      <c r="L354" s="71"/>
      <c r="M354" s="72"/>
      <c r="N354" s="72"/>
      <c r="O354" s="73"/>
      <c r="P354" s="74"/>
      <c r="Q354" s="74"/>
      <c r="R354" s="87"/>
      <c r="S354" s="87"/>
      <c r="T354" s="87"/>
      <c r="U354" s="87"/>
      <c r="V354" s="48"/>
      <c r="W354" s="48"/>
      <c r="X354" s="48"/>
      <c r="Y354" s="48"/>
      <c r="Z354" s="47"/>
      <c r="AA354" s="69">
        <v>354</v>
      </c>
      <c r="AB354" s="69"/>
      <c r="AC354" s="70"/>
      <c r="AD354" s="76" t="s">
        <v>18096</v>
      </c>
      <c r="AE354" s="81" t="s">
        <v>17595</v>
      </c>
      <c r="AF354" s="76">
        <v>5</v>
      </c>
      <c r="AG354" s="76">
        <v>105</v>
      </c>
      <c r="AH354" s="76">
        <v>1037</v>
      </c>
      <c r="AI354" s="76">
        <v>0</v>
      </c>
      <c r="AJ354" s="76">
        <v>1150</v>
      </c>
      <c r="AK354" s="76">
        <v>61</v>
      </c>
      <c r="AL354" s="76" t="b">
        <v>0</v>
      </c>
      <c r="AM354" s="78">
        <v>44413.470462962963</v>
      </c>
      <c r="AN354" s="76" t="s">
        <v>18687</v>
      </c>
      <c r="AO354" s="76" t="s">
        <v>19089</v>
      </c>
      <c r="AP354" s="76"/>
      <c r="AQ354" s="76"/>
      <c r="AR354" s="76"/>
      <c r="AS354" s="76"/>
      <c r="AT354" s="76"/>
      <c r="AU354" s="76"/>
      <c r="AV354" s="76"/>
      <c r="AW354" s="76"/>
      <c r="AX354" s="76" t="b">
        <v>0</v>
      </c>
      <c r="AY354" s="76"/>
      <c r="AZ354" s="76"/>
      <c r="BA354" s="76" t="b">
        <v>0</v>
      </c>
      <c r="BB354" s="76" t="b">
        <v>1</v>
      </c>
      <c r="BC354" s="76" t="b">
        <v>1</v>
      </c>
      <c r="BD354" s="76" t="b">
        <v>0</v>
      </c>
      <c r="BE354" s="76" t="b">
        <v>0</v>
      </c>
      <c r="BF354" s="76" t="b">
        <v>0</v>
      </c>
      <c r="BG354" s="76" t="b">
        <v>0</v>
      </c>
      <c r="BH354" s="83" t="str">
        <f>HYPERLINK("https://pbs.twimg.com/profile_banners/1423241665419038729/1647819896")</f>
        <v>https://pbs.twimg.com/profile_banners/1423241665419038729/1647819896</v>
      </c>
      <c r="BI354" s="76"/>
      <c r="BJ354" s="76" t="s">
        <v>19734</v>
      </c>
      <c r="BK354" s="76" t="b">
        <v>0</v>
      </c>
      <c r="BL354" s="76"/>
      <c r="BM354" s="76" t="s">
        <v>66</v>
      </c>
      <c r="BN354" s="76" t="s">
        <v>19736</v>
      </c>
      <c r="BO354" s="83" t="str">
        <f>HYPERLINK("https://twitter.com/juliocsborba27")</f>
        <v>https://twitter.com/juliocsborba27</v>
      </c>
      <c r="BP354" s="2"/>
    </row>
    <row r="355" spans="1:68" x14ac:dyDescent="0.25">
      <c r="A355" s="62" t="s">
        <v>518</v>
      </c>
      <c r="B355" s="63"/>
      <c r="C355" s="63"/>
      <c r="D355" s="64"/>
      <c r="E355" s="66"/>
      <c r="F355" s="103" t="str">
        <f>HYPERLINK("https://pbs.twimg.com/profile_images/1615501037283975171/ycPlUEDC_normal.jpg")</f>
        <v>https://pbs.twimg.com/profile_images/1615501037283975171/ycPlUEDC_normal.jpg</v>
      </c>
      <c r="G355" s="63"/>
      <c r="H355" s="67"/>
      <c r="I355" s="68"/>
      <c r="J355" s="68"/>
      <c r="K355" s="67" t="s">
        <v>20088</v>
      </c>
      <c r="L355" s="71"/>
      <c r="M355" s="72"/>
      <c r="N355" s="72"/>
      <c r="O355" s="73"/>
      <c r="P355" s="74"/>
      <c r="Q355" s="74"/>
      <c r="R355" s="87"/>
      <c r="S355" s="87"/>
      <c r="T355" s="87"/>
      <c r="U355" s="87"/>
      <c r="V355" s="48"/>
      <c r="W355" s="48"/>
      <c r="X355" s="48"/>
      <c r="Y355" s="48"/>
      <c r="Z355" s="47"/>
      <c r="AA355" s="69">
        <v>355</v>
      </c>
      <c r="AB355" s="69"/>
      <c r="AC355" s="70"/>
      <c r="AD355" s="76" t="s">
        <v>18097</v>
      </c>
      <c r="AE355" s="81" t="s">
        <v>17596</v>
      </c>
      <c r="AF355" s="76">
        <v>172</v>
      </c>
      <c r="AG355" s="76">
        <v>30</v>
      </c>
      <c r="AH355" s="76">
        <v>1849</v>
      </c>
      <c r="AI355" s="76">
        <v>1</v>
      </c>
      <c r="AJ355" s="76">
        <v>1463</v>
      </c>
      <c r="AK355" s="76">
        <v>421</v>
      </c>
      <c r="AL355" s="76" t="b">
        <v>0</v>
      </c>
      <c r="AM355" s="78">
        <v>43304.010983796295</v>
      </c>
      <c r="AN355" s="76" t="s">
        <v>12007</v>
      </c>
      <c r="AO355" s="76" t="s">
        <v>19090</v>
      </c>
      <c r="AP355" s="83" t="str">
        <f>HYPERLINK("https://t.co/0nLoLOS7GB")</f>
        <v>https://t.co/0nLoLOS7GB</v>
      </c>
      <c r="AQ355" s="83" t="str">
        <f>HYPERLINK("https://www.trendsetconsulting.com/pt")</f>
        <v>https://www.trendsetconsulting.com/pt</v>
      </c>
      <c r="AR355" s="76" t="s">
        <v>19511</v>
      </c>
      <c r="AS355" s="76" t="s">
        <v>19659</v>
      </c>
      <c r="AT355" s="76" t="s">
        <v>19674</v>
      </c>
      <c r="AU355" s="76" t="s">
        <v>19715</v>
      </c>
      <c r="AV355" s="76">
        <v>1.7071535597524401E+18</v>
      </c>
      <c r="AW355" s="83" t="str">
        <f>HYPERLINK("https://t.co/0nLoLOS7GB")</f>
        <v>https://t.co/0nLoLOS7GB</v>
      </c>
      <c r="AX355" s="76" t="b">
        <v>0</v>
      </c>
      <c r="AY355" s="76"/>
      <c r="AZ355" s="76"/>
      <c r="BA355" s="76" t="b">
        <v>1</v>
      </c>
      <c r="BB355" s="76" t="b">
        <v>1</v>
      </c>
      <c r="BC355" s="76" t="b">
        <v>1</v>
      </c>
      <c r="BD355" s="76" t="b">
        <v>0</v>
      </c>
      <c r="BE355" s="76" t="b">
        <v>1</v>
      </c>
      <c r="BF355" s="76" t="b">
        <v>0</v>
      </c>
      <c r="BG355" s="76" t="b">
        <v>0</v>
      </c>
      <c r="BH355" s="83" t="str">
        <f>HYPERLINK("https://pbs.twimg.com/profile_banners/1021187088480260096/1681679873")</f>
        <v>https://pbs.twimg.com/profile_banners/1021187088480260096/1681679873</v>
      </c>
      <c r="BI355" s="76"/>
      <c r="BJ355" s="76" t="s">
        <v>19734</v>
      </c>
      <c r="BK355" s="76" t="b">
        <v>0</v>
      </c>
      <c r="BL355" s="76"/>
      <c r="BM355" s="76" t="s">
        <v>66</v>
      </c>
      <c r="BN355" s="76" t="s">
        <v>19736</v>
      </c>
      <c r="BO355" s="83" t="str">
        <f>HYPERLINK("https://twitter.com/arthurvallephd")</f>
        <v>https://twitter.com/arthurvallephd</v>
      </c>
      <c r="BP355" s="2"/>
    </row>
    <row r="356" spans="1:68" x14ac:dyDescent="0.25">
      <c r="A356" s="62" t="s">
        <v>779</v>
      </c>
      <c r="B356" s="63"/>
      <c r="C356" s="63"/>
      <c r="D356" s="64"/>
      <c r="E356" s="66"/>
      <c r="F356" s="103" t="str">
        <f>HYPERLINK("https://pbs.twimg.com/profile_images/808404276158545920/_IIpS4I2_normal.jpg")</f>
        <v>https://pbs.twimg.com/profile_images/808404276158545920/_IIpS4I2_normal.jpg</v>
      </c>
      <c r="G356" s="63"/>
      <c r="H356" s="67"/>
      <c r="I356" s="68"/>
      <c r="J356" s="68"/>
      <c r="K356" s="67" t="s">
        <v>20089</v>
      </c>
      <c r="L356" s="71"/>
      <c r="M356" s="72"/>
      <c r="N356" s="72"/>
      <c r="O356" s="73"/>
      <c r="P356" s="74"/>
      <c r="Q356" s="74"/>
      <c r="R356" s="87"/>
      <c r="S356" s="87"/>
      <c r="T356" s="87"/>
      <c r="U356" s="87"/>
      <c r="V356" s="48"/>
      <c r="W356" s="48"/>
      <c r="X356" s="48"/>
      <c r="Y356" s="48"/>
      <c r="Z356" s="47"/>
      <c r="AA356" s="69">
        <v>356</v>
      </c>
      <c r="AB356" s="69"/>
      <c r="AC356" s="70"/>
      <c r="AD356" s="76" t="s">
        <v>18098</v>
      </c>
      <c r="AE356" s="81" t="s">
        <v>18464</v>
      </c>
      <c r="AF356" s="76">
        <v>2615546</v>
      </c>
      <c r="AG356" s="76">
        <v>147</v>
      </c>
      <c r="AH356" s="76">
        <v>220104</v>
      </c>
      <c r="AI356" s="76">
        <v>8498</v>
      </c>
      <c r="AJ356" s="76">
        <v>0</v>
      </c>
      <c r="AK356" s="76">
        <v>3345</v>
      </c>
      <c r="AL356" s="76" t="b">
        <v>0</v>
      </c>
      <c r="AM356" s="78">
        <v>39920.80296296296</v>
      </c>
      <c r="AN356" s="76" t="s">
        <v>12007</v>
      </c>
      <c r="AO356" s="76" t="s">
        <v>19091</v>
      </c>
      <c r="AP356" s="83" t="str">
        <f>HYPERLINK("https://t.co/g6RlNmCczX")</f>
        <v>https://t.co/g6RlNmCczX</v>
      </c>
      <c r="AQ356" s="83" t="str">
        <f>HYPERLINK("http://valor.globo.com")</f>
        <v>http://valor.globo.com</v>
      </c>
      <c r="AR356" s="76" t="s">
        <v>19512</v>
      </c>
      <c r="AS356" s="76"/>
      <c r="AT356" s="76"/>
      <c r="AU356" s="76"/>
      <c r="AV356" s="76"/>
      <c r="AW356" s="83" t="str">
        <f>HYPERLINK("https://t.co/g6RlNmCczX")</f>
        <v>https://t.co/g6RlNmCczX</v>
      </c>
      <c r="AX356" s="76" t="b">
        <v>1</v>
      </c>
      <c r="AY356" s="76"/>
      <c r="AZ356" s="76"/>
      <c r="BA356" s="76" t="b">
        <v>0</v>
      </c>
      <c r="BB356" s="76" t="b">
        <v>1</v>
      </c>
      <c r="BC356" s="76" t="b">
        <v>0</v>
      </c>
      <c r="BD356" s="76" t="b">
        <v>0</v>
      </c>
      <c r="BE356" s="76" t="b">
        <v>1</v>
      </c>
      <c r="BF356" s="76" t="b">
        <v>0</v>
      </c>
      <c r="BG356" s="76" t="b">
        <v>0</v>
      </c>
      <c r="BH356" s="83" t="str">
        <f>HYPERLINK("https://pbs.twimg.com/profile_banners/32529120/1476886249")</f>
        <v>https://pbs.twimg.com/profile_banners/32529120/1476886249</v>
      </c>
      <c r="BI356" s="76"/>
      <c r="BJ356" s="76" t="s">
        <v>19734</v>
      </c>
      <c r="BK356" s="76" t="b">
        <v>0</v>
      </c>
      <c r="BL356" s="76"/>
      <c r="BM356" s="76" t="s">
        <v>65</v>
      </c>
      <c r="BN356" s="76" t="s">
        <v>19736</v>
      </c>
      <c r="BO356" s="83" t="str">
        <f>HYPERLINK("https://twitter.com/valoreconomico")</f>
        <v>https://twitter.com/valoreconomico</v>
      </c>
      <c r="BP356" s="2"/>
    </row>
    <row r="357" spans="1:68" x14ac:dyDescent="0.25">
      <c r="A357" s="62" t="s">
        <v>780</v>
      </c>
      <c r="B357" s="63"/>
      <c r="C357" s="63"/>
      <c r="D357" s="64"/>
      <c r="E357" s="66"/>
      <c r="F357" s="103" t="str">
        <f>HYPERLINK("https://pbs.twimg.com/profile_images/1501609467368157186/DQtzRln2_normal.jpg")</f>
        <v>https://pbs.twimg.com/profile_images/1501609467368157186/DQtzRln2_normal.jpg</v>
      </c>
      <c r="G357" s="63"/>
      <c r="H357" s="67"/>
      <c r="I357" s="68"/>
      <c r="J357" s="68"/>
      <c r="K357" s="67" t="s">
        <v>20090</v>
      </c>
      <c r="L357" s="71"/>
      <c r="M357" s="72"/>
      <c r="N357" s="72"/>
      <c r="O357" s="73"/>
      <c r="P357" s="74"/>
      <c r="Q357" s="74"/>
      <c r="R357" s="87"/>
      <c r="S357" s="87"/>
      <c r="T357" s="87"/>
      <c r="U357" s="87"/>
      <c r="V357" s="48"/>
      <c r="W357" s="48"/>
      <c r="X357" s="48"/>
      <c r="Y357" s="48"/>
      <c r="Z357" s="47"/>
      <c r="AA357" s="69">
        <v>357</v>
      </c>
      <c r="AB357" s="69"/>
      <c r="AC357" s="70"/>
      <c r="AD357" s="76" t="s">
        <v>18099</v>
      </c>
      <c r="AE357" s="81" t="s">
        <v>17358</v>
      </c>
      <c r="AF357" s="76">
        <v>271866</v>
      </c>
      <c r="AG357" s="76">
        <v>181</v>
      </c>
      <c r="AH357" s="76">
        <v>12229</v>
      </c>
      <c r="AI357" s="76">
        <v>1686</v>
      </c>
      <c r="AJ357" s="76">
        <v>4902</v>
      </c>
      <c r="AK357" s="76">
        <v>2167</v>
      </c>
      <c r="AL357" s="76" t="b">
        <v>0</v>
      </c>
      <c r="AM357" s="78">
        <v>43232.10659722222</v>
      </c>
      <c r="AN357" s="76" t="s">
        <v>18688</v>
      </c>
      <c r="AO357" s="76" t="s">
        <v>19092</v>
      </c>
      <c r="AP357" s="83" t="str">
        <f>HYPERLINK("https://t.co/SjaE0FVz0K")</f>
        <v>https://t.co/SjaE0FVz0K</v>
      </c>
      <c r="AQ357" s="83" t="str">
        <f>HYPERLINK("http://www.instagram.com/farialima.elevator/")</f>
        <v>http://www.instagram.com/farialima.elevator/</v>
      </c>
      <c r="AR357" s="76" t="s">
        <v>19513</v>
      </c>
      <c r="AS357" s="76"/>
      <c r="AT357" s="76"/>
      <c r="AU357" s="76"/>
      <c r="AV357" s="76">
        <v>1.5596903646504901E+18</v>
      </c>
      <c r="AW357" s="83" t="str">
        <f>HYPERLINK("https://t.co/SjaE0FVz0K")</f>
        <v>https://t.co/SjaE0FVz0K</v>
      </c>
      <c r="AX357" s="76" t="b">
        <v>1</v>
      </c>
      <c r="AY357" s="76"/>
      <c r="AZ357" s="76"/>
      <c r="BA357" s="76" t="b">
        <v>0</v>
      </c>
      <c r="BB357" s="76" t="b">
        <v>1</v>
      </c>
      <c r="BC357" s="76" t="b">
        <v>0</v>
      </c>
      <c r="BD357" s="76" t="b">
        <v>0</v>
      </c>
      <c r="BE357" s="76" t="b">
        <v>0</v>
      </c>
      <c r="BF357" s="76" t="b">
        <v>0</v>
      </c>
      <c r="BG357" s="76" t="b">
        <v>0</v>
      </c>
      <c r="BH357" s="83" t="str">
        <f>HYPERLINK("https://pbs.twimg.com/profile_banners/995129812950896642/1526092747")</f>
        <v>https://pbs.twimg.com/profile_banners/995129812950896642/1526092747</v>
      </c>
      <c r="BI357" s="76"/>
      <c r="BJ357" s="76" t="s">
        <v>19734</v>
      </c>
      <c r="BK357" s="76" t="b">
        <v>0</v>
      </c>
      <c r="BL357" s="76"/>
      <c r="BM357" s="76" t="s">
        <v>65</v>
      </c>
      <c r="BN357" s="76" t="s">
        <v>19736</v>
      </c>
      <c r="BO357" s="83" t="str">
        <f>HYPERLINK("https://twitter.com/farialimaelevat")</f>
        <v>https://twitter.com/farialimaelevat</v>
      </c>
      <c r="BP357" s="2"/>
    </row>
    <row r="358" spans="1:68" x14ac:dyDescent="0.25">
      <c r="A358" s="62" t="s">
        <v>781</v>
      </c>
      <c r="B358" s="63"/>
      <c r="C358" s="63"/>
      <c r="D358" s="64"/>
      <c r="E358" s="66"/>
      <c r="F358" s="103" t="str">
        <f>HYPERLINK("https://pbs.twimg.com/profile_images/1512084370445660168/CMido1Nb_normal.jpg")</f>
        <v>https://pbs.twimg.com/profile_images/1512084370445660168/CMido1Nb_normal.jpg</v>
      </c>
      <c r="G358" s="63"/>
      <c r="H358" s="67"/>
      <c r="I358" s="68"/>
      <c r="J358" s="68"/>
      <c r="K358" s="67" t="s">
        <v>20091</v>
      </c>
      <c r="L358" s="71"/>
      <c r="M358" s="72"/>
      <c r="N358" s="72"/>
      <c r="O358" s="73"/>
      <c r="P358" s="74"/>
      <c r="Q358" s="74"/>
      <c r="R358" s="87"/>
      <c r="S358" s="87"/>
      <c r="T358" s="87"/>
      <c r="U358" s="87"/>
      <c r="V358" s="48"/>
      <c r="W358" s="48"/>
      <c r="X358" s="48"/>
      <c r="Y358" s="48"/>
      <c r="Z358" s="47"/>
      <c r="AA358" s="69">
        <v>358</v>
      </c>
      <c r="AB358" s="69"/>
      <c r="AC358" s="70"/>
      <c r="AD358" s="76" t="s">
        <v>18100</v>
      </c>
      <c r="AE358" s="81" t="s">
        <v>18465</v>
      </c>
      <c r="AF358" s="76">
        <v>294</v>
      </c>
      <c r="AG358" s="76">
        <v>20</v>
      </c>
      <c r="AH358" s="76">
        <v>46</v>
      </c>
      <c r="AI358" s="76">
        <v>1</v>
      </c>
      <c r="AJ358" s="76">
        <v>30</v>
      </c>
      <c r="AK358" s="76">
        <v>8</v>
      </c>
      <c r="AL358" s="76" t="b">
        <v>0</v>
      </c>
      <c r="AM358" s="78">
        <v>43892.156736111108</v>
      </c>
      <c r="AN358" s="76" t="s">
        <v>12014</v>
      </c>
      <c r="AO358" s="76" t="s">
        <v>19093</v>
      </c>
      <c r="AP358" s="83" t="str">
        <f>HYPERLINK("https://t.co/u3G1keVvQJ")</f>
        <v>https://t.co/u3G1keVvQJ</v>
      </c>
      <c r="AQ358" s="83" t="str">
        <f>HYPERLINK("http://www.tevaindices.com.br")</f>
        <v>http://www.tevaindices.com.br</v>
      </c>
      <c r="AR358" s="76" t="s">
        <v>19514</v>
      </c>
      <c r="AS358" s="76"/>
      <c r="AT358" s="76"/>
      <c r="AU358" s="76"/>
      <c r="AV358" s="76">
        <v>1.48426947863247E+18</v>
      </c>
      <c r="AW358" s="83" t="str">
        <f>HYPERLINK("https://t.co/u3G1keVvQJ")</f>
        <v>https://t.co/u3G1keVvQJ</v>
      </c>
      <c r="AX358" s="76" t="b">
        <v>0</v>
      </c>
      <c r="AY358" s="76"/>
      <c r="AZ358" s="76"/>
      <c r="BA358" s="76" t="b">
        <v>1</v>
      </c>
      <c r="BB358" s="76" t="b">
        <v>1</v>
      </c>
      <c r="BC358" s="76" t="b">
        <v>1</v>
      </c>
      <c r="BD358" s="76" t="b">
        <v>0</v>
      </c>
      <c r="BE358" s="76" t="b">
        <v>0</v>
      </c>
      <c r="BF358" s="76" t="b">
        <v>0</v>
      </c>
      <c r="BG358" s="76" t="b">
        <v>0</v>
      </c>
      <c r="BH358" s="83" t="str">
        <f>HYPERLINK("https://pbs.twimg.com/profile_banners/1234323918837645312/1624915495")</f>
        <v>https://pbs.twimg.com/profile_banners/1234323918837645312/1624915495</v>
      </c>
      <c r="BI358" s="76"/>
      <c r="BJ358" s="76" t="s">
        <v>19734</v>
      </c>
      <c r="BK358" s="76" t="b">
        <v>0</v>
      </c>
      <c r="BL358" s="76"/>
      <c r="BM358" s="76" t="s">
        <v>65</v>
      </c>
      <c r="BN358" s="76" t="s">
        <v>19736</v>
      </c>
      <c r="BO358" s="83" t="str">
        <f>HYPERLINK("https://twitter.com/tevaindices")</f>
        <v>https://twitter.com/tevaindices</v>
      </c>
      <c r="BP358" s="2"/>
    </row>
    <row r="359" spans="1:68" x14ac:dyDescent="0.25">
      <c r="A359" s="62" t="s">
        <v>782</v>
      </c>
      <c r="B359" s="63"/>
      <c r="C359" s="63"/>
      <c r="D359" s="64"/>
      <c r="E359" s="66"/>
      <c r="F359" s="103" t="str">
        <f>HYPERLINK("https://pbs.twimg.com/profile_images/1539044197260484611/8hccOXrX_normal.jpg")</f>
        <v>https://pbs.twimg.com/profile_images/1539044197260484611/8hccOXrX_normal.jpg</v>
      </c>
      <c r="G359" s="63"/>
      <c r="H359" s="67"/>
      <c r="I359" s="68"/>
      <c r="J359" s="68"/>
      <c r="K359" s="67" t="s">
        <v>20092</v>
      </c>
      <c r="L359" s="71"/>
      <c r="M359" s="72"/>
      <c r="N359" s="72"/>
      <c r="O359" s="73"/>
      <c r="P359" s="74"/>
      <c r="Q359" s="74"/>
      <c r="R359" s="87"/>
      <c r="S359" s="87"/>
      <c r="T359" s="87"/>
      <c r="U359" s="87"/>
      <c r="V359" s="48"/>
      <c r="W359" s="48"/>
      <c r="X359" s="48"/>
      <c r="Y359" s="48"/>
      <c r="Z359" s="47"/>
      <c r="AA359" s="69">
        <v>359</v>
      </c>
      <c r="AB359" s="69"/>
      <c r="AC359" s="70"/>
      <c r="AD359" s="76" t="s">
        <v>18101</v>
      </c>
      <c r="AE359" s="81" t="s">
        <v>17360</v>
      </c>
      <c r="AF359" s="76">
        <v>19601</v>
      </c>
      <c r="AG359" s="76">
        <v>5</v>
      </c>
      <c r="AH359" s="76">
        <v>2022</v>
      </c>
      <c r="AI359" s="76">
        <v>153</v>
      </c>
      <c r="AJ359" s="76">
        <v>596</v>
      </c>
      <c r="AK359" s="76">
        <v>974</v>
      </c>
      <c r="AL359" s="76" t="b">
        <v>0</v>
      </c>
      <c r="AM359" s="78">
        <v>44714.612557870372</v>
      </c>
      <c r="AN359" s="76" t="s">
        <v>12014</v>
      </c>
      <c r="AO359" s="76" t="s">
        <v>19094</v>
      </c>
      <c r="AP359" s="83" t="str">
        <f>HYPERLINK("https://t.co/jRMv5SwYLC")</f>
        <v>https://t.co/jRMv5SwYLC</v>
      </c>
      <c r="AQ359" s="83" t="str">
        <f>HYPERLINK("https://linktr.ee/mmakers")</f>
        <v>https://linktr.ee/mmakers</v>
      </c>
      <c r="AR359" s="76" t="s">
        <v>19515</v>
      </c>
      <c r="AS359" s="76"/>
      <c r="AT359" s="76"/>
      <c r="AU359" s="76"/>
      <c r="AV359" s="76"/>
      <c r="AW359" s="83" t="str">
        <f>HYPERLINK("https://t.co/jRMv5SwYLC")</f>
        <v>https://t.co/jRMv5SwYLC</v>
      </c>
      <c r="AX359" s="76" t="b">
        <v>0</v>
      </c>
      <c r="AY359" s="76"/>
      <c r="AZ359" s="76"/>
      <c r="BA359" s="76" t="b">
        <v>1</v>
      </c>
      <c r="BB359" s="76" t="b">
        <v>1</v>
      </c>
      <c r="BC359" s="76" t="b">
        <v>1</v>
      </c>
      <c r="BD359" s="76" t="b">
        <v>0</v>
      </c>
      <c r="BE359" s="76" t="b">
        <v>1</v>
      </c>
      <c r="BF359" s="76" t="b">
        <v>0</v>
      </c>
      <c r="BG359" s="76" t="b">
        <v>0</v>
      </c>
      <c r="BH359" s="83" t="str">
        <f>HYPERLINK("https://pbs.twimg.com/profile_banners/1532371924474544128/1655764558")</f>
        <v>https://pbs.twimg.com/profile_banners/1532371924474544128/1655764558</v>
      </c>
      <c r="BI359" s="76"/>
      <c r="BJ359" s="76" t="s">
        <v>19734</v>
      </c>
      <c r="BK359" s="76" t="b">
        <v>0</v>
      </c>
      <c r="BL359" s="76"/>
      <c r="BM359" s="76" t="s">
        <v>65</v>
      </c>
      <c r="BN359" s="76" t="s">
        <v>19736</v>
      </c>
      <c r="BO359" s="83" t="str">
        <f>HYPERLINK("https://twitter.com/mmakersoficial")</f>
        <v>https://twitter.com/mmakersoficial</v>
      </c>
      <c r="BP359" s="2"/>
    </row>
    <row r="360" spans="1:68" x14ac:dyDescent="0.25">
      <c r="A360" s="62" t="s">
        <v>622</v>
      </c>
      <c r="B360" s="63"/>
      <c r="C360" s="63"/>
      <c r="D360" s="64"/>
      <c r="E360" s="66"/>
      <c r="F360" s="103" t="str">
        <f>HYPERLINK("https://pbs.twimg.com/profile_images/1703892015186874368/0O_zRSsD_normal.jpg")</f>
        <v>https://pbs.twimg.com/profile_images/1703892015186874368/0O_zRSsD_normal.jpg</v>
      </c>
      <c r="G360" s="63"/>
      <c r="H360" s="67"/>
      <c r="I360" s="68"/>
      <c r="J360" s="68"/>
      <c r="K360" s="67" t="s">
        <v>20093</v>
      </c>
      <c r="L360" s="71"/>
      <c r="M360" s="72"/>
      <c r="N360" s="72"/>
      <c r="O360" s="73"/>
      <c r="P360" s="74"/>
      <c r="Q360" s="74"/>
      <c r="R360" s="87"/>
      <c r="S360" s="87"/>
      <c r="T360" s="87"/>
      <c r="U360" s="87"/>
      <c r="V360" s="48"/>
      <c r="W360" s="48"/>
      <c r="X360" s="48"/>
      <c r="Y360" s="48"/>
      <c r="Z360" s="47"/>
      <c r="AA360" s="69">
        <v>360</v>
      </c>
      <c r="AB360" s="69"/>
      <c r="AC360" s="70"/>
      <c r="AD360" s="76" t="s">
        <v>18102</v>
      </c>
      <c r="AE360" s="81" t="s">
        <v>17652</v>
      </c>
      <c r="AF360" s="76">
        <v>24753</v>
      </c>
      <c r="AG360" s="76">
        <v>42</v>
      </c>
      <c r="AH360" s="76">
        <v>1274</v>
      </c>
      <c r="AI360" s="76">
        <v>345</v>
      </c>
      <c r="AJ360" s="76">
        <v>976</v>
      </c>
      <c r="AK360" s="76">
        <v>270</v>
      </c>
      <c r="AL360" s="76" t="b">
        <v>0</v>
      </c>
      <c r="AM360" s="78">
        <v>43636.992488425924</v>
      </c>
      <c r="AN360" s="76"/>
      <c r="AO360" s="76" t="s">
        <v>19095</v>
      </c>
      <c r="AP360" s="83" t="str">
        <f>HYPERLINK("https://t.co/8GF2R7yB4w")</f>
        <v>https://t.co/8GF2R7yB4w</v>
      </c>
      <c r="AQ360" s="83" t="str">
        <f>HYPERLINK("https://suno.me/455Rynh")</f>
        <v>https://suno.me/455Rynh</v>
      </c>
      <c r="AR360" s="76" t="s">
        <v>19516</v>
      </c>
      <c r="AS360" s="76"/>
      <c r="AT360" s="76"/>
      <c r="AU360" s="76"/>
      <c r="AV360" s="76">
        <v>1.7064518854507699E+18</v>
      </c>
      <c r="AW360" s="83" t="str">
        <f>HYPERLINK("https://t.co/8GF2R7yB4w")</f>
        <v>https://t.co/8GF2R7yB4w</v>
      </c>
      <c r="AX360" s="76" t="b">
        <v>0</v>
      </c>
      <c r="AY360" s="76"/>
      <c r="AZ360" s="76"/>
      <c r="BA360" s="76" t="b">
        <v>1</v>
      </c>
      <c r="BB360" s="76" t="b">
        <v>1</v>
      </c>
      <c r="BC360" s="76" t="b">
        <v>0</v>
      </c>
      <c r="BD360" s="76" t="b">
        <v>0</v>
      </c>
      <c r="BE360" s="76" t="b">
        <v>0</v>
      </c>
      <c r="BF360" s="76" t="b">
        <v>0</v>
      </c>
      <c r="BG360" s="76" t="b">
        <v>0</v>
      </c>
      <c r="BH360" s="83" t="str">
        <f>HYPERLINK("https://pbs.twimg.com/profile_banners/1141855544724119552/1577268779")</f>
        <v>https://pbs.twimg.com/profile_banners/1141855544724119552/1577268779</v>
      </c>
      <c r="BI360" s="76"/>
      <c r="BJ360" s="76" t="s">
        <v>19734</v>
      </c>
      <c r="BK360" s="76" t="b">
        <v>0</v>
      </c>
      <c r="BL360" s="76"/>
      <c r="BM360" s="76" t="s">
        <v>66</v>
      </c>
      <c r="BN360" s="76" t="s">
        <v>19736</v>
      </c>
      <c r="BO360" s="83" t="str">
        <f>HYPERLINK("https://twitter.com/statusinvestbr")</f>
        <v>https://twitter.com/statusinvestbr</v>
      </c>
      <c r="BP360" s="2"/>
    </row>
    <row r="361" spans="1:68" x14ac:dyDescent="0.25">
      <c r="A361" s="62" t="s">
        <v>520</v>
      </c>
      <c r="B361" s="63"/>
      <c r="C361" s="63"/>
      <c r="D361" s="64"/>
      <c r="E361" s="66"/>
      <c r="F361" s="103" t="str">
        <f>HYPERLINK("https://pbs.twimg.com/profile_images/1686086918222589952/6Iva1pFO_normal.jpg")</f>
        <v>https://pbs.twimg.com/profile_images/1686086918222589952/6Iva1pFO_normal.jpg</v>
      </c>
      <c r="G361" s="63"/>
      <c r="H361" s="67"/>
      <c r="I361" s="68"/>
      <c r="J361" s="68"/>
      <c r="K361" s="67" t="s">
        <v>20094</v>
      </c>
      <c r="L361" s="71"/>
      <c r="M361" s="72"/>
      <c r="N361" s="72"/>
      <c r="O361" s="73"/>
      <c r="P361" s="74"/>
      <c r="Q361" s="74"/>
      <c r="R361" s="87"/>
      <c r="S361" s="87"/>
      <c r="T361" s="87"/>
      <c r="U361" s="87"/>
      <c r="V361" s="48"/>
      <c r="W361" s="48"/>
      <c r="X361" s="48"/>
      <c r="Y361" s="48"/>
      <c r="Z361" s="47"/>
      <c r="AA361" s="69">
        <v>361</v>
      </c>
      <c r="AB361" s="69"/>
      <c r="AC361" s="70"/>
      <c r="AD361" s="76" t="s">
        <v>18103</v>
      </c>
      <c r="AE361" s="81" t="s">
        <v>17361</v>
      </c>
      <c r="AF361" s="76">
        <v>11</v>
      </c>
      <c r="AG361" s="76">
        <v>15</v>
      </c>
      <c r="AH361" s="76">
        <v>334</v>
      </c>
      <c r="AI361" s="76">
        <v>1</v>
      </c>
      <c r="AJ361" s="76">
        <v>78</v>
      </c>
      <c r="AK361" s="76">
        <v>179</v>
      </c>
      <c r="AL361" s="76" t="b">
        <v>0</v>
      </c>
      <c r="AM361" s="78">
        <v>45138.783946759257</v>
      </c>
      <c r="AN361" s="76" t="s">
        <v>18689</v>
      </c>
      <c r="AO361" s="76" t="s">
        <v>19096</v>
      </c>
      <c r="AP361" s="83" t="str">
        <f>HYPERLINK("https://t.co/l1mZLmngwX")</f>
        <v>https://t.co/l1mZLmngwX</v>
      </c>
      <c r="AQ361" s="83" t="str">
        <f>HYPERLINK("https://linktr.ee/carlosteles_")</f>
        <v>https://linktr.ee/carlosteles_</v>
      </c>
      <c r="AR361" s="76" t="s">
        <v>19517</v>
      </c>
      <c r="AS361" s="76"/>
      <c r="AT361" s="76"/>
      <c r="AU361" s="76"/>
      <c r="AV361" s="76"/>
      <c r="AW361" s="83" t="str">
        <f>HYPERLINK("https://t.co/l1mZLmngwX")</f>
        <v>https://t.co/l1mZLmngwX</v>
      </c>
      <c r="AX361" s="76" t="b">
        <v>0</v>
      </c>
      <c r="AY361" s="76"/>
      <c r="AZ361" s="76"/>
      <c r="BA361" s="76" t="b">
        <v>0</v>
      </c>
      <c r="BB361" s="76" t="b">
        <v>1</v>
      </c>
      <c r="BC361" s="76" t="b">
        <v>1</v>
      </c>
      <c r="BD361" s="76" t="b">
        <v>0</v>
      </c>
      <c r="BE361" s="76" t="b">
        <v>0</v>
      </c>
      <c r="BF361" s="76" t="b">
        <v>0</v>
      </c>
      <c r="BG361" s="76" t="b">
        <v>0</v>
      </c>
      <c r="BH361" s="83" t="str">
        <f>HYPERLINK("https://pbs.twimg.com/profile_banners/1686086283305660417/1690833564")</f>
        <v>https://pbs.twimg.com/profile_banners/1686086283305660417/1690833564</v>
      </c>
      <c r="BI361" s="76"/>
      <c r="BJ361" s="76" t="s">
        <v>19734</v>
      </c>
      <c r="BK361" s="76" t="b">
        <v>0</v>
      </c>
      <c r="BL361" s="76"/>
      <c r="BM361" s="76" t="s">
        <v>66</v>
      </c>
      <c r="BN361" s="76" t="s">
        <v>19736</v>
      </c>
      <c r="BO361" s="83" t="str">
        <f>HYPERLINK("https://twitter.com/carlosteles__")</f>
        <v>https://twitter.com/carlosteles__</v>
      </c>
      <c r="BP361" s="2"/>
    </row>
    <row r="362" spans="1:68" x14ac:dyDescent="0.25">
      <c r="A362" s="62" t="s">
        <v>521</v>
      </c>
      <c r="B362" s="63"/>
      <c r="C362" s="63"/>
      <c r="D362" s="64"/>
      <c r="E362" s="66"/>
      <c r="F362" s="103" t="str">
        <f>HYPERLINK("https://pbs.twimg.com/profile_images/1669793783867645969/-NOFVFmF_normal.jpg")</f>
        <v>https://pbs.twimg.com/profile_images/1669793783867645969/-NOFVFmF_normal.jpg</v>
      </c>
      <c r="G362" s="63"/>
      <c r="H362" s="67"/>
      <c r="I362" s="68"/>
      <c r="J362" s="68"/>
      <c r="K362" s="67" t="s">
        <v>20095</v>
      </c>
      <c r="L362" s="71"/>
      <c r="M362" s="72"/>
      <c r="N362" s="72"/>
      <c r="O362" s="73"/>
      <c r="P362" s="74"/>
      <c r="Q362" s="74"/>
      <c r="R362" s="87"/>
      <c r="S362" s="87"/>
      <c r="T362" s="87"/>
      <c r="U362" s="87"/>
      <c r="V362" s="48"/>
      <c r="W362" s="48"/>
      <c r="X362" s="48"/>
      <c r="Y362" s="48"/>
      <c r="Z362" s="47"/>
      <c r="AA362" s="69">
        <v>362</v>
      </c>
      <c r="AB362" s="69"/>
      <c r="AC362" s="70"/>
      <c r="AD362" s="76" t="s">
        <v>18104</v>
      </c>
      <c r="AE362" s="81" t="s">
        <v>18466</v>
      </c>
      <c r="AF362" s="76">
        <v>24998</v>
      </c>
      <c r="AG362" s="76">
        <v>235</v>
      </c>
      <c r="AH362" s="76">
        <v>32287</v>
      </c>
      <c r="AI362" s="76">
        <v>19</v>
      </c>
      <c r="AJ362" s="76">
        <v>4127</v>
      </c>
      <c r="AK362" s="76">
        <v>327</v>
      </c>
      <c r="AL362" s="76" t="b">
        <v>0</v>
      </c>
      <c r="AM362" s="78">
        <v>42043.178020833337</v>
      </c>
      <c r="AN362" s="76" t="s">
        <v>18690</v>
      </c>
      <c r="AO362" s="76"/>
      <c r="AP362" s="83" t="str">
        <f>HYPERLINK("https://t.co/dGbioNkl6R")</f>
        <v>https://t.co/dGbioNkl6R</v>
      </c>
      <c r="AQ362" s="83" t="str">
        <f>HYPERLINK("http://www.portaldeprefeitura.com.br")</f>
        <v>http://www.portaldeprefeitura.com.br</v>
      </c>
      <c r="AR362" s="76" t="s">
        <v>19518</v>
      </c>
      <c r="AS362" s="76"/>
      <c r="AT362" s="76"/>
      <c r="AU362" s="76"/>
      <c r="AV362" s="76"/>
      <c r="AW362" s="83" t="str">
        <f>HYPERLINK("https://t.co/dGbioNkl6R")</f>
        <v>https://t.co/dGbioNkl6R</v>
      </c>
      <c r="AX362" s="76" t="b">
        <v>0</v>
      </c>
      <c r="AY362" s="76"/>
      <c r="AZ362" s="76"/>
      <c r="BA362" s="76" t="b">
        <v>1</v>
      </c>
      <c r="BB362" s="76" t="b">
        <v>1</v>
      </c>
      <c r="BC362" s="76" t="b">
        <v>0</v>
      </c>
      <c r="BD362" s="76" t="b">
        <v>0</v>
      </c>
      <c r="BE362" s="76" t="b">
        <v>0</v>
      </c>
      <c r="BF362" s="76" t="b">
        <v>0</v>
      </c>
      <c r="BG362" s="76" t="b">
        <v>0</v>
      </c>
      <c r="BH362" s="83" t="str">
        <f>HYPERLINK("https://pbs.twimg.com/profile_banners/3024436931/1612471717")</f>
        <v>https://pbs.twimg.com/profile_banners/3024436931/1612471717</v>
      </c>
      <c r="BI362" s="76"/>
      <c r="BJ362" s="76" t="s">
        <v>19734</v>
      </c>
      <c r="BK362" s="76" t="b">
        <v>0</v>
      </c>
      <c r="BL362" s="76"/>
      <c r="BM362" s="76" t="s">
        <v>66</v>
      </c>
      <c r="BN362" s="76" t="s">
        <v>19736</v>
      </c>
      <c r="BO362" s="83" t="str">
        <f>HYPERLINK("https://twitter.com/p_prefeitura")</f>
        <v>https://twitter.com/p_prefeitura</v>
      </c>
      <c r="BP362" s="2"/>
    </row>
    <row r="363" spans="1:68" x14ac:dyDescent="0.25">
      <c r="A363" s="62" t="s">
        <v>522</v>
      </c>
      <c r="B363" s="63"/>
      <c r="C363" s="63"/>
      <c r="D363" s="64"/>
      <c r="E363" s="66"/>
      <c r="F363" s="103" t="str">
        <f>HYPERLINK("https://pbs.twimg.com/profile_images/1689814054355804160/1nRZBS3m_normal.jpg")</f>
        <v>https://pbs.twimg.com/profile_images/1689814054355804160/1nRZBS3m_normal.jpg</v>
      </c>
      <c r="G363" s="63"/>
      <c r="H363" s="67"/>
      <c r="I363" s="68"/>
      <c r="J363" s="68"/>
      <c r="K363" s="67" t="s">
        <v>20096</v>
      </c>
      <c r="L363" s="71"/>
      <c r="M363" s="72"/>
      <c r="N363" s="72"/>
      <c r="O363" s="73"/>
      <c r="P363" s="74"/>
      <c r="Q363" s="74"/>
      <c r="R363" s="87"/>
      <c r="S363" s="87"/>
      <c r="T363" s="87"/>
      <c r="U363" s="87"/>
      <c r="V363" s="48"/>
      <c r="W363" s="48"/>
      <c r="X363" s="48"/>
      <c r="Y363" s="48"/>
      <c r="Z363" s="47"/>
      <c r="AA363" s="69">
        <v>363</v>
      </c>
      <c r="AB363" s="69"/>
      <c r="AC363" s="70"/>
      <c r="AD363" s="76" t="s">
        <v>18105</v>
      </c>
      <c r="AE363" s="81" t="s">
        <v>17597</v>
      </c>
      <c r="AF363" s="76">
        <v>687</v>
      </c>
      <c r="AG363" s="76">
        <v>510</v>
      </c>
      <c r="AH363" s="76">
        <v>1450</v>
      </c>
      <c r="AI363" s="76">
        <v>1</v>
      </c>
      <c r="AJ363" s="76">
        <v>7120</v>
      </c>
      <c r="AK363" s="76">
        <v>6</v>
      </c>
      <c r="AL363" s="76" t="b">
        <v>0</v>
      </c>
      <c r="AM363" s="78">
        <v>45053.952719907407</v>
      </c>
      <c r="AN363" s="76" t="s">
        <v>18691</v>
      </c>
      <c r="AO363" s="76" t="s">
        <v>19097</v>
      </c>
      <c r="AP363" s="76"/>
      <c r="AQ363" s="76"/>
      <c r="AR363" s="76"/>
      <c r="AS363" s="76"/>
      <c r="AT363" s="76"/>
      <c r="AU363" s="76"/>
      <c r="AV363" s="76">
        <v>1.66034909075488E+18</v>
      </c>
      <c r="AW363" s="76"/>
      <c r="AX363" s="76" t="b">
        <v>0</v>
      </c>
      <c r="AY363" s="76"/>
      <c r="AZ363" s="76"/>
      <c r="BA363" s="76" t="b">
        <v>1</v>
      </c>
      <c r="BB363" s="76" t="b">
        <v>1</v>
      </c>
      <c r="BC363" s="76" t="b">
        <v>1</v>
      </c>
      <c r="BD363" s="76" t="b">
        <v>0</v>
      </c>
      <c r="BE363" s="76" t="b">
        <v>0</v>
      </c>
      <c r="BF363" s="76" t="b">
        <v>0</v>
      </c>
      <c r="BG363" s="76" t="b">
        <v>0</v>
      </c>
      <c r="BH363" s="83" t="str">
        <f>HYPERLINK("https://pbs.twimg.com/profile_banners/1655344562749988864/1684390450")</f>
        <v>https://pbs.twimg.com/profile_banners/1655344562749988864/1684390450</v>
      </c>
      <c r="BI363" s="76"/>
      <c r="BJ363" s="76" t="s">
        <v>19734</v>
      </c>
      <c r="BK363" s="76" t="b">
        <v>0</v>
      </c>
      <c r="BL363" s="76"/>
      <c r="BM363" s="76" t="s">
        <v>66</v>
      </c>
      <c r="BN363" s="76" t="s">
        <v>19736</v>
      </c>
      <c r="BO363" s="83" t="str">
        <f>HYPERLINK("https://twitter.com/cadubr")</f>
        <v>https://twitter.com/cadubr</v>
      </c>
      <c r="BP363" s="2"/>
    </row>
    <row r="364" spans="1:68" x14ac:dyDescent="0.25">
      <c r="A364" s="62" t="s">
        <v>524</v>
      </c>
      <c r="B364" s="63"/>
      <c r="C364" s="63"/>
      <c r="D364" s="64"/>
      <c r="E364" s="66"/>
      <c r="F364" s="103" t="str">
        <f>HYPERLINK("https://pbs.twimg.com/profile_images/884435440467677184/8hP6XcAD_normal.jpg")</f>
        <v>https://pbs.twimg.com/profile_images/884435440467677184/8hP6XcAD_normal.jpg</v>
      </c>
      <c r="G364" s="63"/>
      <c r="H364" s="67"/>
      <c r="I364" s="68"/>
      <c r="J364" s="68"/>
      <c r="K364" s="67" t="s">
        <v>20097</v>
      </c>
      <c r="L364" s="71"/>
      <c r="M364" s="72"/>
      <c r="N364" s="72"/>
      <c r="O364" s="73"/>
      <c r="P364" s="74"/>
      <c r="Q364" s="74"/>
      <c r="R364" s="87"/>
      <c r="S364" s="87"/>
      <c r="T364" s="87"/>
      <c r="U364" s="87"/>
      <c r="V364" s="48"/>
      <c r="W364" s="48"/>
      <c r="X364" s="48"/>
      <c r="Y364" s="48"/>
      <c r="Z364" s="47"/>
      <c r="AA364" s="69">
        <v>364</v>
      </c>
      <c r="AB364" s="69"/>
      <c r="AC364" s="70"/>
      <c r="AD364" s="76" t="s">
        <v>18106</v>
      </c>
      <c r="AE364" s="81" t="s">
        <v>17598</v>
      </c>
      <c r="AF364" s="76">
        <v>1194</v>
      </c>
      <c r="AG364" s="76">
        <v>74</v>
      </c>
      <c r="AH364" s="76">
        <v>24526</v>
      </c>
      <c r="AI364" s="76">
        <v>13</v>
      </c>
      <c r="AJ364" s="76">
        <v>12</v>
      </c>
      <c r="AK364" s="76">
        <v>7128</v>
      </c>
      <c r="AL364" s="76" t="b">
        <v>0</v>
      </c>
      <c r="AM364" s="78">
        <v>42926.635069444441</v>
      </c>
      <c r="AN364" s="76"/>
      <c r="AO364" s="76"/>
      <c r="AP364" s="76"/>
      <c r="AQ364" s="76"/>
      <c r="AR364" s="76"/>
      <c r="AS364" s="76"/>
      <c r="AT364" s="76"/>
      <c r="AU364" s="76"/>
      <c r="AV364" s="76"/>
      <c r="AW364" s="76"/>
      <c r="AX364" s="76" t="b">
        <v>0</v>
      </c>
      <c r="AY364" s="76"/>
      <c r="AZ364" s="76"/>
      <c r="BA364" s="76" t="b">
        <v>0</v>
      </c>
      <c r="BB364" s="76" t="b">
        <v>1</v>
      </c>
      <c r="BC364" s="76" t="b">
        <v>1</v>
      </c>
      <c r="BD364" s="76" t="b">
        <v>0</v>
      </c>
      <c r="BE364" s="76" t="b">
        <v>0</v>
      </c>
      <c r="BF364" s="76" t="b">
        <v>0</v>
      </c>
      <c r="BG364" s="76" t="b">
        <v>0</v>
      </c>
      <c r="BH364" s="83" t="str">
        <f>HYPERLINK("https://pbs.twimg.com/profile_banners/884430635288453120/1499700861")</f>
        <v>https://pbs.twimg.com/profile_banners/884430635288453120/1499700861</v>
      </c>
      <c r="BI364" s="76"/>
      <c r="BJ364" s="76" t="s">
        <v>19734</v>
      </c>
      <c r="BK364" s="76" t="b">
        <v>0</v>
      </c>
      <c r="BL364" s="76"/>
      <c r="BM364" s="76" t="s">
        <v>66</v>
      </c>
      <c r="BN364" s="76" t="s">
        <v>19736</v>
      </c>
      <c r="BO364" s="83" t="str">
        <f>HYPERLINK("https://twitter.com/contraponto_jor")</f>
        <v>https://twitter.com/contraponto_jor</v>
      </c>
      <c r="BP364" s="2"/>
    </row>
    <row r="365" spans="1:68" x14ac:dyDescent="0.25">
      <c r="A365" s="62" t="s">
        <v>525</v>
      </c>
      <c r="B365" s="63"/>
      <c r="C365" s="63"/>
      <c r="D365" s="64"/>
      <c r="E365" s="66"/>
      <c r="F365" s="103" t="str">
        <f>HYPERLINK("https://pbs.twimg.com/profile_images/1653417325251424257/j_t4WaLp_normal.jpg")</f>
        <v>https://pbs.twimg.com/profile_images/1653417325251424257/j_t4WaLp_normal.jpg</v>
      </c>
      <c r="G365" s="63"/>
      <c r="H365" s="67"/>
      <c r="I365" s="68"/>
      <c r="J365" s="68"/>
      <c r="K365" s="67" t="s">
        <v>20098</v>
      </c>
      <c r="L365" s="71"/>
      <c r="M365" s="72"/>
      <c r="N365" s="72"/>
      <c r="O365" s="73"/>
      <c r="P365" s="74"/>
      <c r="Q365" s="74"/>
      <c r="R365" s="87"/>
      <c r="S365" s="87"/>
      <c r="T365" s="87"/>
      <c r="U365" s="87"/>
      <c r="V365" s="48"/>
      <c r="W365" s="48"/>
      <c r="X365" s="48"/>
      <c r="Y365" s="48"/>
      <c r="Z365" s="47"/>
      <c r="AA365" s="69">
        <v>365</v>
      </c>
      <c r="AB365" s="69"/>
      <c r="AC365" s="70"/>
      <c r="AD365" s="76" t="s">
        <v>18107</v>
      </c>
      <c r="AE365" s="81" t="s">
        <v>17599</v>
      </c>
      <c r="AF365" s="76">
        <v>68</v>
      </c>
      <c r="AG365" s="76">
        <v>37</v>
      </c>
      <c r="AH365" s="76">
        <v>241</v>
      </c>
      <c r="AI365" s="76">
        <v>1</v>
      </c>
      <c r="AJ365" s="76">
        <v>198</v>
      </c>
      <c r="AK365" s="76">
        <v>178</v>
      </c>
      <c r="AL365" s="76" t="b">
        <v>0</v>
      </c>
      <c r="AM365" s="78">
        <v>44201.900856481479</v>
      </c>
      <c r="AN365" s="76" t="s">
        <v>18692</v>
      </c>
      <c r="AO365" s="76" t="s">
        <v>19098</v>
      </c>
      <c r="AP365" s="83" t="str">
        <f>HYPERLINK("https://t.co/YAE69puszC")</f>
        <v>https://t.co/YAE69puszC</v>
      </c>
      <c r="AQ365" s="83" t="str">
        <f>HYPERLINK("https://plamev.com.br/")</f>
        <v>https://plamev.com.br/</v>
      </c>
      <c r="AR365" s="76" t="s">
        <v>19519</v>
      </c>
      <c r="AS365" s="76" t="s">
        <v>19660</v>
      </c>
      <c r="AT365" s="76" t="s">
        <v>19675</v>
      </c>
      <c r="AU365" s="76" t="s">
        <v>19716</v>
      </c>
      <c r="AV365" s="76"/>
      <c r="AW365" s="83" t="str">
        <f>HYPERLINK("https://t.co/YAE69puszC")</f>
        <v>https://t.co/YAE69puszC</v>
      </c>
      <c r="AX365" s="76" t="b">
        <v>0</v>
      </c>
      <c r="AY365" s="76"/>
      <c r="AZ365" s="76"/>
      <c r="BA365" s="76" t="b">
        <v>0</v>
      </c>
      <c r="BB365" s="76" t="b">
        <v>1</v>
      </c>
      <c r="BC365" s="76" t="b">
        <v>1</v>
      </c>
      <c r="BD365" s="76" t="b">
        <v>0</v>
      </c>
      <c r="BE365" s="76" t="b">
        <v>1</v>
      </c>
      <c r="BF365" s="76" t="b">
        <v>0</v>
      </c>
      <c r="BG365" s="76" t="b">
        <v>0</v>
      </c>
      <c r="BH365" s="83" t="str">
        <f>HYPERLINK("https://pbs.twimg.com/profile_banners/1346571321728184325/1693572688")</f>
        <v>https://pbs.twimg.com/profile_banners/1346571321728184325/1693572688</v>
      </c>
      <c r="BI365" s="76"/>
      <c r="BJ365" s="76" t="s">
        <v>19734</v>
      </c>
      <c r="BK365" s="76" t="b">
        <v>0</v>
      </c>
      <c r="BL365" s="76"/>
      <c r="BM365" s="76" t="s">
        <v>66</v>
      </c>
      <c r="BN365" s="76" t="s">
        <v>19736</v>
      </c>
      <c r="BO365" s="83" t="str">
        <f>HYPERLINK("https://twitter.com/plamevoficial")</f>
        <v>https://twitter.com/plamevoficial</v>
      </c>
      <c r="BP365" s="2"/>
    </row>
    <row r="366" spans="1:68" x14ac:dyDescent="0.25">
      <c r="A366" s="62" t="s">
        <v>526</v>
      </c>
      <c r="B366" s="63"/>
      <c r="C366" s="63"/>
      <c r="D366" s="64"/>
      <c r="E366" s="66"/>
      <c r="F366" s="103" t="str">
        <f>HYPERLINK("https://pbs.twimg.com/profile_images/1107331168624619522/mMQjQNHv_normal.jpg")</f>
        <v>https://pbs.twimg.com/profile_images/1107331168624619522/mMQjQNHv_normal.jpg</v>
      </c>
      <c r="G366" s="63"/>
      <c r="H366" s="67"/>
      <c r="I366" s="68"/>
      <c r="J366" s="68"/>
      <c r="K366" s="67" t="s">
        <v>20099</v>
      </c>
      <c r="L366" s="71"/>
      <c r="M366" s="72"/>
      <c r="N366" s="72"/>
      <c r="O366" s="73"/>
      <c r="P366" s="74"/>
      <c r="Q366" s="74"/>
      <c r="R366" s="87"/>
      <c r="S366" s="87"/>
      <c r="T366" s="87"/>
      <c r="U366" s="87"/>
      <c r="V366" s="48"/>
      <c r="W366" s="48"/>
      <c r="X366" s="48"/>
      <c r="Y366" s="48"/>
      <c r="Z366" s="47"/>
      <c r="AA366" s="69">
        <v>366</v>
      </c>
      <c r="AB366" s="69"/>
      <c r="AC366" s="70"/>
      <c r="AD366" s="76" t="s">
        <v>18108</v>
      </c>
      <c r="AE366" s="81" t="s">
        <v>18467</v>
      </c>
      <c r="AF366" s="76">
        <v>421</v>
      </c>
      <c r="AG366" s="76">
        <v>988</v>
      </c>
      <c r="AH366" s="76">
        <v>17206</v>
      </c>
      <c r="AI366" s="76">
        <v>6</v>
      </c>
      <c r="AJ366" s="76">
        <v>10105</v>
      </c>
      <c r="AK366" s="76">
        <v>557</v>
      </c>
      <c r="AL366" s="76" t="b">
        <v>0</v>
      </c>
      <c r="AM366" s="78">
        <v>40142.786469907405</v>
      </c>
      <c r="AN366" s="76" t="s">
        <v>18693</v>
      </c>
      <c r="AO366" s="76" t="s">
        <v>19099</v>
      </c>
      <c r="AP366" s="76"/>
      <c r="AQ366" s="76"/>
      <c r="AR366" s="76"/>
      <c r="AS366" s="76"/>
      <c r="AT366" s="76"/>
      <c r="AU366" s="76"/>
      <c r="AV366" s="76"/>
      <c r="AW366" s="76"/>
      <c r="AX366" s="76" t="b">
        <v>0</v>
      </c>
      <c r="AY366" s="76"/>
      <c r="AZ366" s="76"/>
      <c r="BA366" s="76" t="b">
        <v>0</v>
      </c>
      <c r="BB366" s="76" t="b">
        <v>1</v>
      </c>
      <c r="BC366" s="76" t="b">
        <v>0</v>
      </c>
      <c r="BD366" s="76" t="b">
        <v>0</v>
      </c>
      <c r="BE366" s="76" t="b">
        <v>0</v>
      </c>
      <c r="BF366" s="76" t="b">
        <v>0</v>
      </c>
      <c r="BG366" s="76" t="b">
        <v>0</v>
      </c>
      <c r="BH366" s="83" t="str">
        <f>HYPERLINK("https://pbs.twimg.com/profile_banners/92586313/1409172286")</f>
        <v>https://pbs.twimg.com/profile_banners/92586313/1409172286</v>
      </c>
      <c r="BI366" s="76"/>
      <c r="BJ366" s="76" t="s">
        <v>19734</v>
      </c>
      <c r="BK366" s="76" t="b">
        <v>0</v>
      </c>
      <c r="BL366" s="76"/>
      <c r="BM366" s="76" t="s">
        <v>66</v>
      </c>
      <c r="BN366" s="76" t="s">
        <v>19736</v>
      </c>
      <c r="BO366" s="83" t="str">
        <f>HYPERLINK("https://twitter.com/andreibecker")</f>
        <v>https://twitter.com/andreibecker</v>
      </c>
      <c r="BP366" s="2"/>
    </row>
    <row r="367" spans="1:68" x14ac:dyDescent="0.25">
      <c r="A367" s="62" t="s">
        <v>527</v>
      </c>
      <c r="B367" s="63"/>
      <c r="C367" s="63"/>
      <c r="D367" s="64"/>
      <c r="E367" s="66"/>
      <c r="F367" s="103" t="str">
        <f>HYPERLINK("https://pbs.twimg.com/profile_images/898227371941273600/jHLNp-yh_normal.jpg")</f>
        <v>https://pbs.twimg.com/profile_images/898227371941273600/jHLNp-yh_normal.jpg</v>
      </c>
      <c r="G367" s="63"/>
      <c r="H367" s="67"/>
      <c r="I367" s="68"/>
      <c r="J367" s="68"/>
      <c r="K367" s="67" t="s">
        <v>20100</v>
      </c>
      <c r="L367" s="71"/>
      <c r="M367" s="72"/>
      <c r="N367" s="72"/>
      <c r="O367" s="73"/>
      <c r="P367" s="74"/>
      <c r="Q367" s="74"/>
      <c r="R367" s="87"/>
      <c r="S367" s="87"/>
      <c r="T367" s="87"/>
      <c r="U367" s="87"/>
      <c r="V367" s="48"/>
      <c r="W367" s="48"/>
      <c r="X367" s="48"/>
      <c r="Y367" s="48"/>
      <c r="Z367" s="47"/>
      <c r="AA367" s="69">
        <v>367</v>
      </c>
      <c r="AB367" s="69"/>
      <c r="AC367" s="70"/>
      <c r="AD367" s="76" t="s">
        <v>18109</v>
      </c>
      <c r="AE367" s="81" t="s">
        <v>18468</v>
      </c>
      <c r="AF367" s="76">
        <v>339</v>
      </c>
      <c r="AG367" s="76">
        <v>374</v>
      </c>
      <c r="AH367" s="76">
        <v>3470</v>
      </c>
      <c r="AI367" s="76">
        <v>7</v>
      </c>
      <c r="AJ367" s="76">
        <v>4299</v>
      </c>
      <c r="AK367" s="76">
        <v>445</v>
      </c>
      <c r="AL367" s="76" t="b">
        <v>0</v>
      </c>
      <c r="AM367" s="78">
        <v>40302.652488425927</v>
      </c>
      <c r="AN367" s="76" t="s">
        <v>18694</v>
      </c>
      <c r="AO367" s="76" t="s">
        <v>19100</v>
      </c>
      <c r="AP367" s="83" t="str">
        <f>HYPERLINK("https://t.co/dnH04vL7ss")</f>
        <v>https://t.co/dnH04vL7ss</v>
      </c>
      <c r="AQ367" s="83" t="str">
        <f>HYPERLINK("http://www.heulerandrey.com.br")</f>
        <v>http://www.heulerandrey.com.br</v>
      </c>
      <c r="AR367" s="76" t="s">
        <v>19520</v>
      </c>
      <c r="AS367" s="83" t="str">
        <f>HYPERLINK("https://t.co/Np5MQJ50MK")</f>
        <v>https://t.co/Np5MQJ50MK</v>
      </c>
      <c r="AT367" s="83" t="str">
        <f>HYPERLINK("http://www.diaesportivo.com.br")</f>
        <v>http://www.diaesportivo.com.br</v>
      </c>
      <c r="AU367" s="76" t="s">
        <v>19717</v>
      </c>
      <c r="AV367" s="76"/>
      <c r="AW367" s="83" t="str">
        <f>HYPERLINK("https://t.co/dnH04vL7ss")</f>
        <v>https://t.co/dnH04vL7ss</v>
      </c>
      <c r="AX367" s="76" t="b">
        <v>0</v>
      </c>
      <c r="AY367" s="76"/>
      <c r="AZ367" s="76"/>
      <c r="BA367" s="76" t="b">
        <v>1</v>
      </c>
      <c r="BB367" s="76" t="b">
        <v>1</v>
      </c>
      <c r="BC367" s="76" t="b">
        <v>0</v>
      </c>
      <c r="BD367" s="76" t="b">
        <v>0</v>
      </c>
      <c r="BE367" s="76" t="b">
        <v>1</v>
      </c>
      <c r="BF367" s="76" t="b">
        <v>0</v>
      </c>
      <c r="BG367" s="76" t="b">
        <v>0</v>
      </c>
      <c r="BH367" s="83" t="str">
        <f>HYPERLINK("https://pbs.twimg.com/profile_banners/140099978/1502989338")</f>
        <v>https://pbs.twimg.com/profile_banners/140099978/1502989338</v>
      </c>
      <c r="BI367" s="76"/>
      <c r="BJ367" s="76" t="s">
        <v>19734</v>
      </c>
      <c r="BK367" s="76" t="b">
        <v>0</v>
      </c>
      <c r="BL367" s="76"/>
      <c r="BM367" s="76" t="s">
        <v>66</v>
      </c>
      <c r="BN367" s="76" t="s">
        <v>19736</v>
      </c>
      <c r="BO367" s="83" t="str">
        <f>HYPERLINK("https://twitter.com/heulerandrey")</f>
        <v>https://twitter.com/heulerandrey</v>
      </c>
      <c r="BP367" s="2"/>
    </row>
    <row r="368" spans="1:68" x14ac:dyDescent="0.25">
      <c r="A368" s="62" t="s">
        <v>528</v>
      </c>
      <c r="B368" s="63"/>
      <c r="C368" s="63"/>
      <c r="D368" s="64"/>
      <c r="E368" s="66"/>
      <c r="F368" s="103" t="str">
        <f>HYPERLINK("https://pbs.twimg.com/profile_images/1537970896081588224/EOaA95w8_normal.jpg")</f>
        <v>https://pbs.twimg.com/profile_images/1537970896081588224/EOaA95w8_normal.jpg</v>
      </c>
      <c r="G368" s="63"/>
      <c r="H368" s="67"/>
      <c r="I368" s="68"/>
      <c r="J368" s="68"/>
      <c r="K368" s="67" t="s">
        <v>20101</v>
      </c>
      <c r="L368" s="71"/>
      <c r="M368" s="72"/>
      <c r="N368" s="72"/>
      <c r="O368" s="73"/>
      <c r="P368" s="74"/>
      <c r="Q368" s="74"/>
      <c r="R368" s="87"/>
      <c r="S368" s="87"/>
      <c r="T368" s="87"/>
      <c r="U368" s="87"/>
      <c r="V368" s="48"/>
      <c r="W368" s="48"/>
      <c r="X368" s="48"/>
      <c r="Y368" s="48"/>
      <c r="Z368" s="47"/>
      <c r="AA368" s="69">
        <v>368</v>
      </c>
      <c r="AB368" s="69"/>
      <c r="AC368" s="70"/>
      <c r="AD368" s="76" t="s">
        <v>18110</v>
      </c>
      <c r="AE368" s="81" t="s">
        <v>17600</v>
      </c>
      <c r="AF368" s="76">
        <v>4</v>
      </c>
      <c r="AG368" s="76">
        <v>20</v>
      </c>
      <c r="AH368" s="76">
        <v>11</v>
      </c>
      <c r="AI368" s="76">
        <v>0</v>
      </c>
      <c r="AJ368" s="76">
        <v>1</v>
      </c>
      <c r="AK368" s="76">
        <v>8</v>
      </c>
      <c r="AL368" s="76" t="b">
        <v>0</v>
      </c>
      <c r="AM368" s="78">
        <v>44725.117789351854</v>
      </c>
      <c r="AN368" s="76"/>
      <c r="AO368" s="76" t="s">
        <v>19101</v>
      </c>
      <c r="AP368" s="83" t="str">
        <f>HYPERLINK("https://t.co/JYcFoaqZLO")</f>
        <v>https://t.co/JYcFoaqZLO</v>
      </c>
      <c r="AQ368" s="83" t="str">
        <f>HYPERLINK("https://linktr.ee/cultivar.seu.futuro")</f>
        <v>https://linktr.ee/cultivar.seu.futuro</v>
      </c>
      <c r="AR368" s="76" t="s">
        <v>19521</v>
      </c>
      <c r="AS368" s="76"/>
      <c r="AT368" s="76"/>
      <c r="AU368" s="76"/>
      <c r="AV368" s="76"/>
      <c r="AW368" s="83" t="str">
        <f>HYPERLINK("https://t.co/JYcFoaqZLO")</f>
        <v>https://t.co/JYcFoaqZLO</v>
      </c>
      <c r="AX368" s="76" t="b">
        <v>0</v>
      </c>
      <c r="AY368" s="76"/>
      <c r="AZ368" s="76"/>
      <c r="BA368" s="76" t="b">
        <v>0</v>
      </c>
      <c r="BB368" s="76" t="b">
        <v>1</v>
      </c>
      <c r="BC368" s="76" t="b">
        <v>1</v>
      </c>
      <c r="BD368" s="76" t="b">
        <v>0</v>
      </c>
      <c r="BE368" s="76" t="b">
        <v>0</v>
      </c>
      <c r="BF368" s="76" t="b">
        <v>0</v>
      </c>
      <c r="BG368" s="76" t="b">
        <v>0</v>
      </c>
      <c r="BH368" s="83" t="str">
        <f>HYPERLINK("https://pbs.twimg.com/profile_banners/1536178639741517825/1655092498")</f>
        <v>https://pbs.twimg.com/profile_banners/1536178639741517825/1655092498</v>
      </c>
      <c r="BI368" s="76"/>
      <c r="BJ368" s="76" t="s">
        <v>19734</v>
      </c>
      <c r="BK368" s="76" t="b">
        <v>0</v>
      </c>
      <c r="BL368" s="76"/>
      <c r="BM368" s="76" t="s">
        <v>66</v>
      </c>
      <c r="BN368" s="76" t="s">
        <v>19736</v>
      </c>
      <c r="BO368" s="83" t="str">
        <f>HYPERLINK("https://twitter.com/cultivarofuturo")</f>
        <v>https://twitter.com/cultivarofuturo</v>
      </c>
      <c r="BP368" s="2"/>
    </row>
    <row r="369" spans="1:68" x14ac:dyDescent="0.25">
      <c r="A369" s="62" t="s">
        <v>529</v>
      </c>
      <c r="B369" s="63"/>
      <c r="C369" s="63"/>
      <c r="D369" s="64"/>
      <c r="E369" s="66"/>
      <c r="F369" s="103" t="str">
        <f>HYPERLINK("https://pbs.twimg.com/profile_images/1417120451755663368/-SfZzyXw_normal.png")</f>
        <v>https://pbs.twimg.com/profile_images/1417120451755663368/-SfZzyXw_normal.png</v>
      </c>
      <c r="G369" s="63"/>
      <c r="H369" s="67"/>
      <c r="I369" s="68"/>
      <c r="J369" s="68"/>
      <c r="K369" s="67" t="s">
        <v>20102</v>
      </c>
      <c r="L369" s="71"/>
      <c r="M369" s="72"/>
      <c r="N369" s="72"/>
      <c r="O369" s="73"/>
      <c r="P369" s="74"/>
      <c r="Q369" s="74"/>
      <c r="R369" s="87"/>
      <c r="S369" s="87"/>
      <c r="T369" s="87"/>
      <c r="U369" s="87"/>
      <c r="V369" s="48"/>
      <c r="W369" s="48"/>
      <c r="X369" s="48"/>
      <c r="Y369" s="48"/>
      <c r="Z369" s="47"/>
      <c r="AA369" s="69">
        <v>369</v>
      </c>
      <c r="AB369" s="69"/>
      <c r="AC369" s="70"/>
      <c r="AD369" s="76" t="s">
        <v>18111</v>
      </c>
      <c r="AE369" s="81" t="s">
        <v>17601</v>
      </c>
      <c r="AF369" s="76">
        <v>108</v>
      </c>
      <c r="AG369" s="76">
        <v>33</v>
      </c>
      <c r="AH369" s="76">
        <v>154</v>
      </c>
      <c r="AI369" s="76">
        <v>5</v>
      </c>
      <c r="AJ369" s="76">
        <v>33</v>
      </c>
      <c r="AK369" s="76">
        <v>82</v>
      </c>
      <c r="AL369" s="76" t="b">
        <v>0</v>
      </c>
      <c r="AM369" s="78">
        <v>44396.577534722222</v>
      </c>
      <c r="AN369" s="76" t="s">
        <v>12009</v>
      </c>
      <c r="AO369" s="76" t="s">
        <v>19102</v>
      </c>
      <c r="AP369" s="83" t="str">
        <f>HYPERLINK("https://t.co/10xVkdyqFh")</f>
        <v>https://t.co/10xVkdyqFh</v>
      </c>
      <c r="AQ369" s="83" t="str">
        <f>HYPERLINK("http://www.investidorfrugal.com")</f>
        <v>http://www.investidorfrugal.com</v>
      </c>
      <c r="AR369" s="76" t="s">
        <v>7125</v>
      </c>
      <c r="AS369" s="76"/>
      <c r="AT369" s="76"/>
      <c r="AU369" s="76"/>
      <c r="AV369" s="76"/>
      <c r="AW369" s="83" t="str">
        <f>HYPERLINK("https://t.co/10xVkdyqFh")</f>
        <v>https://t.co/10xVkdyqFh</v>
      </c>
      <c r="AX369" s="76" t="b">
        <v>0</v>
      </c>
      <c r="AY369" s="76"/>
      <c r="AZ369" s="76"/>
      <c r="BA369" s="76" t="b">
        <v>0</v>
      </c>
      <c r="BB369" s="76" t="b">
        <v>1</v>
      </c>
      <c r="BC369" s="76" t="b">
        <v>1</v>
      </c>
      <c r="BD369" s="76" t="b">
        <v>0</v>
      </c>
      <c r="BE369" s="76" t="b">
        <v>0</v>
      </c>
      <c r="BF369" s="76" t="b">
        <v>0</v>
      </c>
      <c r="BG369" s="76" t="b">
        <v>0</v>
      </c>
      <c r="BH369" s="83" t="str">
        <f>HYPERLINK("https://pbs.twimg.com/profile_banners/1417118645533151233/1626702939")</f>
        <v>https://pbs.twimg.com/profile_banners/1417118645533151233/1626702939</v>
      </c>
      <c r="BI369" s="76"/>
      <c r="BJ369" s="76" t="s">
        <v>19734</v>
      </c>
      <c r="BK369" s="76" t="b">
        <v>0</v>
      </c>
      <c r="BL369" s="76"/>
      <c r="BM369" s="76" t="s">
        <v>66</v>
      </c>
      <c r="BN369" s="76" t="s">
        <v>19736</v>
      </c>
      <c r="BO369" s="83" t="str">
        <f>HYPERLINK("https://twitter.com/investfrugal")</f>
        <v>https://twitter.com/investfrugal</v>
      </c>
      <c r="BP369" s="2"/>
    </row>
    <row r="370" spans="1:68" x14ac:dyDescent="0.25">
      <c r="A370" s="62" t="s">
        <v>783</v>
      </c>
      <c r="B370" s="63"/>
      <c r="C370" s="63"/>
      <c r="D370" s="64"/>
      <c r="E370" s="66"/>
      <c r="F370" s="103" t="str">
        <f>HYPERLINK("https://pbs.twimg.com/profile_images/1240573449300574209/kt9UPkik_normal.png")</f>
        <v>https://pbs.twimg.com/profile_images/1240573449300574209/kt9UPkik_normal.png</v>
      </c>
      <c r="G370" s="63"/>
      <c r="H370" s="67"/>
      <c r="I370" s="68"/>
      <c r="J370" s="68"/>
      <c r="K370" s="67" t="s">
        <v>20103</v>
      </c>
      <c r="L370" s="71"/>
      <c r="M370" s="72"/>
      <c r="N370" s="72"/>
      <c r="O370" s="73"/>
      <c r="P370" s="74"/>
      <c r="Q370" s="74"/>
      <c r="R370" s="87"/>
      <c r="S370" s="87"/>
      <c r="T370" s="87"/>
      <c r="U370" s="87"/>
      <c r="V370" s="48"/>
      <c r="W370" s="48"/>
      <c r="X370" s="48"/>
      <c r="Y370" s="48"/>
      <c r="Z370" s="47"/>
      <c r="AA370" s="69">
        <v>370</v>
      </c>
      <c r="AB370" s="69"/>
      <c r="AC370" s="70"/>
      <c r="AD370" s="76" t="s">
        <v>18112</v>
      </c>
      <c r="AE370" s="81" t="s">
        <v>18469</v>
      </c>
      <c r="AF370" s="76">
        <v>24911</v>
      </c>
      <c r="AG370" s="76">
        <v>8</v>
      </c>
      <c r="AH370" s="76">
        <v>9663</v>
      </c>
      <c r="AI370" s="76">
        <v>198</v>
      </c>
      <c r="AJ370" s="76">
        <v>460</v>
      </c>
      <c r="AK370" s="76">
        <v>489</v>
      </c>
      <c r="AL370" s="76" t="b">
        <v>0</v>
      </c>
      <c r="AM370" s="78">
        <v>42410.45144675926</v>
      </c>
      <c r="AN370" s="76" t="s">
        <v>18695</v>
      </c>
      <c r="AO370" s="76" t="s">
        <v>19103</v>
      </c>
      <c r="AP370" s="83" t="str">
        <f>HYPERLINK("https://t.co/iMEocwhkBx")</f>
        <v>https://t.co/iMEocwhkBx</v>
      </c>
      <c r="AQ370" s="83" t="str">
        <f>HYPERLINK("https://www.degiro.eu/")</f>
        <v>https://www.degiro.eu/</v>
      </c>
      <c r="AR370" s="76" t="s">
        <v>19522</v>
      </c>
      <c r="AS370" s="76"/>
      <c r="AT370" s="76"/>
      <c r="AU370" s="76"/>
      <c r="AV370" s="76"/>
      <c r="AW370" s="83" t="str">
        <f>HYPERLINK("https://t.co/iMEocwhkBx")</f>
        <v>https://t.co/iMEocwhkBx</v>
      </c>
      <c r="AX370" s="76" t="b">
        <v>0</v>
      </c>
      <c r="AY370" s="76"/>
      <c r="AZ370" s="76"/>
      <c r="BA370" s="76" t="b">
        <v>1</v>
      </c>
      <c r="BB370" s="76" t="b">
        <v>1</v>
      </c>
      <c r="BC370" s="76" t="b">
        <v>0</v>
      </c>
      <c r="BD370" s="76" t="b">
        <v>0</v>
      </c>
      <c r="BE370" s="76" t="b">
        <v>0</v>
      </c>
      <c r="BF370" s="76" t="b">
        <v>0</v>
      </c>
      <c r="BG370" s="76" t="b">
        <v>0</v>
      </c>
      <c r="BH370" s="83" t="str">
        <f>HYPERLINK("https://pbs.twimg.com/profile_banners/4894646507/1644308335")</f>
        <v>https://pbs.twimg.com/profile_banners/4894646507/1644308335</v>
      </c>
      <c r="BI370" s="76"/>
      <c r="BJ370" s="76" t="s">
        <v>19734</v>
      </c>
      <c r="BK370" s="76" t="b">
        <v>0</v>
      </c>
      <c r="BL370" s="76"/>
      <c r="BM370" s="76" t="s">
        <v>65</v>
      </c>
      <c r="BN370" s="76" t="s">
        <v>19736</v>
      </c>
      <c r="BO370" s="83" t="str">
        <f>HYPERLINK("https://twitter.com/degiro")</f>
        <v>https://twitter.com/degiro</v>
      </c>
      <c r="BP370" s="2"/>
    </row>
    <row r="371" spans="1:68" x14ac:dyDescent="0.25">
      <c r="A371" s="62" t="s">
        <v>530</v>
      </c>
      <c r="B371" s="63"/>
      <c r="C371" s="63"/>
      <c r="D371" s="64"/>
      <c r="E371" s="66"/>
      <c r="F371" s="103" t="str">
        <f>HYPERLINK("https://pbs.twimg.com/profile_images/1129932285896286209/ggSUU4BO_normal.png")</f>
        <v>https://pbs.twimg.com/profile_images/1129932285896286209/ggSUU4BO_normal.png</v>
      </c>
      <c r="G371" s="63"/>
      <c r="H371" s="67"/>
      <c r="I371" s="68"/>
      <c r="J371" s="68"/>
      <c r="K371" s="67" t="s">
        <v>20104</v>
      </c>
      <c r="L371" s="71"/>
      <c r="M371" s="72"/>
      <c r="N371" s="72"/>
      <c r="O371" s="73"/>
      <c r="P371" s="74"/>
      <c r="Q371" s="74"/>
      <c r="R371" s="87"/>
      <c r="S371" s="87"/>
      <c r="T371" s="87"/>
      <c r="U371" s="87"/>
      <c r="V371" s="48"/>
      <c r="W371" s="48"/>
      <c r="X371" s="48"/>
      <c r="Y371" s="48"/>
      <c r="Z371" s="47"/>
      <c r="AA371" s="69">
        <v>371</v>
      </c>
      <c r="AB371" s="69"/>
      <c r="AC371" s="70"/>
      <c r="AD371" s="76" t="s">
        <v>18113</v>
      </c>
      <c r="AE371" s="81" t="s">
        <v>18470</v>
      </c>
      <c r="AF371" s="76">
        <v>5127</v>
      </c>
      <c r="AG371" s="76">
        <v>5517</v>
      </c>
      <c r="AH371" s="76">
        <v>60277</v>
      </c>
      <c r="AI371" s="76">
        <v>37</v>
      </c>
      <c r="AJ371" s="76">
        <v>6513</v>
      </c>
      <c r="AK371" s="76">
        <v>3818</v>
      </c>
      <c r="AL371" s="76" t="b">
        <v>0</v>
      </c>
      <c r="AM371" s="78">
        <v>40401.55678240741</v>
      </c>
      <c r="AN371" s="76" t="s">
        <v>18696</v>
      </c>
      <c r="AO371" s="76" t="s">
        <v>19104</v>
      </c>
      <c r="AP371" s="83" t="str">
        <f>HYPERLINK("https://t.co/Jfp2n4xRT4")</f>
        <v>https://t.co/Jfp2n4xRT4</v>
      </c>
      <c r="AQ371" s="83" t="str">
        <f>HYPERLINK("http://louvareclamar.blogspot.com.br/")</f>
        <v>http://louvareclamar.blogspot.com.br/</v>
      </c>
      <c r="AR371" s="76" t="s">
        <v>19523</v>
      </c>
      <c r="AS371" s="76" t="s">
        <v>19104</v>
      </c>
      <c r="AT371" s="76" t="s">
        <v>19676</v>
      </c>
      <c r="AU371" s="76" t="s">
        <v>19718</v>
      </c>
      <c r="AV371" s="76"/>
      <c r="AW371" s="83" t="str">
        <f>HYPERLINK("https://t.co/Jfp2n4xRT4")</f>
        <v>https://t.co/Jfp2n4xRT4</v>
      </c>
      <c r="AX371" s="76" t="b">
        <v>0</v>
      </c>
      <c r="AY371" s="76"/>
      <c r="AZ371" s="76"/>
      <c r="BA371" s="76" t="b">
        <v>1</v>
      </c>
      <c r="BB371" s="76" t="b">
        <v>0</v>
      </c>
      <c r="BC371" s="76" t="b">
        <v>0</v>
      </c>
      <c r="BD371" s="76" t="b">
        <v>0</v>
      </c>
      <c r="BE371" s="76" t="b">
        <v>0</v>
      </c>
      <c r="BF371" s="76" t="b">
        <v>0</v>
      </c>
      <c r="BG371" s="76" t="b">
        <v>0</v>
      </c>
      <c r="BH371" s="83" t="str">
        <f>HYPERLINK("https://pbs.twimg.com/profile_banners/177181222/1350667311")</f>
        <v>https://pbs.twimg.com/profile_banners/177181222/1350667311</v>
      </c>
      <c r="BI371" s="76"/>
      <c r="BJ371" s="76" t="s">
        <v>19734</v>
      </c>
      <c r="BK371" s="76" t="b">
        <v>0</v>
      </c>
      <c r="BL371" s="76"/>
      <c r="BM371" s="76" t="s">
        <v>66</v>
      </c>
      <c r="BN371" s="76" t="s">
        <v>19736</v>
      </c>
      <c r="BO371" s="83" t="str">
        <f>HYPERLINK("https://twitter.com/anatassara")</f>
        <v>https://twitter.com/anatassara</v>
      </c>
      <c r="BP371" s="2"/>
    </row>
    <row r="372" spans="1:68" x14ac:dyDescent="0.25">
      <c r="A372" s="62" t="s">
        <v>531</v>
      </c>
      <c r="B372" s="63"/>
      <c r="C372" s="63"/>
      <c r="D372" s="64"/>
      <c r="E372" s="66"/>
      <c r="F372" s="103" t="str">
        <f>HYPERLINK("https://pbs.twimg.com/profile_images/659439897472860162/ATuweck1_normal.jpg")</f>
        <v>https://pbs.twimg.com/profile_images/659439897472860162/ATuweck1_normal.jpg</v>
      </c>
      <c r="G372" s="63"/>
      <c r="H372" s="67"/>
      <c r="I372" s="68"/>
      <c r="J372" s="68"/>
      <c r="K372" s="67" t="s">
        <v>20105</v>
      </c>
      <c r="L372" s="71"/>
      <c r="M372" s="72"/>
      <c r="N372" s="72"/>
      <c r="O372" s="73"/>
      <c r="P372" s="74"/>
      <c r="Q372" s="74"/>
      <c r="R372" s="87"/>
      <c r="S372" s="87"/>
      <c r="T372" s="87"/>
      <c r="U372" s="87"/>
      <c r="V372" s="48"/>
      <c r="W372" s="48"/>
      <c r="X372" s="48"/>
      <c r="Y372" s="48"/>
      <c r="Z372" s="47"/>
      <c r="AA372" s="69">
        <v>372</v>
      </c>
      <c r="AB372" s="69"/>
      <c r="AC372" s="70"/>
      <c r="AD372" s="76" t="s">
        <v>18114</v>
      </c>
      <c r="AE372" s="81" t="s">
        <v>18471</v>
      </c>
      <c r="AF372" s="76">
        <v>92</v>
      </c>
      <c r="AG372" s="76">
        <v>68</v>
      </c>
      <c r="AH372" s="76">
        <v>1169</v>
      </c>
      <c r="AI372" s="76">
        <v>0</v>
      </c>
      <c r="AJ372" s="76">
        <v>152</v>
      </c>
      <c r="AK372" s="76">
        <v>100</v>
      </c>
      <c r="AL372" s="76" t="b">
        <v>0</v>
      </c>
      <c r="AM372" s="78">
        <v>40287.870659722219</v>
      </c>
      <c r="AN372" s="76" t="s">
        <v>18697</v>
      </c>
      <c r="AO372" s="76" t="s">
        <v>19105</v>
      </c>
      <c r="AP372" s="83" t="str">
        <f>HYPERLINK("https://t.co/LdS0l9Ohfh")</f>
        <v>https://t.co/LdS0l9Ohfh</v>
      </c>
      <c r="AQ372" s="83" t="str">
        <f>HYPERLINK("http://www.instagram.com/davidwashin")</f>
        <v>http://www.instagram.com/davidwashin</v>
      </c>
      <c r="AR372" s="76" t="s">
        <v>19524</v>
      </c>
      <c r="AS372" s="76"/>
      <c r="AT372" s="76"/>
      <c r="AU372" s="76"/>
      <c r="AV372" s="76"/>
      <c r="AW372" s="83" t="str">
        <f>HYPERLINK("https://t.co/LdS0l9Ohfh")</f>
        <v>https://t.co/LdS0l9Ohfh</v>
      </c>
      <c r="AX372" s="76" t="b">
        <v>0</v>
      </c>
      <c r="AY372" s="76"/>
      <c r="AZ372" s="76"/>
      <c r="BA372" s="76" t="b">
        <v>0</v>
      </c>
      <c r="BB372" s="76" t="b">
        <v>1</v>
      </c>
      <c r="BC372" s="76" t="b">
        <v>0</v>
      </c>
      <c r="BD372" s="76" t="b">
        <v>0</v>
      </c>
      <c r="BE372" s="76" t="b">
        <v>0</v>
      </c>
      <c r="BF372" s="76" t="b">
        <v>0</v>
      </c>
      <c r="BG372" s="76" t="b">
        <v>0</v>
      </c>
      <c r="BH372" s="83" t="str">
        <f>HYPERLINK("https://pbs.twimg.com/profile_banners/134918494/1446057997")</f>
        <v>https://pbs.twimg.com/profile_banners/134918494/1446057997</v>
      </c>
      <c r="BI372" s="76"/>
      <c r="BJ372" s="76" t="s">
        <v>19734</v>
      </c>
      <c r="BK372" s="76" t="b">
        <v>0</v>
      </c>
      <c r="BL372" s="76"/>
      <c r="BM372" s="76" t="s">
        <v>66</v>
      </c>
      <c r="BN372" s="76" t="s">
        <v>19736</v>
      </c>
      <c r="BO372" s="83" t="str">
        <f>HYPERLINK("https://twitter.com/davidwashin")</f>
        <v>https://twitter.com/davidwashin</v>
      </c>
      <c r="BP372" s="2"/>
    </row>
    <row r="373" spans="1:68" x14ac:dyDescent="0.25">
      <c r="A373" s="62" t="s">
        <v>532</v>
      </c>
      <c r="B373" s="63"/>
      <c r="C373" s="63"/>
      <c r="D373" s="64"/>
      <c r="E373" s="66"/>
      <c r="F373" s="103" t="str">
        <f>HYPERLINK("https://pbs.twimg.com/profile_images/1518050919375458304/rcx-bjDW_normal.jpg")</f>
        <v>https://pbs.twimg.com/profile_images/1518050919375458304/rcx-bjDW_normal.jpg</v>
      </c>
      <c r="G373" s="63"/>
      <c r="H373" s="67"/>
      <c r="I373" s="68"/>
      <c r="J373" s="68"/>
      <c r="K373" s="67" t="s">
        <v>20106</v>
      </c>
      <c r="L373" s="71"/>
      <c r="M373" s="72"/>
      <c r="N373" s="72"/>
      <c r="O373" s="73"/>
      <c r="P373" s="74"/>
      <c r="Q373" s="74"/>
      <c r="R373" s="87"/>
      <c r="S373" s="87"/>
      <c r="T373" s="87"/>
      <c r="U373" s="87"/>
      <c r="V373" s="48"/>
      <c r="W373" s="48"/>
      <c r="X373" s="48"/>
      <c r="Y373" s="48"/>
      <c r="Z373" s="47"/>
      <c r="AA373" s="69">
        <v>373</v>
      </c>
      <c r="AB373" s="69"/>
      <c r="AC373" s="70"/>
      <c r="AD373" s="76" t="s">
        <v>18115</v>
      </c>
      <c r="AE373" s="81" t="s">
        <v>17602</v>
      </c>
      <c r="AF373" s="76">
        <v>2171</v>
      </c>
      <c r="AG373" s="76">
        <v>1169</v>
      </c>
      <c r="AH373" s="76">
        <v>31360</v>
      </c>
      <c r="AI373" s="76">
        <v>18</v>
      </c>
      <c r="AJ373" s="76">
        <v>95589</v>
      </c>
      <c r="AK373" s="76">
        <v>185</v>
      </c>
      <c r="AL373" s="76" t="b">
        <v>0</v>
      </c>
      <c r="AM373" s="78">
        <v>42585.669421296298</v>
      </c>
      <c r="AN373" s="76"/>
      <c r="AO373" s="76"/>
      <c r="AP373" s="76"/>
      <c r="AQ373" s="76"/>
      <c r="AR373" s="76"/>
      <c r="AS373" s="76"/>
      <c r="AT373" s="76"/>
      <c r="AU373" s="76"/>
      <c r="AV373" s="76"/>
      <c r="AW373" s="76"/>
      <c r="AX373" s="76" t="b">
        <v>0</v>
      </c>
      <c r="AY373" s="76"/>
      <c r="AZ373" s="76"/>
      <c r="BA373" s="76" t="b">
        <v>0</v>
      </c>
      <c r="BB373" s="76" t="b">
        <v>0</v>
      </c>
      <c r="BC373" s="76" t="b">
        <v>0</v>
      </c>
      <c r="BD373" s="76" t="b">
        <v>0</v>
      </c>
      <c r="BE373" s="76" t="b">
        <v>1</v>
      </c>
      <c r="BF373" s="76" t="b">
        <v>0</v>
      </c>
      <c r="BG373" s="76" t="b">
        <v>0</v>
      </c>
      <c r="BH373" s="83" t="str">
        <f>HYPERLINK("https://pbs.twimg.com/profile_banners/760868823956328448/1650766470")</f>
        <v>https://pbs.twimg.com/profile_banners/760868823956328448/1650766470</v>
      </c>
      <c r="BI373" s="76"/>
      <c r="BJ373" s="76" t="s">
        <v>19734</v>
      </c>
      <c r="BK373" s="76" t="b">
        <v>0</v>
      </c>
      <c r="BL373" s="76"/>
      <c r="BM373" s="76" t="s">
        <v>66</v>
      </c>
      <c r="BN373" s="76" t="s">
        <v>19736</v>
      </c>
      <c r="BO373" s="83" t="str">
        <f>HYPERLINK("https://twitter.com/1nverpersona1")</f>
        <v>https://twitter.com/1nverpersona1</v>
      </c>
      <c r="BP373" s="2"/>
    </row>
    <row r="374" spans="1:68" x14ac:dyDescent="0.25">
      <c r="A374" s="62" t="s">
        <v>533</v>
      </c>
      <c r="B374" s="63"/>
      <c r="C374" s="63"/>
      <c r="D374" s="64"/>
      <c r="E374" s="66"/>
      <c r="F374" s="103" t="str">
        <f>HYPERLINK("https://pbs.twimg.com/profile_images/1226620108451217409/7hxuic5__normal.jpg")</f>
        <v>https://pbs.twimg.com/profile_images/1226620108451217409/7hxuic5__normal.jpg</v>
      </c>
      <c r="G374" s="63"/>
      <c r="H374" s="67"/>
      <c r="I374" s="68"/>
      <c r="J374" s="68"/>
      <c r="K374" s="67" t="s">
        <v>20107</v>
      </c>
      <c r="L374" s="71"/>
      <c r="M374" s="72"/>
      <c r="N374" s="72"/>
      <c r="O374" s="73"/>
      <c r="P374" s="74"/>
      <c r="Q374" s="74"/>
      <c r="R374" s="87"/>
      <c r="S374" s="87"/>
      <c r="T374" s="87"/>
      <c r="U374" s="87"/>
      <c r="V374" s="48"/>
      <c r="W374" s="48"/>
      <c r="X374" s="48"/>
      <c r="Y374" s="48"/>
      <c r="Z374" s="47"/>
      <c r="AA374" s="69">
        <v>374</v>
      </c>
      <c r="AB374" s="69"/>
      <c r="AC374" s="70"/>
      <c r="AD374" s="76" t="s">
        <v>18116</v>
      </c>
      <c r="AE374" s="81" t="s">
        <v>18472</v>
      </c>
      <c r="AF374" s="76">
        <v>3094</v>
      </c>
      <c r="AG374" s="76">
        <v>3708</v>
      </c>
      <c r="AH374" s="76">
        <v>3236</v>
      </c>
      <c r="AI374" s="76">
        <v>15</v>
      </c>
      <c r="AJ374" s="76">
        <v>901</v>
      </c>
      <c r="AK374" s="76">
        <v>1571</v>
      </c>
      <c r="AL374" s="76" t="b">
        <v>0</v>
      </c>
      <c r="AM374" s="78">
        <v>40594.984652777777</v>
      </c>
      <c r="AN374" s="76" t="s">
        <v>12013</v>
      </c>
      <c r="AO374" s="76" t="s">
        <v>19106</v>
      </c>
      <c r="AP374" s="76"/>
      <c r="AQ374" s="76"/>
      <c r="AR374" s="76"/>
      <c r="AS374" s="76"/>
      <c r="AT374" s="76"/>
      <c r="AU374" s="76"/>
      <c r="AV374" s="76"/>
      <c r="AW374" s="76"/>
      <c r="AX374" s="76" t="b">
        <v>0</v>
      </c>
      <c r="AY374" s="76"/>
      <c r="AZ374" s="76"/>
      <c r="BA374" s="76" t="b">
        <v>1</v>
      </c>
      <c r="BB374" s="76" t="b">
        <v>0</v>
      </c>
      <c r="BC374" s="76" t="b">
        <v>0</v>
      </c>
      <c r="BD374" s="76" t="b">
        <v>0</v>
      </c>
      <c r="BE374" s="76" t="b">
        <v>1</v>
      </c>
      <c r="BF374" s="76" t="b">
        <v>0</v>
      </c>
      <c r="BG374" s="76" t="b">
        <v>0</v>
      </c>
      <c r="BH374" s="83" t="str">
        <f>HYPERLINK("https://pbs.twimg.com/profile_banners/255237609/1693867354")</f>
        <v>https://pbs.twimg.com/profile_banners/255237609/1693867354</v>
      </c>
      <c r="BI374" s="76"/>
      <c r="BJ374" s="76" t="s">
        <v>19734</v>
      </c>
      <c r="BK374" s="76" t="b">
        <v>0</v>
      </c>
      <c r="BL374" s="76"/>
      <c r="BM374" s="76" t="s">
        <v>66</v>
      </c>
      <c r="BN374" s="76" t="s">
        <v>19736</v>
      </c>
      <c r="BO374" s="83" t="str">
        <f>HYPERLINK("https://twitter.com/vagner_caldas")</f>
        <v>https://twitter.com/vagner_caldas</v>
      </c>
      <c r="BP374" s="2"/>
    </row>
    <row r="375" spans="1:68" x14ac:dyDescent="0.25">
      <c r="A375" s="62" t="s">
        <v>534</v>
      </c>
      <c r="B375" s="63"/>
      <c r="C375" s="63"/>
      <c r="D375" s="64"/>
      <c r="E375" s="66"/>
      <c r="F375" s="103" t="str">
        <f>HYPERLINK("https://pbs.twimg.com/profile_images/1555740417928331264/4dd5SKLz_normal.jpg")</f>
        <v>https://pbs.twimg.com/profile_images/1555740417928331264/4dd5SKLz_normal.jpg</v>
      </c>
      <c r="G375" s="63"/>
      <c r="H375" s="67"/>
      <c r="I375" s="68"/>
      <c r="J375" s="68"/>
      <c r="K375" s="67" t="s">
        <v>20108</v>
      </c>
      <c r="L375" s="71"/>
      <c r="M375" s="72"/>
      <c r="N375" s="72"/>
      <c r="O375" s="73"/>
      <c r="P375" s="74"/>
      <c r="Q375" s="74"/>
      <c r="R375" s="87"/>
      <c r="S375" s="87"/>
      <c r="T375" s="87"/>
      <c r="U375" s="87"/>
      <c r="V375" s="48"/>
      <c r="W375" s="48"/>
      <c r="X375" s="48"/>
      <c r="Y375" s="48"/>
      <c r="Z375" s="47"/>
      <c r="AA375" s="69">
        <v>375</v>
      </c>
      <c r="AB375" s="69"/>
      <c r="AC375" s="70"/>
      <c r="AD375" s="76" t="s">
        <v>18117</v>
      </c>
      <c r="AE375" s="81" t="s">
        <v>17603</v>
      </c>
      <c r="AF375" s="76">
        <v>416</v>
      </c>
      <c r="AG375" s="76">
        <v>3273</v>
      </c>
      <c r="AH375" s="76">
        <v>76106</v>
      </c>
      <c r="AI375" s="76">
        <v>6</v>
      </c>
      <c r="AJ375" s="76">
        <v>30901</v>
      </c>
      <c r="AK375" s="76">
        <v>1647</v>
      </c>
      <c r="AL375" s="76" t="b">
        <v>0</v>
      </c>
      <c r="AM375" s="78">
        <v>44779.096539351849</v>
      </c>
      <c r="AN375" s="76"/>
      <c r="AO375" s="76" t="s">
        <v>19107</v>
      </c>
      <c r="AP375" s="83" t="str">
        <f>HYPERLINK("https://t.co/Gea4opeZlQ")</f>
        <v>https://t.co/Gea4opeZlQ</v>
      </c>
      <c r="AQ375" s="83" t="str">
        <f>HYPERLINK("https://ntnc.com.br/8d0173c8-de6e-4792-a324-860286311aae")</f>
        <v>https://ntnc.com.br/8d0173c8-de6e-4792-a324-860286311aae</v>
      </c>
      <c r="AR375" s="76" t="s">
        <v>19525</v>
      </c>
      <c r="AS375" s="76"/>
      <c r="AT375" s="76"/>
      <c r="AU375" s="76"/>
      <c r="AV375" s="76">
        <v>1.66224430871869E+18</v>
      </c>
      <c r="AW375" s="83" t="str">
        <f>HYPERLINK("https://t.co/Gea4opeZlQ")</f>
        <v>https://t.co/Gea4opeZlQ</v>
      </c>
      <c r="AX375" s="76" t="b">
        <v>0</v>
      </c>
      <c r="AY375" s="76"/>
      <c r="AZ375" s="76"/>
      <c r="BA375" s="76" t="b">
        <v>0</v>
      </c>
      <c r="BB375" s="76" t="b">
        <v>1</v>
      </c>
      <c r="BC375" s="76" t="b">
        <v>1</v>
      </c>
      <c r="BD375" s="76" t="b">
        <v>0</v>
      </c>
      <c r="BE375" s="76" t="b">
        <v>0</v>
      </c>
      <c r="BF375" s="76" t="b">
        <v>0</v>
      </c>
      <c r="BG375" s="76" t="b">
        <v>0</v>
      </c>
      <c r="BH375" s="83" t="str">
        <f>HYPERLINK("https://pbs.twimg.com/profile_banners/1555740155440291841/1659752513")</f>
        <v>https://pbs.twimg.com/profile_banners/1555740155440291841/1659752513</v>
      </c>
      <c r="BI375" s="76"/>
      <c r="BJ375" s="76" t="s">
        <v>19734</v>
      </c>
      <c r="BK375" s="76" t="b">
        <v>0</v>
      </c>
      <c r="BL375" s="76"/>
      <c r="BM375" s="76" t="s">
        <v>66</v>
      </c>
      <c r="BN375" s="76" t="s">
        <v>19736</v>
      </c>
      <c r="BO375" s="83" t="str">
        <f>HYPERLINK("https://twitter.com/incriptomoedas")</f>
        <v>https://twitter.com/incriptomoedas</v>
      </c>
      <c r="BP375" s="2"/>
    </row>
    <row r="376" spans="1:68" x14ac:dyDescent="0.25">
      <c r="A376" s="62" t="s">
        <v>535</v>
      </c>
      <c r="B376" s="63"/>
      <c r="C376" s="63"/>
      <c r="D376" s="64"/>
      <c r="E376" s="66"/>
      <c r="F376" s="103" t="str">
        <f>HYPERLINK("https://pbs.twimg.com/profile_images/1571990808441622528/u4gMeB4e_normal.jpg")</f>
        <v>https://pbs.twimg.com/profile_images/1571990808441622528/u4gMeB4e_normal.jpg</v>
      </c>
      <c r="G376" s="63"/>
      <c r="H376" s="67"/>
      <c r="I376" s="68"/>
      <c r="J376" s="68"/>
      <c r="K376" s="67" t="s">
        <v>20109</v>
      </c>
      <c r="L376" s="71"/>
      <c r="M376" s="72"/>
      <c r="N376" s="72"/>
      <c r="O376" s="73"/>
      <c r="P376" s="74"/>
      <c r="Q376" s="74"/>
      <c r="R376" s="87"/>
      <c r="S376" s="87"/>
      <c r="T376" s="87"/>
      <c r="U376" s="87"/>
      <c r="V376" s="48"/>
      <c r="W376" s="48"/>
      <c r="X376" s="48"/>
      <c r="Y376" s="48"/>
      <c r="Z376" s="47"/>
      <c r="AA376" s="69">
        <v>376</v>
      </c>
      <c r="AB376" s="69"/>
      <c r="AC376" s="70"/>
      <c r="AD376" s="76" t="s">
        <v>18118</v>
      </c>
      <c r="AE376" s="81" t="s">
        <v>17604</v>
      </c>
      <c r="AF376" s="76">
        <v>10874</v>
      </c>
      <c r="AG376" s="76">
        <v>16</v>
      </c>
      <c r="AH376" s="76">
        <v>20174</v>
      </c>
      <c r="AI376" s="76">
        <v>199</v>
      </c>
      <c r="AJ376" s="76">
        <v>470</v>
      </c>
      <c r="AK376" s="76">
        <v>1677</v>
      </c>
      <c r="AL376" s="76" t="b">
        <v>0</v>
      </c>
      <c r="AM376" s="78">
        <v>44287.914687500001</v>
      </c>
      <c r="AN376" s="76"/>
      <c r="AO376" s="76" t="s">
        <v>19108</v>
      </c>
      <c r="AP376" s="83" t="str">
        <f>HYPERLINK("https://t.co/aF8qcjHpzj")</f>
        <v>https://t.co/aF8qcjHpzj</v>
      </c>
      <c r="AQ376" s="83" t="str">
        <f>HYPERLINK("http://www.bloomberglinea.com.br")</f>
        <v>http://www.bloomberglinea.com.br</v>
      </c>
      <c r="AR376" s="76" t="s">
        <v>19526</v>
      </c>
      <c r="AS376" s="76"/>
      <c r="AT376" s="76"/>
      <c r="AU376" s="76"/>
      <c r="AV376" s="76">
        <v>1.7067189305708201E+18</v>
      </c>
      <c r="AW376" s="83" t="str">
        <f>HYPERLINK("https://t.co/aF8qcjHpzj")</f>
        <v>https://t.co/aF8qcjHpzj</v>
      </c>
      <c r="AX376" s="76" t="b">
        <v>1</v>
      </c>
      <c r="AY376" s="76"/>
      <c r="AZ376" s="76"/>
      <c r="BA376" s="76" t="b">
        <v>0</v>
      </c>
      <c r="BB376" s="76" t="b">
        <v>1</v>
      </c>
      <c r="BC376" s="76" t="b">
        <v>1</v>
      </c>
      <c r="BD376" s="76" t="b">
        <v>0</v>
      </c>
      <c r="BE376" s="76" t="b">
        <v>0</v>
      </c>
      <c r="BF376" s="76" t="b">
        <v>0</v>
      </c>
      <c r="BG376" s="76" t="b">
        <v>0</v>
      </c>
      <c r="BH376" s="83" t="str">
        <f>HYPERLINK("https://pbs.twimg.com/profile_banners/1377741813151371264/1664554848")</f>
        <v>https://pbs.twimg.com/profile_banners/1377741813151371264/1664554848</v>
      </c>
      <c r="BI376" s="76"/>
      <c r="BJ376" s="76" t="s">
        <v>19734</v>
      </c>
      <c r="BK376" s="76" t="b">
        <v>0</v>
      </c>
      <c r="BL376" s="76"/>
      <c r="BM376" s="76" t="s">
        <v>66</v>
      </c>
      <c r="BN376" s="76" t="s">
        <v>19736</v>
      </c>
      <c r="BO376" s="83" t="str">
        <f>HYPERLINK("https://twitter.com/bloomberglineab")</f>
        <v>https://twitter.com/bloomberglineab</v>
      </c>
      <c r="BP376" s="2"/>
    </row>
    <row r="377" spans="1:68" x14ac:dyDescent="0.25">
      <c r="A377" s="62" t="s">
        <v>536</v>
      </c>
      <c r="B377" s="63"/>
      <c r="C377" s="63"/>
      <c r="D377" s="64"/>
      <c r="E377" s="66"/>
      <c r="F377" s="103" t="str">
        <f>HYPERLINK("https://pbs.twimg.com/profile_images/1673868230421561347/U0r0o3px_normal.jpg")</f>
        <v>https://pbs.twimg.com/profile_images/1673868230421561347/U0r0o3px_normal.jpg</v>
      </c>
      <c r="G377" s="63"/>
      <c r="H377" s="67"/>
      <c r="I377" s="68"/>
      <c r="J377" s="68"/>
      <c r="K377" s="67" t="s">
        <v>20110</v>
      </c>
      <c r="L377" s="71"/>
      <c r="M377" s="72"/>
      <c r="N377" s="72"/>
      <c r="O377" s="73"/>
      <c r="P377" s="74"/>
      <c r="Q377" s="74"/>
      <c r="R377" s="87"/>
      <c r="S377" s="87"/>
      <c r="T377" s="87"/>
      <c r="U377" s="87"/>
      <c r="V377" s="48"/>
      <c r="W377" s="48"/>
      <c r="X377" s="48"/>
      <c r="Y377" s="48"/>
      <c r="Z377" s="47"/>
      <c r="AA377" s="69">
        <v>377</v>
      </c>
      <c r="AB377" s="69"/>
      <c r="AC377" s="70"/>
      <c r="AD377" s="76" t="s">
        <v>18119</v>
      </c>
      <c r="AE377" s="81" t="s">
        <v>18473</v>
      </c>
      <c r="AF377" s="76">
        <v>29</v>
      </c>
      <c r="AG377" s="76">
        <v>67</v>
      </c>
      <c r="AH377" s="76">
        <v>1146</v>
      </c>
      <c r="AI377" s="76">
        <v>1</v>
      </c>
      <c r="AJ377" s="76">
        <v>2342</v>
      </c>
      <c r="AK377" s="76">
        <v>234</v>
      </c>
      <c r="AL377" s="76" t="b">
        <v>0</v>
      </c>
      <c r="AM377" s="78">
        <v>40820.051701388889</v>
      </c>
      <c r="AN377" s="76"/>
      <c r="AO377" s="76" t="s">
        <v>19109</v>
      </c>
      <c r="AP377" s="76"/>
      <c r="AQ377" s="76"/>
      <c r="AR377" s="76"/>
      <c r="AS377" s="76"/>
      <c r="AT377" s="76"/>
      <c r="AU377" s="76"/>
      <c r="AV377" s="76"/>
      <c r="AW377" s="76"/>
      <c r="AX377" s="76" t="b">
        <v>0</v>
      </c>
      <c r="AY377" s="76"/>
      <c r="AZ377" s="76"/>
      <c r="BA377" s="76" t="b">
        <v>0</v>
      </c>
      <c r="BB377" s="76" t="b">
        <v>1</v>
      </c>
      <c r="BC377" s="76" t="b">
        <v>1</v>
      </c>
      <c r="BD377" s="76" t="b">
        <v>0</v>
      </c>
      <c r="BE377" s="76" t="b">
        <v>1</v>
      </c>
      <c r="BF377" s="76" t="b">
        <v>0</v>
      </c>
      <c r="BG377" s="76" t="b">
        <v>0</v>
      </c>
      <c r="BH377" s="83" t="str">
        <f>HYPERLINK("https://pbs.twimg.com/profile_banners/384623981/1687916308")</f>
        <v>https://pbs.twimg.com/profile_banners/384623981/1687916308</v>
      </c>
      <c r="BI377" s="76"/>
      <c r="BJ377" s="76" t="s">
        <v>19734</v>
      </c>
      <c r="BK377" s="76" t="b">
        <v>0</v>
      </c>
      <c r="BL377" s="76"/>
      <c r="BM377" s="76" t="s">
        <v>66</v>
      </c>
      <c r="BN377" s="76" t="s">
        <v>19736</v>
      </c>
      <c r="BO377" s="83" t="str">
        <f>HYPERLINK("https://twitter.com/rcordeiro21")</f>
        <v>https://twitter.com/rcordeiro21</v>
      </c>
      <c r="BP377" s="2"/>
    </row>
    <row r="378" spans="1:68" x14ac:dyDescent="0.25">
      <c r="A378" s="62" t="s">
        <v>537</v>
      </c>
      <c r="B378" s="63"/>
      <c r="C378" s="63"/>
      <c r="D378" s="64"/>
      <c r="E378" s="66"/>
      <c r="F378" s="103" t="str">
        <f>HYPERLINK("https://pbs.twimg.com/profile_images/1247844907865313281/i6-Wedir_normal.jpg")</f>
        <v>https://pbs.twimg.com/profile_images/1247844907865313281/i6-Wedir_normal.jpg</v>
      </c>
      <c r="G378" s="63"/>
      <c r="H378" s="67"/>
      <c r="I378" s="68"/>
      <c r="J378" s="68"/>
      <c r="K378" s="67" t="s">
        <v>20111</v>
      </c>
      <c r="L378" s="71"/>
      <c r="M378" s="72"/>
      <c r="N378" s="72"/>
      <c r="O378" s="73"/>
      <c r="P378" s="74"/>
      <c r="Q378" s="74"/>
      <c r="R378" s="87"/>
      <c r="S378" s="87"/>
      <c r="T378" s="87"/>
      <c r="U378" s="87"/>
      <c r="V378" s="48"/>
      <c r="W378" s="48"/>
      <c r="X378" s="48"/>
      <c r="Y378" s="48"/>
      <c r="Z378" s="47"/>
      <c r="AA378" s="69">
        <v>378</v>
      </c>
      <c r="AB378" s="69"/>
      <c r="AC378" s="70"/>
      <c r="AD378" s="76" t="s">
        <v>18120</v>
      </c>
      <c r="AE378" s="81" t="s">
        <v>18474</v>
      </c>
      <c r="AF378" s="76">
        <v>291</v>
      </c>
      <c r="AG378" s="76">
        <v>193</v>
      </c>
      <c r="AH378" s="76">
        <v>2958</v>
      </c>
      <c r="AI378" s="76">
        <v>13</v>
      </c>
      <c r="AJ378" s="76">
        <v>23</v>
      </c>
      <c r="AK378" s="76">
        <v>57</v>
      </c>
      <c r="AL378" s="76" t="b">
        <v>0</v>
      </c>
      <c r="AM378" s="78">
        <v>41281.841215277775</v>
      </c>
      <c r="AN378" s="76" t="s">
        <v>12050</v>
      </c>
      <c r="AO378" s="76" t="s">
        <v>19110</v>
      </c>
      <c r="AP378" s="83" t="str">
        <f>HYPERLINK("https://t.co/zHK5qQhbuO")</f>
        <v>https://t.co/zHK5qQhbuO</v>
      </c>
      <c r="AQ378" s="83" t="str">
        <f>HYPERLINK("https://fundspeople.com/pt/")</f>
        <v>https://fundspeople.com/pt/</v>
      </c>
      <c r="AR378" s="76" t="s">
        <v>19527</v>
      </c>
      <c r="AS378" s="76"/>
      <c r="AT378" s="76"/>
      <c r="AU378" s="76"/>
      <c r="AV378" s="76">
        <v>1.6641875461070999E+18</v>
      </c>
      <c r="AW378" s="83" t="str">
        <f>HYPERLINK("https://t.co/zHK5qQhbuO")</f>
        <v>https://t.co/zHK5qQhbuO</v>
      </c>
      <c r="AX378" s="76" t="b">
        <v>0</v>
      </c>
      <c r="AY378" s="76"/>
      <c r="AZ378" s="76"/>
      <c r="BA378" s="76" t="b">
        <v>0</v>
      </c>
      <c r="BB378" s="76" t="b">
        <v>1</v>
      </c>
      <c r="BC378" s="76" t="b">
        <v>0</v>
      </c>
      <c r="BD378" s="76" t="b">
        <v>0</v>
      </c>
      <c r="BE378" s="76" t="b">
        <v>0</v>
      </c>
      <c r="BF378" s="76" t="b">
        <v>0</v>
      </c>
      <c r="BG378" s="76" t="b">
        <v>0</v>
      </c>
      <c r="BH378" s="76"/>
      <c r="BI378" s="76"/>
      <c r="BJ378" s="76" t="s">
        <v>19734</v>
      </c>
      <c r="BK378" s="76" t="b">
        <v>0</v>
      </c>
      <c r="BL378" s="76"/>
      <c r="BM378" s="76" t="s">
        <v>66</v>
      </c>
      <c r="BN378" s="76" t="s">
        <v>19736</v>
      </c>
      <c r="BO378" s="83" t="str">
        <f>HYPERLINK("https://twitter.com/fundspeoplept")</f>
        <v>https://twitter.com/fundspeoplept</v>
      </c>
      <c r="BP378" s="2"/>
    </row>
    <row r="379" spans="1:68" x14ac:dyDescent="0.25">
      <c r="A379" s="62" t="s">
        <v>538</v>
      </c>
      <c r="B379" s="63"/>
      <c r="C379" s="63"/>
      <c r="D379" s="64"/>
      <c r="E379" s="66"/>
      <c r="F379" s="103" t="str">
        <f>HYPERLINK("https://pbs.twimg.com/profile_images/1693236592578613248/T0Ib3tZL_normal.jpg")</f>
        <v>https://pbs.twimg.com/profile_images/1693236592578613248/T0Ib3tZL_normal.jpg</v>
      </c>
      <c r="G379" s="63"/>
      <c r="H379" s="67"/>
      <c r="I379" s="68"/>
      <c r="J379" s="68"/>
      <c r="K379" s="67" t="s">
        <v>20112</v>
      </c>
      <c r="L379" s="71"/>
      <c r="M379" s="72"/>
      <c r="N379" s="72"/>
      <c r="O379" s="73"/>
      <c r="P379" s="74"/>
      <c r="Q379" s="74"/>
      <c r="R379" s="87"/>
      <c r="S379" s="87"/>
      <c r="T379" s="87"/>
      <c r="U379" s="87"/>
      <c r="V379" s="48"/>
      <c r="W379" s="48"/>
      <c r="X379" s="48"/>
      <c r="Y379" s="48"/>
      <c r="Z379" s="47"/>
      <c r="AA379" s="69">
        <v>379</v>
      </c>
      <c r="AB379" s="69"/>
      <c r="AC379" s="70"/>
      <c r="AD379" s="76" t="s">
        <v>18121</v>
      </c>
      <c r="AE379" s="81" t="s">
        <v>17605</v>
      </c>
      <c r="AF379" s="76">
        <v>0</v>
      </c>
      <c r="AG379" s="76">
        <v>26</v>
      </c>
      <c r="AH379" s="76">
        <v>103</v>
      </c>
      <c r="AI379" s="76">
        <v>0</v>
      </c>
      <c r="AJ379" s="76">
        <v>57</v>
      </c>
      <c r="AK379" s="76">
        <v>0</v>
      </c>
      <c r="AL379" s="76" t="b">
        <v>0</v>
      </c>
      <c r="AM379" s="78">
        <v>45158.509953703702</v>
      </c>
      <c r="AN379" s="76"/>
      <c r="AO379" s="76" t="s">
        <v>19111</v>
      </c>
      <c r="AP379" s="76"/>
      <c r="AQ379" s="76"/>
      <c r="AR379" s="76"/>
      <c r="AS379" s="76"/>
      <c r="AT379" s="76"/>
      <c r="AU379" s="76"/>
      <c r="AV379" s="76">
        <v>1.69633539503262E+18</v>
      </c>
      <c r="AW379" s="76"/>
      <c r="AX379" s="76" t="b">
        <v>0</v>
      </c>
      <c r="AY379" s="76"/>
      <c r="AZ379" s="76"/>
      <c r="BA379" s="76" t="b">
        <v>1</v>
      </c>
      <c r="BB379" s="76" t="b">
        <v>1</v>
      </c>
      <c r="BC379" s="76" t="b">
        <v>1</v>
      </c>
      <c r="BD379" s="76" t="b">
        <v>0</v>
      </c>
      <c r="BE379" s="76" t="b">
        <v>0</v>
      </c>
      <c r="BF379" s="76" t="b">
        <v>0</v>
      </c>
      <c r="BG379" s="76" t="b">
        <v>0</v>
      </c>
      <c r="BH379" s="83" t="str">
        <f>HYPERLINK("https://pbs.twimg.com/profile_banners/1693234957055868928/1692535270")</f>
        <v>https://pbs.twimg.com/profile_banners/1693234957055868928/1692535270</v>
      </c>
      <c r="BI379" s="76"/>
      <c r="BJ379" s="76" t="s">
        <v>19734</v>
      </c>
      <c r="BK379" s="76" t="b">
        <v>0</v>
      </c>
      <c r="BL379" s="76"/>
      <c r="BM379" s="76" t="s">
        <v>66</v>
      </c>
      <c r="BN379" s="76" t="s">
        <v>19736</v>
      </c>
      <c r="BO379" s="83" t="str">
        <f>HYPERLINK("https://twitter.com/fragmentos27")</f>
        <v>https://twitter.com/fragmentos27</v>
      </c>
      <c r="BP379" s="2"/>
    </row>
    <row r="380" spans="1:68" x14ac:dyDescent="0.25">
      <c r="A380" s="62" t="s">
        <v>539</v>
      </c>
      <c r="B380" s="63"/>
      <c r="C380" s="63"/>
      <c r="D380" s="64"/>
      <c r="E380" s="66"/>
      <c r="F380" s="103" t="str">
        <f>HYPERLINK("https://pbs.twimg.com/profile_images/1680970917977939969/-cbAdNlU_normal.jpg")</f>
        <v>https://pbs.twimg.com/profile_images/1680970917977939969/-cbAdNlU_normal.jpg</v>
      </c>
      <c r="G380" s="63"/>
      <c r="H380" s="67"/>
      <c r="I380" s="68"/>
      <c r="J380" s="68"/>
      <c r="K380" s="67" t="s">
        <v>20113</v>
      </c>
      <c r="L380" s="71"/>
      <c r="M380" s="72"/>
      <c r="N380" s="72"/>
      <c r="O380" s="73"/>
      <c r="P380" s="74"/>
      <c r="Q380" s="74"/>
      <c r="R380" s="87"/>
      <c r="S380" s="87"/>
      <c r="T380" s="87"/>
      <c r="U380" s="87"/>
      <c r="V380" s="48"/>
      <c r="W380" s="48"/>
      <c r="X380" s="48"/>
      <c r="Y380" s="48"/>
      <c r="Z380" s="47"/>
      <c r="AA380" s="69">
        <v>380</v>
      </c>
      <c r="AB380" s="69"/>
      <c r="AC380" s="70"/>
      <c r="AD380" s="76" t="s">
        <v>18122</v>
      </c>
      <c r="AE380" s="81" t="s">
        <v>17362</v>
      </c>
      <c r="AF380" s="76">
        <v>8</v>
      </c>
      <c r="AG380" s="76">
        <v>119</v>
      </c>
      <c r="AH380" s="76">
        <v>62</v>
      </c>
      <c r="AI380" s="76">
        <v>1</v>
      </c>
      <c r="AJ380" s="76">
        <v>7</v>
      </c>
      <c r="AK380" s="76">
        <v>10</v>
      </c>
      <c r="AL380" s="76" t="b">
        <v>0</v>
      </c>
      <c r="AM380" s="78">
        <v>45078.986145833333</v>
      </c>
      <c r="AN380" s="76" t="s">
        <v>12007</v>
      </c>
      <c r="AO380" s="76" t="s">
        <v>19112</v>
      </c>
      <c r="AP380" s="83" t="str">
        <f>HYPERLINK("https://t.co/lN3qNnv0XZ")</f>
        <v>https://t.co/lN3qNnv0XZ</v>
      </c>
      <c r="AQ380" s="83" t="str">
        <f>HYPERLINK("https://linktr.ee/econovisao")</f>
        <v>https://linktr.ee/econovisao</v>
      </c>
      <c r="AR380" s="76" t="s">
        <v>19528</v>
      </c>
      <c r="AS380" s="76"/>
      <c r="AT380" s="76"/>
      <c r="AU380" s="76"/>
      <c r="AV380" s="76"/>
      <c r="AW380" s="83" t="str">
        <f>HYPERLINK("https://t.co/lN3qNnv0XZ")</f>
        <v>https://t.co/lN3qNnv0XZ</v>
      </c>
      <c r="AX380" s="76" t="b">
        <v>0</v>
      </c>
      <c r="AY380" s="76"/>
      <c r="AZ380" s="76"/>
      <c r="BA380" s="76" t="b">
        <v>0</v>
      </c>
      <c r="BB380" s="76" t="b">
        <v>1</v>
      </c>
      <c r="BC380" s="76" t="b">
        <v>1</v>
      </c>
      <c r="BD380" s="76" t="b">
        <v>0</v>
      </c>
      <c r="BE380" s="76" t="b">
        <v>0</v>
      </c>
      <c r="BF380" s="76" t="b">
        <v>0</v>
      </c>
      <c r="BG380" s="76" t="b">
        <v>0</v>
      </c>
      <c r="BH380" s="83" t="str">
        <f>HYPERLINK("https://pbs.twimg.com/profile_banners/1664416457046802432/1689609672")</f>
        <v>https://pbs.twimg.com/profile_banners/1664416457046802432/1689609672</v>
      </c>
      <c r="BI380" s="76"/>
      <c r="BJ380" s="76" t="s">
        <v>19734</v>
      </c>
      <c r="BK380" s="76" t="b">
        <v>0</v>
      </c>
      <c r="BL380" s="76"/>
      <c r="BM380" s="76" t="s">
        <v>66</v>
      </c>
      <c r="BN380" s="76" t="s">
        <v>19736</v>
      </c>
      <c r="BO380" s="83" t="str">
        <f>HYPERLINK("https://twitter.com/econovisao")</f>
        <v>https://twitter.com/econovisao</v>
      </c>
      <c r="BP380" s="2"/>
    </row>
    <row r="381" spans="1:68" x14ac:dyDescent="0.25">
      <c r="A381" s="62" t="s">
        <v>540</v>
      </c>
      <c r="B381" s="63"/>
      <c r="C381" s="63"/>
      <c r="D381" s="64"/>
      <c r="E381" s="66"/>
      <c r="F381" s="103" t="str">
        <f>HYPERLINK("https://pbs.twimg.com/profile_images/1658511155394932736/5ZDt-zI8_normal.jpg")</f>
        <v>https://pbs.twimg.com/profile_images/1658511155394932736/5ZDt-zI8_normal.jpg</v>
      </c>
      <c r="G381" s="63"/>
      <c r="H381" s="67"/>
      <c r="I381" s="68"/>
      <c r="J381" s="68"/>
      <c r="K381" s="67" t="s">
        <v>20114</v>
      </c>
      <c r="L381" s="71"/>
      <c r="M381" s="72"/>
      <c r="N381" s="72"/>
      <c r="O381" s="73"/>
      <c r="P381" s="74"/>
      <c r="Q381" s="74"/>
      <c r="R381" s="87"/>
      <c r="S381" s="87"/>
      <c r="T381" s="87"/>
      <c r="U381" s="87"/>
      <c r="V381" s="48"/>
      <c r="W381" s="48"/>
      <c r="X381" s="48"/>
      <c r="Y381" s="48"/>
      <c r="Z381" s="47"/>
      <c r="AA381" s="69">
        <v>381</v>
      </c>
      <c r="AB381" s="69"/>
      <c r="AC381" s="70"/>
      <c r="AD381" s="76" t="s">
        <v>18123</v>
      </c>
      <c r="AE381" s="81" t="s">
        <v>17606</v>
      </c>
      <c r="AF381" s="76">
        <v>58</v>
      </c>
      <c r="AG381" s="76">
        <v>775</v>
      </c>
      <c r="AH381" s="76">
        <v>186</v>
      </c>
      <c r="AI381" s="76">
        <v>0</v>
      </c>
      <c r="AJ381" s="76">
        <v>478</v>
      </c>
      <c r="AK381" s="76">
        <v>10</v>
      </c>
      <c r="AL381" s="76" t="b">
        <v>0</v>
      </c>
      <c r="AM381" s="78">
        <v>45062.666122685187</v>
      </c>
      <c r="AN381" s="76"/>
      <c r="AO381" s="76" t="s">
        <v>19113</v>
      </c>
      <c r="AP381" s="76"/>
      <c r="AQ381" s="76"/>
      <c r="AR381" s="76"/>
      <c r="AS381" s="76"/>
      <c r="AT381" s="76"/>
      <c r="AU381" s="76"/>
      <c r="AV381" s="76"/>
      <c r="AW381" s="76"/>
      <c r="AX381" s="76" t="b">
        <v>0</v>
      </c>
      <c r="AY381" s="76"/>
      <c r="AZ381" s="76"/>
      <c r="BA381" s="76" t="b">
        <v>0</v>
      </c>
      <c r="BB381" s="76" t="b">
        <v>1</v>
      </c>
      <c r="BC381" s="76" t="b">
        <v>1</v>
      </c>
      <c r="BD381" s="76" t="b">
        <v>0</v>
      </c>
      <c r="BE381" s="76" t="b">
        <v>0</v>
      </c>
      <c r="BF381" s="76" t="b">
        <v>0</v>
      </c>
      <c r="BG381" s="76" t="b">
        <v>0</v>
      </c>
      <c r="BH381" s="83" t="str">
        <f>HYPERLINK("https://pbs.twimg.com/profile_banners/1658502179748020224/1695848144")</f>
        <v>https://pbs.twimg.com/profile_banners/1658502179748020224/1695848144</v>
      </c>
      <c r="BI381" s="76"/>
      <c r="BJ381" s="76" t="s">
        <v>19734</v>
      </c>
      <c r="BK381" s="76" t="b">
        <v>0</v>
      </c>
      <c r="BL381" s="76"/>
      <c r="BM381" s="76" t="s">
        <v>66</v>
      </c>
      <c r="BN381" s="76" t="s">
        <v>19736</v>
      </c>
      <c r="BO381" s="83" t="str">
        <f>HYPERLINK("https://twitter.com/kingrodrigues0")</f>
        <v>https://twitter.com/kingrodrigues0</v>
      </c>
      <c r="BP381" s="2"/>
    </row>
    <row r="382" spans="1:68" x14ac:dyDescent="0.25">
      <c r="A382" s="62" t="s">
        <v>541</v>
      </c>
      <c r="B382" s="63"/>
      <c r="C382" s="63"/>
      <c r="D382" s="64"/>
      <c r="E382" s="66"/>
      <c r="F382" s="103" t="str">
        <f>HYPERLINK("https://pbs.twimg.com/profile_images/1661542291423608840/csv_Qeh3_normal.jpg")</f>
        <v>https://pbs.twimg.com/profile_images/1661542291423608840/csv_Qeh3_normal.jpg</v>
      </c>
      <c r="G382" s="63"/>
      <c r="H382" s="67"/>
      <c r="I382" s="68"/>
      <c r="J382" s="68"/>
      <c r="K382" s="67" t="s">
        <v>20115</v>
      </c>
      <c r="L382" s="71"/>
      <c r="M382" s="72"/>
      <c r="N382" s="72"/>
      <c r="O382" s="73"/>
      <c r="P382" s="74"/>
      <c r="Q382" s="74"/>
      <c r="R382" s="87"/>
      <c r="S382" s="87"/>
      <c r="T382" s="87"/>
      <c r="U382" s="87"/>
      <c r="V382" s="48"/>
      <c r="W382" s="48"/>
      <c r="X382" s="48"/>
      <c r="Y382" s="48"/>
      <c r="Z382" s="47"/>
      <c r="AA382" s="69">
        <v>382</v>
      </c>
      <c r="AB382" s="69"/>
      <c r="AC382" s="70"/>
      <c r="AD382" s="76" t="s">
        <v>18124</v>
      </c>
      <c r="AE382" s="81" t="s">
        <v>17607</v>
      </c>
      <c r="AF382" s="76">
        <v>14</v>
      </c>
      <c r="AG382" s="76">
        <v>22</v>
      </c>
      <c r="AH382" s="76">
        <v>201</v>
      </c>
      <c r="AI382" s="76">
        <v>0</v>
      </c>
      <c r="AJ382" s="76">
        <v>18</v>
      </c>
      <c r="AK382" s="76">
        <v>166</v>
      </c>
      <c r="AL382" s="76" t="b">
        <v>0</v>
      </c>
      <c r="AM382" s="78">
        <v>45071.054699074077</v>
      </c>
      <c r="AN382" s="76"/>
      <c r="AO382" s="76" t="s">
        <v>19114</v>
      </c>
      <c r="AP382" s="76"/>
      <c r="AQ382" s="76"/>
      <c r="AR382" s="76"/>
      <c r="AS382" s="76"/>
      <c r="AT382" s="76"/>
      <c r="AU382" s="76"/>
      <c r="AV382" s="76"/>
      <c r="AW382" s="76"/>
      <c r="AX382" s="76" t="b">
        <v>0</v>
      </c>
      <c r="AY382" s="76"/>
      <c r="AZ382" s="76"/>
      <c r="BA382" s="76" t="b">
        <v>0</v>
      </c>
      <c r="BB382" s="76" t="b">
        <v>1</v>
      </c>
      <c r="BC382" s="76" t="b">
        <v>1</v>
      </c>
      <c r="BD382" s="76" t="b">
        <v>0</v>
      </c>
      <c r="BE382" s="76" t="b">
        <v>0</v>
      </c>
      <c r="BF382" s="76" t="b">
        <v>0</v>
      </c>
      <c r="BG382" s="76" t="b">
        <v>0</v>
      </c>
      <c r="BH382" s="83" t="str">
        <f>HYPERLINK("https://pbs.twimg.com/profile_banners/1661542217268305920/1686012356")</f>
        <v>https://pbs.twimg.com/profile_banners/1661542217268305920/1686012356</v>
      </c>
      <c r="BI382" s="76"/>
      <c r="BJ382" s="76" t="s">
        <v>19734</v>
      </c>
      <c r="BK382" s="76" t="b">
        <v>0</v>
      </c>
      <c r="BL382" s="76"/>
      <c r="BM382" s="76" t="s">
        <v>66</v>
      </c>
      <c r="BN382" s="76" t="s">
        <v>19736</v>
      </c>
      <c r="BO382" s="83" t="str">
        <f>HYPERLINK("https://twitter.com/mecfin")</f>
        <v>https://twitter.com/mecfin</v>
      </c>
      <c r="BP382" s="2"/>
    </row>
    <row r="383" spans="1:68" x14ac:dyDescent="0.25">
      <c r="A383" s="62" t="s">
        <v>542</v>
      </c>
      <c r="B383" s="63"/>
      <c r="C383" s="63"/>
      <c r="D383" s="64"/>
      <c r="E383" s="66"/>
      <c r="F383" s="103" t="str">
        <f>HYPERLINK("https://pbs.twimg.com/profile_images/1648686893813334017/Se39AVow_normal.jpg")</f>
        <v>https://pbs.twimg.com/profile_images/1648686893813334017/Se39AVow_normal.jpg</v>
      </c>
      <c r="G383" s="63"/>
      <c r="H383" s="67"/>
      <c r="I383" s="68"/>
      <c r="J383" s="68"/>
      <c r="K383" s="67" t="s">
        <v>20116</v>
      </c>
      <c r="L383" s="71"/>
      <c r="M383" s="72"/>
      <c r="N383" s="72"/>
      <c r="O383" s="73"/>
      <c r="P383" s="74"/>
      <c r="Q383" s="74"/>
      <c r="R383" s="87"/>
      <c r="S383" s="87"/>
      <c r="T383" s="87"/>
      <c r="U383" s="87"/>
      <c r="V383" s="48"/>
      <c r="W383" s="48"/>
      <c r="X383" s="48"/>
      <c r="Y383" s="48"/>
      <c r="Z383" s="47"/>
      <c r="AA383" s="69">
        <v>383</v>
      </c>
      <c r="AB383" s="69"/>
      <c r="AC383" s="70"/>
      <c r="AD383" s="76" t="s">
        <v>18125</v>
      </c>
      <c r="AE383" s="81" t="s">
        <v>18475</v>
      </c>
      <c r="AF383" s="76">
        <v>338</v>
      </c>
      <c r="AG383" s="76">
        <v>1738</v>
      </c>
      <c r="AH383" s="76">
        <v>3183</v>
      </c>
      <c r="AI383" s="76">
        <v>8</v>
      </c>
      <c r="AJ383" s="76">
        <v>11606</v>
      </c>
      <c r="AK383" s="76">
        <v>209</v>
      </c>
      <c r="AL383" s="76" t="b">
        <v>0</v>
      </c>
      <c r="AM383" s="78">
        <v>39923.596273148149</v>
      </c>
      <c r="AN383" s="76" t="s">
        <v>18698</v>
      </c>
      <c r="AO383" s="76" t="s">
        <v>19115</v>
      </c>
      <c r="AP383" s="83" t="str">
        <f>HYPERLINK("https://t.co/7rHlFS79dh")</f>
        <v>https://t.co/7rHlFS79dh</v>
      </c>
      <c r="AQ383" s="83" t="str">
        <f>HYPERLINK("https://rodrigofavaro.com")</f>
        <v>https://rodrigofavaro.com</v>
      </c>
      <c r="AR383" s="76" t="s">
        <v>19529</v>
      </c>
      <c r="AS383" s="76"/>
      <c r="AT383" s="76"/>
      <c r="AU383" s="76"/>
      <c r="AV383" s="76"/>
      <c r="AW383" s="83" t="str">
        <f>HYPERLINK("https://t.co/7rHlFS79dh")</f>
        <v>https://t.co/7rHlFS79dh</v>
      </c>
      <c r="AX383" s="76" t="b">
        <v>1</v>
      </c>
      <c r="AY383" s="76"/>
      <c r="AZ383" s="76"/>
      <c r="BA383" s="76" t="b">
        <v>0</v>
      </c>
      <c r="BB383" s="76" t="b">
        <v>1</v>
      </c>
      <c r="BC383" s="76" t="b">
        <v>0</v>
      </c>
      <c r="BD383" s="76" t="b">
        <v>0</v>
      </c>
      <c r="BE383" s="76" t="b">
        <v>1</v>
      </c>
      <c r="BF383" s="76" t="b">
        <v>0</v>
      </c>
      <c r="BG383" s="76" t="b">
        <v>0</v>
      </c>
      <c r="BH383" s="83" t="str">
        <f>HYPERLINK("https://pbs.twimg.com/profile_banners/33525637/1544271040")</f>
        <v>https://pbs.twimg.com/profile_banners/33525637/1544271040</v>
      </c>
      <c r="BI383" s="76"/>
      <c r="BJ383" s="76" t="s">
        <v>19734</v>
      </c>
      <c r="BK383" s="76" t="b">
        <v>0</v>
      </c>
      <c r="BL383" s="76"/>
      <c r="BM383" s="76" t="s">
        <v>66</v>
      </c>
      <c r="BN383" s="76" t="s">
        <v>19736</v>
      </c>
      <c r="BO383" s="83" t="str">
        <f>HYPERLINK("https://twitter.com/rodmf")</f>
        <v>https://twitter.com/rodmf</v>
      </c>
      <c r="BP383" s="2"/>
    </row>
    <row r="384" spans="1:68" x14ac:dyDescent="0.25">
      <c r="A384" s="62" t="s">
        <v>543</v>
      </c>
      <c r="B384" s="63"/>
      <c r="C384" s="63"/>
      <c r="D384" s="64"/>
      <c r="E384" s="66"/>
      <c r="F384" s="103" t="str">
        <f>HYPERLINK("https://pbs.twimg.com/profile_images/1428428579885486081/0Mg8DapI_normal.jpg")</f>
        <v>https://pbs.twimg.com/profile_images/1428428579885486081/0Mg8DapI_normal.jpg</v>
      </c>
      <c r="G384" s="63"/>
      <c r="H384" s="67"/>
      <c r="I384" s="68"/>
      <c r="J384" s="68"/>
      <c r="K384" s="67" t="s">
        <v>20117</v>
      </c>
      <c r="L384" s="71"/>
      <c r="M384" s="72"/>
      <c r="N384" s="72"/>
      <c r="O384" s="73"/>
      <c r="P384" s="74"/>
      <c r="Q384" s="74"/>
      <c r="R384" s="87"/>
      <c r="S384" s="87"/>
      <c r="T384" s="87"/>
      <c r="U384" s="87"/>
      <c r="V384" s="48"/>
      <c r="W384" s="48"/>
      <c r="X384" s="48"/>
      <c r="Y384" s="48"/>
      <c r="Z384" s="47"/>
      <c r="AA384" s="69">
        <v>384</v>
      </c>
      <c r="AB384" s="69"/>
      <c r="AC384" s="70"/>
      <c r="AD384" s="76" t="s">
        <v>18126</v>
      </c>
      <c r="AE384" s="81" t="s">
        <v>17608</v>
      </c>
      <c r="AF384" s="76">
        <v>636</v>
      </c>
      <c r="AG384" s="76">
        <v>657</v>
      </c>
      <c r="AH384" s="76">
        <v>7420</v>
      </c>
      <c r="AI384" s="76">
        <v>5</v>
      </c>
      <c r="AJ384" s="76">
        <v>1</v>
      </c>
      <c r="AK384" s="76">
        <v>2239</v>
      </c>
      <c r="AL384" s="76" t="b">
        <v>0</v>
      </c>
      <c r="AM384" s="78">
        <v>44427.78020833333</v>
      </c>
      <c r="AN384" s="76" t="s">
        <v>18699</v>
      </c>
      <c r="AO384" s="76" t="s">
        <v>19116</v>
      </c>
      <c r="AP384" s="83" t="str">
        <f>HYPERLINK("https://t.co/6zb3bfNhtx")</f>
        <v>https://t.co/6zb3bfNhtx</v>
      </c>
      <c r="AQ384" s="83" t="str">
        <f>HYPERLINK("https://blogdohiellevy.com.br/")</f>
        <v>https://blogdohiellevy.com.br/</v>
      </c>
      <c r="AR384" s="76" t="s">
        <v>19530</v>
      </c>
      <c r="AS384" s="76"/>
      <c r="AT384" s="76"/>
      <c r="AU384" s="76"/>
      <c r="AV384" s="76"/>
      <c r="AW384" s="83" t="str">
        <f>HYPERLINK("https://t.co/6zb3bfNhtx")</f>
        <v>https://t.co/6zb3bfNhtx</v>
      </c>
      <c r="AX384" s="76" t="b">
        <v>0</v>
      </c>
      <c r="AY384" s="76"/>
      <c r="AZ384" s="76"/>
      <c r="BA384" s="76" t="b">
        <v>0</v>
      </c>
      <c r="BB384" s="76" t="b">
        <v>1</v>
      </c>
      <c r="BC384" s="76" t="b">
        <v>1</v>
      </c>
      <c r="BD384" s="76" t="b">
        <v>0</v>
      </c>
      <c r="BE384" s="76" t="b">
        <v>0</v>
      </c>
      <c r="BF384" s="76" t="b">
        <v>0</v>
      </c>
      <c r="BG384" s="76" t="b">
        <v>0</v>
      </c>
      <c r="BH384" s="83" t="str">
        <f>HYPERLINK("https://pbs.twimg.com/profile_banners/1428427211028287489/1629399004")</f>
        <v>https://pbs.twimg.com/profile_banners/1428427211028287489/1629399004</v>
      </c>
      <c r="BI384" s="76"/>
      <c r="BJ384" s="76" t="s">
        <v>19734</v>
      </c>
      <c r="BK384" s="76" t="b">
        <v>0</v>
      </c>
      <c r="BL384" s="76"/>
      <c r="BM384" s="76" t="s">
        <v>66</v>
      </c>
      <c r="BN384" s="76" t="s">
        <v>19736</v>
      </c>
      <c r="BO384" s="83" t="str">
        <f>HYPERLINK("https://twitter.com/blogdohiel")</f>
        <v>https://twitter.com/blogdohiel</v>
      </c>
      <c r="BP384" s="2"/>
    </row>
    <row r="385" spans="1:68" x14ac:dyDescent="0.25">
      <c r="A385" s="62" t="s">
        <v>544</v>
      </c>
      <c r="B385" s="63"/>
      <c r="C385" s="63"/>
      <c r="D385" s="64"/>
      <c r="E385" s="66"/>
      <c r="F385" s="103" t="str">
        <f>HYPERLINK("https://pbs.twimg.com/profile_images/1362043512531914755/MDpv7b99_normal.jpg")</f>
        <v>https://pbs.twimg.com/profile_images/1362043512531914755/MDpv7b99_normal.jpg</v>
      </c>
      <c r="G385" s="63"/>
      <c r="H385" s="67"/>
      <c r="I385" s="68"/>
      <c r="J385" s="68"/>
      <c r="K385" s="67" t="s">
        <v>20118</v>
      </c>
      <c r="L385" s="71"/>
      <c r="M385" s="72"/>
      <c r="N385" s="72"/>
      <c r="O385" s="73"/>
      <c r="P385" s="74"/>
      <c r="Q385" s="74"/>
      <c r="R385" s="87"/>
      <c r="S385" s="87"/>
      <c r="T385" s="87"/>
      <c r="U385" s="87"/>
      <c r="V385" s="48"/>
      <c r="W385" s="48"/>
      <c r="X385" s="48"/>
      <c r="Y385" s="48"/>
      <c r="Z385" s="47"/>
      <c r="AA385" s="69">
        <v>385</v>
      </c>
      <c r="AB385" s="69"/>
      <c r="AC385" s="70"/>
      <c r="AD385" s="76" t="s">
        <v>18127</v>
      </c>
      <c r="AE385" s="81" t="s">
        <v>17609</v>
      </c>
      <c r="AF385" s="76">
        <v>1281</v>
      </c>
      <c r="AG385" s="76">
        <v>17</v>
      </c>
      <c r="AH385" s="76">
        <v>121993</v>
      </c>
      <c r="AI385" s="76">
        <v>3</v>
      </c>
      <c r="AJ385" s="76">
        <v>543</v>
      </c>
      <c r="AK385" s="76">
        <v>6</v>
      </c>
      <c r="AL385" s="76" t="b">
        <v>0</v>
      </c>
      <c r="AM385" s="78">
        <v>44232.498518518521</v>
      </c>
      <c r="AN385" s="76" t="s">
        <v>18700</v>
      </c>
      <c r="AO385" s="76" t="s">
        <v>19117</v>
      </c>
      <c r="AP385" s="83" t="str">
        <f>HYPERLINK("https://t.co/KZCuq5QbFH")</f>
        <v>https://t.co/KZCuq5QbFH</v>
      </c>
      <c r="AQ385" s="83" t="str">
        <f>HYPERLINK("https://plu7.net/")</f>
        <v>https://plu7.net/</v>
      </c>
      <c r="AR385" s="76" t="s">
        <v>19531</v>
      </c>
      <c r="AS385" s="76"/>
      <c r="AT385" s="76"/>
      <c r="AU385" s="76"/>
      <c r="AV385" s="76">
        <v>1.3620358454364401E+18</v>
      </c>
      <c r="AW385" s="83" t="str">
        <f>HYPERLINK("https://t.co/KZCuq5QbFH")</f>
        <v>https://t.co/KZCuq5QbFH</v>
      </c>
      <c r="AX385" s="76" t="b">
        <v>0</v>
      </c>
      <c r="AY385" s="76"/>
      <c r="AZ385" s="76"/>
      <c r="BA385" s="76" t="b">
        <v>0</v>
      </c>
      <c r="BB385" s="76" t="b">
        <v>1</v>
      </c>
      <c r="BC385" s="76" t="b">
        <v>1</v>
      </c>
      <c r="BD385" s="76" t="b">
        <v>0</v>
      </c>
      <c r="BE385" s="76" t="b">
        <v>0</v>
      </c>
      <c r="BF385" s="76" t="b">
        <v>0</v>
      </c>
      <c r="BG385" s="76" t="b">
        <v>0</v>
      </c>
      <c r="BH385" s="83" t="str">
        <f>HYPERLINK("https://pbs.twimg.com/profile_banners/1357659544978132993/1613568426")</f>
        <v>https://pbs.twimg.com/profile_banners/1357659544978132993/1613568426</v>
      </c>
      <c r="BI385" s="76"/>
      <c r="BJ385" s="76" t="s">
        <v>19734</v>
      </c>
      <c r="BK385" s="76" t="b">
        <v>0</v>
      </c>
      <c r="BL385" s="76"/>
      <c r="BM385" s="76" t="s">
        <v>66</v>
      </c>
      <c r="BN385" s="76" t="s">
        <v>19736</v>
      </c>
      <c r="BO385" s="83" t="str">
        <f>HYPERLINK("https://twitter.com/plu7oficial")</f>
        <v>https://twitter.com/plu7oficial</v>
      </c>
      <c r="BP385" s="2"/>
    </row>
    <row r="386" spans="1:68" x14ac:dyDescent="0.25">
      <c r="A386" s="62" t="s">
        <v>545</v>
      </c>
      <c r="B386" s="63"/>
      <c r="C386" s="63"/>
      <c r="D386" s="64"/>
      <c r="E386" s="66"/>
      <c r="F386" s="103" t="str">
        <f>HYPERLINK("https://pbs.twimg.com/profile_images/1627703466167570433/1q5IQFtC_normal.jpg")</f>
        <v>https://pbs.twimg.com/profile_images/1627703466167570433/1q5IQFtC_normal.jpg</v>
      </c>
      <c r="G386" s="63"/>
      <c r="H386" s="67"/>
      <c r="I386" s="68"/>
      <c r="J386" s="68"/>
      <c r="K386" s="67" t="s">
        <v>20119</v>
      </c>
      <c r="L386" s="71"/>
      <c r="M386" s="72"/>
      <c r="N386" s="72"/>
      <c r="O386" s="73"/>
      <c r="P386" s="74"/>
      <c r="Q386" s="74"/>
      <c r="R386" s="87"/>
      <c r="S386" s="87"/>
      <c r="T386" s="87"/>
      <c r="U386" s="87"/>
      <c r="V386" s="48"/>
      <c r="W386" s="48"/>
      <c r="X386" s="48"/>
      <c r="Y386" s="48"/>
      <c r="Z386" s="47"/>
      <c r="AA386" s="69">
        <v>386</v>
      </c>
      <c r="AB386" s="69"/>
      <c r="AC386" s="70"/>
      <c r="AD386" s="76" t="s">
        <v>18128</v>
      </c>
      <c r="AE386" s="81" t="s">
        <v>17610</v>
      </c>
      <c r="AF386" s="76">
        <v>668</v>
      </c>
      <c r="AG386" s="76">
        <v>5</v>
      </c>
      <c r="AH386" s="76">
        <v>4144</v>
      </c>
      <c r="AI386" s="76">
        <v>0</v>
      </c>
      <c r="AJ386" s="76">
        <v>1379</v>
      </c>
      <c r="AK386" s="76">
        <v>531</v>
      </c>
      <c r="AL386" s="76" t="b">
        <v>0</v>
      </c>
      <c r="AM386" s="78">
        <v>43299.706307870372</v>
      </c>
      <c r="AN386" s="76"/>
      <c r="AO386" s="76" t="s">
        <v>19118</v>
      </c>
      <c r="AP386" s="83" t="str">
        <f>HYPERLINK("https://t.co/uzP6EutMFg")</f>
        <v>https://t.co/uzP6EutMFg</v>
      </c>
      <c r="AQ386" s="83" t="str">
        <f>HYPERLINK("https://www.coingraph.news")</f>
        <v>https://www.coingraph.news</v>
      </c>
      <c r="AR386" s="76" t="s">
        <v>19532</v>
      </c>
      <c r="AS386" s="76"/>
      <c r="AT386" s="76"/>
      <c r="AU386" s="76"/>
      <c r="AV386" s="76">
        <v>1.6741714788775601E+18</v>
      </c>
      <c r="AW386" s="83" t="str">
        <f>HYPERLINK("https://t.co/uzP6EutMFg")</f>
        <v>https://t.co/uzP6EutMFg</v>
      </c>
      <c r="AX386" s="76" t="b">
        <v>0</v>
      </c>
      <c r="AY386" s="76"/>
      <c r="AZ386" s="76"/>
      <c r="BA386" s="76" t="b">
        <v>1</v>
      </c>
      <c r="BB386" s="76" t="b">
        <v>1</v>
      </c>
      <c r="BC386" s="76" t="b">
        <v>1</v>
      </c>
      <c r="BD386" s="76" t="b">
        <v>0</v>
      </c>
      <c r="BE386" s="76" t="b">
        <v>1</v>
      </c>
      <c r="BF386" s="76" t="b">
        <v>0</v>
      </c>
      <c r="BG386" s="76" t="b">
        <v>0</v>
      </c>
      <c r="BH386" s="83" t="str">
        <f>HYPERLINK("https://pbs.twimg.com/profile_banners/1019627125542797314/1676963284")</f>
        <v>https://pbs.twimg.com/profile_banners/1019627125542797314/1676963284</v>
      </c>
      <c r="BI386" s="76"/>
      <c r="BJ386" s="76" t="s">
        <v>19734</v>
      </c>
      <c r="BK386" s="76" t="b">
        <v>0</v>
      </c>
      <c r="BL386" s="76"/>
      <c r="BM386" s="76" t="s">
        <v>66</v>
      </c>
      <c r="BN386" s="76" t="s">
        <v>19736</v>
      </c>
      <c r="BO386" s="83" t="str">
        <f>HYPERLINK("https://twitter.com/coingraphnewspt")</f>
        <v>https://twitter.com/coingraphnewspt</v>
      </c>
      <c r="BP386" s="2"/>
    </row>
    <row r="387" spans="1:68" x14ac:dyDescent="0.25">
      <c r="A387" s="62" t="s">
        <v>546</v>
      </c>
      <c r="B387" s="63"/>
      <c r="C387" s="63"/>
      <c r="D387" s="64"/>
      <c r="E387" s="66"/>
      <c r="F387" s="103" t="str">
        <f>HYPERLINK("https://pbs.twimg.com/profile_images/1240403189016469505/sNkpq40K_normal.jpg")</f>
        <v>https://pbs.twimg.com/profile_images/1240403189016469505/sNkpq40K_normal.jpg</v>
      </c>
      <c r="G387" s="63"/>
      <c r="H387" s="67"/>
      <c r="I387" s="68"/>
      <c r="J387" s="68"/>
      <c r="K387" s="67" t="s">
        <v>20120</v>
      </c>
      <c r="L387" s="71"/>
      <c r="M387" s="72"/>
      <c r="N387" s="72"/>
      <c r="O387" s="73"/>
      <c r="P387" s="74"/>
      <c r="Q387" s="74"/>
      <c r="R387" s="87"/>
      <c r="S387" s="87"/>
      <c r="T387" s="87"/>
      <c r="U387" s="87"/>
      <c r="V387" s="48"/>
      <c r="W387" s="48"/>
      <c r="X387" s="48"/>
      <c r="Y387" s="48"/>
      <c r="Z387" s="47"/>
      <c r="AA387" s="69">
        <v>387</v>
      </c>
      <c r="AB387" s="69"/>
      <c r="AC387" s="70"/>
      <c r="AD387" s="76" t="s">
        <v>18129</v>
      </c>
      <c r="AE387" s="81" t="s">
        <v>18476</v>
      </c>
      <c r="AF387" s="76">
        <v>2036</v>
      </c>
      <c r="AG387" s="76">
        <v>4985</v>
      </c>
      <c r="AH387" s="76">
        <v>14437</v>
      </c>
      <c r="AI387" s="76">
        <v>60</v>
      </c>
      <c r="AJ387" s="76">
        <v>8566</v>
      </c>
      <c r="AK387" s="76">
        <v>189</v>
      </c>
      <c r="AL387" s="76" t="b">
        <v>0</v>
      </c>
      <c r="AM387" s="78">
        <v>39650.536099537036</v>
      </c>
      <c r="AN387" s="76" t="s">
        <v>18701</v>
      </c>
      <c r="AO387" s="76" t="s">
        <v>19119</v>
      </c>
      <c r="AP387" s="83" t="str">
        <f>HYPERLINK("https://t.co/DcL5gGMNV6")</f>
        <v>https://t.co/DcL5gGMNV6</v>
      </c>
      <c r="AQ387" s="83" t="str">
        <f>HYPERLINK("http://organizze.com.br")</f>
        <v>http://organizze.com.br</v>
      </c>
      <c r="AR387" s="76" t="s">
        <v>19533</v>
      </c>
      <c r="AS387" s="76"/>
      <c r="AT387" s="76"/>
      <c r="AU387" s="76"/>
      <c r="AV387" s="76"/>
      <c r="AW387" s="83" t="str">
        <f>HYPERLINK("https://t.co/DcL5gGMNV6")</f>
        <v>https://t.co/DcL5gGMNV6</v>
      </c>
      <c r="AX387" s="76" t="b">
        <v>0</v>
      </c>
      <c r="AY387" s="76"/>
      <c r="AZ387" s="76"/>
      <c r="BA387" s="76" t="b">
        <v>0</v>
      </c>
      <c r="BB387" s="76" t="b">
        <v>1</v>
      </c>
      <c r="BC387" s="76" t="b">
        <v>0</v>
      </c>
      <c r="BD387" s="76" t="b">
        <v>0</v>
      </c>
      <c r="BE387" s="76" t="b">
        <v>1</v>
      </c>
      <c r="BF387" s="76" t="b">
        <v>0</v>
      </c>
      <c r="BG387" s="76" t="b">
        <v>0</v>
      </c>
      <c r="BH387" s="83" t="str">
        <f>HYPERLINK("https://pbs.twimg.com/profile_banners/15514372/1584570211")</f>
        <v>https://pbs.twimg.com/profile_banners/15514372/1584570211</v>
      </c>
      <c r="BI387" s="76"/>
      <c r="BJ387" s="76" t="s">
        <v>19734</v>
      </c>
      <c r="BK387" s="76" t="b">
        <v>0</v>
      </c>
      <c r="BL387" s="76"/>
      <c r="BM387" s="76" t="s">
        <v>66</v>
      </c>
      <c r="BN387" s="76" t="s">
        <v>19736</v>
      </c>
      <c r="BO387" s="83" t="str">
        <f>HYPERLINK("https://twitter.com/anderson77i")</f>
        <v>https://twitter.com/anderson77i</v>
      </c>
      <c r="BP387" s="2"/>
    </row>
    <row r="388" spans="1:68" x14ac:dyDescent="0.25">
      <c r="A388" s="62" t="s">
        <v>714</v>
      </c>
      <c r="B388" s="63"/>
      <c r="C388" s="63"/>
      <c r="D388" s="64"/>
      <c r="E388" s="66"/>
      <c r="F388" s="103" t="str">
        <f>HYPERLINK("https://pbs.twimg.com/profile_images/1674371511996628993/reGcyxoU_normal.jpg")</f>
        <v>https://pbs.twimg.com/profile_images/1674371511996628993/reGcyxoU_normal.jpg</v>
      </c>
      <c r="G388" s="63"/>
      <c r="H388" s="67"/>
      <c r="I388" s="68"/>
      <c r="J388" s="68"/>
      <c r="K388" s="67" t="s">
        <v>20121</v>
      </c>
      <c r="L388" s="71"/>
      <c r="M388" s="72"/>
      <c r="N388" s="72"/>
      <c r="O388" s="73"/>
      <c r="P388" s="74"/>
      <c r="Q388" s="74"/>
      <c r="R388" s="87"/>
      <c r="S388" s="87"/>
      <c r="T388" s="87"/>
      <c r="U388" s="87"/>
      <c r="V388" s="48"/>
      <c r="W388" s="48"/>
      <c r="X388" s="48"/>
      <c r="Y388" s="48"/>
      <c r="Z388" s="47"/>
      <c r="AA388" s="69">
        <v>388</v>
      </c>
      <c r="AB388" s="69"/>
      <c r="AC388" s="70"/>
      <c r="AD388" s="76" t="s">
        <v>18130</v>
      </c>
      <c r="AE388" s="81" t="s">
        <v>17384</v>
      </c>
      <c r="AF388" s="76">
        <v>461191</v>
      </c>
      <c r="AG388" s="76">
        <v>98</v>
      </c>
      <c r="AH388" s="76">
        <v>11067</v>
      </c>
      <c r="AI388" s="76">
        <v>1926</v>
      </c>
      <c r="AJ388" s="76">
        <v>427</v>
      </c>
      <c r="AK388" s="76">
        <v>4908</v>
      </c>
      <c r="AL388" s="76" t="b">
        <v>0</v>
      </c>
      <c r="AM388" s="78">
        <v>40514.689143518517</v>
      </c>
      <c r="AN388" s="76" t="s">
        <v>18702</v>
      </c>
      <c r="AO388" s="76" t="s">
        <v>19120</v>
      </c>
      <c r="AP388" s="83" t="str">
        <f>HYPERLINK("https://t.co/IX5QvxVQ16")</f>
        <v>https://t.co/IX5QvxVQ16</v>
      </c>
      <c r="AQ388" s="83" t="str">
        <f>HYPERLINK("http://www.bcb.gov.br")</f>
        <v>http://www.bcb.gov.br</v>
      </c>
      <c r="AR388" s="76" t="s">
        <v>19534</v>
      </c>
      <c r="AS388" s="83" t="str">
        <f>HYPERLINK("https://t.co/VrFnR3Etep")</f>
        <v>https://t.co/VrFnR3Etep</v>
      </c>
      <c r="AT388" s="83" t="str">
        <f>HYPERLINK("http://linktr.ee/bancocentraldo")</f>
        <v>http://linktr.ee/bancocentraldo</v>
      </c>
      <c r="AU388" s="76" t="s">
        <v>19719</v>
      </c>
      <c r="AV388" s="76">
        <v>1.64576261704513E+18</v>
      </c>
      <c r="AW388" s="83" t="str">
        <f>HYPERLINK("https://t.co/IX5QvxVQ16")</f>
        <v>https://t.co/IX5QvxVQ16</v>
      </c>
      <c r="AX388" s="76" t="b">
        <v>0</v>
      </c>
      <c r="AY388" s="76"/>
      <c r="AZ388" s="76"/>
      <c r="BA388" s="76" t="b">
        <v>1</v>
      </c>
      <c r="BB388" s="76" t="b">
        <v>0</v>
      </c>
      <c r="BC388" s="76" t="b">
        <v>0</v>
      </c>
      <c r="BD388" s="76" t="b">
        <v>0</v>
      </c>
      <c r="BE388" s="76" t="b">
        <v>1</v>
      </c>
      <c r="BF388" s="76" t="b">
        <v>0</v>
      </c>
      <c r="BG388" s="76" t="b">
        <v>0</v>
      </c>
      <c r="BH388" s="83" t="str">
        <f>HYPERLINK("https://pbs.twimg.com/profile_banners/222157159/1671448684")</f>
        <v>https://pbs.twimg.com/profile_banners/222157159/1671448684</v>
      </c>
      <c r="BI388" s="76"/>
      <c r="BJ388" s="76" t="s">
        <v>19734</v>
      </c>
      <c r="BK388" s="76" t="b">
        <v>0</v>
      </c>
      <c r="BL388" s="76"/>
      <c r="BM388" s="76" t="s">
        <v>66</v>
      </c>
      <c r="BN388" s="76" t="s">
        <v>19736</v>
      </c>
      <c r="BO388" s="83" t="str">
        <f>HYPERLINK("https://twitter.com/bancocentralbr")</f>
        <v>https://twitter.com/bancocentralbr</v>
      </c>
      <c r="BP388" s="2"/>
    </row>
    <row r="389" spans="1:68" x14ac:dyDescent="0.25">
      <c r="A389" s="62" t="s">
        <v>547</v>
      </c>
      <c r="B389" s="63"/>
      <c r="C389" s="63"/>
      <c r="D389" s="64"/>
      <c r="E389" s="66"/>
      <c r="F389" s="103" t="str">
        <f>HYPERLINK("https://pbs.twimg.com/profile_images/1613205825199259649/hUcz1R6k_normal.jpg")</f>
        <v>https://pbs.twimg.com/profile_images/1613205825199259649/hUcz1R6k_normal.jpg</v>
      </c>
      <c r="G389" s="63"/>
      <c r="H389" s="67"/>
      <c r="I389" s="68"/>
      <c r="J389" s="68"/>
      <c r="K389" s="67" t="s">
        <v>20122</v>
      </c>
      <c r="L389" s="71"/>
      <c r="M389" s="72"/>
      <c r="N389" s="72"/>
      <c r="O389" s="73"/>
      <c r="P389" s="74"/>
      <c r="Q389" s="74"/>
      <c r="R389" s="87"/>
      <c r="S389" s="87"/>
      <c r="T389" s="87"/>
      <c r="U389" s="87"/>
      <c r="V389" s="48"/>
      <c r="W389" s="48"/>
      <c r="X389" s="48"/>
      <c r="Y389" s="48"/>
      <c r="Z389" s="47"/>
      <c r="AA389" s="69">
        <v>389</v>
      </c>
      <c r="AB389" s="69"/>
      <c r="AC389" s="70"/>
      <c r="AD389" s="76" t="s">
        <v>18131</v>
      </c>
      <c r="AE389" s="81" t="s">
        <v>18477</v>
      </c>
      <c r="AF389" s="76">
        <v>289</v>
      </c>
      <c r="AG389" s="76">
        <v>486</v>
      </c>
      <c r="AH389" s="76">
        <v>22183</v>
      </c>
      <c r="AI389" s="76">
        <v>0</v>
      </c>
      <c r="AJ389" s="76">
        <v>64</v>
      </c>
      <c r="AK389" s="76">
        <v>2075</v>
      </c>
      <c r="AL389" s="76" t="b">
        <v>0</v>
      </c>
      <c r="AM389" s="78">
        <v>40561.463692129626</v>
      </c>
      <c r="AN389" s="76" t="s">
        <v>18703</v>
      </c>
      <c r="AO389" s="83" t="str">
        <f>HYPERLINK("https://t.co/0793sMS7J1")</f>
        <v>https://t.co/0793sMS7J1</v>
      </c>
      <c r="AP389" s="83" t="str">
        <f>HYPERLINK("https://t.co/HfUnGUrb4j")</f>
        <v>https://t.co/HfUnGUrb4j</v>
      </c>
      <c r="AQ389" s="83" t="str">
        <f>HYPERLINK("https://jornalpanoramaminas.com.br/")</f>
        <v>https://jornalpanoramaminas.com.br/</v>
      </c>
      <c r="AR389" s="76" t="s">
        <v>19535</v>
      </c>
      <c r="AS389" s="83" t="str">
        <f>HYPERLINK("https://t.co/0793sMS7J1")</f>
        <v>https://t.co/0793sMS7J1</v>
      </c>
      <c r="AT389" s="83" t="str">
        <f>HYPERLINK("http://jornalpanoramaminas.com.br")</f>
        <v>http://jornalpanoramaminas.com.br</v>
      </c>
      <c r="AU389" s="76" t="s">
        <v>19535</v>
      </c>
      <c r="AV389" s="76"/>
      <c r="AW389" s="83" t="str">
        <f>HYPERLINK("https://t.co/HfUnGUrb4j")</f>
        <v>https://t.co/HfUnGUrb4j</v>
      </c>
      <c r="AX389" s="76" t="b">
        <v>0</v>
      </c>
      <c r="AY389" s="76"/>
      <c r="AZ389" s="76"/>
      <c r="BA389" s="76" t="b">
        <v>0</v>
      </c>
      <c r="BB389" s="76" t="b">
        <v>1</v>
      </c>
      <c r="BC389" s="76" t="b">
        <v>0</v>
      </c>
      <c r="BD389" s="76" t="b">
        <v>0</v>
      </c>
      <c r="BE389" s="76" t="b">
        <v>0</v>
      </c>
      <c r="BF389" s="76" t="b">
        <v>0</v>
      </c>
      <c r="BG389" s="76" t="b">
        <v>0</v>
      </c>
      <c r="BH389" s="83" t="str">
        <f>HYPERLINK("https://pbs.twimg.com/profile_banners/239762397/1672660904")</f>
        <v>https://pbs.twimg.com/profile_banners/239762397/1672660904</v>
      </c>
      <c r="BI389" s="76"/>
      <c r="BJ389" s="76" t="s">
        <v>19734</v>
      </c>
      <c r="BK389" s="76" t="b">
        <v>0</v>
      </c>
      <c r="BL389" s="76"/>
      <c r="BM389" s="76" t="s">
        <v>66</v>
      </c>
      <c r="BN389" s="76" t="s">
        <v>19736</v>
      </c>
      <c r="BO389" s="83" t="str">
        <f>HYPERLINK("https://twitter.com/jornal_panorama")</f>
        <v>https://twitter.com/jornal_panorama</v>
      </c>
      <c r="BP389" s="2"/>
    </row>
    <row r="390" spans="1:68" x14ac:dyDescent="0.25">
      <c r="A390" s="62" t="s">
        <v>548</v>
      </c>
      <c r="B390" s="63"/>
      <c r="C390" s="63"/>
      <c r="D390" s="64"/>
      <c r="E390" s="66"/>
      <c r="F390" s="103" t="str">
        <f>HYPERLINK("https://pbs.twimg.com/profile_images/1438481632487514117/oMpsyCNV_normal.jpg")</f>
        <v>https://pbs.twimg.com/profile_images/1438481632487514117/oMpsyCNV_normal.jpg</v>
      </c>
      <c r="G390" s="63"/>
      <c r="H390" s="67"/>
      <c r="I390" s="68"/>
      <c r="J390" s="68"/>
      <c r="K390" s="67" t="s">
        <v>20123</v>
      </c>
      <c r="L390" s="71"/>
      <c r="M390" s="72"/>
      <c r="N390" s="72"/>
      <c r="O390" s="73"/>
      <c r="P390" s="74"/>
      <c r="Q390" s="74"/>
      <c r="R390" s="87"/>
      <c r="S390" s="87"/>
      <c r="T390" s="87"/>
      <c r="U390" s="87"/>
      <c r="V390" s="48"/>
      <c r="W390" s="48"/>
      <c r="X390" s="48"/>
      <c r="Y390" s="48"/>
      <c r="Z390" s="47"/>
      <c r="AA390" s="69">
        <v>390</v>
      </c>
      <c r="AB390" s="69"/>
      <c r="AC390" s="70"/>
      <c r="AD390" s="76" t="s">
        <v>18132</v>
      </c>
      <c r="AE390" s="81" t="s">
        <v>17611</v>
      </c>
      <c r="AF390" s="76">
        <v>84</v>
      </c>
      <c r="AG390" s="76">
        <v>228</v>
      </c>
      <c r="AH390" s="76">
        <v>5238</v>
      </c>
      <c r="AI390" s="76">
        <v>2</v>
      </c>
      <c r="AJ390" s="76">
        <v>4</v>
      </c>
      <c r="AK390" s="76">
        <v>2427</v>
      </c>
      <c r="AL390" s="76" t="b">
        <v>0</v>
      </c>
      <c r="AM390" s="78">
        <v>42809.60052083333</v>
      </c>
      <c r="AN390" s="76" t="s">
        <v>12014</v>
      </c>
      <c r="AO390" s="76" t="s">
        <v>19121</v>
      </c>
      <c r="AP390" s="83" t="str">
        <f>HYPERLINK("https://t.co/rtrLNmU9Ic")</f>
        <v>https://t.co/rtrLNmU9Ic</v>
      </c>
      <c r="AQ390" s="83" t="str">
        <f>HYPERLINK("http://www.neotel.com.br")</f>
        <v>http://www.neotel.com.br</v>
      </c>
      <c r="AR390" s="76" t="s">
        <v>19536</v>
      </c>
      <c r="AS390" s="76"/>
      <c r="AT390" s="76"/>
      <c r="AU390" s="76"/>
      <c r="AV390" s="76">
        <v>1.6614520982554399E+18</v>
      </c>
      <c r="AW390" s="83" t="str">
        <f>HYPERLINK("https://t.co/rtrLNmU9Ic")</f>
        <v>https://t.co/rtrLNmU9Ic</v>
      </c>
      <c r="AX390" s="76" t="b">
        <v>0</v>
      </c>
      <c r="AY390" s="76"/>
      <c r="AZ390" s="76"/>
      <c r="BA390" s="76" t="b">
        <v>0</v>
      </c>
      <c r="BB390" s="76" t="b">
        <v>1</v>
      </c>
      <c r="BC390" s="76" t="b">
        <v>0</v>
      </c>
      <c r="BD390" s="76" t="b">
        <v>0</v>
      </c>
      <c r="BE390" s="76" t="b">
        <v>0</v>
      </c>
      <c r="BF390" s="76" t="b">
        <v>0</v>
      </c>
      <c r="BG390" s="76" t="b">
        <v>0</v>
      </c>
      <c r="BH390" s="83" t="str">
        <f>HYPERLINK("https://pbs.twimg.com/profile_banners/842018736173400064/1631795751")</f>
        <v>https://pbs.twimg.com/profile_banners/842018736173400064/1631795751</v>
      </c>
      <c r="BI390" s="76"/>
      <c r="BJ390" s="76" t="s">
        <v>19734</v>
      </c>
      <c r="BK390" s="76" t="b">
        <v>0</v>
      </c>
      <c r="BL390" s="76"/>
      <c r="BM390" s="76" t="s">
        <v>66</v>
      </c>
      <c r="BN390" s="76" t="s">
        <v>19736</v>
      </c>
      <c r="BO390" s="83" t="str">
        <f>HYPERLINK("https://twitter.com/adminneotel")</f>
        <v>https://twitter.com/adminneotel</v>
      </c>
      <c r="BP390" s="2"/>
    </row>
    <row r="391" spans="1:68" x14ac:dyDescent="0.25">
      <c r="A391" s="62" t="s">
        <v>549</v>
      </c>
      <c r="B391" s="63"/>
      <c r="C391" s="63"/>
      <c r="D391" s="64"/>
      <c r="E391" s="66"/>
      <c r="F391" s="103" t="str">
        <f>HYPERLINK("https://pbs.twimg.com/profile_images/1211027151870402560/9JIqaKmf_normal.jpg")</f>
        <v>https://pbs.twimg.com/profile_images/1211027151870402560/9JIqaKmf_normal.jpg</v>
      </c>
      <c r="G391" s="63"/>
      <c r="H391" s="67"/>
      <c r="I391" s="68"/>
      <c r="J391" s="68"/>
      <c r="K391" s="67" t="s">
        <v>20124</v>
      </c>
      <c r="L391" s="71"/>
      <c r="M391" s="72"/>
      <c r="N391" s="72"/>
      <c r="O391" s="73"/>
      <c r="P391" s="74"/>
      <c r="Q391" s="74"/>
      <c r="R391" s="87"/>
      <c r="S391" s="87"/>
      <c r="T391" s="87"/>
      <c r="U391" s="87"/>
      <c r="V391" s="48"/>
      <c r="W391" s="48"/>
      <c r="X391" s="48"/>
      <c r="Y391" s="48"/>
      <c r="Z391" s="47"/>
      <c r="AA391" s="69">
        <v>391</v>
      </c>
      <c r="AB391" s="69"/>
      <c r="AC391" s="70"/>
      <c r="AD391" s="76" t="s">
        <v>8270</v>
      </c>
      <c r="AE391" s="81" t="s">
        <v>17612</v>
      </c>
      <c r="AF391" s="76">
        <v>220</v>
      </c>
      <c r="AG391" s="76">
        <v>4</v>
      </c>
      <c r="AH391" s="76">
        <v>11122</v>
      </c>
      <c r="AI391" s="76">
        <v>4</v>
      </c>
      <c r="AJ391" s="76">
        <v>617</v>
      </c>
      <c r="AK391" s="76">
        <v>3735</v>
      </c>
      <c r="AL391" s="76" t="b">
        <v>0</v>
      </c>
      <c r="AM391" s="78">
        <v>42812.901909722219</v>
      </c>
      <c r="AN391" s="76" t="s">
        <v>12007</v>
      </c>
      <c r="AO391" s="76" t="s">
        <v>19122</v>
      </c>
      <c r="AP391" s="83" t="str">
        <f>HYPERLINK("https://t.co/QCMImeye1K")</f>
        <v>https://t.co/QCMImeye1K</v>
      </c>
      <c r="AQ391" s="83" t="str">
        <f>HYPERLINK("https://www.economicnewsbrasil.com.br/")</f>
        <v>https://www.economicnewsbrasil.com.br/</v>
      </c>
      <c r="AR391" s="76" t="s">
        <v>19537</v>
      </c>
      <c r="AS391" s="76"/>
      <c r="AT391" s="76"/>
      <c r="AU391" s="76"/>
      <c r="AV391" s="76"/>
      <c r="AW391" s="83" t="str">
        <f>HYPERLINK("https://t.co/QCMImeye1K")</f>
        <v>https://t.co/QCMImeye1K</v>
      </c>
      <c r="AX391" s="76" t="b">
        <v>0</v>
      </c>
      <c r="AY391" s="76"/>
      <c r="AZ391" s="76"/>
      <c r="BA391" s="76" t="b">
        <v>1</v>
      </c>
      <c r="BB391" s="76" t="b">
        <v>0</v>
      </c>
      <c r="BC391" s="76" t="b">
        <v>1</v>
      </c>
      <c r="BD391" s="76" t="b">
        <v>0</v>
      </c>
      <c r="BE391" s="76" t="b">
        <v>0</v>
      </c>
      <c r="BF391" s="76" t="b">
        <v>0</v>
      </c>
      <c r="BG391" s="76" t="b">
        <v>0</v>
      </c>
      <c r="BH391" s="83" t="str">
        <f>HYPERLINK("https://pbs.twimg.com/profile_banners/843215121505816576/1626615287")</f>
        <v>https://pbs.twimg.com/profile_banners/843215121505816576/1626615287</v>
      </c>
      <c r="BI391" s="76"/>
      <c r="BJ391" s="76" t="s">
        <v>19734</v>
      </c>
      <c r="BK391" s="76" t="b">
        <v>0</v>
      </c>
      <c r="BL391" s="76"/>
      <c r="BM391" s="76" t="s">
        <v>66</v>
      </c>
      <c r="BN391" s="76" t="s">
        <v>19736</v>
      </c>
      <c r="BO391" s="83" t="str">
        <f>HYPERLINK("https://twitter.com/economicnewsbr")</f>
        <v>https://twitter.com/economicnewsbr</v>
      </c>
      <c r="BP391" s="2"/>
    </row>
    <row r="392" spans="1:68" x14ac:dyDescent="0.25">
      <c r="A392" s="62" t="s">
        <v>550</v>
      </c>
      <c r="B392" s="63"/>
      <c r="C392" s="63"/>
      <c r="D392" s="64"/>
      <c r="E392" s="66"/>
      <c r="F392" s="103" t="str">
        <f>HYPERLINK("https://pbs.twimg.com/profile_images/1594376405327953922/zfPgGCAn_normal.png")</f>
        <v>https://pbs.twimg.com/profile_images/1594376405327953922/zfPgGCAn_normal.png</v>
      </c>
      <c r="G392" s="63"/>
      <c r="H392" s="67"/>
      <c r="I392" s="68"/>
      <c r="J392" s="68"/>
      <c r="K392" s="67" t="s">
        <v>20125</v>
      </c>
      <c r="L392" s="71"/>
      <c r="M392" s="72"/>
      <c r="N392" s="72"/>
      <c r="O392" s="73"/>
      <c r="P392" s="74"/>
      <c r="Q392" s="74"/>
      <c r="R392" s="87"/>
      <c r="S392" s="87"/>
      <c r="T392" s="87"/>
      <c r="U392" s="87"/>
      <c r="V392" s="48"/>
      <c r="W392" s="48"/>
      <c r="X392" s="48"/>
      <c r="Y392" s="48"/>
      <c r="Z392" s="47"/>
      <c r="AA392" s="69">
        <v>392</v>
      </c>
      <c r="AB392" s="69"/>
      <c r="AC392" s="70"/>
      <c r="AD392" s="76" t="s">
        <v>18133</v>
      </c>
      <c r="AE392" s="81" t="s">
        <v>17613</v>
      </c>
      <c r="AF392" s="76">
        <v>0</v>
      </c>
      <c r="AG392" s="76">
        <v>5</v>
      </c>
      <c r="AH392" s="76">
        <v>9</v>
      </c>
      <c r="AI392" s="76">
        <v>0</v>
      </c>
      <c r="AJ392" s="76">
        <v>2</v>
      </c>
      <c r="AK392" s="76">
        <v>4</v>
      </c>
      <c r="AL392" s="76" t="b">
        <v>0</v>
      </c>
      <c r="AM392" s="78">
        <v>44885.712164351855</v>
      </c>
      <c r="AN392" s="76"/>
      <c r="AO392" s="76"/>
      <c r="AP392" s="76"/>
      <c r="AQ392" s="76"/>
      <c r="AR392" s="76"/>
      <c r="AS392" s="76"/>
      <c r="AT392" s="76"/>
      <c r="AU392" s="76"/>
      <c r="AV392" s="76"/>
      <c r="AW392" s="76"/>
      <c r="AX392" s="76" t="b">
        <v>0</v>
      </c>
      <c r="AY392" s="76"/>
      <c r="AZ392" s="76"/>
      <c r="BA392" s="76" t="b">
        <v>0</v>
      </c>
      <c r="BB392" s="76" t="b">
        <v>1</v>
      </c>
      <c r="BC392" s="76" t="b">
        <v>1</v>
      </c>
      <c r="BD392" s="76" t="b">
        <v>0</v>
      </c>
      <c r="BE392" s="76" t="b">
        <v>0</v>
      </c>
      <c r="BF392" s="76" t="b">
        <v>0</v>
      </c>
      <c r="BG392" s="76" t="b">
        <v>0</v>
      </c>
      <c r="BH392" s="76"/>
      <c r="BI392" s="76"/>
      <c r="BJ392" s="76" t="s">
        <v>19734</v>
      </c>
      <c r="BK392" s="76" t="b">
        <v>0</v>
      </c>
      <c r="BL392" s="76"/>
      <c r="BM392" s="76" t="s">
        <v>66</v>
      </c>
      <c r="BN392" s="76" t="s">
        <v>19736</v>
      </c>
      <c r="BO392" s="83" t="str">
        <f>HYPERLINK("https://twitter.com/joselaus")</f>
        <v>https://twitter.com/joselaus</v>
      </c>
      <c r="BP392" s="2"/>
    </row>
    <row r="393" spans="1:68" x14ac:dyDescent="0.25">
      <c r="A393" s="62" t="s">
        <v>551</v>
      </c>
      <c r="B393" s="63"/>
      <c r="C393" s="63"/>
      <c r="D393" s="64"/>
      <c r="E393" s="66"/>
      <c r="F393" s="103" t="str">
        <f>HYPERLINK("https://pbs.twimg.com/profile_images/877266356730712064/FmOQMMyG_normal.jpg")</f>
        <v>https://pbs.twimg.com/profile_images/877266356730712064/FmOQMMyG_normal.jpg</v>
      </c>
      <c r="G393" s="63"/>
      <c r="H393" s="67"/>
      <c r="I393" s="68"/>
      <c r="J393" s="68"/>
      <c r="K393" s="67" t="s">
        <v>20126</v>
      </c>
      <c r="L393" s="71"/>
      <c r="M393" s="72"/>
      <c r="N393" s="72"/>
      <c r="O393" s="73"/>
      <c r="P393" s="74"/>
      <c r="Q393" s="74"/>
      <c r="R393" s="87"/>
      <c r="S393" s="87"/>
      <c r="T393" s="87"/>
      <c r="U393" s="87"/>
      <c r="V393" s="48"/>
      <c r="W393" s="48"/>
      <c r="X393" s="48"/>
      <c r="Y393" s="48"/>
      <c r="Z393" s="47"/>
      <c r="AA393" s="69">
        <v>393</v>
      </c>
      <c r="AB393" s="69"/>
      <c r="AC393" s="70"/>
      <c r="AD393" s="76" t="s">
        <v>18134</v>
      </c>
      <c r="AE393" s="81" t="s">
        <v>18478</v>
      </c>
      <c r="AF393" s="76">
        <v>504065</v>
      </c>
      <c r="AG393" s="76">
        <v>169</v>
      </c>
      <c r="AH393" s="76">
        <v>273264</v>
      </c>
      <c r="AI393" s="76">
        <v>9070</v>
      </c>
      <c r="AJ393" s="76">
        <v>9</v>
      </c>
      <c r="AK393" s="76">
        <v>107116</v>
      </c>
      <c r="AL393" s="76" t="b">
        <v>0</v>
      </c>
      <c r="AM393" s="78">
        <v>40738.764317129629</v>
      </c>
      <c r="AN393" s="76" t="s">
        <v>18704</v>
      </c>
      <c r="AO393" s="76" t="s">
        <v>19123</v>
      </c>
      <c r="AP393" s="83" t="str">
        <f>HYPERLINK("https://t.co/FcAVyiu2eR")</f>
        <v>https://t.co/FcAVyiu2eR</v>
      </c>
      <c r="AQ393" s="83" t="str">
        <f>HYPERLINK("https://www.reuters.com/world/")</f>
        <v>https://www.reuters.com/world/</v>
      </c>
      <c r="AR393" s="76" t="s">
        <v>19538</v>
      </c>
      <c r="AS393" s="76"/>
      <c r="AT393" s="76"/>
      <c r="AU393" s="76"/>
      <c r="AV393" s="76"/>
      <c r="AW393" s="83" t="str">
        <f>HYPERLINK("https://t.co/FcAVyiu2eR")</f>
        <v>https://t.co/FcAVyiu2eR</v>
      </c>
      <c r="AX393" s="76" t="b">
        <v>0</v>
      </c>
      <c r="AY393" s="76"/>
      <c r="AZ393" s="76"/>
      <c r="BA393" s="76" t="b">
        <v>0</v>
      </c>
      <c r="BB393" s="76" t="b">
        <v>1</v>
      </c>
      <c r="BC393" s="76" t="b">
        <v>0</v>
      </c>
      <c r="BD393" s="76" t="b">
        <v>0</v>
      </c>
      <c r="BE393" s="76" t="b">
        <v>1</v>
      </c>
      <c r="BF393" s="76" t="b">
        <v>0</v>
      </c>
      <c r="BG393" s="76" t="b">
        <v>0</v>
      </c>
      <c r="BH393" s="83" t="str">
        <f>HYPERLINK("https://pbs.twimg.com/profile_banners/335455570/1404846010")</f>
        <v>https://pbs.twimg.com/profile_banners/335455570/1404846010</v>
      </c>
      <c r="BI393" s="76"/>
      <c r="BJ393" s="76" t="s">
        <v>19734</v>
      </c>
      <c r="BK393" s="76" t="b">
        <v>0</v>
      </c>
      <c r="BL393" s="76"/>
      <c r="BM393" s="76" t="s">
        <v>66</v>
      </c>
      <c r="BN393" s="76" t="s">
        <v>19736</v>
      </c>
      <c r="BO393" s="83" t="str">
        <f>HYPERLINK("https://twitter.com/reutersworld")</f>
        <v>https://twitter.com/reutersworld</v>
      </c>
      <c r="BP393" s="2"/>
    </row>
    <row r="394" spans="1:68" x14ac:dyDescent="0.25">
      <c r="A394" s="62" t="s">
        <v>552</v>
      </c>
      <c r="B394" s="63"/>
      <c r="C394" s="63"/>
      <c r="D394" s="64"/>
      <c r="E394" s="66"/>
      <c r="F394" s="103" t="str">
        <f>HYPERLINK("https://pbs.twimg.com/profile_images/1681316087248601095/kIRWJNKp_normal.jpg")</f>
        <v>https://pbs.twimg.com/profile_images/1681316087248601095/kIRWJNKp_normal.jpg</v>
      </c>
      <c r="G394" s="63"/>
      <c r="H394" s="67"/>
      <c r="I394" s="68"/>
      <c r="J394" s="68"/>
      <c r="K394" s="67" t="s">
        <v>20127</v>
      </c>
      <c r="L394" s="71"/>
      <c r="M394" s="72"/>
      <c r="N394" s="72"/>
      <c r="O394" s="73"/>
      <c r="P394" s="74"/>
      <c r="Q394" s="74"/>
      <c r="R394" s="87"/>
      <c r="S394" s="87"/>
      <c r="T394" s="87"/>
      <c r="U394" s="87"/>
      <c r="V394" s="48"/>
      <c r="W394" s="48"/>
      <c r="X394" s="48"/>
      <c r="Y394" s="48"/>
      <c r="Z394" s="47"/>
      <c r="AA394" s="69">
        <v>394</v>
      </c>
      <c r="AB394" s="69"/>
      <c r="AC394" s="70"/>
      <c r="AD394" s="76" t="s">
        <v>18135</v>
      </c>
      <c r="AE394" s="81" t="s">
        <v>17614</v>
      </c>
      <c r="AF394" s="76">
        <v>3373</v>
      </c>
      <c r="AG394" s="76">
        <v>4989</v>
      </c>
      <c r="AH394" s="76">
        <v>4961</v>
      </c>
      <c r="AI394" s="76">
        <v>1</v>
      </c>
      <c r="AJ394" s="76">
        <v>12413</v>
      </c>
      <c r="AK394" s="76">
        <v>251</v>
      </c>
      <c r="AL394" s="76" t="b">
        <v>0</v>
      </c>
      <c r="AM394" s="78">
        <v>44507.667974537035</v>
      </c>
      <c r="AN394" s="76"/>
      <c r="AO394" s="76" t="s">
        <v>19124</v>
      </c>
      <c r="AP394" s="83" t="str">
        <f>HYPERLINK("https://t.co/Ti4I8gSeoP")</f>
        <v>https://t.co/Ti4I8gSeoP</v>
      </c>
      <c r="AQ394" s="83" t="str">
        <f>HYPERLINK("https://youtube.com/@I.Global")</f>
        <v>https://youtube.com/@I.Global</v>
      </c>
      <c r="AR394" s="76" t="s">
        <v>19539</v>
      </c>
      <c r="AS394" s="76"/>
      <c r="AT394" s="76"/>
      <c r="AU394" s="76"/>
      <c r="AV394" s="76">
        <v>1.6828292896437E+18</v>
      </c>
      <c r="AW394" s="83" t="str">
        <f>HYPERLINK("https://t.co/Ti4I8gSeoP")</f>
        <v>https://t.co/Ti4I8gSeoP</v>
      </c>
      <c r="AX394" s="76" t="b">
        <v>1</v>
      </c>
      <c r="AY394" s="76"/>
      <c r="AZ394" s="76"/>
      <c r="BA394" s="76" t="b">
        <v>0</v>
      </c>
      <c r="BB394" s="76" t="b">
        <v>0</v>
      </c>
      <c r="BC394" s="76" t="b">
        <v>1</v>
      </c>
      <c r="BD394" s="76" t="b">
        <v>0</v>
      </c>
      <c r="BE394" s="76" t="b">
        <v>1</v>
      </c>
      <c r="BF394" s="76" t="b">
        <v>0</v>
      </c>
      <c r="BG394" s="76" t="b">
        <v>0</v>
      </c>
      <c r="BH394" s="83" t="str">
        <f>HYPERLINK("https://pbs.twimg.com/profile_banners/1457377604395208711/1689782374")</f>
        <v>https://pbs.twimg.com/profile_banners/1457377604395208711/1689782374</v>
      </c>
      <c r="BI394" s="76"/>
      <c r="BJ394" s="76" t="s">
        <v>19734</v>
      </c>
      <c r="BK394" s="76" t="b">
        <v>0</v>
      </c>
      <c r="BL394" s="76"/>
      <c r="BM394" s="76" t="s">
        <v>66</v>
      </c>
      <c r="BN394" s="76" t="s">
        <v>19736</v>
      </c>
      <c r="BO394" s="83" t="str">
        <f>HYPERLINK("https://twitter.com/info_global_")</f>
        <v>https://twitter.com/info_global_</v>
      </c>
      <c r="BP394" s="2"/>
    </row>
    <row r="395" spans="1:68" x14ac:dyDescent="0.25">
      <c r="A395" s="62" t="s">
        <v>553</v>
      </c>
      <c r="B395" s="63"/>
      <c r="C395" s="63"/>
      <c r="D395" s="64"/>
      <c r="E395" s="66"/>
      <c r="F395" s="103" t="str">
        <f>HYPERLINK("https://pbs.twimg.com/profile_images/1687474232983212032/AWztRuCy_normal.jpg")</f>
        <v>https://pbs.twimg.com/profile_images/1687474232983212032/AWztRuCy_normal.jpg</v>
      </c>
      <c r="G395" s="63"/>
      <c r="H395" s="67"/>
      <c r="I395" s="68"/>
      <c r="J395" s="68"/>
      <c r="K395" s="67" t="s">
        <v>20128</v>
      </c>
      <c r="L395" s="71"/>
      <c r="M395" s="72"/>
      <c r="N395" s="72"/>
      <c r="O395" s="73"/>
      <c r="P395" s="74"/>
      <c r="Q395" s="74"/>
      <c r="R395" s="87"/>
      <c r="S395" s="87"/>
      <c r="T395" s="87"/>
      <c r="U395" s="87"/>
      <c r="V395" s="48"/>
      <c r="W395" s="48"/>
      <c r="X395" s="48"/>
      <c r="Y395" s="48"/>
      <c r="Z395" s="47"/>
      <c r="AA395" s="69">
        <v>395</v>
      </c>
      <c r="AB395" s="69"/>
      <c r="AC395" s="70"/>
      <c r="AD395" s="76" t="s">
        <v>18136</v>
      </c>
      <c r="AE395" s="81" t="s">
        <v>18479</v>
      </c>
      <c r="AF395" s="76">
        <v>84</v>
      </c>
      <c r="AG395" s="76">
        <v>196</v>
      </c>
      <c r="AH395" s="76">
        <v>1453</v>
      </c>
      <c r="AI395" s="76">
        <v>1</v>
      </c>
      <c r="AJ395" s="76">
        <v>608</v>
      </c>
      <c r="AK395" s="76">
        <v>23</v>
      </c>
      <c r="AL395" s="76" t="b">
        <v>0</v>
      </c>
      <c r="AM395" s="78">
        <v>40651.11105324074</v>
      </c>
      <c r="AN395" s="76"/>
      <c r="AO395" s="76"/>
      <c r="AP395" s="76"/>
      <c r="AQ395" s="76"/>
      <c r="AR395" s="76"/>
      <c r="AS395" s="76"/>
      <c r="AT395" s="76"/>
      <c r="AU395" s="76"/>
      <c r="AV395" s="76">
        <v>1.59831654242448E+18</v>
      </c>
      <c r="AW395" s="76"/>
      <c r="AX395" s="76" t="b">
        <v>0</v>
      </c>
      <c r="AY395" s="76"/>
      <c r="AZ395" s="76"/>
      <c r="BA395" s="76" t="b">
        <v>0</v>
      </c>
      <c r="BB395" s="76" t="b">
        <v>1</v>
      </c>
      <c r="BC395" s="76" t="b">
        <v>1</v>
      </c>
      <c r="BD395" s="76" t="b">
        <v>0</v>
      </c>
      <c r="BE395" s="76" t="b">
        <v>0</v>
      </c>
      <c r="BF395" s="76" t="b">
        <v>0</v>
      </c>
      <c r="BG395" s="76" t="b">
        <v>0</v>
      </c>
      <c r="BH395" s="76"/>
      <c r="BI395" s="76"/>
      <c r="BJ395" s="76" t="s">
        <v>19734</v>
      </c>
      <c r="BK395" s="76" t="b">
        <v>0</v>
      </c>
      <c r="BL395" s="76"/>
      <c r="BM395" s="76" t="s">
        <v>66</v>
      </c>
      <c r="BN395" s="76" t="s">
        <v>19736</v>
      </c>
      <c r="BO395" s="83" t="str">
        <f>HYPERLINK("https://twitter.com/bmp1357")</f>
        <v>https://twitter.com/bmp1357</v>
      </c>
      <c r="BP395" s="2"/>
    </row>
    <row r="396" spans="1:68" x14ac:dyDescent="0.25">
      <c r="A396" s="62" t="s">
        <v>554</v>
      </c>
      <c r="B396" s="63"/>
      <c r="C396" s="63"/>
      <c r="D396" s="64"/>
      <c r="E396" s="66"/>
      <c r="F396" s="103" t="str">
        <f>HYPERLINK("https://pbs.twimg.com/profile_images/1491927582488641558/fZ25myx9_normal.jpg")</f>
        <v>https://pbs.twimg.com/profile_images/1491927582488641558/fZ25myx9_normal.jpg</v>
      </c>
      <c r="G396" s="63"/>
      <c r="H396" s="67"/>
      <c r="I396" s="68"/>
      <c r="J396" s="68"/>
      <c r="K396" s="67" t="s">
        <v>20129</v>
      </c>
      <c r="L396" s="71"/>
      <c r="M396" s="72"/>
      <c r="N396" s="72"/>
      <c r="O396" s="73"/>
      <c r="P396" s="74"/>
      <c r="Q396" s="74"/>
      <c r="R396" s="87"/>
      <c r="S396" s="87"/>
      <c r="T396" s="87"/>
      <c r="U396" s="87"/>
      <c r="V396" s="48"/>
      <c r="W396" s="48"/>
      <c r="X396" s="48"/>
      <c r="Y396" s="48"/>
      <c r="Z396" s="47"/>
      <c r="AA396" s="69">
        <v>396</v>
      </c>
      <c r="AB396" s="69"/>
      <c r="AC396" s="70"/>
      <c r="AD396" s="76" t="s">
        <v>18137</v>
      </c>
      <c r="AE396" s="81" t="s">
        <v>17615</v>
      </c>
      <c r="AF396" s="76">
        <v>564</v>
      </c>
      <c r="AG396" s="76">
        <v>68</v>
      </c>
      <c r="AH396" s="76">
        <v>402</v>
      </c>
      <c r="AI396" s="76">
        <v>1</v>
      </c>
      <c r="AJ396" s="76">
        <v>121</v>
      </c>
      <c r="AK396" s="76">
        <v>89</v>
      </c>
      <c r="AL396" s="76" t="b">
        <v>0</v>
      </c>
      <c r="AM396" s="78">
        <v>44603.007268518515</v>
      </c>
      <c r="AN396" s="76"/>
      <c r="AO396" s="76" t="s">
        <v>19125</v>
      </c>
      <c r="AP396" s="83" t="str">
        <f>HYPERLINK("https://t.co/kLt2aoLn7q")</f>
        <v>https://t.co/kLt2aoLn7q</v>
      </c>
      <c r="AQ396" s="83" t="str">
        <f>HYPERLINK("http://4p.finance")</f>
        <v>http://4p.finance</v>
      </c>
      <c r="AR396" s="76" t="s">
        <v>19540</v>
      </c>
      <c r="AS396" s="76"/>
      <c r="AT396" s="76"/>
      <c r="AU396" s="76"/>
      <c r="AV396" s="76">
        <v>1.6931454871157601E+18</v>
      </c>
      <c r="AW396" s="83" t="str">
        <f>HYPERLINK("https://t.co/kLt2aoLn7q")</f>
        <v>https://t.co/kLt2aoLn7q</v>
      </c>
      <c r="AX396" s="76" t="b">
        <v>1</v>
      </c>
      <c r="AY396" s="76"/>
      <c r="AZ396" s="76"/>
      <c r="BA396" s="76" t="b">
        <v>0</v>
      </c>
      <c r="BB396" s="76" t="b">
        <v>1</v>
      </c>
      <c r="BC396" s="76" t="b">
        <v>1</v>
      </c>
      <c r="BD396" s="76" t="b">
        <v>0</v>
      </c>
      <c r="BE396" s="76" t="b">
        <v>0</v>
      </c>
      <c r="BF396" s="76" t="b">
        <v>0</v>
      </c>
      <c r="BG396" s="76" t="b">
        <v>0</v>
      </c>
      <c r="BH396" s="83" t="str">
        <f>HYPERLINK("https://pbs.twimg.com/profile_banners/1491927522648412161/1695514720")</f>
        <v>https://pbs.twimg.com/profile_banners/1491927522648412161/1695514720</v>
      </c>
      <c r="BI396" s="76"/>
      <c r="BJ396" s="76" t="s">
        <v>19734</v>
      </c>
      <c r="BK396" s="76" t="b">
        <v>0</v>
      </c>
      <c r="BL396" s="76"/>
      <c r="BM396" s="76" t="s">
        <v>66</v>
      </c>
      <c r="BN396" s="76" t="s">
        <v>19736</v>
      </c>
      <c r="BO396" s="83" t="str">
        <f>HYPERLINK("https://twitter.com/ocriptomestre")</f>
        <v>https://twitter.com/ocriptomestre</v>
      </c>
      <c r="BP396" s="2"/>
    </row>
    <row r="397" spans="1:68" x14ac:dyDescent="0.25">
      <c r="A397" s="62" t="s">
        <v>555</v>
      </c>
      <c r="B397" s="63"/>
      <c r="C397" s="63"/>
      <c r="D397" s="64"/>
      <c r="E397" s="66"/>
      <c r="F397" s="103" t="str">
        <f>HYPERLINK("https://pbs.twimg.com/profile_images/1705960523135660033/LM7s3iDX_normal.jpg")</f>
        <v>https://pbs.twimg.com/profile_images/1705960523135660033/LM7s3iDX_normal.jpg</v>
      </c>
      <c r="G397" s="63"/>
      <c r="H397" s="67"/>
      <c r="I397" s="68"/>
      <c r="J397" s="68"/>
      <c r="K397" s="67" t="s">
        <v>20130</v>
      </c>
      <c r="L397" s="71"/>
      <c r="M397" s="72"/>
      <c r="N397" s="72"/>
      <c r="O397" s="73"/>
      <c r="P397" s="74"/>
      <c r="Q397" s="74"/>
      <c r="R397" s="87"/>
      <c r="S397" s="87"/>
      <c r="T397" s="87"/>
      <c r="U397" s="87"/>
      <c r="V397" s="48"/>
      <c r="W397" s="48"/>
      <c r="X397" s="48"/>
      <c r="Y397" s="48"/>
      <c r="Z397" s="47"/>
      <c r="AA397" s="69">
        <v>397</v>
      </c>
      <c r="AB397" s="69"/>
      <c r="AC397" s="70"/>
      <c r="AD397" s="76" t="s">
        <v>18138</v>
      </c>
      <c r="AE397" s="81" t="s">
        <v>17616</v>
      </c>
      <c r="AF397" s="76">
        <v>44</v>
      </c>
      <c r="AG397" s="76">
        <v>4</v>
      </c>
      <c r="AH397" s="76">
        <v>5</v>
      </c>
      <c r="AI397" s="76">
        <v>0</v>
      </c>
      <c r="AJ397" s="76">
        <v>2</v>
      </c>
      <c r="AK397" s="76">
        <v>1</v>
      </c>
      <c r="AL397" s="76" t="b">
        <v>0</v>
      </c>
      <c r="AM397" s="78">
        <v>45159.456006944441</v>
      </c>
      <c r="AN397" s="76"/>
      <c r="AO397" s="76" t="s">
        <v>19126</v>
      </c>
      <c r="AP397" s="83" t="str">
        <f>HYPERLINK("https://t.co/M4dR8RpJGn")</f>
        <v>https://t.co/M4dR8RpJGn</v>
      </c>
      <c r="AQ397" s="83" t="str">
        <f>HYPERLINK("https://discord.gg/criptomestres")</f>
        <v>https://discord.gg/criptomestres</v>
      </c>
      <c r="AR397" s="76" t="s">
        <v>19541</v>
      </c>
      <c r="AS397" s="76"/>
      <c r="AT397" s="76"/>
      <c r="AU397" s="76"/>
      <c r="AV397" s="76">
        <v>1.7059583806012101E+18</v>
      </c>
      <c r="AW397" s="83" t="str">
        <f>HYPERLINK("https://t.co/M4dR8RpJGn")</f>
        <v>https://t.co/M4dR8RpJGn</v>
      </c>
      <c r="AX397" s="76" t="b">
        <v>0</v>
      </c>
      <c r="AY397" s="76"/>
      <c r="AZ397" s="76"/>
      <c r="BA397" s="76" t="b">
        <v>0</v>
      </c>
      <c r="BB397" s="76" t="b">
        <v>1</v>
      </c>
      <c r="BC397" s="76" t="b">
        <v>1</v>
      </c>
      <c r="BD397" s="76" t="b">
        <v>0</v>
      </c>
      <c r="BE397" s="76" t="b">
        <v>0</v>
      </c>
      <c r="BF397" s="76" t="b">
        <v>0</v>
      </c>
      <c r="BG397" s="76" t="b">
        <v>0</v>
      </c>
      <c r="BH397" s="83" t="str">
        <f>HYPERLINK("https://pbs.twimg.com/profile_banners/1693577571101728768/1695567822")</f>
        <v>https://pbs.twimg.com/profile_banners/1693577571101728768/1695567822</v>
      </c>
      <c r="BI397" s="76"/>
      <c r="BJ397" s="76" t="s">
        <v>19734</v>
      </c>
      <c r="BK397" s="76" t="b">
        <v>0</v>
      </c>
      <c r="BL397" s="76"/>
      <c r="BM397" s="76" t="s">
        <v>66</v>
      </c>
      <c r="BN397" s="76" t="s">
        <v>19736</v>
      </c>
      <c r="BO397" s="83" t="str">
        <f>HYPERLINK("https://twitter.com/criptomestres")</f>
        <v>https://twitter.com/criptomestres</v>
      </c>
      <c r="BP397" s="2"/>
    </row>
    <row r="398" spans="1:68" x14ac:dyDescent="0.25">
      <c r="A398" s="62" t="s">
        <v>556</v>
      </c>
      <c r="B398" s="63"/>
      <c r="C398" s="63"/>
      <c r="D398" s="64"/>
      <c r="E398" s="66"/>
      <c r="F398" s="103" t="str">
        <f>HYPERLINK("https://pbs.twimg.com/profile_images/1670147095716585475/OgMk7wAr_normal.jpg")</f>
        <v>https://pbs.twimg.com/profile_images/1670147095716585475/OgMk7wAr_normal.jpg</v>
      </c>
      <c r="G398" s="63"/>
      <c r="H398" s="67"/>
      <c r="I398" s="68"/>
      <c r="J398" s="68"/>
      <c r="K398" s="67" t="s">
        <v>20131</v>
      </c>
      <c r="L398" s="71"/>
      <c r="M398" s="72"/>
      <c r="N398" s="72"/>
      <c r="O398" s="73"/>
      <c r="P398" s="74"/>
      <c r="Q398" s="74"/>
      <c r="R398" s="87"/>
      <c r="S398" s="87"/>
      <c r="T398" s="87"/>
      <c r="U398" s="87"/>
      <c r="V398" s="48"/>
      <c r="W398" s="48"/>
      <c r="X398" s="48"/>
      <c r="Y398" s="48"/>
      <c r="Z398" s="47"/>
      <c r="AA398" s="69">
        <v>398</v>
      </c>
      <c r="AB398" s="69"/>
      <c r="AC398" s="70"/>
      <c r="AD398" s="76" t="s">
        <v>18139</v>
      </c>
      <c r="AE398" s="81" t="s">
        <v>17617</v>
      </c>
      <c r="AF398" s="76">
        <v>17</v>
      </c>
      <c r="AG398" s="76">
        <v>250</v>
      </c>
      <c r="AH398" s="76">
        <v>109</v>
      </c>
      <c r="AI398" s="76">
        <v>0</v>
      </c>
      <c r="AJ398" s="76">
        <v>651</v>
      </c>
      <c r="AK398" s="76">
        <v>25</v>
      </c>
      <c r="AL398" s="76" t="b">
        <v>0</v>
      </c>
      <c r="AM398" s="78">
        <v>44632.466273148151</v>
      </c>
      <c r="AN398" s="76" t="s">
        <v>18705</v>
      </c>
      <c r="AO398" s="76" t="s">
        <v>19127</v>
      </c>
      <c r="AP398" s="83" t="str">
        <f>HYPERLINK("https://t.co/ALTsnBySQa")</f>
        <v>https://t.co/ALTsnBySQa</v>
      </c>
      <c r="AQ398" s="83" t="str">
        <f>HYPERLINK("https://peritoeconomico.my.canva.site/peritoeconomico")</f>
        <v>https://peritoeconomico.my.canva.site/peritoeconomico</v>
      </c>
      <c r="AR398" s="76" t="s">
        <v>19542</v>
      </c>
      <c r="AS398" s="76"/>
      <c r="AT398" s="76"/>
      <c r="AU398" s="76"/>
      <c r="AV398" s="76"/>
      <c r="AW398" s="83" t="str">
        <f>HYPERLINK("https://t.co/ALTsnBySQa")</f>
        <v>https://t.co/ALTsnBySQa</v>
      </c>
      <c r="AX398" s="76" t="b">
        <v>0</v>
      </c>
      <c r="AY398" s="76"/>
      <c r="AZ398" s="76"/>
      <c r="BA398" s="76" t="b">
        <v>0</v>
      </c>
      <c r="BB398" s="76" t="b">
        <v>1</v>
      </c>
      <c r="BC398" s="76" t="b">
        <v>1</v>
      </c>
      <c r="BD398" s="76" t="b">
        <v>0</v>
      </c>
      <c r="BE398" s="76" t="b">
        <v>1</v>
      </c>
      <c r="BF398" s="76" t="b">
        <v>0</v>
      </c>
      <c r="BG398" s="76" t="b">
        <v>0</v>
      </c>
      <c r="BH398" s="83" t="str">
        <f>HYPERLINK("https://pbs.twimg.com/profile_banners/1502602987155382278/1691016360")</f>
        <v>https://pbs.twimg.com/profile_banners/1502602987155382278/1691016360</v>
      </c>
      <c r="BI398" s="76"/>
      <c r="BJ398" s="76" t="s">
        <v>19734</v>
      </c>
      <c r="BK398" s="76" t="b">
        <v>0</v>
      </c>
      <c r="BL398" s="76"/>
      <c r="BM398" s="76" t="s">
        <v>66</v>
      </c>
      <c r="BN398" s="76" t="s">
        <v>19736</v>
      </c>
      <c r="BO398" s="83" t="str">
        <f>HYPERLINK("https://twitter.com/peritofinanc")</f>
        <v>https://twitter.com/peritofinanc</v>
      </c>
      <c r="BP398" s="2"/>
    </row>
    <row r="399" spans="1:68" x14ac:dyDescent="0.25">
      <c r="A399" s="62" t="s">
        <v>557</v>
      </c>
      <c r="B399" s="63"/>
      <c r="C399" s="63"/>
      <c r="D399" s="64"/>
      <c r="E399" s="66"/>
      <c r="F399" s="103" t="str">
        <f>HYPERLINK("https://pbs.twimg.com/profile_images/1628185029837832193/Qb7BI_Jj_normal.jpg")</f>
        <v>https://pbs.twimg.com/profile_images/1628185029837832193/Qb7BI_Jj_normal.jpg</v>
      </c>
      <c r="G399" s="63"/>
      <c r="H399" s="67"/>
      <c r="I399" s="68"/>
      <c r="J399" s="68"/>
      <c r="K399" s="67" t="s">
        <v>20132</v>
      </c>
      <c r="L399" s="71"/>
      <c r="M399" s="72"/>
      <c r="N399" s="72"/>
      <c r="O399" s="73"/>
      <c r="P399" s="74"/>
      <c r="Q399" s="74"/>
      <c r="R399" s="87"/>
      <c r="S399" s="87"/>
      <c r="T399" s="87"/>
      <c r="U399" s="87"/>
      <c r="V399" s="48"/>
      <c r="W399" s="48"/>
      <c r="X399" s="48"/>
      <c r="Y399" s="48"/>
      <c r="Z399" s="47"/>
      <c r="AA399" s="69">
        <v>399</v>
      </c>
      <c r="AB399" s="69"/>
      <c r="AC399" s="70"/>
      <c r="AD399" s="76" t="s">
        <v>18140</v>
      </c>
      <c r="AE399" s="81" t="s">
        <v>17618</v>
      </c>
      <c r="AF399" s="76">
        <v>3</v>
      </c>
      <c r="AG399" s="76">
        <v>70</v>
      </c>
      <c r="AH399" s="76">
        <v>69</v>
      </c>
      <c r="AI399" s="76">
        <v>1</v>
      </c>
      <c r="AJ399" s="76">
        <v>50</v>
      </c>
      <c r="AK399" s="76">
        <v>50</v>
      </c>
      <c r="AL399" s="76" t="b">
        <v>0</v>
      </c>
      <c r="AM399" s="78">
        <v>44978.99019675926</v>
      </c>
      <c r="AN399" s="76"/>
      <c r="AO399" s="76" t="s">
        <v>19128</v>
      </c>
      <c r="AP399" s="76"/>
      <c r="AQ399" s="76"/>
      <c r="AR399" s="76"/>
      <c r="AS399" s="76"/>
      <c r="AT399" s="76"/>
      <c r="AU399" s="76"/>
      <c r="AV399" s="76"/>
      <c r="AW399" s="76"/>
      <c r="AX399" s="76" t="b">
        <v>0</v>
      </c>
      <c r="AY399" s="76"/>
      <c r="AZ399" s="76"/>
      <c r="BA399" s="76" t="b">
        <v>0</v>
      </c>
      <c r="BB399" s="76" t="b">
        <v>1</v>
      </c>
      <c r="BC399" s="76" t="b">
        <v>1</v>
      </c>
      <c r="BD399" s="76" t="b">
        <v>0</v>
      </c>
      <c r="BE399" s="76" t="b">
        <v>1</v>
      </c>
      <c r="BF399" s="76" t="b">
        <v>0</v>
      </c>
      <c r="BG399" s="76" t="b">
        <v>0</v>
      </c>
      <c r="BH399" s="76"/>
      <c r="BI399" s="76"/>
      <c r="BJ399" s="76" t="s">
        <v>19734</v>
      </c>
      <c r="BK399" s="76" t="b">
        <v>0</v>
      </c>
      <c r="BL399" s="76"/>
      <c r="BM399" s="76" t="s">
        <v>66</v>
      </c>
      <c r="BN399" s="76" t="s">
        <v>19736</v>
      </c>
      <c r="BO399" s="83" t="str">
        <f>HYPERLINK("https://twitter.com/lucaspereira_ef")</f>
        <v>https://twitter.com/lucaspereira_ef</v>
      </c>
      <c r="BP399" s="2"/>
    </row>
    <row r="400" spans="1:68" x14ac:dyDescent="0.25">
      <c r="A400" s="62" t="s">
        <v>558</v>
      </c>
      <c r="B400" s="63"/>
      <c r="C400" s="63"/>
      <c r="D400" s="64"/>
      <c r="E400" s="66"/>
      <c r="F400" s="103" t="str">
        <f>HYPERLINK("https://pbs.twimg.com/profile_images/1637652557047709696/EBJNrey3_normal.jpg")</f>
        <v>https://pbs.twimg.com/profile_images/1637652557047709696/EBJNrey3_normal.jpg</v>
      </c>
      <c r="G400" s="63"/>
      <c r="H400" s="67"/>
      <c r="I400" s="68"/>
      <c r="J400" s="68"/>
      <c r="K400" s="67" t="s">
        <v>20133</v>
      </c>
      <c r="L400" s="71"/>
      <c r="M400" s="72"/>
      <c r="N400" s="72"/>
      <c r="O400" s="73"/>
      <c r="P400" s="74"/>
      <c r="Q400" s="74"/>
      <c r="R400" s="87"/>
      <c r="S400" s="87"/>
      <c r="T400" s="87"/>
      <c r="U400" s="87"/>
      <c r="V400" s="48"/>
      <c r="W400" s="48"/>
      <c r="X400" s="48"/>
      <c r="Y400" s="48"/>
      <c r="Z400" s="47"/>
      <c r="AA400" s="69">
        <v>400</v>
      </c>
      <c r="AB400" s="69"/>
      <c r="AC400" s="70"/>
      <c r="AD400" s="76" t="s">
        <v>18141</v>
      </c>
      <c r="AE400" s="81" t="s">
        <v>17619</v>
      </c>
      <c r="AF400" s="76">
        <v>1368</v>
      </c>
      <c r="AG400" s="76">
        <v>4542</v>
      </c>
      <c r="AH400" s="76">
        <v>180</v>
      </c>
      <c r="AI400" s="76">
        <v>0</v>
      </c>
      <c r="AJ400" s="76">
        <v>457</v>
      </c>
      <c r="AK400" s="76">
        <v>170</v>
      </c>
      <c r="AL400" s="76" t="b">
        <v>0</v>
      </c>
      <c r="AM400" s="78">
        <v>43107.486550925925</v>
      </c>
      <c r="AN400" s="76" t="s">
        <v>18706</v>
      </c>
      <c r="AO400" s="76" t="s">
        <v>19129</v>
      </c>
      <c r="AP400" s="76"/>
      <c r="AQ400" s="76"/>
      <c r="AR400" s="76"/>
      <c r="AS400" s="76"/>
      <c r="AT400" s="76"/>
      <c r="AU400" s="76"/>
      <c r="AV400" s="76"/>
      <c r="AW400" s="76"/>
      <c r="AX400" s="76" t="b">
        <v>0</v>
      </c>
      <c r="AY400" s="76"/>
      <c r="AZ400" s="76"/>
      <c r="BA400" s="76" t="b">
        <v>0</v>
      </c>
      <c r="BB400" s="76" t="b">
        <v>1</v>
      </c>
      <c r="BC400" s="76" t="b">
        <v>1</v>
      </c>
      <c r="BD400" s="76" t="b">
        <v>0</v>
      </c>
      <c r="BE400" s="76" t="b">
        <v>0</v>
      </c>
      <c r="BF400" s="76" t="b">
        <v>0</v>
      </c>
      <c r="BG400" s="76" t="b">
        <v>0</v>
      </c>
      <c r="BH400" s="83" t="str">
        <f>HYPERLINK("https://pbs.twimg.com/profile_banners/949969019603480576/1679281771")</f>
        <v>https://pbs.twimg.com/profile_banners/949969019603480576/1679281771</v>
      </c>
      <c r="BI400" s="76"/>
      <c r="BJ400" s="76" t="s">
        <v>19734</v>
      </c>
      <c r="BK400" s="76" t="b">
        <v>0</v>
      </c>
      <c r="BL400" s="76"/>
      <c r="BM400" s="76" t="s">
        <v>66</v>
      </c>
      <c r="BN400" s="76" t="s">
        <v>19736</v>
      </c>
      <c r="BO400" s="83" t="str">
        <f>HYPERLINK("https://twitter.com/webercripim")</f>
        <v>https://twitter.com/webercripim</v>
      </c>
      <c r="BP400" s="2"/>
    </row>
    <row r="401" spans="1:68" x14ac:dyDescent="0.25">
      <c r="A401" s="62" t="s">
        <v>559</v>
      </c>
      <c r="B401" s="63"/>
      <c r="C401" s="63"/>
      <c r="D401" s="64"/>
      <c r="E401" s="66"/>
      <c r="F401" s="103" t="str">
        <f>HYPERLINK("https://pbs.twimg.com/profile_images/1546163935333814276/n7HvQBLs_normal.jpg")</f>
        <v>https://pbs.twimg.com/profile_images/1546163935333814276/n7HvQBLs_normal.jpg</v>
      </c>
      <c r="G401" s="63"/>
      <c r="H401" s="67"/>
      <c r="I401" s="68"/>
      <c r="J401" s="68"/>
      <c r="K401" s="67" t="s">
        <v>20134</v>
      </c>
      <c r="L401" s="71"/>
      <c r="M401" s="72"/>
      <c r="N401" s="72"/>
      <c r="O401" s="73"/>
      <c r="P401" s="74"/>
      <c r="Q401" s="74"/>
      <c r="R401" s="87"/>
      <c r="S401" s="87"/>
      <c r="T401" s="87"/>
      <c r="U401" s="87"/>
      <c r="V401" s="48"/>
      <c r="W401" s="48"/>
      <c r="X401" s="48"/>
      <c r="Y401" s="48"/>
      <c r="Z401" s="47"/>
      <c r="AA401" s="69">
        <v>401</v>
      </c>
      <c r="AB401" s="69"/>
      <c r="AC401" s="70"/>
      <c r="AD401" s="76" t="s">
        <v>18142</v>
      </c>
      <c r="AE401" s="81" t="s">
        <v>17363</v>
      </c>
      <c r="AF401" s="76">
        <v>18</v>
      </c>
      <c r="AG401" s="76">
        <v>250</v>
      </c>
      <c r="AH401" s="76">
        <v>170</v>
      </c>
      <c r="AI401" s="76">
        <v>0</v>
      </c>
      <c r="AJ401" s="76">
        <v>77</v>
      </c>
      <c r="AK401" s="76">
        <v>36</v>
      </c>
      <c r="AL401" s="76" t="b">
        <v>0</v>
      </c>
      <c r="AM401" s="78">
        <v>44525.440335648149</v>
      </c>
      <c r="AN401" s="76"/>
      <c r="AO401" s="76" t="s">
        <v>19130</v>
      </c>
      <c r="AP401" s="76"/>
      <c r="AQ401" s="76"/>
      <c r="AR401" s="76"/>
      <c r="AS401" s="76"/>
      <c r="AT401" s="76"/>
      <c r="AU401" s="76"/>
      <c r="AV401" s="76"/>
      <c r="AW401" s="76"/>
      <c r="AX401" s="76" t="b">
        <v>0</v>
      </c>
      <c r="AY401" s="76"/>
      <c r="AZ401" s="76"/>
      <c r="BA401" s="76" t="b">
        <v>1</v>
      </c>
      <c r="BB401" s="76" t="b">
        <v>1</v>
      </c>
      <c r="BC401" s="76" t="b">
        <v>1</v>
      </c>
      <c r="BD401" s="76" t="b">
        <v>0</v>
      </c>
      <c r="BE401" s="76" t="b">
        <v>0</v>
      </c>
      <c r="BF401" s="76" t="b">
        <v>0</v>
      </c>
      <c r="BG401" s="76" t="b">
        <v>0</v>
      </c>
      <c r="BH401" s="83" t="str">
        <f>HYPERLINK("https://pbs.twimg.com/profile_banners/1463818218905157645/1649330751")</f>
        <v>https://pbs.twimg.com/profile_banners/1463818218905157645/1649330751</v>
      </c>
      <c r="BI401" s="76"/>
      <c r="BJ401" s="76" t="s">
        <v>19734</v>
      </c>
      <c r="BK401" s="76" t="b">
        <v>0</v>
      </c>
      <c r="BL401" s="76"/>
      <c r="BM401" s="76" t="s">
        <v>66</v>
      </c>
      <c r="BN401" s="76" t="s">
        <v>19736</v>
      </c>
      <c r="BO401" s="83" t="str">
        <f>HYPERLINK("https://twitter.com/vitorfaustinoyt")</f>
        <v>https://twitter.com/vitorfaustinoyt</v>
      </c>
      <c r="BP401" s="2"/>
    </row>
    <row r="402" spans="1:68" x14ac:dyDescent="0.25">
      <c r="A402" s="62" t="s">
        <v>560</v>
      </c>
      <c r="B402" s="63"/>
      <c r="C402" s="63"/>
      <c r="D402" s="64"/>
      <c r="E402" s="66"/>
      <c r="F402" s="103" t="str">
        <f>HYPERLINK("https://pbs.twimg.com/profile_images/1297877005644582912/RHlYwGJG_normal.jpg")</f>
        <v>https://pbs.twimg.com/profile_images/1297877005644582912/RHlYwGJG_normal.jpg</v>
      </c>
      <c r="G402" s="63"/>
      <c r="H402" s="67"/>
      <c r="I402" s="68"/>
      <c r="J402" s="68"/>
      <c r="K402" s="67" t="s">
        <v>20135</v>
      </c>
      <c r="L402" s="71"/>
      <c r="M402" s="72"/>
      <c r="N402" s="72"/>
      <c r="O402" s="73"/>
      <c r="P402" s="74"/>
      <c r="Q402" s="74"/>
      <c r="R402" s="87"/>
      <c r="S402" s="87"/>
      <c r="T402" s="87"/>
      <c r="U402" s="87"/>
      <c r="V402" s="48"/>
      <c r="W402" s="48"/>
      <c r="X402" s="48"/>
      <c r="Y402" s="48"/>
      <c r="Z402" s="47"/>
      <c r="AA402" s="69">
        <v>402</v>
      </c>
      <c r="AB402" s="69"/>
      <c r="AC402" s="70"/>
      <c r="AD402" s="76" t="s">
        <v>18143</v>
      </c>
      <c r="AE402" s="81" t="s">
        <v>18480</v>
      </c>
      <c r="AF402" s="76">
        <v>1779</v>
      </c>
      <c r="AG402" s="76">
        <v>502</v>
      </c>
      <c r="AH402" s="76">
        <v>45865</v>
      </c>
      <c r="AI402" s="76">
        <v>12</v>
      </c>
      <c r="AJ402" s="76">
        <v>37</v>
      </c>
      <c r="AK402" s="76">
        <v>32960</v>
      </c>
      <c r="AL402" s="76" t="b">
        <v>0</v>
      </c>
      <c r="AM402" s="78">
        <v>40239.534386574072</v>
      </c>
      <c r="AN402" s="76" t="s">
        <v>18707</v>
      </c>
      <c r="AO402" s="76" t="s">
        <v>19131</v>
      </c>
      <c r="AP402" s="83" t="str">
        <f>HYPERLINK("https://t.co/JKol0Vx7aI")</f>
        <v>https://t.co/JKol0Vx7aI</v>
      </c>
      <c r="AQ402" s="83" t="str">
        <f>HYPERLINK("http://www.correiodeminas.com.br")</f>
        <v>http://www.correiodeminas.com.br</v>
      </c>
      <c r="AR402" s="76" t="s">
        <v>19543</v>
      </c>
      <c r="AS402" s="76"/>
      <c r="AT402" s="76"/>
      <c r="AU402" s="76"/>
      <c r="AV402" s="76"/>
      <c r="AW402" s="83" t="str">
        <f>HYPERLINK("https://t.co/JKol0Vx7aI")</f>
        <v>https://t.co/JKol0Vx7aI</v>
      </c>
      <c r="AX402" s="76" t="b">
        <v>0</v>
      </c>
      <c r="AY402" s="76"/>
      <c r="AZ402" s="76"/>
      <c r="BA402" s="76" t="b">
        <v>0</v>
      </c>
      <c r="BB402" s="76" t="b">
        <v>1</v>
      </c>
      <c r="BC402" s="76" t="b">
        <v>0</v>
      </c>
      <c r="BD402" s="76" t="b">
        <v>0</v>
      </c>
      <c r="BE402" s="76" t="b">
        <v>1</v>
      </c>
      <c r="BF402" s="76" t="b">
        <v>0</v>
      </c>
      <c r="BG402" s="76" t="b">
        <v>0</v>
      </c>
      <c r="BH402" s="83" t="str">
        <f>HYPERLINK("https://pbs.twimg.com/profile_banners/119024617/1644316510")</f>
        <v>https://pbs.twimg.com/profile_banners/119024617/1644316510</v>
      </c>
      <c r="BI402" s="76"/>
      <c r="BJ402" s="76" t="s">
        <v>19734</v>
      </c>
      <c r="BK402" s="76" t="b">
        <v>0</v>
      </c>
      <c r="BL402" s="76"/>
      <c r="BM402" s="76" t="s">
        <v>66</v>
      </c>
      <c r="BN402" s="76" t="s">
        <v>19736</v>
      </c>
      <c r="BO402" s="83" t="str">
        <f>HYPERLINK("https://twitter.com/correiodeminas")</f>
        <v>https://twitter.com/correiodeminas</v>
      </c>
      <c r="BP402" s="2"/>
    </row>
    <row r="403" spans="1:68" x14ac:dyDescent="0.25">
      <c r="A403" s="62" t="s">
        <v>561</v>
      </c>
      <c r="B403" s="63"/>
      <c r="C403" s="63"/>
      <c r="D403" s="64"/>
      <c r="E403" s="66"/>
      <c r="F403" s="103" t="str">
        <f>HYPERLINK("https://pbs.twimg.com/profile_images/1619416094510387200/iIGQvcL5_normal.jpg")</f>
        <v>https://pbs.twimg.com/profile_images/1619416094510387200/iIGQvcL5_normal.jpg</v>
      </c>
      <c r="G403" s="63"/>
      <c r="H403" s="67"/>
      <c r="I403" s="68"/>
      <c r="J403" s="68"/>
      <c r="K403" s="67" t="s">
        <v>20136</v>
      </c>
      <c r="L403" s="71"/>
      <c r="M403" s="72"/>
      <c r="N403" s="72"/>
      <c r="O403" s="73"/>
      <c r="P403" s="74"/>
      <c r="Q403" s="74"/>
      <c r="R403" s="87"/>
      <c r="S403" s="87"/>
      <c r="T403" s="87"/>
      <c r="U403" s="87"/>
      <c r="V403" s="48"/>
      <c r="W403" s="48"/>
      <c r="X403" s="48"/>
      <c r="Y403" s="48"/>
      <c r="Z403" s="47"/>
      <c r="AA403" s="69">
        <v>403</v>
      </c>
      <c r="AB403" s="69"/>
      <c r="AC403" s="70"/>
      <c r="AD403" s="76" t="s">
        <v>18144</v>
      </c>
      <c r="AE403" s="81" t="s">
        <v>17620</v>
      </c>
      <c r="AF403" s="76">
        <v>797</v>
      </c>
      <c r="AG403" s="76">
        <v>4023</v>
      </c>
      <c r="AH403" s="76">
        <v>389</v>
      </c>
      <c r="AI403" s="76">
        <v>7</v>
      </c>
      <c r="AJ403" s="76">
        <v>531</v>
      </c>
      <c r="AK403" s="76">
        <v>301</v>
      </c>
      <c r="AL403" s="76" t="b">
        <v>0</v>
      </c>
      <c r="AM403" s="78">
        <v>44575.786597222221</v>
      </c>
      <c r="AN403" s="76" t="s">
        <v>18577</v>
      </c>
      <c r="AO403" s="76" t="s">
        <v>19132</v>
      </c>
      <c r="AP403" s="83" t="str">
        <f>HYPERLINK("https://t.co/pdO78rDy1u")</f>
        <v>https://t.co/pdO78rDy1u</v>
      </c>
      <c r="AQ403" s="83" t="str">
        <f>HYPERLINK("https://youtube.com/channel/UCdTFDpRS6xi2iuBxzdAK62w")</f>
        <v>https://youtube.com/channel/UCdTFDpRS6xi2iuBxzdAK62w</v>
      </c>
      <c r="AR403" s="76" t="s">
        <v>19544</v>
      </c>
      <c r="AS403" s="76" t="s">
        <v>19661</v>
      </c>
      <c r="AT403" s="76" t="s">
        <v>19677</v>
      </c>
      <c r="AU403" s="76" t="s">
        <v>19720</v>
      </c>
      <c r="AV403" s="76">
        <v>1.70414449809421E+18</v>
      </c>
      <c r="AW403" s="83" t="str">
        <f>HYPERLINK("https://t.co/pdO78rDy1u")</f>
        <v>https://t.co/pdO78rDy1u</v>
      </c>
      <c r="AX403" s="76" t="b">
        <v>0</v>
      </c>
      <c r="AY403" s="76"/>
      <c r="AZ403" s="76"/>
      <c r="BA403" s="76" t="b">
        <v>0</v>
      </c>
      <c r="BB403" s="76" t="b">
        <v>1</v>
      </c>
      <c r="BC403" s="76" t="b">
        <v>1</v>
      </c>
      <c r="BD403" s="76" t="b">
        <v>0</v>
      </c>
      <c r="BE403" s="76" t="b">
        <v>0</v>
      </c>
      <c r="BF403" s="76" t="b">
        <v>0</v>
      </c>
      <c r="BG403" s="76" t="b">
        <v>0</v>
      </c>
      <c r="BH403" s="83" t="str">
        <f>HYPERLINK("https://pbs.twimg.com/profile_banners/1482062956548562946/1674934031")</f>
        <v>https://pbs.twimg.com/profile_banners/1482062956548562946/1674934031</v>
      </c>
      <c r="BI403" s="76"/>
      <c r="BJ403" s="76" t="s">
        <v>19734</v>
      </c>
      <c r="BK403" s="76" t="b">
        <v>0</v>
      </c>
      <c r="BL403" s="76"/>
      <c r="BM403" s="76" t="s">
        <v>66</v>
      </c>
      <c r="BN403" s="76" t="s">
        <v>19736</v>
      </c>
      <c r="BO403" s="83" t="str">
        <f>HYPERLINK("https://twitter.com/lipeinveste")</f>
        <v>https://twitter.com/lipeinveste</v>
      </c>
      <c r="BP403" s="2"/>
    </row>
    <row r="404" spans="1:68" x14ac:dyDescent="0.25">
      <c r="A404" s="62" t="s">
        <v>562</v>
      </c>
      <c r="B404" s="63"/>
      <c r="C404" s="63"/>
      <c r="D404" s="64"/>
      <c r="E404" s="66"/>
      <c r="F404" s="103" t="str">
        <f>HYPERLINK("https://pbs.twimg.com/profile_images/1605380523819507714/Z5c9T6sP_normal.jpg")</f>
        <v>https://pbs.twimg.com/profile_images/1605380523819507714/Z5c9T6sP_normal.jpg</v>
      </c>
      <c r="G404" s="63"/>
      <c r="H404" s="67"/>
      <c r="I404" s="68"/>
      <c r="J404" s="68"/>
      <c r="K404" s="67" t="s">
        <v>20137</v>
      </c>
      <c r="L404" s="71"/>
      <c r="M404" s="72"/>
      <c r="N404" s="72"/>
      <c r="O404" s="73"/>
      <c r="P404" s="74"/>
      <c r="Q404" s="74"/>
      <c r="R404" s="87"/>
      <c r="S404" s="87"/>
      <c r="T404" s="87"/>
      <c r="U404" s="87"/>
      <c r="V404" s="48"/>
      <c r="W404" s="48"/>
      <c r="X404" s="48"/>
      <c r="Y404" s="48"/>
      <c r="Z404" s="47"/>
      <c r="AA404" s="69">
        <v>404</v>
      </c>
      <c r="AB404" s="69"/>
      <c r="AC404" s="70"/>
      <c r="AD404" s="76" t="s">
        <v>18145</v>
      </c>
      <c r="AE404" s="81" t="s">
        <v>18481</v>
      </c>
      <c r="AF404" s="76">
        <v>989</v>
      </c>
      <c r="AG404" s="76">
        <v>833</v>
      </c>
      <c r="AH404" s="76">
        <v>58632</v>
      </c>
      <c r="AI404" s="76">
        <v>31</v>
      </c>
      <c r="AJ404" s="76">
        <v>1424</v>
      </c>
      <c r="AK404" s="76">
        <v>26780</v>
      </c>
      <c r="AL404" s="76" t="b">
        <v>0</v>
      </c>
      <c r="AM404" s="78">
        <v>41102.9762962963</v>
      </c>
      <c r="AN404" s="76" t="s">
        <v>18708</v>
      </c>
      <c r="AO404" s="76" t="s">
        <v>19133</v>
      </c>
      <c r="AP404" s="83" t="str">
        <f>HYPERLINK("https://t.co/thJ8G06pVo")</f>
        <v>https://t.co/thJ8G06pVo</v>
      </c>
      <c r="AQ404" s="83" t="str">
        <f>HYPERLINK("https://proeducacional.com/?ref=23")</f>
        <v>https://proeducacional.com/?ref=23</v>
      </c>
      <c r="AR404" s="76" t="s">
        <v>19545</v>
      </c>
      <c r="AS404" s="76"/>
      <c r="AT404" s="76"/>
      <c r="AU404" s="76"/>
      <c r="AV404" s="76"/>
      <c r="AW404" s="83" t="str">
        <f>HYPERLINK("https://t.co/thJ8G06pVo")</f>
        <v>https://t.co/thJ8G06pVo</v>
      </c>
      <c r="AX404" s="76" t="b">
        <v>0</v>
      </c>
      <c r="AY404" s="76"/>
      <c r="AZ404" s="76"/>
      <c r="BA404" s="76" t="b">
        <v>0</v>
      </c>
      <c r="BB404" s="76" t="b">
        <v>0</v>
      </c>
      <c r="BC404" s="76" t="b">
        <v>0</v>
      </c>
      <c r="BD404" s="76" t="b">
        <v>0</v>
      </c>
      <c r="BE404" s="76" t="b">
        <v>0</v>
      </c>
      <c r="BF404" s="76" t="b">
        <v>0</v>
      </c>
      <c r="BG404" s="76" t="b">
        <v>0</v>
      </c>
      <c r="BH404" s="83" t="str">
        <f>HYPERLINK("https://pbs.twimg.com/profile_banners/634133167/1693503589")</f>
        <v>https://pbs.twimg.com/profile_banners/634133167/1693503589</v>
      </c>
      <c r="BI404" s="76"/>
      <c r="BJ404" s="76" t="s">
        <v>19734</v>
      </c>
      <c r="BK404" s="76" t="b">
        <v>0</v>
      </c>
      <c r="BL404" s="76"/>
      <c r="BM404" s="76" t="s">
        <v>66</v>
      </c>
      <c r="BN404" s="76" t="s">
        <v>19736</v>
      </c>
      <c r="BO404" s="83" t="str">
        <f>HYPERLINK("https://twitter.com/eddie_poker")</f>
        <v>https://twitter.com/eddie_poker</v>
      </c>
      <c r="BP404" s="2"/>
    </row>
    <row r="405" spans="1:68" x14ac:dyDescent="0.25">
      <c r="A405" s="62" t="s">
        <v>563</v>
      </c>
      <c r="B405" s="63"/>
      <c r="C405" s="63"/>
      <c r="D405" s="64"/>
      <c r="E405" s="66"/>
      <c r="F405" s="103" t="str">
        <f>HYPERLINK("https://pbs.twimg.com/profile_images/1643749433325113346/r1dsz00Y_normal.jpg")</f>
        <v>https://pbs.twimg.com/profile_images/1643749433325113346/r1dsz00Y_normal.jpg</v>
      </c>
      <c r="G405" s="63"/>
      <c r="H405" s="67"/>
      <c r="I405" s="68"/>
      <c r="J405" s="68"/>
      <c r="K405" s="67" t="s">
        <v>20138</v>
      </c>
      <c r="L405" s="71"/>
      <c r="M405" s="72"/>
      <c r="N405" s="72"/>
      <c r="O405" s="73"/>
      <c r="P405" s="74"/>
      <c r="Q405" s="74"/>
      <c r="R405" s="87"/>
      <c r="S405" s="87"/>
      <c r="T405" s="87"/>
      <c r="U405" s="87"/>
      <c r="V405" s="48"/>
      <c r="W405" s="48"/>
      <c r="X405" s="48"/>
      <c r="Y405" s="48"/>
      <c r="Z405" s="47"/>
      <c r="AA405" s="69">
        <v>405</v>
      </c>
      <c r="AB405" s="69"/>
      <c r="AC405" s="70"/>
      <c r="AD405" s="76" t="s">
        <v>18146</v>
      </c>
      <c r="AE405" s="81" t="s">
        <v>17621</v>
      </c>
      <c r="AF405" s="76">
        <v>1</v>
      </c>
      <c r="AG405" s="76">
        <v>53</v>
      </c>
      <c r="AH405" s="76">
        <v>83</v>
      </c>
      <c r="AI405" s="76">
        <v>0</v>
      </c>
      <c r="AJ405" s="76">
        <v>0</v>
      </c>
      <c r="AK405" s="76">
        <v>4</v>
      </c>
      <c r="AL405" s="76" t="b">
        <v>0</v>
      </c>
      <c r="AM405" s="78">
        <v>45021.93414351852</v>
      </c>
      <c r="AN405" s="76" t="s">
        <v>18709</v>
      </c>
      <c r="AO405" s="76" t="s">
        <v>19134</v>
      </c>
      <c r="AP405" s="76"/>
      <c r="AQ405" s="76"/>
      <c r="AR405" s="76"/>
      <c r="AS405" s="76"/>
      <c r="AT405" s="76"/>
      <c r="AU405" s="76"/>
      <c r="AV405" s="76"/>
      <c r="AW405" s="76"/>
      <c r="AX405" s="76" t="b">
        <v>0</v>
      </c>
      <c r="AY405" s="76"/>
      <c r="AZ405" s="76"/>
      <c r="BA405" s="76" t="b">
        <v>0</v>
      </c>
      <c r="BB405" s="76" t="b">
        <v>1</v>
      </c>
      <c r="BC405" s="76" t="b">
        <v>1</v>
      </c>
      <c r="BD405" s="76" t="b">
        <v>0</v>
      </c>
      <c r="BE405" s="76" t="b">
        <v>0</v>
      </c>
      <c r="BF405" s="76" t="b">
        <v>0</v>
      </c>
      <c r="BG405" s="76" t="b">
        <v>0</v>
      </c>
      <c r="BH405" s="76"/>
      <c r="BI405" s="76"/>
      <c r="BJ405" s="76" t="s">
        <v>19734</v>
      </c>
      <c r="BK405" s="76" t="b">
        <v>0</v>
      </c>
      <c r="BL405" s="76"/>
      <c r="BM405" s="76" t="s">
        <v>66</v>
      </c>
      <c r="BN405" s="76" t="s">
        <v>19736</v>
      </c>
      <c r="BO405" s="83" t="str">
        <f>HYPERLINK("https://twitter.com/ex_terior")</f>
        <v>https://twitter.com/ex_terior</v>
      </c>
      <c r="BP405" s="2"/>
    </row>
    <row r="406" spans="1:68" x14ac:dyDescent="0.25">
      <c r="A406" s="62" t="s">
        <v>784</v>
      </c>
      <c r="B406" s="63"/>
      <c r="C406" s="63"/>
      <c r="D406" s="64"/>
      <c r="E406" s="66"/>
      <c r="F406" s="103" t="str">
        <f>HYPERLINK("https://pbs.twimg.com/profile_images/1471462173553704960/091S_SRD_normal.jpg")</f>
        <v>https://pbs.twimg.com/profile_images/1471462173553704960/091S_SRD_normal.jpg</v>
      </c>
      <c r="G406" s="63"/>
      <c r="H406" s="67"/>
      <c r="I406" s="68"/>
      <c r="J406" s="68"/>
      <c r="K406" s="67" t="s">
        <v>20139</v>
      </c>
      <c r="L406" s="71"/>
      <c r="M406" s="72"/>
      <c r="N406" s="72"/>
      <c r="O406" s="73"/>
      <c r="P406" s="74"/>
      <c r="Q406" s="74"/>
      <c r="R406" s="87"/>
      <c r="S406" s="87"/>
      <c r="T406" s="87"/>
      <c r="U406" s="87"/>
      <c r="V406" s="48"/>
      <c r="W406" s="48"/>
      <c r="X406" s="48"/>
      <c r="Y406" s="48"/>
      <c r="Z406" s="47"/>
      <c r="AA406" s="69">
        <v>406</v>
      </c>
      <c r="AB406" s="69"/>
      <c r="AC406" s="70"/>
      <c r="AD406" s="76" t="s">
        <v>18147</v>
      </c>
      <c r="AE406" s="81" t="s">
        <v>18482</v>
      </c>
      <c r="AF406" s="76">
        <v>9000</v>
      </c>
      <c r="AG406" s="76">
        <v>148</v>
      </c>
      <c r="AH406" s="76">
        <v>2576</v>
      </c>
      <c r="AI406" s="76">
        <v>39</v>
      </c>
      <c r="AJ406" s="76">
        <v>607</v>
      </c>
      <c r="AK406" s="76">
        <v>930</v>
      </c>
      <c r="AL406" s="76" t="b">
        <v>0</v>
      </c>
      <c r="AM406" s="78">
        <v>43895.965046296296</v>
      </c>
      <c r="AN406" s="76"/>
      <c r="AO406" s="76" t="s">
        <v>19135</v>
      </c>
      <c r="AP406" s="83" t="str">
        <f>HYPERLINK("https://t.co/N6585oX9zE")</f>
        <v>https://t.co/N6585oX9zE</v>
      </c>
      <c r="AQ406" s="83" t="str">
        <f>HYPERLINK("http://ri.minervafoods.com/")</f>
        <v>http://ri.minervafoods.com/</v>
      </c>
      <c r="AR406" s="76" t="s">
        <v>19546</v>
      </c>
      <c r="AS406" s="76"/>
      <c r="AT406" s="76"/>
      <c r="AU406" s="76"/>
      <c r="AV406" s="76">
        <v>1.5680436768230799E+18</v>
      </c>
      <c r="AW406" s="83" t="str">
        <f>HYPERLINK("https://t.co/N6585oX9zE")</f>
        <v>https://t.co/N6585oX9zE</v>
      </c>
      <c r="AX406" s="76" t="b">
        <v>0</v>
      </c>
      <c r="AY406" s="76"/>
      <c r="AZ406" s="76"/>
      <c r="BA406" s="76" t="b">
        <v>0</v>
      </c>
      <c r="BB406" s="76" t="b">
        <v>1</v>
      </c>
      <c r="BC406" s="76" t="b">
        <v>1</v>
      </c>
      <c r="BD406" s="76" t="b">
        <v>0</v>
      </c>
      <c r="BE406" s="76" t="b">
        <v>1</v>
      </c>
      <c r="BF406" s="76" t="b">
        <v>0</v>
      </c>
      <c r="BG406" s="76" t="b">
        <v>0</v>
      </c>
      <c r="BH406" s="83" t="str">
        <f>HYPERLINK("https://pbs.twimg.com/profile_banners/1235703799584563201/1689013571")</f>
        <v>https://pbs.twimg.com/profile_banners/1235703799584563201/1689013571</v>
      </c>
      <c r="BI406" s="76"/>
      <c r="BJ406" s="76" t="s">
        <v>19734</v>
      </c>
      <c r="BK406" s="76" t="b">
        <v>0</v>
      </c>
      <c r="BL406" s="76"/>
      <c r="BM406" s="76" t="s">
        <v>65</v>
      </c>
      <c r="BN406" s="76" t="s">
        <v>19736</v>
      </c>
      <c r="BO406" s="83" t="str">
        <f>HYPERLINK("https://twitter.com/minerva_beef3")</f>
        <v>https://twitter.com/minerva_beef3</v>
      </c>
      <c r="BP406" s="2"/>
    </row>
    <row r="407" spans="1:68" x14ac:dyDescent="0.25">
      <c r="A407" s="62" t="s">
        <v>564</v>
      </c>
      <c r="B407" s="63"/>
      <c r="C407" s="63"/>
      <c r="D407" s="64"/>
      <c r="E407" s="66"/>
      <c r="F407" s="103" t="str">
        <f>HYPERLINK("https://pbs.twimg.com/profile_images/1373401737772552198/KL8Tufj1_normal.jpg")</f>
        <v>https://pbs.twimg.com/profile_images/1373401737772552198/KL8Tufj1_normal.jpg</v>
      </c>
      <c r="G407" s="63"/>
      <c r="H407" s="67"/>
      <c r="I407" s="68"/>
      <c r="J407" s="68"/>
      <c r="K407" s="67" t="s">
        <v>20140</v>
      </c>
      <c r="L407" s="71"/>
      <c r="M407" s="72"/>
      <c r="N407" s="72"/>
      <c r="O407" s="73"/>
      <c r="P407" s="74"/>
      <c r="Q407" s="74"/>
      <c r="R407" s="87"/>
      <c r="S407" s="87"/>
      <c r="T407" s="87"/>
      <c r="U407" s="87"/>
      <c r="V407" s="48"/>
      <c r="W407" s="48"/>
      <c r="X407" s="48"/>
      <c r="Y407" s="48"/>
      <c r="Z407" s="47"/>
      <c r="AA407" s="69">
        <v>407</v>
      </c>
      <c r="AB407" s="69"/>
      <c r="AC407" s="70"/>
      <c r="AD407" s="76" t="s">
        <v>18148</v>
      </c>
      <c r="AE407" s="81" t="s">
        <v>18483</v>
      </c>
      <c r="AF407" s="76">
        <v>114</v>
      </c>
      <c r="AG407" s="76">
        <v>388</v>
      </c>
      <c r="AH407" s="76">
        <v>8569</v>
      </c>
      <c r="AI407" s="76">
        <v>0</v>
      </c>
      <c r="AJ407" s="76">
        <v>21581</v>
      </c>
      <c r="AK407" s="76">
        <v>386</v>
      </c>
      <c r="AL407" s="76" t="b">
        <v>0</v>
      </c>
      <c r="AM407" s="78">
        <v>41935.879884259259</v>
      </c>
      <c r="AN407" s="76" t="s">
        <v>18710</v>
      </c>
      <c r="AO407" s="76" t="s">
        <v>19136</v>
      </c>
      <c r="AP407" s="83" t="str">
        <f>HYPERLINK("https://t.co/9nZZQTO5mP")</f>
        <v>https://t.co/9nZZQTO5mP</v>
      </c>
      <c r="AQ407" s="83" t="str">
        <f>HYPERLINK("https://profitsideblog.wixsite.com/profitside")</f>
        <v>https://profitsideblog.wixsite.com/profitside</v>
      </c>
      <c r="AR407" s="76" t="s">
        <v>19547</v>
      </c>
      <c r="AS407" s="76"/>
      <c r="AT407" s="76"/>
      <c r="AU407" s="76"/>
      <c r="AV407" s="76"/>
      <c r="AW407" s="83" t="str">
        <f>HYPERLINK("https://t.co/9nZZQTO5mP")</f>
        <v>https://t.co/9nZZQTO5mP</v>
      </c>
      <c r="AX407" s="76" t="b">
        <v>0</v>
      </c>
      <c r="AY407" s="76"/>
      <c r="AZ407" s="76"/>
      <c r="BA407" s="76" t="b">
        <v>0</v>
      </c>
      <c r="BB407" s="76" t="b">
        <v>1</v>
      </c>
      <c r="BC407" s="76" t="b">
        <v>1</v>
      </c>
      <c r="BD407" s="76" t="b">
        <v>0</v>
      </c>
      <c r="BE407" s="76" t="b">
        <v>1</v>
      </c>
      <c r="BF407" s="76" t="b">
        <v>0</v>
      </c>
      <c r="BG407" s="76" t="b">
        <v>0</v>
      </c>
      <c r="BH407" s="83" t="str">
        <f>HYPERLINK("https://pbs.twimg.com/profile_banners/2874080791/1527043168")</f>
        <v>https://pbs.twimg.com/profile_banners/2874080791/1527043168</v>
      </c>
      <c r="BI407" s="76"/>
      <c r="BJ407" s="76" t="s">
        <v>19734</v>
      </c>
      <c r="BK407" s="76" t="b">
        <v>0</v>
      </c>
      <c r="BL407" s="76"/>
      <c r="BM407" s="76" t="s">
        <v>66</v>
      </c>
      <c r="BN407" s="76" t="s">
        <v>19736</v>
      </c>
      <c r="BO407" s="83" t="str">
        <f>HYPERLINK("https://twitter.com/osmarangelin")</f>
        <v>https://twitter.com/osmarangelin</v>
      </c>
      <c r="BP407" s="2"/>
    </row>
    <row r="408" spans="1:68" x14ac:dyDescent="0.25">
      <c r="A408" s="62" t="s">
        <v>565</v>
      </c>
      <c r="B408" s="63"/>
      <c r="C408" s="63"/>
      <c r="D408" s="64"/>
      <c r="E408" s="66"/>
      <c r="F408" s="103" t="str">
        <f>HYPERLINK("https://pbs.twimg.com/profile_images/1679435775014830083/ZQTlkdEe_normal.jpg")</f>
        <v>https://pbs.twimg.com/profile_images/1679435775014830083/ZQTlkdEe_normal.jpg</v>
      </c>
      <c r="G408" s="63"/>
      <c r="H408" s="67"/>
      <c r="I408" s="68"/>
      <c r="J408" s="68"/>
      <c r="K408" s="67" t="s">
        <v>20141</v>
      </c>
      <c r="L408" s="71"/>
      <c r="M408" s="72"/>
      <c r="N408" s="72"/>
      <c r="O408" s="73"/>
      <c r="P408" s="74"/>
      <c r="Q408" s="74"/>
      <c r="R408" s="87"/>
      <c r="S408" s="87"/>
      <c r="T408" s="87"/>
      <c r="U408" s="87"/>
      <c r="V408" s="48"/>
      <c r="W408" s="48"/>
      <c r="X408" s="48"/>
      <c r="Y408" s="48"/>
      <c r="Z408" s="47"/>
      <c r="AA408" s="69">
        <v>408</v>
      </c>
      <c r="AB408" s="69"/>
      <c r="AC408" s="70"/>
      <c r="AD408" s="76" t="s">
        <v>18149</v>
      </c>
      <c r="AE408" s="81" t="s">
        <v>17622</v>
      </c>
      <c r="AF408" s="76">
        <v>21</v>
      </c>
      <c r="AG408" s="76">
        <v>49</v>
      </c>
      <c r="AH408" s="76">
        <v>55</v>
      </c>
      <c r="AI408" s="76">
        <v>0</v>
      </c>
      <c r="AJ408" s="76">
        <v>166</v>
      </c>
      <c r="AK408" s="76">
        <v>4</v>
      </c>
      <c r="AL408" s="76" t="b">
        <v>0</v>
      </c>
      <c r="AM408" s="78">
        <v>44526.136747685188</v>
      </c>
      <c r="AN408" s="76"/>
      <c r="AO408" s="76" t="s">
        <v>19137</v>
      </c>
      <c r="AP408" s="76"/>
      <c r="AQ408" s="76"/>
      <c r="AR408" s="76"/>
      <c r="AS408" s="76"/>
      <c r="AT408" s="76"/>
      <c r="AU408" s="76"/>
      <c r="AV408" s="76"/>
      <c r="AW408" s="76"/>
      <c r="AX408" s="76" t="b">
        <v>0</v>
      </c>
      <c r="AY408" s="76"/>
      <c r="AZ408" s="76"/>
      <c r="BA408" s="76" t="b">
        <v>0</v>
      </c>
      <c r="BB408" s="76" t="b">
        <v>0</v>
      </c>
      <c r="BC408" s="76" t="b">
        <v>1</v>
      </c>
      <c r="BD408" s="76" t="b">
        <v>0</v>
      </c>
      <c r="BE408" s="76" t="b">
        <v>1</v>
      </c>
      <c r="BF408" s="76" t="b">
        <v>0</v>
      </c>
      <c r="BG408" s="76" t="b">
        <v>0</v>
      </c>
      <c r="BH408" s="83" t="str">
        <f>HYPERLINK("https://pbs.twimg.com/profile_banners/1464070543242670081/1690800885")</f>
        <v>https://pbs.twimg.com/profile_banners/1464070543242670081/1690800885</v>
      </c>
      <c r="BI408" s="76"/>
      <c r="BJ408" s="76" t="s">
        <v>19734</v>
      </c>
      <c r="BK408" s="76" t="b">
        <v>0</v>
      </c>
      <c r="BL408" s="76"/>
      <c r="BM408" s="76" t="s">
        <v>66</v>
      </c>
      <c r="BN408" s="76" t="s">
        <v>19736</v>
      </c>
      <c r="BO408" s="83" t="str">
        <f>HYPERLINK("https://twitter.com/yagocardoso_")</f>
        <v>https://twitter.com/yagocardoso_</v>
      </c>
      <c r="BP408" s="2"/>
    </row>
    <row r="409" spans="1:68" x14ac:dyDescent="0.25">
      <c r="A409" s="62" t="s">
        <v>566</v>
      </c>
      <c r="B409" s="63"/>
      <c r="C409" s="63"/>
      <c r="D409" s="64"/>
      <c r="E409" s="66"/>
      <c r="F409" s="103" t="str">
        <f>HYPERLINK("https://pbs.twimg.com/profile_images/1621519372962639872/-AUYl2x6_normal.jpg")</f>
        <v>https://pbs.twimg.com/profile_images/1621519372962639872/-AUYl2x6_normal.jpg</v>
      </c>
      <c r="G409" s="63"/>
      <c r="H409" s="67"/>
      <c r="I409" s="68"/>
      <c r="J409" s="68"/>
      <c r="K409" s="67" t="s">
        <v>20142</v>
      </c>
      <c r="L409" s="71"/>
      <c r="M409" s="72"/>
      <c r="N409" s="72"/>
      <c r="O409" s="73"/>
      <c r="P409" s="74"/>
      <c r="Q409" s="74"/>
      <c r="R409" s="87"/>
      <c r="S409" s="87"/>
      <c r="T409" s="87"/>
      <c r="U409" s="87"/>
      <c r="V409" s="48"/>
      <c r="W409" s="48"/>
      <c r="X409" s="48"/>
      <c r="Y409" s="48"/>
      <c r="Z409" s="47"/>
      <c r="AA409" s="69">
        <v>409</v>
      </c>
      <c r="AB409" s="69"/>
      <c r="AC409" s="70"/>
      <c r="AD409" s="76" t="s">
        <v>18150</v>
      </c>
      <c r="AE409" s="81" t="s">
        <v>18484</v>
      </c>
      <c r="AF409" s="76">
        <v>14</v>
      </c>
      <c r="AG409" s="76">
        <v>0</v>
      </c>
      <c r="AH409" s="76">
        <v>111</v>
      </c>
      <c r="AI409" s="76">
        <v>0</v>
      </c>
      <c r="AJ409" s="76">
        <v>5</v>
      </c>
      <c r="AK409" s="76">
        <v>109</v>
      </c>
      <c r="AL409" s="76" t="b">
        <v>0</v>
      </c>
      <c r="AM409" s="78">
        <v>40893.710543981484</v>
      </c>
      <c r="AN409" s="76"/>
      <c r="AO409" s="76" t="s">
        <v>19138</v>
      </c>
      <c r="AP409" s="83" t="str">
        <f>HYPERLINK("https://t.co/TAyTDwApwN")</f>
        <v>https://t.co/TAyTDwApwN</v>
      </c>
      <c r="AQ409" s="83" t="str">
        <f>HYPERLINK("https://wagnergeremia.com")</f>
        <v>https://wagnergeremia.com</v>
      </c>
      <c r="AR409" s="76" t="s">
        <v>7130</v>
      </c>
      <c r="AS409" s="83" t="str">
        <f>HYPERLINK("https://t.co/baTRTtnSFN")</f>
        <v>https://t.co/baTRTtnSFN</v>
      </c>
      <c r="AT409" s="83" t="str">
        <f>HYPERLINK("http://wagnergeremia.com")</f>
        <v>http://wagnergeremia.com</v>
      </c>
      <c r="AU409" s="76" t="s">
        <v>7130</v>
      </c>
      <c r="AV409" s="76"/>
      <c r="AW409" s="83" t="str">
        <f>HYPERLINK("https://t.co/TAyTDwApwN")</f>
        <v>https://t.co/TAyTDwApwN</v>
      </c>
      <c r="AX409" s="76" t="b">
        <v>0</v>
      </c>
      <c r="AY409" s="76"/>
      <c r="AZ409" s="76"/>
      <c r="BA409" s="76" t="b">
        <v>0</v>
      </c>
      <c r="BB409" s="76" t="b">
        <v>1</v>
      </c>
      <c r="BC409" s="76" t="b">
        <v>1</v>
      </c>
      <c r="BD409" s="76" t="b">
        <v>0</v>
      </c>
      <c r="BE409" s="76" t="b">
        <v>0</v>
      </c>
      <c r="BF409" s="76" t="b">
        <v>0</v>
      </c>
      <c r="BG409" s="76" t="b">
        <v>0</v>
      </c>
      <c r="BH409" s="83" t="str">
        <f>HYPERLINK("https://pbs.twimg.com/profile_banners/438488077/1675435381")</f>
        <v>https://pbs.twimg.com/profile_banners/438488077/1675435381</v>
      </c>
      <c r="BI409" s="76"/>
      <c r="BJ409" s="76" t="s">
        <v>19734</v>
      </c>
      <c r="BK409" s="76" t="b">
        <v>0</v>
      </c>
      <c r="BL409" s="76"/>
      <c r="BM409" s="76" t="s">
        <v>66</v>
      </c>
      <c r="BN409" s="76" t="s">
        <v>19736</v>
      </c>
      <c r="BO409" s="83" t="str">
        <f>HYPERLINK("https://twitter.com/wagnergeremia")</f>
        <v>https://twitter.com/wagnergeremia</v>
      </c>
      <c r="BP409" s="2"/>
    </row>
    <row r="410" spans="1:68" x14ac:dyDescent="0.25">
      <c r="A410" s="62" t="s">
        <v>567</v>
      </c>
      <c r="B410" s="63"/>
      <c r="C410" s="63"/>
      <c r="D410" s="64"/>
      <c r="E410" s="66"/>
      <c r="F410" s="103" t="str">
        <f>HYPERLINK("https://pbs.twimg.com/profile_images/1671233527365394432/L20yfc7f_normal.jpg")</f>
        <v>https://pbs.twimg.com/profile_images/1671233527365394432/L20yfc7f_normal.jpg</v>
      </c>
      <c r="G410" s="63"/>
      <c r="H410" s="67"/>
      <c r="I410" s="68"/>
      <c r="J410" s="68"/>
      <c r="K410" s="67" t="s">
        <v>20143</v>
      </c>
      <c r="L410" s="71"/>
      <c r="M410" s="72"/>
      <c r="N410" s="72"/>
      <c r="O410" s="73"/>
      <c r="P410" s="74"/>
      <c r="Q410" s="74"/>
      <c r="R410" s="87"/>
      <c r="S410" s="87"/>
      <c r="T410" s="87"/>
      <c r="U410" s="87"/>
      <c r="V410" s="48"/>
      <c r="W410" s="48"/>
      <c r="X410" s="48"/>
      <c r="Y410" s="48"/>
      <c r="Z410" s="47"/>
      <c r="AA410" s="69">
        <v>410</v>
      </c>
      <c r="AB410" s="69"/>
      <c r="AC410" s="70"/>
      <c r="AD410" s="76" t="s">
        <v>18151</v>
      </c>
      <c r="AE410" s="81" t="s">
        <v>17364</v>
      </c>
      <c r="AF410" s="76">
        <v>1089</v>
      </c>
      <c r="AG410" s="76">
        <v>82</v>
      </c>
      <c r="AH410" s="76">
        <v>22729</v>
      </c>
      <c r="AI410" s="76">
        <v>26</v>
      </c>
      <c r="AJ410" s="76">
        <v>7168</v>
      </c>
      <c r="AK410" s="76">
        <v>4289</v>
      </c>
      <c r="AL410" s="76" t="b">
        <v>0</v>
      </c>
      <c r="AM410" s="78">
        <v>40925.07372685185</v>
      </c>
      <c r="AN410" s="76" t="s">
        <v>18711</v>
      </c>
      <c r="AO410" s="76" t="s">
        <v>19139</v>
      </c>
      <c r="AP410" s="83" t="str">
        <f>HYPERLINK("https://t.co/udqAifQKVM")</f>
        <v>https://t.co/udqAifQKVM</v>
      </c>
      <c r="AQ410" s="83" t="str">
        <f>HYPERLINK("https://www.instagram.com/marcosmanguelli/")</f>
        <v>https://www.instagram.com/marcosmanguelli/</v>
      </c>
      <c r="AR410" s="76" t="s">
        <v>19548</v>
      </c>
      <c r="AS410" s="83" t="str">
        <f>HYPERLINK("https://t.co/FlWxKKbyNK")</f>
        <v>https://t.co/FlWxKKbyNK</v>
      </c>
      <c r="AT410" s="83" t="str">
        <f>HYPERLINK("https://linktr.ee/MarcosManguelli")</f>
        <v>https://linktr.ee/MarcosManguelli</v>
      </c>
      <c r="AU410" s="76" t="s">
        <v>19721</v>
      </c>
      <c r="AV410" s="76">
        <v>1.64179725906595E+18</v>
      </c>
      <c r="AW410" s="83" t="str">
        <f>HYPERLINK("https://t.co/udqAifQKVM")</f>
        <v>https://t.co/udqAifQKVM</v>
      </c>
      <c r="AX410" s="76" t="b">
        <v>0</v>
      </c>
      <c r="AY410" s="76"/>
      <c r="AZ410" s="76"/>
      <c r="BA410" s="76" t="b">
        <v>1</v>
      </c>
      <c r="BB410" s="76" t="b">
        <v>0</v>
      </c>
      <c r="BC410" s="76" t="b">
        <v>0</v>
      </c>
      <c r="BD410" s="76" t="b">
        <v>0</v>
      </c>
      <c r="BE410" s="76" t="b">
        <v>1</v>
      </c>
      <c r="BF410" s="76" t="b">
        <v>0</v>
      </c>
      <c r="BG410" s="76" t="b">
        <v>0</v>
      </c>
      <c r="BH410" s="83" t="str">
        <f>HYPERLINK("https://pbs.twimg.com/profile_banners/466084954/1624664222")</f>
        <v>https://pbs.twimg.com/profile_banners/466084954/1624664222</v>
      </c>
      <c r="BI410" s="76"/>
      <c r="BJ410" s="76" t="s">
        <v>19734</v>
      </c>
      <c r="BK410" s="76" t="b">
        <v>0</v>
      </c>
      <c r="BL410" s="76"/>
      <c r="BM410" s="76" t="s">
        <v>66</v>
      </c>
      <c r="BN410" s="76" t="s">
        <v>19736</v>
      </c>
      <c r="BO410" s="83" t="str">
        <f>HYPERLINK("https://twitter.com/marcosmanguelli")</f>
        <v>https://twitter.com/marcosmanguelli</v>
      </c>
      <c r="BP410" s="2"/>
    </row>
    <row r="411" spans="1:68" x14ac:dyDescent="0.25">
      <c r="A411" s="62" t="s">
        <v>568</v>
      </c>
      <c r="B411" s="63"/>
      <c r="C411" s="63"/>
      <c r="D411" s="64"/>
      <c r="E411" s="66"/>
      <c r="F411" s="103" t="str">
        <f>HYPERLINK("https://pbs.twimg.com/profile_images/1694896240033419264/CMdhx8cj_normal.jpg")</f>
        <v>https://pbs.twimg.com/profile_images/1694896240033419264/CMdhx8cj_normal.jpg</v>
      </c>
      <c r="G411" s="63"/>
      <c r="H411" s="67"/>
      <c r="I411" s="68"/>
      <c r="J411" s="68"/>
      <c r="K411" s="67" t="s">
        <v>20144</v>
      </c>
      <c r="L411" s="71"/>
      <c r="M411" s="72"/>
      <c r="N411" s="72"/>
      <c r="O411" s="73"/>
      <c r="P411" s="74"/>
      <c r="Q411" s="74"/>
      <c r="R411" s="87"/>
      <c r="S411" s="87"/>
      <c r="T411" s="87"/>
      <c r="U411" s="87"/>
      <c r="V411" s="48"/>
      <c r="W411" s="48"/>
      <c r="X411" s="48"/>
      <c r="Y411" s="48"/>
      <c r="Z411" s="47"/>
      <c r="AA411" s="69">
        <v>411</v>
      </c>
      <c r="AB411" s="69"/>
      <c r="AC411" s="70"/>
      <c r="AD411" s="76" t="s">
        <v>18152</v>
      </c>
      <c r="AE411" s="81" t="s">
        <v>18485</v>
      </c>
      <c r="AF411" s="76">
        <v>45381</v>
      </c>
      <c r="AG411" s="76">
        <v>4525</v>
      </c>
      <c r="AH411" s="76">
        <v>9618</v>
      </c>
      <c r="AI411" s="76">
        <v>116</v>
      </c>
      <c r="AJ411" s="76">
        <v>103</v>
      </c>
      <c r="AK411" s="76">
        <v>2844</v>
      </c>
      <c r="AL411" s="76" t="b">
        <v>0</v>
      </c>
      <c r="AM411" s="78">
        <v>40146.636516203704</v>
      </c>
      <c r="AN411" s="76" t="s">
        <v>12014</v>
      </c>
      <c r="AO411" s="76" t="s">
        <v>19140</v>
      </c>
      <c r="AP411" s="83" t="str">
        <f>HYPERLINK("https://t.co/A9UysH0WEE")</f>
        <v>https://t.co/A9UysH0WEE</v>
      </c>
      <c r="AQ411" s="83" t="str">
        <f>HYPERLINK("https://espacorecomecar.com.br/")</f>
        <v>https://espacorecomecar.com.br/</v>
      </c>
      <c r="AR411" s="76" t="s">
        <v>19549</v>
      </c>
      <c r="AS411" s="76"/>
      <c r="AT411" s="76"/>
      <c r="AU411" s="76"/>
      <c r="AV411" s="76">
        <v>1.3827381933264799E+18</v>
      </c>
      <c r="AW411" s="83" t="str">
        <f>HYPERLINK("https://t.co/A9UysH0WEE")</f>
        <v>https://t.co/A9UysH0WEE</v>
      </c>
      <c r="AX411" s="76" t="b">
        <v>1</v>
      </c>
      <c r="AY411" s="76"/>
      <c r="AZ411" s="76"/>
      <c r="BA411" s="76" t="b">
        <v>0</v>
      </c>
      <c r="BB411" s="76" t="b">
        <v>0</v>
      </c>
      <c r="BC411" s="76" t="b">
        <v>0</v>
      </c>
      <c r="BD411" s="76" t="b">
        <v>0</v>
      </c>
      <c r="BE411" s="76" t="b">
        <v>1</v>
      </c>
      <c r="BF411" s="76" t="b">
        <v>0</v>
      </c>
      <c r="BG411" s="76" t="b">
        <v>0</v>
      </c>
      <c r="BH411" s="83" t="str">
        <f>HYPERLINK("https://pbs.twimg.com/profile_banners/93418087/1692929731")</f>
        <v>https://pbs.twimg.com/profile_banners/93418087/1692929731</v>
      </c>
      <c r="BI411" s="76"/>
      <c r="BJ411" s="76" t="s">
        <v>19735</v>
      </c>
      <c r="BK411" s="76" t="b">
        <v>0</v>
      </c>
      <c r="BL411" s="76"/>
      <c r="BM411" s="76" t="s">
        <v>66</v>
      </c>
      <c r="BN411" s="76" t="s">
        <v>19736</v>
      </c>
      <c r="BO411" s="83" t="str">
        <f>HYPERLINK("https://twitter.com/espacorecomecar")</f>
        <v>https://twitter.com/espacorecomecar</v>
      </c>
      <c r="BP411" s="2"/>
    </row>
    <row r="412" spans="1:68" x14ac:dyDescent="0.25">
      <c r="A412" s="62" t="s">
        <v>569</v>
      </c>
      <c r="B412" s="63"/>
      <c r="C412" s="63"/>
      <c r="D412" s="64"/>
      <c r="E412" s="66"/>
      <c r="F412" s="103" t="str">
        <f>HYPERLINK("https://pbs.twimg.com/profile_images/1648840631748288512/EsfL5SNT_normal.jpg")</f>
        <v>https://pbs.twimg.com/profile_images/1648840631748288512/EsfL5SNT_normal.jpg</v>
      </c>
      <c r="G412" s="63"/>
      <c r="H412" s="67"/>
      <c r="I412" s="68"/>
      <c r="J412" s="68"/>
      <c r="K412" s="67" t="s">
        <v>20145</v>
      </c>
      <c r="L412" s="71"/>
      <c r="M412" s="72"/>
      <c r="N412" s="72"/>
      <c r="O412" s="73"/>
      <c r="P412" s="74"/>
      <c r="Q412" s="74"/>
      <c r="R412" s="87"/>
      <c r="S412" s="87"/>
      <c r="T412" s="87"/>
      <c r="U412" s="87"/>
      <c r="V412" s="48"/>
      <c r="W412" s="48"/>
      <c r="X412" s="48"/>
      <c r="Y412" s="48"/>
      <c r="Z412" s="47"/>
      <c r="AA412" s="69">
        <v>412</v>
      </c>
      <c r="AB412" s="69"/>
      <c r="AC412" s="70"/>
      <c r="AD412" s="76" t="s">
        <v>18153</v>
      </c>
      <c r="AE412" s="81" t="s">
        <v>18486</v>
      </c>
      <c r="AF412" s="76">
        <v>1334</v>
      </c>
      <c r="AG412" s="76">
        <v>1304</v>
      </c>
      <c r="AH412" s="76">
        <v>8525</v>
      </c>
      <c r="AI412" s="76">
        <v>1</v>
      </c>
      <c r="AJ412" s="76">
        <v>31088</v>
      </c>
      <c r="AK412" s="76">
        <v>582</v>
      </c>
      <c r="AL412" s="76" t="b">
        <v>0</v>
      </c>
      <c r="AM412" s="78">
        <v>41236.771979166668</v>
      </c>
      <c r="AN412" s="76"/>
      <c r="AO412" s="76" t="s">
        <v>19141</v>
      </c>
      <c r="AP412" s="83" t="str">
        <f>HYPERLINK("https://t.co/Ip07TairJe")</f>
        <v>https://t.co/Ip07TairJe</v>
      </c>
      <c r="AQ412" s="83" t="str">
        <f>HYPERLINK("https://youtube.com/c/ProfessorDanielAlbuquerque")</f>
        <v>https://youtube.com/c/ProfessorDanielAlbuquerque</v>
      </c>
      <c r="AR412" s="76" t="s">
        <v>19550</v>
      </c>
      <c r="AS412" s="76"/>
      <c r="AT412" s="76"/>
      <c r="AU412" s="76"/>
      <c r="AV412" s="76">
        <v>1.45261121100734E+18</v>
      </c>
      <c r="AW412" s="83" t="str">
        <f>HYPERLINK("https://t.co/Ip07TairJe")</f>
        <v>https://t.co/Ip07TairJe</v>
      </c>
      <c r="AX412" s="76" t="b">
        <v>0</v>
      </c>
      <c r="AY412" s="76"/>
      <c r="AZ412" s="76"/>
      <c r="BA412" s="76" t="b">
        <v>0</v>
      </c>
      <c r="BB412" s="76" t="b">
        <v>1</v>
      </c>
      <c r="BC412" s="76" t="b">
        <v>0</v>
      </c>
      <c r="BD412" s="76" t="b">
        <v>0</v>
      </c>
      <c r="BE412" s="76" t="b">
        <v>0</v>
      </c>
      <c r="BF412" s="76" t="b">
        <v>0</v>
      </c>
      <c r="BG412" s="76" t="b">
        <v>0</v>
      </c>
      <c r="BH412" s="83" t="str">
        <f>HYPERLINK("https://pbs.twimg.com/profile_banners/966615637/1673613443")</f>
        <v>https://pbs.twimg.com/profile_banners/966615637/1673613443</v>
      </c>
      <c r="BI412" s="76"/>
      <c r="BJ412" s="76" t="s">
        <v>19734</v>
      </c>
      <c r="BK412" s="76" t="b">
        <v>0</v>
      </c>
      <c r="BL412" s="76"/>
      <c r="BM412" s="76" t="s">
        <v>66</v>
      </c>
      <c r="BN412" s="76" t="s">
        <v>19736</v>
      </c>
      <c r="BO412" s="83" t="str">
        <f>HYPERLINK("https://twitter.com/piauidaniel")</f>
        <v>https://twitter.com/piauidaniel</v>
      </c>
      <c r="BP412" s="2"/>
    </row>
    <row r="413" spans="1:68" x14ac:dyDescent="0.25">
      <c r="A413" s="62" t="s">
        <v>570</v>
      </c>
      <c r="B413" s="63"/>
      <c r="C413" s="63"/>
      <c r="D413" s="64"/>
      <c r="E413" s="66"/>
      <c r="F413" s="103" t="str">
        <f>HYPERLINK("https://pbs.twimg.com/profile_images/1533194450624716801/7xCedVLP_normal.jpg")</f>
        <v>https://pbs.twimg.com/profile_images/1533194450624716801/7xCedVLP_normal.jpg</v>
      </c>
      <c r="G413" s="63"/>
      <c r="H413" s="67"/>
      <c r="I413" s="68"/>
      <c r="J413" s="68"/>
      <c r="K413" s="67" t="s">
        <v>20146</v>
      </c>
      <c r="L413" s="71"/>
      <c r="M413" s="72"/>
      <c r="N413" s="72"/>
      <c r="O413" s="73"/>
      <c r="P413" s="74"/>
      <c r="Q413" s="74"/>
      <c r="R413" s="87"/>
      <c r="S413" s="87"/>
      <c r="T413" s="87"/>
      <c r="U413" s="87"/>
      <c r="V413" s="48"/>
      <c r="W413" s="48"/>
      <c r="X413" s="48"/>
      <c r="Y413" s="48"/>
      <c r="Z413" s="47"/>
      <c r="AA413" s="69">
        <v>413</v>
      </c>
      <c r="AB413" s="69"/>
      <c r="AC413" s="70"/>
      <c r="AD413" s="76" t="s">
        <v>18154</v>
      </c>
      <c r="AE413" s="81" t="s">
        <v>17623</v>
      </c>
      <c r="AF413" s="76">
        <v>55</v>
      </c>
      <c r="AG413" s="76">
        <v>119</v>
      </c>
      <c r="AH413" s="76">
        <v>744</v>
      </c>
      <c r="AI413" s="76">
        <v>9</v>
      </c>
      <c r="AJ413" s="76">
        <v>825</v>
      </c>
      <c r="AK413" s="76">
        <v>20</v>
      </c>
      <c r="AL413" s="76" t="b">
        <v>0</v>
      </c>
      <c r="AM413" s="78">
        <v>44328.995474537034</v>
      </c>
      <c r="AN413" s="76" t="s">
        <v>12021</v>
      </c>
      <c r="AO413" s="76"/>
      <c r="AP413" s="76"/>
      <c r="AQ413" s="76"/>
      <c r="AR413" s="76"/>
      <c r="AS413" s="76"/>
      <c r="AT413" s="76"/>
      <c r="AU413" s="76"/>
      <c r="AV413" s="76">
        <v>1.5907991113471401E+18</v>
      </c>
      <c r="AW413" s="76"/>
      <c r="AX413" s="76" t="b">
        <v>0</v>
      </c>
      <c r="AY413" s="76"/>
      <c r="AZ413" s="76"/>
      <c r="BA413" s="76" t="b">
        <v>1</v>
      </c>
      <c r="BB413" s="76" t="b">
        <v>1</v>
      </c>
      <c r="BC413" s="76" t="b">
        <v>1</v>
      </c>
      <c r="BD413" s="76" t="b">
        <v>0</v>
      </c>
      <c r="BE413" s="76" t="b">
        <v>0</v>
      </c>
      <c r="BF413" s="76" t="b">
        <v>0</v>
      </c>
      <c r="BG413" s="76" t="b">
        <v>0</v>
      </c>
      <c r="BH413" s="83" t="str">
        <f>HYPERLINK("https://pbs.twimg.com/profile_banners/1392628928955797514/1692277580")</f>
        <v>https://pbs.twimg.com/profile_banners/1392628928955797514/1692277580</v>
      </c>
      <c r="BI413" s="76"/>
      <c r="BJ413" s="76" t="s">
        <v>19734</v>
      </c>
      <c r="BK413" s="76" t="b">
        <v>0</v>
      </c>
      <c r="BL413" s="76"/>
      <c r="BM413" s="76" t="s">
        <v>66</v>
      </c>
      <c r="BN413" s="76" t="s">
        <v>19736</v>
      </c>
      <c r="BO413" s="83" t="str">
        <f>HYPERLINK("https://twitter.com/lucasrdgx")</f>
        <v>https://twitter.com/lucasrdgx</v>
      </c>
      <c r="BP413" s="2"/>
    </row>
    <row r="414" spans="1:68" x14ac:dyDescent="0.25">
      <c r="A414" s="62" t="s">
        <v>571</v>
      </c>
      <c r="B414" s="63"/>
      <c r="C414" s="63"/>
      <c r="D414" s="64"/>
      <c r="E414" s="66"/>
      <c r="F414" s="103" t="str">
        <f>HYPERLINK("https://pbs.twimg.com/profile_images/1577097771961679873/kiiSE3ve_normal.jpg")</f>
        <v>https://pbs.twimg.com/profile_images/1577097771961679873/kiiSE3ve_normal.jpg</v>
      </c>
      <c r="G414" s="63"/>
      <c r="H414" s="67"/>
      <c r="I414" s="68"/>
      <c r="J414" s="68"/>
      <c r="K414" s="67" t="s">
        <v>20147</v>
      </c>
      <c r="L414" s="71"/>
      <c r="M414" s="72"/>
      <c r="N414" s="72"/>
      <c r="O414" s="73"/>
      <c r="P414" s="74"/>
      <c r="Q414" s="74"/>
      <c r="R414" s="87"/>
      <c r="S414" s="87"/>
      <c r="T414" s="87"/>
      <c r="U414" s="87"/>
      <c r="V414" s="48"/>
      <c r="W414" s="48"/>
      <c r="X414" s="48"/>
      <c r="Y414" s="48"/>
      <c r="Z414" s="47"/>
      <c r="AA414" s="69">
        <v>414</v>
      </c>
      <c r="AB414" s="69"/>
      <c r="AC414" s="70"/>
      <c r="AD414" s="76" t="s">
        <v>18155</v>
      </c>
      <c r="AE414" s="81" t="s">
        <v>17624</v>
      </c>
      <c r="AF414" s="76">
        <v>3177</v>
      </c>
      <c r="AG414" s="76">
        <v>2307</v>
      </c>
      <c r="AH414" s="76">
        <v>1625</v>
      </c>
      <c r="AI414" s="76">
        <v>6</v>
      </c>
      <c r="AJ414" s="76">
        <v>804</v>
      </c>
      <c r="AK414" s="76">
        <v>256</v>
      </c>
      <c r="AL414" s="76" t="b">
        <v>0</v>
      </c>
      <c r="AM414" s="78">
        <v>42999.932002314818</v>
      </c>
      <c r="AN414" s="76" t="s">
        <v>18712</v>
      </c>
      <c r="AO414" s="76" t="s">
        <v>19142</v>
      </c>
      <c r="AP414" s="76"/>
      <c r="AQ414" s="76"/>
      <c r="AR414" s="76"/>
      <c r="AS414" s="76"/>
      <c r="AT414" s="76"/>
      <c r="AU414" s="76"/>
      <c r="AV414" s="76">
        <v>1.5647747583565801E+18</v>
      </c>
      <c r="AW414" s="76"/>
      <c r="AX414" s="76" t="b">
        <v>0</v>
      </c>
      <c r="AY414" s="76"/>
      <c r="AZ414" s="76"/>
      <c r="BA414" s="76" t="b">
        <v>1</v>
      </c>
      <c r="BB414" s="76" t="b">
        <v>0</v>
      </c>
      <c r="BC414" s="76" t="b">
        <v>1</v>
      </c>
      <c r="BD414" s="76" t="b">
        <v>0</v>
      </c>
      <c r="BE414" s="76" t="b">
        <v>1</v>
      </c>
      <c r="BF414" s="76" t="b">
        <v>0</v>
      </c>
      <c r="BG414" s="76" t="b">
        <v>0</v>
      </c>
      <c r="BH414" s="83" t="str">
        <f>HYPERLINK("https://pbs.twimg.com/profile_banners/910992556036706304/1664842024")</f>
        <v>https://pbs.twimg.com/profile_banners/910992556036706304/1664842024</v>
      </c>
      <c r="BI414" s="76"/>
      <c r="BJ414" s="76" t="s">
        <v>19734</v>
      </c>
      <c r="BK414" s="76" t="b">
        <v>0</v>
      </c>
      <c r="BL414" s="76"/>
      <c r="BM414" s="76" t="s">
        <v>66</v>
      </c>
      <c r="BN414" s="76" t="s">
        <v>19736</v>
      </c>
      <c r="BO414" s="83" t="str">
        <f>HYPERLINK("https://twitter.com/osdadosmostram")</f>
        <v>https://twitter.com/osdadosmostram</v>
      </c>
      <c r="BP414" s="2"/>
    </row>
    <row r="415" spans="1:68" x14ac:dyDescent="0.25">
      <c r="A415" s="62" t="s">
        <v>785</v>
      </c>
      <c r="B415" s="63"/>
      <c r="C415" s="63"/>
      <c r="D415" s="64"/>
      <c r="E415" s="66"/>
      <c r="F415" s="103" t="str">
        <f>HYPERLINK("https://pbs.twimg.com/profile_images/1632107825777242112/1as9tjea_normal.jpg")</f>
        <v>https://pbs.twimg.com/profile_images/1632107825777242112/1as9tjea_normal.jpg</v>
      </c>
      <c r="G415" s="63"/>
      <c r="H415" s="67"/>
      <c r="I415" s="68"/>
      <c r="J415" s="68"/>
      <c r="K415" s="67" t="s">
        <v>20148</v>
      </c>
      <c r="L415" s="71"/>
      <c r="M415" s="72"/>
      <c r="N415" s="72"/>
      <c r="O415" s="73"/>
      <c r="P415" s="74"/>
      <c r="Q415" s="74"/>
      <c r="R415" s="87"/>
      <c r="S415" s="87"/>
      <c r="T415" s="87"/>
      <c r="U415" s="87"/>
      <c r="V415" s="48"/>
      <c r="W415" s="48"/>
      <c r="X415" s="48"/>
      <c r="Y415" s="48"/>
      <c r="Z415" s="47"/>
      <c r="AA415" s="69">
        <v>415</v>
      </c>
      <c r="AB415" s="69"/>
      <c r="AC415" s="70"/>
      <c r="AD415" s="76" t="s">
        <v>18156</v>
      </c>
      <c r="AE415" s="81" t="s">
        <v>17365</v>
      </c>
      <c r="AF415" s="76">
        <v>115</v>
      </c>
      <c r="AG415" s="76">
        <v>147</v>
      </c>
      <c r="AH415" s="76">
        <v>4171</v>
      </c>
      <c r="AI415" s="76">
        <v>2</v>
      </c>
      <c r="AJ415" s="76">
        <v>61</v>
      </c>
      <c r="AK415" s="76">
        <v>63</v>
      </c>
      <c r="AL415" s="76" t="b">
        <v>0</v>
      </c>
      <c r="AM415" s="78">
        <v>39993.954143518517</v>
      </c>
      <c r="AN415" s="76"/>
      <c r="AO415" s="76" t="s">
        <v>19143</v>
      </c>
      <c r="AP415" s="76"/>
      <c r="AQ415" s="76"/>
      <c r="AR415" s="76"/>
      <c r="AS415" s="76"/>
      <c r="AT415" s="76"/>
      <c r="AU415" s="76"/>
      <c r="AV415" s="76"/>
      <c r="AW415" s="76"/>
      <c r="AX415" s="76" t="b">
        <v>0</v>
      </c>
      <c r="AY415" s="76"/>
      <c r="AZ415" s="76"/>
      <c r="BA415" s="76" t="b">
        <v>0</v>
      </c>
      <c r="BB415" s="76" t="b">
        <v>0</v>
      </c>
      <c r="BC415" s="76" t="b">
        <v>0</v>
      </c>
      <c r="BD415" s="76" t="b">
        <v>0</v>
      </c>
      <c r="BE415" s="76" t="b">
        <v>0</v>
      </c>
      <c r="BF415" s="76" t="b">
        <v>0</v>
      </c>
      <c r="BG415" s="76" t="b">
        <v>0</v>
      </c>
      <c r="BH415" s="76"/>
      <c r="BI415" s="76"/>
      <c r="BJ415" s="76" t="s">
        <v>19734</v>
      </c>
      <c r="BK415" s="76" t="b">
        <v>0</v>
      </c>
      <c r="BL415" s="76"/>
      <c r="BM415" s="76" t="s">
        <v>65</v>
      </c>
      <c r="BN415" s="76" t="s">
        <v>19736</v>
      </c>
      <c r="BO415" s="83" t="str">
        <f>HYPERLINK("https://twitter.com/getthejb")</f>
        <v>https://twitter.com/getthejb</v>
      </c>
      <c r="BP415" s="2"/>
    </row>
    <row r="416" spans="1:68" x14ac:dyDescent="0.25">
      <c r="A416" s="62" t="s">
        <v>786</v>
      </c>
      <c r="B416" s="63"/>
      <c r="C416" s="63"/>
      <c r="D416" s="64"/>
      <c r="E416" s="66"/>
      <c r="F416" s="103" t="str">
        <f>HYPERLINK("https://pbs.twimg.com/profile_images/1707074489220009984/KMgepM0z_normal.jpg")</f>
        <v>https://pbs.twimg.com/profile_images/1707074489220009984/KMgepM0z_normal.jpg</v>
      </c>
      <c r="G416" s="63"/>
      <c r="H416" s="67"/>
      <c r="I416" s="68"/>
      <c r="J416" s="68"/>
      <c r="K416" s="67" t="s">
        <v>20149</v>
      </c>
      <c r="L416" s="71"/>
      <c r="M416" s="72"/>
      <c r="N416" s="72"/>
      <c r="O416" s="73"/>
      <c r="P416" s="74"/>
      <c r="Q416" s="74"/>
      <c r="R416" s="87"/>
      <c r="S416" s="87"/>
      <c r="T416" s="87"/>
      <c r="U416" s="87"/>
      <c r="V416" s="48"/>
      <c r="W416" s="48"/>
      <c r="X416" s="48"/>
      <c r="Y416" s="48"/>
      <c r="Z416" s="47"/>
      <c r="AA416" s="69">
        <v>416</v>
      </c>
      <c r="AB416" s="69"/>
      <c r="AC416" s="70"/>
      <c r="AD416" s="76" t="s">
        <v>18157</v>
      </c>
      <c r="AE416" s="81" t="s">
        <v>18487</v>
      </c>
      <c r="AF416" s="76">
        <v>0</v>
      </c>
      <c r="AG416" s="76">
        <v>0</v>
      </c>
      <c r="AH416" s="76">
        <v>33</v>
      </c>
      <c r="AI416" s="76">
        <v>1</v>
      </c>
      <c r="AJ416" s="76">
        <v>483</v>
      </c>
      <c r="AK416" s="76">
        <v>207</v>
      </c>
      <c r="AL416" s="76" t="b">
        <v>0</v>
      </c>
      <c r="AM416" s="78">
        <v>39150.132789351854</v>
      </c>
      <c r="AN416" s="76"/>
      <c r="AO416" s="76"/>
      <c r="AP416" s="76"/>
      <c r="AQ416" s="76"/>
      <c r="AR416" s="76"/>
      <c r="AS416" s="76"/>
      <c r="AT416" s="76"/>
      <c r="AU416" s="76"/>
      <c r="AV416" s="76"/>
      <c r="AW416" s="76"/>
      <c r="AX416" s="76" t="b">
        <v>0</v>
      </c>
      <c r="AY416" s="76"/>
      <c r="AZ416" s="76"/>
      <c r="BA416" s="76" t="b">
        <v>0</v>
      </c>
      <c r="BB416" s="76" t="b">
        <v>0</v>
      </c>
      <c r="BC416" s="76" t="b">
        <v>0</v>
      </c>
      <c r="BD416" s="76" t="b">
        <v>0</v>
      </c>
      <c r="BE416" s="76" t="b">
        <v>0</v>
      </c>
      <c r="BF416" s="76" t="b">
        <v>0</v>
      </c>
      <c r="BG416" s="76" t="b">
        <v>0</v>
      </c>
      <c r="BH416" s="83" t="str">
        <f>HYPERLINK("https://pbs.twimg.com/profile_banners/823982/1694480000")</f>
        <v>https://pbs.twimg.com/profile_banners/823982/1694480000</v>
      </c>
      <c r="BI416" s="76"/>
      <c r="BJ416" s="76" t="s">
        <v>19734</v>
      </c>
      <c r="BK416" s="76" t="b">
        <v>0</v>
      </c>
      <c r="BL416" s="76"/>
      <c r="BM416" s="76" t="s">
        <v>65</v>
      </c>
      <c r="BN416" s="76" t="s">
        <v>19736</v>
      </c>
      <c r="BO416" s="83" t="str">
        <f>HYPERLINK("https://twitter.com/b3")</f>
        <v>https://twitter.com/b3</v>
      </c>
      <c r="BP416" s="2"/>
    </row>
    <row r="417" spans="1:68" x14ac:dyDescent="0.25">
      <c r="A417" s="62" t="s">
        <v>787</v>
      </c>
      <c r="B417" s="63"/>
      <c r="C417" s="63"/>
      <c r="D417" s="64"/>
      <c r="E417" s="66"/>
      <c r="F417" s="103" t="str">
        <f>HYPERLINK("https://pbs.twimg.com/profile_images/1398660277609115653/1ML43SvB_normal.jpg")</f>
        <v>https://pbs.twimg.com/profile_images/1398660277609115653/1ML43SvB_normal.jpg</v>
      </c>
      <c r="G417" s="63"/>
      <c r="H417" s="67"/>
      <c r="I417" s="68"/>
      <c r="J417" s="68"/>
      <c r="K417" s="67" t="s">
        <v>20150</v>
      </c>
      <c r="L417" s="71"/>
      <c r="M417" s="72"/>
      <c r="N417" s="72"/>
      <c r="O417" s="73"/>
      <c r="P417" s="74"/>
      <c r="Q417" s="74"/>
      <c r="R417" s="87"/>
      <c r="S417" s="87"/>
      <c r="T417" s="87"/>
      <c r="U417" s="87"/>
      <c r="V417" s="48"/>
      <c r="W417" s="48"/>
      <c r="X417" s="48"/>
      <c r="Y417" s="48"/>
      <c r="Z417" s="47"/>
      <c r="AA417" s="69">
        <v>417</v>
      </c>
      <c r="AB417" s="69"/>
      <c r="AC417" s="70"/>
      <c r="AD417" s="76" t="s">
        <v>18158</v>
      </c>
      <c r="AE417" s="81" t="s">
        <v>18488</v>
      </c>
      <c r="AF417" s="76">
        <v>48</v>
      </c>
      <c r="AG417" s="76">
        <v>377</v>
      </c>
      <c r="AH417" s="76">
        <v>270</v>
      </c>
      <c r="AI417" s="76">
        <v>1</v>
      </c>
      <c r="AJ417" s="76">
        <v>1094</v>
      </c>
      <c r="AK417" s="76">
        <v>9</v>
      </c>
      <c r="AL417" s="76" t="b">
        <v>0</v>
      </c>
      <c r="AM417" s="78">
        <v>44345.638321759259</v>
      </c>
      <c r="AN417" s="76"/>
      <c r="AO417" s="76"/>
      <c r="AP417" s="76"/>
      <c r="AQ417" s="76"/>
      <c r="AR417" s="76"/>
      <c r="AS417" s="76"/>
      <c r="AT417" s="76"/>
      <c r="AU417" s="76"/>
      <c r="AV417" s="76"/>
      <c r="AW417" s="76"/>
      <c r="AX417" s="76" t="b">
        <v>0</v>
      </c>
      <c r="AY417" s="76"/>
      <c r="AZ417" s="76"/>
      <c r="BA417" s="76" t="b">
        <v>0</v>
      </c>
      <c r="BB417" s="76" t="b">
        <v>1</v>
      </c>
      <c r="BC417" s="76" t="b">
        <v>1</v>
      </c>
      <c r="BD417" s="76" t="b">
        <v>0</v>
      </c>
      <c r="BE417" s="76" t="b">
        <v>1</v>
      </c>
      <c r="BF417" s="76" t="b">
        <v>0</v>
      </c>
      <c r="BG417" s="76" t="b">
        <v>0</v>
      </c>
      <c r="BH417" s="76"/>
      <c r="BI417" s="76"/>
      <c r="BJ417" s="76" t="s">
        <v>19734</v>
      </c>
      <c r="BK417" s="76" t="b">
        <v>0</v>
      </c>
      <c r="BL417" s="76"/>
      <c r="BM417" s="76" t="s">
        <v>65</v>
      </c>
      <c r="BN417" s="76" t="s">
        <v>19736</v>
      </c>
      <c r="BO417" s="83" t="str">
        <f>HYPERLINK("https://twitter.com/viniciu06354450")</f>
        <v>https://twitter.com/viniciu06354450</v>
      </c>
      <c r="BP417" s="2"/>
    </row>
    <row r="418" spans="1:68" x14ac:dyDescent="0.25">
      <c r="A418" s="62" t="s">
        <v>788</v>
      </c>
      <c r="B418" s="63"/>
      <c r="C418" s="63"/>
      <c r="D418" s="64"/>
      <c r="E418" s="66"/>
      <c r="F418" s="103" t="str">
        <f>HYPERLINK("https://pbs.twimg.com/profile_images/521292763950637056/txQV9DuY_normal.jpeg")</f>
        <v>https://pbs.twimg.com/profile_images/521292763950637056/txQV9DuY_normal.jpeg</v>
      </c>
      <c r="G418" s="63"/>
      <c r="H418" s="67"/>
      <c r="I418" s="68"/>
      <c r="J418" s="68"/>
      <c r="K418" s="67" t="s">
        <v>20151</v>
      </c>
      <c r="L418" s="71"/>
      <c r="M418" s="72"/>
      <c r="N418" s="72"/>
      <c r="O418" s="73"/>
      <c r="P418" s="74"/>
      <c r="Q418" s="74"/>
      <c r="R418" s="87"/>
      <c r="S418" s="87"/>
      <c r="T418" s="87"/>
      <c r="U418" s="87"/>
      <c r="V418" s="48"/>
      <c r="W418" s="48"/>
      <c r="X418" s="48"/>
      <c r="Y418" s="48"/>
      <c r="Z418" s="47"/>
      <c r="AA418" s="69">
        <v>418</v>
      </c>
      <c r="AB418" s="69"/>
      <c r="AC418" s="70"/>
      <c r="AD418" s="76" t="s">
        <v>18159</v>
      </c>
      <c r="AE418" s="81" t="s">
        <v>17366</v>
      </c>
      <c r="AF418" s="76">
        <v>124</v>
      </c>
      <c r="AG418" s="76">
        <v>1416</v>
      </c>
      <c r="AH418" s="76">
        <v>2005</v>
      </c>
      <c r="AI418" s="76">
        <v>0</v>
      </c>
      <c r="AJ418" s="76">
        <v>33398</v>
      </c>
      <c r="AK418" s="76">
        <v>81</v>
      </c>
      <c r="AL418" s="76" t="b">
        <v>0</v>
      </c>
      <c r="AM418" s="78">
        <v>41924.555775462963</v>
      </c>
      <c r="AN418" s="76" t="s">
        <v>12040</v>
      </c>
      <c r="AO418" s="76"/>
      <c r="AP418" s="76"/>
      <c r="AQ418" s="76"/>
      <c r="AR418" s="76"/>
      <c r="AS418" s="76"/>
      <c r="AT418" s="76"/>
      <c r="AU418" s="76"/>
      <c r="AV418" s="76"/>
      <c r="AW418" s="76"/>
      <c r="AX418" s="76" t="b">
        <v>0</v>
      </c>
      <c r="AY418" s="76"/>
      <c r="AZ418" s="76"/>
      <c r="BA418" s="76" t="b">
        <v>0</v>
      </c>
      <c r="BB418" s="76" t="b">
        <v>1</v>
      </c>
      <c r="BC418" s="76" t="b">
        <v>0</v>
      </c>
      <c r="BD418" s="76" t="b">
        <v>0</v>
      </c>
      <c r="BE418" s="76" t="b">
        <v>0</v>
      </c>
      <c r="BF418" s="76" t="b">
        <v>0</v>
      </c>
      <c r="BG418" s="76" t="b">
        <v>0</v>
      </c>
      <c r="BH418" s="83" t="str">
        <f>HYPERLINK("https://pbs.twimg.com/profile_banners/2825034016/1413153853")</f>
        <v>https://pbs.twimg.com/profile_banners/2825034016/1413153853</v>
      </c>
      <c r="BI418" s="76"/>
      <c r="BJ418" s="76" t="s">
        <v>19734</v>
      </c>
      <c r="BK418" s="76" t="b">
        <v>0</v>
      </c>
      <c r="BL418" s="76"/>
      <c r="BM418" s="76" t="s">
        <v>65</v>
      </c>
      <c r="BN418" s="76" t="s">
        <v>19736</v>
      </c>
      <c r="BO418" s="83" t="str">
        <f>HYPERLINK("https://twitter.com/feantonioli21")</f>
        <v>https://twitter.com/feantonioli21</v>
      </c>
      <c r="BP418" s="2"/>
    </row>
    <row r="419" spans="1:68" x14ac:dyDescent="0.25">
      <c r="A419" s="62" t="s">
        <v>572</v>
      </c>
      <c r="B419" s="63"/>
      <c r="C419" s="63"/>
      <c r="D419" s="64"/>
      <c r="E419" s="66"/>
      <c r="F419" s="103" t="str">
        <f>HYPERLINK("https://pbs.twimg.com/profile_images/1587115240214462474/Z_rJqBTq_normal.jpg")</f>
        <v>https://pbs.twimg.com/profile_images/1587115240214462474/Z_rJqBTq_normal.jpg</v>
      </c>
      <c r="G419" s="63"/>
      <c r="H419" s="67"/>
      <c r="I419" s="68"/>
      <c r="J419" s="68"/>
      <c r="K419" s="67" t="s">
        <v>20152</v>
      </c>
      <c r="L419" s="71"/>
      <c r="M419" s="72"/>
      <c r="N419" s="72"/>
      <c r="O419" s="73"/>
      <c r="P419" s="74"/>
      <c r="Q419" s="74"/>
      <c r="R419" s="87"/>
      <c r="S419" s="87"/>
      <c r="T419" s="87"/>
      <c r="U419" s="87"/>
      <c r="V419" s="48"/>
      <c r="W419" s="48"/>
      <c r="X419" s="48"/>
      <c r="Y419" s="48"/>
      <c r="Z419" s="47"/>
      <c r="AA419" s="69">
        <v>419</v>
      </c>
      <c r="AB419" s="69"/>
      <c r="AC419" s="70"/>
      <c r="AD419" s="76" t="s">
        <v>18160</v>
      </c>
      <c r="AE419" s="81" t="s">
        <v>17625</v>
      </c>
      <c r="AF419" s="76">
        <v>26578</v>
      </c>
      <c r="AG419" s="76">
        <v>2239</v>
      </c>
      <c r="AH419" s="76">
        <v>13095</v>
      </c>
      <c r="AI419" s="76">
        <v>1</v>
      </c>
      <c r="AJ419" s="76">
        <v>1451</v>
      </c>
      <c r="AK419" s="76">
        <v>6823</v>
      </c>
      <c r="AL419" s="76" t="b">
        <v>0</v>
      </c>
      <c r="AM419" s="78">
        <v>42502.014236111114</v>
      </c>
      <c r="AN419" s="76" t="s">
        <v>18713</v>
      </c>
      <c r="AO419" s="76" t="s">
        <v>19144</v>
      </c>
      <c r="AP419" s="83" t="str">
        <f>HYPERLINK("https://t.co/NCz7Lfa6hW")</f>
        <v>https://t.co/NCz7Lfa6hW</v>
      </c>
      <c r="AQ419" s="83" t="str">
        <f>HYPERLINK("https://jadsonlima.taplink.ws")</f>
        <v>https://jadsonlima.taplink.ws</v>
      </c>
      <c r="AR419" s="76" t="s">
        <v>19551</v>
      </c>
      <c r="AS419" s="83" t="str">
        <f>HYPERLINK("https://t.co/UHmcBoNW5O")</f>
        <v>https://t.co/UHmcBoNW5O</v>
      </c>
      <c r="AT419" s="83" t="str">
        <f>HYPERLINK("https://brasilempauta.com")</f>
        <v>https://brasilempauta.com</v>
      </c>
      <c r="AU419" s="76" t="s">
        <v>19722</v>
      </c>
      <c r="AV419" s="76">
        <v>1.6562881933128699E+18</v>
      </c>
      <c r="AW419" s="83" t="str">
        <f>HYPERLINK("https://t.co/NCz7Lfa6hW")</f>
        <v>https://t.co/NCz7Lfa6hW</v>
      </c>
      <c r="AX419" s="76" t="b">
        <v>0</v>
      </c>
      <c r="AY419" s="76"/>
      <c r="AZ419" s="76"/>
      <c r="BA419" s="76" t="b">
        <v>0</v>
      </c>
      <c r="BB419" s="76" t="b">
        <v>1</v>
      </c>
      <c r="BC419" s="76" t="b">
        <v>0</v>
      </c>
      <c r="BD419" s="76" t="b">
        <v>0</v>
      </c>
      <c r="BE419" s="76" t="b">
        <v>1</v>
      </c>
      <c r="BF419" s="76" t="b">
        <v>0</v>
      </c>
      <c r="BG419" s="76" t="b">
        <v>0</v>
      </c>
      <c r="BH419" s="83" t="str">
        <f>HYPERLINK("https://pbs.twimg.com/profile_banners/730553197584998400/1667232736")</f>
        <v>https://pbs.twimg.com/profile_banners/730553197584998400/1667232736</v>
      </c>
      <c r="BI419" s="76"/>
      <c r="BJ419" s="76" t="s">
        <v>19734</v>
      </c>
      <c r="BK419" s="76" t="b">
        <v>0</v>
      </c>
      <c r="BL419" s="76"/>
      <c r="BM419" s="76" t="s">
        <v>66</v>
      </c>
      <c r="BN419" s="76" t="s">
        <v>19736</v>
      </c>
      <c r="BO419" s="83" t="str">
        <f>HYPERLINK("https://twitter.com/jadsonlimanovo")</f>
        <v>https://twitter.com/jadsonlimanovo</v>
      </c>
      <c r="BP419" s="2"/>
    </row>
    <row r="420" spans="1:68" x14ac:dyDescent="0.25">
      <c r="A420" s="62" t="s">
        <v>573</v>
      </c>
      <c r="B420" s="63"/>
      <c r="C420" s="63"/>
      <c r="D420" s="64"/>
      <c r="E420" s="66"/>
      <c r="F420" s="103" t="str">
        <f>HYPERLINK("https://pbs.twimg.com/profile_images/1621996204325277699/phtn6C0w_normal.jpg")</f>
        <v>https://pbs.twimg.com/profile_images/1621996204325277699/phtn6C0w_normal.jpg</v>
      </c>
      <c r="G420" s="63"/>
      <c r="H420" s="67"/>
      <c r="I420" s="68"/>
      <c r="J420" s="68"/>
      <c r="K420" s="67" t="s">
        <v>20153</v>
      </c>
      <c r="L420" s="71"/>
      <c r="M420" s="72"/>
      <c r="N420" s="72"/>
      <c r="O420" s="73"/>
      <c r="P420" s="74"/>
      <c r="Q420" s="74"/>
      <c r="R420" s="87"/>
      <c r="S420" s="87"/>
      <c r="T420" s="87"/>
      <c r="U420" s="87"/>
      <c r="V420" s="48"/>
      <c r="W420" s="48"/>
      <c r="X420" s="48"/>
      <c r="Y420" s="48"/>
      <c r="Z420" s="47"/>
      <c r="AA420" s="69">
        <v>420</v>
      </c>
      <c r="AB420" s="69"/>
      <c r="AC420" s="70"/>
      <c r="AD420" s="76" t="s">
        <v>18161</v>
      </c>
      <c r="AE420" s="81" t="s">
        <v>18489</v>
      </c>
      <c r="AF420" s="76">
        <v>9314</v>
      </c>
      <c r="AG420" s="76">
        <v>1407</v>
      </c>
      <c r="AH420" s="76">
        <v>17306</v>
      </c>
      <c r="AI420" s="76">
        <v>53</v>
      </c>
      <c r="AJ420" s="76">
        <v>51</v>
      </c>
      <c r="AK420" s="76">
        <v>1909</v>
      </c>
      <c r="AL420" s="76" t="b">
        <v>0</v>
      </c>
      <c r="AM420" s="78">
        <v>39936.055451388886</v>
      </c>
      <c r="AN420" s="76" t="s">
        <v>18714</v>
      </c>
      <c r="AO420" s="76" t="s">
        <v>19145</v>
      </c>
      <c r="AP420" s="83" t="str">
        <f>HYPERLINK("https://t.co/6rxkieoB08")</f>
        <v>https://t.co/6rxkieoB08</v>
      </c>
      <c r="AQ420" s="83" t="str">
        <f>HYPERLINK("https://www.aulaplus.com.br")</f>
        <v>https://www.aulaplus.com.br</v>
      </c>
      <c r="AR420" s="76" t="s">
        <v>19552</v>
      </c>
      <c r="AS420" s="83" t="str">
        <f>HYPERLINK("https://t.co/6rxkieoB08")</f>
        <v>https://t.co/6rxkieoB08</v>
      </c>
      <c r="AT420" s="83" t="str">
        <f>HYPERLINK("https://www.aulaplus.com.br")</f>
        <v>https://www.aulaplus.com.br</v>
      </c>
      <c r="AU420" s="76" t="s">
        <v>19552</v>
      </c>
      <c r="AV420" s="76">
        <v>1.6457661618527099E+18</v>
      </c>
      <c r="AW420" s="83" t="str">
        <f>HYPERLINK("https://t.co/6rxkieoB08")</f>
        <v>https://t.co/6rxkieoB08</v>
      </c>
      <c r="AX420" s="76" t="b">
        <v>0</v>
      </c>
      <c r="AY420" s="76"/>
      <c r="AZ420" s="76"/>
      <c r="BA420" s="76" t="b">
        <v>0</v>
      </c>
      <c r="BB420" s="76" t="b">
        <v>0</v>
      </c>
      <c r="BC420" s="76" t="b">
        <v>0</v>
      </c>
      <c r="BD420" s="76" t="b">
        <v>0</v>
      </c>
      <c r="BE420" s="76" t="b">
        <v>1</v>
      </c>
      <c r="BF420" s="76" t="b">
        <v>0</v>
      </c>
      <c r="BG420" s="76" t="b">
        <v>0</v>
      </c>
      <c r="BH420" s="83" t="str">
        <f>HYPERLINK("https://pbs.twimg.com/profile_banners/37329759/1674341536")</f>
        <v>https://pbs.twimg.com/profile_banners/37329759/1674341536</v>
      </c>
      <c r="BI420" s="76"/>
      <c r="BJ420" s="76" t="s">
        <v>19734</v>
      </c>
      <c r="BK420" s="76" t="b">
        <v>0</v>
      </c>
      <c r="BL420" s="76"/>
      <c r="BM420" s="76" t="s">
        <v>66</v>
      </c>
      <c r="BN420" s="76" t="s">
        <v>19736</v>
      </c>
      <c r="BO420" s="83" t="str">
        <f>HYPERLINK("https://twitter.com/aulaplusbr")</f>
        <v>https://twitter.com/aulaplusbr</v>
      </c>
      <c r="BP420" s="2"/>
    </row>
    <row r="421" spans="1:68" x14ac:dyDescent="0.25">
      <c r="A421" s="62" t="s">
        <v>574</v>
      </c>
      <c r="B421" s="63"/>
      <c r="C421" s="63"/>
      <c r="D421" s="64"/>
      <c r="E421" s="66"/>
      <c r="F421" s="103" t="str">
        <f>HYPERLINK("https://pbs.twimg.com/profile_images/1305284326922297346/F7hVCaei_normal.jpg")</f>
        <v>https://pbs.twimg.com/profile_images/1305284326922297346/F7hVCaei_normal.jpg</v>
      </c>
      <c r="G421" s="63"/>
      <c r="H421" s="67"/>
      <c r="I421" s="68"/>
      <c r="J421" s="68"/>
      <c r="K421" s="67" t="s">
        <v>20154</v>
      </c>
      <c r="L421" s="71"/>
      <c r="M421" s="72"/>
      <c r="N421" s="72"/>
      <c r="O421" s="73"/>
      <c r="P421" s="74"/>
      <c r="Q421" s="74"/>
      <c r="R421" s="87"/>
      <c r="S421" s="87"/>
      <c r="T421" s="87"/>
      <c r="U421" s="87"/>
      <c r="V421" s="48"/>
      <c r="W421" s="48"/>
      <c r="X421" s="48"/>
      <c r="Y421" s="48"/>
      <c r="Z421" s="47"/>
      <c r="AA421" s="69">
        <v>421</v>
      </c>
      <c r="AB421" s="69"/>
      <c r="AC421" s="70"/>
      <c r="AD421" s="76" t="s">
        <v>18162</v>
      </c>
      <c r="AE421" s="81" t="s">
        <v>17626</v>
      </c>
      <c r="AF421" s="76">
        <v>77039</v>
      </c>
      <c r="AG421" s="76">
        <v>89</v>
      </c>
      <c r="AH421" s="76">
        <v>8183</v>
      </c>
      <c r="AI421" s="76">
        <v>717</v>
      </c>
      <c r="AJ421" s="76">
        <v>1185</v>
      </c>
      <c r="AK421" s="76">
        <v>1439</v>
      </c>
      <c r="AL421" s="76" t="b">
        <v>0</v>
      </c>
      <c r="AM421" s="78">
        <v>42745.545451388891</v>
      </c>
      <c r="AN421" s="76" t="s">
        <v>12014</v>
      </c>
      <c r="AO421" s="76" t="s">
        <v>19146</v>
      </c>
      <c r="AP421" s="83" t="str">
        <f>HYPERLINK("https://t.co/TsQ0g82CBc")</f>
        <v>https://t.co/TsQ0g82CBc</v>
      </c>
      <c r="AQ421" s="83" t="str">
        <f>HYPERLINK("http://www.btgpactual.com")</f>
        <v>http://www.btgpactual.com</v>
      </c>
      <c r="AR421" s="76" t="s">
        <v>19553</v>
      </c>
      <c r="AS421" s="83" t="str">
        <f>HYPERLINK("https://t.co/i02fVRPwBC")</f>
        <v>https://t.co/i02fVRPwBC</v>
      </c>
      <c r="AT421" s="83" t="str">
        <f>HYPERLINK("http://l.btgpactual.com/abrasuaconta")</f>
        <v>http://l.btgpactual.com/abrasuaconta</v>
      </c>
      <c r="AU421" s="76" t="s">
        <v>19723</v>
      </c>
      <c r="AV421" s="76">
        <v>1.70740983283438E+18</v>
      </c>
      <c r="AW421" s="83" t="str">
        <f>HYPERLINK("https://t.co/TsQ0g82CBc")</f>
        <v>https://t.co/TsQ0g82CBc</v>
      </c>
      <c r="AX421" s="76" t="b">
        <v>0</v>
      </c>
      <c r="AY421" s="76"/>
      <c r="AZ421" s="76"/>
      <c r="BA421" s="76" t="b">
        <v>1</v>
      </c>
      <c r="BB421" s="76" t="b">
        <v>1</v>
      </c>
      <c r="BC421" s="76" t="b">
        <v>1</v>
      </c>
      <c r="BD421" s="76" t="b">
        <v>0</v>
      </c>
      <c r="BE421" s="76" t="b">
        <v>1</v>
      </c>
      <c r="BF421" s="76" t="b">
        <v>0</v>
      </c>
      <c r="BG421" s="76" t="b">
        <v>0</v>
      </c>
      <c r="BH421" s="83" t="str">
        <f>HYPERLINK("https://pbs.twimg.com/profile_banners/818805955609657344/1695646414")</f>
        <v>https://pbs.twimg.com/profile_banners/818805955609657344/1695646414</v>
      </c>
      <c r="BI421" s="76"/>
      <c r="BJ421" s="76" t="s">
        <v>19734</v>
      </c>
      <c r="BK421" s="76" t="b">
        <v>0</v>
      </c>
      <c r="BL421" s="76"/>
      <c r="BM421" s="76" t="s">
        <v>66</v>
      </c>
      <c r="BN421" s="76" t="s">
        <v>19736</v>
      </c>
      <c r="BO421" s="83" t="str">
        <f>HYPERLINK("https://twitter.com/btgpactual")</f>
        <v>https://twitter.com/btgpactual</v>
      </c>
      <c r="BP421" s="2"/>
    </row>
    <row r="422" spans="1:68" x14ac:dyDescent="0.25">
      <c r="A422" s="62" t="s">
        <v>575</v>
      </c>
      <c r="B422" s="63"/>
      <c r="C422" s="63"/>
      <c r="D422" s="64"/>
      <c r="E422" s="66"/>
      <c r="F422" s="103" t="str">
        <f>HYPERLINK("https://pbs.twimg.com/profile_images/1704843875527819264/E5cHKiWx_normal.jpg")</f>
        <v>https://pbs.twimg.com/profile_images/1704843875527819264/E5cHKiWx_normal.jpg</v>
      </c>
      <c r="G422" s="63"/>
      <c r="H422" s="67"/>
      <c r="I422" s="68"/>
      <c r="J422" s="68"/>
      <c r="K422" s="67" t="s">
        <v>20155</v>
      </c>
      <c r="L422" s="71"/>
      <c r="M422" s="72"/>
      <c r="N422" s="72"/>
      <c r="O422" s="73"/>
      <c r="P422" s="74"/>
      <c r="Q422" s="74"/>
      <c r="R422" s="87"/>
      <c r="S422" s="87"/>
      <c r="T422" s="87"/>
      <c r="U422" s="87"/>
      <c r="V422" s="48"/>
      <c r="W422" s="48"/>
      <c r="X422" s="48"/>
      <c r="Y422" s="48"/>
      <c r="Z422" s="47"/>
      <c r="AA422" s="69">
        <v>422</v>
      </c>
      <c r="AB422" s="69"/>
      <c r="AC422" s="70"/>
      <c r="AD422" s="76" t="s">
        <v>18163</v>
      </c>
      <c r="AE422" s="81" t="s">
        <v>18490</v>
      </c>
      <c r="AF422" s="76">
        <v>149</v>
      </c>
      <c r="AG422" s="76">
        <v>76</v>
      </c>
      <c r="AH422" s="76">
        <v>2156</v>
      </c>
      <c r="AI422" s="76">
        <v>5</v>
      </c>
      <c r="AJ422" s="76">
        <v>1154</v>
      </c>
      <c r="AK422" s="76">
        <v>150</v>
      </c>
      <c r="AL422" s="76" t="b">
        <v>0</v>
      </c>
      <c r="AM422" s="78">
        <v>42296.798414351855</v>
      </c>
      <c r="AN422" s="76" t="s">
        <v>12007</v>
      </c>
      <c r="AO422" s="76" t="s">
        <v>19147</v>
      </c>
      <c r="AP422" s="83" t="str">
        <f>HYPERLINK("https://t.co/dokWaSwdo7")</f>
        <v>https://t.co/dokWaSwdo7</v>
      </c>
      <c r="AQ422" s="83" t="str">
        <f>HYPERLINK("http://linktr.ee/investidoremvalor")</f>
        <v>http://linktr.ee/investidoremvalor</v>
      </c>
      <c r="AR422" s="76" t="s">
        <v>19554</v>
      </c>
      <c r="AS422" s="76"/>
      <c r="AT422" s="76"/>
      <c r="AU422" s="76"/>
      <c r="AV422" s="76"/>
      <c r="AW422" s="83" t="str">
        <f>HYPERLINK("https://t.co/dokWaSwdo7")</f>
        <v>https://t.co/dokWaSwdo7</v>
      </c>
      <c r="AX422" s="76" t="b">
        <v>0</v>
      </c>
      <c r="AY422" s="76"/>
      <c r="AZ422" s="76"/>
      <c r="BA422" s="76" t="b">
        <v>0</v>
      </c>
      <c r="BB422" s="76" t="b">
        <v>1</v>
      </c>
      <c r="BC422" s="76" t="b">
        <v>0</v>
      </c>
      <c r="BD422" s="76" t="b">
        <v>0</v>
      </c>
      <c r="BE422" s="76" t="b">
        <v>1</v>
      </c>
      <c r="BF422" s="76" t="b">
        <v>0</v>
      </c>
      <c r="BG422" s="76" t="b">
        <v>0</v>
      </c>
      <c r="BH422" s="83" t="str">
        <f>HYPERLINK("https://pbs.twimg.com/profile_banners/3996540737/1563845859")</f>
        <v>https://pbs.twimg.com/profile_banners/3996540737/1563845859</v>
      </c>
      <c r="BI422" s="76"/>
      <c r="BJ422" s="76" t="s">
        <v>19734</v>
      </c>
      <c r="BK422" s="76" t="b">
        <v>0</v>
      </c>
      <c r="BL422" s="76"/>
      <c r="BM422" s="76" t="s">
        <v>66</v>
      </c>
      <c r="BN422" s="76" t="s">
        <v>19736</v>
      </c>
      <c r="BO422" s="83" t="str">
        <f>HYPERLINK("https://twitter.com/investemvalor")</f>
        <v>https://twitter.com/investemvalor</v>
      </c>
      <c r="BP422" s="2"/>
    </row>
    <row r="423" spans="1:68" x14ac:dyDescent="0.25">
      <c r="A423" s="62" t="s">
        <v>576</v>
      </c>
      <c r="B423" s="63"/>
      <c r="C423" s="63"/>
      <c r="D423" s="64"/>
      <c r="E423" s="66"/>
      <c r="F423" s="103" t="str">
        <f>HYPERLINK("https://pbs.twimg.com/profile_images/1701638001615331328/8HNb7Bam_normal.jpg")</f>
        <v>https://pbs.twimg.com/profile_images/1701638001615331328/8HNb7Bam_normal.jpg</v>
      </c>
      <c r="G423" s="63"/>
      <c r="H423" s="67"/>
      <c r="I423" s="68"/>
      <c r="J423" s="68"/>
      <c r="K423" s="67" t="s">
        <v>20156</v>
      </c>
      <c r="L423" s="71"/>
      <c r="M423" s="72"/>
      <c r="N423" s="72"/>
      <c r="O423" s="73"/>
      <c r="P423" s="74"/>
      <c r="Q423" s="74"/>
      <c r="R423" s="87"/>
      <c r="S423" s="87"/>
      <c r="T423" s="87"/>
      <c r="U423" s="87"/>
      <c r="V423" s="48"/>
      <c r="W423" s="48"/>
      <c r="X423" s="48"/>
      <c r="Y423" s="48"/>
      <c r="Z423" s="47"/>
      <c r="AA423" s="69">
        <v>423</v>
      </c>
      <c r="AB423" s="69"/>
      <c r="AC423" s="70"/>
      <c r="AD423" s="76" t="s">
        <v>18164</v>
      </c>
      <c r="AE423" s="81" t="s">
        <v>17627</v>
      </c>
      <c r="AF423" s="76">
        <v>515</v>
      </c>
      <c r="AG423" s="76">
        <v>1574</v>
      </c>
      <c r="AH423" s="76">
        <v>865</v>
      </c>
      <c r="AI423" s="76">
        <v>4</v>
      </c>
      <c r="AJ423" s="76">
        <v>1011</v>
      </c>
      <c r="AK423" s="76">
        <v>248</v>
      </c>
      <c r="AL423" s="76" t="b">
        <v>0</v>
      </c>
      <c r="AM423" s="78">
        <v>45040.500196759262</v>
      </c>
      <c r="AN423" s="76" t="s">
        <v>18715</v>
      </c>
      <c r="AO423" s="76" t="s">
        <v>19148</v>
      </c>
      <c r="AP423" s="76"/>
      <c r="AQ423" s="76"/>
      <c r="AR423" s="76"/>
      <c r="AS423" s="76"/>
      <c r="AT423" s="76"/>
      <c r="AU423" s="76"/>
      <c r="AV423" s="76">
        <v>1.7031387765899599E+18</v>
      </c>
      <c r="AW423" s="76"/>
      <c r="AX423" s="76" t="b">
        <v>1</v>
      </c>
      <c r="AY423" s="76"/>
      <c r="AZ423" s="76"/>
      <c r="BA423" s="76" t="b">
        <v>0</v>
      </c>
      <c r="BB423" s="76" t="b">
        <v>1</v>
      </c>
      <c r="BC423" s="76" t="b">
        <v>1</v>
      </c>
      <c r="BD423" s="76" t="b">
        <v>0</v>
      </c>
      <c r="BE423" s="76" t="b">
        <v>0</v>
      </c>
      <c r="BF423" s="76" t="b">
        <v>0</v>
      </c>
      <c r="BG423" s="76" t="b">
        <v>0</v>
      </c>
      <c r="BH423" s="83" t="str">
        <f>HYPERLINK("https://pbs.twimg.com/profile_banners/1650469593952014340/1682339548")</f>
        <v>https://pbs.twimg.com/profile_banners/1650469593952014340/1682339548</v>
      </c>
      <c r="BI423" s="76"/>
      <c r="BJ423" s="76" t="s">
        <v>19734</v>
      </c>
      <c r="BK423" s="76" t="b">
        <v>0</v>
      </c>
      <c r="BL423" s="76"/>
      <c r="BM423" s="76" t="s">
        <v>66</v>
      </c>
      <c r="BN423" s="76" t="s">
        <v>19736</v>
      </c>
      <c r="BO423" s="83" t="str">
        <f>HYPERLINK("https://twitter.com/seiacoes")</f>
        <v>https://twitter.com/seiacoes</v>
      </c>
      <c r="BP423" s="2"/>
    </row>
    <row r="424" spans="1:68" x14ac:dyDescent="0.25">
      <c r="A424" s="62" t="s">
        <v>577</v>
      </c>
      <c r="B424" s="63"/>
      <c r="C424" s="63"/>
      <c r="D424" s="64"/>
      <c r="E424" s="66"/>
      <c r="F424" s="103" t="str">
        <f>HYPERLINK("https://pbs.twimg.com/profile_images/1183721902650646529/i5VlV1dU_normal.jpg")</f>
        <v>https://pbs.twimg.com/profile_images/1183721902650646529/i5VlV1dU_normal.jpg</v>
      </c>
      <c r="G424" s="63"/>
      <c r="H424" s="67"/>
      <c r="I424" s="68"/>
      <c r="J424" s="68"/>
      <c r="K424" s="67" t="s">
        <v>20157</v>
      </c>
      <c r="L424" s="71"/>
      <c r="M424" s="72"/>
      <c r="N424" s="72"/>
      <c r="O424" s="73"/>
      <c r="P424" s="74"/>
      <c r="Q424" s="74"/>
      <c r="R424" s="87"/>
      <c r="S424" s="87"/>
      <c r="T424" s="87"/>
      <c r="U424" s="87"/>
      <c r="V424" s="48"/>
      <c r="W424" s="48"/>
      <c r="X424" s="48"/>
      <c r="Y424" s="48"/>
      <c r="Z424" s="47"/>
      <c r="AA424" s="69">
        <v>424</v>
      </c>
      <c r="AB424" s="69"/>
      <c r="AC424" s="70"/>
      <c r="AD424" s="76" t="s">
        <v>18165</v>
      </c>
      <c r="AE424" s="81" t="s">
        <v>18491</v>
      </c>
      <c r="AF424" s="76">
        <v>2597</v>
      </c>
      <c r="AG424" s="76">
        <v>786</v>
      </c>
      <c r="AH424" s="76">
        <v>832</v>
      </c>
      <c r="AI424" s="76">
        <v>118</v>
      </c>
      <c r="AJ424" s="76">
        <v>425</v>
      </c>
      <c r="AK424" s="76">
        <v>22</v>
      </c>
      <c r="AL424" s="76" t="b">
        <v>0</v>
      </c>
      <c r="AM424" s="78">
        <v>39927.655185185184</v>
      </c>
      <c r="AN424" s="76" t="s">
        <v>12014</v>
      </c>
      <c r="AO424" s="76" t="s">
        <v>19149</v>
      </c>
      <c r="AP424" s="83" t="str">
        <f>HYPERLINK("https://t.co/PjzJ7dKtTy")</f>
        <v>https://t.co/PjzJ7dKtTy</v>
      </c>
      <c r="AQ424" s="83" t="str">
        <f>HYPERLINK("http://bloomberg.com/authors/AR")</f>
        <v>http://bloomberg.com/authors/AR</v>
      </c>
      <c r="AR424" s="76" t="s">
        <v>19555</v>
      </c>
      <c r="AS424" s="76"/>
      <c r="AT424" s="76"/>
      <c r="AU424" s="76"/>
      <c r="AV424" s="76"/>
      <c r="AW424" s="83" t="str">
        <f>HYPERLINK("https://t.co/PjzJ7dKtTy")</f>
        <v>https://t.co/PjzJ7dKtTy</v>
      </c>
      <c r="AX424" s="76" t="b">
        <v>0</v>
      </c>
      <c r="AY424" s="76"/>
      <c r="AZ424" s="76"/>
      <c r="BA424" s="76" t="b">
        <v>0</v>
      </c>
      <c r="BB424" s="76" t="b">
        <v>1</v>
      </c>
      <c r="BC424" s="76" t="b">
        <v>1</v>
      </c>
      <c r="BD424" s="76" t="b">
        <v>0</v>
      </c>
      <c r="BE424" s="76" t="b">
        <v>0</v>
      </c>
      <c r="BF424" s="76" t="b">
        <v>0</v>
      </c>
      <c r="BG424" s="76" t="b">
        <v>0</v>
      </c>
      <c r="BH424" s="83" t="str">
        <f>HYPERLINK("https://pbs.twimg.com/profile_banners/34957352/1563260216")</f>
        <v>https://pbs.twimg.com/profile_banners/34957352/1563260216</v>
      </c>
      <c r="BI424" s="76"/>
      <c r="BJ424" s="76" t="s">
        <v>19734</v>
      </c>
      <c r="BK424" s="76" t="b">
        <v>0</v>
      </c>
      <c r="BL424" s="76"/>
      <c r="BM424" s="76" t="s">
        <v>66</v>
      </c>
      <c r="BN424" s="76" t="s">
        <v>19736</v>
      </c>
      <c r="BO424" s="83" t="str">
        <f>HYPERLINK("https://twitter.com/vanessadezem")</f>
        <v>https://twitter.com/vanessadezem</v>
      </c>
      <c r="BP424" s="2"/>
    </row>
    <row r="425" spans="1:68" x14ac:dyDescent="0.25">
      <c r="A425" s="62" t="s">
        <v>789</v>
      </c>
      <c r="B425" s="63"/>
      <c r="C425" s="63"/>
      <c r="D425" s="64"/>
      <c r="E425" s="66"/>
      <c r="F425" s="103" t="str">
        <f>HYPERLINK("https://pbs.twimg.com/profile_images/1545039072590041089/UwC0RIzM_normal.jpg")</f>
        <v>https://pbs.twimg.com/profile_images/1545039072590041089/UwC0RIzM_normal.jpg</v>
      </c>
      <c r="G425" s="63"/>
      <c r="H425" s="67"/>
      <c r="I425" s="68"/>
      <c r="J425" s="68"/>
      <c r="K425" s="67" t="s">
        <v>20158</v>
      </c>
      <c r="L425" s="71"/>
      <c r="M425" s="72"/>
      <c r="N425" s="72"/>
      <c r="O425" s="73"/>
      <c r="P425" s="74"/>
      <c r="Q425" s="74"/>
      <c r="R425" s="87"/>
      <c r="S425" s="87"/>
      <c r="T425" s="87"/>
      <c r="U425" s="87"/>
      <c r="V425" s="48"/>
      <c r="W425" s="48"/>
      <c r="X425" s="48"/>
      <c r="Y425" s="48"/>
      <c r="Z425" s="47"/>
      <c r="AA425" s="69">
        <v>425</v>
      </c>
      <c r="AB425" s="69"/>
      <c r="AC425" s="70"/>
      <c r="AD425" s="76" t="s">
        <v>18166</v>
      </c>
      <c r="AE425" s="81" t="s">
        <v>18492</v>
      </c>
      <c r="AF425" s="76">
        <v>1706</v>
      </c>
      <c r="AG425" s="76">
        <v>1695</v>
      </c>
      <c r="AH425" s="76">
        <v>14016</v>
      </c>
      <c r="AI425" s="76">
        <v>57</v>
      </c>
      <c r="AJ425" s="76">
        <v>1257</v>
      </c>
      <c r="AK425" s="76">
        <v>271</v>
      </c>
      <c r="AL425" s="76" t="b">
        <v>0</v>
      </c>
      <c r="AM425" s="78">
        <v>40025.525925925926</v>
      </c>
      <c r="AN425" s="76" t="s">
        <v>18696</v>
      </c>
      <c r="AO425" s="76" t="s">
        <v>19150</v>
      </c>
      <c r="AP425" s="83" t="str">
        <f>HYPERLINK("https://t.co/w5vvVdeXAu")</f>
        <v>https://t.co/w5vvVdeXAu</v>
      </c>
      <c r="AQ425" s="83" t="str">
        <f>HYPERLINK("https://www.bloomberg.com/authors/ATq9HjCYCKg/vinicius-andrade")</f>
        <v>https://www.bloomberg.com/authors/ATq9HjCYCKg/vinicius-andrade</v>
      </c>
      <c r="AR425" s="76" t="s">
        <v>19556</v>
      </c>
      <c r="AS425" s="76"/>
      <c r="AT425" s="76"/>
      <c r="AU425" s="76"/>
      <c r="AV425" s="76">
        <v>1.70642022327903E+18</v>
      </c>
      <c r="AW425" s="83" t="str">
        <f>HYPERLINK("https://t.co/w5vvVdeXAu")</f>
        <v>https://t.co/w5vvVdeXAu</v>
      </c>
      <c r="AX425" s="76" t="b">
        <v>0</v>
      </c>
      <c r="AY425" s="76"/>
      <c r="AZ425" s="76"/>
      <c r="BA425" s="76" t="b">
        <v>0</v>
      </c>
      <c r="BB425" s="76" t="b">
        <v>1</v>
      </c>
      <c r="BC425" s="76" t="b">
        <v>0</v>
      </c>
      <c r="BD425" s="76" t="b">
        <v>0</v>
      </c>
      <c r="BE425" s="76" t="b">
        <v>1</v>
      </c>
      <c r="BF425" s="76" t="b">
        <v>0</v>
      </c>
      <c r="BG425" s="76" t="b">
        <v>0</v>
      </c>
      <c r="BH425" s="83" t="str">
        <f>HYPERLINK("https://pbs.twimg.com/profile_banners/61760838/1610337313")</f>
        <v>https://pbs.twimg.com/profile_banners/61760838/1610337313</v>
      </c>
      <c r="BI425" s="76"/>
      <c r="BJ425" s="76" t="s">
        <v>19734</v>
      </c>
      <c r="BK425" s="76" t="b">
        <v>0</v>
      </c>
      <c r="BL425" s="76"/>
      <c r="BM425" s="76" t="s">
        <v>65</v>
      </c>
      <c r="BN425" s="76" t="s">
        <v>19736</v>
      </c>
      <c r="BO425" s="83" t="str">
        <f>HYPERLINK("https://twitter.com/andradevini3")</f>
        <v>https://twitter.com/andradevini3</v>
      </c>
      <c r="BP425" s="2"/>
    </row>
    <row r="426" spans="1:68" x14ac:dyDescent="0.25">
      <c r="A426" s="62" t="s">
        <v>578</v>
      </c>
      <c r="B426" s="63"/>
      <c r="C426" s="63"/>
      <c r="D426" s="64"/>
      <c r="E426" s="66"/>
      <c r="F426" s="103" t="str">
        <f>HYPERLINK("https://pbs.twimg.com/profile_images/1467524266996514816/Rql0BHdm_normal.jpg")</f>
        <v>https://pbs.twimg.com/profile_images/1467524266996514816/Rql0BHdm_normal.jpg</v>
      </c>
      <c r="G426" s="63"/>
      <c r="H426" s="67"/>
      <c r="I426" s="68"/>
      <c r="J426" s="68"/>
      <c r="K426" s="67" t="s">
        <v>20159</v>
      </c>
      <c r="L426" s="71"/>
      <c r="M426" s="72"/>
      <c r="N426" s="72"/>
      <c r="O426" s="73"/>
      <c r="P426" s="74"/>
      <c r="Q426" s="74"/>
      <c r="R426" s="87"/>
      <c r="S426" s="87"/>
      <c r="T426" s="87"/>
      <c r="U426" s="87"/>
      <c r="V426" s="48"/>
      <c r="W426" s="48"/>
      <c r="X426" s="48"/>
      <c r="Y426" s="48"/>
      <c r="Z426" s="47"/>
      <c r="AA426" s="69">
        <v>426</v>
      </c>
      <c r="AB426" s="69"/>
      <c r="AC426" s="70"/>
      <c r="AD426" s="76" t="s">
        <v>18167</v>
      </c>
      <c r="AE426" s="81" t="s">
        <v>18493</v>
      </c>
      <c r="AF426" s="76">
        <v>5336</v>
      </c>
      <c r="AG426" s="76">
        <v>5859</v>
      </c>
      <c r="AH426" s="76">
        <v>26679</v>
      </c>
      <c r="AI426" s="76">
        <v>7</v>
      </c>
      <c r="AJ426" s="76">
        <v>110</v>
      </c>
      <c r="AK426" s="76">
        <v>334</v>
      </c>
      <c r="AL426" s="76" t="b">
        <v>0</v>
      </c>
      <c r="AM426" s="78">
        <v>40070.695127314815</v>
      </c>
      <c r="AN426" s="76" t="s">
        <v>18716</v>
      </c>
      <c r="AO426" s="76" t="s">
        <v>19151</v>
      </c>
      <c r="AP426" s="76"/>
      <c r="AQ426" s="76"/>
      <c r="AR426" s="76"/>
      <c r="AS426" s="76"/>
      <c r="AT426" s="76"/>
      <c r="AU426" s="76"/>
      <c r="AV426" s="76"/>
      <c r="AW426" s="76"/>
      <c r="AX426" s="76" t="b">
        <v>0</v>
      </c>
      <c r="AY426" s="76"/>
      <c r="AZ426" s="76"/>
      <c r="BA426" s="76" t="b">
        <v>1</v>
      </c>
      <c r="BB426" s="76" t="b">
        <v>0</v>
      </c>
      <c r="BC426" s="76" t="b">
        <v>0</v>
      </c>
      <c r="BD426" s="76" t="b">
        <v>0</v>
      </c>
      <c r="BE426" s="76" t="b">
        <v>0</v>
      </c>
      <c r="BF426" s="76" t="b">
        <v>0</v>
      </c>
      <c r="BG426" s="76" t="b">
        <v>0</v>
      </c>
      <c r="BH426" s="83" t="str">
        <f>HYPERLINK("https://pbs.twimg.com/profile_banners/74198459/1682622543")</f>
        <v>https://pbs.twimg.com/profile_banners/74198459/1682622543</v>
      </c>
      <c r="BI426" s="76"/>
      <c r="BJ426" s="76" t="s">
        <v>19734</v>
      </c>
      <c r="BK426" s="76" t="b">
        <v>0</v>
      </c>
      <c r="BL426" s="76"/>
      <c r="BM426" s="76" t="s">
        <v>66</v>
      </c>
      <c r="BN426" s="76" t="s">
        <v>19736</v>
      </c>
      <c r="BO426" s="83" t="str">
        <f>HYPERLINK("https://twitter.com/murilo_sobral")</f>
        <v>https://twitter.com/murilo_sobral</v>
      </c>
      <c r="BP426" s="2"/>
    </row>
    <row r="427" spans="1:68" x14ac:dyDescent="0.25">
      <c r="A427" s="62" t="s">
        <v>706</v>
      </c>
      <c r="B427" s="63"/>
      <c r="C427" s="63"/>
      <c r="D427" s="64"/>
      <c r="E427" s="66"/>
      <c r="F427" s="103" t="str">
        <f>HYPERLINK("https://pbs.twimg.com/profile_images/1274756492344856578/vk0smlDr_normal.jpg")</f>
        <v>https://pbs.twimg.com/profile_images/1274756492344856578/vk0smlDr_normal.jpg</v>
      </c>
      <c r="G427" s="63"/>
      <c r="H427" s="67"/>
      <c r="I427" s="68"/>
      <c r="J427" s="68"/>
      <c r="K427" s="67" t="s">
        <v>20160</v>
      </c>
      <c r="L427" s="71"/>
      <c r="M427" s="72"/>
      <c r="N427" s="72"/>
      <c r="O427" s="73"/>
      <c r="P427" s="74"/>
      <c r="Q427" s="74"/>
      <c r="R427" s="87"/>
      <c r="S427" s="87"/>
      <c r="T427" s="87"/>
      <c r="U427" s="87"/>
      <c r="V427" s="48"/>
      <c r="W427" s="48"/>
      <c r="X427" s="48"/>
      <c r="Y427" s="48"/>
      <c r="Z427" s="47"/>
      <c r="AA427" s="69">
        <v>427</v>
      </c>
      <c r="AB427" s="69"/>
      <c r="AC427" s="70"/>
      <c r="AD427" s="76" t="s">
        <v>18168</v>
      </c>
      <c r="AE427" s="81" t="s">
        <v>18494</v>
      </c>
      <c r="AF427" s="76">
        <v>683988</v>
      </c>
      <c r="AG427" s="76">
        <v>707</v>
      </c>
      <c r="AH427" s="76">
        <v>314243</v>
      </c>
      <c r="AI427" s="76">
        <v>2108</v>
      </c>
      <c r="AJ427" s="76">
        <v>60</v>
      </c>
      <c r="AK427" s="76">
        <v>17863</v>
      </c>
      <c r="AL427" s="76" t="b">
        <v>0</v>
      </c>
      <c r="AM427" s="78">
        <v>40581.960497685184</v>
      </c>
      <c r="AN427" s="76" t="s">
        <v>18570</v>
      </c>
      <c r="AO427" s="76" t="s">
        <v>19152</v>
      </c>
      <c r="AP427" s="83" t="str">
        <f>HYPERLINK("https://t.co/iLSW7vrPQn")</f>
        <v>https://t.co/iLSW7vrPQn</v>
      </c>
      <c r="AQ427" s="83" t="str">
        <f>HYPERLINK("http://www.brasil247.com")</f>
        <v>http://www.brasil247.com</v>
      </c>
      <c r="AR427" s="76" t="s">
        <v>7146</v>
      </c>
      <c r="AS427" s="76" t="s">
        <v>19662</v>
      </c>
      <c r="AT427" s="76" t="s">
        <v>19678</v>
      </c>
      <c r="AU427" s="76" t="s">
        <v>19724</v>
      </c>
      <c r="AV427" s="76">
        <v>1.7048171750038799E+18</v>
      </c>
      <c r="AW427" s="83" t="str">
        <f>HYPERLINK("https://t.co/iLSW7vrPQn")</f>
        <v>https://t.co/iLSW7vrPQn</v>
      </c>
      <c r="AX427" s="76" t="b">
        <v>1</v>
      </c>
      <c r="AY427" s="76"/>
      <c r="AZ427" s="76"/>
      <c r="BA427" s="76" t="b">
        <v>0</v>
      </c>
      <c r="BB427" s="76" t="b">
        <v>1</v>
      </c>
      <c r="BC427" s="76" t="b">
        <v>0</v>
      </c>
      <c r="BD427" s="76" t="b">
        <v>0</v>
      </c>
      <c r="BE427" s="76" t="b">
        <v>1</v>
      </c>
      <c r="BF427" s="76" t="b">
        <v>0</v>
      </c>
      <c r="BG427" s="76" t="b">
        <v>0</v>
      </c>
      <c r="BH427" s="83" t="str">
        <f>HYPERLINK("https://pbs.twimg.com/profile_banners/248890506/1598897352")</f>
        <v>https://pbs.twimg.com/profile_banners/248890506/1598897352</v>
      </c>
      <c r="BI427" s="76"/>
      <c r="BJ427" s="76" t="s">
        <v>19734</v>
      </c>
      <c r="BK427" s="76" t="b">
        <v>0</v>
      </c>
      <c r="BL427" s="76"/>
      <c r="BM427" s="76" t="s">
        <v>66</v>
      </c>
      <c r="BN427" s="76" t="s">
        <v>19736</v>
      </c>
      <c r="BO427" s="83" t="str">
        <f>HYPERLINK("https://twitter.com/brasil247")</f>
        <v>https://twitter.com/brasil247</v>
      </c>
      <c r="BP427" s="2"/>
    </row>
    <row r="428" spans="1:68" x14ac:dyDescent="0.25">
      <c r="A428" s="62" t="s">
        <v>579</v>
      </c>
      <c r="B428" s="63"/>
      <c r="C428" s="63"/>
      <c r="D428" s="64"/>
      <c r="E428" s="66"/>
      <c r="F428" s="103" t="str">
        <f>HYPERLINK("https://pbs.twimg.com/profile_images/1637894045581168652/kvX9cMLK_normal.jpg")</f>
        <v>https://pbs.twimg.com/profile_images/1637894045581168652/kvX9cMLK_normal.jpg</v>
      </c>
      <c r="G428" s="63"/>
      <c r="H428" s="67"/>
      <c r="I428" s="68"/>
      <c r="J428" s="68"/>
      <c r="K428" s="67" t="s">
        <v>20161</v>
      </c>
      <c r="L428" s="71"/>
      <c r="M428" s="72"/>
      <c r="N428" s="72"/>
      <c r="O428" s="73"/>
      <c r="P428" s="74"/>
      <c r="Q428" s="74"/>
      <c r="R428" s="87"/>
      <c r="S428" s="87"/>
      <c r="T428" s="87"/>
      <c r="U428" s="87"/>
      <c r="V428" s="48"/>
      <c r="W428" s="48"/>
      <c r="X428" s="48"/>
      <c r="Y428" s="48"/>
      <c r="Z428" s="47"/>
      <c r="AA428" s="69">
        <v>428</v>
      </c>
      <c r="AB428" s="69"/>
      <c r="AC428" s="70"/>
      <c r="AD428" s="76" t="s">
        <v>18169</v>
      </c>
      <c r="AE428" s="81" t="s">
        <v>18495</v>
      </c>
      <c r="AF428" s="76">
        <v>174</v>
      </c>
      <c r="AG428" s="76">
        <v>92</v>
      </c>
      <c r="AH428" s="76">
        <v>12653</v>
      </c>
      <c r="AI428" s="76">
        <v>10</v>
      </c>
      <c r="AJ428" s="76">
        <v>465</v>
      </c>
      <c r="AK428" s="76">
        <v>442</v>
      </c>
      <c r="AL428" s="76" t="b">
        <v>0</v>
      </c>
      <c r="AM428" s="78">
        <v>39913.83625</v>
      </c>
      <c r="AN428" s="76" t="s">
        <v>12014</v>
      </c>
      <c r="AO428" s="76" t="s">
        <v>19153</v>
      </c>
      <c r="AP428" s="83" t="str">
        <f>HYPERLINK("https://t.co/6vFOZrD4h5")</f>
        <v>https://t.co/6vFOZrD4h5</v>
      </c>
      <c r="AQ428" s="83" t="str">
        <f>HYPERLINK("http://www.linkedin.com/in/alemartuchelli")</f>
        <v>http://www.linkedin.com/in/alemartuchelli</v>
      </c>
      <c r="AR428" s="76" t="s">
        <v>19557</v>
      </c>
      <c r="AS428" s="76"/>
      <c r="AT428" s="76"/>
      <c r="AU428" s="76"/>
      <c r="AV428" s="76"/>
      <c r="AW428" s="83" t="str">
        <f>HYPERLINK("https://t.co/6vFOZrD4h5")</f>
        <v>https://t.co/6vFOZrD4h5</v>
      </c>
      <c r="AX428" s="76" t="b">
        <v>0</v>
      </c>
      <c r="AY428" s="76"/>
      <c r="AZ428" s="76"/>
      <c r="BA428" s="76" t="b">
        <v>0</v>
      </c>
      <c r="BB428" s="76" t="b">
        <v>0</v>
      </c>
      <c r="BC428" s="76" t="b">
        <v>0</v>
      </c>
      <c r="BD428" s="76" t="b">
        <v>0</v>
      </c>
      <c r="BE428" s="76" t="b">
        <v>1</v>
      </c>
      <c r="BF428" s="76" t="b">
        <v>0</v>
      </c>
      <c r="BG428" s="76" t="b">
        <v>0</v>
      </c>
      <c r="BH428" s="83" t="str">
        <f>HYPERLINK("https://pbs.twimg.com/profile_banners/30299516/1646401136")</f>
        <v>https://pbs.twimg.com/profile_banners/30299516/1646401136</v>
      </c>
      <c r="BI428" s="76"/>
      <c r="BJ428" s="76" t="s">
        <v>19734</v>
      </c>
      <c r="BK428" s="76" t="b">
        <v>0</v>
      </c>
      <c r="BL428" s="76"/>
      <c r="BM428" s="76" t="s">
        <v>66</v>
      </c>
      <c r="BN428" s="76" t="s">
        <v>19736</v>
      </c>
      <c r="BO428" s="83" t="str">
        <f>HYPERLINK("https://twitter.com/alemartuchelli")</f>
        <v>https://twitter.com/alemartuchelli</v>
      </c>
      <c r="BP428" s="2"/>
    </row>
    <row r="429" spans="1:68" x14ac:dyDescent="0.25">
      <c r="A429" s="62" t="s">
        <v>790</v>
      </c>
      <c r="B429" s="63"/>
      <c r="C429" s="63"/>
      <c r="D429" s="64"/>
      <c r="E429" s="66"/>
      <c r="F429" s="103" t="str">
        <f>HYPERLINK("https://pbs.twimg.com/profile_images/1698680955290988544/o-qPUj_O_normal.jpg")</f>
        <v>https://pbs.twimg.com/profile_images/1698680955290988544/o-qPUj_O_normal.jpg</v>
      </c>
      <c r="G429" s="63"/>
      <c r="H429" s="67"/>
      <c r="I429" s="68"/>
      <c r="J429" s="68"/>
      <c r="K429" s="67" t="s">
        <v>20162</v>
      </c>
      <c r="L429" s="71"/>
      <c r="M429" s="72"/>
      <c r="N429" s="72"/>
      <c r="O429" s="73"/>
      <c r="P429" s="74"/>
      <c r="Q429" s="74"/>
      <c r="R429" s="87"/>
      <c r="S429" s="87"/>
      <c r="T429" s="87"/>
      <c r="U429" s="87"/>
      <c r="V429" s="48"/>
      <c r="W429" s="48"/>
      <c r="X429" s="48"/>
      <c r="Y429" s="48"/>
      <c r="Z429" s="47"/>
      <c r="AA429" s="69">
        <v>429</v>
      </c>
      <c r="AB429" s="69"/>
      <c r="AC429" s="70"/>
      <c r="AD429" s="76" t="s">
        <v>18170</v>
      </c>
      <c r="AE429" s="81" t="s">
        <v>17367</v>
      </c>
      <c r="AF429" s="76">
        <v>1336621</v>
      </c>
      <c r="AG429" s="76">
        <v>34395</v>
      </c>
      <c r="AH429" s="76">
        <v>385249</v>
      </c>
      <c r="AI429" s="76">
        <v>1326</v>
      </c>
      <c r="AJ429" s="76">
        <v>10269</v>
      </c>
      <c r="AK429" s="76">
        <v>6063</v>
      </c>
      <c r="AL429" s="76" t="b">
        <v>0</v>
      </c>
      <c r="AM429" s="78">
        <v>39965.783715277779</v>
      </c>
      <c r="AN429" s="76" t="s">
        <v>12007</v>
      </c>
      <c r="AO429" s="76" t="s">
        <v>19154</v>
      </c>
      <c r="AP429" s="83" t="str">
        <f>HYPERLINK("https://t.co/I6ezv9lzKK")</f>
        <v>https://t.co/I6ezv9lzKK</v>
      </c>
      <c r="AQ429" s="83" t="str">
        <f>HYPERLINK("http://maga.lu/meseguenoinsta")</f>
        <v>http://maga.lu/meseguenoinsta</v>
      </c>
      <c r="AR429" s="76" t="s">
        <v>19558</v>
      </c>
      <c r="AS429" s="76"/>
      <c r="AT429" s="76"/>
      <c r="AU429" s="76"/>
      <c r="AV429" s="76">
        <v>1.6986891589008499E+18</v>
      </c>
      <c r="AW429" s="83" t="str">
        <f>HYPERLINK("https://t.co/I6ezv9lzKK")</f>
        <v>https://t.co/I6ezv9lzKK</v>
      </c>
      <c r="AX429" s="76" t="b">
        <v>1</v>
      </c>
      <c r="AY429" s="76"/>
      <c r="AZ429" s="76"/>
      <c r="BA429" s="76" t="b">
        <v>1</v>
      </c>
      <c r="BB429" s="76" t="b">
        <v>1</v>
      </c>
      <c r="BC429" s="76" t="b">
        <v>0</v>
      </c>
      <c r="BD429" s="76" t="b">
        <v>0</v>
      </c>
      <c r="BE429" s="76" t="b">
        <v>1</v>
      </c>
      <c r="BF429" s="76" t="b">
        <v>0</v>
      </c>
      <c r="BG429" s="76" t="b">
        <v>0</v>
      </c>
      <c r="BH429" s="83" t="str">
        <f>HYPERLINK("https://pbs.twimg.com/profile_banners/43943121/1693859332")</f>
        <v>https://pbs.twimg.com/profile_banners/43943121/1693859332</v>
      </c>
      <c r="BI429" s="76"/>
      <c r="BJ429" s="76" t="s">
        <v>19735</v>
      </c>
      <c r="BK429" s="76" t="b">
        <v>0</v>
      </c>
      <c r="BL429" s="76"/>
      <c r="BM429" s="76" t="s">
        <v>65</v>
      </c>
      <c r="BN429" s="76" t="s">
        <v>19736</v>
      </c>
      <c r="BO429" s="83" t="str">
        <f>HYPERLINK("https://twitter.com/magalu")</f>
        <v>https://twitter.com/magalu</v>
      </c>
      <c r="BP429" s="2"/>
    </row>
    <row r="430" spans="1:68" x14ac:dyDescent="0.25">
      <c r="A430" s="62" t="s">
        <v>581</v>
      </c>
      <c r="B430" s="63"/>
      <c r="C430" s="63"/>
      <c r="D430" s="64"/>
      <c r="E430" s="66"/>
      <c r="F430" s="103" t="str">
        <f>HYPERLINK("https://pbs.twimg.com/profile_images/1610325557580898306/UZehEg0I_normal.jpg")</f>
        <v>https://pbs.twimg.com/profile_images/1610325557580898306/UZehEg0I_normal.jpg</v>
      </c>
      <c r="G430" s="63"/>
      <c r="H430" s="67"/>
      <c r="I430" s="68"/>
      <c r="J430" s="68"/>
      <c r="K430" s="67" t="s">
        <v>20163</v>
      </c>
      <c r="L430" s="71"/>
      <c r="M430" s="72"/>
      <c r="N430" s="72"/>
      <c r="O430" s="73"/>
      <c r="P430" s="74"/>
      <c r="Q430" s="74"/>
      <c r="R430" s="87"/>
      <c r="S430" s="87"/>
      <c r="T430" s="87"/>
      <c r="U430" s="87"/>
      <c r="V430" s="48"/>
      <c r="W430" s="48"/>
      <c r="X430" s="48"/>
      <c r="Y430" s="48"/>
      <c r="Z430" s="47"/>
      <c r="AA430" s="69">
        <v>430</v>
      </c>
      <c r="AB430" s="69"/>
      <c r="AC430" s="70"/>
      <c r="AD430" s="76" t="s">
        <v>18171</v>
      </c>
      <c r="AE430" s="81" t="s">
        <v>18496</v>
      </c>
      <c r="AF430" s="76">
        <v>3781</v>
      </c>
      <c r="AG430" s="76">
        <v>1153</v>
      </c>
      <c r="AH430" s="76">
        <v>41557</v>
      </c>
      <c r="AI430" s="76">
        <v>116</v>
      </c>
      <c r="AJ430" s="76">
        <v>2192</v>
      </c>
      <c r="AK430" s="76">
        <v>17653</v>
      </c>
      <c r="AL430" s="76" t="b">
        <v>0</v>
      </c>
      <c r="AM430" s="78">
        <v>40150.785960648151</v>
      </c>
      <c r="AN430" s="76" t="s">
        <v>18717</v>
      </c>
      <c r="AO430" s="76" t="s">
        <v>19155</v>
      </c>
      <c r="AP430" s="83" t="str">
        <f>HYPERLINK("https://t.co/6A3YCXdYQW")</f>
        <v>https://t.co/6A3YCXdYQW</v>
      </c>
      <c r="AQ430" s="83" t="str">
        <f>HYPERLINK("http://www.diariodocomercio.com.br")</f>
        <v>http://www.diariodocomercio.com.br</v>
      </c>
      <c r="AR430" s="76" t="s">
        <v>19559</v>
      </c>
      <c r="AS430" s="76"/>
      <c r="AT430" s="76"/>
      <c r="AU430" s="76"/>
      <c r="AV430" s="76"/>
      <c r="AW430" s="83" t="str">
        <f>HYPERLINK("https://t.co/6A3YCXdYQW")</f>
        <v>https://t.co/6A3YCXdYQW</v>
      </c>
      <c r="AX430" s="76" t="b">
        <v>0</v>
      </c>
      <c r="AY430" s="76"/>
      <c r="AZ430" s="76"/>
      <c r="BA430" s="76" t="b">
        <v>0</v>
      </c>
      <c r="BB430" s="76" t="b">
        <v>1</v>
      </c>
      <c r="BC430" s="76" t="b">
        <v>0</v>
      </c>
      <c r="BD430" s="76" t="b">
        <v>0</v>
      </c>
      <c r="BE430" s="76" t="b">
        <v>1</v>
      </c>
      <c r="BF430" s="76" t="b">
        <v>0</v>
      </c>
      <c r="BG430" s="76" t="b">
        <v>0</v>
      </c>
      <c r="BH430" s="83" t="str">
        <f>HYPERLINK("https://pbs.twimg.com/profile_banners/94388843/1672766564")</f>
        <v>https://pbs.twimg.com/profile_banners/94388843/1672766564</v>
      </c>
      <c r="BI430" s="76"/>
      <c r="BJ430" s="76" t="s">
        <v>19734</v>
      </c>
      <c r="BK430" s="76" t="b">
        <v>0</v>
      </c>
      <c r="BL430" s="76"/>
      <c r="BM430" s="76" t="s">
        <v>66</v>
      </c>
      <c r="BN430" s="76" t="s">
        <v>19736</v>
      </c>
      <c r="BO430" s="83" t="str">
        <f>HYPERLINK("https://twitter.com/diario_comercio")</f>
        <v>https://twitter.com/diario_comercio</v>
      </c>
      <c r="BP430" s="2"/>
    </row>
    <row r="431" spans="1:68" x14ac:dyDescent="0.25">
      <c r="A431" s="62" t="s">
        <v>582</v>
      </c>
      <c r="B431" s="63"/>
      <c r="C431" s="63"/>
      <c r="D431" s="64"/>
      <c r="E431" s="66"/>
      <c r="F431" s="103" t="str">
        <f>HYPERLINK("https://pbs.twimg.com/profile_images/1546506290670739456/WxZ0XFXi_normal.jpg")</f>
        <v>https://pbs.twimg.com/profile_images/1546506290670739456/WxZ0XFXi_normal.jpg</v>
      </c>
      <c r="G431" s="63"/>
      <c r="H431" s="67"/>
      <c r="I431" s="68"/>
      <c r="J431" s="68"/>
      <c r="K431" s="67" t="s">
        <v>20164</v>
      </c>
      <c r="L431" s="71"/>
      <c r="M431" s="72"/>
      <c r="N431" s="72"/>
      <c r="O431" s="73"/>
      <c r="P431" s="74"/>
      <c r="Q431" s="74"/>
      <c r="R431" s="87"/>
      <c r="S431" s="87"/>
      <c r="T431" s="87"/>
      <c r="U431" s="87"/>
      <c r="V431" s="48"/>
      <c r="W431" s="48"/>
      <c r="X431" s="48"/>
      <c r="Y431" s="48"/>
      <c r="Z431" s="47"/>
      <c r="AA431" s="69">
        <v>431</v>
      </c>
      <c r="AB431" s="69"/>
      <c r="AC431" s="70"/>
      <c r="AD431" s="76" t="s">
        <v>18172</v>
      </c>
      <c r="AE431" s="81" t="s">
        <v>17629</v>
      </c>
      <c r="AF431" s="76">
        <v>4016</v>
      </c>
      <c r="AG431" s="76">
        <v>1309</v>
      </c>
      <c r="AH431" s="76">
        <v>25080</v>
      </c>
      <c r="AI431" s="76">
        <v>41</v>
      </c>
      <c r="AJ431" s="76">
        <v>26181</v>
      </c>
      <c r="AK431" s="76">
        <v>3258</v>
      </c>
      <c r="AL431" s="76" t="b">
        <v>0</v>
      </c>
      <c r="AM431" s="78">
        <v>43949.005462962959</v>
      </c>
      <c r="AN431" s="76" t="s">
        <v>18718</v>
      </c>
      <c r="AO431" s="76" t="s">
        <v>19156</v>
      </c>
      <c r="AP431" s="83" t="str">
        <f>HYPERLINK("https://t.co/nVCq3UgBMw")</f>
        <v>https://t.co/nVCq3UgBMw</v>
      </c>
      <c r="AQ431" s="83" t="str">
        <f>HYPERLINK("https://www.youtube.com/channel/UCgVdyKrhdcE41S8DoL3y8nA")</f>
        <v>https://www.youtube.com/channel/UCgVdyKrhdcE41S8DoL3y8nA</v>
      </c>
      <c r="AR431" s="76" t="s">
        <v>19560</v>
      </c>
      <c r="AS431" s="76"/>
      <c r="AT431" s="76"/>
      <c r="AU431" s="76"/>
      <c r="AV431" s="76">
        <v>1.6318749967536399E+18</v>
      </c>
      <c r="AW431" s="83" t="str">
        <f>HYPERLINK("https://t.co/nVCq3UgBMw")</f>
        <v>https://t.co/nVCq3UgBMw</v>
      </c>
      <c r="AX431" s="76" t="b">
        <v>0</v>
      </c>
      <c r="AY431" s="76"/>
      <c r="AZ431" s="76"/>
      <c r="BA431" s="76" t="b">
        <v>1</v>
      </c>
      <c r="BB431" s="76" t="b">
        <v>1</v>
      </c>
      <c r="BC431" s="76" t="b">
        <v>1</v>
      </c>
      <c r="BD431" s="76" t="b">
        <v>0</v>
      </c>
      <c r="BE431" s="76" t="b">
        <v>1</v>
      </c>
      <c r="BF431" s="76" t="b">
        <v>0</v>
      </c>
      <c r="BG431" s="76" t="b">
        <v>0</v>
      </c>
      <c r="BH431" s="83" t="str">
        <f>HYPERLINK("https://pbs.twimg.com/profile_banners/1254925228242845697/1666375856")</f>
        <v>https://pbs.twimg.com/profile_banners/1254925228242845697/1666375856</v>
      </c>
      <c r="BI431" s="76"/>
      <c r="BJ431" s="76" t="s">
        <v>19734</v>
      </c>
      <c r="BK431" s="76" t="b">
        <v>0</v>
      </c>
      <c r="BL431" s="76"/>
      <c r="BM431" s="76" t="s">
        <v>66</v>
      </c>
      <c r="BN431" s="76" t="s">
        <v>19736</v>
      </c>
      <c r="BO431" s="83" t="str">
        <f>HYPERLINK("https://twitter.com/mcmanocall")</f>
        <v>https://twitter.com/mcmanocall</v>
      </c>
      <c r="BP431" s="2"/>
    </row>
    <row r="432" spans="1:68" x14ac:dyDescent="0.25">
      <c r="A432" s="62" t="s">
        <v>583</v>
      </c>
      <c r="B432" s="63"/>
      <c r="C432" s="63"/>
      <c r="D432" s="64"/>
      <c r="E432" s="66"/>
      <c r="F432" s="103" t="str">
        <f>HYPERLINK("https://pbs.twimg.com/profile_images/1283639745289961473/fcPVj77v_normal.jpg")</f>
        <v>https://pbs.twimg.com/profile_images/1283639745289961473/fcPVj77v_normal.jpg</v>
      </c>
      <c r="G432" s="63"/>
      <c r="H432" s="67"/>
      <c r="I432" s="68"/>
      <c r="J432" s="68"/>
      <c r="K432" s="67" t="s">
        <v>20165</v>
      </c>
      <c r="L432" s="71"/>
      <c r="M432" s="72"/>
      <c r="N432" s="72"/>
      <c r="O432" s="73"/>
      <c r="P432" s="74"/>
      <c r="Q432" s="74"/>
      <c r="R432" s="87"/>
      <c r="S432" s="87"/>
      <c r="T432" s="87"/>
      <c r="U432" s="87"/>
      <c r="V432" s="48"/>
      <c r="W432" s="48"/>
      <c r="X432" s="48"/>
      <c r="Y432" s="48"/>
      <c r="Z432" s="47"/>
      <c r="AA432" s="69">
        <v>432</v>
      </c>
      <c r="AB432" s="69"/>
      <c r="AC432" s="70"/>
      <c r="AD432" s="76" t="s">
        <v>18173</v>
      </c>
      <c r="AE432" s="81" t="s">
        <v>17630</v>
      </c>
      <c r="AF432" s="76">
        <v>17</v>
      </c>
      <c r="AG432" s="76">
        <v>128</v>
      </c>
      <c r="AH432" s="76">
        <v>175</v>
      </c>
      <c r="AI432" s="76">
        <v>0</v>
      </c>
      <c r="AJ432" s="76">
        <v>700</v>
      </c>
      <c r="AK432" s="76">
        <v>41</v>
      </c>
      <c r="AL432" s="76" t="b">
        <v>0</v>
      </c>
      <c r="AM432" s="78">
        <v>44028.241944444446</v>
      </c>
      <c r="AN432" s="76"/>
      <c r="AO432" s="76" t="s">
        <v>19157</v>
      </c>
      <c r="AP432" s="76"/>
      <c r="AQ432" s="76"/>
      <c r="AR432" s="76"/>
      <c r="AS432" s="76"/>
      <c r="AT432" s="76"/>
      <c r="AU432" s="76"/>
      <c r="AV432" s="76"/>
      <c r="AW432" s="76"/>
      <c r="AX432" s="76" t="b">
        <v>0</v>
      </c>
      <c r="AY432" s="76"/>
      <c r="AZ432" s="76"/>
      <c r="BA432" s="76" t="b">
        <v>0</v>
      </c>
      <c r="BB432" s="76" t="b">
        <v>1</v>
      </c>
      <c r="BC432" s="76" t="b">
        <v>1</v>
      </c>
      <c r="BD432" s="76" t="b">
        <v>0</v>
      </c>
      <c r="BE432" s="76" t="b">
        <v>0</v>
      </c>
      <c r="BF432" s="76" t="b">
        <v>0</v>
      </c>
      <c r="BG432" s="76" t="b">
        <v>0</v>
      </c>
      <c r="BH432" s="83" t="str">
        <f>HYPERLINK("https://pbs.twimg.com/profile_banners/1283639563013914624/1595675427")</f>
        <v>https://pbs.twimg.com/profile_banners/1283639563013914624/1595675427</v>
      </c>
      <c r="BI432" s="76"/>
      <c r="BJ432" s="76" t="s">
        <v>19734</v>
      </c>
      <c r="BK432" s="76" t="b">
        <v>0</v>
      </c>
      <c r="BL432" s="76"/>
      <c r="BM432" s="76" t="s">
        <v>66</v>
      </c>
      <c r="BN432" s="76" t="s">
        <v>19736</v>
      </c>
      <c r="BO432" s="83" t="str">
        <f>HYPERLINK("https://twitter.com/ingridflima87")</f>
        <v>https://twitter.com/ingridflima87</v>
      </c>
      <c r="BP432" s="2"/>
    </row>
    <row r="433" spans="1:68" x14ac:dyDescent="0.25">
      <c r="A433" s="62" t="s">
        <v>584</v>
      </c>
      <c r="B433" s="63"/>
      <c r="C433" s="63"/>
      <c r="D433" s="64"/>
      <c r="E433" s="66"/>
      <c r="F433" s="103" t="str">
        <f>HYPERLINK("https://pbs.twimg.com/profile_images/1303009388815364096/P8h-whoB_normal.jpg")</f>
        <v>https://pbs.twimg.com/profile_images/1303009388815364096/P8h-whoB_normal.jpg</v>
      </c>
      <c r="G433" s="63"/>
      <c r="H433" s="67"/>
      <c r="I433" s="68"/>
      <c r="J433" s="68"/>
      <c r="K433" s="67" t="s">
        <v>20166</v>
      </c>
      <c r="L433" s="71"/>
      <c r="M433" s="72"/>
      <c r="N433" s="72"/>
      <c r="O433" s="73"/>
      <c r="P433" s="74"/>
      <c r="Q433" s="74"/>
      <c r="R433" s="87"/>
      <c r="S433" s="87"/>
      <c r="T433" s="87"/>
      <c r="U433" s="87"/>
      <c r="V433" s="48"/>
      <c r="W433" s="48"/>
      <c r="X433" s="48"/>
      <c r="Y433" s="48"/>
      <c r="Z433" s="47"/>
      <c r="AA433" s="69">
        <v>433</v>
      </c>
      <c r="AB433" s="69"/>
      <c r="AC433" s="70"/>
      <c r="AD433" s="76" t="s">
        <v>18174</v>
      </c>
      <c r="AE433" s="81" t="s">
        <v>18497</v>
      </c>
      <c r="AF433" s="76">
        <v>192</v>
      </c>
      <c r="AG433" s="76">
        <v>33</v>
      </c>
      <c r="AH433" s="76">
        <v>1243</v>
      </c>
      <c r="AI433" s="76">
        <v>5</v>
      </c>
      <c r="AJ433" s="76">
        <v>67</v>
      </c>
      <c r="AK433" s="76">
        <v>478</v>
      </c>
      <c r="AL433" s="76" t="b">
        <v>0</v>
      </c>
      <c r="AM433" s="78">
        <v>41075.631423611114</v>
      </c>
      <c r="AN433" s="76" t="s">
        <v>18719</v>
      </c>
      <c r="AO433" s="76" t="s">
        <v>19158</v>
      </c>
      <c r="AP433" s="83" t="str">
        <f>HYPERLINK("https://t.co/aKLwDyqR3g")</f>
        <v>https://t.co/aKLwDyqR3g</v>
      </c>
      <c r="AQ433" s="83" t="str">
        <f>HYPERLINK("https://maiseducativa.com/?r3d=revista-junho-julho")</f>
        <v>https://maiseducativa.com/?r3d=revista-junho-julho</v>
      </c>
      <c r="AR433" s="76" t="s">
        <v>19561</v>
      </c>
      <c r="AS433" s="76"/>
      <c r="AT433" s="76"/>
      <c r="AU433" s="76"/>
      <c r="AV433" s="76"/>
      <c r="AW433" s="83" t="str">
        <f>HYPERLINK("https://t.co/aKLwDyqR3g")</f>
        <v>https://t.co/aKLwDyqR3g</v>
      </c>
      <c r="AX433" s="76" t="b">
        <v>0</v>
      </c>
      <c r="AY433" s="76"/>
      <c r="AZ433" s="76"/>
      <c r="BA433" s="76" t="b">
        <v>0</v>
      </c>
      <c r="BB433" s="76" t="b">
        <v>1</v>
      </c>
      <c r="BC433" s="76" t="b">
        <v>0</v>
      </c>
      <c r="BD433" s="76" t="b">
        <v>0</v>
      </c>
      <c r="BE433" s="76" t="b">
        <v>1</v>
      </c>
      <c r="BF433" s="76" t="b">
        <v>0</v>
      </c>
      <c r="BG433" s="76" t="b">
        <v>0</v>
      </c>
      <c r="BH433" s="83" t="str">
        <f>HYPERLINK("https://pbs.twimg.com/profile_banners/609260052/1687969355")</f>
        <v>https://pbs.twimg.com/profile_banners/609260052/1687969355</v>
      </c>
      <c r="BI433" s="76"/>
      <c r="BJ433" s="76" t="s">
        <v>19734</v>
      </c>
      <c r="BK433" s="76" t="b">
        <v>0</v>
      </c>
      <c r="BL433" s="76"/>
      <c r="BM433" s="76" t="s">
        <v>66</v>
      </c>
      <c r="BN433" s="76" t="s">
        <v>19736</v>
      </c>
      <c r="BO433" s="83" t="str">
        <f>HYPERLINK("https://twitter.com/mais_educativa")</f>
        <v>https://twitter.com/mais_educativa</v>
      </c>
      <c r="BP433" s="2"/>
    </row>
    <row r="434" spans="1:68" x14ac:dyDescent="0.25">
      <c r="A434" s="62" t="s">
        <v>585</v>
      </c>
      <c r="B434" s="63"/>
      <c r="C434" s="63"/>
      <c r="D434" s="64"/>
      <c r="E434" s="66"/>
      <c r="F434" s="103" t="str">
        <f>HYPERLINK("https://pbs.twimg.com/profile_images/1659305732704010240/__deILiM_normal.jpg")</f>
        <v>https://pbs.twimg.com/profile_images/1659305732704010240/__deILiM_normal.jpg</v>
      </c>
      <c r="G434" s="63"/>
      <c r="H434" s="67"/>
      <c r="I434" s="68"/>
      <c r="J434" s="68"/>
      <c r="K434" s="67" t="s">
        <v>20167</v>
      </c>
      <c r="L434" s="71"/>
      <c r="M434" s="72"/>
      <c r="N434" s="72"/>
      <c r="O434" s="73"/>
      <c r="P434" s="74"/>
      <c r="Q434" s="74"/>
      <c r="R434" s="87"/>
      <c r="S434" s="87"/>
      <c r="T434" s="87"/>
      <c r="U434" s="87"/>
      <c r="V434" s="48"/>
      <c r="W434" s="48"/>
      <c r="X434" s="48"/>
      <c r="Y434" s="48"/>
      <c r="Z434" s="47"/>
      <c r="AA434" s="69">
        <v>434</v>
      </c>
      <c r="AB434" s="69"/>
      <c r="AC434" s="70"/>
      <c r="AD434" s="76" t="s">
        <v>18175</v>
      </c>
      <c r="AE434" s="81" t="s">
        <v>17631</v>
      </c>
      <c r="AF434" s="76">
        <v>2798</v>
      </c>
      <c r="AG434" s="76">
        <v>570</v>
      </c>
      <c r="AH434" s="76">
        <v>7721</v>
      </c>
      <c r="AI434" s="76">
        <v>10</v>
      </c>
      <c r="AJ434" s="76">
        <v>5072</v>
      </c>
      <c r="AK434" s="76">
        <v>1133</v>
      </c>
      <c r="AL434" s="76" t="b">
        <v>0</v>
      </c>
      <c r="AM434" s="78">
        <v>43498.775462962964</v>
      </c>
      <c r="AN434" s="76"/>
      <c r="AO434" s="76" t="s">
        <v>19159</v>
      </c>
      <c r="AP434" s="76"/>
      <c r="AQ434" s="76"/>
      <c r="AR434" s="76"/>
      <c r="AS434" s="83" t="str">
        <f>HYPERLINK("https://t.co/F1Z0OHOHxV")</f>
        <v>https://t.co/F1Z0OHOHxV</v>
      </c>
      <c r="AT434" s="83" t="str">
        <f>HYPERLINK("https://t.me/tonydaytrade")</f>
        <v>https://t.me/tonydaytrade</v>
      </c>
      <c r="AU434" s="76" t="s">
        <v>19725</v>
      </c>
      <c r="AV434" s="76">
        <v>1.70673996576035E+18</v>
      </c>
      <c r="AW434" s="76"/>
      <c r="AX434" s="76" t="b">
        <v>1</v>
      </c>
      <c r="AY434" s="76"/>
      <c r="AZ434" s="76"/>
      <c r="BA434" s="76" t="b">
        <v>1</v>
      </c>
      <c r="BB434" s="76" t="b">
        <v>1</v>
      </c>
      <c r="BC434" s="76" t="b">
        <v>1</v>
      </c>
      <c r="BD434" s="76" t="b">
        <v>0</v>
      </c>
      <c r="BE434" s="76" t="b">
        <v>1</v>
      </c>
      <c r="BF434" s="76" t="b">
        <v>0</v>
      </c>
      <c r="BG434" s="76" t="b">
        <v>0</v>
      </c>
      <c r="BH434" s="83" t="str">
        <f>HYPERLINK("https://pbs.twimg.com/profile_banners/1091767372485144576/1684444537")</f>
        <v>https://pbs.twimg.com/profile_banners/1091767372485144576/1684444537</v>
      </c>
      <c r="BI434" s="76"/>
      <c r="BJ434" s="76" t="s">
        <v>19734</v>
      </c>
      <c r="BK434" s="76" t="b">
        <v>0</v>
      </c>
      <c r="BL434" s="76"/>
      <c r="BM434" s="76" t="s">
        <v>66</v>
      </c>
      <c r="BN434" s="76" t="s">
        <v>19736</v>
      </c>
      <c r="BO434" s="83" t="str">
        <f>HYPERLINK("https://twitter.com/toninhodocall")</f>
        <v>https://twitter.com/toninhodocall</v>
      </c>
      <c r="BP434" s="2"/>
    </row>
    <row r="435" spans="1:68" x14ac:dyDescent="0.25">
      <c r="A435" s="62" t="s">
        <v>586</v>
      </c>
      <c r="B435" s="63"/>
      <c r="C435" s="63"/>
      <c r="D435" s="64"/>
      <c r="E435" s="66"/>
      <c r="F435" s="103" t="str">
        <f>HYPERLINK("https://pbs.twimg.com/profile_images/1366132985603502081/RoMcl9Zz_normal.jpg")</f>
        <v>https://pbs.twimg.com/profile_images/1366132985603502081/RoMcl9Zz_normal.jpg</v>
      </c>
      <c r="G435" s="63"/>
      <c r="H435" s="67"/>
      <c r="I435" s="68"/>
      <c r="J435" s="68"/>
      <c r="K435" s="67" t="s">
        <v>20168</v>
      </c>
      <c r="L435" s="71"/>
      <c r="M435" s="72"/>
      <c r="N435" s="72"/>
      <c r="O435" s="73"/>
      <c r="P435" s="74"/>
      <c r="Q435" s="74"/>
      <c r="R435" s="87"/>
      <c r="S435" s="87"/>
      <c r="T435" s="87"/>
      <c r="U435" s="87"/>
      <c r="V435" s="48"/>
      <c r="W435" s="48"/>
      <c r="X435" s="48"/>
      <c r="Y435" s="48"/>
      <c r="Z435" s="47"/>
      <c r="AA435" s="69">
        <v>435</v>
      </c>
      <c r="AB435" s="69"/>
      <c r="AC435" s="70"/>
      <c r="AD435" s="76" t="s">
        <v>18176</v>
      </c>
      <c r="AE435" s="81" t="s">
        <v>17632</v>
      </c>
      <c r="AF435" s="76">
        <v>42</v>
      </c>
      <c r="AG435" s="76">
        <v>898</v>
      </c>
      <c r="AH435" s="76">
        <v>71</v>
      </c>
      <c r="AI435" s="76">
        <v>0</v>
      </c>
      <c r="AJ435" s="76">
        <v>50</v>
      </c>
      <c r="AK435" s="76">
        <v>50</v>
      </c>
      <c r="AL435" s="76" t="b">
        <v>0</v>
      </c>
      <c r="AM435" s="78">
        <v>42788.98369212963</v>
      </c>
      <c r="AN435" s="76" t="s">
        <v>12014</v>
      </c>
      <c r="AO435" s="76" t="s">
        <v>19160</v>
      </c>
      <c r="AP435" s="76"/>
      <c r="AQ435" s="76"/>
      <c r="AR435" s="76"/>
      <c r="AS435" s="76"/>
      <c r="AT435" s="76"/>
      <c r="AU435" s="76"/>
      <c r="AV435" s="76"/>
      <c r="AW435" s="76"/>
      <c r="AX435" s="76" t="b">
        <v>0</v>
      </c>
      <c r="AY435" s="76"/>
      <c r="AZ435" s="76"/>
      <c r="BA435" s="76" t="b">
        <v>1</v>
      </c>
      <c r="BB435" s="76" t="b">
        <v>1</v>
      </c>
      <c r="BC435" s="76" t="b">
        <v>1</v>
      </c>
      <c r="BD435" s="76" t="b">
        <v>0</v>
      </c>
      <c r="BE435" s="76" t="b">
        <v>0</v>
      </c>
      <c r="BF435" s="76" t="b">
        <v>0</v>
      </c>
      <c r="BG435" s="76" t="b">
        <v>0</v>
      </c>
      <c r="BH435" s="83" t="str">
        <f>HYPERLINK("https://pbs.twimg.com/profile_banners/834547449113038850/1614546457")</f>
        <v>https://pbs.twimg.com/profile_banners/834547449113038850/1614546457</v>
      </c>
      <c r="BI435" s="76"/>
      <c r="BJ435" s="76" t="s">
        <v>19734</v>
      </c>
      <c r="BK435" s="76" t="b">
        <v>0</v>
      </c>
      <c r="BL435" s="76"/>
      <c r="BM435" s="76" t="s">
        <v>66</v>
      </c>
      <c r="BN435" s="76" t="s">
        <v>19736</v>
      </c>
      <c r="BO435" s="83" t="str">
        <f>HYPERLINK("https://twitter.com/jamesatayde")</f>
        <v>https://twitter.com/jamesatayde</v>
      </c>
      <c r="BP435" s="2"/>
    </row>
    <row r="436" spans="1:68" x14ac:dyDescent="0.25">
      <c r="A436" s="62" t="s">
        <v>587</v>
      </c>
      <c r="B436" s="63"/>
      <c r="C436" s="63"/>
      <c r="D436" s="64"/>
      <c r="E436" s="66"/>
      <c r="F436" s="103" t="str">
        <f>HYPERLINK("https://pbs.twimg.com/profile_images/1511164700045844480/JlDXYONv_normal.jpg")</f>
        <v>https://pbs.twimg.com/profile_images/1511164700045844480/JlDXYONv_normal.jpg</v>
      </c>
      <c r="G436" s="63"/>
      <c r="H436" s="67"/>
      <c r="I436" s="68"/>
      <c r="J436" s="68"/>
      <c r="K436" s="67" t="s">
        <v>20169</v>
      </c>
      <c r="L436" s="71"/>
      <c r="M436" s="72"/>
      <c r="N436" s="72"/>
      <c r="O436" s="73"/>
      <c r="P436" s="74"/>
      <c r="Q436" s="74"/>
      <c r="R436" s="87"/>
      <c r="S436" s="87"/>
      <c r="T436" s="87"/>
      <c r="U436" s="87"/>
      <c r="V436" s="48"/>
      <c r="W436" s="48"/>
      <c r="X436" s="48"/>
      <c r="Y436" s="48"/>
      <c r="Z436" s="47"/>
      <c r="AA436" s="69">
        <v>436</v>
      </c>
      <c r="AB436" s="69"/>
      <c r="AC436" s="70"/>
      <c r="AD436" s="76" t="s">
        <v>18177</v>
      </c>
      <c r="AE436" s="81" t="s">
        <v>18498</v>
      </c>
      <c r="AF436" s="76">
        <v>9022</v>
      </c>
      <c r="AG436" s="76">
        <v>9146</v>
      </c>
      <c r="AH436" s="76">
        <v>11001</v>
      </c>
      <c r="AI436" s="76">
        <v>2</v>
      </c>
      <c r="AJ436" s="76">
        <v>21058</v>
      </c>
      <c r="AK436" s="76">
        <v>3159</v>
      </c>
      <c r="AL436" s="76" t="b">
        <v>0</v>
      </c>
      <c r="AM436" s="78">
        <v>40386.779432870368</v>
      </c>
      <c r="AN436" s="76" t="s">
        <v>18720</v>
      </c>
      <c r="AO436" s="76" t="s">
        <v>19161</v>
      </c>
      <c r="AP436" s="76"/>
      <c r="AQ436" s="76"/>
      <c r="AR436" s="76"/>
      <c r="AS436" s="76"/>
      <c r="AT436" s="76"/>
      <c r="AU436" s="76"/>
      <c r="AV436" s="76"/>
      <c r="AW436" s="76"/>
      <c r="AX436" s="76" t="b">
        <v>0</v>
      </c>
      <c r="AY436" s="76"/>
      <c r="AZ436" s="76"/>
      <c r="BA436" s="76" t="b">
        <v>0</v>
      </c>
      <c r="BB436" s="76" t="b">
        <v>1</v>
      </c>
      <c r="BC436" s="76" t="b">
        <v>0</v>
      </c>
      <c r="BD436" s="76" t="b">
        <v>0</v>
      </c>
      <c r="BE436" s="76" t="b">
        <v>1</v>
      </c>
      <c r="BF436" s="76" t="b">
        <v>0</v>
      </c>
      <c r="BG436" s="76" t="b">
        <v>0</v>
      </c>
      <c r="BH436" s="83" t="str">
        <f>HYPERLINK("https://pbs.twimg.com/profile_banners/171600153/1650203560")</f>
        <v>https://pbs.twimg.com/profile_banners/171600153/1650203560</v>
      </c>
      <c r="BI436" s="76"/>
      <c r="BJ436" s="76" t="s">
        <v>19734</v>
      </c>
      <c r="BK436" s="76" t="b">
        <v>0</v>
      </c>
      <c r="BL436" s="76"/>
      <c r="BM436" s="76" t="s">
        <v>66</v>
      </c>
      <c r="BN436" s="76" t="s">
        <v>19736</v>
      </c>
      <c r="BO436" s="83" t="str">
        <f>HYPERLINK("https://twitter.com/celiobalbi")</f>
        <v>https://twitter.com/celiobalbi</v>
      </c>
      <c r="BP436" s="2"/>
    </row>
    <row r="437" spans="1:68" x14ac:dyDescent="0.25">
      <c r="A437" s="62" t="s">
        <v>589</v>
      </c>
      <c r="B437" s="63"/>
      <c r="C437" s="63"/>
      <c r="D437" s="64"/>
      <c r="E437" s="66"/>
      <c r="F437" s="103" t="str">
        <f>HYPERLINK("https://pbs.twimg.com/profile_images/1669692576411025408/XCpYII3n_normal.jpg")</f>
        <v>https://pbs.twimg.com/profile_images/1669692576411025408/XCpYII3n_normal.jpg</v>
      </c>
      <c r="G437" s="63"/>
      <c r="H437" s="67"/>
      <c r="I437" s="68"/>
      <c r="J437" s="68"/>
      <c r="K437" s="67" t="s">
        <v>20170</v>
      </c>
      <c r="L437" s="71"/>
      <c r="M437" s="72"/>
      <c r="N437" s="72"/>
      <c r="O437" s="73"/>
      <c r="P437" s="74"/>
      <c r="Q437" s="74"/>
      <c r="R437" s="87"/>
      <c r="S437" s="87"/>
      <c r="T437" s="87"/>
      <c r="U437" s="87"/>
      <c r="V437" s="48"/>
      <c r="W437" s="48"/>
      <c r="X437" s="48"/>
      <c r="Y437" s="48"/>
      <c r="Z437" s="47"/>
      <c r="AA437" s="69">
        <v>437</v>
      </c>
      <c r="AB437" s="69"/>
      <c r="AC437" s="70"/>
      <c r="AD437" s="76" t="s">
        <v>18178</v>
      </c>
      <c r="AE437" s="81" t="s">
        <v>17633</v>
      </c>
      <c r="AF437" s="76">
        <v>13</v>
      </c>
      <c r="AG437" s="76">
        <v>49</v>
      </c>
      <c r="AH437" s="76">
        <v>85</v>
      </c>
      <c r="AI437" s="76">
        <v>0</v>
      </c>
      <c r="AJ437" s="76">
        <v>49</v>
      </c>
      <c r="AK437" s="76">
        <v>48</v>
      </c>
      <c r="AL437" s="76" t="b">
        <v>0</v>
      </c>
      <c r="AM437" s="78">
        <v>45093.545208333337</v>
      </c>
      <c r="AN437" s="76"/>
      <c r="AO437" s="76" t="s">
        <v>19162</v>
      </c>
      <c r="AP437" s="76"/>
      <c r="AQ437" s="76"/>
      <c r="AR437" s="76"/>
      <c r="AS437" s="76"/>
      <c r="AT437" s="76"/>
      <c r="AU437" s="76"/>
      <c r="AV437" s="76"/>
      <c r="AW437" s="76"/>
      <c r="AX437" s="76" t="b">
        <v>0</v>
      </c>
      <c r="AY437" s="76"/>
      <c r="AZ437" s="76"/>
      <c r="BA437" s="76" t="b">
        <v>0</v>
      </c>
      <c r="BB437" s="76" t="b">
        <v>1</v>
      </c>
      <c r="BC437" s="76" t="b">
        <v>1</v>
      </c>
      <c r="BD437" s="76" t="b">
        <v>0</v>
      </c>
      <c r="BE437" s="76" t="b">
        <v>0</v>
      </c>
      <c r="BF437" s="76" t="b">
        <v>0</v>
      </c>
      <c r="BG437" s="76" t="b">
        <v>0</v>
      </c>
      <c r="BH437" s="83" t="str">
        <f>HYPERLINK("https://pbs.twimg.com/profile_banners/1669692402699755522/1687276544")</f>
        <v>https://pbs.twimg.com/profile_banners/1669692402699755522/1687276544</v>
      </c>
      <c r="BI437" s="76"/>
      <c r="BJ437" s="76" t="s">
        <v>19734</v>
      </c>
      <c r="BK437" s="76" t="b">
        <v>0</v>
      </c>
      <c r="BL437" s="76"/>
      <c r="BM437" s="76" t="s">
        <v>66</v>
      </c>
      <c r="BN437" s="76" t="s">
        <v>19736</v>
      </c>
      <c r="BO437" s="83" t="str">
        <f>HYPERLINK("https://twitter.com/marquinhodapipa")</f>
        <v>https://twitter.com/marquinhodapipa</v>
      </c>
      <c r="BP437" s="2"/>
    </row>
    <row r="438" spans="1:68" x14ac:dyDescent="0.25">
      <c r="A438" s="62" t="s">
        <v>590</v>
      </c>
      <c r="B438" s="63"/>
      <c r="C438" s="63"/>
      <c r="D438" s="64"/>
      <c r="E438" s="66"/>
      <c r="F438" s="103" t="str">
        <f>HYPERLINK("https://pbs.twimg.com/profile_images/1654237553636065282/s_FbzlFY_normal.jpg")</f>
        <v>https://pbs.twimg.com/profile_images/1654237553636065282/s_FbzlFY_normal.jpg</v>
      </c>
      <c r="G438" s="63"/>
      <c r="H438" s="67"/>
      <c r="I438" s="68"/>
      <c r="J438" s="68"/>
      <c r="K438" s="67" t="s">
        <v>20171</v>
      </c>
      <c r="L438" s="71"/>
      <c r="M438" s="72"/>
      <c r="N438" s="72"/>
      <c r="O438" s="73"/>
      <c r="P438" s="74"/>
      <c r="Q438" s="74"/>
      <c r="R438" s="87"/>
      <c r="S438" s="87"/>
      <c r="T438" s="87"/>
      <c r="U438" s="87"/>
      <c r="V438" s="48"/>
      <c r="W438" s="48"/>
      <c r="X438" s="48"/>
      <c r="Y438" s="48"/>
      <c r="Z438" s="47"/>
      <c r="AA438" s="69">
        <v>438</v>
      </c>
      <c r="AB438" s="69"/>
      <c r="AC438" s="70"/>
      <c r="AD438" s="76" t="s">
        <v>18179</v>
      </c>
      <c r="AE438" s="81" t="s">
        <v>17634</v>
      </c>
      <c r="AF438" s="76">
        <v>455</v>
      </c>
      <c r="AG438" s="76">
        <v>1370</v>
      </c>
      <c r="AH438" s="76">
        <v>7968</v>
      </c>
      <c r="AI438" s="76">
        <v>0</v>
      </c>
      <c r="AJ438" s="76">
        <v>728</v>
      </c>
      <c r="AK438" s="76">
        <v>4877</v>
      </c>
      <c r="AL438" s="76" t="b">
        <v>0</v>
      </c>
      <c r="AM438" s="78">
        <v>44267.587106481478</v>
      </c>
      <c r="AN438" s="76" t="s">
        <v>18721</v>
      </c>
      <c r="AO438" s="76" t="s">
        <v>19163</v>
      </c>
      <c r="AP438" s="83" t="str">
        <f>HYPERLINK("https://t.co/6VV1JNFIPN")</f>
        <v>https://t.co/6VV1JNFIPN</v>
      </c>
      <c r="AQ438" s="83" t="str">
        <f>HYPERLINK("https://onjornal.com/")</f>
        <v>https://onjornal.com/</v>
      </c>
      <c r="AR438" s="76" t="s">
        <v>19562</v>
      </c>
      <c r="AS438" s="76"/>
      <c r="AT438" s="76"/>
      <c r="AU438" s="76"/>
      <c r="AV438" s="76"/>
      <c r="AW438" s="83" t="str">
        <f>HYPERLINK("https://t.co/6VV1JNFIPN")</f>
        <v>https://t.co/6VV1JNFIPN</v>
      </c>
      <c r="AX438" s="76" t="b">
        <v>0</v>
      </c>
      <c r="AY438" s="76"/>
      <c r="AZ438" s="76"/>
      <c r="BA438" s="76" t="b">
        <v>0</v>
      </c>
      <c r="BB438" s="76" t="b">
        <v>1</v>
      </c>
      <c r="BC438" s="76" t="b">
        <v>1</v>
      </c>
      <c r="BD438" s="76" t="b">
        <v>0</v>
      </c>
      <c r="BE438" s="76" t="b">
        <v>0</v>
      </c>
      <c r="BF438" s="76" t="b">
        <v>0</v>
      </c>
      <c r="BG438" s="76" t="b">
        <v>0</v>
      </c>
      <c r="BH438" s="83" t="str">
        <f>HYPERLINK("https://pbs.twimg.com/profile_banners/1370375263356395524/1683235944")</f>
        <v>https://pbs.twimg.com/profile_banners/1370375263356395524/1683235944</v>
      </c>
      <c r="BI438" s="76"/>
      <c r="BJ438" s="76" t="s">
        <v>19734</v>
      </c>
      <c r="BK438" s="76" t="b">
        <v>0</v>
      </c>
      <c r="BL438" s="76"/>
      <c r="BM438" s="76" t="s">
        <v>66</v>
      </c>
      <c r="BN438" s="76" t="s">
        <v>19736</v>
      </c>
      <c r="BO438" s="83" t="str">
        <f>HYPERLINK("https://twitter.com/onjornal1")</f>
        <v>https://twitter.com/onjornal1</v>
      </c>
      <c r="BP438" s="2"/>
    </row>
    <row r="439" spans="1:68" x14ac:dyDescent="0.25">
      <c r="A439" s="62" t="s">
        <v>591</v>
      </c>
      <c r="B439" s="63"/>
      <c r="C439" s="63"/>
      <c r="D439" s="64"/>
      <c r="E439" s="66"/>
      <c r="F439" s="103" t="str">
        <f>HYPERLINK("https://pbs.twimg.com/profile_images/1674028117390655495/pbt7Cx7z_normal.jpg")</f>
        <v>https://pbs.twimg.com/profile_images/1674028117390655495/pbt7Cx7z_normal.jpg</v>
      </c>
      <c r="G439" s="63"/>
      <c r="H439" s="67"/>
      <c r="I439" s="68"/>
      <c r="J439" s="68"/>
      <c r="K439" s="67" t="s">
        <v>20172</v>
      </c>
      <c r="L439" s="71"/>
      <c r="M439" s="72"/>
      <c r="N439" s="72"/>
      <c r="O439" s="73"/>
      <c r="P439" s="74"/>
      <c r="Q439" s="74"/>
      <c r="R439" s="87"/>
      <c r="S439" s="87"/>
      <c r="T439" s="87"/>
      <c r="U439" s="87"/>
      <c r="V439" s="48"/>
      <c r="W439" s="48"/>
      <c r="X439" s="48"/>
      <c r="Y439" s="48"/>
      <c r="Z439" s="47"/>
      <c r="AA439" s="69">
        <v>439</v>
      </c>
      <c r="AB439" s="69"/>
      <c r="AC439" s="70"/>
      <c r="AD439" s="76" t="s">
        <v>18180</v>
      </c>
      <c r="AE439" s="81" t="s">
        <v>17635</v>
      </c>
      <c r="AF439" s="76">
        <v>0</v>
      </c>
      <c r="AG439" s="76">
        <v>18</v>
      </c>
      <c r="AH439" s="76">
        <v>10</v>
      </c>
      <c r="AI439" s="76">
        <v>0</v>
      </c>
      <c r="AJ439" s="76">
        <v>5</v>
      </c>
      <c r="AK439" s="76">
        <v>7</v>
      </c>
      <c r="AL439" s="76" t="b">
        <v>0</v>
      </c>
      <c r="AM439" s="78">
        <v>45105.509016203701</v>
      </c>
      <c r="AN439" s="76"/>
      <c r="AO439" s="76"/>
      <c r="AP439" s="76"/>
      <c r="AQ439" s="76"/>
      <c r="AR439" s="76"/>
      <c r="AS439" s="76"/>
      <c r="AT439" s="76"/>
      <c r="AU439" s="76"/>
      <c r="AV439" s="76"/>
      <c r="AW439" s="76"/>
      <c r="AX439" s="76" t="b">
        <v>0</v>
      </c>
      <c r="AY439" s="76"/>
      <c r="AZ439" s="76"/>
      <c r="BA439" s="76" t="b">
        <v>0</v>
      </c>
      <c r="BB439" s="76" t="b">
        <v>1</v>
      </c>
      <c r="BC439" s="76" t="b">
        <v>1</v>
      </c>
      <c r="BD439" s="76" t="b">
        <v>0</v>
      </c>
      <c r="BE439" s="76" t="b">
        <v>0</v>
      </c>
      <c r="BF439" s="76" t="b">
        <v>0</v>
      </c>
      <c r="BG439" s="76" t="b">
        <v>0</v>
      </c>
      <c r="BH439" s="76"/>
      <c r="BI439" s="76"/>
      <c r="BJ439" s="76" t="s">
        <v>19734</v>
      </c>
      <c r="BK439" s="76" t="b">
        <v>0</v>
      </c>
      <c r="BL439" s="76"/>
      <c r="BM439" s="76" t="s">
        <v>66</v>
      </c>
      <c r="BN439" s="76" t="s">
        <v>19736</v>
      </c>
      <c r="BO439" s="83" t="str">
        <f>HYPERLINK("https://twitter.com/maykoonayk")</f>
        <v>https://twitter.com/maykoonayk</v>
      </c>
      <c r="BP439" s="2"/>
    </row>
    <row r="440" spans="1:68" x14ac:dyDescent="0.25">
      <c r="A440" s="62" t="s">
        <v>592</v>
      </c>
      <c r="B440" s="63"/>
      <c r="C440" s="63"/>
      <c r="D440" s="64"/>
      <c r="E440" s="66"/>
      <c r="F440" s="103" t="str">
        <f>HYPERLINK("https://pbs.twimg.com/profile_images/1494321333924077578/hdM-vIss_normal.jpg")</f>
        <v>https://pbs.twimg.com/profile_images/1494321333924077578/hdM-vIss_normal.jpg</v>
      </c>
      <c r="G440" s="63"/>
      <c r="H440" s="67"/>
      <c r="I440" s="68"/>
      <c r="J440" s="68"/>
      <c r="K440" s="67" t="s">
        <v>20173</v>
      </c>
      <c r="L440" s="71"/>
      <c r="M440" s="72"/>
      <c r="N440" s="72"/>
      <c r="O440" s="73"/>
      <c r="P440" s="74"/>
      <c r="Q440" s="74"/>
      <c r="R440" s="87"/>
      <c r="S440" s="87"/>
      <c r="T440" s="87"/>
      <c r="U440" s="87"/>
      <c r="V440" s="48"/>
      <c r="W440" s="48"/>
      <c r="X440" s="48"/>
      <c r="Y440" s="48"/>
      <c r="Z440" s="47"/>
      <c r="AA440" s="69">
        <v>440</v>
      </c>
      <c r="AB440" s="69"/>
      <c r="AC440" s="70"/>
      <c r="AD440" s="76" t="s">
        <v>18181</v>
      </c>
      <c r="AE440" s="81" t="s">
        <v>17636</v>
      </c>
      <c r="AF440" s="76">
        <v>269</v>
      </c>
      <c r="AG440" s="76">
        <v>309</v>
      </c>
      <c r="AH440" s="76">
        <v>2610</v>
      </c>
      <c r="AI440" s="76">
        <v>0</v>
      </c>
      <c r="AJ440" s="76">
        <v>214</v>
      </c>
      <c r="AK440" s="76">
        <v>2128</v>
      </c>
      <c r="AL440" s="76" t="b">
        <v>0</v>
      </c>
      <c r="AM440" s="78">
        <v>43234.561979166669</v>
      </c>
      <c r="AN440" s="76" t="s">
        <v>12014</v>
      </c>
      <c r="AO440" s="76" t="s">
        <v>19164</v>
      </c>
      <c r="AP440" s="83" t="str">
        <f>HYPERLINK("https://t.co/hptxLzwQ0H")</f>
        <v>https://t.co/hptxLzwQ0H</v>
      </c>
      <c r="AQ440" s="83" t="str">
        <f>HYPERLINK("https://www.revistamt.com.br")</f>
        <v>https://www.revistamt.com.br</v>
      </c>
      <c r="AR440" s="76" t="s">
        <v>19563</v>
      </c>
      <c r="AS440" s="76"/>
      <c r="AT440" s="76"/>
      <c r="AU440" s="76"/>
      <c r="AV440" s="76"/>
      <c r="AW440" s="83" t="str">
        <f>HYPERLINK("https://t.co/hptxLzwQ0H")</f>
        <v>https://t.co/hptxLzwQ0H</v>
      </c>
      <c r="AX440" s="76" t="b">
        <v>0</v>
      </c>
      <c r="AY440" s="76"/>
      <c r="AZ440" s="76"/>
      <c r="BA440" s="76" t="b">
        <v>1</v>
      </c>
      <c r="BB440" s="76" t="b">
        <v>1</v>
      </c>
      <c r="BC440" s="76" t="b">
        <v>0</v>
      </c>
      <c r="BD440" s="76" t="b">
        <v>0</v>
      </c>
      <c r="BE440" s="76" t="b">
        <v>0</v>
      </c>
      <c r="BF440" s="76" t="b">
        <v>0</v>
      </c>
      <c r="BG440" s="76" t="b">
        <v>0</v>
      </c>
      <c r="BH440" s="83" t="str">
        <f>HYPERLINK("https://pbs.twimg.com/profile_banners/996019610586701824/1645109489")</f>
        <v>https://pbs.twimg.com/profile_banners/996019610586701824/1645109489</v>
      </c>
      <c r="BI440" s="76"/>
      <c r="BJ440" s="76" t="s">
        <v>19734</v>
      </c>
      <c r="BK440" s="76" t="b">
        <v>0</v>
      </c>
      <c r="BL440" s="76"/>
      <c r="BM440" s="76" t="s">
        <v>66</v>
      </c>
      <c r="BN440" s="76" t="s">
        <v>19736</v>
      </c>
      <c r="BO440" s="83" t="str">
        <f>HYPERLINK("https://twitter.com/revistamt1")</f>
        <v>https://twitter.com/revistamt1</v>
      </c>
      <c r="BP440" s="2"/>
    </row>
    <row r="441" spans="1:68" x14ac:dyDescent="0.25">
      <c r="A441" s="62" t="s">
        <v>593</v>
      </c>
      <c r="B441" s="63"/>
      <c r="C441" s="63"/>
      <c r="D441" s="64"/>
      <c r="E441" s="66"/>
      <c r="F441" s="103" t="str">
        <f>HYPERLINK("https://pbs.twimg.com/profile_images/1494316235667955719/cBYv_mKZ_normal.jpg")</f>
        <v>https://pbs.twimg.com/profile_images/1494316235667955719/cBYv_mKZ_normal.jpg</v>
      </c>
      <c r="G441" s="63"/>
      <c r="H441" s="67"/>
      <c r="I441" s="68"/>
      <c r="J441" s="68"/>
      <c r="K441" s="67" t="s">
        <v>20174</v>
      </c>
      <c r="L441" s="71"/>
      <c r="M441" s="72"/>
      <c r="N441" s="72"/>
      <c r="O441" s="73"/>
      <c r="P441" s="74"/>
      <c r="Q441" s="74"/>
      <c r="R441" s="87"/>
      <c r="S441" s="87"/>
      <c r="T441" s="87"/>
      <c r="U441" s="87"/>
      <c r="V441" s="48"/>
      <c r="W441" s="48"/>
      <c r="X441" s="48"/>
      <c r="Y441" s="48"/>
      <c r="Z441" s="47"/>
      <c r="AA441" s="69">
        <v>441</v>
      </c>
      <c r="AB441" s="69"/>
      <c r="AC441" s="70"/>
      <c r="AD441" s="76" t="s">
        <v>18182</v>
      </c>
      <c r="AE441" s="81" t="s">
        <v>18499</v>
      </c>
      <c r="AF441" s="76">
        <v>1653</v>
      </c>
      <c r="AG441" s="76">
        <v>549</v>
      </c>
      <c r="AH441" s="76">
        <v>21771</v>
      </c>
      <c r="AI441" s="76">
        <v>18</v>
      </c>
      <c r="AJ441" s="76">
        <v>186</v>
      </c>
      <c r="AK441" s="76">
        <v>1509</v>
      </c>
      <c r="AL441" s="76" t="b">
        <v>0</v>
      </c>
      <c r="AM441" s="78">
        <v>40452.619618055556</v>
      </c>
      <c r="AN441" s="76" t="s">
        <v>12040</v>
      </c>
      <c r="AO441" s="76" t="s">
        <v>19165</v>
      </c>
      <c r="AP441" s="83" t="str">
        <f>HYPERLINK("https://t.co/bAemTLF1h7")</f>
        <v>https://t.co/bAemTLF1h7</v>
      </c>
      <c r="AQ441" s="83" t="str">
        <f>HYPERLINK("http://www.sobratema.org.br")</f>
        <v>http://www.sobratema.org.br</v>
      </c>
      <c r="AR441" s="76" t="s">
        <v>19564</v>
      </c>
      <c r="AS441" s="76"/>
      <c r="AT441" s="76"/>
      <c r="AU441" s="76"/>
      <c r="AV441" s="76"/>
      <c r="AW441" s="83" t="str">
        <f>HYPERLINK("https://t.co/bAemTLF1h7")</f>
        <v>https://t.co/bAemTLF1h7</v>
      </c>
      <c r="AX441" s="76" t="b">
        <v>0</v>
      </c>
      <c r="AY441" s="76"/>
      <c r="AZ441" s="76"/>
      <c r="BA441" s="76" t="b">
        <v>0</v>
      </c>
      <c r="BB441" s="76" t="b">
        <v>1</v>
      </c>
      <c r="BC441" s="76" t="b">
        <v>0</v>
      </c>
      <c r="BD441" s="76" t="b">
        <v>0</v>
      </c>
      <c r="BE441" s="76" t="b">
        <v>0</v>
      </c>
      <c r="BF441" s="76" t="b">
        <v>0</v>
      </c>
      <c r="BG441" s="76" t="b">
        <v>0</v>
      </c>
      <c r="BH441" s="83" t="str">
        <f>HYPERLINK("https://pbs.twimg.com/profile_banners/197450348/1645108656")</f>
        <v>https://pbs.twimg.com/profile_banners/197450348/1645108656</v>
      </c>
      <c r="BI441" s="76"/>
      <c r="BJ441" s="76" t="s">
        <v>19734</v>
      </c>
      <c r="BK441" s="76" t="b">
        <v>0</v>
      </c>
      <c r="BL441" s="76"/>
      <c r="BM441" s="76" t="s">
        <v>66</v>
      </c>
      <c r="BN441" s="76" t="s">
        <v>19736</v>
      </c>
      <c r="BO441" s="83" t="str">
        <f>HYPERLINK("https://twitter.com/sobratema")</f>
        <v>https://twitter.com/sobratema</v>
      </c>
      <c r="BP441" s="2"/>
    </row>
    <row r="442" spans="1:68" x14ac:dyDescent="0.25">
      <c r="A442" s="62" t="s">
        <v>594</v>
      </c>
      <c r="B442" s="63"/>
      <c r="C442" s="63"/>
      <c r="D442" s="64"/>
      <c r="E442" s="66"/>
      <c r="F442" s="103" t="str">
        <f>HYPERLINK("https://pbs.twimg.com/profile_images/1642491258043072514/Clxoy6WQ_normal.jpg")</f>
        <v>https://pbs.twimg.com/profile_images/1642491258043072514/Clxoy6WQ_normal.jpg</v>
      </c>
      <c r="G442" s="63"/>
      <c r="H442" s="67"/>
      <c r="I442" s="68"/>
      <c r="J442" s="68"/>
      <c r="K442" s="67" t="s">
        <v>20175</v>
      </c>
      <c r="L442" s="71"/>
      <c r="M442" s="72"/>
      <c r="N442" s="72"/>
      <c r="O442" s="73"/>
      <c r="P442" s="74"/>
      <c r="Q442" s="74"/>
      <c r="R442" s="87"/>
      <c r="S442" s="87"/>
      <c r="T442" s="87"/>
      <c r="U442" s="87"/>
      <c r="V442" s="48"/>
      <c r="W442" s="48"/>
      <c r="X442" s="48"/>
      <c r="Y442" s="48"/>
      <c r="Z442" s="47"/>
      <c r="AA442" s="69">
        <v>442</v>
      </c>
      <c r="AB442" s="69"/>
      <c r="AC442" s="70"/>
      <c r="AD442" s="76" t="s">
        <v>18183</v>
      </c>
      <c r="AE442" s="81" t="s">
        <v>17637</v>
      </c>
      <c r="AF442" s="76">
        <v>5</v>
      </c>
      <c r="AG442" s="76">
        <v>59</v>
      </c>
      <c r="AH442" s="76">
        <v>103</v>
      </c>
      <c r="AI442" s="76">
        <v>1</v>
      </c>
      <c r="AJ442" s="76">
        <v>5</v>
      </c>
      <c r="AK442" s="76">
        <v>25</v>
      </c>
      <c r="AL442" s="76" t="b">
        <v>0</v>
      </c>
      <c r="AM442" s="78">
        <v>44422.664467592593</v>
      </c>
      <c r="AN442" s="76" t="s">
        <v>12014</v>
      </c>
      <c r="AO442" s="76" t="s">
        <v>19166</v>
      </c>
      <c r="AP442" s="83" t="str">
        <f>HYPERLINK("https://t.co/tE7iU1wYSo")</f>
        <v>https://t.co/tE7iU1wYSo</v>
      </c>
      <c r="AQ442" s="83" t="str">
        <f>HYPERLINK("https://youtu.be/VUYPKy7pw2I")</f>
        <v>https://youtu.be/VUYPKy7pw2I</v>
      </c>
      <c r="AR442" s="76" t="s">
        <v>19565</v>
      </c>
      <c r="AS442" s="76"/>
      <c r="AT442" s="76"/>
      <c r="AU442" s="76"/>
      <c r="AV442" s="76"/>
      <c r="AW442" s="83" t="str">
        <f>HYPERLINK("https://t.co/tE7iU1wYSo")</f>
        <v>https://t.co/tE7iU1wYSo</v>
      </c>
      <c r="AX442" s="76" t="b">
        <v>0</v>
      </c>
      <c r="AY442" s="76"/>
      <c r="AZ442" s="76"/>
      <c r="BA442" s="76" t="b">
        <v>0</v>
      </c>
      <c r="BB442" s="76" t="b">
        <v>1</v>
      </c>
      <c r="BC442" s="76" t="b">
        <v>1</v>
      </c>
      <c r="BD442" s="76" t="b">
        <v>0</v>
      </c>
      <c r="BE442" s="76" t="b">
        <v>0</v>
      </c>
      <c r="BF442" s="76" t="b">
        <v>0</v>
      </c>
      <c r="BG442" s="76" t="b">
        <v>0</v>
      </c>
      <c r="BH442" s="83" t="str">
        <f>HYPERLINK("https://pbs.twimg.com/profile_banners/1426573407450238978/1642181123")</f>
        <v>https://pbs.twimg.com/profile_banners/1426573407450238978/1642181123</v>
      </c>
      <c r="BI442" s="76"/>
      <c r="BJ442" s="76" t="s">
        <v>19734</v>
      </c>
      <c r="BK442" s="76" t="b">
        <v>0</v>
      </c>
      <c r="BL442" s="76"/>
      <c r="BM442" s="76" t="s">
        <v>66</v>
      </c>
      <c r="BN442" s="76" t="s">
        <v>19736</v>
      </c>
      <c r="BO442" s="83" t="str">
        <f>HYPERLINK("https://twitter.com/mano_investidor")</f>
        <v>https://twitter.com/mano_investidor</v>
      </c>
      <c r="BP442" s="2"/>
    </row>
    <row r="443" spans="1:68" x14ac:dyDescent="0.25">
      <c r="A443" s="62" t="s">
        <v>595</v>
      </c>
      <c r="B443" s="63"/>
      <c r="C443" s="63"/>
      <c r="D443" s="64"/>
      <c r="E443" s="66"/>
      <c r="F443" s="103" t="str">
        <f>HYPERLINK("https://pbs.twimg.com/profile_images/1298975014939774977/iMbZTqwR_normal.jpg")</f>
        <v>https://pbs.twimg.com/profile_images/1298975014939774977/iMbZTqwR_normal.jpg</v>
      </c>
      <c r="G443" s="63"/>
      <c r="H443" s="67"/>
      <c r="I443" s="68"/>
      <c r="J443" s="68"/>
      <c r="K443" s="67" t="s">
        <v>20176</v>
      </c>
      <c r="L443" s="71"/>
      <c r="M443" s="72"/>
      <c r="N443" s="72"/>
      <c r="O443" s="73"/>
      <c r="P443" s="74"/>
      <c r="Q443" s="74"/>
      <c r="R443" s="87"/>
      <c r="S443" s="87"/>
      <c r="T443" s="87"/>
      <c r="U443" s="87"/>
      <c r="V443" s="48"/>
      <c r="W443" s="48"/>
      <c r="X443" s="48"/>
      <c r="Y443" s="48"/>
      <c r="Z443" s="47"/>
      <c r="AA443" s="69">
        <v>443</v>
      </c>
      <c r="AB443" s="69"/>
      <c r="AC443" s="70"/>
      <c r="AD443" s="76" t="s">
        <v>18184</v>
      </c>
      <c r="AE443" s="81" t="s">
        <v>17368</v>
      </c>
      <c r="AF443" s="76">
        <v>62</v>
      </c>
      <c r="AG443" s="76">
        <v>17</v>
      </c>
      <c r="AH443" s="76">
        <v>1611</v>
      </c>
      <c r="AI443" s="76">
        <v>0</v>
      </c>
      <c r="AJ443" s="76">
        <v>2</v>
      </c>
      <c r="AK443" s="76">
        <v>268</v>
      </c>
      <c r="AL443" s="76" t="b">
        <v>0</v>
      </c>
      <c r="AM443" s="78">
        <v>40480.557488425926</v>
      </c>
      <c r="AN443" s="76" t="s">
        <v>12040</v>
      </c>
      <c r="AO443" s="76" t="s">
        <v>19167</v>
      </c>
      <c r="AP443" s="83" t="str">
        <f>HYPERLINK("https://t.co/mNmsIWnYa2")</f>
        <v>https://t.co/mNmsIWnYa2</v>
      </c>
      <c r="AQ443" s="83" t="str">
        <f>HYPERLINK("http://www.bravacapital.com")</f>
        <v>http://www.bravacapital.com</v>
      </c>
      <c r="AR443" s="76" t="s">
        <v>7135</v>
      </c>
      <c r="AS443" s="76"/>
      <c r="AT443" s="76"/>
      <c r="AU443" s="76"/>
      <c r="AV443" s="76"/>
      <c r="AW443" s="83" t="str">
        <f>HYPERLINK("https://t.co/mNmsIWnYa2")</f>
        <v>https://t.co/mNmsIWnYa2</v>
      </c>
      <c r="AX443" s="76" t="b">
        <v>0</v>
      </c>
      <c r="AY443" s="76"/>
      <c r="AZ443" s="76"/>
      <c r="BA443" s="76" t="b">
        <v>0</v>
      </c>
      <c r="BB443" s="76" t="b">
        <v>1</v>
      </c>
      <c r="BC443" s="76" t="b">
        <v>1</v>
      </c>
      <c r="BD443" s="76" t="b">
        <v>0</v>
      </c>
      <c r="BE443" s="76" t="b">
        <v>0</v>
      </c>
      <c r="BF443" s="76" t="b">
        <v>0</v>
      </c>
      <c r="BG443" s="76" t="b">
        <v>0</v>
      </c>
      <c r="BH443" s="83" t="str">
        <f>HYPERLINK("https://pbs.twimg.com/profile_banners/209578308/1598534641")</f>
        <v>https://pbs.twimg.com/profile_banners/209578308/1598534641</v>
      </c>
      <c r="BI443" s="76"/>
      <c r="BJ443" s="76" t="s">
        <v>19734</v>
      </c>
      <c r="BK443" s="76" t="b">
        <v>0</v>
      </c>
      <c r="BL443" s="76"/>
      <c r="BM443" s="76" t="s">
        <v>66</v>
      </c>
      <c r="BN443" s="76" t="s">
        <v>19736</v>
      </c>
      <c r="BO443" s="83" t="str">
        <f>HYPERLINK("https://twitter.com/bravacapital")</f>
        <v>https://twitter.com/bravacapital</v>
      </c>
      <c r="BP443" s="2"/>
    </row>
    <row r="444" spans="1:68" x14ac:dyDescent="0.25">
      <c r="A444" s="62" t="s">
        <v>597</v>
      </c>
      <c r="B444" s="63"/>
      <c r="C444" s="63"/>
      <c r="D444" s="64"/>
      <c r="E444" s="66"/>
      <c r="F444" s="103" t="str">
        <f>HYPERLINK("https://pbs.twimg.com/profile_images/1656338467096330241/us9nGBbn_normal.jpg")</f>
        <v>https://pbs.twimg.com/profile_images/1656338467096330241/us9nGBbn_normal.jpg</v>
      </c>
      <c r="G444" s="63"/>
      <c r="H444" s="67"/>
      <c r="I444" s="68"/>
      <c r="J444" s="68"/>
      <c r="K444" s="67" t="s">
        <v>20177</v>
      </c>
      <c r="L444" s="71"/>
      <c r="M444" s="72"/>
      <c r="N444" s="72"/>
      <c r="O444" s="73"/>
      <c r="P444" s="74"/>
      <c r="Q444" s="74"/>
      <c r="R444" s="87"/>
      <c r="S444" s="87"/>
      <c r="T444" s="87"/>
      <c r="U444" s="87"/>
      <c r="V444" s="48"/>
      <c r="W444" s="48"/>
      <c r="X444" s="48"/>
      <c r="Y444" s="48"/>
      <c r="Z444" s="47"/>
      <c r="AA444" s="69">
        <v>444</v>
      </c>
      <c r="AB444" s="69"/>
      <c r="AC444" s="70"/>
      <c r="AD444" s="76" t="s">
        <v>18185</v>
      </c>
      <c r="AE444" s="81" t="s">
        <v>17638</v>
      </c>
      <c r="AF444" s="76">
        <v>10</v>
      </c>
      <c r="AG444" s="76">
        <v>73</v>
      </c>
      <c r="AH444" s="76">
        <v>211</v>
      </c>
      <c r="AI444" s="76">
        <v>0</v>
      </c>
      <c r="AJ444" s="76">
        <v>93</v>
      </c>
      <c r="AK444" s="76">
        <v>68</v>
      </c>
      <c r="AL444" s="76" t="b">
        <v>0</v>
      </c>
      <c r="AM444" s="78">
        <v>45056.610150462962</v>
      </c>
      <c r="AN444" s="76" t="s">
        <v>12013</v>
      </c>
      <c r="AO444" s="76" t="s">
        <v>19168</v>
      </c>
      <c r="AP444" s="83" t="str">
        <f>HYPERLINK("https://t.co/bsI1I4CE0T")</f>
        <v>https://t.co/bsI1I4CE0T</v>
      </c>
      <c r="AQ444" s="83" t="str">
        <f>HYPERLINK("https://www.youtube.com/@Creatorboss7")</f>
        <v>https://www.youtube.com/@Creatorboss7</v>
      </c>
      <c r="AR444" s="76" t="s">
        <v>19566</v>
      </c>
      <c r="AS444" s="76"/>
      <c r="AT444" s="76"/>
      <c r="AU444" s="76"/>
      <c r="AV444" s="76"/>
      <c r="AW444" s="83" t="str">
        <f>HYPERLINK("https://t.co/bsI1I4CE0T")</f>
        <v>https://t.co/bsI1I4CE0T</v>
      </c>
      <c r="AX444" s="76" t="b">
        <v>0</v>
      </c>
      <c r="AY444" s="76"/>
      <c r="AZ444" s="76"/>
      <c r="BA444" s="76" t="b">
        <v>1</v>
      </c>
      <c r="BB444" s="76" t="b">
        <v>1</v>
      </c>
      <c r="BC444" s="76" t="b">
        <v>1</v>
      </c>
      <c r="BD444" s="76" t="b">
        <v>0</v>
      </c>
      <c r="BE444" s="76" t="b">
        <v>0</v>
      </c>
      <c r="BF444" s="76" t="b">
        <v>0</v>
      </c>
      <c r="BG444" s="76" t="b">
        <v>0</v>
      </c>
      <c r="BH444" s="83" t="str">
        <f>HYPERLINK("https://pbs.twimg.com/profile_banners/1656307557906907137/1683736865")</f>
        <v>https://pbs.twimg.com/profile_banners/1656307557906907137/1683736865</v>
      </c>
      <c r="BI444" s="76"/>
      <c r="BJ444" s="76" t="s">
        <v>19734</v>
      </c>
      <c r="BK444" s="76" t="b">
        <v>0</v>
      </c>
      <c r="BL444" s="76"/>
      <c r="BM444" s="76" t="s">
        <v>66</v>
      </c>
      <c r="BN444" s="76" t="s">
        <v>19736</v>
      </c>
      <c r="BO444" s="83" t="str">
        <f>HYPERLINK("https://twitter.com/hiltonboss90841")</f>
        <v>https://twitter.com/hiltonboss90841</v>
      </c>
      <c r="BP444" s="2"/>
    </row>
    <row r="445" spans="1:68" x14ac:dyDescent="0.25">
      <c r="A445" s="62" t="s">
        <v>791</v>
      </c>
      <c r="B445" s="63"/>
      <c r="C445" s="63"/>
      <c r="D445" s="64"/>
      <c r="E445" s="66"/>
      <c r="F445" s="103" t="str">
        <f>HYPERLINK("https://pbs.twimg.com/profile_images/1533759960164843520/KOhPknaV_normal.jpg")</f>
        <v>https://pbs.twimg.com/profile_images/1533759960164843520/KOhPknaV_normal.jpg</v>
      </c>
      <c r="G445" s="63"/>
      <c r="H445" s="67"/>
      <c r="I445" s="68"/>
      <c r="J445" s="68"/>
      <c r="K445" s="67" t="s">
        <v>20178</v>
      </c>
      <c r="L445" s="71"/>
      <c r="M445" s="72"/>
      <c r="N445" s="72"/>
      <c r="O445" s="73"/>
      <c r="P445" s="74"/>
      <c r="Q445" s="74"/>
      <c r="R445" s="87"/>
      <c r="S445" s="87"/>
      <c r="T445" s="87"/>
      <c r="U445" s="87"/>
      <c r="V445" s="48"/>
      <c r="W445" s="48"/>
      <c r="X445" s="48"/>
      <c r="Y445" s="48"/>
      <c r="Z445" s="47"/>
      <c r="AA445" s="69">
        <v>445</v>
      </c>
      <c r="AB445" s="69"/>
      <c r="AC445" s="70"/>
      <c r="AD445" s="76" t="s">
        <v>18186</v>
      </c>
      <c r="AE445" s="81" t="s">
        <v>18500</v>
      </c>
      <c r="AF445" s="76">
        <v>23587</v>
      </c>
      <c r="AG445" s="76">
        <v>1074</v>
      </c>
      <c r="AH445" s="76">
        <v>85351</v>
      </c>
      <c r="AI445" s="76">
        <v>459</v>
      </c>
      <c r="AJ445" s="76">
        <v>1667</v>
      </c>
      <c r="AK445" s="76">
        <v>1309</v>
      </c>
      <c r="AL445" s="76" t="b">
        <v>0</v>
      </c>
      <c r="AM445" s="78">
        <v>39932.937604166669</v>
      </c>
      <c r="AN445" s="76" t="s">
        <v>18722</v>
      </c>
      <c r="AO445" s="76" t="s">
        <v>19169</v>
      </c>
      <c r="AP445" s="83" t="str">
        <f>HYPERLINK("https://t.co/igwGO4uQsp")</f>
        <v>https://t.co/igwGO4uQsp</v>
      </c>
      <c r="AQ445" s="83" t="str">
        <f>HYPERLINK("http://hil.tn/s6V6a4")</f>
        <v>http://hil.tn/s6V6a4</v>
      </c>
      <c r="AR445" s="76" t="s">
        <v>19567</v>
      </c>
      <c r="AS445" s="76"/>
      <c r="AT445" s="76"/>
      <c r="AU445" s="76"/>
      <c r="AV445" s="76"/>
      <c r="AW445" s="83" t="str">
        <f>HYPERLINK("https://t.co/igwGO4uQsp")</f>
        <v>https://t.co/igwGO4uQsp</v>
      </c>
      <c r="AX445" s="76" t="b">
        <v>0</v>
      </c>
      <c r="AY445" s="76"/>
      <c r="AZ445" s="76"/>
      <c r="BA445" s="76" t="b">
        <v>1</v>
      </c>
      <c r="BB445" s="76" t="b">
        <v>1</v>
      </c>
      <c r="BC445" s="76" t="b">
        <v>0</v>
      </c>
      <c r="BD445" s="76" t="b">
        <v>0</v>
      </c>
      <c r="BE445" s="76" t="b">
        <v>1</v>
      </c>
      <c r="BF445" s="76" t="b">
        <v>0</v>
      </c>
      <c r="BG445" s="76" t="b">
        <v>0</v>
      </c>
      <c r="BH445" s="83" t="str">
        <f>HYPERLINK("https://pbs.twimg.com/profile_banners/36504210/1654511866")</f>
        <v>https://pbs.twimg.com/profile_banners/36504210/1654511866</v>
      </c>
      <c r="BI445" s="76"/>
      <c r="BJ445" s="76" t="s">
        <v>19734</v>
      </c>
      <c r="BK445" s="76" t="b">
        <v>0</v>
      </c>
      <c r="BL445" s="76"/>
      <c r="BM445" s="76" t="s">
        <v>65</v>
      </c>
      <c r="BN445" s="76" t="s">
        <v>19736</v>
      </c>
      <c r="BO445" s="83" t="str">
        <f>HYPERLINK("https://twitter.com/hilton")</f>
        <v>https://twitter.com/hilton</v>
      </c>
      <c r="BP445" s="2"/>
    </row>
    <row r="446" spans="1:68" x14ac:dyDescent="0.25">
      <c r="A446" s="62" t="s">
        <v>598</v>
      </c>
      <c r="B446" s="63"/>
      <c r="C446" s="63"/>
      <c r="D446" s="64"/>
      <c r="E446" s="66"/>
      <c r="F446" s="103" t="str">
        <f>HYPERLINK("https://pbs.twimg.com/profile_images/1401606933942001665/v-OF79Eu_normal.jpg")</f>
        <v>https://pbs.twimg.com/profile_images/1401606933942001665/v-OF79Eu_normal.jpg</v>
      </c>
      <c r="G446" s="63"/>
      <c r="H446" s="67"/>
      <c r="I446" s="68"/>
      <c r="J446" s="68"/>
      <c r="K446" s="67" t="s">
        <v>20179</v>
      </c>
      <c r="L446" s="71"/>
      <c r="M446" s="72"/>
      <c r="N446" s="72"/>
      <c r="O446" s="73"/>
      <c r="P446" s="74"/>
      <c r="Q446" s="74"/>
      <c r="R446" s="87"/>
      <c r="S446" s="87"/>
      <c r="T446" s="87"/>
      <c r="U446" s="87"/>
      <c r="V446" s="48"/>
      <c r="W446" s="48"/>
      <c r="X446" s="48"/>
      <c r="Y446" s="48"/>
      <c r="Z446" s="47"/>
      <c r="AA446" s="69">
        <v>446</v>
      </c>
      <c r="AB446" s="69"/>
      <c r="AC446" s="70"/>
      <c r="AD446" s="76" t="s">
        <v>18187</v>
      </c>
      <c r="AE446" s="81" t="s">
        <v>18501</v>
      </c>
      <c r="AF446" s="76">
        <v>1849</v>
      </c>
      <c r="AG446" s="76">
        <v>60</v>
      </c>
      <c r="AH446" s="76">
        <v>7501</v>
      </c>
      <c r="AI446" s="76">
        <v>15</v>
      </c>
      <c r="AJ446" s="76">
        <v>149</v>
      </c>
      <c r="AK446" s="76">
        <v>1740</v>
      </c>
      <c r="AL446" s="76" t="b">
        <v>0</v>
      </c>
      <c r="AM446" s="78">
        <v>42214.349490740744</v>
      </c>
      <c r="AN446" s="76" t="s">
        <v>18723</v>
      </c>
      <c r="AO446" s="76" t="s">
        <v>19170</v>
      </c>
      <c r="AP446" s="83" t="str">
        <f>HYPERLINK("https://t.co/Xx5Ahw3uKH")</f>
        <v>https://t.co/Xx5Ahw3uKH</v>
      </c>
      <c r="AQ446" s="83" t="str">
        <f>HYPERLINK("http://clickpetroleoegas.com.br")</f>
        <v>http://clickpetroleoegas.com.br</v>
      </c>
      <c r="AR446" s="76" t="s">
        <v>19568</v>
      </c>
      <c r="AS446" s="76"/>
      <c r="AT446" s="76"/>
      <c r="AU446" s="76"/>
      <c r="AV446" s="76"/>
      <c r="AW446" s="83" t="str">
        <f>HYPERLINK("https://t.co/Xx5Ahw3uKH")</f>
        <v>https://t.co/Xx5Ahw3uKH</v>
      </c>
      <c r="AX446" s="76" t="b">
        <v>0</v>
      </c>
      <c r="AY446" s="76"/>
      <c r="AZ446" s="76"/>
      <c r="BA446" s="76" t="b">
        <v>0</v>
      </c>
      <c r="BB446" s="76" t="b">
        <v>1</v>
      </c>
      <c r="BC446" s="76" t="b">
        <v>1</v>
      </c>
      <c r="BD446" s="76" t="b">
        <v>0</v>
      </c>
      <c r="BE446" s="76" t="b">
        <v>0</v>
      </c>
      <c r="BF446" s="76" t="b">
        <v>0</v>
      </c>
      <c r="BG446" s="76" t="b">
        <v>0</v>
      </c>
      <c r="BH446" s="83" t="str">
        <f>HYPERLINK("https://pbs.twimg.com/profile_banners/3393519442/1521183955")</f>
        <v>https://pbs.twimg.com/profile_banners/3393519442/1521183955</v>
      </c>
      <c r="BI446" s="76"/>
      <c r="BJ446" s="76" t="s">
        <v>19734</v>
      </c>
      <c r="BK446" s="76" t="b">
        <v>0</v>
      </c>
      <c r="BL446" s="76"/>
      <c r="BM446" s="76" t="s">
        <v>66</v>
      </c>
      <c r="BN446" s="76" t="s">
        <v>19736</v>
      </c>
      <c r="BO446" s="83" t="str">
        <f>HYPERLINK("https://twitter.com/clickpetroleoeg")</f>
        <v>https://twitter.com/clickpetroleoeg</v>
      </c>
      <c r="BP446" s="2"/>
    </row>
    <row r="447" spans="1:68" x14ac:dyDescent="0.25">
      <c r="A447" s="62" t="s">
        <v>599</v>
      </c>
      <c r="B447" s="63"/>
      <c r="C447" s="63"/>
      <c r="D447" s="64"/>
      <c r="E447" s="66"/>
      <c r="F447" s="103" t="str">
        <f>HYPERLINK("https://pbs.twimg.com/profile_images/1601221671033229317/vdk9I2tD_normal.jpg")</f>
        <v>https://pbs.twimg.com/profile_images/1601221671033229317/vdk9I2tD_normal.jpg</v>
      </c>
      <c r="G447" s="63"/>
      <c r="H447" s="67"/>
      <c r="I447" s="68"/>
      <c r="J447" s="68"/>
      <c r="K447" s="67" t="s">
        <v>20180</v>
      </c>
      <c r="L447" s="71"/>
      <c r="M447" s="72"/>
      <c r="N447" s="72"/>
      <c r="O447" s="73"/>
      <c r="P447" s="74"/>
      <c r="Q447" s="74"/>
      <c r="R447" s="87"/>
      <c r="S447" s="87"/>
      <c r="T447" s="87"/>
      <c r="U447" s="87"/>
      <c r="V447" s="48"/>
      <c r="W447" s="48"/>
      <c r="X447" s="48"/>
      <c r="Y447" s="48"/>
      <c r="Z447" s="47"/>
      <c r="AA447" s="69">
        <v>447</v>
      </c>
      <c r="AB447" s="69"/>
      <c r="AC447" s="70"/>
      <c r="AD447" s="76" t="s">
        <v>18188</v>
      </c>
      <c r="AE447" s="81" t="s">
        <v>18502</v>
      </c>
      <c r="AF447" s="76">
        <v>12</v>
      </c>
      <c r="AG447" s="76">
        <v>482</v>
      </c>
      <c r="AH447" s="76">
        <v>428</v>
      </c>
      <c r="AI447" s="76">
        <v>0</v>
      </c>
      <c r="AJ447" s="76">
        <v>222</v>
      </c>
      <c r="AK447" s="76">
        <v>183</v>
      </c>
      <c r="AL447" s="76" t="b">
        <v>0</v>
      </c>
      <c r="AM447" s="78">
        <v>40148.044374999998</v>
      </c>
      <c r="AN447" s="76" t="s">
        <v>12040</v>
      </c>
      <c r="AO447" s="76" t="s">
        <v>19171</v>
      </c>
      <c r="AP447" s="83" t="str">
        <f>HYPERLINK("https://t.co/a4RgVnOdt5")</f>
        <v>https://t.co/a4RgVnOdt5</v>
      </c>
      <c r="AQ447" s="83" t="str">
        <f>HYPERLINK("http://hermescapital.com.br")</f>
        <v>http://hermescapital.com.br</v>
      </c>
      <c r="AR447" s="76" t="s">
        <v>19569</v>
      </c>
      <c r="AS447" s="76" t="s">
        <v>19663</v>
      </c>
      <c r="AT447" s="76" t="s">
        <v>19679</v>
      </c>
      <c r="AU447" s="76" t="s">
        <v>19726</v>
      </c>
      <c r="AV447" s="76"/>
      <c r="AW447" s="83" t="str">
        <f>HYPERLINK("https://t.co/a4RgVnOdt5")</f>
        <v>https://t.co/a4RgVnOdt5</v>
      </c>
      <c r="AX447" s="76" t="b">
        <v>0</v>
      </c>
      <c r="AY447" s="76"/>
      <c r="AZ447" s="76"/>
      <c r="BA447" s="76" t="b">
        <v>0</v>
      </c>
      <c r="BB447" s="76" t="b">
        <v>1</v>
      </c>
      <c r="BC447" s="76" t="b">
        <v>1</v>
      </c>
      <c r="BD447" s="76" t="b">
        <v>0</v>
      </c>
      <c r="BE447" s="76" t="b">
        <v>0</v>
      </c>
      <c r="BF447" s="76" t="b">
        <v>0</v>
      </c>
      <c r="BG447" s="76" t="b">
        <v>0</v>
      </c>
      <c r="BH447" s="83" t="str">
        <f>HYPERLINK("https://pbs.twimg.com/profile_banners/93754487/1682609850")</f>
        <v>https://pbs.twimg.com/profile_banners/93754487/1682609850</v>
      </c>
      <c r="BI447" s="76"/>
      <c r="BJ447" s="76" t="s">
        <v>19734</v>
      </c>
      <c r="BK447" s="76" t="b">
        <v>0</v>
      </c>
      <c r="BL447" s="76"/>
      <c r="BM447" s="76" t="s">
        <v>66</v>
      </c>
      <c r="BN447" s="76" t="s">
        <v>19736</v>
      </c>
      <c r="BO447" s="83" t="str">
        <f>HYPERLINK("https://twitter.com/glaucojarzinski")</f>
        <v>https://twitter.com/glaucojarzinski</v>
      </c>
      <c r="BP447" s="2"/>
    </row>
    <row r="448" spans="1:68" x14ac:dyDescent="0.25">
      <c r="A448" s="62" t="s">
        <v>600</v>
      </c>
      <c r="B448" s="63"/>
      <c r="C448" s="63"/>
      <c r="D448" s="64"/>
      <c r="E448" s="66"/>
      <c r="F448" s="103" t="str">
        <f>HYPERLINK("https://pbs.twimg.com/profile_images/1686121878614667264/5PiuurOe_normal.jpg")</f>
        <v>https://pbs.twimg.com/profile_images/1686121878614667264/5PiuurOe_normal.jpg</v>
      </c>
      <c r="G448" s="63"/>
      <c r="H448" s="67"/>
      <c r="I448" s="68"/>
      <c r="J448" s="68"/>
      <c r="K448" s="67" t="s">
        <v>20181</v>
      </c>
      <c r="L448" s="71"/>
      <c r="M448" s="72"/>
      <c r="N448" s="72"/>
      <c r="O448" s="73"/>
      <c r="P448" s="74"/>
      <c r="Q448" s="74"/>
      <c r="R448" s="87"/>
      <c r="S448" s="87"/>
      <c r="T448" s="87"/>
      <c r="U448" s="87"/>
      <c r="V448" s="48"/>
      <c r="W448" s="48"/>
      <c r="X448" s="48"/>
      <c r="Y448" s="48"/>
      <c r="Z448" s="47"/>
      <c r="AA448" s="69">
        <v>448</v>
      </c>
      <c r="AB448" s="69"/>
      <c r="AC448" s="70"/>
      <c r="AD448" s="76" t="s">
        <v>18189</v>
      </c>
      <c r="AE448" s="81" t="s">
        <v>17639</v>
      </c>
      <c r="AF448" s="76">
        <v>56</v>
      </c>
      <c r="AG448" s="76">
        <v>27</v>
      </c>
      <c r="AH448" s="76">
        <v>2613</v>
      </c>
      <c r="AI448" s="76">
        <v>0</v>
      </c>
      <c r="AJ448" s="76">
        <v>1725</v>
      </c>
      <c r="AK448" s="76">
        <v>396</v>
      </c>
      <c r="AL448" s="76" t="b">
        <v>0</v>
      </c>
      <c r="AM448" s="78">
        <v>44416.734756944446</v>
      </c>
      <c r="AN448" s="76" t="s">
        <v>18724</v>
      </c>
      <c r="AO448" s="76" t="s">
        <v>19172</v>
      </c>
      <c r="AP448" s="83" t="str">
        <f>HYPERLINK("https://t.co/rXRz4Li8IY")</f>
        <v>https://t.co/rXRz4Li8IY</v>
      </c>
      <c r="AQ448" s="83" t="str">
        <f>HYPERLINK("https://www.youtube.com/@Jesuschrist7793")</f>
        <v>https://www.youtube.com/@Jesuschrist7793</v>
      </c>
      <c r="AR448" s="76" t="s">
        <v>19570</v>
      </c>
      <c r="AS448" s="76"/>
      <c r="AT448" s="76"/>
      <c r="AU448" s="76"/>
      <c r="AV448" s="76">
        <v>1.70706586320175E+18</v>
      </c>
      <c r="AW448" s="83" t="str">
        <f>HYPERLINK("https://t.co/rXRz4Li8IY")</f>
        <v>https://t.co/rXRz4Li8IY</v>
      </c>
      <c r="AX448" s="76" t="b">
        <v>0</v>
      </c>
      <c r="AY448" s="76"/>
      <c r="AZ448" s="76"/>
      <c r="BA448" s="76" t="b">
        <v>0</v>
      </c>
      <c r="BB448" s="76" t="b">
        <v>0</v>
      </c>
      <c r="BC448" s="76" t="b">
        <v>1</v>
      </c>
      <c r="BD448" s="76" t="b">
        <v>0</v>
      </c>
      <c r="BE448" s="76" t="b">
        <v>1</v>
      </c>
      <c r="BF448" s="76" t="b">
        <v>0</v>
      </c>
      <c r="BG448" s="76" t="b">
        <v>0</v>
      </c>
      <c r="BH448" s="83" t="str">
        <f>HYPERLINK("https://pbs.twimg.com/profile_banners/1424424616601309186/1695831929")</f>
        <v>https://pbs.twimg.com/profile_banners/1424424616601309186/1695831929</v>
      </c>
      <c r="BI448" s="76"/>
      <c r="BJ448" s="76" t="s">
        <v>19734</v>
      </c>
      <c r="BK448" s="76" t="b">
        <v>0</v>
      </c>
      <c r="BL448" s="76"/>
      <c r="BM448" s="76" t="s">
        <v>66</v>
      </c>
      <c r="BN448" s="76" t="s">
        <v>19736</v>
      </c>
      <c r="BO448" s="83" t="str">
        <f>HYPERLINK("https://twitter.com/light_love7")</f>
        <v>https://twitter.com/light_love7</v>
      </c>
      <c r="BP448" s="2"/>
    </row>
    <row r="449" spans="1:68" x14ac:dyDescent="0.25">
      <c r="A449" s="62" t="s">
        <v>601</v>
      </c>
      <c r="B449" s="63"/>
      <c r="C449" s="63"/>
      <c r="D449" s="64"/>
      <c r="E449" s="66"/>
      <c r="F449" s="103" t="str">
        <f>HYPERLINK("https://pbs.twimg.com/profile_images/1482068046571352065/s1Arz_gU_normal.jpg")</f>
        <v>https://pbs.twimg.com/profile_images/1482068046571352065/s1Arz_gU_normal.jpg</v>
      </c>
      <c r="G449" s="63"/>
      <c r="H449" s="67"/>
      <c r="I449" s="68"/>
      <c r="J449" s="68"/>
      <c r="K449" s="67" t="s">
        <v>20182</v>
      </c>
      <c r="L449" s="71"/>
      <c r="M449" s="72"/>
      <c r="N449" s="72"/>
      <c r="O449" s="73"/>
      <c r="P449" s="74"/>
      <c r="Q449" s="74"/>
      <c r="R449" s="87"/>
      <c r="S449" s="87"/>
      <c r="T449" s="87"/>
      <c r="U449" s="87"/>
      <c r="V449" s="48"/>
      <c r="W449" s="48"/>
      <c r="X449" s="48"/>
      <c r="Y449" s="48"/>
      <c r="Z449" s="47"/>
      <c r="AA449" s="69">
        <v>449</v>
      </c>
      <c r="AB449" s="69"/>
      <c r="AC449" s="70"/>
      <c r="AD449" s="76" t="s">
        <v>18190</v>
      </c>
      <c r="AE449" s="81" t="s">
        <v>18503</v>
      </c>
      <c r="AF449" s="76">
        <v>240</v>
      </c>
      <c r="AG449" s="76">
        <v>576</v>
      </c>
      <c r="AH449" s="76">
        <v>1789</v>
      </c>
      <c r="AI449" s="76">
        <v>10</v>
      </c>
      <c r="AJ449" s="76">
        <v>219</v>
      </c>
      <c r="AK449" s="76">
        <v>407</v>
      </c>
      <c r="AL449" s="76" t="b">
        <v>0</v>
      </c>
      <c r="AM449" s="78">
        <v>40059.855069444442</v>
      </c>
      <c r="AN449" s="76" t="s">
        <v>12014</v>
      </c>
      <c r="AO449" s="76" t="s">
        <v>19173</v>
      </c>
      <c r="AP449" s="83" t="str">
        <f>HYPERLINK("https://t.co/rjvBmLzPgQ")</f>
        <v>https://t.co/rjvBmLzPgQ</v>
      </c>
      <c r="AQ449" s="83" t="str">
        <f>HYPERLINK("http://www.factu.com.br")</f>
        <v>http://www.factu.com.br</v>
      </c>
      <c r="AR449" s="76" t="s">
        <v>19571</v>
      </c>
      <c r="AS449" s="83" t="str">
        <f>HYPERLINK("https://t.co/Ylib53zf1b")</f>
        <v>https://t.co/Ylib53zf1b</v>
      </c>
      <c r="AT449" s="83" t="str">
        <f>HYPERLINK("http://www.factu.com.br/post/produtividade-e-eficiencia-no-trabalho")</f>
        <v>http://www.factu.com.br/post/produtividade-e-eficiencia-no-trabalho</v>
      </c>
      <c r="AU449" s="76" t="s">
        <v>19727</v>
      </c>
      <c r="AV449" s="76"/>
      <c r="AW449" s="83" t="str">
        <f>HYPERLINK("https://t.co/rjvBmLzPgQ")</f>
        <v>https://t.co/rjvBmLzPgQ</v>
      </c>
      <c r="AX449" s="76" t="b">
        <v>0</v>
      </c>
      <c r="AY449" s="76"/>
      <c r="AZ449" s="76"/>
      <c r="BA449" s="76" t="b">
        <v>0</v>
      </c>
      <c r="BB449" s="76" t="b">
        <v>1</v>
      </c>
      <c r="BC449" s="76" t="b">
        <v>0</v>
      </c>
      <c r="BD449" s="76" t="b">
        <v>0</v>
      </c>
      <c r="BE449" s="76" t="b">
        <v>1</v>
      </c>
      <c r="BF449" s="76" t="b">
        <v>0</v>
      </c>
      <c r="BG449" s="76" t="b">
        <v>0</v>
      </c>
      <c r="BH449" s="83" t="str">
        <f>HYPERLINK("https://pbs.twimg.com/profile_banners/71351432/1544120959")</f>
        <v>https://pbs.twimg.com/profile_banners/71351432/1544120959</v>
      </c>
      <c r="BI449" s="76"/>
      <c r="BJ449" s="76" t="s">
        <v>19734</v>
      </c>
      <c r="BK449" s="76" t="b">
        <v>0</v>
      </c>
      <c r="BL449" s="76"/>
      <c r="BM449" s="76" t="s">
        <v>66</v>
      </c>
      <c r="BN449" s="76" t="s">
        <v>19736</v>
      </c>
      <c r="BO449" s="83" t="str">
        <f>HYPERLINK("https://twitter.com/factutrade")</f>
        <v>https://twitter.com/factutrade</v>
      </c>
      <c r="BP449" s="2"/>
    </row>
    <row r="450" spans="1:68" x14ac:dyDescent="0.25">
      <c r="A450" s="62" t="s">
        <v>602</v>
      </c>
      <c r="B450" s="63"/>
      <c r="C450" s="63"/>
      <c r="D450" s="64"/>
      <c r="E450" s="66"/>
      <c r="F450" s="103" t="str">
        <f>HYPERLINK("https://pbs.twimg.com/profile_images/1664778697897811968/YTTYmz2i_normal.jpg")</f>
        <v>https://pbs.twimg.com/profile_images/1664778697897811968/YTTYmz2i_normal.jpg</v>
      </c>
      <c r="G450" s="63"/>
      <c r="H450" s="67"/>
      <c r="I450" s="68"/>
      <c r="J450" s="68"/>
      <c r="K450" s="67" t="s">
        <v>20183</v>
      </c>
      <c r="L450" s="71"/>
      <c r="M450" s="72"/>
      <c r="N450" s="72"/>
      <c r="O450" s="73"/>
      <c r="P450" s="74"/>
      <c r="Q450" s="74"/>
      <c r="R450" s="87"/>
      <c r="S450" s="87"/>
      <c r="T450" s="87"/>
      <c r="U450" s="87"/>
      <c r="V450" s="48"/>
      <c r="W450" s="48"/>
      <c r="X450" s="48"/>
      <c r="Y450" s="48"/>
      <c r="Z450" s="47"/>
      <c r="AA450" s="69">
        <v>450</v>
      </c>
      <c r="AB450" s="69"/>
      <c r="AC450" s="70"/>
      <c r="AD450" s="76" t="s">
        <v>18191</v>
      </c>
      <c r="AE450" s="81" t="s">
        <v>18504</v>
      </c>
      <c r="AF450" s="76">
        <v>9</v>
      </c>
      <c r="AG450" s="76">
        <v>384</v>
      </c>
      <c r="AH450" s="76">
        <v>36</v>
      </c>
      <c r="AI450" s="76">
        <v>0</v>
      </c>
      <c r="AJ450" s="76">
        <v>2717</v>
      </c>
      <c r="AK450" s="76">
        <v>6</v>
      </c>
      <c r="AL450" s="76" t="b">
        <v>0</v>
      </c>
      <c r="AM450" s="78">
        <v>40560.196215277778</v>
      </c>
      <c r="AN450" s="76"/>
      <c r="AO450" s="76" t="s">
        <v>19174</v>
      </c>
      <c r="AP450" s="76"/>
      <c r="AQ450" s="76"/>
      <c r="AR450" s="76"/>
      <c r="AS450" s="76"/>
      <c r="AT450" s="76"/>
      <c r="AU450" s="76"/>
      <c r="AV450" s="76"/>
      <c r="AW450" s="76"/>
      <c r="AX450" s="76" t="b">
        <v>0</v>
      </c>
      <c r="AY450" s="76"/>
      <c r="AZ450" s="76"/>
      <c r="BA450" s="76" t="b">
        <v>0</v>
      </c>
      <c r="BB450" s="76" t="b">
        <v>0</v>
      </c>
      <c r="BC450" s="76" t="b">
        <v>1</v>
      </c>
      <c r="BD450" s="76" t="b">
        <v>0</v>
      </c>
      <c r="BE450" s="76" t="b">
        <v>1</v>
      </c>
      <c r="BF450" s="76" t="b">
        <v>0</v>
      </c>
      <c r="BG450" s="76" t="b">
        <v>0</v>
      </c>
      <c r="BH450" s="76"/>
      <c r="BI450" s="76"/>
      <c r="BJ450" s="76" t="s">
        <v>19734</v>
      </c>
      <c r="BK450" s="76" t="b">
        <v>0</v>
      </c>
      <c r="BL450" s="76"/>
      <c r="BM450" s="76" t="s">
        <v>66</v>
      </c>
      <c r="BN450" s="76" t="s">
        <v>19736</v>
      </c>
      <c r="BO450" s="83" t="str">
        <f>HYPERLINK("https://twitter.com/amanciomatheus1")</f>
        <v>https://twitter.com/amanciomatheus1</v>
      </c>
      <c r="BP450" s="2"/>
    </row>
    <row r="451" spans="1:68" x14ac:dyDescent="0.25">
      <c r="A451" s="62" t="s">
        <v>603</v>
      </c>
      <c r="B451" s="63"/>
      <c r="C451" s="63"/>
      <c r="D451" s="64"/>
      <c r="E451" s="66"/>
      <c r="F451" s="103" t="str">
        <f>HYPERLINK("https://pbs.twimg.com/profile_images/1629892329719963655/GkkwKwEJ_normal.png")</f>
        <v>https://pbs.twimg.com/profile_images/1629892329719963655/GkkwKwEJ_normal.png</v>
      </c>
      <c r="G451" s="63"/>
      <c r="H451" s="67"/>
      <c r="I451" s="68"/>
      <c r="J451" s="68"/>
      <c r="K451" s="67" t="s">
        <v>20184</v>
      </c>
      <c r="L451" s="71"/>
      <c r="M451" s="72"/>
      <c r="N451" s="72"/>
      <c r="O451" s="73"/>
      <c r="P451" s="74"/>
      <c r="Q451" s="74"/>
      <c r="R451" s="87"/>
      <c r="S451" s="87"/>
      <c r="T451" s="87"/>
      <c r="U451" s="87"/>
      <c r="V451" s="48"/>
      <c r="W451" s="48"/>
      <c r="X451" s="48"/>
      <c r="Y451" s="48"/>
      <c r="Z451" s="47"/>
      <c r="AA451" s="69">
        <v>451</v>
      </c>
      <c r="AB451" s="69"/>
      <c r="AC451" s="70"/>
      <c r="AD451" s="76" t="s">
        <v>18192</v>
      </c>
      <c r="AE451" s="81" t="s">
        <v>17640</v>
      </c>
      <c r="AF451" s="76">
        <v>720</v>
      </c>
      <c r="AG451" s="76">
        <v>1318</v>
      </c>
      <c r="AH451" s="76">
        <v>6824</v>
      </c>
      <c r="AI451" s="76">
        <v>0</v>
      </c>
      <c r="AJ451" s="76">
        <v>4949</v>
      </c>
      <c r="AK451" s="76">
        <v>1</v>
      </c>
      <c r="AL451" s="76" t="b">
        <v>0</v>
      </c>
      <c r="AM451" s="78">
        <v>44983.717442129629</v>
      </c>
      <c r="AN451" s="76"/>
      <c r="AO451" s="76"/>
      <c r="AP451" s="76"/>
      <c r="AQ451" s="76"/>
      <c r="AR451" s="76"/>
      <c r="AS451" s="76"/>
      <c r="AT451" s="76"/>
      <c r="AU451" s="76"/>
      <c r="AV451" s="76"/>
      <c r="AW451" s="76"/>
      <c r="AX451" s="76" t="b">
        <v>0</v>
      </c>
      <c r="AY451" s="76"/>
      <c r="AZ451" s="76"/>
      <c r="BA451" s="76" t="b">
        <v>0</v>
      </c>
      <c r="BB451" s="76" t="b">
        <v>1</v>
      </c>
      <c r="BC451" s="76" t="b">
        <v>1</v>
      </c>
      <c r="BD451" s="76" t="b">
        <v>0</v>
      </c>
      <c r="BE451" s="76" t="b">
        <v>1</v>
      </c>
      <c r="BF451" s="76" t="b">
        <v>0</v>
      </c>
      <c r="BG451" s="76" t="b">
        <v>0</v>
      </c>
      <c r="BH451" s="76"/>
      <c r="BI451" s="76"/>
      <c r="BJ451" s="76" t="s">
        <v>19734</v>
      </c>
      <c r="BK451" s="76" t="b">
        <v>0</v>
      </c>
      <c r="BL451" s="76"/>
      <c r="BM451" s="76" t="s">
        <v>66</v>
      </c>
      <c r="BN451" s="76" t="s">
        <v>19736</v>
      </c>
      <c r="BO451" s="83" t="str">
        <f>HYPERLINK("https://twitter.com/damiosoaresnun")</f>
        <v>https://twitter.com/damiosoaresnun</v>
      </c>
      <c r="BP451" s="2"/>
    </row>
    <row r="452" spans="1:68" x14ac:dyDescent="0.25">
      <c r="A452" s="62" t="s">
        <v>606</v>
      </c>
      <c r="B452" s="63"/>
      <c r="C452" s="63"/>
      <c r="D452" s="64"/>
      <c r="E452" s="66"/>
      <c r="F452" s="103" t="str">
        <f>HYPERLINK("https://pbs.twimg.com/profile_images/1367258823921139712/_oqEmvmi_normal.jpg")</f>
        <v>https://pbs.twimg.com/profile_images/1367258823921139712/_oqEmvmi_normal.jpg</v>
      </c>
      <c r="G452" s="63"/>
      <c r="H452" s="67"/>
      <c r="I452" s="68"/>
      <c r="J452" s="68"/>
      <c r="K452" s="67" t="s">
        <v>20185</v>
      </c>
      <c r="L452" s="71"/>
      <c r="M452" s="72"/>
      <c r="N452" s="72"/>
      <c r="O452" s="73"/>
      <c r="P452" s="74"/>
      <c r="Q452" s="74"/>
      <c r="R452" s="87"/>
      <c r="S452" s="87"/>
      <c r="T452" s="87"/>
      <c r="U452" s="87"/>
      <c r="V452" s="48"/>
      <c r="W452" s="48"/>
      <c r="X452" s="48"/>
      <c r="Y452" s="48"/>
      <c r="Z452" s="47"/>
      <c r="AA452" s="69">
        <v>452</v>
      </c>
      <c r="AB452" s="69"/>
      <c r="AC452" s="70"/>
      <c r="AD452" s="76" t="s">
        <v>18193</v>
      </c>
      <c r="AE452" s="81" t="s">
        <v>18505</v>
      </c>
      <c r="AF452" s="76">
        <v>2821</v>
      </c>
      <c r="AG452" s="76">
        <v>72</v>
      </c>
      <c r="AH452" s="76">
        <v>359</v>
      </c>
      <c r="AI452" s="76">
        <v>12</v>
      </c>
      <c r="AJ452" s="76">
        <v>2380</v>
      </c>
      <c r="AK452" s="76">
        <v>104</v>
      </c>
      <c r="AL452" s="76" t="b">
        <v>0</v>
      </c>
      <c r="AM452" s="78">
        <v>42351.997164351851</v>
      </c>
      <c r="AN452" s="76" t="s">
        <v>12007</v>
      </c>
      <c r="AO452" s="76" t="s">
        <v>19175</v>
      </c>
      <c r="AP452" s="83" t="str">
        <f>HYPERLINK("https://t.co/nhRKml4Bj1")</f>
        <v>https://t.co/nhRKml4Bj1</v>
      </c>
      <c r="AQ452" s="83" t="str">
        <f>HYPERLINK("https://t.me/acoesevaluations")</f>
        <v>https://t.me/acoesevaluations</v>
      </c>
      <c r="AR452" s="76" t="s">
        <v>19572</v>
      </c>
      <c r="AS452" s="76"/>
      <c r="AT452" s="76"/>
      <c r="AU452" s="76"/>
      <c r="AV452" s="76">
        <v>1.7053525433064E+18</v>
      </c>
      <c r="AW452" s="83" t="str">
        <f>HYPERLINK("https://t.co/nhRKml4Bj1")</f>
        <v>https://t.co/nhRKml4Bj1</v>
      </c>
      <c r="AX452" s="76" t="b">
        <v>0</v>
      </c>
      <c r="AY452" s="76"/>
      <c r="AZ452" s="76"/>
      <c r="BA452" s="76" t="b">
        <v>1</v>
      </c>
      <c r="BB452" s="76" t="b">
        <v>1</v>
      </c>
      <c r="BC452" s="76" t="b">
        <v>1</v>
      </c>
      <c r="BD452" s="76" t="b">
        <v>0</v>
      </c>
      <c r="BE452" s="76" t="b">
        <v>0</v>
      </c>
      <c r="BF452" s="76" t="b">
        <v>0</v>
      </c>
      <c r="BG452" s="76" t="b">
        <v>0</v>
      </c>
      <c r="BH452" s="83" t="str">
        <f>HYPERLINK("https://pbs.twimg.com/profile_banners/4475302455/1683753006")</f>
        <v>https://pbs.twimg.com/profile_banners/4475302455/1683753006</v>
      </c>
      <c r="BI452" s="76"/>
      <c r="BJ452" s="76" t="s">
        <v>19734</v>
      </c>
      <c r="BK452" s="76" t="b">
        <v>0</v>
      </c>
      <c r="BL452" s="76"/>
      <c r="BM452" s="76" t="s">
        <v>66</v>
      </c>
      <c r="BN452" s="76" t="s">
        <v>19736</v>
      </c>
      <c r="BO452" s="83" t="str">
        <f>HYPERLINK("https://twitter.com/hsrodrigues2")</f>
        <v>https://twitter.com/hsrodrigues2</v>
      </c>
      <c r="BP452" s="2"/>
    </row>
    <row r="453" spans="1:68" x14ac:dyDescent="0.25">
      <c r="A453" s="62" t="s">
        <v>607</v>
      </c>
      <c r="B453" s="63"/>
      <c r="C453" s="63"/>
      <c r="D453" s="64"/>
      <c r="E453" s="66"/>
      <c r="F453" s="103" t="str">
        <f>HYPERLINK("https://pbs.twimg.com/profile_images/1331219118796787716/xi-bcfdj_normal.jpg")</f>
        <v>https://pbs.twimg.com/profile_images/1331219118796787716/xi-bcfdj_normal.jpg</v>
      </c>
      <c r="G453" s="63"/>
      <c r="H453" s="67"/>
      <c r="I453" s="68"/>
      <c r="J453" s="68"/>
      <c r="K453" s="67" t="s">
        <v>20186</v>
      </c>
      <c r="L453" s="71"/>
      <c r="M453" s="72"/>
      <c r="N453" s="72"/>
      <c r="O453" s="73"/>
      <c r="P453" s="74"/>
      <c r="Q453" s="74"/>
      <c r="R453" s="87"/>
      <c r="S453" s="87"/>
      <c r="T453" s="87"/>
      <c r="U453" s="87"/>
      <c r="V453" s="48"/>
      <c r="W453" s="48"/>
      <c r="X453" s="48"/>
      <c r="Y453" s="48"/>
      <c r="Z453" s="47"/>
      <c r="AA453" s="69">
        <v>453</v>
      </c>
      <c r="AB453" s="69"/>
      <c r="AC453" s="70"/>
      <c r="AD453" s="76" t="s">
        <v>18194</v>
      </c>
      <c r="AE453" s="81" t="s">
        <v>18506</v>
      </c>
      <c r="AF453" s="76">
        <v>7476</v>
      </c>
      <c r="AG453" s="76">
        <v>612</v>
      </c>
      <c r="AH453" s="76">
        <v>60914</v>
      </c>
      <c r="AI453" s="76">
        <v>69</v>
      </c>
      <c r="AJ453" s="76">
        <v>793</v>
      </c>
      <c r="AK453" s="76">
        <v>14844</v>
      </c>
      <c r="AL453" s="76" t="b">
        <v>0</v>
      </c>
      <c r="AM453" s="78">
        <v>41529.517476851855</v>
      </c>
      <c r="AN453" s="76" t="s">
        <v>18725</v>
      </c>
      <c r="AO453" s="76" t="s">
        <v>19176</v>
      </c>
      <c r="AP453" s="83" t="str">
        <f>HYPERLINK("https://t.co/kUrAqernhY")</f>
        <v>https://t.co/kUrAqernhY</v>
      </c>
      <c r="AQ453" s="83" t="str">
        <f>HYPERLINK("http://amazonasatual.com.br")</f>
        <v>http://amazonasatual.com.br</v>
      </c>
      <c r="AR453" s="76" t="s">
        <v>19573</v>
      </c>
      <c r="AS453" s="83" t="str">
        <f>HYPERLINK("https://t.co/mTdSj1EhJW")</f>
        <v>https://t.co/mTdSj1EhJW</v>
      </c>
      <c r="AT453" s="83" t="str">
        <f>HYPERLINK("http://t.me/amazonas_atual")</f>
        <v>http://t.me/amazonas_atual</v>
      </c>
      <c r="AU453" s="76" t="s">
        <v>19728</v>
      </c>
      <c r="AV453" s="76"/>
      <c r="AW453" s="83" t="str">
        <f>HYPERLINK("https://t.co/kUrAqernhY")</f>
        <v>https://t.co/kUrAqernhY</v>
      </c>
      <c r="AX453" s="76" t="b">
        <v>1</v>
      </c>
      <c r="AY453" s="76"/>
      <c r="AZ453" s="76"/>
      <c r="BA453" s="76" t="b">
        <v>1</v>
      </c>
      <c r="BB453" s="76" t="b">
        <v>1</v>
      </c>
      <c r="BC453" s="76" t="b">
        <v>0</v>
      </c>
      <c r="BD453" s="76" t="b">
        <v>0</v>
      </c>
      <c r="BE453" s="76" t="b">
        <v>1</v>
      </c>
      <c r="BF453" s="76" t="b">
        <v>0</v>
      </c>
      <c r="BG453" s="76" t="b">
        <v>0</v>
      </c>
      <c r="BH453" s="83" t="str">
        <f>HYPERLINK("https://pbs.twimg.com/profile_banners/1857286891/1690483246")</f>
        <v>https://pbs.twimg.com/profile_banners/1857286891/1690483246</v>
      </c>
      <c r="BI453" s="76"/>
      <c r="BJ453" s="76" t="s">
        <v>19734</v>
      </c>
      <c r="BK453" s="76" t="b">
        <v>0</v>
      </c>
      <c r="BL453" s="76"/>
      <c r="BM453" s="76" t="s">
        <v>66</v>
      </c>
      <c r="BN453" s="76" t="s">
        <v>19736</v>
      </c>
      <c r="BO453" s="83" t="str">
        <f>HYPERLINK("https://twitter.com/amazonasatual")</f>
        <v>https://twitter.com/amazonasatual</v>
      </c>
      <c r="BP453" s="2"/>
    </row>
    <row r="454" spans="1:68" x14ac:dyDescent="0.25">
      <c r="A454" s="62" t="s">
        <v>608</v>
      </c>
      <c r="B454" s="63"/>
      <c r="C454" s="63"/>
      <c r="D454" s="64"/>
      <c r="E454" s="66"/>
      <c r="F454" s="103" t="str">
        <f>HYPERLINK("https://pbs.twimg.com/profile_images/1679196610826207235/VNe20Xb-_normal.jpg")</f>
        <v>https://pbs.twimg.com/profile_images/1679196610826207235/VNe20Xb-_normal.jpg</v>
      </c>
      <c r="G454" s="63"/>
      <c r="H454" s="67"/>
      <c r="I454" s="68"/>
      <c r="J454" s="68"/>
      <c r="K454" s="67" t="s">
        <v>20187</v>
      </c>
      <c r="L454" s="71"/>
      <c r="M454" s="72"/>
      <c r="N454" s="72"/>
      <c r="O454" s="73"/>
      <c r="P454" s="74"/>
      <c r="Q454" s="74"/>
      <c r="R454" s="87"/>
      <c r="S454" s="87"/>
      <c r="T454" s="87"/>
      <c r="U454" s="87"/>
      <c r="V454" s="48"/>
      <c r="W454" s="48"/>
      <c r="X454" s="48"/>
      <c r="Y454" s="48"/>
      <c r="Z454" s="47"/>
      <c r="AA454" s="69">
        <v>454</v>
      </c>
      <c r="AB454" s="69"/>
      <c r="AC454" s="70"/>
      <c r="AD454" s="76" t="s">
        <v>18195</v>
      </c>
      <c r="AE454" s="81" t="s">
        <v>18507</v>
      </c>
      <c r="AF454" s="76">
        <v>244</v>
      </c>
      <c r="AG454" s="76">
        <v>287</v>
      </c>
      <c r="AH454" s="76">
        <v>15174</v>
      </c>
      <c r="AI454" s="76">
        <v>0</v>
      </c>
      <c r="AJ454" s="76">
        <v>8836</v>
      </c>
      <c r="AK454" s="76">
        <v>1299</v>
      </c>
      <c r="AL454" s="76" t="b">
        <v>0</v>
      </c>
      <c r="AM454" s="78">
        <v>41059.540266203701</v>
      </c>
      <c r="AN454" s="76" t="s">
        <v>18726</v>
      </c>
      <c r="AO454" s="76" t="s">
        <v>19177</v>
      </c>
      <c r="AP454" s="83" t="str">
        <f>HYPERLINK("https://t.co/dlhQmGo4ct")</f>
        <v>https://t.co/dlhQmGo4ct</v>
      </c>
      <c r="AQ454" s="83" t="str">
        <f>HYPERLINK("https://bit.ly/3bg26dGcomunicacaoonline")</f>
        <v>https://bit.ly/3bg26dGcomunicacaoonline</v>
      </c>
      <c r="AR454" s="76" t="s">
        <v>19574</v>
      </c>
      <c r="AS454" s="76"/>
      <c r="AT454" s="76"/>
      <c r="AU454" s="76"/>
      <c r="AV454" s="76"/>
      <c r="AW454" s="83" t="str">
        <f>HYPERLINK("https://t.co/dlhQmGo4ct")</f>
        <v>https://t.co/dlhQmGo4ct</v>
      </c>
      <c r="AX454" s="76" t="b">
        <v>0</v>
      </c>
      <c r="AY454" s="76"/>
      <c r="AZ454" s="76"/>
      <c r="BA454" s="76" t="b">
        <v>1</v>
      </c>
      <c r="BB454" s="76" t="b">
        <v>1</v>
      </c>
      <c r="BC454" s="76" t="b">
        <v>0</v>
      </c>
      <c r="BD454" s="76" t="b">
        <v>0</v>
      </c>
      <c r="BE454" s="76" t="b">
        <v>1</v>
      </c>
      <c r="BF454" s="76" t="b">
        <v>0</v>
      </c>
      <c r="BG454" s="76" t="b">
        <v>0</v>
      </c>
      <c r="BH454" s="83" t="str">
        <f>HYPERLINK("https://pbs.twimg.com/profile_banners/594578926/1670879736")</f>
        <v>https://pbs.twimg.com/profile_banners/594578926/1670879736</v>
      </c>
      <c r="BI454" s="76"/>
      <c r="BJ454" s="76" t="s">
        <v>19734</v>
      </c>
      <c r="BK454" s="76" t="b">
        <v>0</v>
      </c>
      <c r="BL454" s="76"/>
      <c r="BM454" s="76" t="s">
        <v>66</v>
      </c>
      <c r="BN454" s="76" t="s">
        <v>19736</v>
      </c>
      <c r="BO454" s="83" t="str">
        <f>HYPERLINK("https://twitter.com/guiaindicador")</f>
        <v>https://twitter.com/guiaindicador</v>
      </c>
      <c r="BP454" s="2"/>
    </row>
    <row r="455" spans="1:68" x14ac:dyDescent="0.25">
      <c r="A455" s="62" t="s">
        <v>609</v>
      </c>
      <c r="B455" s="63"/>
      <c r="C455" s="63"/>
      <c r="D455" s="64"/>
      <c r="E455" s="66"/>
      <c r="F455" s="103" t="str">
        <f>HYPERLINK("https://pbs.twimg.com/profile_images/1648368073324240899/O62M-O8U_normal.jpg")</f>
        <v>https://pbs.twimg.com/profile_images/1648368073324240899/O62M-O8U_normal.jpg</v>
      </c>
      <c r="G455" s="63"/>
      <c r="H455" s="67"/>
      <c r="I455" s="68"/>
      <c r="J455" s="68"/>
      <c r="K455" s="67" t="s">
        <v>20188</v>
      </c>
      <c r="L455" s="71"/>
      <c r="M455" s="72"/>
      <c r="N455" s="72"/>
      <c r="O455" s="73"/>
      <c r="P455" s="74"/>
      <c r="Q455" s="74"/>
      <c r="R455" s="87"/>
      <c r="S455" s="87"/>
      <c r="T455" s="87"/>
      <c r="U455" s="87"/>
      <c r="V455" s="48"/>
      <c r="W455" s="48"/>
      <c r="X455" s="48"/>
      <c r="Y455" s="48"/>
      <c r="Z455" s="47"/>
      <c r="AA455" s="69">
        <v>455</v>
      </c>
      <c r="AB455" s="69"/>
      <c r="AC455" s="70"/>
      <c r="AD455" s="76" t="s">
        <v>609</v>
      </c>
      <c r="AE455" s="81" t="s">
        <v>17369</v>
      </c>
      <c r="AF455" s="76">
        <v>36203</v>
      </c>
      <c r="AG455" s="76">
        <v>179</v>
      </c>
      <c r="AH455" s="76">
        <v>33731</v>
      </c>
      <c r="AI455" s="76">
        <v>180</v>
      </c>
      <c r="AJ455" s="76">
        <v>9392</v>
      </c>
      <c r="AK455" s="76">
        <v>21576</v>
      </c>
      <c r="AL455" s="76" t="b">
        <v>0</v>
      </c>
      <c r="AM455" s="78">
        <v>40693.766921296294</v>
      </c>
      <c r="AN455" s="76" t="s">
        <v>18712</v>
      </c>
      <c r="AO455" s="76" t="s">
        <v>19178</v>
      </c>
      <c r="AP455" s="83" t="str">
        <f>HYPERLINK("https://t.co/jcXZSgJlHS")</f>
        <v>https://t.co/jcXZSgJlHS</v>
      </c>
      <c r="AQ455" s="83" t="str">
        <f>HYPERLINK("http://www.saopaulo.sp.leg.br/")</f>
        <v>http://www.saopaulo.sp.leg.br/</v>
      </c>
      <c r="AR455" s="76" t="s">
        <v>19575</v>
      </c>
      <c r="AS455" s="76"/>
      <c r="AT455" s="76"/>
      <c r="AU455" s="76"/>
      <c r="AV455" s="76"/>
      <c r="AW455" s="83" t="str">
        <f>HYPERLINK("https://t.co/jcXZSgJlHS")</f>
        <v>https://t.co/jcXZSgJlHS</v>
      </c>
      <c r="AX455" s="76" t="b">
        <v>0</v>
      </c>
      <c r="AY455" s="76"/>
      <c r="AZ455" s="76"/>
      <c r="BA455" s="76" t="b">
        <v>0</v>
      </c>
      <c r="BB455" s="76" t="b">
        <v>1</v>
      </c>
      <c r="BC455" s="76" t="b">
        <v>0</v>
      </c>
      <c r="BD455" s="76" t="b">
        <v>0</v>
      </c>
      <c r="BE455" s="76" t="b">
        <v>1</v>
      </c>
      <c r="BF455" s="76" t="b">
        <v>0</v>
      </c>
      <c r="BG455" s="76" t="b">
        <v>0</v>
      </c>
      <c r="BH455" s="83" t="str">
        <f>HYPERLINK("https://pbs.twimg.com/profile_banners/308031714/1684362435")</f>
        <v>https://pbs.twimg.com/profile_banners/308031714/1684362435</v>
      </c>
      <c r="BI455" s="76"/>
      <c r="BJ455" s="76" t="s">
        <v>19734</v>
      </c>
      <c r="BK455" s="76" t="b">
        <v>0</v>
      </c>
      <c r="BL455" s="76"/>
      <c r="BM455" s="76" t="s">
        <v>66</v>
      </c>
      <c r="BN455" s="76" t="s">
        <v>19736</v>
      </c>
      <c r="BO455" s="83" t="str">
        <f>HYPERLINK("https://twitter.com/camarasaopaulo")</f>
        <v>https://twitter.com/camarasaopaulo</v>
      </c>
      <c r="BP455" s="2"/>
    </row>
    <row r="456" spans="1:68" x14ac:dyDescent="0.25">
      <c r="A456" s="62" t="s">
        <v>610</v>
      </c>
      <c r="B456" s="63"/>
      <c r="C456" s="63"/>
      <c r="D456" s="64"/>
      <c r="E456" s="66"/>
      <c r="F456" s="103" t="str">
        <f>HYPERLINK("https://pbs.twimg.com/profile_images/1395776356118679559/ld_PQhLy_normal.jpg")</f>
        <v>https://pbs.twimg.com/profile_images/1395776356118679559/ld_PQhLy_normal.jpg</v>
      </c>
      <c r="G456" s="63"/>
      <c r="H456" s="67"/>
      <c r="I456" s="68"/>
      <c r="J456" s="68"/>
      <c r="K456" s="67" t="s">
        <v>20189</v>
      </c>
      <c r="L456" s="71"/>
      <c r="M456" s="72"/>
      <c r="N456" s="72"/>
      <c r="O456" s="73"/>
      <c r="P456" s="74"/>
      <c r="Q456" s="74"/>
      <c r="R456" s="87"/>
      <c r="S456" s="87"/>
      <c r="T456" s="87"/>
      <c r="U456" s="87"/>
      <c r="V456" s="48"/>
      <c r="W456" s="48"/>
      <c r="X456" s="48"/>
      <c r="Y456" s="48"/>
      <c r="Z456" s="47"/>
      <c r="AA456" s="69">
        <v>456</v>
      </c>
      <c r="AB456" s="69"/>
      <c r="AC456" s="70"/>
      <c r="AD456" s="76" t="s">
        <v>18196</v>
      </c>
      <c r="AE456" s="81" t="s">
        <v>17642</v>
      </c>
      <c r="AF456" s="76">
        <v>26242</v>
      </c>
      <c r="AG456" s="76">
        <v>24</v>
      </c>
      <c r="AH456" s="76">
        <v>682</v>
      </c>
      <c r="AI456" s="76">
        <v>4</v>
      </c>
      <c r="AJ456" s="76">
        <v>85</v>
      </c>
      <c r="AK456" s="76">
        <v>483</v>
      </c>
      <c r="AL456" s="76" t="b">
        <v>0</v>
      </c>
      <c r="AM456" s="78">
        <v>44329.685046296298</v>
      </c>
      <c r="AN456" s="76"/>
      <c r="AO456" s="76" t="s">
        <v>19179</v>
      </c>
      <c r="AP456" s="83" t="str">
        <f>HYPERLINK("https://t.co/XCl1nd8pwe")</f>
        <v>https://t.co/XCl1nd8pwe</v>
      </c>
      <c r="AQ456" s="83" t="str">
        <f>HYPERLINK("https://shor.by/exnesscorretora")</f>
        <v>https://shor.by/exnesscorretora</v>
      </c>
      <c r="AR456" s="76" t="s">
        <v>19576</v>
      </c>
      <c r="AS456" s="76"/>
      <c r="AT456" s="76"/>
      <c r="AU456" s="76"/>
      <c r="AV456" s="76"/>
      <c r="AW456" s="83" t="str">
        <f>HYPERLINK("https://t.co/XCl1nd8pwe")</f>
        <v>https://t.co/XCl1nd8pwe</v>
      </c>
      <c r="AX456" s="76" t="b">
        <v>0</v>
      </c>
      <c r="AY456" s="76"/>
      <c r="AZ456" s="76"/>
      <c r="BA456" s="76" t="b">
        <v>0</v>
      </c>
      <c r="BB456" s="76" t="b">
        <v>1</v>
      </c>
      <c r="BC456" s="76" t="b">
        <v>1</v>
      </c>
      <c r="BD456" s="76" t="b">
        <v>0</v>
      </c>
      <c r="BE456" s="76" t="b">
        <v>0</v>
      </c>
      <c r="BF456" s="76" t="b">
        <v>0</v>
      </c>
      <c r="BG456" s="76" t="b">
        <v>0</v>
      </c>
      <c r="BH456" s="83" t="str">
        <f>HYPERLINK("https://pbs.twimg.com/profile_banners/1392878850137329666/1622725569")</f>
        <v>https://pbs.twimg.com/profile_banners/1392878850137329666/1622725569</v>
      </c>
      <c r="BI456" s="76"/>
      <c r="BJ456" s="76" t="s">
        <v>19734</v>
      </c>
      <c r="BK456" s="76" t="b">
        <v>0</v>
      </c>
      <c r="BL456" s="76"/>
      <c r="BM456" s="76" t="s">
        <v>66</v>
      </c>
      <c r="BN456" s="76" t="s">
        <v>19736</v>
      </c>
      <c r="BO456" s="83" t="str">
        <f>HYPERLINK("https://twitter.com/exnesscorretora")</f>
        <v>https://twitter.com/exnesscorretora</v>
      </c>
      <c r="BP456" s="2"/>
    </row>
    <row r="457" spans="1:68" x14ac:dyDescent="0.25">
      <c r="A457" s="62" t="s">
        <v>611</v>
      </c>
      <c r="B457" s="63"/>
      <c r="C457" s="63"/>
      <c r="D457" s="64"/>
      <c r="E457" s="66"/>
      <c r="F457" s="103" t="str">
        <f>HYPERLINK("https://pbs.twimg.com/profile_images/1676660914022502405/3QEshaAX_normal.jpg")</f>
        <v>https://pbs.twimg.com/profile_images/1676660914022502405/3QEshaAX_normal.jpg</v>
      </c>
      <c r="G457" s="63"/>
      <c r="H457" s="67"/>
      <c r="I457" s="68"/>
      <c r="J457" s="68"/>
      <c r="K457" s="67" t="s">
        <v>20190</v>
      </c>
      <c r="L457" s="71"/>
      <c r="M457" s="72"/>
      <c r="N457" s="72"/>
      <c r="O457" s="73"/>
      <c r="P457" s="74"/>
      <c r="Q457" s="74"/>
      <c r="R457" s="87"/>
      <c r="S457" s="87"/>
      <c r="T457" s="87"/>
      <c r="U457" s="87"/>
      <c r="V457" s="48"/>
      <c r="W457" s="48"/>
      <c r="X457" s="48"/>
      <c r="Y457" s="48"/>
      <c r="Z457" s="47"/>
      <c r="AA457" s="69">
        <v>457</v>
      </c>
      <c r="AB457" s="69"/>
      <c r="AC457" s="70"/>
      <c r="AD457" s="76" t="s">
        <v>18197</v>
      </c>
      <c r="AE457" s="81" t="s">
        <v>17643</v>
      </c>
      <c r="AF457" s="76">
        <v>7</v>
      </c>
      <c r="AG457" s="76">
        <v>79</v>
      </c>
      <c r="AH457" s="76">
        <v>246</v>
      </c>
      <c r="AI457" s="76">
        <v>1</v>
      </c>
      <c r="AJ457" s="76">
        <v>296</v>
      </c>
      <c r="AK457" s="76">
        <v>222</v>
      </c>
      <c r="AL457" s="76" t="b">
        <v>0</v>
      </c>
      <c r="AM457" s="78">
        <v>45112.534305555557</v>
      </c>
      <c r="AN457" s="76"/>
      <c r="AO457" s="76" t="s">
        <v>19180</v>
      </c>
      <c r="AP457" s="83" t="str">
        <f>HYPERLINK("https://t.co/ZAy6H1BW5a")</f>
        <v>https://t.co/ZAy6H1BW5a</v>
      </c>
      <c r="AQ457" s="83" t="str">
        <f>HYPERLINK("https://www.comlucro.com.br")</f>
        <v>https://www.comlucro.com.br</v>
      </c>
      <c r="AR457" s="76" t="s">
        <v>19577</v>
      </c>
      <c r="AS457" s="76"/>
      <c r="AT457" s="76"/>
      <c r="AU457" s="76"/>
      <c r="AV457" s="76"/>
      <c r="AW457" s="83" t="str">
        <f>HYPERLINK("https://t.co/ZAy6H1BW5a")</f>
        <v>https://t.co/ZAy6H1BW5a</v>
      </c>
      <c r="AX457" s="76" t="b">
        <v>0</v>
      </c>
      <c r="AY457" s="76"/>
      <c r="AZ457" s="76"/>
      <c r="BA457" s="76" t="b">
        <v>0</v>
      </c>
      <c r="BB457" s="76" t="b">
        <v>1</v>
      </c>
      <c r="BC457" s="76" t="b">
        <v>1</v>
      </c>
      <c r="BD457" s="76" t="b">
        <v>0</v>
      </c>
      <c r="BE457" s="76" t="b">
        <v>0</v>
      </c>
      <c r="BF457" s="76" t="b">
        <v>0</v>
      </c>
      <c r="BG457" s="76" t="b">
        <v>0</v>
      </c>
      <c r="BH457" s="83" t="str">
        <f>HYPERLINK("https://pbs.twimg.com/profile_banners/1676573946269794307/1688582088")</f>
        <v>https://pbs.twimg.com/profile_banners/1676573946269794307/1688582088</v>
      </c>
      <c r="BI457" s="76"/>
      <c r="BJ457" s="76" t="s">
        <v>19734</v>
      </c>
      <c r="BK457" s="76" t="b">
        <v>0</v>
      </c>
      <c r="BL457" s="76"/>
      <c r="BM457" s="76" t="s">
        <v>66</v>
      </c>
      <c r="BN457" s="76" t="s">
        <v>19736</v>
      </c>
      <c r="BO457" s="83" t="str">
        <f>HYPERLINK("https://twitter.com/canalcomlucro")</f>
        <v>https://twitter.com/canalcomlucro</v>
      </c>
      <c r="BP457" s="2"/>
    </row>
    <row r="458" spans="1:68" x14ac:dyDescent="0.25">
      <c r="A458" s="62" t="s">
        <v>612</v>
      </c>
      <c r="B458" s="63"/>
      <c r="C458" s="63"/>
      <c r="D458" s="64"/>
      <c r="E458" s="66"/>
      <c r="F458" s="103" t="str">
        <f>HYPERLINK("https://pbs.twimg.com/profile_images/1704450055728439296/xEyNwEBi_normal.jpg")</f>
        <v>https://pbs.twimg.com/profile_images/1704450055728439296/xEyNwEBi_normal.jpg</v>
      </c>
      <c r="G458" s="63"/>
      <c r="H458" s="67"/>
      <c r="I458" s="68"/>
      <c r="J458" s="68"/>
      <c r="K458" s="67" t="s">
        <v>20191</v>
      </c>
      <c r="L458" s="71"/>
      <c r="M458" s="72"/>
      <c r="N458" s="72"/>
      <c r="O458" s="73"/>
      <c r="P458" s="74"/>
      <c r="Q458" s="74"/>
      <c r="R458" s="87"/>
      <c r="S458" s="87"/>
      <c r="T458" s="87"/>
      <c r="U458" s="87"/>
      <c r="V458" s="48"/>
      <c r="W458" s="48"/>
      <c r="X458" s="48"/>
      <c r="Y458" s="48"/>
      <c r="Z458" s="47"/>
      <c r="AA458" s="69">
        <v>458</v>
      </c>
      <c r="AB458" s="69"/>
      <c r="AC458" s="70"/>
      <c r="AD458" s="76" t="s">
        <v>18198</v>
      </c>
      <c r="AE458" s="81" t="s">
        <v>17644</v>
      </c>
      <c r="AF458" s="76">
        <v>44</v>
      </c>
      <c r="AG458" s="76">
        <v>617</v>
      </c>
      <c r="AH458" s="76">
        <v>32</v>
      </c>
      <c r="AI458" s="76">
        <v>0</v>
      </c>
      <c r="AJ458" s="76">
        <v>4</v>
      </c>
      <c r="AK458" s="76">
        <v>23</v>
      </c>
      <c r="AL458" s="76" t="b">
        <v>0</v>
      </c>
      <c r="AM458" s="78">
        <v>45189.453668981485</v>
      </c>
      <c r="AN458" s="76" t="s">
        <v>18727</v>
      </c>
      <c r="AO458" s="76" t="s">
        <v>19181</v>
      </c>
      <c r="AP458" s="76"/>
      <c r="AQ458" s="76"/>
      <c r="AR458" s="76"/>
      <c r="AS458" s="76"/>
      <c r="AT458" s="76"/>
      <c r="AU458" s="76"/>
      <c r="AV458" s="76">
        <v>1.7048205809926001E+18</v>
      </c>
      <c r="AW458" s="76"/>
      <c r="AX458" s="76" t="b">
        <v>0</v>
      </c>
      <c r="AY458" s="76"/>
      <c r="AZ458" s="76"/>
      <c r="BA458" s="76" t="b">
        <v>0</v>
      </c>
      <c r="BB458" s="76" t="b">
        <v>1</v>
      </c>
      <c r="BC458" s="76" t="b">
        <v>1</v>
      </c>
      <c r="BD458" s="76" t="b">
        <v>0</v>
      </c>
      <c r="BE458" s="76" t="b">
        <v>0</v>
      </c>
      <c r="BF458" s="76" t="b">
        <v>0</v>
      </c>
      <c r="BG458" s="76" t="b">
        <v>0</v>
      </c>
      <c r="BH458" s="83" t="str">
        <f>HYPERLINK("https://pbs.twimg.com/profile_banners/1704448598618816512/1695216456")</f>
        <v>https://pbs.twimg.com/profile_banners/1704448598618816512/1695216456</v>
      </c>
      <c r="BI458" s="76"/>
      <c r="BJ458" s="76" t="s">
        <v>19734</v>
      </c>
      <c r="BK458" s="76" t="b">
        <v>0</v>
      </c>
      <c r="BL458" s="76"/>
      <c r="BM458" s="76" t="s">
        <v>66</v>
      </c>
      <c r="BN458" s="76" t="s">
        <v>19736</v>
      </c>
      <c r="BO458" s="83" t="str">
        <f>HYPERLINK("https://twitter.com/senhorhidden")</f>
        <v>https://twitter.com/senhorhidden</v>
      </c>
      <c r="BP458" s="2"/>
    </row>
    <row r="459" spans="1:68" x14ac:dyDescent="0.25">
      <c r="A459" s="62" t="s">
        <v>613</v>
      </c>
      <c r="B459" s="63"/>
      <c r="C459" s="63"/>
      <c r="D459" s="64"/>
      <c r="E459" s="66"/>
      <c r="F459" s="103" t="str">
        <f>HYPERLINK("https://pbs.twimg.com/profile_images/1679054106114281472/WznTvcPx_normal.jpg")</f>
        <v>https://pbs.twimg.com/profile_images/1679054106114281472/WznTvcPx_normal.jpg</v>
      </c>
      <c r="G459" s="63"/>
      <c r="H459" s="67"/>
      <c r="I459" s="68"/>
      <c r="J459" s="68"/>
      <c r="K459" s="67" t="s">
        <v>20192</v>
      </c>
      <c r="L459" s="71"/>
      <c r="M459" s="72"/>
      <c r="N459" s="72"/>
      <c r="O459" s="73"/>
      <c r="P459" s="74"/>
      <c r="Q459" s="74"/>
      <c r="R459" s="87"/>
      <c r="S459" s="87"/>
      <c r="T459" s="87"/>
      <c r="U459" s="87"/>
      <c r="V459" s="48"/>
      <c r="W459" s="48"/>
      <c r="X459" s="48"/>
      <c r="Y459" s="48"/>
      <c r="Z459" s="47"/>
      <c r="AA459" s="69">
        <v>459</v>
      </c>
      <c r="AB459" s="69"/>
      <c r="AC459" s="70"/>
      <c r="AD459" s="76" t="s">
        <v>18199</v>
      </c>
      <c r="AE459" s="81" t="s">
        <v>17645</v>
      </c>
      <c r="AF459" s="76">
        <v>22</v>
      </c>
      <c r="AG459" s="76">
        <v>42</v>
      </c>
      <c r="AH459" s="76">
        <v>712</v>
      </c>
      <c r="AI459" s="76">
        <v>0</v>
      </c>
      <c r="AJ459" s="76">
        <v>561</v>
      </c>
      <c r="AK459" s="76">
        <v>9</v>
      </c>
      <c r="AL459" s="76" t="b">
        <v>0</v>
      </c>
      <c r="AM459" s="78">
        <v>44825.185949074075</v>
      </c>
      <c r="AN459" s="76"/>
      <c r="AO459" s="76"/>
      <c r="AP459" s="76"/>
      <c r="AQ459" s="76"/>
      <c r="AR459" s="76"/>
      <c r="AS459" s="76"/>
      <c r="AT459" s="76"/>
      <c r="AU459" s="76"/>
      <c r="AV459" s="76">
        <v>1.65509786294095E+18</v>
      </c>
      <c r="AW459" s="76"/>
      <c r="AX459" s="76" t="b">
        <v>0</v>
      </c>
      <c r="AY459" s="76"/>
      <c r="AZ459" s="76"/>
      <c r="BA459" s="76" t="b">
        <v>0</v>
      </c>
      <c r="BB459" s="76" t="b">
        <v>1</v>
      </c>
      <c r="BC459" s="76" t="b">
        <v>1</v>
      </c>
      <c r="BD459" s="76" t="b">
        <v>0</v>
      </c>
      <c r="BE459" s="76" t="b">
        <v>0</v>
      </c>
      <c r="BF459" s="76" t="b">
        <v>0</v>
      </c>
      <c r="BG459" s="76" t="b">
        <v>0</v>
      </c>
      <c r="BH459" s="76"/>
      <c r="BI459" s="76"/>
      <c r="BJ459" s="76" t="s">
        <v>19734</v>
      </c>
      <c r="BK459" s="76" t="b">
        <v>0</v>
      </c>
      <c r="BL459" s="76"/>
      <c r="BM459" s="76" t="s">
        <v>66</v>
      </c>
      <c r="BN459" s="76" t="s">
        <v>19736</v>
      </c>
      <c r="BO459" s="83" t="str">
        <f>HYPERLINK("https://twitter.com/phani_29")</f>
        <v>https://twitter.com/phani_29</v>
      </c>
      <c r="BP459" s="2"/>
    </row>
    <row r="460" spans="1:68" x14ac:dyDescent="0.25">
      <c r="A460" s="62" t="s">
        <v>614</v>
      </c>
      <c r="B460" s="63"/>
      <c r="C460" s="63"/>
      <c r="D460" s="64"/>
      <c r="E460" s="66"/>
      <c r="F460" s="103" t="str">
        <f>HYPERLINK("https://pbs.twimg.com/profile_images/2725090237/018522894a55aca0ed6cdbc82f9eb1de_normal.png")</f>
        <v>https://pbs.twimg.com/profile_images/2725090237/018522894a55aca0ed6cdbc82f9eb1de_normal.png</v>
      </c>
      <c r="G460" s="63"/>
      <c r="H460" s="67"/>
      <c r="I460" s="68"/>
      <c r="J460" s="68"/>
      <c r="K460" s="67" t="s">
        <v>20193</v>
      </c>
      <c r="L460" s="71"/>
      <c r="M460" s="72"/>
      <c r="N460" s="72"/>
      <c r="O460" s="73"/>
      <c r="P460" s="74"/>
      <c r="Q460" s="74"/>
      <c r="R460" s="87"/>
      <c r="S460" s="87"/>
      <c r="T460" s="87"/>
      <c r="U460" s="87"/>
      <c r="V460" s="48"/>
      <c r="W460" s="48"/>
      <c r="X460" s="48"/>
      <c r="Y460" s="48"/>
      <c r="Z460" s="47"/>
      <c r="AA460" s="69">
        <v>460</v>
      </c>
      <c r="AB460" s="69"/>
      <c r="AC460" s="70"/>
      <c r="AD460" s="76" t="s">
        <v>18200</v>
      </c>
      <c r="AE460" s="81" t="s">
        <v>18508</v>
      </c>
      <c r="AF460" s="76">
        <v>309</v>
      </c>
      <c r="AG460" s="76">
        <v>871</v>
      </c>
      <c r="AH460" s="76">
        <v>21247</v>
      </c>
      <c r="AI460" s="76">
        <v>2</v>
      </c>
      <c r="AJ460" s="76">
        <v>412</v>
      </c>
      <c r="AK460" s="76">
        <v>385</v>
      </c>
      <c r="AL460" s="76" t="b">
        <v>0</v>
      </c>
      <c r="AM460" s="78">
        <v>40778.588078703702</v>
      </c>
      <c r="AN460" s="76" t="s">
        <v>18721</v>
      </c>
      <c r="AO460" s="76" t="s">
        <v>19182</v>
      </c>
      <c r="AP460" s="76"/>
      <c r="AQ460" s="76"/>
      <c r="AR460" s="76"/>
      <c r="AS460" s="76"/>
      <c r="AT460" s="76"/>
      <c r="AU460" s="76"/>
      <c r="AV460" s="76">
        <v>1.12505539921077E+18</v>
      </c>
      <c r="AW460" s="76"/>
      <c r="AX460" s="76" t="b">
        <v>0</v>
      </c>
      <c r="AY460" s="76"/>
      <c r="AZ460" s="76"/>
      <c r="BA460" s="76" t="b">
        <v>1</v>
      </c>
      <c r="BB460" s="76" t="b">
        <v>1</v>
      </c>
      <c r="BC460" s="76" t="b">
        <v>1</v>
      </c>
      <c r="BD460" s="76" t="b">
        <v>0</v>
      </c>
      <c r="BE460" s="76" t="b">
        <v>1</v>
      </c>
      <c r="BF460" s="76" t="b">
        <v>0</v>
      </c>
      <c r="BG460" s="76" t="b">
        <v>0</v>
      </c>
      <c r="BH460" s="76"/>
      <c r="BI460" s="76"/>
      <c r="BJ460" s="76" t="s">
        <v>19734</v>
      </c>
      <c r="BK460" s="76" t="b">
        <v>0</v>
      </c>
      <c r="BL460" s="76"/>
      <c r="BM460" s="76" t="s">
        <v>66</v>
      </c>
      <c r="BN460" s="76" t="s">
        <v>19736</v>
      </c>
      <c r="BO460" s="83" t="str">
        <f>HYPERLINK("https://twitter.com/correa899")</f>
        <v>https://twitter.com/correa899</v>
      </c>
      <c r="BP460" s="2"/>
    </row>
    <row r="461" spans="1:68" x14ac:dyDescent="0.25">
      <c r="A461" s="62" t="s">
        <v>615</v>
      </c>
      <c r="B461" s="63"/>
      <c r="C461" s="63"/>
      <c r="D461" s="64"/>
      <c r="E461" s="66"/>
      <c r="F461" s="103" t="str">
        <f>HYPERLINK("https://pbs.twimg.com/profile_images/1300821246947528706/uXBJXQgK_normal.jpg")</f>
        <v>https://pbs.twimg.com/profile_images/1300821246947528706/uXBJXQgK_normal.jpg</v>
      </c>
      <c r="G461" s="63"/>
      <c r="H461" s="67"/>
      <c r="I461" s="68"/>
      <c r="J461" s="68"/>
      <c r="K461" s="67" t="s">
        <v>20194</v>
      </c>
      <c r="L461" s="71"/>
      <c r="M461" s="72"/>
      <c r="N461" s="72"/>
      <c r="O461" s="73"/>
      <c r="P461" s="74"/>
      <c r="Q461" s="74"/>
      <c r="R461" s="87"/>
      <c r="S461" s="87"/>
      <c r="T461" s="87"/>
      <c r="U461" s="87"/>
      <c r="V461" s="48"/>
      <c r="W461" s="48"/>
      <c r="X461" s="48"/>
      <c r="Y461" s="48"/>
      <c r="Z461" s="47"/>
      <c r="AA461" s="69">
        <v>461</v>
      </c>
      <c r="AB461" s="69"/>
      <c r="AC461" s="70"/>
      <c r="AD461" s="76" t="s">
        <v>18201</v>
      </c>
      <c r="AE461" s="81" t="s">
        <v>17646</v>
      </c>
      <c r="AF461" s="76">
        <v>99</v>
      </c>
      <c r="AG461" s="76">
        <v>15</v>
      </c>
      <c r="AH461" s="76">
        <v>1294</v>
      </c>
      <c r="AI461" s="76">
        <v>1</v>
      </c>
      <c r="AJ461" s="76">
        <v>194</v>
      </c>
      <c r="AK461" s="76">
        <v>732</v>
      </c>
      <c r="AL461" s="76" t="b">
        <v>0</v>
      </c>
      <c r="AM461" s="78">
        <v>42814.548576388886</v>
      </c>
      <c r="AN461" s="76" t="s">
        <v>18575</v>
      </c>
      <c r="AO461" s="76" t="s">
        <v>19183</v>
      </c>
      <c r="AP461" s="83" t="str">
        <f>HYPERLINK("https://t.co/y3yOL2Ve2R")</f>
        <v>https://t.co/y3yOL2Ve2R</v>
      </c>
      <c r="AQ461" s="83" t="str">
        <f>HYPERLINK("https://www.maisnews.com.br")</f>
        <v>https://www.maisnews.com.br</v>
      </c>
      <c r="AR461" s="76" t="s">
        <v>19578</v>
      </c>
      <c r="AS461" s="76"/>
      <c r="AT461" s="76"/>
      <c r="AU461" s="76"/>
      <c r="AV461" s="76"/>
      <c r="AW461" s="83" t="str">
        <f>HYPERLINK("https://t.co/y3yOL2Ve2R")</f>
        <v>https://t.co/y3yOL2Ve2R</v>
      </c>
      <c r="AX461" s="76" t="b">
        <v>0</v>
      </c>
      <c r="AY461" s="76"/>
      <c r="AZ461" s="76"/>
      <c r="BA461" s="76" t="b">
        <v>0</v>
      </c>
      <c r="BB461" s="76" t="b">
        <v>1</v>
      </c>
      <c r="BC461" s="76" t="b">
        <v>0</v>
      </c>
      <c r="BD461" s="76" t="b">
        <v>0</v>
      </c>
      <c r="BE461" s="76" t="b">
        <v>0</v>
      </c>
      <c r="BF461" s="76" t="b">
        <v>0</v>
      </c>
      <c r="BG461" s="76" t="b">
        <v>0</v>
      </c>
      <c r="BH461" s="83" t="str">
        <f>HYPERLINK("https://pbs.twimg.com/profile_banners/843811850643013632/1598974929")</f>
        <v>https://pbs.twimg.com/profile_banners/843811850643013632/1598974929</v>
      </c>
      <c r="BI461" s="76"/>
      <c r="BJ461" s="76" t="s">
        <v>19734</v>
      </c>
      <c r="BK461" s="76" t="b">
        <v>0</v>
      </c>
      <c r="BL461" s="76"/>
      <c r="BM461" s="76" t="s">
        <v>66</v>
      </c>
      <c r="BN461" s="76" t="s">
        <v>19736</v>
      </c>
      <c r="BO461" s="83" t="str">
        <f>HYPERLINK("https://twitter.com/maisnewsoficial")</f>
        <v>https://twitter.com/maisnewsoficial</v>
      </c>
      <c r="BP461" s="2"/>
    </row>
    <row r="462" spans="1:68" x14ac:dyDescent="0.25">
      <c r="A462" s="62" t="s">
        <v>616</v>
      </c>
      <c r="B462" s="63"/>
      <c r="C462" s="63"/>
      <c r="D462" s="64"/>
      <c r="E462" s="66"/>
      <c r="F462" s="103" t="str">
        <f>HYPERLINK("https://pbs.twimg.com/profile_images/1635926557977100289/xd69FX_J_normal.jpg")</f>
        <v>https://pbs.twimg.com/profile_images/1635926557977100289/xd69FX_J_normal.jpg</v>
      </c>
      <c r="G462" s="63"/>
      <c r="H462" s="67"/>
      <c r="I462" s="68"/>
      <c r="J462" s="68"/>
      <c r="K462" s="67" t="s">
        <v>20195</v>
      </c>
      <c r="L462" s="71"/>
      <c r="M462" s="72"/>
      <c r="N462" s="72"/>
      <c r="O462" s="73"/>
      <c r="P462" s="74"/>
      <c r="Q462" s="74"/>
      <c r="R462" s="87"/>
      <c r="S462" s="87"/>
      <c r="T462" s="87"/>
      <c r="U462" s="87"/>
      <c r="V462" s="48"/>
      <c r="W462" s="48"/>
      <c r="X462" s="48"/>
      <c r="Y462" s="48"/>
      <c r="Z462" s="47"/>
      <c r="AA462" s="69">
        <v>462</v>
      </c>
      <c r="AB462" s="69"/>
      <c r="AC462" s="70"/>
      <c r="AD462" s="76" t="s">
        <v>18202</v>
      </c>
      <c r="AE462" s="81" t="s">
        <v>17647</v>
      </c>
      <c r="AF462" s="76">
        <v>134</v>
      </c>
      <c r="AG462" s="76">
        <v>23</v>
      </c>
      <c r="AH462" s="76">
        <v>905</v>
      </c>
      <c r="AI462" s="76">
        <v>1</v>
      </c>
      <c r="AJ462" s="76">
        <v>65</v>
      </c>
      <c r="AK462" s="76">
        <v>438</v>
      </c>
      <c r="AL462" s="76" t="b">
        <v>0</v>
      </c>
      <c r="AM462" s="78">
        <v>42933.850810185184</v>
      </c>
      <c r="AN462" s="76" t="s">
        <v>18728</v>
      </c>
      <c r="AO462" s="76" t="s">
        <v>19184</v>
      </c>
      <c r="AP462" s="83" t="str">
        <f>HYPERLINK("https://t.co/mcGgPwUBcR")</f>
        <v>https://t.co/mcGgPwUBcR</v>
      </c>
      <c r="AQ462" s="83" t="str">
        <f>HYPERLINK("http://bit.ly/m/TraderVlogLinks")</f>
        <v>http://bit.ly/m/TraderVlogLinks</v>
      </c>
      <c r="AR462" s="76" t="s">
        <v>19579</v>
      </c>
      <c r="AS462" s="76"/>
      <c r="AT462" s="76"/>
      <c r="AU462" s="76"/>
      <c r="AV462" s="76">
        <v>1.6569119628975501E+18</v>
      </c>
      <c r="AW462" s="83" t="str">
        <f>HYPERLINK("https://t.co/mcGgPwUBcR")</f>
        <v>https://t.co/mcGgPwUBcR</v>
      </c>
      <c r="AX462" s="76" t="b">
        <v>0</v>
      </c>
      <c r="AY462" s="76"/>
      <c r="AZ462" s="76"/>
      <c r="BA462" s="76" t="b">
        <v>0</v>
      </c>
      <c r="BB462" s="76" t="b">
        <v>0</v>
      </c>
      <c r="BC462" s="76" t="b">
        <v>0</v>
      </c>
      <c r="BD462" s="76" t="b">
        <v>0</v>
      </c>
      <c r="BE462" s="76" t="b">
        <v>1</v>
      </c>
      <c r="BF462" s="76" t="b">
        <v>0</v>
      </c>
      <c r="BG462" s="76" t="b">
        <v>0</v>
      </c>
      <c r="BH462" s="83" t="str">
        <f>HYPERLINK("https://pbs.twimg.com/profile_banners/887045533331845120/1687608134")</f>
        <v>https://pbs.twimg.com/profile_banners/887045533331845120/1687608134</v>
      </c>
      <c r="BI462" s="76"/>
      <c r="BJ462" s="76" t="s">
        <v>19734</v>
      </c>
      <c r="BK462" s="76" t="b">
        <v>0</v>
      </c>
      <c r="BL462" s="76"/>
      <c r="BM462" s="76" t="s">
        <v>66</v>
      </c>
      <c r="BN462" s="76" t="s">
        <v>19736</v>
      </c>
      <c r="BO462" s="83" t="str">
        <f>HYPERLINK("https://twitter.com/tradervlog")</f>
        <v>https://twitter.com/tradervlog</v>
      </c>
      <c r="BP462" s="2"/>
    </row>
    <row r="463" spans="1:68" x14ac:dyDescent="0.25">
      <c r="A463" s="62" t="s">
        <v>617</v>
      </c>
      <c r="B463" s="63"/>
      <c r="C463" s="63"/>
      <c r="D463" s="64"/>
      <c r="E463" s="66"/>
      <c r="F463" s="103" t="str">
        <f>HYPERLINK("https://pbs.twimg.com/profile_images/1688641551843336192/rt1KBuic_normal.jpg")</f>
        <v>https://pbs.twimg.com/profile_images/1688641551843336192/rt1KBuic_normal.jpg</v>
      </c>
      <c r="G463" s="63"/>
      <c r="H463" s="67"/>
      <c r="I463" s="68"/>
      <c r="J463" s="68"/>
      <c r="K463" s="67" t="s">
        <v>20196</v>
      </c>
      <c r="L463" s="71"/>
      <c r="M463" s="72"/>
      <c r="N463" s="72"/>
      <c r="O463" s="73"/>
      <c r="P463" s="74"/>
      <c r="Q463" s="74"/>
      <c r="R463" s="87"/>
      <c r="S463" s="87"/>
      <c r="T463" s="87"/>
      <c r="U463" s="87"/>
      <c r="V463" s="48"/>
      <c r="W463" s="48"/>
      <c r="X463" s="48"/>
      <c r="Y463" s="48"/>
      <c r="Z463" s="47"/>
      <c r="AA463" s="69">
        <v>463</v>
      </c>
      <c r="AB463" s="69"/>
      <c r="AC463" s="70"/>
      <c r="AD463" s="76" t="s">
        <v>18203</v>
      </c>
      <c r="AE463" s="81" t="s">
        <v>17370</v>
      </c>
      <c r="AF463" s="76">
        <v>119</v>
      </c>
      <c r="AG463" s="76">
        <v>2</v>
      </c>
      <c r="AH463" s="76">
        <v>247</v>
      </c>
      <c r="AI463" s="76">
        <v>0</v>
      </c>
      <c r="AJ463" s="76">
        <v>2</v>
      </c>
      <c r="AK463" s="76">
        <v>6</v>
      </c>
      <c r="AL463" s="76" t="b">
        <v>0</v>
      </c>
      <c r="AM463" s="78">
        <v>45127.723807870374</v>
      </c>
      <c r="AN463" s="76"/>
      <c r="AO463" s="76" t="s">
        <v>19185</v>
      </c>
      <c r="AP463" s="83" t="str">
        <f>HYPERLINK("https://t.co/bLfgwznQIJ")</f>
        <v>https://t.co/bLfgwznQIJ</v>
      </c>
      <c r="AQ463" s="83" t="str">
        <f>HYPERLINK("https://www.nomadglobal.com/")</f>
        <v>https://www.nomadglobal.com/</v>
      </c>
      <c r="AR463" s="76" t="s">
        <v>19580</v>
      </c>
      <c r="AS463" s="76"/>
      <c r="AT463" s="76"/>
      <c r="AU463" s="76"/>
      <c r="AV463" s="76"/>
      <c r="AW463" s="83" t="str">
        <f>HYPERLINK("https://t.co/bLfgwznQIJ")</f>
        <v>https://t.co/bLfgwznQIJ</v>
      </c>
      <c r="AX463" s="76" t="b">
        <v>1</v>
      </c>
      <c r="AY463" s="76"/>
      <c r="AZ463" s="76"/>
      <c r="BA463" s="76" t="b">
        <v>0</v>
      </c>
      <c r="BB463" s="76" t="b">
        <v>1</v>
      </c>
      <c r="BC463" s="76" t="b">
        <v>1</v>
      </c>
      <c r="BD463" s="76" t="b">
        <v>0</v>
      </c>
      <c r="BE463" s="76" t="b">
        <v>0</v>
      </c>
      <c r="BF463" s="76" t="b">
        <v>0</v>
      </c>
      <c r="BG463" s="76" t="b">
        <v>0</v>
      </c>
      <c r="BH463" s="83" t="str">
        <f>HYPERLINK("https://pbs.twimg.com/profile_banners/1682078424804851727/1691438562")</f>
        <v>https://pbs.twimg.com/profile_banners/1682078424804851727/1691438562</v>
      </c>
      <c r="BI463" s="76"/>
      <c r="BJ463" s="76" t="s">
        <v>19734</v>
      </c>
      <c r="BK463" s="76" t="b">
        <v>0</v>
      </c>
      <c r="BL463" s="76"/>
      <c r="BM463" s="76" t="s">
        <v>66</v>
      </c>
      <c r="BN463" s="76" t="s">
        <v>19736</v>
      </c>
      <c r="BO463" s="83" t="str">
        <f>HYPERLINK("https://twitter.com/invest_nomad")</f>
        <v>https://twitter.com/invest_nomad</v>
      </c>
      <c r="BP463" s="2"/>
    </row>
    <row r="464" spans="1:68" x14ac:dyDescent="0.25">
      <c r="A464" s="62" t="s">
        <v>618</v>
      </c>
      <c r="B464" s="63"/>
      <c r="C464" s="63"/>
      <c r="D464" s="64"/>
      <c r="E464" s="66"/>
      <c r="F464" s="103" t="str">
        <f>HYPERLINK("https://pbs.twimg.com/profile_images/1699785566504816640/kujlKd9q_normal.jpg")</f>
        <v>https://pbs.twimg.com/profile_images/1699785566504816640/kujlKd9q_normal.jpg</v>
      </c>
      <c r="G464" s="63"/>
      <c r="H464" s="67"/>
      <c r="I464" s="68"/>
      <c r="J464" s="68"/>
      <c r="K464" s="67" t="s">
        <v>20197</v>
      </c>
      <c r="L464" s="71"/>
      <c r="M464" s="72"/>
      <c r="N464" s="72"/>
      <c r="O464" s="73"/>
      <c r="P464" s="74"/>
      <c r="Q464" s="74"/>
      <c r="R464" s="87"/>
      <c r="S464" s="87"/>
      <c r="T464" s="87"/>
      <c r="U464" s="87"/>
      <c r="V464" s="48"/>
      <c r="W464" s="48"/>
      <c r="X464" s="48"/>
      <c r="Y464" s="48"/>
      <c r="Z464" s="47"/>
      <c r="AA464" s="69">
        <v>464</v>
      </c>
      <c r="AB464" s="69"/>
      <c r="AC464" s="70"/>
      <c r="AD464" s="76" t="s">
        <v>18204</v>
      </c>
      <c r="AE464" s="81" t="s">
        <v>17648</v>
      </c>
      <c r="AF464" s="76">
        <v>0</v>
      </c>
      <c r="AG464" s="76">
        <v>1</v>
      </c>
      <c r="AH464" s="76">
        <v>10</v>
      </c>
      <c r="AI464" s="76">
        <v>0</v>
      </c>
      <c r="AJ464" s="76">
        <v>5</v>
      </c>
      <c r="AK464" s="76">
        <v>4</v>
      </c>
      <c r="AL464" s="76" t="b">
        <v>0</v>
      </c>
      <c r="AM464" s="78">
        <v>45176.580462962964</v>
      </c>
      <c r="AN464" s="76"/>
      <c r="AO464" s="76" t="s">
        <v>19186</v>
      </c>
      <c r="AP464" s="83" t="str">
        <f>HYPERLINK("https://t.co/bIPqism33B")</f>
        <v>https://t.co/bIPqism33B</v>
      </c>
      <c r="AQ464" s="83" t="str">
        <f>HYPERLINK("https://kiwify.app/velJGLO?afid=YjvQ04Pf")</f>
        <v>https://kiwify.app/velJGLO?afid=YjvQ04Pf</v>
      </c>
      <c r="AR464" s="76" t="s">
        <v>19581</v>
      </c>
      <c r="AS464" s="76"/>
      <c r="AT464" s="76"/>
      <c r="AU464" s="76"/>
      <c r="AV464" s="76"/>
      <c r="AW464" s="83" t="str">
        <f>HYPERLINK("https://t.co/bIPqism33B")</f>
        <v>https://t.co/bIPqism33B</v>
      </c>
      <c r="AX464" s="76" t="b">
        <v>0</v>
      </c>
      <c r="AY464" s="76"/>
      <c r="AZ464" s="76"/>
      <c r="BA464" s="76" t="b">
        <v>0</v>
      </c>
      <c r="BB464" s="76" t="b">
        <v>1</v>
      </c>
      <c r="BC464" s="76" t="b">
        <v>1</v>
      </c>
      <c r="BD464" s="76" t="b">
        <v>0</v>
      </c>
      <c r="BE464" s="76" t="b">
        <v>0</v>
      </c>
      <c r="BF464" s="76" t="b">
        <v>0</v>
      </c>
      <c r="BG464" s="76" t="b">
        <v>0</v>
      </c>
      <c r="BH464" s="83" t="str">
        <f>HYPERLINK("https://pbs.twimg.com/profile_banners/1699783432593960960/1694095743")</f>
        <v>https://pbs.twimg.com/profile_banners/1699783432593960960/1694095743</v>
      </c>
      <c r="BI464" s="76"/>
      <c r="BJ464" s="76" t="s">
        <v>19734</v>
      </c>
      <c r="BK464" s="76" t="b">
        <v>0</v>
      </c>
      <c r="BL464" s="76"/>
      <c r="BM464" s="76" t="s">
        <v>66</v>
      </c>
      <c r="BN464" s="76" t="s">
        <v>19736</v>
      </c>
      <c r="BO464" s="83" t="str">
        <f>HYPERLINK("https://twitter.com/i_monetaria")</f>
        <v>https://twitter.com/i_monetaria</v>
      </c>
      <c r="BP464" s="2"/>
    </row>
    <row r="465" spans="1:68" x14ac:dyDescent="0.25">
      <c r="A465" s="62" t="s">
        <v>619</v>
      </c>
      <c r="B465" s="63"/>
      <c r="C465" s="63"/>
      <c r="D465" s="64"/>
      <c r="E465" s="66"/>
      <c r="F465" s="103" t="str">
        <f>HYPERLINK("https://pbs.twimg.com/profile_images/1621117708572975104/Wd-17P9M_normal.jpg")</f>
        <v>https://pbs.twimg.com/profile_images/1621117708572975104/Wd-17P9M_normal.jpg</v>
      </c>
      <c r="G465" s="63"/>
      <c r="H465" s="67"/>
      <c r="I465" s="68"/>
      <c r="J465" s="68"/>
      <c r="K465" s="67" t="s">
        <v>20198</v>
      </c>
      <c r="L465" s="71"/>
      <c r="M465" s="72"/>
      <c r="N465" s="72"/>
      <c r="O465" s="73"/>
      <c r="P465" s="74"/>
      <c r="Q465" s="74"/>
      <c r="R465" s="87"/>
      <c r="S465" s="87"/>
      <c r="T465" s="87"/>
      <c r="U465" s="87"/>
      <c r="V465" s="48"/>
      <c r="W465" s="48"/>
      <c r="X465" s="48"/>
      <c r="Y465" s="48"/>
      <c r="Z465" s="47"/>
      <c r="AA465" s="69">
        <v>465</v>
      </c>
      <c r="AB465" s="69"/>
      <c r="AC465" s="70"/>
      <c r="AD465" s="76" t="s">
        <v>18205</v>
      </c>
      <c r="AE465" s="81" t="s">
        <v>17649</v>
      </c>
      <c r="AF465" s="76">
        <v>69</v>
      </c>
      <c r="AG465" s="76">
        <v>98</v>
      </c>
      <c r="AH465" s="76">
        <v>111</v>
      </c>
      <c r="AI465" s="76">
        <v>0</v>
      </c>
      <c r="AJ465" s="76">
        <v>329</v>
      </c>
      <c r="AK465" s="76">
        <v>62</v>
      </c>
      <c r="AL465" s="76" t="b">
        <v>0</v>
      </c>
      <c r="AM465" s="78">
        <v>44953.5471412037</v>
      </c>
      <c r="AN465" s="76"/>
      <c r="AO465" s="76" t="s">
        <v>19187</v>
      </c>
      <c r="AP465" s="76"/>
      <c r="AQ465" s="76"/>
      <c r="AR465" s="76"/>
      <c r="AS465" s="76"/>
      <c r="AT465" s="76"/>
      <c r="AU465" s="76"/>
      <c r="AV465" s="76"/>
      <c r="AW465" s="76"/>
      <c r="AX465" s="76" t="b">
        <v>1</v>
      </c>
      <c r="AY465" s="76"/>
      <c r="AZ465" s="76"/>
      <c r="BA465" s="76" t="b">
        <v>0</v>
      </c>
      <c r="BB465" s="76" t="b">
        <v>1</v>
      </c>
      <c r="BC465" s="76" t="b">
        <v>1</v>
      </c>
      <c r="BD465" s="76" t="b">
        <v>0</v>
      </c>
      <c r="BE465" s="76" t="b">
        <v>0</v>
      </c>
      <c r="BF465" s="76" t="b">
        <v>0</v>
      </c>
      <c r="BG465" s="76" t="b">
        <v>0</v>
      </c>
      <c r="BH465" s="83" t="str">
        <f>HYPERLINK("https://pbs.twimg.com/profile_banners/1618958947293040641/1675088200")</f>
        <v>https://pbs.twimg.com/profile_banners/1618958947293040641/1675088200</v>
      </c>
      <c r="BI465" s="76"/>
      <c r="BJ465" s="76" t="s">
        <v>19734</v>
      </c>
      <c r="BK465" s="76" t="b">
        <v>0</v>
      </c>
      <c r="BL465" s="76"/>
      <c r="BM465" s="76" t="s">
        <v>66</v>
      </c>
      <c r="BN465" s="76" t="s">
        <v>19736</v>
      </c>
      <c r="BO465" s="83" t="str">
        <f>HYPERLINK("https://twitter.com/pensemercado")</f>
        <v>https://twitter.com/pensemercado</v>
      </c>
      <c r="BP465" s="2"/>
    </row>
    <row r="466" spans="1:68" x14ac:dyDescent="0.25">
      <c r="A466" s="62" t="s">
        <v>620</v>
      </c>
      <c r="B466" s="63"/>
      <c r="C466" s="63"/>
      <c r="D466" s="64"/>
      <c r="E466" s="66"/>
      <c r="F466" s="103" t="str">
        <f>HYPERLINK("https://pbs.twimg.com/profile_images/1691954772008386560/6TSuua77_normal.jpg")</f>
        <v>https://pbs.twimg.com/profile_images/1691954772008386560/6TSuua77_normal.jpg</v>
      </c>
      <c r="G466" s="63"/>
      <c r="H466" s="67"/>
      <c r="I466" s="68"/>
      <c r="J466" s="68"/>
      <c r="K466" s="67" t="s">
        <v>20199</v>
      </c>
      <c r="L466" s="71"/>
      <c r="M466" s="72"/>
      <c r="N466" s="72"/>
      <c r="O466" s="73"/>
      <c r="P466" s="74"/>
      <c r="Q466" s="74"/>
      <c r="R466" s="87"/>
      <c r="S466" s="87"/>
      <c r="T466" s="87"/>
      <c r="U466" s="87"/>
      <c r="V466" s="48"/>
      <c r="W466" s="48"/>
      <c r="X466" s="48"/>
      <c r="Y466" s="48"/>
      <c r="Z466" s="47"/>
      <c r="AA466" s="69">
        <v>466</v>
      </c>
      <c r="AB466" s="69"/>
      <c r="AC466" s="70"/>
      <c r="AD466" s="76" t="s">
        <v>18206</v>
      </c>
      <c r="AE466" s="81" t="s">
        <v>17650</v>
      </c>
      <c r="AF466" s="76">
        <v>235</v>
      </c>
      <c r="AG466" s="76">
        <v>348</v>
      </c>
      <c r="AH466" s="76">
        <v>2914</v>
      </c>
      <c r="AI466" s="76">
        <v>12</v>
      </c>
      <c r="AJ466" s="76">
        <v>40601</v>
      </c>
      <c r="AK466" s="76">
        <v>478</v>
      </c>
      <c r="AL466" s="76" t="b">
        <v>0</v>
      </c>
      <c r="AM466" s="78">
        <v>44102.182303240741</v>
      </c>
      <c r="AN466" s="76" t="s">
        <v>18638</v>
      </c>
      <c r="AO466" s="76" t="s">
        <v>19188</v>
      </c>
      <c r="AP466" s="83" t="str">
        <f>HYPERLINK("https://t.co/8oJVDZlCG5")</f>
        <v>https://t.co/8oJVDZlCG5</v>
      </c>
      <c r="AQ466" s="83" t="str">
        <f>HYPERLINK("http://carvalhoalves.com.br")</f>
        <v>http://carvalhoalves.com.br</v>
      </c>
      <c r="AR466" s="76" t="s">
        <v>19582</v>
      </c>
      <c r="AS466" s="76"/>
      <c r="AT466" s="76"/>
      <c r="AU466" s="76"/>
      <c r="AV466" s="76"/>
      <c r="AW466" s="83" t="str">
        <f>HYPERLINK("https://t.co/8oJVDZlCG5")</f>
        <v>https://t.co/8oJVDZlCG5</v>
      </c>
      <c r="AX466" s="76" t="b">
        <v>1</v>
      </c>
      <c r="AY466" s="76"/>
      <c r="AZ466" s="76"/>
      <c r="BA466" s="76" t="b">
        <v>1</v>
      </c>
      <c r="BB466" s="76" t="b">
        <v>1</v>
      </c>
      <c r="BC466" s="76" t="b">
        <v>1</v>
      </c>
      <c r="BD466" s="76" t="b">
        <v>0</v>
      </c>
      <c r="BE466" s="76" t="b">
        <v>1</v>
      </c>
      <c r="BF466" s="76" t="b">
        <v>0</v>
      </c>
      <c r="BG466" s="76" t="b">
        <v>0</v>
      </c>
      <c r="BH466" s="83" t="str">
        <f>HYPERLINK("https://pbs.twimg.com/profile_banners/1310434639333527557/1689912066")</f>
        <v>https://pbs.twimg.com/profile_banners/1310434639333527557/1689912066</v>
      </c>
      <c r="BI466" s="76"/>
      <c r="BJ466" s="76" t="s">
        <v>19734</v>
      </c>
      <c r="BK466" s="76" t="b">
        <v>0</v>
      </c>
      <c r="BL466" s="76"/>
      <c r="BM466" s="76" t="s">
        <v>66</v>
      </c>
      <c r="BN466" s="76" t="s">
        <v>19736</v>
      </c>
      <c r="BO466" s="83" t="str">
        <f>HYPERLINK("https://twitter.com/carvalhoalves")</f>
        <v>https://twitter.com/carvalhoalves</v>
      </c>
      <c r="BP466" s="2"/>
    </row>
    <row r="467" spans="1:68" x14ac:dyDescent="0.25">
      <c r="A467" s="62" t="s">
        <v>792</v>
      </c>
      <c r="B467" s="63"/>
      <c r="C467" s="63"/>
      <c r="D467" s="64"/>
      <c r="E467" s="66"/>
      <c r="F467" s="103" t="str">
        <f>HYPERLINK("https://pbs.twimg.com/profile_images/1526204171963318274/I_Xq8Fmc_normal.jpg")</f>
        <v>https://pbs.twimg.com/profile_images/1526204171963318274/I_Xq8Fmc_normal.jpg</v>
      </c>
      <c r="G467" s="63"/>
      <c r="H467" s="67"/>
      <c r="I467" s="68"/>
      <c r="J467" s="68"/>
      <c r="K467" s="67" t="s">
        <v>20200</v>
      </c>
      <c r="L467" s="71"/>
      <c r="M467" s="72"/>
      <c r="N467" s="72"/>
      <c r="O467" s="73"/>
      <c r="P467" s="74"/>
      <c r="Q467" s="74"/>
      <c r="R467" s="87"/>
      <c r="S467" s="87"/>
      <c r="T467" s="87"/>
      <c r="U467" s="87"/>
      <c r="V467" s="48"/>
      <c r="W467" s="48"/>
      <c r="X467" s="48"/>
      <c r="Y467" s="48"/>
      <c r="Z467" s="47"/>
      <c r="AA467" s="69">
        <v>467</v>
      </c>
      <c r="AB467" s="69"/>
      <c r="AC467" s="70"/>
      <c r="AD467" s="76" t="s">
        <v>18207</v>
      </c>
      <c r="AE467" s="81" t="s">
        <v>18509</v>
      </c>
      <c r="AF467" s="76">
        <v>43292</v>
      </c>
      <c r="AG467" s="76">
        <v>578</v>
      </c>
      <c r="AH467" s="76">
        <v>8626</v>
      </c>
      <c r="AI467" s="76">
        <v>108</v>
      </c>
      <c r="AJ467" s="76">
        <v>596</v>
      </c>
      <c r="AK467" s="76">
        <v>3355</v>
      </c>
      <c r="AL467" s="76" t="b">
        <v>0</v>
      </c>
      <c r="AM467" s="78">
        <v>40592.84642361111</v>
      </c>
      <c r="AN467" s="76" t="s">
        <v>18729</v>
      </c>
      <c r="AO467" s="76" t="s">
        <v>19189</v>
      </c>
      <c r="AP467" s="76"/>
      <c r="AQ467" s="76"/>
      <c r="AR467" s="76"/>
      <c r="AS467" s="76"/>
      <c r="AT467" s="76"/>
      <c r="AU467" s="76"/>
      <c r="AV467" s="76"/>
      <c r="AW467" s="76"/>
      <c r="AX467" s="76" t="b">
        <v>0</v>
      </c>
      <c r="AY467" s="76"/>
      <c r="AZ467" s="76"/>
      <c r="BA467" s="76" t="b">
        <v>0</v>
      </c>
      <c r="BB467" s="76" t="b">
        <v>1</v>
      </c>
      <c r="BC467" s="76" t="b">
        <v>1</v>
      </c>
      <c r="BD467" s="76" t="b">
        <v>0</v>
      </c>
      <c r="BE467" s="76" t="b">
        <v>0</v>
      </c>
      <c r="BF467" s="76" t="b">
        <v>0</v>
      </c>
      <c r="BG467" s="76" t="b">
        <v>0</v>
      </c>
      <c r="BH467" s="83" t="str">
        <f>HYPERLINK("https://pbs.twimg.com/profile_banners/254196118/1614888511")</f>
        <v>https://pbs.twimg.com/profile_banners/254196118/1614888511</v>
      </c>
      <c r="BI467" s="76"/>
      <c r="BJ467" s="76" t="s">
        <v>19734</v>
      </c>
      <c r="BK467" s="76" t="b">
        <v>0</v>
      </c>
      <c r="BL467" s="76"/>
      <c r="BM467" s="76" t="s">
        <v>65</v>
      </c>
      <c r="BN467" s="76" t="s">
        <v>19736</v>
      </c>
      <c r="BO467" s="83" t="str">
        <f>HYPERLINK("https://twitter.com/brunoreisba")</f>
        <v>https://twitter.com/brunoreisba</v>
      </c>
      <c r="BP467" s="2"/>
    </row>
    <row r="468" spans="1:68" x14ac:dyDescent="0.25">
      <c r="A468" s="62" t="s">
        <v>793</v>
      </c>
      <c r="B468" s="63"/>
      <c r="C468" s="63"/>
      <c r="D468" s="64"/>
      <c r="E468" s="66"/>
      <c r="F468" s="103" t="str">
        <f>HYPERLINK("https://pbs.twimg.com/profile_images/1554811681108287493/AJb_0bTY_normal.jpg")</f>
        <v>https://pbs.twimg.com/profile_images/1554811681108287493/AJb_0bTY_normal.jpg</v>
      </c>
      <c r="G468" s="63"/>
      <c r="H468" s="67"/>
      <c r="I468" s="68"/>
      <c r="J468" s="68"/>
      <c r="K468" s="67" t="s">
        <v>20201</v>
      </c>
      <c r="L468" s="71"/>
      <c r="M468" s="72"/>
      <c r="N468" s="72"/>
      <c r="O468" s="73"/>
      <c r="P468" s="74"/>
      <c r="Q468" s="74"/>
      <c r="R468" s="87"/>
      <c r="S468" s="87"/>
      <c r="T468" s="87"/>
      <c r="U468" s="87"/>
      <c r="V468" s="48"/>
      <c r="W468" s="48"/>
      <c r="X468" s="48"/>
      <c r="Y468" s="48"/>
      <c r="Z468" s="47"/>
      <c r="AA468" s="69">
        <v>468</v>
      </c>
      <c r="AB468" s="69"/>
      <c r="AC468" s="70"/>
      <c r="AD468" s="76" t="s">
        <v>18208</v>
      </c>
      <c r="AE468" s="81" t="s">
        <v>17371</v>
      </c>
      <c r="AF468" s="76">
        <v>8646</v>
      </c>
      <c r="AG468" s="76">
        <v>1729</v>
      </c>
      <c r="AH468" s="76">
        <v>36214</v>
      </c>
      <c r="AI468" s="76">
        <v>41</v>
      </c>
      <c r="AJ468" s="76">
        <v>15156</v>
      </c>
      <c r="AK468" s="76">
        <v>4072</v>
      </c>
      <c r="AL468" s="76" t="b">
        <v>0</v>
      </c>
      <c r="AM468" s="78">
        <v>40037.697881944441</v>
      </c>
      <c r="AN468" s="76" t="s">
        <v>18730</v>
      </c>
      <c r="AO468" s="76" t="s">
        <v>19190</v>
      </c>
      <c r="AP468" s="83" t="str">
        <f>HYPERLINK("https://t.co/G9NRBoakHY")</f>
        <v>https://t.co/G9NRBoakHY</v>
      </c>
      <c r="AQ468" s="83" t="str">
        <f>HYPERLINK("https://www.bandnoticiasba.com.br/noticias-sobre/esse-e-o-ponto/")</f>
        <v>https://www.bandnoticiasba.com.br/noticias-sobre/esse-e-o-ponto/</v>
      </c>
      <c r="AR468" s="76" t="s">
        <v>19583</v>
      </c>
      <c r="AS468" s="76"/>
      <c r="AT468" s="76"/>
      <c r="AU468" s="76"/>
      <c r="AV468" s="76">
        <v>1.63540138981919E+18</v>
      </c>
      <c r="AW468" s="83" t="str">
        <f>HYPERLINK("https://t.co/G9NRBoakHY")</f>
        <v>https://t.co/G9NRBoakHY</v>
      </c>
      <c r="AX468" s="76" t="b">
        <v>1</v>
      </c>
      <c r="AY468" s="76"/>
      <c r="AZ468" s="76"/>
      <c r="BA468" s="76" t="b">
        <v>1</v>
      </c>
      <c r="BB468" s="76" t="b">
        <v>1</v>
      </c>
      <c r="BC468" s="76" t="b">
        <v>0</v>
      </c>
      <c r="BD468" s="76" t="b">
        <v>0</v>
      </c>
      <c r="BE468" s="76" t="b">
        <v>0</v>
      </c>
      <c r="BF468" s="76" t="b">
        <v>0</v>
      </c>
      <c r="BG468" s="76" t="b">
        <v>0</v>
      </c>
      <c r="BH468" s="83" t="str">
        <f>HYPERLINK("https://pbs.twimg.com/profile_banners/65085982/1590781195")</f>
        <v>https://pbs.twimg.com/profile_banners/65085982/1590781195</v>
      </c>
      <c r="BI468" s="76"/>
      <c r="BJ468" s="76" t="s">
        <v>19734</v>
      </c>
      <c r="BK468" s="76" t="b">
        <v>0</v>
      </c>
      <c r="BL468" s="76"/>
      <c r="BM468" s="76" t="s">
        <v>65</v>
      </c>
      <c r="BN468" s="76" t="s">
        <v>19736</v>
      </c>
      <c r="BO468" s="83" t="str">
        <f>HYPERLINK("https://twitter.com/victordojornal")</f>
        <v>https://twitter.com/victordojornal</v>
      </c>
      <c r="BP468" s="2"/>
    </row>
    <row r="469" spans="1:68" x14ac:dyDescent="0.25">
      <c r="A469" s="62" t="s">
        <v>621</v>
      </c>
      <c r="B469" s="63"/>
      <c r="C469" s="63"/>
      <c r="D469" s="64"/>
      <c r="E469" s="66"/>
      <c r="F469" s="103" t="str">
        <f>HYPERLINK("https://pbs.twimg.com/profile_images/1596946445990612992/VQ4MELRm_normal.jpg")</f>
        <v>https://pbs.twimg.com/profile_images/1596946445990612992/VQ4MELRm_normal.jpg</v>
      </c>
      <c r="G469" s="63"/>
      <c r="H469" s="67"/>
      <c r="I469" s="68"/>
      <c r="J469" s="68"/>
      <c r="K469" s="67" t="s">
        <v>20202</v>
      </c>
      <c r="L469" s="71"/>
      <c r="M469" s="72"/>
      <c r="N469" s="72"/>
      <c r="O469" s="73"/>
      <c r="P469" s="74"/>
      <c r="Q469" s="74"/>
      <c r="R469" s="87"/>
      <c r="S469" s="87"/>
      <c r="T469" s="87"/>
      <c r="U469" s="87"/>
      <c r="V469" s="48"/>
      <c r="W469" s="48"/>
      <c r="X469" s="48"/>
      <c r="Y469" s="48"/>
      <c r="Z469" s="47"/>
      <c r="AA469" s="69">
        <v>469</v>
      </c>
      <c r="AB469" s="69"/>
      <c r="AC469" s="70"/>
      <c r="AD469" s="76" t="s">
        <v>18209</v>
      </c>
      <c r="AE469" s="81" t="s">
        <v>17651</v>
      </c>
      <c r="AF469" s="76">
        <v>1511</v>
      </c>
      <c r="AG469" s="76">
        <v>1358</v>
      </c>
      <c r="AH469" s="76">
        <v>424</v>
      </c>
      <c r="AI469" s="76">
        <v>1</v>
      </c>
      <c r="AJ469" s="76">
        <v>563</v>
      </c>
      <c r="AK469" s="76">
        <v>60</v>
      </c>
      <c r="AL469" s="76" t="b">
        <v>0</v>
      </c>
      <c r="AM469" s="78">
        <v>43906.05641203704</v>
      </c>
      <c r="AN469" s="76"/>
      <c r="AO469" s="76" t="s">
        <v>19191</v>
      </c>
      <c r="AP469" s="83" t="str">
        <f>HYPERLINK("https://t.co/0PKPPkbu9T")</f>
        <v>https://t.co/0PKPPkbu9T</v>
      </c>
      <c r="AQ469" s="83" t="str">
        <f>HYPERLINK("https://invistanabolsa.page.link/invistanabolsa")</f>
        <v>https://invistanabolsa.page.link/invistanabolsa</v>
      </c>
      <c r="AR469" s="76" t="s">
        <v>19584</v>
      </c>
      <c r="AS469" s="76"/>
      <c r="AT469" s="76"/>
      <c r="AU469" s="76"/>
      <c r="AV469" s="76"/>
      <c r="AW469" s="83" t="str">
        <f>HYPERLINK("https://t.co/0PKPPkbu9T")</f>
        <v>https://t.co/0PKPPkbu9T</v>
      </c>
      <c r="AX469" s="76" t="b">
        <v>0</v>
      </c>
      <c r="AY469" s="76"/>
      <c r="AZ469" s="76"/>
      <c r="BA469" s="76" t="b">
        <v>0</v>
      </c>
      <c r="BB469" s="76" t="b">
        <v>1</v>
      </c>
      <c r="BC469" s="76" t="b">
        <v>1</v>
      </c>
      <c r="BD469" s="76" t="b">
        <v>0</v>
      </c>
      <c r="BE469" s="76" t="b">
        <v>0</v>
      </c>
      <c r="BF469" s="76" t="b">
        <v>0</v>
      </c>
      <c r="BG469" s="76" t="b">
        <v>0</v>
      </c>
      <c r="BH469" s="83" t="str">
        <f>HYPERLINK("https://pbs.twimg.com/profile_banners/1239360952233050112/1669579243")</f>
        <v>https://pbs.twimg.com/profile_banners/1239360952233050112/1669579243</v>
      </c>
      <c r="BI469" s="76"/>
      <c r="BJ469" s="76" t="s">
        <v>19734</v>
      </c>
      <c r="BK469" s="76" t="b">
        <v>0</v>
      </c>
      <c r="BL469" s="76"/>
      <c r="BM469" s="76" t="s">
        <v>66</v>
      </c>
      <c r="BN469" s="76" t="s">
        <v>19736</v>
      </c>
      <c r="BO469" s="83" t="str">
        <f>HYPERLINK("https://twitter.com/invista_nabolsa")</f>
        <v>https://twitter.com/invista_nabolsa</v>
      </c>
      <c r="BP469" s="2"/>
    </row>
    <row r="470" spans="1:68" x14ac:dyDescent="0.25">
      <c r="A470" s="62" t="s">
        <v>623</v>
      </c>
      <c r="B470" s="63"/>
      <c r="C470" s="63"/>
      <c r="D470" s="64"/>
      <c r="E470" s="66"/>
      <c r="F470" s="103" t="str">
        <f>HYPERLINK("https://pbs.twimg.com/profile_images/1130931586059448320/J8lXhG_K_normal.png")</f>
        <v>https://pbs.twimg.com/profile_images/1130931586059448320/J8lXhG_K_normal.png</v>
      </c>
      <c r="G470" s="63"/>
      <c r="H470" s="67"/>
      <c r="I470" s="68"/>
      <c r="J470" s="68"/>
      <c r="K470" s="67" t="s">
        <v>20203</v>
      </c>
      <c r="L470" s="71"/>
      <c r="M470" s="72"/>
      <c r="N470" s="72"/>
      <c r="O470" s="73"/>
      <c r="P470" s="74"/>
      <c r="Q470" s="74"/>
      <c r="R470" s="87"/>
      <c r="S470" s="87"/>
      <c r="T470" s="87"/>
      <c r="U470" s="87"/>
      <c r="V470" s="48"/>
      <c r="W470" s="48"/>
      <c r="X470" s="48"/>
      <c r="Y470" s="48"/>
      <c r="Z470" s="47"/>
      <c r="AA470" s="69">
        <v>470</v>
      </c>
      <c r="AB470" s="69"/>
      <c r="AC470" s="70"/>
      <c r="AD470" s="76" t="s">
        <v>18210</v>
      </c>
      <c r="AE470" s="81" t="s">
        <v>17653</v>
      </c>
      <c r="AF470" s="76">
        <v>2821</v>
      </c>
      <c r="AG470" s="76">
        <v>10</v>
      </c>
      <c r="AH470" s="76">
        <v>13454</v>
      </c>
      <c r="AI470" s="76">
        <v>44</v>
      </c>
      <c r="AJ470" s="76">
        <v>1</v>
      </c>
      <c r="AK470" s="76">
        <v>8744</v>
      </c>
      <c r="AL470" s="76" t="b">
        <v>0</v>
      </c>
      <c r="AM470" s="78">
        <v>43588.224351851852</v>
      </c>
      <c r="AN470" s="76" t="s">
        <v>12007</v>
      </c>
      <c r="AO470" s="76" t="s">
        <v>19192</v>
      </c>
      <c r="AP470" s="76"/>
      <c r="AQ470" s="76"/>
      <c r="AR470" s="76"/>
      <c r="AS470" s="76"/>
      <c r="AT470" s="76"/>
      <c r="AU470" s="76"/>
      <c r="AV470" s="76">
        <v>1.33089669199474E+18</v>
      </c>
      <c r="AW470" s="76"/>
      <c r="AX470" s="76" t="b">
        <v>0</v>
      </c>
      <c r="AY470" s="76"/>
      <c r="AZ470" s="76"/>
      <c r="BA470" s="76" t="b">
        <v>0</v>
      </c>
      <c r="BB470" s="76" t="b">
        <v>1</v>
      </c>
      <c r="BC470" s="76" t="b">
        <v>1</v>
      </c>
      <c r="BD470" s="76" t="b">
        <v>0</v>
      </c>
      <c r="BE470" s="76" t="b">
        <v>0</v>
      </c>
      <c r="BF470" s="76" t="b">
        <v>0</v>
      </c>
      <c r="BG470" s="76" t="b">
        <v>0</v>
      </c>
      <c r="BH470" s="83" t="str">
        <f>HYPERLINK("https://pbs.twimg.com/profile_banners/1124182565592752128/1556861340")</f>
        <v>https://pbs.twimg.com/profile_banners/1124182565592752128/1556861340</v>
      </c>
      <c r="BI470" s="76"/>
      <c r="BJ470" s="76" t="s">
        <v>19734</v>
      </c>
      <c r="BK470" s="76" t="b">
        <v>0</v>
      </c>
      <c r="BL470" s="76"/>
      <c r="BM470" s="76" t="s">
        <v>66</v>
      </c>
      <c r="BN470" s="76" t="s">
        <v>19736</v>
      </c>
      <c r="BO470" s="83" t="str">
        <f>HYPERLINK("https://twitter.com/meusfii")</f>
        <v>https://twitter.com/meusfii</v>
      </c>
      <c r="BP470" s="2"/>
    </row>
    <row r="471" spans="1:68" x14ac:dyDescent="0.25">
      <c r="A471" s="62" t="s">
        <v>624</v>
      </c>
      <c r="B471" s="63"/>
      <c r="C471" s="63"/>
      <c r="D471" s="64"/>
      <c r="E471" s="66"/>
      <c r="F471" s="103" t="str">
        <f>HYPERLINK("https://pbs.twimg.com/profile_images/1355648474046459906/Sz5JpgEY_normal.jpg")</f>
        <v>https://pbs.twimg.com/profile_images/1355648474046459906/Sz5JpgEY_normal.jpg</v>
      </c>
      <c r="G471" s="63"/>
      <c r="H471" s="67"/>
      <c r="I471" s="68"/>
      <c r="J471" s="68"/>
      <c r="K471" s="67" t="s">
        <v>20204</v>
      </c>
      <c r="L471" s="71"/>
      <c r="M471" s="72"/>
      <c r="N471" s="72"/>
      <c r="O471" s="73"/>
      <c r="P471" s="74"/>
      <c r="Q471" s="74"/>
      <c r="R471" s="87"/>
      <c r="S471" s="87"/>
      <c r="T471" s="87"/>
      <c r="U471" s="87"/>
      <c r="V471" s="48"/>
      <c r="W471" s="48"/>
      <c r="X471" s="48"/>
      <c r="Y471" s="48"/>
      <c r="Z471" s="47"/>
      <c r="AA471" s="69">
        <v>471</v>
      </c>
      <c r="AB471" s="69"/>
      <c r="AC471" s="70"/>
      <c r="AD471" s="76" t="s">
        <v>18211</v>
      </c>
      <c r="AE471" s="81" t="s">
        <v>17654</v>
      </c>
      <c r="AF471" s="76">
        <v>129</v>
      </c>
      <c r="AG471" s="76">
        <v>43</v>
      </c>
      <c r="AH471" s="76">
        <v>284</v>
      </c>
      <c r="AI471" s="76">
        <v>0</v>
      </c>
      <c r="AJ471" s="76">
        <v>89</v>
      </c>
      <c r="AK471" s="76">
        <v>168</v>
      </c>
      <c r="AL471" s="76" t="b">
        <v>0</v>
      </c>
      <c r="AM471" s="78">
        <v>44226.943067129629</v>
      </c>
      <c r="AN471" s="76" t="s">
        <v>12009</v>
      </c>
      <c r="AO471" s="76" t="s">
        <v>19193</v>
      </c>
      <c r="AP471" s="83" t="str">
        <f>HYPERLINK("https://t.co/7Ac8Zllz63")</f>
        <v>https://t.co/7Ac8Zllz63</v>
      </c>
      <c r="AQ471" s="83" t="str">
        <f>HYPERLINK("https://www.investinabolsa.com")</f>
        <v>https://www.investinabolsa.com</v>
      </c>
      <c r="AR471" s="76" t="s">
        <v>7136</v>
      </c>
      <c r="AS471" s="76"/>
      <c r="AT471" s="76"/>
      <c r="AU471" s="76"/>
      <c r="AV471" s="76"/>
      <c r="AW471" s="83" t="str">
        <f>HYPERLINK("https://t.co/7Ac8Zllz63")</f>
        <v>https://t.co/7Ac8Zllz63</v>
      </c>
      <c r="AX471" s="76" t="b">
        <v>0</v>
      </c>
      <c r="AY471" s="76"/>
      <c r="AZ471" s="76"/>
      <c r="BA471" s="76" t="b">
        <v>1</v>
      </c>
      <c r="BB471" s="76" t="b">
        <v>1</v>
      </c>
      <c r="BC471" s="76" t="b">
        <v>1</v>
      </c>
      <c r="BD471" s="76" t="b">
        <v>0</v>
      </c>
      <c r="BE471" s="76" t="b">
        <v>0</v>
      </c>
      <c r="BF471" s="76" t="b">
        <v>0</v>
      </c>
      <c r="BG471" s="76" t="b">
        <v>0</v>
      </c>
      <c r="BH471" s="83" t="str">
        <f>HYPERLINK("https://pbs.twimg.com/profile_banners/1355646361367146497/1612046854")</f>
        <v>https://pbs.twimg.com/profile_banners/1355646361367146497/1612046854</v>
      </c>
      <c r="BI471" s="76"/>
      <c r="BJ471" s="76" t="s">
        <v>19734</v>
      </c>
      <c r="BK471" s="76" t="b">
        <v>0</v>
      </c>
      <c r="BL471" s="76"/>
      <c r="BM471" s="76" t="s">
        <v>66</v>
      </c>
      <c r="BN471" s="76" t="s">
        <v>19736</v>
      </c>
      <c r="BO471" s="83" t="str">
        <f>HYPERLINK("https://twitter.com/investirna")</f>
        <v>https://twitter.com/investirna</v>
      </c>
      <c r="BP471" s="2"/>
    </row>
    <row r="472" spans="1:68" x14ac:dyDescent="0.25">
      <c r="A472" s="62" t="s">
        <v>625</v>
      </c>
      <c r="B472" s="63"/>
      <c r="C472" s="63"/>
      <c r="D472" s="64"/>
      <c r="E472" s="66"/>
      <c r="F472" s="103" t="str">
        <f>HYPERLINK("https://pbs.twimg.com/profile_images/1679537874344050688/jmCj1H7Z_normal.jpg")</f>
        <v>https://pbs.twimg.com/profile_images/1679537874344050688/jmCj1H7Z_normal.jpg</v>
      </c>
      <c r="G472" s="63"/>
      <c r="H472" s="67"/>
      <c r="I472" s="68"/>
      <c r="J472" s="68"/>
      <c r="K472" s="67" t="s">
        <v>20205</v>
      </c>
      <c r="L472" s="71"/>
      <c r="M472" s="72"/>
      <c r="N472" s="72"/>
      <c r="O472" s="73"/>
      <c r="P472" s="74"/>
      <c r="Q472" s="74"/>
      <c r="R472" s="87"/>
      <c r="S472" s="87"/>
      <c r="T472" s="87"/>
      <c r="U472" s="87"/>
      <c r="V472" s="48"/>
      <c r="W472" s="48"/>
      <c r="X472" s="48"/>
      <c r="Y472" s="48"/>
      <c r="Z472" s="47"/>
      <c r="AA472" s="69">
        <v>472</v>
      </c>
      <c r="AB472" s="69"/>
      <c r="AC472" s="70"/>
      <c r="AD472" s="76" t="s">
        <v>18212</v>
      </c>
      <c r="AE472" s="81" t="s">
        <v>17655</v>
      </c>
      <c r="AF472" s="76">
        <v>4989</v>
      </c>
      <c r="AG472" s="76">
        <v>5325</v>
      </c>
      <c r="AH472" s="76">
        <v>3270</v>
      </c>
      <c r="AI472" s="76">
        <v>1</v>
      </c>
      <c r="AJ472" s="76">
        <v>2502</v>
      </c>
      <c r="AK472" s="76">
        <v>256</v>
      </c>
      <c r="AL472" s="76" t="b">
        <v>0</v>
      </c>
      <c r="AM472" s="78">
        <v>43953.158414351848</v>
      </c>
      <c r="AN472" s="76"/>
      <c r="AO472" s="76" t="s">
        <v>19194</v>
      </c>
      <c r="AP472" s="76"/>
      <c r="AQ472" s="76"/>
      <c r="AR472" s="76"/>
      <c r="AS472" s="76"/>
      <c r="AT472" s="76"/>
      <c r="AU472" s="76"/>
      <c r="AV472" s="76">
        <v>1.68781451706381E+18</v>
      </c>
      <c r="AW472" s="76"/>
      <c r="AX472" s="76" t="b">
        <v>0</v>
      </c>
      <c r="AY472" s="76"/>
      <c r="AZ472" s="76"/>
      <c r="BA472" s="76" t="b">
        <v>0</v>
      </c>
      <c r="BB472" s="76" t="b">
        <v>1</v>
      </c>
      <c r="BC472" s="76" t="b">
        <v>1</v>
      </c>
      <c r="BD472" s="76" t="b">
        <v>0</v>
      </c>
      <c r="BE472" s="76" t="b">
        <v>1</v>
      </c>
      <c r="BF472" s="76" t="b">
        <v>0</v>
      </c>
      <c r="BG472" s="76" t="b">
        <v>0</v>
      </c>
      <c r="BH472" s="83" t="str">
        <f>HYPERLINK("https://pbs.twimg.com/profile_banners/1256430182396833792/1670696942")</f>
        <v>https://pbs.twimg.com/profile_banners/1256430182396833792/1670696942</v>
      </c>
      <c r="BI472" s="76"/>
      <c r="BJ472" s="76" t="s">
        <v>19734</v>
      </c>
      <c r="BK472" s="76" t="b">
        <v>0</v>
      </c>
      <c r="BL472" s="76"/>
      <c r="BM472" s="76" t="s">
        <v>66</v>
      </c>
      <c r="BN472" s="76" t="s">
        <v>19736</v>
      </c>
      <c r="BO472" s="83" t="str">
        <f>HYPERLINK("https://twitter.com/pedroalegre17")</f>
        <v>https://twitter.com/pedroalegre17</v>
      </c>
      <c r="BP472" s="2"/>
    </row>
    <row r="473" spans="1:68" x14ac:dyDescent="0.25">
      <c r="A473" s="62" t="s">
        <v>626</v>
      </c>
      <c r="B473" s="63"/>
      <c r="C473" s="63"/>
      <c r="D473" s="64"/>
      <c r="E473" s="66"/>
      <c r="F473" s="103" t="str">
        <f>HYPERLINK("https://pbs.twimg.com/profile_images/1620272270932381704/3Nc30HZ5_normal.jpg")</f>
        <v>https://pbs.twimg.com/profile_images/1620272270932381704/3Nc30HZ5_normal.jpg</v>
      </c>
      <c r="G473" s="63"/>
      <c r="H473" s="67"/>
      <c r="I473" s="68"/>
      <c r="J473" s="68"/>
      <c r="K473" s="67" t="s">
        <v>20206</v>
      </c>
      <c r="L473" s="71"/>
      <c r="M473" s="72"/>
      <c r="N473" s="72"/>
      <c r="O473" s="73"/>
      <c r="P473" s="74"/>
      <c r="Q473" s="74"/>
      <c r="R473" s="87"/>
      <c r="S473" s="87"/>
      <c r="T473" s="87"/>
      <c r="U473" s="87"/>
      <c r="V473" s="48"/>
      <c r="W473" s="48"/>
      <c r="X473" s="48"/>
      <c r="Y473" s="48"/>
      <c r="Z473" s="47"/>
      <c r="AA473" s="69">
        <v>473</v>
      </c>
      <c r="AB473" s="69"/>
      <c r="AC473" s="70"/>
      <c r="AD473" s="76" t="s">
        <v>18213</v>
      </c>
      <c r="AE473" s="81" t="s">
        <v>18510</v>
      </c>
      <c r="AF473" s="76">
        <v>1334</v>
      </c>
      <c r="AG473" s="76">
        <v>1385</v>
      </c>
      <c r="AH473" s="76">
        <v>11421</v>
      </c>
      <c r="AI473" s="76">
        <v>14</v>
      </c>
      <c r="AJ473" s="76">
        <v>1723</v>
      </c>
      <c r="AK473" s="76">
        <v>8443</v>
      </c>
      <c r="AL473" s="76" t="b">
        <v>0</v>
      </c>
      <c r="AM473" s="78">
        <v>39965.989270833335</v>
      </c>
      <c r="AN473" s="76" t="s">
        <v>18673</v>
      </c>
      <c r="AO473" s="76" t="s">
        <v>19195</v>
      </c>
      <c r="AP473" s="76"/>
      <c r="AQ473" s="76"/>
      <c r="AR473" s="76"/>
      <c r="AS473" s="76"/>
      <c r="AT473" s="76"/>
      <c r="AU473" s="76"/>
      <c r="AV473" s="76">
        <v>1.62364098173519E+18</v>
      </c>
      <c r="AW473" s="76"/>
      <c r="AX473" s="76" t="b">
        <v>0</v>
      </c>
      <c r="AY473" s="76"/>
      <c r="AZ473" s="76"/>
      <c r="BA473" s="76" t="b">
        <v>0</v>
      </c>
      <c r="BB473" s="76" t="b">
        <v>1</v>
      </c>
      <c r="BC473" s="76" t="b">
        <v>1</v>
      </c>
      <c r="BD473" s="76" t="b">
        <v>0</v>
      </c>
      <c r="BE473" s="76" t="b">
        <v>1</v>
      </c>
      <c r="BF473" s="76" t="b">
        <v>0</v>
      </c>
      <c r="BG473" s="76" t="b">
        <v>0</v>
      </c>
      <c r="BH473" s="83" t="str">
        <f>HYPERLINK("https://pbs.twimg.com/profile_banners/44006093/1675703401")</f>
        <v>https://pbs.twimg.com/profile_banners/44006093/1675703401</v>
      </c>
      <c r="BI473" s="76"/>
      <c r="BJ473" s="76" t="s">
        <v>19734</v>
      </c>
      <c r="BK473" s="76" t="b">
        <v>0</v>
      </c>
      <c r="BL473" s="76"/>
      <c r="BM473" s="76" t="s">
        <v>66</v>
      </c>
      <c r="BN473" s="76" t="s">
        <v>19736</v>
      </c>
      <c r="BO473" s="83" t="str">
        <f>HYPERLINK("https://twitter.com/fiinewspaper")</f>
        <v>https://twitter.com/fiinewspaper</v>
      </c>
      <c r="BP473" s="2"/>
    </row>
    <row r="474" spans="1:68" x14ac:dyDescent="0.25">
      <c r="A474" s="62" t="s">
        <v>627</v>
      </c>
      <c r="B474" s="63"/>
      <c r="C474" s="63"/>
      <c r="D474" s="64"/>
      <c r="E474" s="66"/>
      <c r="F474" s="103" t="str">
        <f>HYPERLINK("https://pbs.twimg.com/profile_images/1678155833966772224/O2zmfBJg_normal.jpg")</f>
        <v>https://pbs.twimg.com/profile_images/1678155833966772224/O2zmfBJg_normal.jpg</v>
      </c>
      <c r="G474" s="63"/>
      <c r="H474" s="67"/>
      <c r="I474" s="68"/>
      <c r="J474" s="68"/>
      <c r="K474" s="67" t="s">
        <v>20207</v>
      </c>
      <c r="L474" s="71"/>
      <c r="M474" s="72"/>
      <c r="N474" s="72"/>
      <c r="O474" s="73"/>
      <c r="P474" s="74"/>
      <c r="Q474" s="74"/>
      <c r="R474" s="87"/>
      <c r="S474" s="87"/>
      <c r="T474" s="87"/>
      <c r="U474" s="87"/>
      <c r="V474" s="48"/>
      <c r="W474" s="48"/>
      <c r="X474" s="48"/>
      <c r="Y474" s="48"/>
      <c r="Z474" s="47"/>
      <c r="AA474" s="69">
        <v>474</v>
      </c>
      <c r="AB474" s="69"/>
      <c r="AC474" s="70"/>
      <c r="AD474" s="76" t="s">
        <v>18214</v>
      </c>
      <c r="AE474" s="81" t="s">
        <v>17656</v>
      </c>
      <c r="AF474" s="76">
        <v>592</v>
      </c>
      <c r="AG474" s="76">
        <v>710</v>
      </c>
      <c r="AH474" s="76">
        <v>308</v>
      </c>
      <c r="AI474" s="76">
        <v>0</v>
      </c>
      <c r="AJ474" s="76">
        <v>3450</v>
      </c>
      <c r="AK474" s="76">
        <v>103</v>
      </c>
      <c r="AL474" s="76" t="b">
        <v>0</v>
      </c>
      <c r="AM474" s="78">
        <v>43843.940081018518</v>
      </c>
      <c r="AN474" s="76" t="s">
        <v>18603</v>
      </c>
      <c r="AO474" s="76" t="s">
        <v>19196</v>
      </c>
      <c r="AP474" s="76"/>
      <c r="AQ474" s="76"/>
      <c r="AR474" s="76"/>
      <c r="AS474" s="76"/>
      <c r="AT474" s="76"/>
      <c r="AU474" s="76"/>
      <c r="AV474" s="76">
        <v>1.5171767228269701E+18</v>
      </c>
      <c r="AW474" s="76"/>
      <c r="AX474" s="76" t="b">
        <v>0</v>
      </c>
      <c r="AY474" s="76"/>
      <c r="AZ474" s="76"/>
      <c r="BA474" s="76" t="b">
        <v>0</v>
      </c>
      <c r="BB474" s="76" t="b">
        <v>1</v>
      </c>
      <c r="BC474" s="76" t="b">
        <v>1</v>
      </c>
      <c r="BD474" s="76" t="b">
        <v>0</v>
      </c>
      <c r="BE474" s="76" t="b">
        <v>1</v>
      </c>
      <c r="BF474" s="76" t="b">
        <v>0</v>
      </c>
      <c r="BG474" s="76" t="b">
        <v>0</v>
      </c>
      <c r="BH474" s="83" t="str">
        <f>HYPERLINK("https://pbs.twimg.com/profile_banners/1216850804826628096/1667913436")</f>
        <v>https://pbs.twimg.com/profile_banners/1216850804826628096/1667913436</v>
      </c>
      <c r="BI474" s="76"/>
      <c r="BJ474" s="76" t="s">
        <v>19734</v>
      </c>
      <c r="BK474" s="76" t="b">
        <v>0</v>
      </c>
      <c r="BL474" s="76"/>
      <c r="BM474" s="76" t="s">
        <v>66</v>
      </c>
      <c r="BN474" s="76" t="s">
        <v>19736</v>
      </c>
      <c r="BO474" s="83" t="str">
        <f>HYPERLINK("https://twitter.com/publishorperich")</f>
        <v>https://twitter.com/publishorperich</v>
      </c>
      <c r="BP474" s="2"/>
    </row>
    <row r="475" spans="1:68" x14ac:dyDescent="0.25">
      <c r="A475" s="62" t="s">
        <v>628</v>
      </c>
      <c r="B475" s="63"/>
      <c r="C475" s="63"/>
      <c r="D475" s="64"/>
      <c r="E475" s="66"/>
      <c r="F475" s="103" t="str">
        <f>HYPERLINK("https://pbs.twimg.com/profile_images/1609522137844391939/mY6F90je_normal.jpg")</f>
        <v>https://pbs.twimg.com/profile_images/1609522137844391939/mY6F90je_normal.jpg</v>
      </c>
      <c r="G475" s="63"/>
      <c r="H475" s="67"/>
      <c r="I475" s="68"/>
      <c r="J475" s="68"/>
      <c r="K475" s="67" t="s">
        <v>20208</v>
      </c>
      <c r="L475" s="71"/>
      <c r="M475" s="72"/>
      <c r="N475" s="72"/>
      <c r="O475" s="73"/>
      <c r="P475" s="74"/>
      <c r="Q475" s="74"/>
      <c r="R475" s="87"/>
      <c r="S475" s="87"/>
      <c r="T475" s="87"/>
      <c r="U475" s="87"/>
      <c r="V475" s="48"/>
      <c r="W475" s="48"/>
      <c r="X475" s="48"/>
      <c r="Y475" s="48"/>
      <c r="Z475" s="47"/>
      <c r="AA475" s="69">
        <v>475</v>
      </c>
      <c r="AB475" s="69"/>
      <c r="AC475" s="70"/>
      <c r="AD475" s="76" t="s">
        <v>18215</v>
      </c>
      <c r="AE475" s="81" t="s">
        <v>17372</v>
      </c>
      <c r="AF475" s="76">
        <v>41536</v>
      </c>
      <c r="AG475" s="76">
        <v>1662</v>
      </c>
      <c r="AH475" s="76">
        <v>5890</v>
      </c>
      <c r="AI475" s="76">
        <v>108</v>
      </c>
      <c r="AJ475" s="76">
        <v>2362</v>
      </c>
      <c r="AK475" s="76">
        <v>1821</v>
      </c>
      <c r="AL475" s="76" t="b">
        <v>0</v>
      </c>
      <c r="AM475" s="78">
        <v>40393.8128125</v>
      </c>
      <c r="AN475" s="76" t="s">
        <v>18731</v>
      </c>
      <c r="AO475" s="76" t="s">
        <v>19197</v>
      </c>
      <c r="AP475" s="83" t="str">
        <f>HYPERLINK("https://t.co/6RfrzoAwG3")</f>
        <v>https://t.co/6RfrzoAwG3</v>
      </c>
      <c r="AQ475" s="83" t="str">
        <f>HYPERLINK("https://www.raquellyra.com.br/")</f>
        <v>https://www.raquellyra.com.br/</v>
      </c>
      <c r="AR475" s="76" t="s">
        <v>19585</v>
      </c>
      <c r="AS475" s="76"/>
      <c r="AT475" s="76"/>
      <c r="AU475" s="76"/>
      <c r="AV475" s="76"/>
      <c r="AW475" s="83" t="str">
        <f>HYPERLINK("https://t.co/6RfrzoAwG3")</f>
        <v>https://t.co/6RfrzoAwG3</v>
      </c>
      <c r="AX475" s="76" t="b">
        <v>0</v>
      </c>
      <c r="AY475" s="76"/>
      <c r="AZ475" s="76"/>
      <c r="BA475" s="76" t="b">
        <v>1</v>
      </c>
      <c r="BB475" s="76" t="b">
        <v>1</v>
      </c>
      <c r="BC475" s="76" t="b">
        <v>0</v>
      </c>
      <c r="BD475" s="76" t="b">
        <v>0</v>
      </c>
      <c r="BE475" s="76" t="b">
        <v>1</v>
      </c>
      <c r="BF475" s="76" t="b">
        <v>0</v>
      </c>
      <c r="BG475" s="76" t="b">
        <v>0</v>
      </c>
      <c r="BH475" s="83" t="str">
        <f>HYPERLINK("https://pbs.twimg.com/profile_banners/174370381/1667998713")</f>
        <v>https://pbs.twimg.com/profile_banners/174370381/1667998713</v>
      </c>
      <c r="BI475" s="76"/>
      <c r="BJ475" s="76" t="s">
        <v>19734</v>
      </c>
      <c r="BK475" s="76" t="b">
        <v>0</v>
      </c>
      <c r="BL475" s="76"/>
      <c r="BM475" s="76" t="s">
        <v>66</v>
      </c>
      <c r="BN475" s="76" t="s">
        <v>19736</v>
      </c>
      <c r="BO475" s="83" t="str">
        <f>HYPERLINK("https://twitter.com/raquellyra")</f>
        <v>https://twitter.com/raquellyra</v>
      </c>
      <c r="BP475" s="2"/>
    </row>
    <row r="476" spans="1:68" x14ac:dyDescent="0.25">
      <c r="A476" s="62" t="s">
        <v>629</v>
      </c>
      <c r="B476" s="63"/>
      <c r="C476" s="63"/>
      <c r="D476" s="64"/>
      <c r="E476" s="66"/>
      <c r="F476" s="103" t="str">
        <f>HYPERLINK("https://pbs.twimg.com/profile_images/1699049539192172544/B96F3DOd_normal.jpg")</f>
        <v>https://pbs.twimg.com/profile_images/1699049539192172544/B96F3DOd_normal.jpg</v>
      </c>
      <c r="G476" s="63"/>
      <c r="H476" s="67"/>
      <c r="I476" s="68"/>
      <c r="J476" s="68"/>
      <c r="K476" s="67" t="s">
        <v>20209</v>
      </c>
      <c r="L476" s="71"/>
      <c r="M476" s="72"/>
      <c r="N476" s="72"/>
      <c r="O476" s="73"/>
      <c r="P476" s="74"/>
      <c r="Q476" s="74"/>
      <c r="R476" s="87"/>
      <c r="S476" s="87"/>
      <c r="T476" s="87"/>
      <c r="U476" s="87"/>
      <c r="V476" s="48"/>
      <c r="W476" s="48"/>
      <c r="X476" s="48"/>
      <c r="Y476" s="48"/>
      <c r="Z476" s="47"/>
      <c r="AA476" s="69">
        <v>476</v>
      </c>
      <c r="AB476" s="69"/>
      <c r="AC476" s="70"/>
      <c r="AD476" s="76" t="s">
        <v>18216</v>
      </c>
      <c r="AE476" s="81" t="s">
        <v>17373</v>
      </c>
      <c r="AF476" s="76">
        <v>39</v>
      </c>
      <c r="AG476" s="76">
        <v>165</v>
      </c>
      <c r="AH476" s="76">
        <v>2190</v>
      </c>
      <c r="AI476" s="76">
        <v>0</v>
      </c>
      <c r="AJ476" s="76">
        <v>4270</v>
      </c>
      <c r="AK476" s="76">
        <v>44</v>
      </c>
      <c r="AL476" s="76" t="b">
        <v>0</v>
      </c>
      <c r="AM476" s="78">
        <v>44347.742800925924</v>
      </c>
      <c r="AN476" s="76" t="s">
        <v>18732</v>
      </c>
      <c r="AO476" s="76" t="s">
        <v>19198</v>
      </c>
      <c r="AP476" s="83" t="str">
        <f>HYPERLINK("https://t.co/MujqoWjQfE")</f>
        <v>https://t.co/MujqoWjQfE</v>
      </c>
      <c r="AQ476" s="83" t="str">
        <f>HYPERLINK("http://Instagram.com/igoor_serrano")</f>
        <v>http://Instagram.com/igoor_serrano</v>
      </c>
      <c r="AR476" s="76" t="s">
        <v>19586</v>
      </c>
      <c r="AS476" s="76"/>
      <c r="AT476" s="76"/>
      <c r="AU476" s="76"/>
      <c r="AV476" s="76"/>
      <c r="AW476" s="83" t="str">
        <f>HYPERLINK("https://t.co/MujqoWjQfE")</f>
        <v>https://t.co/MujqoWjQfE</v>
      </c>
      <c r="AX476" s="76" t="b">
        <v>0</v>
      </c>
      <c r="AY476" s="76"/>
      <c r="AZ476" s="76"/>
      <c r="BA476" s="76" t="b">
        <v>0</v>
      </c>
      <c r="BB476" s="76" t="b">
        <v>0</v>
      </c>
      <c r="BC476" s="76" t="b">
        <v>1</v>
      </c>
      <c r="BD476" s="76" t="b">
        <v>0</v>
      </c>
      <c r="BE476" s="76" t="b">
        <v>1</v>
      </c>
      <c r="BF476" s="76" t="b">
        <v>0</v>
      </c>
      <c r="BG476" s="76" t="b">
        <v>1</v>
      </c>
      <c r="BH476" s="83" t="str">
        <f>HYPERLINK("https://pbs.twimg.com/profile_banners/1399422760103952386/1660101058")</f>
        <v>https://pbs.twimg.com/profile_banners/1399422760103952386/1660101058</v>
      </c>
      <c r="BI476" s="76"/>
      <c r="BJ476" s="76" t="s">
        <v>19734</v>
      </c>
      <c r="BK476" s="76" t="b">
        <v>0</v>
      </c>
      <c r="BL476" s="76"/>
      <c r="BM476" s="76" t="s">
        <v>66</v>
      </c>
      <c r="BN476" s="76" t="s">
        <v>19736</v>
      </c>
      <c r="BO476" s="83" t="str">
        <f>HYPERLINK("https://twitter.com/igoor_serrano")</f>
        <v>https://twitter.com/igoor_serrano</v>
      </c>
      <c r="BP476" s="2"/>
    </row>
    <row r="477" spans="1:68" x14ac:dyDescent="0.25">
      <c r="A477" s="62" t="s">
        <v>630</v>
      </c>
      <c r="B477" s="63"/>
      <c r="C477" s="63"/>
      <c r="D477" s="64"/>
      <c r="E477" s="66"/>
      <c r="F477" s="103" t="str">
        <f>HYPERLINK("https://pbs.twimg.com/profile_images/1633702117398413313/8vRsR4Y2_normal.jpg")</f>
        <v>https://pbs.twimg.com/profile_images/1633702117398413313/8vRsR4Y2_normal.jpg</v>
      </c>
      <c r="G477" s="63"/>
      <c r="H477" s="67"/>
      <c r="I477" s="68"/>
      <c r="J477" s="68"/>
      <c r="K477" s="67" t="s">
        <v>20210</v>
      </c>
      <c r="L477" s="71"/>
      <c r="M477" s="72"/>
      <c r="N477" s="72"/>
      <c r="O477" s="73"/>
      <c r="P477" s="74"/>
      <c r="Q477" s="74"/>
      <c r="R477" s="87"/>
      <c r="S477" s="87"/>
      <c r="T477" s="87"/>
      <c r="U477" s="87"/>
      <c r="V477" s="48"/>
      <c r="W477" s="48"/>
      <c r="X477" s="48"/>
      <c r="Y477" s="48"/>
      <c r="Z477" s="47"/>
      <c r="AA477" s="69">
        <v>477</v>
      </c>
      <c r="AB477" s="69"/>
      <c r="AC477" s="70"/>
      <c r="AD477" s="76" t="s">
        <v>18217</v>
      </c>
      <c r="AE477" s="81" t="s">
        <v>17657</v>
      </c>
      <c r="AF477" s="76">
        <v>6</v>
      </c>
      <c r="AG477" s="76">
        <v>5</v>
      </c>
      <c r="AH477" s="76">
        <v>109</v>
      </c>
      <c r="AI477" s="76">
        <v>20</v>
      </c>
      <c r="AJ477" s="76">
        <v>137</v>
      </c>
      <c r="AK477" s="76">
        <v>79</v>
      </c>
      <c r="AL477" s="76" t="b">
        <v>0</v>
      </c>
      <c r="AM477" s="78">
        <v>44771.412881944445</v>
      </c>
      <c r="AN477" s="76"/>
      <c r="AO477" s="76"/>
      <c r="AP477" s="76"/>
      <c r="AQ477" s="76"/>
      <c r="AR477" s="76"/>
      <c r="AS477" s="76"/>
      <c r="AT477" s="76"/>
      <c r="AU477" s="76"/>
      <c r="AV477" s="76"/>
      <c r="AW477" s="76"/>
      <c r="AX477" s="76" t="b">
        <v>0</v>
      </c>
      <c r="AY477" s="76"/>
      <c r="AZ477" s="76"/>
      <c r="BA477" s="76" t="b">
        <v>0</v>
      </c>
      <c r="BB477" s="76" t="b">
        <v>1</v>
      </c>
      <c r="BC477" s="76" t="b">
        <v>1</v>
      </c>
      <c r="BD477" s="76" t="b">
        <v>0</v>
      </c>
      <c r="BE477" s="76" t="b">
        <v>0</v>
      </c>
      <c r="BF477" s="76" t="b">
        <v>0</v>
      </c>
      <c r="BG477" s="76" t="b">
        <v>0</v>
      </c>
      <c r="BH477" s="83" t="str">
        <f>HYPERLINK("https://pbs.twimg.com/profile_banners/1552955665345282050/1678339961")</f>
        <v>https://pbs.twimg.com/profile_banners/1552955665345282050/1678339961</v>
      </c>
      <c r="BI477" s="76"/>
      <c r="BJ477" s="76" t="s">
        <v>19734</v>
      </c>
      <c r="BK477" s="76" t="b">
        <v>0</v>
      </c>
      <c r="BL477" s="76"/>
      <c r="BM477" s="76" t="s">
        <v>66</v>
      </c>
      <c r="BN477" s="76" t="s">
        <v>19736</v>
      </c>
      <c r="BO477" s="83" t="str">
        <f>HYPERLINK("https://twitter.com/rintaroufx")</f>
        <v>https://twitter.com/rintaroufx</v>
      </c>
      <c r="BP477" s="2"/>
    </row>
    <row r="478" spans="1:68" x14ac:dyDescent="0.25">
      <c r="A478" s="62" t="s">
        <v>631</v>
      </c>
      <c r="B478" s="63"/>
      <c r="C478" s="63"/>
      <c r="D478" s="64"/>
      <c r="E478" s="66"/>
      <c r="F478" s="103" t="str">
        <f>HYPERLINK("https://pbs.twimg.com/profile_images/1703509317511434241/Iqw0AcFO_normal.jpg")</f>
        <v>https://pbs.twimg.com/profile_images/1703509317511434241/Iqw0AcFO_normal.jpg</v>
      </c>
      <c r="G478" s="63"/>
      <c r="H478" s="67"/>
      <c r="I478" s="68"/>
      <c r="J478" s="68"/>
      <c r="K478" s="67" t="s">
        <v>20211</v>
      </c>
      <c r="L478" s="71"/>
      <c r="M478" s="72"/>
      <c r="N478" s="72"/>
      <c r="O478" s="73"/>
      <c r="P478" s="74"/>
      <c r="Q478" s="74"/>
      <c r="R478" s="87"/>
      <c r="S478" s="87"/>
      <c r="T478" s="87"/>
      <c r="U478" s="87"/>
      <c r="V478" s="48"/>
      <c r="W478" s="48"/>
      <c r="X478" s="48"/>
      <c r="Y478" s="48"/>
      <c r="Z478" s="47"/>
      <c r="AA478" s="69">
        <v>478</v>
      </c>
      <c r="AB478" s="69"/>
      <c r="AC478" s="70"/>
      <c r="AD478" s="76" t="s">
        <v>18218</v>
      </c>
      <c r="AE478" s="81" t="s">
        <v>17658</v>
      </c>
      <c r="AF478" s="76">
        <v>1180</v>
      </c>
      <c r="AG478" s="76">
        <v>4145</v>
      </c>
      <c r="AH478" s="76">
        <v>671</v>
      </c>
      <c r="AI478" s="76">
        <v>2</v>
      </c>
      <c r="AJ478" s="76">
        <v>1366</v>
      </c>
      <c r="AK478" s="76">
        <v>2</v>
      </c>
      <c r="AL478" s="76" t="b">
        <v>0</v>
      </c>
      <c r="AM478" s="78">
        <v>43227.152094907404</v>
      </c>
      <c r="AN478" s="76" t="s">
        <v>18682</v>
      </c>
      <c r="AO478" s="76" t="s">
        <v>19199</v>
      </c>
      <c r="AP478" s="76"/>
      <c r="AQ478" s="76"/>
      <c r="AR478" s="76"/>
      <c r="AS478" s="76"/>
      <c r="AT478" s="76"/>
      <c r="AU478" s="76"/>
      <c r="AV478" s="76">
        <v>1.66307549918944E+18</v>
      </c>
      <c r="AW478" s="76"/>
      <c r="AX478" s="76" t="b">
        <v>0</v>
      </c>
      <c r="AY478" s="76"/>
      <c r="AZ478" s="76"/>
      <c r="BA478" s="76" t="b">
        <v>1</v>
      </c>
      <c r="BB478" s="76" t="b">
        <v>1</v>
      </c>
      <c r="BC478" s="76" t="b">
        <v>1</v>
      </c>
      <c r="BD478" s="76" t="b">
        <v>0</v>
      </c>
      <c r="BE478" s="76" t="b">
        <v>1</v>
      </c>
      <c r="BF478" s="76" t="b">
        <v>0</v>
      </c>
      <c r="BG478" s="76" t="b">
        <v>0</v>
      </c>
      <c r="BH478" s="83" t="str">
        <f>HYPERLINK("https://pbs.twimg.com/profile_banners/993334360408494080/1686523090")</f>
        <v>https://pbs.twimg.com/profile_banners/993334360408494080/1686523090</v>
      </c>
      <c r="BI478" s="76"/>
      <c r="BJ478" s="76" t="s">
        <v>19734</v>
      </c>
      <c r="BK478" s="76" t="b">
        <v>0</v>
      </c>
      <c r="BL478" s="76"/>
      <c r="BM478" s="76" t="s">
        <v>66</v>
      </c>
      <c r="BN478" s="76" t="s">
        <v>19736</v>
      </c>
      <c r="BO478" s="83" t="str">
        <f>HYPERLINK("https://twitter.com/jonathan_baldi_")</f>
        <v>https://twitter.com/jonathan_baldi_</v>
      </c>
      <c r="BP478" s="2"/>
    </row>
    <row r="479" spans="1:68" x14ac:dyDescent="0.25">
      <c r="A479" s="62" t="s">
        <v>632</v>
      </c>
      <c r="B479" s="63"/>
      <c r="C479" s="63"/>
      <c r="D479" s="64"/>
      <c r="E479" s="66"/>
      <c r="F479" s="103" t="str">
        <f>HYPERLINK("https://pbs.twimg.com/profile_images/1681764833190899713/QvsD8xjd_normal.jpg")</f>
        <v>https://pbs.twimg.com/profile_images/1681764833190899713/QvsD8xjd_normal.jpg</v>
      </c>
      <c r="G479" s="63"/>
      <c r="H479" s="67"/>
      <c r="I479" s="68"/>
      <c r="J479" s="68"/>
      <c r="K479" s="67" t="s">
        <v>20212</v>
      </c>
      <c r="L479" s="71"/>
      <c r="M479" s="72"/>
      <c r="N479" s="72"/>
      <c r="O479" s="73"/>
      <c r="P479" s="74"/>
      <c r="Q479" s="74"/>
      <c r="R479" s="87"/>
      <c r="S479" s="87"/>
      <c r="T479" s="87"/>
      <c r="U479" s="87"/>
      <c r="V479" s="48"/>
      <c r="W479" s="48"/>
      <c r="X479" s="48"/>
      <c r="Y479" s="48"/>
      <c r="Z479" s="47"/>
      <c r="AA479" s="69">
        <v>479</v>
      </c>
      <c r="AB479" s="69"/>
      <c r="AC479" s="70"/>
      <c r="AD479" s="76" t="s">
        <v>18219</v>
      </c>
      <c r="AE479" s="81" t="s">
        <v>18511</v>
      </c>
      <c r="AF479" s="76">
        <v>16826</v>
      </c>
      <c r="AG479" s="76">
        <v>222</v>
      </c>
      <c r="AH479" s="76">
        <v>34023</v>
      </c>
      <c r="AI479" s="76">
        <v>316</v>
      </c>
      <c r="AJ479" s="76">
        <v>171</v>
      </c>
      <c r="AK479" s="76">
        <v>1085</v>
      </c>
      <c r="AL479" s="76" t="b">
        <v>0</v>
      </c>
      <c r="AM479" s="78">
        <v>40057.106458333335</v>
      </c>
      <c r="AN479" s="76" t="s">
        <v>18733</v>
      </c>
      <c r="AO479" s="76" t="s">
        <v>19200</v>
      </c>
      <c r="AP479" s="83" t="str">
        <f>HYPERLINK("https://t.co/HtBI7CDZ0C")</f>
        <v>https://t.co/HtBI7CDZ0C</v>
      </c>
      <c r="AQ479" s="83" t="str">
        <f>HYPERLINK("https://smarttbot.com/")</f>
        <v>https://smarttbot.com/</v>
      </c>
      <c r="AR479" s="76" t="s">
        <v>19587</v>
      </c>
      <c r="AS479" s="76"/>
      <c r="AT479" s="76"/>
      <c r="AU479" s="76"/>
      <c r="AV479" s="76"/>
      <c r="AW479" s="83" t="str">
        <f>HYPERLINK("https://t.co/HtBI7CDZ0C")</f>
        <v>https://t.co/HtBI7CDZ0C</v>
      </c>
      <c r="AX479" s="76" t="b">
        <v>0</v>
      </c>
      <c r="AY479" s="76"/>
      <c r="AZ479" s="76"/>
      <c r="BA479" s="76" t="b">
        <v>0</v>
      </c>
      <c r="BB479" s="76" t="b">
        <v>1</v>
      </c>
      <c r="BC479" s="76" t="b">
        <v>0</v>
      </c>
      <c r="BD479" s="76" t="b">
        <v>0</v>
      </c>
      <c r="BE479" s="76" t="b">
        <v>0</v>
      </c>
      <c r="BF479" s="76" t="b">
        <v>0</v>
      </c>
      <c r="BG479" s="76" t="b">
        <v>0</v>
      </c>
      <c r="BH479" s="83" t="str">
        <f>HYPERLINK("https://pbs.twimg.com/profile_banners/70575051/1689798942")</f>
        <v>https://pbs.twimg.com/profile_banners/70575051/1689798942</v>
      </c>
      <c r="BI479" s="76"/>
      <c r="BJ479" s="76" t="s">
        <v>19734</v>
      </c>
      <c r="BK479" s="76" t="b">
        <v>0</v>
      </c>
      <c r="BL479" s="76"/>
      <c r="BM479" s="76" t="s">
        <v>66</v>
      </c>
      <c r="BN479" s="76" t="s">
        <v>19736</v>
      </c>
      <c r="BO479" s="83" t="str">
        <f>HYPERLINK("https://twitter.com/smarttbot")</f>
        <v>https://twitter.com/smarttbot</v>
      </c>
      <c r="BP479" s="2"/>
    </row>
    <row r="480" spans="1:68" x14ac:dyDescent="0.25">
      <c r="A480" s="62" t="s">
        <v>633</v>
      </c>
      <c r="B480" s="63"/>
      <c r="C480" s="63"/>
      <c r="D480" s="64"/>
      <c r="E480" s="66"/>
      <c r="F480" s="103" t="str">
        <f>HYPERLINK("https://pbs.twimg.com/profile_images/1496451424997281796/pzgn7lxl_normal.jpg")</f>
        <v>https://pbs.twimg.com/profile_images/1496451424997281796/pzgn7lxl_normal.jpg</v>
      </c>
      <c r="G480" s="63"/>
      <c r="H480" s="67"/>
      <c r="I480" s="68"/>
      <c r="J480" s="68"/>
      <c r="K480" s="67" t="s">
        <v>20213</v>
      </c>
      <c r="L480" s="71"/>
      <c r="M480" s="72"/>
      <c r="N480" s="72"/>
      <c r="O480" s="73"/>
      <c r="P480" s="74"/>
      <c r="Q480" s="74"/>
      <c r="R480" s="87"/>
      <c r="S480" s="87"/>
      <c r="T480" s="87"/>
      <c r="U480" s="87"/>
      <c r="V480" s="48"/>
      <c r="W480" s="48"/>
      <c r="X480" s="48"/>
      <c r="Y480" s="48"/>
      <c r="Z480" s="47"/>
      <c r="AA480" s="69">
        <v>480</v>
      </c>
      <c r="AB480" s="69"/>
      <c r="AC480" s="70"/>
      <c r="AD480" s="76" t="s">
        <v>18220</v>
      </c>
      <c r="AE480" s="81" t="s">
        <v>18512</v>
      </c>
      <c r="AF480" s="76">
        <v>197</v>
      </c>
      <c r="AG480" s="76">
        <v>492</v>
      </c>
      <c r="AH480" s="76">
        <v>2117</v>
      </c>
      <c r="AI480" s="76">
        <v>0</v>
      </c>
      <c r="AJ480" s="76">
        <v>12241</v>
      </c>
      <c r="AK480" s="76">
        <v>124</v>
      </c>
      <c r="AL480" s="76" t="b">
        <v>0</v>
      </c>
      <c r="AM480" s="78">
        <v>40536.012314814812</v>
      </c>
      <c r="AN480" s="76" t="s">
        <v>18734</v>
      </c>
      <c r="AO480" s="76" t="s">
        <v>19201</v>
      </c>
      <c r="AP480" s="83" t="str">
        <f>HYPERLINK("https://t.co/H2WqW0ytA8")</f>
        <v>https://t.co/H2WqW0ytA8</v>
      </c>
      <c r="AQ480" s="83" t="str">
        <f>HYPERLINK("http://www.fabiooliveirafinancas.com.br")</f>
        <v>http://www.fabiooliveirafinancas.com.br</v>
      </c>
      <c r="AR480" s="76" t="s">
        <v>19588</v>
      </c>
      <c r="AS480" s="76"/>
      <c r="AT480" s="76"/>
      <c r="AU480" s="76"/>
      <c r="AV480" s="76"/>
      <c r="AW480" s="83" t="str">
        <f>HYPERLINK("https://t.co/H2WqW0ytA8")</f>
        <v>https://t.co/H2WqW0ytA8</v>
      </c>
      <c r="AX480" s="76" t="b">
        <v>0</v>
      </c>
      <c r="AY480" s="76"/>
      <c r="AZ480" s="76"/>
      <c r="BA480" s="76" t="b">
        <v>0</v>
      </c>
      <c r="BB480" s="76" t="b">
        <v>1</v>
      </c>
      <c r="BC480" s="76" t="b">
        <v>0</v>
      </c>
      <c r="BD480" s="76" t="b">
        <v>0</v>
      </c>
      <c r="BE480" s="76" t="b">
        <v>1</v>
      </c>
      <c r="BF480" s="76" t="b">
        <v>0</v>
      </c>
      <c r="BG480" s="76" t="b">
        <v>0</v>
      </c>
      <c r="BH480" s="83" t="str">
        <f>HYPERLINK("https://pbs.twimg.com/profile_banners/230005777/1654125293")</f>
        <v>https://pbs.twimg.com/profile_banners/230005777/1654125293</v>
      </c>
      <c r="BI480" s="76"/>
      <c r="BJ480" s="76" t="s">
        <v>19734</v>
      </c>
      <c r="BK480" s="76" t="b">
        <v>0</v>
      </c>
      <c r="BL480" s="76"/>
      <c r="BM480" s="76" t="s">
        <v>66</v>
      </c>
      <c r="BN480" s="76" t="s">
        <v>19736</v>
      </c>
      <c r="BO480" s="83" t="str">
        <f>HYPERLINK("https://twitter.com/fabiooliveira18")</f>
        <v>https://twitter.com/fabiooliveira18</v>
      </c>
      <c r="BP480" s="2"/>
    </row>
    <row r="481" spans="1:68" x14ac:dyDescent="0.25">
      <c r="A481" s="62" t="s">
        <v>634</v>
      </c>
      <c r="B481" s="63"/>
      <c r="C481" s="63"/>
      <c r="D481" s="64"/>
      <c r="E481" s="66"/>
      <c r="F481" s="103" t="str">
        <f>HYPERLINK("https://pbs.twimg.com/profile_images/1652432145950834689/7VLTmCZF_normal.jpg")</f>
        <v>https://pbs.twimg.com/profile_images/1652432145950834689/7VLTmCZF_normal.jpg</v>
      </c>
      <c r="G481" s="63"/>
      <c r="H481" s="67"/>
      <c r="I481" s="68"/>
      <c r="J481" s="68"/>
      <c r="K481" s="67" t="s">
        <v>20214</v>
      </c>
      <c r="L481" s="71"/>
      <c r="M481" s="72"/>
      <c r="N481" s="72"/>
      <c r="O481" s="73"/>
      <c r="P481" s="74"/>
      <c r="Q481" s="74"/>
      <c r="R481" s="87"/>
      <c r="S481" s="87"/>
      <c r="T481" s="87"/>
      <c r="U481" s="87"/>
      <c r="V481" s="48"/>
      <c r="W481" s="48"/>
      <c r="X481" s="48"/>
      <c r="Y481" s="48"/>
      <c r="Z481" s="47"/>
      <c r="AA481" s="69">
        <v>481</v>
      </c>
      <c r="AB481" s="69"/>
      <c r="AC481" s="70"/>
      <c r="AD481" s="76" t="s">
        <v>18221</v>
      </c>
      <c r="AE481" s="81" t="s">
        <v>17659</v>
      </c>
      <c r="AF481" s="76">
        <v>0</v>
      </c>
      <c r="AG481" s="76">
        <v>48</v>
      </c>
      <c r="AH481" s="76">
        <v>47</v>
      </c>
      <c r="AI481" s="76">
        <v>0</v>
      </c>
      <c r="AJ481" s="76">
        <v>53</v>
      </c>
      <c r="AK481" s="76">
        <v>0</v>
      </c>
      <c r="AL481" s="76" t="b">
        <v>0</v>
      </c>
      <c r="AM481" s="78">
        <v>44982.10769675926</v>
      </c>
      <c r="AN481" s="76"/>
      <c r="AO481" s="76" t="s">
        <v>19202</v>
      </c>
      <c r="AP481" s="83" t="str">
        <f>HYPERLINK("https://t.co/wPtIslZKD9")</f>
        <v>https://t.co/wPtIslZKD9</v>
      </c>
      <c r="AQ481" s="83" t="str">
        <f>HYPERLINK("http://www.investidordescoletizado.com")</f>
        <v>http://www.investidordescoletizado.com</v>
      </c>
      <c r="AR481" s="76" t="s">
        <v>19589</v>
      </c>
      <c r="AS481" s="76"/>
      <c r="AT481" s="76"/>
      <c r="AU481" s="76"/>
      <c r="AV481" s="76"/>
      <c r="AW481" s="83" t="str">
        <f>HYPERLINK("https://t.co/wPtIslZKD9")</f>
        <v>https://t.co/wPtIslZKD9</v>
      </c>
      <c r="AX481" s="76" t="b">
        <v>0</v>
      </c>
      <c r="AY481" s="76"/>
      <c r="AZ481" s="76"/>
      <c r="BA481" s="76" t="b">
        <v>0</v>
      </c>
      <c r="BB481" s="76" t="b">
        <v>1</v>
      </c>
      <c r="BC481" s="76" t="b">
        <v>1</v>
      </c>
      <c r="BD481" s="76" t="b">
        <v>0</v>
      </c>
      <c r="BE481" s="76" t="b">
        <v>0</v>
      </c>
      <c r="BF481" s="76" t="b">
        <v>0</v>
      </c>
      <c r="BG481" s="76" t="b">
        <v>0</v>
      </c>
      <c r="BH481" s="76"/>
      <c r="BI481" s="76"/>
      <c r="BJ481" s="76" t="s">
        <v>19734</v>
      </c>
      <c r="BK481" s="76" t="b">
        <v>0</v>
      </c>
      <c r="BL481" s="76"/>
      <c r="BM481" s="76" t="s">
        <v>66</v>
      </c>
      <c r="BN481" s="76" t="s">
        <v>19736</v>
      </c>
      <c r="BO481" s="83" t="str">
        <f>HYPERLINK("https://twitter.com/descoletizado")</f>
        <v>https://twitter.com/descoletizado</v>
      </c>
      <c r="BP481" s="2"/>
    </row>
    <row r="482" spans="1:68" x14ac:dyDescent="0.25">
      <c r="A482" s="62" t="s">
        <v>635</v>
      </c>
      <c r="B482" s="63"/>
      <c r="C482" s="63"/>
      <c r="D482" s="64"/>
      <c r="E482" s="66"/>
      <c r="F482" s="103" t="str">
        <f>HYPERLINK("https://pbs.twimg.com/profile_images/1253652150309306369/XFIeaHFo_normal.jpg")</f>
        <v>https://pbs.twimg.com/profile_images/1253652150309306369/XFIeaHFo_normal.jpg</v>
      </c>
      <c r="G482" s="63"/>
      <c r="H482" s="67"/>
      <c r="I482" s="68"/>
      <c r="J482" s="68"/>
      <c r="K482" s="67" t="s">
        <v>20215</v>
      </c>
      <c r="L482" s="71"/>
      <c r="M482" s="72"/>
      <c r="N482" s="72"/>
      <c r="O482" s="73"/>
      <c r="P482" s="74"/>
      <c r="Q482" s="74"/>
      <c r="R482" s="87"/>
      <c r="S482" s="87"/>
      <c r="T482" s="87"/>
      <c r="U482" s="87"/>
      <c r="V482" s="48"/>
      <c r="W482" s="48"/>
      <c r="X482" s="48"/>
      <c r="Y482" s="48"/>
      <c r="Z482" s="47"/>
      <c r="AA482" s="69">
        <v>482</v>
      </c>
      <c r="AB482" s="69"/>
      <c r="AC482" s="70"/>
      <c r="AD482" s="76" t="s">
        <v>18222</v>
      </c>
      <c r="AE482" s="81" t="s">
        <v>17660</v>
      </c>
      <c r="AF482" s="76">
        <v>3</v>
      </c>
      <c r="AG482" s="76">
        <v>1</v>
      </c>
      <c r="AH482" s="76">
        <v>474</v>
      </c>
      <c r="AI482" s="76">
        <v>0</v>
      </c>
      <c r="AJ482" s="76">
        <v>122</v>
      </c>
      <c r="AK482" s="76">
        <v>130</v>
      </c>
      <c r="AL482" s="76" t="b">
        <v>0</v>
      </c>
      <c r="AM482" s="78">
        <v>43945.490972222222</v>
      </c>
      <c r="AN482" s="76"/>
      <c r="AO482" s="76"/>
      <c r="AP482" s="76"/>
      <c r="AQ482" s="76"/>
      <c r="AR482" s="76"/>
      <c r="AS482" s="76"/>
      <c r="AT482" s="76"/>
      <c r="AU482" s="76"/>
      <c r="AV482" s="76"/>
      <c r="AW482" s="76"/>
      <c r="AX482" s="76" t="b">
        <v>0</v>
      </c>
      <c r="AY482" s="76"/>
      <c r="AZ482" s="76"/>
      <c r="BA482" s="76" t="b">
        <v>0</v>
      </c>
      <c r="BB482" s="76" t="b">
        <v>0</v>
      </c>
      <c r="BC482" s="76" t="b">
        <v>1</v>
      </c>
      <c r="BD482" s="76" t="b">
        <v>0</v>
      </c>
      <c r="BE482" s="76" t="b">
        <v>0</v>
      </c>
      <c r="BF482" s="76" t="b">
        <v>0</v>
      </c>
      <c r="BG482" s="76" t="b">
        <v>1</v>
      </c>
      <c r="BH482" s="76"/>
      <c r="BI482" s="76"/>
      <c r="BJ482" s="76" t="s">
        <v>19734</v>
      </c>
      <c r="BK482" s="76" t="b">
        <v>0</v>
      </c>
      <c r="BL482" s="76"/>
      <c r="BM482" s="76" t="s">
        <v>66</v>
      </c>
      <c r="BN482" s="76" t="s">
        <v>19736</v>
      </c>
      <c r="BO482" s="83" t="str">
        <f>HYPERLINK("https://twitter.com/cavalachepedro")</f>
        <v>https://twitter.com/cavalachepedro</v>
      </c>
      <c r="BP482" s="2"/>
    </row>
    <row r="483" spans="1:68" x14ac:dyDescent="0.25">
      <c r="A483" s="62" t="s">
        <v>636</v>
      </c>
      <c r="B483" s="63"/>
      <c r="C483" s="63"/>
      <c r="D483" s="64"/>
      <c r="E483" s="66"/>
      <c r="F483" s="103" t="str">
        <f>HYPERLINK("https://pbs.twimg.com/profile_images/1541145411599081475/-IR_5irB_normal.jpg")</f>
        <v>https://pbs.twimg.com/profile_images/1541145411599081475/-IR_5irB_normal.jpg</v>
      </c>
      <c r="G483" s="63"/>
      <c r="H483" s="67"/>
      <c r="I483" s="68"/>
      <c r="J483" s="68"/>
      <c r="K483" s="67" t="s">
        <v>20216</v>
      </c>
      <c r="L483" s="71"/>
      <c r="M483" s="72"/>
      <c r="N483" s="72"/>
      <c r="O483" s="73"/>
      <c r="P483" s="74"/>
      <c r="Q483" s="74"/>
      <c r="R483" s="87"/>
      <c r="S483" s="87"/>
      <c r="T483" s="87"/>
      <c r="U483" s="87"/>
      <c r="V483" s="48"/>
      <c r="W483" s="48"/>
      <c r="X483" s="48"/>
      <c r="Y483" s="48"/>
      <c r="Z483" s="47"/>
      <c r="AA483" s="69">
        <v>483</v>
      </c>
      <c r="AB483" s="69"/>
      <c r="AC483" s="70"/>
      <c r="AD483" s="76" t="s">
        <v>18223</v>
      </c>
      <c r="AE483" s="81" t="s">
        <v>17661</v>
      </c>
      <c r="AF483" s="76">
        <v>0</v>
      </c>
      <c r="AG483" s="76">
        <v>35</v>
      </c>
      <c r="AH483" s="76">
        <v>23</v>
      </c>
      <c r="AI483" s="76">
        <v>0</v>
      </c>
      <c r="AJ483" s="76">
        <v>16</v>
      </c>
      <c r="AK483" s="76">
        <v>10</v>
      </c>
      <c r="AL483" s="76" t="b">
        <v>0</v>
      </c>
      <c r="AM483" s="78">
        <v>44737.851157407407</v>
      </c>
      <c r="AN483" s="76"/>
      <c r="AO483" s="76"/>
      <c r="AP483" s="76"/>
      <c r="AQ483" s="76"/>
      <c r="AR483" s="76"/>
      <c r="AS483" s="76"/>
      <c r="AT483" s="76"/>
      <c r="AU483" s="76"/>
      <c r="AV483" s="76"/>
      <c r="AW483" s="76"/>
      <c r="AX483" s="76" t="b">
        <v>0</v>
      </c>
      <c r="AY483" s="76"/>
      <c r="AZ483" s="76"/>
      <c r="BA483" s="76" t="b">
        <v>0</v>
      </c>
      <c r="BB483" s="76" t="b">
        <v>1</v>
      </c>
      <c r="BC483" s="76" t="b">
        <v>1</v>
      </c>
      <c r="BD483" s="76" t="b">
        <v>0</v>
      </c>
      <c r="BE483" s="76" t="b">
        <v>1</v>
      </c>
      <c r="BF483" s="76" t="b">
        <v>0</v>
      </c>
      <c r="BG483" s="76" t="b">
        <v>0</v>
      </c>
      <c r="BH483" s="83" t="str">
        <f>HYPERLINK("https://pbs.twimg.com/profile_banners/1540793265368158210/1656272712")</f>
        <v>https://pbs.twimg.com/profile_banners/1540793265368158210/1656272712</v>
      </c>
      <c r="BI483" s="76"/>
      <c r="BJ483" s="76" t="s">
        <v>19734</v>
      </c>
      <c r="BK483" s="76" t="b">
        <v>0</v>
      </c>
      <c r="BL483" s="76"/>
      <c r="BM483" s="76" t="s">
        <v>66</v>
      </c>
      <c r="BN483" s="76" t="s">
        <v>19736</v>
      </c>
      <c r="BO483" s="83" t="str">
        <f>HYPERLINK("https://twitter.com/edu_manthis")</f>
        <v>https://twitter.com/edu_manthis</v>
      </c>
      <c r="BP483" s="2"/>
    </row>
    <row r="484" spans="1:68" x14ac:dyDescent="0.25">
      <c r="A484" s="62" t="s">
        <v>637</v>
      </c>
      <c r="B484" s="63"/>
      <c r="C484" s="63"/>
      <c r="D484" s="64"/>
      <c r="E484" s="66"/>
      <c r="F484" s="103" t="str">
        <f>HYPERLINK("https://abs.twimg.com/sticky/default_profile_images/default_profile_normal.png")</f>
        <v>https://abs.twimg.com/sticky/default_profile_images/default_profile_normal.png</v>
      </c>
      <c r="G484" s="63"/>
      <c r="H484" s="67"/>
      <c r="I484" s="68"/>
      <c r="J484" s="68"/>
      <c r="K484" s="67" t="s">
        <v>20217</v>
      </c>
      <c r="L484" s="71"/>
      <c r="M484" s="72"/>
      <c r="N484" s="72"/>
      <c r="O484" s="73"/>
      <c r="P484" s="74"/>
      <c r="Q484" s="74"/>
      <c r="R484" s="87"/>
      <c r="S484" s="87"/>
      <c r="T484" s="87"/>
      <c r="U484" s="87"/>
      <c r="V484" s="48"/>
      <c r="W484" s="48"/>
      <c r="X484" s="48"/>
      <c r="Y484" s="48"/>
      <c r="Z484" s="47"/>
      <c r="AA484" s="69">
        <v>484</v>
      </c>
      <c r="AB484" s="69"/>
      <c r="AC484" s="70"/>
      <c r="AD484" s="76" t="s">
        <v>18224</v>
      </c>
      <c r="AE484" s="81" t="s">
        <v>17662</v>
      </c>
      <c r="AF484" s="76">
        <v>6</v>
      </c>
      <c r="AG484" s="76">
        <v>99</v>
      </c>
      <c r="AH484" s="76">
        <v>4236</v>
      </c>
      <c r="AI484" s="76">
        <v>0</v>
      </c>
      <c r="AJ484" s="76">
        <v>4</v>
      </c>
      <c r="AK484" s="76">
        <v>2163</v>
      </c>
      <c r="AL484" s="76" t="b">
        <v>0</v>
      </c>
      <c r="AM484" s="78">
        <v>43626.431620370371</v>
      </c>
      <c r="AN484" s="76"/>
      <c r="AO484" s="76"/>
      <c r="AP484" s="76"/>
      <c r="AQ484" s="76"/>
      <c r="AR484" s="76"/>
      <c r="AS484" s="76"/>
      <c r="AT484" s="76"/>
      <c r="AU484" s="76"/>
      <c r="AV484" s="76"/>
      <c r="AW484" s="76"/>
      <c r="AX484" s="76" t="b">
        <v>0</v>
      </c>
      <c r="AY484" s="76"/>
      <c r="AZ484" s="76"/>
      <c r="BA484" s="76" t="b">
        <v>0</v>
      </c>
      <c r="BB484" s="76" t="b">
        <v>1</v>
      </c>
      <c r="BC484" s="76" t="b">
        <v>1</v>
      </c>
      <c r="BD484" s="76" t="b">
        <v>1</v>
      </c>
      <c r="BE484" s="76" t="b">
        <v>0</v>
      </c>
      <c r="BF484" s="76" t="b">
        <v>0</v>
      </c>
      <c r="BG484" s="76" t="b">
        <v>0</v>
      </c>
      <c r="BH484" s="76"/>
      <c r="BI484" s="76"/>
      <c r="BJ484" s="76" t="s">
        <v>19734</v>
      </c>
      <c r="BK484" s="76" t="b">
        <v>0</v>
      </c>
      <c r="BL484" s="76"/>
      <c r="BM484" s="76" t="s">
        <v>66</v>
      </c>
      <c r="BN484" s="76" t="s">
        <v>19736</v>
      </c>
      <c r="BO484" s="83" t="str">
        <f>HYPERLINK("https://twitter.com/joaobppsp2070")</f>
        <v>https://twitter.com/joaobppsp2070</v>
      </c>
      <c r="BP484" s="2"/>
    </row>
    <row r="485" spans="1:68" x14ac:dyDescent="0.25">
      <c r="A485" s="62" t="s">
        <v>638</v>
      </c>
      <c r="B485" s="63"/>
      <c r="C485" s="63"/>
      <c r="D485" s="64"/>
      <c r="E485" s="66"/>
      <c r="F485" s="103" t="str">
        <f>HYPERLINK("https://pbs.twimg.com/profile_images/1676368694782357505/u5aN6wN2_normal.jpg")</f>
        <v>https://pbs.twimg.com/profile_images/1676368694782357505/u5aN6wN2_normal.jpg</v>
      </c>
      <c r="G485" s="63"/>
      <c r="H485" s="67"/>
      <c r="I485" s="68"/>
      <c r="J485" s="68"/>
      <c r="K485" s="67" t="s">
        <v>20218</v>
      </c>
      <c r="L485" s="71"/>
      <c r="M485" s="72"/>
      <c r="N485" s="72"/>
      <c r="O485" s="73"/>
      <c r="P485" s="74"/>
      <c r="Q485" s="74"/>
      <c r="R485" s="87"/>
      <c r="S485" s="87"/>
      <c r="T485" s="87"/>
      <c r="U485" s="87"/>
      <c r="V485" s="48"/>
      <c r="W485" s="48"/>
      <c r="X485" s="48"/>
      <c r="Y485" s="48"/>
      <c r="Z485" s="47"/>
      <c r="AA485" s="69">
        <v>485</v>
      </c>
      <c r="AB485" s="69"/>
      <c r="AC485" s="70"/>
      <c r="AD485" s="76" t="s">
        <v>18225</v>
      </c>
      <c r="AE485" s="81" t="s">
        <v>17663</v>
      </c>
      <c r="AF485" s="76">
        <v>2</v>
      </c>
      <c r="AG485" s="76">
        <v>38</v>
      </c>
      <c r="AH485" s="76">
        <v>53</v>
      </c>
      <c r="AI485" s="76">
        <v>0</v>
      </c>
      <c r="AJ485" s="76">
        <v>644</v>
      </c>
      <c r="AK485" s="76">
        <v>9</v>
      </c>
      <c r="AL485" s="76" t="b">
        <v>0</v>
      </c>
      <c r="AM485" s="78">
        <v>44672.505300925928</v>
      </c>
      <c r="AN485" s="76" t="s">
        <v>18735</v>
      </c>
      <c r="AO485" s="76" t="s">
        <v>19203</v>
      </c>
      <c r="AP485" s="76"/>
      <c r="AQ485" s="76"/>
      <c r="AR485" s="76"/>
      <c r="AS485" s="76"/>
      <c r="AT485" s="76"/>
      <c r="AU485" s="76"/>
      <c r="AV485" s="76">
        <v>1.68283817414033E+18</v>
      </c>
      <c r="AW485" s="76"/>
      <c r="AX485" s="76" t="b">
        <v>0</v>
      </c>
      <c r="AY485" s="76"/>
      <c r="AZ485" s="76"/>
      <c r="BA485" s="76" t="b">
        <v>0</v>
      </c>
      <c r="BB485" s="76" t="b">
        <v>1</v>
      </c>
      <c r="BC485" s="76" t="b">
        <v>1</v>
      </c>
      <c r="BD485" s="76" t="b">
        <v>0</v>
      </c>
      <c r="BE485" s="76" t="b">
        <v>0</v>
      </c>
      <c r="BF485" s="76" t="b">
        <v>0</v>
      </c>
      <c r="BG485" s="76" t="b">
        <v>0</v>
      </c>
      <c r="BH485" s="83" t="str">
        <f>HYPERLINK("https://pbs.twimg.com/profile_banners/1517112746302656518/1688512417")</f>
        <v>https://pbs.twimg.com/profile_banners/1517112746302656518/1688512417</v>
      </c>
      <c r="BI485" s="76"/>
      <c r="BJ485" s="76" t="s">
        <v>19734</v>
      </c>
      <c r="BK485" s="76" t="b">
        <v>0</v>
      </c>
      <c r="BL485" s="76"/>
      <c r="BM485" s="76" t="s">
        <v>66</v>
      </c>
      <c r="BN485" s="76" t="s">
        <v>19736</v>
      </c>
      <c r="BO485" s="83" t="str">
        <f>HYPERLINK("https://twitter.com/cebolasurf")</f>
        <v>https://twitter.com/cebolasurf</v>
      </c>
      <c r="BP485" s="2"/>
    </row>
    <row r="486" spans="1:68" x14ac:dyDescent="0.25">
      <c r="A486" s="62" t="s">
        <v>639</v>
      </c>
      <c r="B486" s="63"/>
      <c r="C486" s="63"/>
      <c r="D486" s="64"/>
      <c r="E486" s="66"/>
      <c r="F486" s="103" t="str">
        <f>HYPERLINK("https://pbs.twimg.com/profile_images/1173009961967915008/Sw1estSa_normal.jpg")</f>
        <v>https://pbs.twimg.com/profile_images/1173009961967915008/Sw1estSa_normal.jpg</v>
      </c>
      <c r="G486" s="63"/>
      <c r="H486" s="67"/>
      <c r="I486" s="68"/>
      <c r="J486" s="68"/>
      <c r="K486" s="67" t="s">
        <v>20219</v>
      </c>
      <c r="L486" s="71"/>
      <c r="M486" s="72"/>
      <c r="N486" s="72"/>
      <c r="O486" s="73"/>
      <c r="P486" s="74"/>
      <c r="Q486" s="74"/>
      <c r="R486" s="87"/>
      <c r="S486" s="87"/>
      <c r="T486" s="87"/>
      <c r="U486" s="87"/>
      <c r="V486" s="48"/>
      <c r="W486" s="48"/>
      <c r="X486" s="48"/>
      <c r="Y486" s="48"/>
      <c r="Z486" s="47"/>
      <c r="AA486" s="69">
        <v>486</v>
      </c>
      <c r="AB486" s="69"/>
      <c r="AC486" s="70"/>
      <c r="AD486" s="76" t="s">
        <v>18226</v>
      </c>
      <c r="AE486" s="81" t="s">
        <v>18513</v>
      </c>
      <c r="AF486" s="76">
        <v>3380</v>
      </c>
      <c r="AG486" s="76">
        <v>1497</v>
      </c>
      <c r="AH486" s="76">
        <v>125619</v>
      </c>
      <c r="AI486" s="76">
        <v>20</v>
      </c>
      <c r="AJ486" s="76">
        <v>434</v>
      </c>
      <c r="AK486" s="76">
        <v>27867</v>
      </c>
      <c r="AL486" s="76" t="b">
        <v>0</v>
      </c>
      <c r="AM486" s="78">
        <v>40020.955925925926</v>
      </c>
      <c r="AN486" s="76" t="s">
        <v>18736</v>
      </c>
      <c r="AO486" s="76" t="s">
        <v>19204</v>
      </c>
      <c r="AP486" s="83" t="str">
        <f>HYPERLINK("https://t.co/9EPXMr2UYa")</f>
        <v>https://t.co/9EPXMr2UYa</v>
      </c>
      <c r="AQ486" s="83" t="str">
        <f>HYPERLINK("http://www.expressopb.net")</f>
        <v>http://www.expressopb.net</v>
      </c>
      <c r="AR486" s="76" t="s">
        <v>7139</v>
      </c>
      <c r="AS486" s="76" t="s">
        <v>19664</v>
      </c>
      <c r="AT486" s="76" t="s">
        <v>19680</v>
      </c>
      <c r="AU486" s="76" t="s">
        <v>19729</v>
      </c>
      <c r="AV486" s="76"/>
      <c r="AW486" s="83" t="str">
        <f>HYPERLINK("https://t.co/9EPXMr2UYa")</f>
        <v>https://t.co/9EPXMr2UYa</v>
      </c>
      <c r="AX486" s="76" t="b">
        <v>0</v>
      </c>
      <c r="AY486" s="76"/>
      <c r="AZ486" s="76"/>
      <c r="BA486" s="76" t="b">
        <v>1</v>
      </c>
      <c r="BB486" s="76" t="b">
        <v>1</v>
      </c>
      <c r="BC486" s="76" t="b">
        <v>0</v>
      </c>
      <c r="BD486" s="76" t="b">
        <v>0</v>
      </c>
      <c r="BE486" s="76" t="b">
        <v>1</v>
      </c>
      <c r="BF486" s="76" t="b">
        <v>0</v>
      </c>
      <c r="BG486" s="76" t="b">
        <v>0</v>
      </c>
      <c r="BH486" s="83" t="str">
        <f>HYPERLINK("https://pbs.twimg.com/profile_banners/60418599/1652669621")</f>
        <v>https://pbs.twimg.com/profile_banners/60418599/1652669621</v>
      </c>
      <c r="BI486" s="76"/>
      <c r="BJ486" s="76" t="s">
        <v>19734</v>
      </c>
      <c r="BK486" s="76" t="b">
        <v>0</v>
      </c>
      <c r="BL486" s="76"/>
      <c r="BM486" s="76" t="s">
        <v>66</v>
      </c>
      <c r="BN486" s="76" t="s">
        <v>19736</v>
      </c>
      <c r="BO486" s="83" t="str">
        <f>HYPERLINK("https://twitter.com/expressopb")</f>
        <v>https://twitter.com/expressopb</v>
      </c>
      <c r="BP486" s="2"/>
    </row>
    <row r="487" spans="1:68" x14ac:dyDescent="0.25">
      <c r="A487" s="62" t="s">
        <v>640</v>
      </c>
      <c r="B487" s="63"/>
      <c r="C487" s="63"/>
      <c r="D487" s="64"/>
      <c r="E487" s="66"/>
      <c r="F487" s="103" t="str">
        <f>HYPERLINK("https://pbs.twimg.com/profile_images/1634414499041091584/XwvnhClc_normal.jpg")</f>
        <v>https://pbs.twimg.com/profile_images/1634414499041091584/XwvnhClc_normal.jpg</v>
      </c>
      <c r="G487" s="63"/>
      <c r="H487" s="67"/>
      <c r="I487" s="68"/>
      <c r="J487" s="68"/>
      <c r="K487" s="67" t="s">
        <v>20220</v>
      </c>
      <c r="L487" s="71"/>
      <c r="M487" s="72"/>
      <c r="N487" s="72"/>
      <c r="O487" s="73"/>
      <c r="P487" s="74"/>
      <c r="Q487" s="74"/>
      <c r="R487" s="87"/>
      <c r="S487" s="87"/>
      <c r="T487" s="87"/>
      <c r="U487" s="87"/>
      <c r="V487" s="48"/>
      <c r="W487" s="48"/>
      <c r="X487" s="48"/>
      <c r="Y487" s="48"/>
      <c r="Z487" s="47"/>
      <c r="AA487" s="69">
        <v>487</v>
      </c>
      <c r="AB487" s="69"/>
      <c r="AC487" s="70"/>
      <c r="AD487" s="76" t="s">
        <v>18227</v>
      </c>
      <c r="AE487" s="81" t="s">
        <v>17664</v>
      </c>
      <c r="AF487" s="76">
        <v>9</v>
      </c>
      <c r="AG487" s="76">
        <v>40</v>
      </c>
      <c r="AH487" s="76">
        <v>15</v>
      </c>
      <c r="AI487" s="76">
        <v>0</v>
      </c>
      <c r="AJ487" s="76">
        <v>5</v>
      </c>
      <c r="AK487" s="76">
        <v>5</v>
      </c>
      <c r="AL487" s="76" t="b">
        <v>0</v>
      </c>
      <c r="AM487" s="78">
        <v>44996.143819444442</v>
      </c>
      <c r="AN487" s="76" t="s">
        <v>12014</v>
      </c>
      <c r="AO487" s="76" t="s">
        <v>19205</v>
      </c>
      <c r="AP487" s="83" t="str">
        <f>HYPERLINK("https://t.co/AS3w2mRKiQ")</f>
        <v>https://t.co/AS3w2mRKiQ</v>
      </c>
      <c r="AQ487" s="83" t="str">
        <f>HYPERLINK("https://bit.ly/dominando_grafico")</f>
        <v>https://bit.ly/dominando_grafico</v>
      </c>
      <c r="AR487" s="76" t="s">
        <v>19590</v>
      </c>
      <c r="AS487" s="76"/>
      <c r="AT487" s="76"/>
      <c r="AU487" s="76"/>
      <c r="AV487" s="76">
        <v>1.6680440980437701E+18</v>
      </c>
      <c r="AW487" s="83" t="str">
        <f>HYPERLINK("https://t.co/AS3w2mRKiQ")</f>
        <v>https://t.co/AS3w2mRKiQ</v>
      </c>
      <c r="AX487" s="76" t="b">
        <v>0</v>
      </c>
      <c r="AY487" s="76"/>
      <c r="AZ487" s="76"/>
      <c r="BA487" s="76" t="b">
        <v>0</v>
      </c>
      <c r="BB487" s="76" t="b">
        <v>1</v>
      </c>
      <c r="BC487" s="76" t="b">
        <v>1</v>
      </c>
      <c r="BD487" s="76" t="b">
        <v>0</v>
      </c>
      <c r="BE487" s="76" t="b">
        <v>0</v>
      </c>
      <c r="BF487" s="76" t="b">
        <v>0</v>
      </c>
      <c r="BG487" s="76" t="b">
        <v>0</v>
      </c>
      <c r="BH487" s="83" t="str">
        <f>HYPERLINK("https://pbs.twimg.com/profile_banners/1634395313225056256/1678511144")</f>
        <v>https://pbs.twimg.com/profile_banners/1634395313225056256/1678511144</v>
      </c>
      <c r="BI487" s="76"/>
      <c r="BJ487" s="76" t="s">
        <v>19734</v>
      </c>
      <c r="BK487" s="76" t="b">
        <v>0</v>
      </c>
      <c r="BL487" s="76"/>
      <c r="BM487" s="76" t="s">
        <v>66</v>
      </c>
      <c r="BN487" s="76" t="s">
        <v>19736</v>
      </c>
      <c r="BO487" s="83" t="str">
        <f>HYPERLINK("https://twitter.com/sef_multi")</f>
        <v>https://twitter.com/sef_multi</v>
      </c>
      <c r="BP487" s="2"/>
    </row>
    <row r="488" spans="1:68" x14ac:dyDescent="0.25">
      <c r="A488" s="62" t="s">
        <v>641</v>
      </c>
      <c r="B488" s="63"/>
      <c r="C488" s="63"/>
      <c r="D488" s="64"/>
      <c r="E488" s="66"/>
      <c r="F488" s="103" t="str">
        <f>HYPERLINK("https://pbs.twimg.com/profile_images/1704886799087087616/Drvw_j3L_normal.jpg")</f>
        <v>https://pbs.twimg.com/profile_images/1704886799087087616/Drvw_j3L_normal.jpg</v>
      </c>
      <c r="G488" s="63"/>
      <c r="H488" s="67"/>
      <c r="I488" s="68"/>
      <c r="J488" s="68"/>
      <c r="K488" s="67" t="s">
        <v>20221</v>
      </c>
      <c r="L488" s="71"/>
      <c r="M488" s="72"/>
      <c r="N488" s="72"/>
      <c r="O488" s="73"/>
      <c r="P488" s="74"/>
      <c r="Q488" s="74"/>
      <c r="R488" s="87"/>
      <c r="S488" s="87"/>
      <c r="T488" s="87"/>
      <c r="U488" s="87"/>
      <c r="V488" s="48"/>
      <c r="W488" s="48"/>
      <c r="X488" s="48"/>
      <c r="Y488" s="48"/>
      <c r="Z488" s="47"/>
      <c r="AA488" s="69">
        <v>488</v>
      </c>
      <c r="AB488" s="69"/>
      <c r="AC488" s="70"/>
      <c r="AD488" s="76" t="s">
        <v>18228</v>
      </c>
      <c r="AE488" s="81" t="s">
        <v>17665</v>
      </c>
      <c r="AF488" s="76">
        <v>32280</v>
      </c>
      <c r="AG488" s="76">
        <v>139</v>
      </c>
      <c r="AH488" s="76">
        <v>5122</v>
      </c>
      <c r="AI488" s="76">
        <v>447</v>
      </c>
      <c r="AJ488" s="76">
        <v>5797</v>
      </c>
      <c r="AK488" s="76">
        <v>1478</v>
      </c>
      <c r="AL488" s="76" t="b">
        <v>0</v>
      </c>
      <c r="AM488" s="78">
        <v>42693.126157407409</v>
      </c>
      <c r="AN488" s="76" t="s">
        <v>12013</v>
      </c>
      <c r="AO488" s="76" t="s">
        <v>19206</v>
      </c>
      <c r="AP488" s="76"/>
      <c r="AQ488" s="76"/>
      <c r="AR488" s="76"/>
      <c r="AS488" s="76"/>
      <c r="AT488" s="76"/>
      <c r="AU488" s="76"/>
      <c r="AV488" s="76"/>
      <c r="AW488" s="76"/>
      <c r="AX488" s="76" t="b">
        <v>0</v>
      </c>
      <c r="AY488" s="76"/>
      <c r="AZ488" s="76"/>
      <c r="BA488" s="76" t="b">
        <v>1</v>
      </c>
      <c r="BB488" s="76" t="b">
        <v>1</v>
      </c>
      <c r="BC488" s="76" t="b">
        <v>1</v>
      </c>
      <c r="BD488" s="76" t="b">
        <v>0</v>
      </c>
      <c r="BE488" s="76" t="b">
        <v>0</v>
      </c>
      <c r="BF488" s="76" t="b">
        <v>0</v>
      </c>
      <c r="BG488" s="76" t="b">
        <v>0</v>
      </c>
      <c r="BH488" s="76"/>
      <c r="BI488" s="76"/>
      <c r="BJ488" s="76" t="s">
        <v>19734</v>
      </c>
      <c r="BK488" s="76" t="b">
        <v>0</v>
      </c>
      <c r="BL488" s="76"/>
      <c r="BM488" s="76" t="s">
        <v>66</v>
      </c>
      <c r="BN488" s="76" t="s">
        <v>19736</v>
      </c>
      <c r="BO488" s="83" t="str">
        <f>HYPERLINK("https://twitter.com/dicadehoje7")</f>
        <v>https://twitter.com/dicadehoje7</v>
      </c>
      <c r="BP488" s="2"/>
    </row>
    <row r="489" spans="1:68" x14ac:dyDescent="0.25">
      <c r="A489" s="62" t="s">
        <v>642</v>
      </c>
      <c r="B489" s="63"/>
      <c r="C489" s="63"/>
      <c r="D489" s="64"/>
      <c r="E489" s="66"/>
      <c r="F489" s="103" t="str">
        <f>HYPERLINK("https://pbs.twimg.com/profile_images/1583173188179136533/jnPxWCVa_normal.jpg")</f>
        <v>https://pbs.twimg.com/profile_images/1583173188179136533/jnPxWCVa_normal.jpg</v>
      </c>
      <c r="G489" s="63"/>
      <c r="H489" s="67"/>
      <c r="I489" s="68"/>
      <c r="J489" s="68"/>
      <c r="K489" s="67" t="s">
        <v>20222</v>
      </c>
      <c r="L489" s="71"/>
      <c r="M489" s="72"/>
      <c r="N489" s="72"/>
      <c r="O489" s="73"/>
      <c r="P489" s="74"/>
      <c r="Q489" s="74"/>
      <c r="R489" s="87"/>
      <c r="S489" s="87"/>
      <c r="T489" s="87"/>
      <c r="U489" s="87"/>
      <c r="V489" s="48"/>
      <c r="W489" s="48"/>
      <c r="X489" s="48"/>
      <c r="Y489" s="48"/>
      <c r="Z489" s="47"/>
      <c r="AA489" s="69">
        <v>489</v>
      </c>
      <c r="AB489" s="69"/>
      <c r="AC489" s="70"/>
      <c r="AD489" s="76" t="s">
        <v>18229</v>
      </c>
      <c r="AE489" s="81" t="s">
        <v>17666</v>
      </c>
      <c r="AF489" s="76">
        <v>458</v>
      </c>
      <c r="AG489" s="76">
        <v>43</v>
      </c>
      <c r="AH489" s="76">
        <v>809</v>
      </c>
      <c r="AI489" s="76">
        <v>4</v>
      </c>
      <c r="AJ489" s="76">
        <v>51</v>
      </c>
      <c r="AK489" s="76">
        <v>350</v>
      </c>
      <c r="AL489" s="76" t="b">
        <v>0</v>
      </c>
      <c r="AM489" s="78">
        <v>43339.882175925923</v>
      </c>
      <c r="AN489" s="76" t="s">
        <v>12014</v>
      </c>
      <c r="AO489" s="76" t="s">
        <v>19207</v>
      </c>
      <c r="AP489" s="83" t="str">
        <f>HYPERLINK("https://t.co/xLqvuLE5eo")</f>
        <v>https://t.co/xLqvuLE5eo</v>
      </c>
      <c r="AQ489" s="83" t="str">
        <f>HYPERLINK("http://www.smartbrain.com.br")</f>
        <v>http://www.smartbrain.com.br</v>
      </c>
      <c r="AR489" s="76" t="s">
        <v>19591</v>
      </c>
      <c r="AS489" s="76"/>
      <c r="AT489" s="76"/>
      <c r="AU489" s="76"/>
      <c r="AV489" s="76"/>
      <c r="AW489" s="83" t="str">
        <f>HYPERLINK("https://t.co/xLqvuLE5eo")</f>
        <v>https://t.co/xLqvuLE5eo</v>
      </c>
      <c r="AX489" s="76" t="b">
        <v>0</v>
      </c>
      <c r="AY489" s="76"/>
      <c r="AZ489" s="76"/>
      <c r="BA489" s="76" t="b">
        <v>0</v>
      </c>
      <c r="BB489" s="76" t="b">
        <v>1</v>
      </c>
      <c r="BC489" s="76" t="b">
        <v>0</v>
      </c>
      <c r="BD489" s="76" t="b">
        <v>0</v>
      </c>
      <c r="BE489" s="76" t="b">
        <v>0</v>
      </c>
      <c r="BF489" s="76" t="b">
        <v>0</v>
      </c>
      <c r="BG489" s="76" t="b">
        <v>0</v>
      </c>
      <c r="BH489" s="83" t="str">
        <f>HYPERLINK("https://pbs.twimg.com/profile_banners/1034186374201663488/1666874992")</f>
        <v>https://pbs.twimg.com/profile_banners/1034186374201663488/1666874992</v>
      </c>
      <c r="BI489" s="76"/>
      <c r="BJ489" s="76" t="s">
        <v>19734</v>
      </c>
      <c r="BK489" s="76" t="b">
        <v>0</v>
      </c>
      <c r="BL489" s="76"/>
      <c r="BM489" s="76" t="s">
        <v>66</v>
      </c>
      <c r="BN489" s="76" t="s">
        <v>19736</v>
      </c>
      <c r="BO489" s="83" t="str">
        <f>HYPERLINK("https://twitter.com/smartbrain_br")</f>
        <v>https://twitter.com/smartbrain_br</v>
      </c>
      <c r="BP489" s="2"/>
    </row>
    <row r="490" spans="1:68" x14ac:dyDescent="0.25">
      <c r="A490" s="62" t="s">
        <v>643</v>
      </c>
      <c r="B490" s="63"/>
      <c r="C490" s="63"/>
      <c r="D490" s="64"/>
      <c r="E490" s="66"/>
      <c r="F490" s="103" t="str">
        <f>HYPERLINK("https://pbs.twimg.com/profile_images/604626530845790208/wVYrWIr9_normal.png")</f>
        <v>https://pbs.twimg.com/profile_images/604626530845790208/wVYrWIr9_normal.png</v>
      </c>
      <c r="G490" s="63"/>
      <c r="H490" s="67"/>
      <c r="I490" s="68"/>
      <c r="J490" s="68"/>
      <c r="K490" s="67" t="s">
        <v>20223</v>
      </c>
      <c r="L490" s="71"/>
      <c r="M490" s="72"/>
      <c r="N490" s="72"/>
      <c r="O490" s="73"/>
      <c r="P490" s="74"/>
      <c r="Q490" s="74"/>
      <c r="R490" s="87"/>
      <c r="S490" s="87"/>
      <c r="T490" s="87"/>
      <c r="U490" s="87"/>
      <c r="V490" s="48"/>
      <c r="W490" s="48"/>
      <c r="X490" s="48"/>
      <c r="Y490" s="48"/>
      <c r="Z490" s="47"/>
      <c r="AA490" s="69">
        <v>490</v>
      </c>
      <c r="AB490" s="69"/>
      <c r="AC490" s="70"/>
      <c r="AD490" s="76" t="s">
        <v>643</v>
      </c>
      <c r="AE490" s="81" t="s">
        <v>18514</v>
      </c>
      <c r="AF490" s="76">
        <v>173</v>
      </c>
      <c r="AG490" s="76">
        <v>275</v>
      </c>
      <c r="AH490" s="76">
        <v>10090</v>
      </c>
      <c r="AI490" s="76">
        <v>0</v>
      </c>
      <c r="AJ490" s="76">
        <v>3</v>
      </c>
      <c r="AK490" s="76">
        <v>1119</v>
      </c>
      <c r="AL490" s="76" t="b">
        <v>0</v>
      </c>
      <c r="AM490" s="78">
        <v>40237.853958333333</v>
      </c>
      <c r="AN490" s="76" t="s">
        <v>18737</v>
      </c>
      <c r="AO490" s="76" t="s">
        <v>19208</v>
      </c>
      <c r="AP490" s="83" t="str">
        <f>HYPERLINK("https://t.co/KeOtBqFMNs")</f>
        <v>https://t.co/KeOtBqFMNs</v>
      </c>
      <c r="AQ490" s="83" t="str">
        <f>HYPERLINK("http://www.piauinet.com.br")</f>
        <v>http://www.piauinet.com.br</v>
      </c>
      <c r="AR490" s="76" t="s">
        <v>19592</v>
      </c>
      <c r="AS490" s="76"/>
      <c r="AT490" s="76"/>
      <c r="AU490" s="76"/>
      <c r="AV490" s="76"/>
      <c r="AW490" s="83" t="str">
        <f>HYPERLINK("https://t.co/KeOtBqFMNs")</f>
        <v>https://t.co/KeOtBqFMNs</v>
      </c>
      <c r="AX490" s="76" t="b">
        <v>0</v>
      </c>
      <c r="AY490" s="76"/>
      <c r="AZ490" s="76"/>
      <c r="BA490" s="76" t="b">
        <v>0</v>
      </c>
      <c r="BB490" s="76" t="b">
        <v>1</v>
      </c>
      <c r="BC490" s="76" t="b">
        <v>0</v>
      </c>
      <c r="BD490" s="76" t="b">
        <v>0</v>
      </c>
      <c r="BE490" s="76" t="b">
        <v>0</v>
      </c>
      <c r="BF490" s="76" t="b">
        <v>0</v>
      </c>
      <c r="BG490" s="76" t="b">
        <v>0</v>
      </c>
      <c r="BH490" s="83" t="str">
        <f>HYPERLINK("https://pbs.twimg.com/profile_banners/118477795/1432989323")</f>
        <v>https://pbs.twimg.com/profile_banners/118477795/1432989323</v>
      </c>
      <c r="BI490" s="76"/>
      <c r="BJ490" s="76" t="s">
        <v>19734</v>
      </c>
      <c r="BK490" s="76" t="b">
        <v>0</v>
      </c>
      <c r="BL490" s="76"/>
      <c r="BM490" s="76" t="s">
        <v>66</v>
      </c>
      <c r="BN490" s="76" t="s">
        <v>19736</v>
      </c>
      <c r="BO490" s="83" t="str">
        <f>HYPERLINK("https://twitter.com/piauinet")</f>
        <v>https://twitter.com/piauinet</v>
      </c>
      <c r="BP490" s="2"/>
    </row>
    <row r="491" spans="1:68" x14ac:dyDescent="0.25">
      <c r="A491" s="62" t="s">
        <v>644</v>
      </c>
      <c r="B491" s="63"/>
      <c r="C491" s="63"/>
      <c r="D491" s="64"/>
      <c r="E491" s="66"/>
      <c r="F491" s="103" t="str">
        <f>HYPERLINK("https://pbs.twimg.com/profile_images/1697581430467895296/gpcNl6Gw_normal.jpg")</f>
        <v>https://pbs.twimg.com/profile_images/1697581430467895296/gpcNl6Gw_normal.jpg</v>
      </c>
      <c r="G491" s="63"/>
      <c r="H491" s="67"/>
      <c r="I491" s="68"/>
      <c r="J491" s="68"/>
      <c r="K491" s="67" t="s">
        <v>20224</v>
      </c>
      <c r="L491" s="71"/>
      <c r="M491" s="72"/>
      <c r="N491" s="72"/>
      <c r="O491" s="73"/>
      <c r="P491" s="74"/>
      <c r="Q491" s="74"/>
      <c r="R491" s="87"/>
      <c r="S491" s="87"/>
      <c r="T491" s="87"/>
      <c r="U491" s="87"/>
      <c r="V491" s="48"/>
      <c r="W491" s="48"/>
      <c r="X491" s="48"/>
      <c r="Y491" s="48"/>
      <c r="Z491" s="47"/>
      <c r="AA491" s="69">
        <v>491</v>
      </c>
      <c r="AB491" s="69"/>
      <c r="AC491" s="70"/>
      <c r="AD491" s="76" t="s">
        <v>18230</v>
      </c>
      <c r="AE491" s="81" t="s">
        <v>17374</v>
      </c>
      <c r="AF491" s="76">
        <v>153</v>
      </c>
      <c r="AG491" s="76">
        <v>132</v>
      </c>
      <c r="AH491" s="76">
        <v>1708</v>
      </c>
      <c r="AI491" s="76">
        <v>4</v>
      </c>
      <c r="AJ491" s="76">
        <v>52</v>
      </c>
      <c r="AK491" s="76">
        <v>618</v>
      </c>
      <c r="AL491" s="76" t="b">
        <v>0</v>
      </c>
      <c r="AM491" s="78">
        <v>43908.728067129632</v>
      </c>
      <c r="AN491" s="76" t="s">
        <v>18738</v>
      </c>
      <c r="AO491" s="76" t="s">
        <v>19209</v>
      </c>
      <c r="AP491" s="83" t="str">
        <f>HYPERLINK("https://t.co/abJqNktgDo")</f>
        <v>https://t.co/abJqNktgDo</v>
      </c>
      <c r="AQ491" s="83" t="str">
        <f>HYPERLINK("https://linktr.ee/ccib")</f>
        <v>https://linktr.ee/ccib</v>
      </c>
      <c r="AR491" s="76" t="s">
        <v>19593</v>
      </c>
      <c r="AS491" s="76"/>
      <c r="AT491" s="76"/>
      <c r="AU491" s="76"/>
      <c r="AV491" s="76"/>
      <c r="AW491" s="83" t="str">
        <f>HYPERLINK("https://t.co/abJqNktgDo")</f>
        <v>https://t.co/abJqNktgDo</v>
      </c>
      <c r="AX491" s="76" t="b">
        <v>0</v>
      </c>
      <c r="AY491" s="76"/>
      <c r="AZ491" s="76"/>
      <c r="BA491" s="76" t="b">
        <v>0</v>
      </c>
      <c r="BB491" s="76" t="b">
        <v>1</v>
      </c>
      <c r="BC491" s="76" t="b">
        <v>1</v>
      </c>
      <c r="BD491" s="76" t="b">
        <v>0</v>
      </c>
      <c r="BE491" s="76" t="b">
        <v>0</v>
      </c>
      <c r="BF491" s="76" t="b">
        <v>0</v>
      </c>
      <c r="BG491" s="76" t="b">
        <v>0</v>
      </c>
      <c r="BH491" s="83" t="str">
        <f>HYPERLINK("https://pbs.twimg.com/profile_banners/1240329065292279809/1685132730")</f>
        <v>https://pbs.twimg.com/profile_banners/1240329065292279809/1685132730</v>
      </c>
      <c r="BI491" s="76"/>
      <c r="BJ491" s="76" t="s">
        <v>19734</v>
      </c>
      <c r="BK491" s="76" t="b">
        <v>0</v>
      </c>
      <c r="BL491" s="76"/>
      <c r="BM491" s="76" t="s">
        <v>66</v>
      </c>
      <c r="BN491" s="76" t="s">
        <v>19736</v>
      </c>
      <c r="BO491" s="83" t="str">
        <f>HYPERLINK("https://twitter.com/indiabrazilcha1")</f>
        <v>https://twitter.com/indiabrazilcha1</v>
      </c>
      <c r="BP491" s="2"/>
    </row>
    <row r="492" spans="1:68" x14ac:dyDescent="0.25">
      <c r="A492" s="62" t="s">
        <v>645</v>
      </c>
      <c r="B492" s="63"/>
      <c r="C492" s="63"/>
      <c r="D492" s="64"/>
      <c r="E492" s="66"/>
      <c r="F492" s="103" t="str">
        <f>HYPERLINK("https://pbs.twimg.com/profile_images/1686671070114336768/ASpsZkI__normal.jpg")</f>
        <v>https://pbs.twimg.com/profile_images/1686671070114336768/ASpsZkI__normal.jpg</v>
      </c>
      <c r="G492" s="63"/>
      <c r="H492" s="67"/>
      <c r="I492" s="68"/>
      <c r="J492" s="68"/>
      <c r="K492" s="67" t="s">
        <v>20225</v>
      </c>
      <c r="L492" s="71"/>
      <c r="M492" s="72"/>
      <c r="N492" s="72"/>
      <c r="O492" s="73"/>
      <c r="P492" s="74"/>
      <c r="Q492" s="74"/>
      <c r="R492" s="87"/>
      <c r="S492" s="87"/>
      <c r="T492" s="87"/>
      <c r="U492" s="87"/>
      <c r="V492" s="48"/>
      <c r="W492" s="48"/>
      <c r="X492" s="48"/>
      <c r="Y492" s="48"/>
      <c r="Z492" s="47"/>
      <c r="AA492" s="69">
        <v>492</v>
      </c>
      <c r="AB492" s="69"/>
      <c r="AC492" s="70"/>
      <c r="AD492" s="76" t="s">
        <v>18231</v>
      </c>
      <c r="AE492" s="81" t="s">
        <v>18515</v>
      </c>
      <c r="AF492" s="76">
        <v>3790</v>
      </c>
      <c r="AG492" s="76">
        <v>425</v>
      </c>
      <c r="AH492" s="76">
        <v>14005</v>
      </c>
      <c r="AI492" s="76">
        <v>143</v>
      </c>
      <c r="AJ492" s="76">
        <v>10598</v>
      </c>
      <c r="AK492" s="76">
        <v>6689</v>
      </c>
      <c r="AL492" s="76" t="b">
        <v>0</v>
      </c>
      <c r="AM492" s="78">
        <v>40645.938460648147</v>
      </c>
      <c r="AN492" s="76" t="s">
        <v>18739</v>
      </c>
      <c r="AO492" s="76" t="s">
        <v>19210</v>
      </c>
      <c r="AP492" s="83" t="str">
        <f>HYPERLINK("https://t.co/eGJfIpe529")</f>
        <v>https://t.co/eGJfIpe529</v>
      </c>
      <c r="AQ492" s="83" t="str">
        <f>HYPERLINK("https://bit.ly/Andre-Link-to-Profile")</f>
        <v>https://bit.ly/Andre-Link-to-Profile</v>
      </c>
      <c r="AR492" s="76" t="s">
        <v>19594</v>
      </c>
      <c r="AS492" s="83" t="str">
        <f>HYPERLINK("https://t.co/5MAw3TF29m")</f>
        <v>https://t.co/5MAw3TF29m</v>
      </c>
      <c r="AT492" s="83" t="str">
        <f>HYPERLINK("http://TradingJazzfx.com")</f>
        <v>http://TradingJazzfx.com</v>
      </c>
      <c r="AU492" s="76" t="s">
        <v>19730</v>
      </c>
      <c r="AV492" s="76">
        <v>1.70610309788429E+18</v>
      </c>
      <c r="AW492" s="83" t="str">
        <f>HYPERLINK("https://t.co/eGJfIpe529")</f>
        <v>https://t.co/eGJfIpe529</v>
      </c>
      <c r="AX492" s="76" t="b">
        <v>0</v>
      </c>
      <c r="AY492" s="76"/>
      <c r="AZ492" s="76"/>
      <c r="BA492" s="76" t="b">
        <v>1</v>
      </c>
      <c r="BB492" s="76" t="b">
        <v>0</v>
      </c>
      <c r="BC492" s="76" t="b">
        <v>0</v>
      </c>
      <c r="BD492" s="76" t="b">
        <v>0</v>
      </c>
      <c r="BE492" s="76" t="b">
        <v>0</v>
      </c>
      <c r="BF492" s="76" t="b">
        <v>0</v>
      </c>
      <c r="BG492" s="76" t="b">
        <v>0</v>
      </c>
      <c r="BH492" s="83" t="str">
        <f>HYPERLINK("https://pbs.twimg.com/profile_banners/281238704/1650033191")</f>
        <v>https://pbs.twimg.com/profile_banners/281238704/1650033191</v>
      </c>
      <c r="BI492" s="76"/>
      <c r="BJ492" s="76" t="s">
        <v>19734</v>
      </c>
      <c r="BK492" s="76" t="b">
        <v>0</v>
      </c>
      <c r="BL492" s="76"/>
      <c r="BM492" s="76" t="s">
        <v>66</v>
      </c>
      <c r="BN492" s="76" t="s">
        <v>19736</v>
      </c>
      <c r="BO492" s="83" t="str">
        <f>HYPERLINK("https://twitter.com/trading_jazz")</f>
        <v>https://twitter.com/trading_jazz</v>
      </c>
      <c r="BP492" s="2"/>
    </row>
    <row r="493" spans="1:68" x14ac:dyDescent="0.25">
      <c r="A493" s="62" t="s">
        <v>646</v>
      </c>
      <c r="B493" s="63"/>
      <c r="C493" s="63"/>
      <c r="D493" s="64"/>
      <c r="E493" s="66"/>
      <c r="F493" s="103" t="str">
        <f>HYPERLINK("https://pbs.twimg.com/profile_images/1588668531910082561/XEi-lXiu_normal.jpg")</f>
        <v>https://pbs.twimg.com/profile_images/1588668531910082561/XEi-lXiu_normal.jpg</v>
      </c>
      <c r="G493" s="63"/>
      <c r="H493" s="67"/>
      <c r="I493" s="68"/>
      <c r="J493" s="68"/>
      <c r="K493" s="67" t="s">
        <v>20226</v>
      </c>
      <c r="L493" s="71"/>
      <c r="M493" s="72"/>
      <c r="N493" s="72"/>
      <c r="O493" s="73"/>
      <c r="P493" s="74"/>
      <c r="Q493" s="74"/>
      <c r="R493" s="87"/>
      <c r="S493" s="87"/>
      <c r="T493" s="87"/>
      <c r="U493" s="87"/>
      <c r="V493" s="48"/>
      <c r="W493" s="48"/>
      <c r="X493" s="48"/>
      <c r="Y493" s="48"/>
      <c r="Z493" s="47"/>
      <c r="AA493" s="69">
        <v>493</v>
      </c>
      <c r="AB493" s="69"/>
      <c r="AC493" s="70"/>
      <c r="AD493" s="76" t="s">
        <v>8275</v>
      </c>
      <c r="AE493" s="81" t="s">
        <v>17667</v>
      </c>
      <c r="AF493" s="76">
        <v>891</v>
      </c>
      <c r="AG493" s="76">
        <v>32</v>
      </c>
      <c r="AH493" s="76">
        <v>19338</v>
      </c>
      <c r="AI493" s="76">
        <v>11</v>
      </c>
      <c r="AJ493" s="76">
        <v>106</v>
      </c>
      <c r="AK493" s="76">
        <v>3</v>
      </c>
      <c r="AL493" s="76" t="b">
        <v>0</v>
      </c>
      <c r="AM493" s="78">
        <v>44420.633240740739</v>
      </c>
      <c r="AN493" s="76" t="s">
        <v>12007</v>
      </c>
      <c r="AO493" s="76" t="s">
        <v>19211</v>
      </c>
      <c r="AP493" s="83" t="str">
        <f>HYPERLINK("https://t.co/5K7X7YWU7Q")</f>
        <v>https://t.co/5K7X7YWU7Q</v>
      </c>
      <c r="AQ493" s="83" t="str">
        <f>HYPERLINK("https://economiaempauta.com")</f>
        <v>https://economiaempauta.com</v>
      </c>
      <c r="AR493" s="76" t="s">
        <v>7140</v>
      </c>
      <c r="AS493" s="76"/>
      <c r="AT493" s="76"/>
      <c r="AU493" s="76"/>
      <c r="AV493" s="76">
        <v>1.48854412414381E+18</v>
      </c>
      <c r="AW493" s="83" t="str">
        <f>HYPERLINK("https://t.co/5K7X7YWU7Q")</f>
        <v>https://t.co/5K7X7YWU7Q</v>
      </c>
      <c r="AX493" s="76" t="b">
        <v>0</v>
      </c>
      <c r="AY493" s="76"/>
      <c r="AZ493" s="76"/>
      <c r="BA493" s="76" t="b">
        <v>0</v>
      </c>
      <c r="BB493" s="76" t="b">
        <v>1</v>
      </c>
      <c r="BC493" s="76" t="b">
        <v>1</v>
      </c>
      <c r="BD493" s="76" t="b">
        <v>0</v>
      </c>
      <c r="BE493" s="76" t="b">
        <v>0</v>
      </c>
      <c r="BF493" s="76" t="b">
        <v>0</v>
      </c>
      <c r="BG493" s="76" t="b">
        <v>0</v>
      </c>
      <c r="BH493" s="83" t="str">
        <f>HYPERLINK("https://pbs.twimg.com/profile_banners/1425837326693924874/1669927568")</f>
        <v>https://pbs.twimg.com/profile_banners/1425837326693924874/1669927568</v>
      </c>
      <c r="BI493" s="76"/>
      <c r="BJ493" s="76" t="s">
        <v>19734</v>
      </c>
      <c r="BK493" s="76" t="b">
        <v>0</v>
      </c>
      <c r="BL493" s="76"/>
      <c r="BM493" s="76" t="s">
        <v>66</v>
      </c>
      <c r="BN493" s="76" t="s">
        <v>19736</v>
      </c>
      <c r="BO493" s="83" t="str">
        <f>HYPERLINK("https://twitter.com/pauta_economica")</f>
        <v>https://twitter.com/pauta_economica</v>
      </c>
      <c r="BP493" s="2"/>
    </row>
    <row r="494" spans="1:68" x14ac:dyDescent="0.25">
      <c r="A494" s="62" t="s">
        <v>647</v>
      </c>
      <c r="B494" s="63"/>
      <c r="C494" s="63"/>
      <c r="D494" s="64"/>
      <c r="E494" s="66"/>
      <c r="F494" s="103" t="str">
        <f>HYPERLINK("https://pbs.twimg.com/profile_images/1701971102207983616/LKaAH6mm_normal.png")</f>
        <v>https://pbs.twimg.com/profile_images/1701971102207983616/LKaAH6mm_normal.png</v>
      </c>
      <c r="G494" s="63"/>
      <c r="H494" s="67"/>
      <c r="I494" s="68"/>
      <c r="J494" s="68"/>
      <c r="K494" s="67" t="s">
        <v>20227</v>
      </c>
      <c r="L494" s="71"/>
      <c r="M494" s="72"/>
      <c r="N494" s="72"/>
      <c r="O494" s="73"/>
      <c r="P494" s="74"/>
      <c r="Q494" s="74"/>
      <c r="R494" s="87"/>
      <c r="S494" s="87"/>
      <c r="T494" s="87"/>
      <c r="U494" s="87"/>
      <c r="V494" s="48"/>
      <c r="W494" s="48"/>
      <c r="X494" s="48"/>
      <c r="Y494" s="48"/>
      <c r="Z494" s="47"/>
      <c r="AA494" s="69">
        <v>494</v>
      </c>
      <c r="AB494" s="69"/>
      <c r="AC494" s="70"/>
      <c r="AD494" s="76" t="s">
        <v>18232</v>
      </c>
      <c r="AE494" s="81" t="s">
        <v>17668</v>
      </c>
      <c r="AF494" s="76">
        <v>1</v>
      </c>
      <c r="AG494" s="76">
        <v>9</v>
      </c>
      <c r="AH494" s="76">
        <v>45</v>
      </c>
      <c r="AI494" s="76">
        <v>0</v>
      </c>
      <c r="AJ494" s="76">
        <v>29</v>
      </c>
      <c r="AK494" s="76">
        <v>15</v>
      </c>
      <c r="AL494" s="76" t="b">
        <v>0</v>
      </c>
      <c r="AM494" s="78">
        <v>45182.608159722222</v>
      </c>
      <c r="AN494" s="76"/>
      <c r="AO494" s="76" t="s">
        <v>19212</v>
      </c>
      <c r="AP494" s="76"/>
      <c r="AQ494" s="76"/>
      <c r="AR494" s="76"/>
      <c r="AS494" s="76"/>
      <c r="AT494" s="76"/>
      <c r="AU494" s="76"/>
      <c r="AV494" s="76"/>
      <c r="AW494" s="76"/>
      <c r="AX494" s="76" t="b">
        <v>0</v>
      </c>
      <c r="AY494" s="76"/>
      <c r="AZ494" s="76"/>
      <c r="BA494" s="76" t="b">
        <v>0</v>
      </c>
      <c r="BB494" s="76" t="b">
        <v>1</v>
      </c>
      <c r="BC494" s="76" t="b">
        <v>1</v>
      </c>
      <c r="BD494" s="76" t="b">
        <v>0</v>
      </c>
      <c r="BE494" s="76" t="b">
        <v>0</v>
      </c>
      <c r="BF494" s="76" t="b">
        <v>0</v>
      </c>
      <c r="BG494" s="76" t="b">
        <v>0</v>
      </c>
      <c r="BH494" s="83" t="str">
        <f>HYPERLINK("https://pbs.twimg.com/profile_banners/1701967711482335232/1695209888")</f>
        <v>https://pbs.twimg.com/profile_banners/1701967711482335232/1695209888</v>
      </c>
      <c r="BI494" s="76"/>
      <c r="BJ494" s="76" t="s">
        <v>19734</v>
      </c>
      <c r="BK494" s="76" t="b">
        <v>0</v>
      </c>
      <c r="BL494" s="76"/>
      <c r="BM494" s="76" t="s">
        <v>66</v>
      </c>
      <c r="BN494" s="76" t="s">
        <v>19736</v>
      </c>
      <c r="BO494" s="83" t="str">
        <f>HYPERLINK("https://twitter.com/ativosgarantem")</f>
        <v>https://twitter.com/ativosgarantem</v>
      </c>
      <c r="BP494" s="2"/>
    </row>
    <row r="495" spans="1:68" x14ac:dyDescent="0.25">
      <c r="A495" s="62" t="s">
        <v>648</v>
      </c>
      <c r="B495" s="63"/>
      <c r="C495" s="63"/>
      <c r="D495" s="64"/>
      <c r="E495" s="66"/>
      <c r="F495" s="103" t="str">
        <f>HYPERLINK("https://abs.twimg.com/sticky/default_profile_images/default_profile_normal.png")</f>
        <v>https://abs.twimg.com/sticky/default_profile_images/default_profile_normal.png</v>
      </c>
      <c r="G495" s="63"/>
      <c r="H495" s="67"/>
      <c r="I495" s="68"/>
      <c r="J495" s="68"/>
      <c r="K495" s="67" t="s">
        <v>20228</v>
      </c>
      <c r="L495" s="71"/>
      <c r="M495" s="72"/>
      <c r="N495" s="72"/>
      <c r="O495" s="73"/>
      <c r="P495" s="74"/>
      <c r="Q495" s="74"/>
      <c r="R495" s="87"/>
      <c r="S495" s="87"/>
      <c r="T495" s="87"/>
      <c r="U495" s="87"/>
      <c r="V495" s="48"/>
      <c r="W495" s="48"/>
      <c r="X495" s="48"/>
      <c r="Y495" s="48"/>
      <c r="Z495" s="47"/>
      <c r="AA495" s="69">
        <v>495</v>
      </c>
      <c r="AB495" s="69"/>
      <c r="AC495" s="70"/>
      <c r="AD495" s="76" t="s">
        <v>18233</v>
      </c>
      <c r="AE495" s="81" t="s">
        <v>17669</v>
      </c>
      <c r="AF495" s="76">
        <v>16</v>
      </c>
      <c r="AG495" s="76">
        <v>168</v>
      </c>
      <c r="AH495" s="76">
        <v>17168</v>
      </c>
      <c r="AI495" s="76">
        <v>0</v>
      </c>
      <c r="AJ495" s="76">
        <v>345</v>
      </c>
      <c r="AK495" s="76">
        <v>14623</v>
      </c>
      <c r="AL495" s="76" t="b">
        <v>0</v>
      </c>
      <c r="AM495" s="78">
        <v>44049.527604166666</v>
      </c>
      <c r="AN495" s="76"/>
      <c r="AO495" s="76" t="s">
        <v>19213</v>
      </c>
      <c r="AP495" s="76"/>
      <c r="AQ495" s="76"/>
      <c r="AR495" s="76"/>
      <c r="AS495" s="76"/>
      <c r="AT495" s="76"/>
      <c r="AU495" s="76"/>
      <c r="AV495" s="76"/>
      <c r="AW495" s="76"/>
      <c r="AX495" s="76" t="b">
        <v>0</v>
      </c>
      <c r="AY495" s="76"/>
      <c r="AZ495" s="76"/>
      <c r="BA495" s="76" t="b">
        <v>0</v>
      </c>
      <c r="BB495" s="76" t="b">
        <v>1</v>
      </c>
      <c r="BC495" s="76" t="b">
        <v>1</v>
      </c>
      <c r="BD495" s="76" t="b">
        <v>1</v>
      </c>
      <c r="BE495" s="76" t="b">
        <v>1</v>
      </c>
      <c r="BF495" s="76" t="b">
        <v>0</v>
      </c>
      <c r="BG495" s="76" t="b">
        <v>0</v>
      </c>
      <c r="BH495" s="76"/>
      <c r="BI495" s="76"/>
      <c r="BJ495" s="76" t="s">
        <v>19734</v>
      </c>
      <c r="BK495" s="76" t="b">
        <v>0</v>
      </c>
      <c r="BL495" s="76"/>
      <c r="BM495" s="76" t="s">
        <v>66</v>
      </c>
      <c r="BN495" s="76" t="s">
        <v>19736</v>
      </c>
      <c r="BO495" s="83" t="str">
        <f>HYPERLINK("https://twitter.com/alcyrbeltrame")</f>
        <v>https://twitter.com/alcyrbeltrame</v>
      </c>
      <c r="BP495" s="2"/>
    </row>
    <row r="496" spans="1:68" x14ac:dyDescent="0.25">
      <c r="A496" s="62" t="s">
        <v>649</v>
      </c>
      <c r="B496" s="63"/>
      <c r="C496" s="63"/>
      <c r="D496" s="64"/>
      <c r="E496" s="66"/>
      <c r="F496" s="103" t="str">
        <f>HYPERLINK("https://pbs.twimg.com/profile_images/1451212808524337156/HBWkH7Pt_normal.jpg")</f>
        <v>https://pbs.twimg.com/profile_images/1451212808524337156/HBWkH7Pt_normal.jpg</v>
      </c>
      <c r="G496" s="63"/>
      <c r="H496" s="67"/>
      <c r="I496" s="68"/>
      <c r="J496" s="68"/>
      <c r="K496" s="67" t="s">
        <v>20229</v>
      </c>
      <c r="L496" s="71"/>
      <c r="M496" s="72"/>
      <c r="N496" s="72"/>
      <c r="O496" s="73"/>
      <c r="P496" s="74"/>
      <c r="Q496" s="74"/>
      <c r="R496" s="87"/>
      <c r="S496" s="87"/>
      <c r="T496" s="87"/>
      <c r="U496" s="87"/>
      <c r="V496" s="48"/>
      <c r="W496" s="48"/>
      <c r="X496" s="48"/>
      <c r="Y496" s="48"/>
      <c r="Z496" s="47"/>
      <c r="AA496" s="69">
        <v>496</v>
      </c>
      <c r="AB496" s="69"/>
      <c r="AC496" s="70"/>
      <c r="AD496" s="76" t="s">
        <v>18234</v>
      </c>
      <c r="AE496" s="81" t="s">
        <v>17670</v>
      </c>
      <c r="AF496" s="76">
        <v>819</v>
      </c>
      <c r="AG496" s="76">
        <v>6</v>
      </c>
      <c r="AH496" s="76">
        <v>436</v>
      </c>
      <c r="AI496" s="76">
        <v>3</v>
      </c>
      <c r="AJ496" s="76">
        <v>191</v>
      </c>
      <c r="AK496" s="76">
        <v>116</v>
      </c>
      <c r="AL496" s="76" t="b">
        <v>0</v>
      </c>
      <c r="AM496" s="78">
        <v>44483.877187500002</v>
      </c>
      <c r="AN496" s="76"/>
      <c r="AO496" s="76" t="s">
        <v>19214</v>
      </c>
      <c r="AP496" s="83" t="str">
        <f>HYPERLINK("https://t.co/w23ki8lWN1")</f>
        <v>https://t.co/w23ki8lWN1</v>
      </c>
      <c r="AQ496" s="83" t="str">
        <f>HYPERLINK("https://articainvest.com.br/")</f>
        <v>https://articainvest.com.br/</v>
      </c>
      <c r="AR496" s="76" t="s">
        <v>19595</v>
      </c>
      <c r="AS496" s="83" t="str">
        <f>HYPERLINK("https://t.co/IpgA4sXC1o")</f>
        <v>https://t.co/IpgA4sXC1o</v>
      </c>
      <c r="AT496" s="83" t="str">
        <f>HYPERLINK("http://linktr.ee/articainvest")</f>
        <v>http://linktr.ee/articainvest</v>
      </c>
      <c r="AU496" s="76" t="s">
        <v>19731</v>
      </c>
      <c r="AV496" s="76">
        <v>1.69867424338114E+18</v>
      </c>
      <c r="AW496" s="83" t="str">
        <f>HYPERLINK("https://t.co/w23ki8lWN1")</f>
        <v>https://t.co/w23ki8lWN1</v>
      </c>
      <c r="AX496" s="76" t="b">
        <v>1</v>
      </c>
      <c r="AY496" s="76"/>
      <c r="AZ496" s="76"/>
      <c r="BA496" s="76" t="b">
        <v>0</v>
      </c>
      <c r="BB496" s="76" t="b">
        <v>1</v>
      </c>
      <c r="BC496" s="76" t="b">
        <v>1</v>
      </c>
      <c r="BD496" s="76" t="b">
        <v>0</v>
      </c>
      <c r="BE496" s="76" t="b">
        <v>0</v>
      </c>
      <c r="BF496" s="76" t="b">
        <v>0</v>
      </c>
      <c r="BG496" s="76" t="b">
        <v>0</v>
      </c>
      <c r="BH496" s="83" t="str">
        <f>HYPERLINK("https://pbs.twimg.com/profile_banners/1448755794627997696/1675694230")</f>
        <v>https://pbs.twimg.com/profile_banners/1448755794627997696/1675694230</v>
      </c>
      <c r="BI496" s="76"/>
      <c r="BJ496" s="76" t="s">
        <v>19734</v>
      </c>
      <c r="BK496" s="76" t="b">
        <v>0</v>
      </c>
      <c r="BL496" s="76"/>
      <c r="BM496" s="76" t="s">
        <v>66</v>
      </c>
      <c r="BN496" s="76" t="s">
        <v>19736</v>
      </c>
      <c r="BO496" s="83" t="str">
        <f>HYPERLINK("https://twitter.com/articainvest")</f>
        <v>https://twitter.com/articainvest</v>
      </c>
      <c r="BP496" s="2"/>
    </row>
    <row r="497" spans="1:68" x14ac:dyDescent="0.25">
      <c r="A497" s="62" t="s">
        <v>794</v>
      </c>
      <c r="B497" s="63"/>
      <c r="C497" s="63"/>
      <c r="D497" s="64"/>
      <c r="E497" s="66"/>
      <c r="F497" s="103" t="str">
        <f>HYPERLINK("https://pbs.twimg.com/profile_images/1522686208547213315/rXKDnjbd_normal.jpg")</f>
        <v>https://pbs.twimg.com/profile_images/1522686208547213315/rXKDnjbd_normal.jpg</v>
      </c>
      <c r="G497" s="63"/>
      <c r="H497" s="67"/>
      <c r="I497" s="68"/>
      <c r="J497" s="68"/>
      <c r="K497" s="67" t="s">
        <v>20230</v>
      </c>
      <c r="L497" s="71"/>
      <c r="M497" s="72"/>
      <c r="N497" s="72"/>
      <c r="O497" s="73"/>
      <c r="P497" s="74"/>
      <c r="Q497" s="74"/>
      <c r="R497" s="87"/>
      <c r="S497" s="87"/>
      <c r="T497" s="87"/>
      <c r="U497" s="87"/>
      <c r="V497" s="48"/>
      <c r="W497" s="48"/>
      <c r="X497" s="48"/>
      <c r="Y497" s="48"/>
      <c r="Z497" s="47"/>
      <c r="AA497" s="69">
        <v>497</v>
      </c>
      <c r="AB497" s="69"/>
      <c r="AC497" s="70"/>
      <c r="AD497" s="76" t="s">
        <v>18235</v>
      </c>
      <c r="AE497" s="81" t="s">
        <v>18516</v>
      </c>
      <c r="AF497" s="76">
        <v>9137</v>
      </c>
      <c r="AG497" s="76">
        <v>295</v>
      </c>
      <c r="AH497" s="76">
        <v>1082</v>
      </c>
      <c r="AI497" s="76">
        <v>23</v>
      </c>
      <c r="AJ497" s="76">
        <v>1375</v>
      </c>
      <c r="AK497" s="76">
        <v>68</v>
      </c>
      <c r="AL497" s="76" t="b">
        <v>0</v>
      </c>
      <c r="AM497" s="78">
        <v>40690.78769675926</v>
      </c>
      <c r="AN497" s="76" t="s">
        <v>12040</v>
      </c>
      <c r="AO497" s="76" t="s">
        <v>19215</v>
      </c>
      <c r="AP497" s="83" t="str">
        <f>HYPERLINK("https://t.co/e4rOB6AnIZ")</f>
        <v>https://t.co/e4rOB6AnIZ</v>
      </c>
      <c r="AQ497" s="83" t="str">
        <f>HYPERLINK("https://articainvest.com.br/home-asset/")</f>
        <v>https://articainvest.com.br/home-asset/</v>
      </c>
      <c r="AR497" s="76" t="s">
        <v>19596</v>
      </c>
      <c r="AS497" s="76"/>
      <c r="AT497" s="76"/>
      <c r="AU497" s="76"/>
      <c r="AV497" s="76">
        <v>1.70278735584784E+18</v>
      </c>
      <c r="AW497" s="83" t="str">
        <f>HYPERLINK("https://t.co/e4rOB6AnIZ")</f>
        <v>https://t.co/e4rOB6AnIZ</v>
      </c>
      <c r="AX497" s="76" t="b">
        <v>1</v>
      </c>
      <c r="AY497" s="76"/>
      <c r="AZ497" s="76"/>
      <c r="BA497" s="76" t="b">
        <v>1</v>
      </c>
      <c r="BB497" s="76" t="b">
        <v>1</v>
      </c>
      <c r="BC497" s="76" t="b">
        <v>1</v>
      </c>
      <c r="BD497" s="76" t="b">
        <v>0</v>
      </c>
      <c r="BE497" s="76" t="b">
        <v>0</v>
      </c>
      <c r="BF497" s="76" t="b">
        <v>0</v>
      </c>
      <c r="BG497" s="76" t="b">
        <v>0</v>
      </c>
      <c r="BH497" s="83" t="str">
        <f>HYPERLINK("https://pbs.twimg.com/profile_banners/306358347/1597236364")</f>
        <v>https://pbs.twimg.com/profile_banners/306358347/1597236364</v>
      </c>
      <c r="BI497" s="76"/>
      <c r="BJ497" s="76" t="s">
        <v>19734</v>
      </c>
      <c r="BK497" s="76" t="b">
        <v>0</v>
      </c>
      <c r="BL497" s="76"/>
      <c r="BM497" s="76" t="s">
        <v>65</v>
      </c>
      <c r="BN497" s="76" t="s">
        <v>19736</v>
      </c>
      <c r="BO497" s="83" t="str">
        <f>HYPERLINK("https://twitter.com/ivanbarboza_")</f>
        <v>https://twitter.com/ivanbarboza_</v>
      </c>
      <c r="BP497" s="2"/>
    </row>
    <row r="498" spans="1:68" x14ac:dyDescent="0.25">
      <c r="A498" s="62" t="s">
        <v>650</v>
      </c>
      <c r="B498" s="63"/>
      <c r="C498" s="63"/>
      <c r="D498" s="64"/>
      <c r="E498" s="66"/>
      <c r="F498" s="103" t="str">
        <f>HYPERLINK("https://pbs.twimg.com/profile_images/1681823229495635969/W-lmItv3_normal.jpg")</f>
        <v>https://pbs.twimg.com/profile_images/1681823229495635969/W-lmItv3_normal.jpg</v>
      </c>
      <c r="G498" s="63"/>
      <c r="H498" s="67"/>
      <c r="I498" s="68"/>
      <c r="J498" s="68"/>
      <c r="K498" s="67" t="s">
        <v>20231</v>
      </c>
      <c r="L498" s="71"/>
      <c r="M498" s="72"/>
      <c r="N498" s="72"/>
      <c r="O498" s="73"/>
      <c r="P498" s="74"/>
      <c r="Q498" s="74"/>
      <c r="R498" s="87"/>
      <c r="S498" s="87"/>
      <c r="T498" s="87"/>
      <c r="U498" s="87"/>
      <c r="V498" s="48"/>
      <c r="W498" s="48"/>
      <c r="X498" s="48"/>
      <c r="Y498" s="48"/>
      <c r="Z498" s="47"/>
      <c r="AA498" s="69">
        <v>498</v>
      </c>
      <c r="AB498" s="69"/>
      <c r="AC498" s="70"/>
      <c r="AD498" s="76" t="s">
        <v>18236</v>
      </c>
      <c r="AE498" s="81" t="s">
        <v>17671</v>
      </c>
      <c r="AF498" s="76">
        <v>180</v>
      </c>
      <c r="AG498" s="76">
        <v>1143</v>
      </c>
      <c r="AH498" s="76">
        <v>7002</v>
      </c>
      <c r="AI498" s="76">
        <v>3</v>
      </c>
      <c r="AJ498" s="76">
        <v>10224</v>
      </c>
      <c r="AK498" s="76">
        <v>359</v>
      </c>
      <c r="AL498" s="76" t="b">
        <v>0</v>
      </c>
      <c r="AM498" s="78">
        <v>44643.683807870373</v>
      </c>
      <c r="AN498" s="76" t="s">
        <v>18565</v>
      </c>
      <c r="AO498" s="76" t="s">
        <v>19216</v>
      </c>
      <c r="AP498" s="76"/>
      <c r="AQ498" s="76"/>
      <c r="AR498" s="76"/>
      <c r="AS498" s="76"/>
      <c r="AT498" s="76"/>
      <c r="AU498" s="76"/>
      <c r="AV498" s="76"/>
      <c r="AW498" s="76"/>
      <c r="AX498" s="76" t="b">
        <v>0</v>
      </c>
      <c r="AY498" s="76"/>
      <c r="AZ498" s="76"/>
      <c r="BA498" s="76" t="b">
        <v>0</v>
      </c>
      <c r="BB498" s="76" t="b">
        <v>1</v>
      </c>
      <c r="BC498" s="76" t="b">
        <v>1</v>
      </c>
      <c r="BD498" s="76" t="b">
        <v>0</v>
      </c>
      <c r="BE498" s="76" t="b">
        <v>1</v>
      </c>
      <c r="BF498" s="76" t="b">
        <v>0</v>
      </c>
      <c r="BG498" s="76" t="b">
        <v>0</v>
      </c>
      <c r="BH498" s="83" t="str">
        <f>HYPERLINK("https://pbs.twimg.com/profile_banners/1506668168726593542/1689816427")</f>
        <v>https://pbs.twimg.com/profile_banners/1506668168726593542/1689816427</v>
      </c>
      <c r="BI498" s="76"/>
      <c r="BJ498" s="76" t="s">
        <v>19734</v>
      </c>
      <c r="BK498" s="76" t="b">
        <v>0</v>
      </c>
      <c r="BL498" s="76"/>
      <c r="BM498" s="76" t="s">
        <v>66</v>
      </c>
      <c r="BN498" s="76" t="s">
        <v>19736</v>
      </c>
      <c r="BO498" s="83" t="str">
        <f>HYPERLINK("https://twitter.com/lucasholandacl")</f>
        <v>https://twitter.com/lucasholandacl</v>
      </c>
      <c r="BP498" s="2"/>
    </row>
    <row r="499" spans="1:68" x14ac:dyDescent="0.25">
      <c r="A499" s="62" t="s">
        <v>651</v>
      </c>
      <c r="B499" s="63"/>
      <c r="C499" s="63"/>
      <c r="D499" s="64"/>
      <c r="E499" s="66"/>
      <c r="F499" s="103" t="str">
        <f>HYPERLINK("https://pbs.twimg.com/profile_images/1657817430729584642/MXYFIt68_normal.jpg")</f>
        <v>https://pbs.twimg.com/profile_images/1657817430729584642/MXYFIt68_normal.jpg</v>
      </c>
      <c r="G499" s="63"/>
      <c r="H499" s="67"/>
      <c r="I499" s="68"/>
      <c r="J499" s="68"/>
      <c r="K499" s="67" t="s">
        <v>20232</v>
      </c>
      <c r="L499" s="71"/>
      <c r="M499" s="72"/>
      <c r="N499" s="72"/>
      <c r="O499" s="73"/>
      <c r="P499" s="74"/>
      <c r="Q499" s="74"/>
      <c r="R499" s="87"/>
      <c r="S499" s="87"/>
      <c r="T499" s="87"/>
      <c r="U499" s="87"/>
      <c r="V499" s="48"/>
      <c r="W499" s="48"/>
      <c r="X499" s="48"/>
      <c r="Y499" s="48"/>
      <c r="Z499" s="47"/>
      <c r="AA499" s="69">
        <v>499</v>
      </c>
      <c r="AB499" s="69"/>
      <c r="AC499" s="70"/>
      <c r="AD499" s="76" t="s">
        <v>18237</v>
      </c>
      <c r="AE499" s="81" t="s">
        <v>17672</v>
      </c>
      <c r="AF499" s="76">
        <v>4</v>
      </c>
      <c r="AG499" s="76">
        <v>53</v>
      </c>
      <c r="AH499" s="76">
        <v>40</v>
      </c>
      <c r="AI499" s="76">
        <v>0</v>
      </c>
      <c r="AJ499" s="76">
        <v>32</v>
      </c>
      <c r="AK499" s="76">
        <v>29</v>
      </c>
      <c r="AL499" s="76" t="b">
        <v>0</v>
      </c>
      <c r="AM499" s="78">
        <v>45060.7655787037</v>
      </c>
      <c r="AN499" s="76" t="s">
        <v>18740</v>
      </c>
      <c r="AO499" s="76" t="s">
        <v>19217</v>
      </c>
      <c r="AP499" s="83" t="str">
        <f>HYPERLINK("https://t.co/bH6oG77YHB")</f>
        <v>https://t.co/bH6oG77YHB</v>
      </c>
      <c r="AQ499" s="83" t="str">
        <f>HYPERLINK("https://www.youtube.com/@aprendainvestirhoje")</f>
        <v>https://www.youtube.com/@aprendainvestirhoje</v>
      </c>
      <c r="AR499" s="76" t="s">
        <v>19597</v>
      </c>
      <c r="AS499" s="76"/>
      <c r="AT499" s="76"/>
      <c r="AU499" s="76"/>
      <c r="AV499" s="76"/>
      <c r="AW499" s="83" t="str">
        <f>HYPERLINK("https://t.co/bH6oG77YHB")</f>
        <v>https://t.co/bH6oG77YHB</v>
      </c>
      <c r="AX499" s="76" t="b">
        <v>0</v>
      </c>
      <c r="AY499" s="76"/>
      <c r="AZ499" s="76"/>
      <c r="BA499" s="76" t="b">
        <v>0</v>
      </c>
      <c r="BB499" s="76" t="b">
        <v>1</v>
      </c>
      <c r="BC499" s="76" t="b">
        <v>1</v>
      </c>
      <c r="BD499" s="76" t="b">
        <v>0</v>
      </c>
      <c r="BE499" s="76" t="b">
        <v>0</v>
      </c>
      <c r="BF499" s="76" t="b">
        <v>0</v>
      </c>
      <c r="BG499" s="76" t="b">
        <v>0</v>
      </c>
      <c r="BH499" s="83" t="str">
        <f>HYPERLINK("https://pbs.twimg.com/profile_banners/1657813541548638212/1684090330")</f>
        <v>https://pbs.twimg.com/profile_banners/1657813541548638212/1684090330</v>
      </c>
      <c r="BI499" s="76"/>
      <c r="BJ499" s="76" t="s">
        <v>19734</v>
      </c>
      <c r="BK499" s="76" t="b">
        <v>0</v>
      </c>
      <c r="BL499" s="76"/>
      <c r="BM499" s="76" t="s">
        <v>66</v>
      </c>
      <c r="BN499" s="76" t="s">
        <v>19736</v>
      </c>
      <c r="BO499" s="83" t="str">
        <f>HYPERLINK("https://twitter.com/hojeinvestir")</f>
        <v>https://twitter.com/hojeinvestir</v>
      </c>
      <c r="BP499" s="2"/>
    </row>
    <row r="500" spans="1:68" x14ac:dyDescent="0.25">
      <c r="A500" s="62" t="s">
        <v>652</v>
      </c>
      <c r="B500" s="63"/>
      <c r="C500" s="63"/>
      <c r="D500" s="64"/>
      <c r="E500" s="66"/>
      <c r="F500" s="103" t="str">
        <f>HYPERLINK("https://pbs.twimg.com/profile_images/1644014399152087043/1_0dQGl5_normal.jpg")</f>
        <v>https://pbs.twimg.com/profile_images/1644014399152087043/1_0dQGl5_normal.jpg</v>
      </c>
      <c r="G500" s="63"/>
      <c r="H500" s="67"/>
      <c r="I500" s="68"/>
      <c r="J500" s="68"/>
      <c r="K500" s="67" t="s">
        <v>20233</v>
      </c>
      <c r="L500" s="71"/>
      <c r="M500" s="72"/>
      <c r="N500" s="72"/>
      <c r="O500" s="73"/>
      <c r="P500" s="74"/>
      <c r="Q500" s="74"/>
      <c r="R500" s="87"/>
      <c r="S500" s="87"/>
      <c r="T500" s="87"/>
      <c r="U500" s="87"/>
      <c r="V500" s="48"/>
      <c r="W500" s="48"/>
      <c r="X500" s="48"/>
      <c r="Y500" s="48"/>
      <c r="Z500" s="47"/>
      <c r="AA500" s="69">
        <v>500</v>
      </c>
      <c r="AB500" s="69"/>
      <c r="AC500" s="70"/>
      <c r="AD500" s="76" t="s">
        <v>18238</v>
      </c>
      <c r="AE500" s="81" t="s">
        <v>18517</v>
      </c>
      <c r="AF500" s="76">
        <v>277</v>
      </c>
      <c r="AG500" s="76">
        <v>323</v>
      </c>
      <c r="AH500" s="76">
        <v>4029</v>
      </c>
      <c r="AI500" s="76">
        <v>5</v>
      </c>
      <c r="AJ500" s="76">
        <v>1742</v>
      </c>
      <c r="AK500" s="76">
        <v>9</v>
      </c>
      <c r="AL500" s="76" t="b">
        <v>0</v>
      </c>
      <c r="AM500" s="78">
        <v>40019.423796296294</v>
      </c>
      <c r="AN500" s="76" t="s">
        <v>18741</v>
      </c>
      <c r="AO500" s="76" t="s">
        <v>19218</v>
      </c>
      <c r="AP500" s="83" t="str">
        <f>HYPERLINK("https://t.co/Dyu7pLXnOH")</f>
        <v>https://t.co/Dyu7pLXnOH</v>
      </c>
      <c r="AQ500" s="83" t="str">
        <f>HYPERLINK("http://lumlux-art.com")</f>
        <v>http://lumlux-art.com</v>
      </c>
      <c r="AR500" s="76" t="s">
        <v>7141</v>
      </c>
      <c r="AS500" s="76"/>
      <c r="AT500" s="76"/>
      <c r="AU500" s="76"/>
      <c r="AV500" s="76">
        <v>1.6696884557967601E+18</v>
      </c>
      <c r="AW500" s="83" t="str">
        <f>HYPERLINK("https://t.co/Dyu7pLXnOH")</f>
        <v>https://t.co/Dyu7pLXnOH</v>
      </c>
      <c r="AX500" s="76" t="b">
        <v>0</v>
      </c>
      <c r="AY500" s="76"/>
      <c r="AZ500" s="76"/>
      <c r="BA500" s="76" t="b">
        <v>0</v>
      </c>
      <c r="BB500" s="76" t="b">
        <v>0</v>
      </c>
      <c r="BC500" s="76" t="b">
        <v>1</v>
      </c>
      <c r="BD500" s="76" t="b">
        <v>0</v>
      </c>
      <c r="BE500" s="76" t="b">
        <v>0</v>
      </c>
      <c r="BF500" s="76" t="b">
        <v>0</v>
      </c>
      <c r="BG500" s="76" t="b">
        <v>0</v>
      </c>
      <c r="BH500" s="76"/>
      <c r="BI500" s="76"/>
      <c r="BJ500" s="76" t="s">
        <v>19734</v>
      </c>
      <c r="BK500" s="76" t="b">
        <v>0</v>
      </c>
      <c r="BL500" s="76"/>
      <c r="BM500" s="76" t="s">
        <v>66</v>
      </c>
      <c r="BN500" s="76" t="s">
        <v>19736</v>
      </c>
      <c r="BO500" s="83" t="str">
        <f>HYPERLINK("https://twitter.com/lumluxart")</f>
        <v>https://twitter.com/lumluxart</v>
      </c>
      <c r="BP500" s="2"/>
    </row>
    <row r="501" spans="1:68" x14ac:dyDescent="0.25">
      <c r="A501" s="62" t="s">
        <v>653</v>
      </c>
      <c r="B501" s="63"/>
      <c r="C501" s="63"/>
      <c r="D501" s="64"/>
      <c r="E501" s="66"/>
      <c r="F501" s="103" t="str">
        <f>HYPERLINK("https://pbs.twimg.com/profile_images/1029553636043616258/0ATH7FqB_normal.jpg")</f>
        <v>https://pbs.twimg.com/profile_images/1029553636043616258/0ATH7FqB_normal.jpg</v>
      </c>
      <c r="G501" s="63"/>
      <c r="H501" s="67"/>
      <c r="I501" s="68"/>
      <c r="J501" s="68"/>
      <c r="K501" s="67" t="s">
        <v>20234</v>
      </c>
      <c r="L501" s="71"/>
      <c r="M501" s="72"/>
      <c r="N501" s="72"/>
      <c r="O501" s="73"/>
      <c r="P501" s="74"/>
      <c r="Q501" s="74"/>
      <c r="R501" s="87"/>
      <c r="S501" s="87"/>
      <c r="T501" s="87"/>
      <c r="U501" s="87"/>
      <c r="V501" s="48"/>
      <c r="W501" s="48"/>
      <c r="X501" s="48"/>
      <c r="Y501" s="48"/>
      <c r="Z501" s="47"/>
      <c r="AA501" s="69">
        <v>501</v>
      </c>
      <c r="AB501" s="69"/>
      <c r="AC501" s="70"/>
      <c r="AD501" s="76" t="s">
        <v>18239</v>
      </c>
      <c r="AE501" s="81" t="s">
        <v>17673</v>
      </c>
      <c r="AF501" s="76">
        <v>49</v>
      </c>
      <c r="AG501" s="76">
        <v>184</v>
      </c>
      <c r="AH501" s="76">
        <v>2642</v>
      </c>
      <c r="AI501" s="76">
        <v>0</v>
      </c>
      <c r="AJ501" s="76">
        <v>1463</v>
      </c>
      <c r="AK501" s="76">
        <v>47</v>
      </c>
      <c r="AL501" s="76" t="b">
        <v>0</v>
      </c>
      <c r="AM501" s="78">
        <v>43327.096099537041</v>
      </c>
      <c r="AN501" s="76"/>
      <c r="AO501" s="76" t="s">
        <v>19219</v>
      </c>
      <c r="AP501" s="76"/>
      <c r="AQ501" s="76"/>
      <c r="AR501" s="76"/>
      <c r="AS501" s="76"/>
      <c r="AT501" s="76"/>
      <c r="AU501" s="76"/>
      <c r="AV501" s="76"/>
      <c r="AW501" s="76"/>
      <c r="AX501" s="76" t="b">
        <v>0</v>
      </c>
      <c r="AY501" s="76"/>
      <c r="AZ501" s="76"/>
      <c r="BA501" s="76" t="b">
        <v>0</v>
      </c>
      <c r="BB501" s="76" t="b">
        <v>0</v>
      </c>
      <c r="BC501" s="76" t="b">
        <v>1</v>
      </c>
      <c r="BD501" s="76" t="b">
        <v>0</v>
      </c>
      <c r="BE501" s="76" t="b">
        <v>0</v>
      </c>
      <c r="BF501" s="76" t="b">
        <v>0</v>
      </c>
      <c r="BG501" s="76" t="b">
        <v>0</v>
      </c>
      <c r="BH501" s="83" t="str">
        <f>HYPERLINK("https://pbs.twimg.com/profile_banners/1029552856343433217/1534299770")</f>
        <v>https://pbs.twimg.com/profile_banners/1029552856343433217/1534299770</v>
      </c>
      <c r="BI501" s="76"/>
      <c r="BJ501" s="76" t="s">
        <v>19734</v>
      </c>
      <c r="BK501" s="76" t="b">
        <v>0</v>
      </c>
      <c r="BL501" s="76"/>
      <c r="BM501" s="76" t="s">
        <v>66</v>
      </c>
      <c r="BN501" s="76" t="s">
        <v>19736</v>
      </c>
      <c r="BO501" s="83" t="str">
        <f>HYPERLINK("https://twitter.com/celinhomedeiros")</f>
        <v>https://twitter.com/celinhomedeiros</v>
      </c>
      <c r="BP501" s="2"/>
    </row>
    <row r="502" spans="1:68" x14ac:dyDescent="0.25">
      <c r="A502" s="62" t="s">
        <v>654</v>
      </c>
      <c r="B502" s="63"/>
      <c r="C502" s="63"/>
      <c r="D502" s="64"/>
      <c r="E502" s="66"/>
      <c r="F502" s="103" t="str">
        <f>HYPERLINK("https://pbs.twimg.com/profile_images/1690427712752525312/1iahl1ek_normal.jpg")</f>
        <v>https://pbs.twimg.com/profile_images/1690427712752525312/1iahl1ek_normal.jpg</v>
      </c>
      <c r="G502" s="63"/>
      <c r="H502" s="67"/>
      <c r="I502" s="68"/>
      <c r="J502" s="68"/>
      <c r="K502" s="67" t="s">
        <v>20235</v>
      </c>
      <c r="L502" s="71"/>
      <c r="M502" s="72"/>
      <c r="N502" s="72"/>
      <c r="O502" s="73"/>
      <c r="P502" s="74"/>
      <c r="Q502" s="74"/>
      <c r="R502" s="87"/>
      <c r="S502" s="87"/>
      <c r="T502" s="87"/>
      <c r="U502" s="87"/>
      <c r="V502" s="48"/>
      <c r="W502" s="48"/>
      <c r="X502" s="48"/>
      <c r="Y502" s="48"/>
      <c r="Z502" s="47"/>
      <c r="AA502" s="69">
        <v>502</v>
      </c>
      <c r="AB502" s="69"/>
      <c r="AC502" s="70"/>
      <c r="AD502" s="76" t="s">
        <v>18240</v>
      </c>
      <c r="AE502" s="81" t="s">
        <v>17674</v>
      </c>
      <c r="AF502" s="76">
        <v>176</v>
      </c>
      <c r="AG502" s="76">
        <v>745</v>
      </c>
      <c r="AH502" s="76">
        <v>589</v>
      </c>
      <c r="AI502" s="76">
        <v>3</v>
      </c>
      <c r="AJ502" s="76">
        <v>76</v>
      </c>
      <c r="AK502" s="76">
        <v>539</v>
      </c>
      <c r="AL502" s="76" t="b">
        <v>0</v>
      </c>
      <c r="AM502" s="78">
        <v>42789.02244212963</v>
      </c>
      <c r="AN502" s="76" t="s">
        <v>18742</v>
      </c>
      <c r="AO502" s="76" t="s">
        <v>19220</v>
      </c>
      <c r="AP502" s="83" t="str">
        <f>HYPERLINK("https://t.co/5TtcGrYePz")</f>
        <v>https://t.co/5TtcGrYePz</v>
      </c>
      <c r="AQ502" s="83" t="str">
        <f>HYPERLINK("https://linktr.ee/penseexcel?fbclid=PAAaYlHn1ef7c54767SQTH5GWTeSr2QK2C0IrcdqSyW1MMc-qPdyPCSJ75h_U")</f>
        <v>https://linktr.ee/penseexcel?fbclid=PAAaYlHn1ef7c54767SQTH5GWTeSr2QK2C0IrcdqSyW1MMc-qPdyPCSJ75h_U</v>
      </c>
      <c r="AR502" s="76" t="s">
        <v>19598</v>
      </c>
      <c r="AS502" s="76"/>
      <c r="AT502" s="76"/>
      <c r="AU502" s="76"/>
      <c r="AV502" s="76"/>
      <c r="AW502" s="83" t="str">
        <f>HYPERLINK("https://t.co/5TtcGrYePz")</f>
        <v>https://t.co/5TtcGrYePz</v>
      </c>
      <c r="AX502" s="76" t="b">
        <v>0</v>
      </c>
      <c r="AY502" s="76"/>
      <c r="AZ502" s="76"/>
      <c r="BA502" s="76" t="b">
        <v>0</v>
      </c>
      <c r="BB502" s="76" t="b">
        <v>1</v>
      </c>
      <c r="BC502" s="76" t="b">
        <v>0</v>
      </c>
      <c r="BD502" s="76" t="b">
        <v>0</v>
      </c>
      <c r="BE502" s="76" t="b">
        <v>0</v>
      </c>
      <c r="BF502" s="76" t="b">
        <v>0</v>
      </c>
      <c r="BG502" s="76" t="b">
        <v>0</v>
      </c>
      <c r="BH502" s="83" t="str">
        <f>HYPERLINK("https://pbs.twimg.com/profile_banners/834561488690020352/1575923999")</f>
        <v>https://pbs.twimg.com/profile_banners/834561488690020352/1575923999</v>
      </c>
      <c r="BI502" s="76"/>
      <c r="BJ502" s="76" t="s">
        <v>19734</v>
      </c>
      <c r="BK502" s="76" t="b">
        <v>0</v>
      </c>
      <c r="BL502" s="76"/>
      <c r="BM502" s="76" t="s">
        <v>66</v>
      </c>
      <c r="BN502" s="76" t="s">
        <v>19736</v>
      </c>
      <c r="BO502" s="83" t="str">
        <f>HYPERLINK("https://twitter.com/penseexcel")</f>
        <v>https://twitter.com/penseexcel</v>
      </c>
      <c r="BP502" s="2"/>
    </row>
    <row r="503" spans="1:68" x14ac:dyDescent="0.25">
      <c r="A503" s="62" t="s">
        <v>655</v>
      </c>
      <c r="B503" s="63"/>
      <c r="C503" s="63"/>
      <c r="D503" s="64"/>
      <c r="E503" s="66"/>
      <c r="F503" s="103" t="str">
        <f>HYPERLINK("https://pbs.twimg.com/profile_images/1706843210608201728/6b38qu3d_normal.jpg")</f>
        <v>https://pbs.twimg.com/profile_images/1706843210608201728/6b38qu3d_normal.jpg</v>
      </c>
      <c r="G503" s="63"/>
      <c r="H503" s="67"/>
      <c r="I503" s="68"/>
      <c r="J503" s="68"/>
      <c r="K503" s="67" t="s">
        <v>20236</v>
      </c>
      <c r="L503" s="71"/>
      <c r="M503" s="72"/>
      <c r="N503" s="72"/>
      <c r="O503" s="73"/>
      <c r="P503" s="74"/>
      <c r="Q503" s="74"/>
      <c r="R503" s="87"/>
      <c r="S503" s="87"/>
      <c r="T503" s="87"/>
      <c r="U503" s="87"/>
      <c r="V503" s="48"/>
      <c r="W503" s="48"/>
      <c r="X503" s="48"/>
      <c r="Y503" s="48"/>
      <c r="Z503" s="47"/>
      <c r="AA503" s="69">
        <v>503</v>
      </c>
      <c r="AB503" s="69"/>
      <c r="AC503" s="70"/>
      <c r="AD503" s="76" t="s">
        <v>18241</v>
      </c>
      <c r="AE503" s="81" t="s">
        <v>17375</v>
      </c>
      <c r="AF503" s="76">
        <v>43</v>
      </c>
      <c r="AG503" s="76">
        <v>109</v>
      </c>
      <c r="AH503" s="76">
        <v>1054</v>
      </c>
      <c r="AI503" s="76">
        <v>3</v>
      </c>
      <c r="AJ503" s="76">
        <v>2852</v>
      </c>
      <c r="AK503" s="76">
        <v>106</v>
      </c>
      <c r="AL503" s="76" t="b">
        <v>0</v>
      </c>
      <c r="AM503" s="78">
        <v>44911.918842592589</v>
      </c>
      <c r="AN503" s="76" t="s">
        <v>12014</v>
      </c>
      <c r="AO503" s="76"/>
      <c r="AP503" s="83" t="str">
        <f>HYPERLINK("https://t.co/Q7ip4W8BRy")</f>
        <v>https://t.co/Q7ip4W8BRy</v>
      </c>
      <c r="AQ503" s="83" t="str">
        <f>HYPERLINK("http://bento.me/cesarkato")</f>
        <v>http://bento.me/cesarkato</v>
      </c>
      <c r="AR503" s="76" t="s">
        <v>19599</v>
      </c>
      <c r="AS503" s="76"/>
      <c r="AT503" s="76"/>
      <c r="AU503" s="76"/>
      <c r="AV503" s="76"/>
      <c r="AW503" s="83" t="str">
        <f>HYPERLINK("https://t.co/Q7ip4W8BRy")</f>
        <v>https://t.co/Q7ip4W8BRy</v>
      </c>
      <c r="AX503" s="76" t="b">
        <v>0</v>
      </c>
      <c r="AY503" s="76"/>
      <c r="AZ503" s="76"/>
      <c r="BA503" s="76" t="b">
        <v>0</v>
      </c>
      <c r="BB503" s="76" t="b">
        <v>1</v>
      </c>
      <c r="BC503" s="76" t="b">
        <v>1</v>
      </c>
      <c r="BD503" s="76" t="b">
        <v>0</v>
      </c>
      <c r="BE503" s="76" t="b">
        <v>1</v>
      </c>
      <c r="BF503" s="76" t="b">
        <v>0</v>
      </c>
      <c r="BG503" s="76" t="b">
        <v>0</v>
      </c>
      <c r="BH503" s="83" t="str">
        <f>HYPERLINK("https://pbs.twimg.com/profile_banners/1603873155159842827/1671230372")</f>
        <v>https://pbs.twimg.com/profile_banners/1603873155159842827/1671230372</v>
      </c>
      <c r="BI503" s="76"/>
      <c r="BJ503" s="76" t="s">
        <v>19734</v>
      </c>
      <c r="BK503" s="76" t="b">
        <v>0</v>
      </c>
      <c r="BL503" s="76"/>
      <c r="BM503" s="76" t="s">
        <v>66</v>
      </c>
      <c r="BN503" s="76" t="s">
        <v>19736</v>
      </c>
      <c r="BO503" s="83" t="str">
        <f>HYPERLINK("https://twitter.com/ocesarkato")</f>
        <v>https://twitter.com/ocesarkato</v>
      </c>
      <c r="BP503" s="2"/>
    </row>
    <row r="504" spans="1:68" x14ac:dyDescent="0.25">
      <c r="A504" s="62" t="s">
        <v>656</v>
      </c>
      <c r="B504" s="63"/>
      <c r="C504" s="63"/>
      <c r="D504" s="64"/>
      <c r="E504" s="66"/>
      <c r="F504" s="103" t="str">
        <f>HYPERLINK("https://pbs.twimg.com/profile_images/1649855069355909121/SaNTSIuQ_normal.jpg")</f>
        <v>https://pbs.twimg.com/profile_images/1649855069355909121/SaNTSIuQ_normal.jpg</v>
      </c>
      <c r="G504" s="63"/>
      <c r="H504" s="67"/>
      <c r="I504" s="68"/>
      <c r="J504" s="68"/>
      <c r="K504" s="67" t="s">
        <v>20237</v>
      </c>
      <c r="L504" s="71"/>
      <c r="M504" s="72"/>
      <c r="N504" s="72"/>
      <c r="O504" s="73"/>
      <c r="P504" s="74"/>
      <c r="Q504" s="74"/>
      <c r="R504" s="87"/>
      <c r="S504" s="87"/>
      <c r="T504" s="87"/>
      <c r="U504" s="87"/>
      <c r="V504" s="48"/>
      <c r="W504" s="48"/>
      <c r="X504" s="48"/>
      <c r="Y504" s="48"/>
      <c r="Z504" s="47"/>
      <c r="AA504" s="69">
        <v>504</v>
      </c>
      <c r="AB504" s="69"/>
      <c r="AC504" s="70"/>
      <c r="AD504" s="76" t="s">
        <v>18242</v>
      </c>
      <c r="AE504" s="81" t="s">
        <v>17675</v>
      </c>
      <c r="AF504" s="76">
        <v>7</v>
      </c>
      <c r="AG504" s="76">
        <v>6</v>
      </c>
      <c r="AH504" s="76">
        <v>628</v>
      </c>
      <c r="AI504" s="76">
        <v>0</v>
      </c>
      <c r="AJ504" s="76">
        <v>62</v>
      </c>
      <c r="AK504" s="76">
        <v>82</v>
      </c>
      <c r="AL504" s="76" t="b">
        <v>0</v>
      </c>
      <c r="AM504" s="78">
        <v>44389.352268518516</v>
      </c>
      <c r="AN504" s="76" t="s">
        <v>12009</v>
      </c>
      <c r="AO504" s="76" t="s">
        <v>19221</v>
      </c>
      <c r="AP504" s="83" t="str">
        <f>HYPERLINK("https://t.co/if8J4Pvl4s")</f>
        <v>https://t.co/if8J4Pvl4s</v>
      </c>
      <c r="AQ504" s="83" t="str">
        <f>HYPERLINK("https://linktr.ee/maniampodcast")</f>
        <v>https://linktr.ee/maniampodcast</v>
      </c>
      <c r="AR504" s="76" t="s">
        <v>19600</v>
      </c>
      <c r="AS504" s="76"/>
      <c r="AT504" s="76"/>
      <c r="AU504" s="76"/>
      <c r="AV504" s="76">
        <v>1.6785694536409001E+18</v>
      </c>
      <c r="AW504" s="83" t="str">
        <f>HYPERLINK("https://t.co/if8J4Pvl4s")</f>
        <v>https://t.co/if8J4Pvl4s</v>
      </c>
      <c r="AX504" s="76" t="b">
        <v>0</v>
      </c>
      <c r="AY504" s="76"/>
      <c r="AZ504" s="76"/>
      <c r="BA504" s="76" t="b">
        <v>0</v>
      </c>
      <c r="BB504" s="76" t="b">
        <v>1</v>
      </c>
      <c r="BC504" s="76" t="b">
        <v>1</v>
      </c>
      <c r="BD504" s="76" t="b">
        <v>0</v>
      </c>
      <c r="BE504" s="76" t="b">
        <v>0</v>
      </c>
      <c r="BF504" s="76" t="b">
        <v>0</v>
      </c>
      <c r="BG504" s="76" t="b">
        <v>0</v>
      </c>
      <c r="BH504" s="83" t="str">
        <f>HYPERLINK("https://pbs.twimg.com/profile_banners/1414501510285758466/1682191075")</f>
        <v>https://pbs.twimg.com/profile_banners/1414501510285758466/1682191075</v>
      </c>
      <c r="BI504" s="76"/>
      <c r="BJ504" s="76" t="s">
        <v>19734</v>
      </c>
      <c r="BK504" s="76" t="b">
        <v>0</v>
      </c>
      <c r="BL504" s="76"/>
      <c r="BM504" s="76" t="s">
        <v>66</v>
      </c>
      <c r="BN504" s="76" t="s">
        <v>19736</v>
      </c>
      <c r="BO504" s="83" t="str">
        <f>HYPERLINK("https://twitter.com/maniam_podcast")</f>
        <v>https://twitter.com/maniam_podcast</v>
      </c>
      <c r="BP504" s="2"/>
    </row>
    <row r="505" spans="1:68" x14ac:dyDescent="0.25">
      <c r="A505" s="62" t="s">
        <v>657</v>
      </c>
      <c r="B505" s="63"/>
      <c r="C505" s="63"/>
      <c r="D505" s="64"/>
      <c r="E505" s="66"/>
      <c r="F505" s="103" t="str">
        <f>HYPERLINK("https://pbs.twimg.com/profile_images/1633605469196435457/s_nsHCNm_normal.jpg")</f>
        <v>https://pbs.twimg.com/profile_images/1633605469196435457/s_nsHCNm_normal.jpg</v>
      </c>
      <c r="G505" s="63"/>
      <c r="H505" s="67"/>
      <c r="I505" s="68"/>
      <c r="J505" s="68"/>
      <c r="K505" s="67" t="s">
        <v>20238</v>
      </c>
      <c r="L505" s="71"/>
      <c r="M505" s="72"/>
      <c r="N505" s="72"/>
      <c r="O505" s="73"/>
      <c r="P505" s="74"/>
      <c r="Q505" s="74"/>
      <c r="R505" s="87"/>
      <c r="S505" s="87"/>
      <c r="T505" s="87"/>
      <c r="U505" s="87"/>
      <c r="V505" s="48"/>
      <c r="W505" s="48"/>
      <c r="X505" s="48"/>
      <c r="Y505" s="48"/>
      <c r="Z505" s="47"/>
      <c r="AA505" s="69">
        <v>505</v>
      </c>
      <c r="AB505" s="69"/>
      <c r="AC505" s="70"/>
      <c r="AD505" s="76" t="s">
        <v>18243</v>
      </c>
      <c r="AE505" s="81" t="s">
        <v>17676</v>
      </c>
      <c r="AF505" s="76">
        <v>2</v>
      </c>
      <c r="AG505" s="76">
        <v>13</v>
      </c>
      <c r="AH505" s="76">
        <v>72</v>
      </c>
      <c r="AI505" s="76">
        <v>0</v>
      </c>
      <c r="AJ505" s="76">
        <v>0</v>
      </c>
      <c r="AK505" s="76">
        <v>32</v>
      </c>
      <c r="AL505" s="76" t="b">
        <v>0</v>
      </c>
      <c r="AM505" s="78">
        <v>44993.96329861111</v>
      </c>
      <c r="AN505" s="76" t="s">
        <v>18743</v>
      </c>
      <c r="AO505" s="76" t="s">
        <v>19222</v>
      </c>
      <c r="AP505" s="83" t="str">
        <f>HYPERLINK("https://t.co/nEjZ2UVnHu")</f>
        <v>https://t.co/nEjZ2UVnHu</v>
      </c>
      <c r="AQ505" s="83" t="str">
        <f>HYPERLINK("https://instagram.com/brunovalenteoficial?igshid=YmMyMTA2M2Y=")</f>
        <v>https://instagram.com/brunovalenteoficial?igshid=YmMyMTA2M2Y=</v>
      </c>
      <c r="AR505" s="76" t="s">
        <v>19601</v>
      </c>
      <c r="AS505" s="76"/>
      <c r="AT505" s="76"/>
      <c r="AU505" s="76"/>
      <c r="AV505" s="76"/>
      <c r="AW505" s="83" t="str">
        <f>HYPERLINK("https://t.co/nEjZ2UVnHu")</f>
        <v>https://t.co/nEjZ2UVnHu</v>
      </c>
      <c r="AX505" s="76" t="b">
        <v>0</v>
      </c>
      <c r="AY505" s="76"/>
      <c r="AZ505" s="76"/>
      <c r="BA505" s="76" t="b">
        <v>0</v>
      </c>
      <c r="BB505" s="76" t="b">
        <v>1</v>
      </c>
      <c r="BC505" s="76" t="b">
        <v>1</v>
      </c>
      <c r="BD505" s="76" t="b">
        <v>0</v>
      </c>
      <c r="BE505" s="76" t="b">
        <v>0</v>
      </c>
      <c r="BF505" s="76" t="b">
        <v>0</v>
      </c>
      <c r="BG505" s="76" t="b">
        <v>0</v>
      </c>
      <c r="BH505" s="83" t="str">
        <f>HYPERLINK("https://pbs.twimg.com/profile_banners/1633605186823258112/1678317599")</f>
        <v>https://pbs.twimg.com/profile_banners/1633605186823258112/1678317599</v>
      </c>
      <c r="BI505" s="76"/>
      <c r="BJ505" s="76" t="s">
        <v>19734</v>
      </c>
      <c r="BK505" s="76" t="b">
        <v>0</v>
      </c>
      <c r="BL505" s="76"/>
      <c r="BM505" s="76" t="s">
        <v>66</v>
      </c>
      <c r="BN505" s="76" t="s">
        <v>19736</v>
      </c>
      <c r="BO505" s="83" t="str">
        <f>HYPERLINK("https://twitter.com/brunova56701023")</f>
        <v>https://twitter.com/brunova56701023</v>
      </c>
      <c r="BP505" s="2"/>
    </row>
    <row r="506" spans="1:68" x14ac:dyDescent="0.25">
      <c r="A506" s="62" t="s">
        <v>658</v>
      </c>
      <c r="B506" s="63"/>
      <c r="C506" s="63"/>
      <c r="D506" s="64"/>
      <c r="E506" s="66"/>
      <c r="F506" s="103" t="str">
        <f>HYPERLINK("https://pbs.twimg.com/profile_images/1534183094667845634/RntiKf63_normal.jpg")</f>
        <v>https://pbs.twimg.com/profile_images/1534183094667845634/RntiKf63_normal.jpg</v>
      </c>
      <c r="G506" s="63"/>
      <c r="H506" s="67"/>
      <c r="I506" s="68"/>
      <c r="J506" s="68"/>
      <c r="K506" s="67" t="s">
        <v>20239</v>
      </c>
      <c r="L506" s="71"/>
      <c r="M506" s="72"/>
      <c r="N506" s="72"/>
      <c r="O506" s="73"/>
      <c r="P506" s="74"/>
      <c r="Q506" s="74"/>
      <c r="R506" s="87"/>
      <c r="S506" s="87"/>
      <c r="T506" s="87"/>
      <c r="U506" s="87"/>
      <c r="V506" s="48"/>
      <c r="W506" s="48"/>
      <c r="X506" s="48"/>
      <c r="Y506" s="48"/>
      <c r="Z506" s="47"/>
      <c r="AA506" s="69">
        <v>506</v>
      </c>
      <c r="AB506" s="69"/>
      <c r="AC506" s="70"/>
      <c r="AD506" s="76" t="s">
        <v>18244</v>
      </c>
      <c r="AE506" s="81" t="s">
        <v>17677</v>
      </c>
      <c r="AF506" s="76">
        <v>71</v>
      </c>
      <c r="AG506" s="76">
        <v>5</v>
      </c>
      <c r="AH506" s="76">
        <v>927</v>
      </c>
      <c r="AI506" s="76">
        <v>0</v>
      </c>
      <c r="AJ506" s="76">
        <v>4</v>
      </c>
      <c r="AK506" s="76">
        <v>0</v>
      </c>
      <c r="AL506" s="76" t="b">
        <v>0</v>
      </c>
      <c r="AM506" s="78">
        <v>43886.048148148147</v>
      </c>
      <c r="AN506" s="76"/>
      <c r="AO506" s="76" t="s">
        <v>19223</v>
      </c>
      <c r="AP506" s="83" t="str">
        <f>HYPERLINK("https://t.co/MuyvAEmZRb")</f>
        <v>https://t.co/MuyvAEmZRb</v>
      </c>
      <c r="AQ506" s="83" t="str">
        <f>HYPERLINK("https://moneyinvest.com.br")</f>
        <v>https://moneyinvest.com.br</v>
      </c>
      <c r="AR506" s="76" t="s">
        <v>19602</v>
      </c>
      <c r="AS506" s="76"/>
      <c r="AT506" s="76"/>
      <c r="AU506" s="76"/>
      <c r="AV506" s="76"/>
      <c r="AW506" s="83" t="str">
        <f>HYPERLINK("https://t.co/MuyvAEmZRb")</f>
        <v>https://t.co/MuyvAEmZRb</v>
      </c>
      <c r="AX506" s="76" t="b">
        <v>0</v>
      </c>
      <c r="AY506" s="76"/>
      <c r="AZ506" s="76"/>
      <c r="BA506" s="76" t="b">
        <v>0</v>
      </c>
      <c r="BB506" s="76" t="b">
        <v>1</v>
      </c>
      <c r="BC506" s="76" t="b">
        <v>1</v>
      </c>
      <c r="BD506" s="76" t="b">
        <v>0</v>
      </c>
      <c r="BE506" s="76" t="b">
        <v>0</v>
      </c>
      <c r="BF506" s="76" t="b">
        <v>0</v>
      </c>
      <c r="BG506" s="76" t="b">
        <v>0</v>
      </c>
      <c r="BH506" s="83" t="str">
        <f>HYPERLINK("https://pbs.twimg.com/profile_banners/1232110252071493632/1582597985")</f>
        <v>https://pbs.twimg.com/profile_banners/1232110252071493632/1582597985</v>
      </c>
      <c r="BI506" s="76"/>
      <c r="BJ506" s="76" t="s">
        <v>19734</v>
      </c>
      <c r="BK506" s="76" t="b">
        <v>0</v>
      </c>
      <c r="BL506" s="76"/>
      <c r="BM506" s="76" t="s">
        <v>66</v>
      </c>
      <c r="BN506" s="76" t="s">
        <v>19736</v>
      </c>
      <c r="BO506" s="83" t="str">
        <f>HYPERLINK("https://twitter.com/moneyiinvest")</f>
        <v>https://twitter.com/moneyiinvest</v>
      </c>
      <c r="BP506" s="2"/>
    </row>
    <row r="507" spans="1:68" x14ac:dyDescent="0.25">
      <c r="A507" s="62" t="s">
        <v>659</v>
      </c>
      <c r="B507" s="63"/>
      <c r="C507" s="63"/>
      <c r="D507" s="64"/>
      <c r="E507" s="66"/>
      <c r="F507" s="103" t="str">
        <f>HYPERLINK("https://pbs.twimg.com/profile_images/1525921186357575680/Q_HAr2Uy_normal.png")</f>
        <v>https://pbs.twimg.com/profile_images/1525921186357575680/Q_HAr2Uy_normal.png</v>
      </c>
      <c r="G507" s="63"/>
      <c r="H507" s="67"/>
      <c r="I507" s="68"/>
      <c r="J507" s="68"/>
      <c r="K507" s="67" t="s">
        <v>20240</v>
      </c>
      <c r="L507" s="71"/>
      <c r="M507" s="72"/>
      <c r="N507" s="72"/>
      <c r="O507" s="73"/>
      <c r="P507" s="74"/>
      <c r="Q507" s="74"/>
      <c r="R507" s="87"/>
      <c r="S507" s="87"/>
      <c r="T507" s="87"/>
      <c r="U507" s="87"/>
      <c r="V507" s="48"/>
      <c r="W507" s="48"/>
      <c r="X507" s="48"/>
      <c r="Y507" s="48"/>
      <c r="Z507" s="47"/>
      <c r="AA507" s="69">
        <v>507</v>
      </c>
      <c r="AB507" s="69"/>
      <c r="AC507" s="70"/>
      <c r="AD507" s="76" t="s">
        <v>18245</v>
      </c>
      <c r="AE507" s="81" t="s">
        <v>18518</v>
      </c>
      <c r="AF507" s="76">
        <v>31</v>
      </c>
      <c r="AG507" s="76">
        <v>99</v>
      </c>
      <c r="AH507" s="76">
        <v>1136</v>
      </c>
      <c r="AI507" s="76">
        <v>0</v>
      </c>
      <c r="AJ507" s="76">
        <v>0</v>
      </c>
      <c r="AK507" s="76">
        <v>1112</v>
      </c>
      <c r="AL507" s="76" t="b">
        <v>0</v>
      </c>
      <c r="AM507" s="78">
        <v>42172.733703703707</v>
      </c>
      <c r="AN507" s="76" t="s">
        <v>18744</v>
      </c>
      <c r="AO507" s="76" t="s">
        <v>19224</v>
      </c>
      <c r="AP507" s="83" t="str">
        <f>HYPERLINK("https://t.co/dq5BP91MVJ")</f>
        <v>https://t.co/dq5BP91MVJ</v>
      </c>
      <c r="AQ507" s="83" t="str">
        <f>HYPERLINK("https://agorapiaui.com.br")</f>
        <v>https://agorapiaui.com.br</v>
      </c>
      <c r="AR507" s="76" t="s">
        <v>19603</v>
      </c>
      <c r="AS507" s="76"/>
      <c r="AT507" s="76"/>
      <c r="AU507" s="76"/>
      <c r="AV507" s="76"/>
      <c r="AW507" s="83" t="str">
        <f>HYPERLINK("https://t.co/dq5BP91MVJ")</f>
        <v>https://t.co/dq5BP91MVJ</v>
      </c>
      <c r="AX507" s="76" t="b">
        <v>0</v>
      </c>
      <c r="AY507" s="76"/>
      <c r="AZ507" s="76"/>
      <c r="BA507" s="76" t="b">
        <v>0</v>
      </c>
      <c r="BB507" s="76" t="b">
        <v>1</v>
      </c>
      <c r="BC507" s="76" t="b">
        <v>1</v>
      </c>
      <c r="BD507" s="76" t="b">
        <v>0</v>
      </c>
      <c r="BE507" s="76" t="b">
        <v>0</v>
      </c>
      <c r="BF507" s="76" t="b">
        <v>0</v>
      </c>
      <c r="BG507" s="76" t="b">
        <v>0</v>
      </c>
      <c r="BH507" s="83" t="str">
        <f>HYPERLINK("https://pbs.twimg.com/profile_banners/3331598860/1591041820")</f>
        <v>https://pbs.twimg.com/profile_banners/3331598860/1591041820</v>
      </c>
      <c r="BI507" s="76"/>
      <c r="BJ507" s="76" t="s">
        <v>19734</v>
      </c>
      <c r="BK507" s="76" t="b">
        <v>0</v>
      </c>
      <c r="BL507" s="76"/>
      <c r="BM507" s="76" t="s">
        <v>66</v>
      </c>
      <c r="BN507" s="76" t="s">
        <v>19736</v>
      </c>
      <c r="BO507" s="83" t="str">
        <f>HYPERLINK("https://twitter.com/agorapiauisite")</f>
        <v>https://twitter.com/agorapiauisite</v>
      </c>
      <c r="BP507" s="2"/>
    </row>
    <row r="508" spans="1:68" x14ac:dyDescent="0.25">
      <c r="A508" s="62" t="s">
        <v>661</v>
      </c>
      <c r="B508" s="63"/>
      <c r="C508" s="63"/>
      <c r="D508" s="64"/>
      <c r="E508" s="66"/>
      <c r="F508" s="103" t="str">
        <f>HYPERLINK("https://pbs.twimg.com/profile_images/1479504305015205892/z9LtNU8X_normal.jpg")</f>
        <v>https://pbs.twimg.com/profile_images/1479504305015205892/z9LtNU8X_normal.jpg</v>
      </c>
      <c r="G508" s="63"/>
      <c r="H508" s="67"/>
      <c r="I508" s="68"/>
      <c r="J508" s="68"/>
      <c r="K508" s="67" t="s">
        <v>20241</v>
      </c>
      <c r="L508" s="71"/>
      <c r="M508" s="72"/>
      <c r="N508" s="72"/>
      <c r="O508" s="73"/>
      <c r="P508" s="74"/>
      <c r="Q508" s="74"/>
      <c r="R508" s="87"/>
      <c r="S508" s="87"/>
      <c r="T508" s="87"/>
      <c r="U508" s="87"/>
      <c r="V508" s="48"/>
      <c r="W508" s="48"/>
      <c r="X508" s="48"/>
      <c r="Y508" s="48"/>
      <c r="Z508" s="47"/>
      <c r="AA508" s="69">
        <v>508</v>
      </c>
      <c r="AB508" s="69"/>
      <c r="AC508" s="70"/>
      <c r="AD508" s="76" t="s">
        <v>18246</v>
      </c>
      <c r="AE508" s="81" t="s">
        <v>17679</v>
      </c>
      <c r="AF508" s="76">
        <v>52</v>
      </c>
      <c r="AG508" s="76">
        <v>1</v>
      </c>
      <c r="AH508" s="76">
        <v>7391</v>
      </c>
      <c r="AI508" s="76">
        <v>0</v>
      </c>
      <c r="AJ508" s="76">
        <v>12</v>
      </c>
      <c r="AK508" s="76">
        <v>6</v>
      </c>
      <c r="AL508" s="76" t="b">
        <v>0</v>
      </c>
      <c r="AM508" s="78">
        <v>44397.742939814816</v>
      </c>
      <c r="AN508" s="76"/>
      <c r="AO508" s="76" t="s">
        <v>19225</v>
      </c>
      <c r="AP508" s="83" t="str">
        <f>HYPERLINK("https://t.co/Dy9Dgauu4I")</f>
        <v>https://t.co/Dy9Dgauu4I</v>
      </c>
      <c r="AQ508" s="83" t="str">
        <f>HYPERLINK("https://reviewprodutos.com")</f>
        <v>https://reviewprodutos.com</v>
      </c>
      <c r="AR508" s="76" t="s">
        <v>19604</v>
      </c>
      <c r="AS508" s="83" t="str">
        <f>HYPERLINK("https://t.co/tmENzg9uQA")</f>
        <v>https://t.co/tmENzg9uQA</v>
      </c>
      <c r="AT508" s="83" t="str">
        <f>HYPERLINK("http://reviewprodutos.com")</f>
        <v>http://reviewprodutos.com</v>
      </c>
      <c r="AU508" s="76" t="s">
        <v>19604</v>
      </c>
      <c r="AV508" s="76"/>
      <c r="AW508" s="83" t="str">
        <f>HYPERLINK("https://t.co/Dy9Dgauu4I")</f>
        <v>https://t.co/Dy9Dgauu4I</v>
      </c>
      <c r="AX508" s="76" t="b">
        <v>0</v>
      </c>
      <c r="AY508" s="76"/>
      <c r="AZ508" s="76"/>
      <c r="BA508" s="76" t="b">
        <v>0</v>
      </c>
      <c r="BB508" s="76" t="b">
        <v>1</v>
      </c>
      <c r="BC508" s="76" t="b">
        <v>1</v>
      </c>
      <c r="BD508" s="76" t="b">
        <v>0</v>
      </c>
      <c r="BE508" s="76" t="b">
        <v>0</v>
      </c>
      <c r="BF508" s="76" t="b">
        <v>0</v>
      </c>
      <c r="BG508" s="76" t="b">
        <v>0</v>
      </c>
      <c r="BH508" s="83" t="str">
        <f>HYPERLINK("https://pbs.twimg.com/profile_banners/1417542239841103875/1641576291")</f>
        <v>https://pbs.twimg.com/profile_banners/1417542239841103875/1641576291</v>
      </c>
      <c r="BI508" s="76"/>
      <c r="BJ508" s="76" t="s">
        <v>19734</v>
      </c>
      <c r="BK508" s="76" t="b">
        <v>0</v>
      </c>
      <c r="BL508" s="76"/>
      <c r="BM508" s="76" t="s">
        <v>66</v>
      </c>
      <c r="BN508" s="76" t="s">
        <v>19736</v>
      </c>
      <c r="BO508" s="83" t="str">
        <f>HYPERLINK("https://twitter.com/bytresloucado")</f>
        <v>https://twitter.com/bytresloucado</v>
      </c>
      <c r="BP508" s="2"/>
    </row>
    <row r="509" spans="1:68" x14ac:dyDescent="0.25">
      <c r="A509" s="62" t="s">
        <v>662</v>
      </c>
      <c r="B509" s="63"/>
      <c r="C509" s="63"/>
      <c r="D509" s="64"/>
      <c r="E509" s="66"/>
      <c r="F509" s="103" t="str">
        <f>HYPERLINK("https://pbs.twimg.com/profile_images/1696562721230147584/BNKa8_PE_normal.jpg")</f>
        <v>https://pbs.twimg.com/profile_images/1696562721230147584/BNKa8_PE_normal.jpg</v>
      </c>
      <c r="G509" s="63"/>
      <c r="H509" s="67"/>
      <c r="I509" s="68"/>
      <c r="J509" s="68"/>
      <c r="K509" s="67" t="s">
        <v>20242</v>
      </c>
      <c r="L509" s="71"/>
      <c r="M509" s="72"/>
      <c r="N509" s="72"/>
      <c r="O509" s="73"/>
      <c r="P509" s="74"/>
      <c r="Q509" s="74"/>
      <c r="R509" s="87"/>
      <c r="S509" s="87"/>
      <c r="T509" s="87"/>
      <c r="U509" s="87"/>
      <c r="V509" s="48"/>
      <c r="W509" s="48"/>
      <c r="X509" s="48"/>
      <c r="Y509" s="48"/>
      <c r="Z509" s="47"/>
      <c r="AA509" s="69">
        <v>509</v>
      </c>
      <c r="AB509" s="69"/>
      <c r="AC509" s="70"/>
      <c r="AD509" s="76" t="s">
        <v>18247</v>
      </c>
      <c r="AE509" s="81" t="s">
        <v>17680</v>
      </c>
      <c r="AF509" s="76">
        <v>170</v>
      </c>
      <c r="AG509" s="76">
        <v>559</v>
      </c>
      <c r="AH509" s="76">
        <v>783</v>
      </c>
      <c r="AI509" s="76">
        <v>0</v>
      </c>
      <c r="AJ509" s="76">
        <v>491</v>
      </c>
      <c r="AK509" s="76">
        <v>400</v>
      </c>
      <c r="AL509" s="76" t="b">
        <v>0</v>
      </c>
      <c r="AM509" s="78">
        <v>44840.766562500001</v>
      </c>
      <c r="AN509" s="76" t="s">
        <v>18603</v>
      </c>
      <c r="AO509" s="76" t="s">
        <v>19226</v>
      </c>
      <c r="AP509" s="76"/>
      <c r="AQ509" s="76"/>
      <c r="AR509" s="76"/>
      <c r="AS509" s="76"/>
      <c r="AT509" s="76"/>
      <c r="AU509" s="76"/>
      <c r="AV509" s="76"/>
      <c r="AW509" s="76"/>
      <c r="AX509" s="76" t="b">
        <v>0</v>
      </c>
      <c r="AY509" s="76"/>
      <c r="AZ509" s="76"/>
      <c r="BA509" s="76" t="b">
        <v>0</v>
      </c>
      <c r="BB509" s="76" t="b">
        <v>1</v>
      </c>
      <c r="BC509" s="76" t="b">
        <v>1</v>
      </c>
      <c r="BD509" s="76" t="b">
        <v>0</v>
      </c>
      <c r="BE509" s="76" t="b">
        <v>1</v>
      </c>
      <c r="BF509" s="76" t="b">
        <v>0</v>
      </c>
      <c r="BG509" s="76" t="b">
        <v>0</v>
      </c>
      <c r="BH509" s="83" t="str">
        <f>HYPERLINK("https://pbs.twimg.com/profile_banners/1578088612305960991/1665095415")</f>
        <v>https://pbs.twimg.com/profile_banners/1578088612305960991/1665095415</v>
      </c>
      <c r="BI509" s="76"/>
      <c r="BJ509" s="76" t="s">
        <v>19734</v>
      </c>
      <c r="BK509" s="76" t="b">
        <v>0</v>
      </c>
      <c r="BL509" s="76"/>
      <c r="BM509" s="76" t="s">
        <v>66</v>
      </c>
      <c r="BN509" s="76" t="s">
        <v>19736</v>
      </c>
      <c r="BO509" s="83" t="str">
        <f>HYPERLINK("https://twitter.com/ocleydsontrader")</f>
        <v>https://twitter.com/ocleydsontrader</v>
      </c>
      <c r="BP509" s="2"/>
    </row>
    <row r="510" spans="1:68" x14ac:dyDescent="0.25">
      <c r="A510" s="62" t="s">
        <v>663</v>
      </c>
      <c r="B510" s="63"/>
      <c r="C510" s="63"/>
      <c r="D510" s="64"/>
      <c r="E510" s="66"/>
      <c r="F510" s="103" t="str">
        <f>HYPERLINK("https://pbs.twimg.com/profile_images/1523091300194689026/OZOZPgby_normal.jpg")</f>
        <v>https://pbs.twimg.com/profile_images/1523091300194689026/OZOZPgby_normal.jpg</v>
      </c>
      <c r="G510" s="63"/>
      <c r="H510" s="67"/>
      <c r="I510" s="68"/>
      <c r="J510" s="68"/>
      <c r="K510" s="67" t="s">
        <v>20243</v>
      </c>
      <c r="L510" s="71"/>
      <c r="M510" s="72"/>
      <c r="N510" s="72"/>
      <c r="O510" s="73"/>
      <c r="P510" s="74"/>
      <c r="Q510" s="74"/>
      <c r="R510" s="87"/>
      <c r="S510" s="87"/>
      <c r="T510" s="87"/>
      <c r="U510" s="87"/>
      <c r="V510" s="48"/>
      <c r="W510" s="48"/>
      <c r="X510" s="48"/>
      <c r="Y510" s="48"/>
      <c r="Z510" s="47"/>
      <c r="AA510" s="69">
        <v>510</v>
      </c>
      <c r="AB510" s="69"/>
      <c r="AC510" s="70"/>
      <c r="AD510" s="76" t="s">
        <v>18248</v>
      </c>
      <c r="AE510" s="81" t="s">
        <v>17681</v>
      </c>
      <c r="AF510" s="76">
        <v>1311</v>
      </c>
      <c r="AG510" s="76">
        <v>1299</v>
      </c>
      <c r="AH510" s="76">
        <v>385</v>
      </c>
      <c r="AI510" s="76">
        <v>1</v>
      </c>
      <c r="AJ510" s="76">
        <v>9</v>
      </c>
      <c r="AK510" s="76">
        <v>38</v>
      </c>
      <c r="AL510" s="76" t="b">
        <v>0</v>
      </c>
      <c r="AM510" s="78">
        <v>44687.903402777774</v>
      </c>
      <c r="AN510" s="76"/>
      <c r="AO510" s="76" t="s">
        <v>19227</v>
      </c>
      <c r="AP510" s="83" t="str">
        <f>HYPERLINK("https://t.co/lWCtTUwcpL")</f>
        <v>https://t.co/lWCtTUwcpL</v>
      </c>
      <c r="AQ510" s="83" t="str">
        <f>HYPERLINK("https://www.ocanaldalili.com.br/")</f>
        <v>https://www.ocanaldalili.com.br/</v>
      </c>
      <c r="AR510" s="76" t="s">
        <v>19605</v>
      </c>
      <c r="AS510" s="76"/>
      <c r="AT510" s="76"/>
      <c r="AU510" s="76"/>
      <c r="AV510" s="76">
        <v>1.67455544636176E+18</v>
      </c>
      <c r="AW510" s="83" t="str">
        <f>HYPERLINK("https://t.co/lWCtTUwcpL")</f>
        <v>https://t.co/lWCtTUwcpL</v>
      </c>
      <c r="AX510" s="76" t="b">
        <v>0</v>
      </c>
      <c r="AY510" s="76"/>
      <c r="AZ510" s="76"/>
      <c r="BA510" s="76" t="b">
        <v>0</v>
      </c>
      <c r="BB510" s="76" t="b">
        <v>1</v>
      </c>
      <c r="BC510" s="76" t="b">
        <v>1</v>
      </c>
      <c r="BD510" s="76" t="b">
        <v>0</v>
      </c>
      <c r="BE510" s="76" t="b">
        <v>1</v>
      </c>
      <c r="BF510" s="76" t="b">
        <v>0</v>
      </c>
      <c r="BG510" s="76" t="b">
        <v>0</v>
      </c>
      <c r="BH510" s="83" t="str">
        <f>HYPERLINK("https://pbs.twimg.com/profile_banners/1522692798696280064/1651968242")</f>
        <v>https://pbs.twimg.com/profile_banners/1522692798696280064/1651968242</v>
      </c>
      <c r="BI510" s="76"/>
      <c r="BJ510" s="76" t="s">
        <v>19734</v>
      </c>
      <c r="BK510" s="76" t="b">
        <v>0</v>
      </c>
      <c r="BL510" s="76"/>
      <c r="BM510" s="76" t="s">
        <v>66</v>
      </c>
      <c r="BN510" s="76" t="s">
        <v>19736</v>
      </c>
      <c r="BO510" s="83" t="str">
        <f>HYPERLINK("https://twitter.com/ocanaldalili")</f>
        <v>https://twitter.com/ocanaldalili</v>
      </c>
      <c r="BP510" s="2"/>
    </row>
    <row r="511" spans="1:68" x14ac:dyDescent="0.25">
      <c r="A511" s="62" t="s">
        <v>664</v>
      </c>
      <c r="B511" s="63"/>
      <c r="C511" s="63"/>
      <c r="D511" s="64"/>
      <c r="E511" s="66"/>
      <c r="F511" s="103" t="str">
        <f>HYPERLINK("https://pbs.twimg.com/profile_images/1705371007043665920/WVCn94nK_normal.jpg")</f>
        <v>https://pbs.twimg.com/profile_images/1705371007043665920/WVCn94nK_normal.jpg</v>
      </c>
      <c r="G511" s="63"/>
      <c r="H511" s="67"/>
      <c r="I511" s="68"/>
      <c r="J511" s="68"/>
      <c r="K511" s="67" t="s">
        <v>20244</v>
      </c>
      <c r="L511" s="71"/>
      <c r="M511" s="72"/>
      <c r="N511" s="72"/>
      <c r="O511" s="73"/>
      <c r="P511" s="74"/>
      <c r="Q511" s="74"/>
      <c r="R511" s="87"/>
      <c r="S511" s="87"/>
      <c r="T511" s="87"/>
      <c r="U511" s="87"/>
      <c r="V511" s="48"/>
      <c r="W511" s="48"/>
      <c r="X511" s="48"/>
      <c r="Y511" s="48"/>
      <c r="Z511" s="47"/>
      <c r="AA511" s="69">
        <v>511</v>
      </c>
      <c r="AB511" s="69"/>
      <c r="AC511" s="70"/>
      <c r="AD511" s="76" t="s">
        <v>18249</v>
      </c>
      <c r="AE511" s="81" t="s">
        <v>17682</v>
      </c>
      <c r="AF511" s="76">
        <v>0</v>
      </c>
      <c r="AG511" s="76">
        <v>31</v>
      </c>
      <c r="AH511" s="76">
        <v>6</v>
      </c>
      <c r="AI511" s="76">
        <v>0</v>
      </c>
      <c r="AJ511" s="76">
        <v>1</v>
      </c>
      <c r="AK511" s="76">
        <v>3</v>
      </c>
      <c r="AL511" s="76" t="b">
        <v>0</v>
      </c>
      <c r="AM511" s="78">
        <v>45191.976805555554</v>
      </c>
      <c r="AN511" s="76"/>
      <c r="AO511" s="76" t="s">
        <v>19228</v>
      </c>
      <c r="AP511" s="76"/>
      <c r="AQ511" s="76"/>
      <c r="AR511" s="76"/>
      <c r="AS511" s="76"/>
      <c r="AT511" s="76"/>
      <c r="AU511" s="76"/>
      <c r="AV511" s="76"/>
      <c r="AW511" s="76"/>
      <c r="AX511" s="76" t="b">
        <v>0</v>
      </c>
      <c r="AY511" s="76"/>
      <c r="AZ511" s="76"/>
      <c r="BA511" s="76" t="b">
        <v>0</v>
      </c>
      <c r="BB511" s="76" t="b">
        <v>1</v>
      </c>
      <c r="BC511" s="76" t="b">
        <v>1</v>
      </c>
      <c r="BD511" s="76" t="b">
        <v>0</v>
      </c>
      <c r="BE511" s="76" t="b">
        <v>0</v>
      </c>
      <c r="BF511" s="76" t="b">
        <v>0</v>
      </c>
      <c r="BG511" s="76" t="b">
        <v>0</v>
      </c>
      <c r="BH511" s="83" t="str">
        <f>HYPERLINK("https://pbs.twimg.com/profile_banners/1705362894152486912/1695427132")</f>
        <v>https://pbs.twimg.com/profile_banners/1705362894152486912/1695427132</v>
      </c>
      <c r="BI511" s="76"/>
      <c r="BJ511" s="76" t="s">
        <v>19734</v>
      </c>
      <c r="BK511" s="76" t="b">
        <v>0</v>
      </c>
      <c r="BL511" s="76"/>
      <c r="BM511" s="76" t="s">
        <v>66</v>
      </c>
      <c r="BN511" s="76" t="s">
        <v>19736</v>
      </c>
      <c r="BO511" s="83" t="str">
        <f>HYPERLINK("https://twitter.com/noticias_b3")</f>
        <v>https://twitter.com/noticias_b3</v>
      </c>
      <c r="BP511" s="2"/>
    </row>
    <row r="512" spans="1:68" x14ac:dyDescent="0.25">
      <c r="A512" s="62" t="s">
        <v>665</v>
      </c>
      <c r="B512" s="63"/>
      <c r="C512" s="63"/>
      <c r="D512" s="64"/>
      <c r="E512" s="66"/>
      <c r="F512" s="103" t="str">
        <f>HYPERLINK("https://pbs.twimg.com/profile_images/1697757641617838080/KsrC7AP1_normal.jpg")</f>
        <v>https://pbs.twimg.com/profile_images/1697757641617838080/KsrC7AP1_normal.jpg</v>
      </c>
      <c r="G512" s="63"/>
      <c r="H512" s="67"/>
      <c r="I512" s="68"/>
      <c r="J512" s="68"/>
      <c r="K512" s="67" t="s">
        <v>20245</v>
      </c>
      <c r="L512" s="71"/>
      <c r="M512" s="72"/>
      <c r="N512" s="72"/>
      <c r="O512" s="73"/>
      <c r="P512" s="74"/>
      <c r="Q512" s="74"/>
      <c r="R512" s="87"/>
      <c r="S512" s="87"/>
      <c r="T512" s="87"/>
      <c r="U512" s="87"/>
      <c r="V512" s="48"/>
      <c r="W512" s="48"/>
      <c r="X512" s="48"/>
      <c r="Y512" s="48"/>
      <c r="Z512" s="47"/>
      <c r="AA512" s="69">
        <v>512</v>
      </c>
      <c r="AB512" s="69"/>
      <c r="AC512" s="70"/>
      <c r="AD512" s="76" t="s">
        <v>18250</v>
      </c>
      <c r="AE512" s="81" t="s">
        <v>17683</v>
      </c>
      <c r="AF512" s="76">
        <v>12</v>
      </c>
      <c r="AG512" s="76">
        <v>113</v>
      </c>
      <c r="AH512" s="76">
        <v>300</v>
      </c>
      <c r="AI512" s="76">
        <v>0</v>
      </c>
      <c r="AJ512" s="76">
        <v>383</v>
      </c>
      <c r="AK512" s="76">
        <v>93</v>
      </c>
      <c r="AL512" s="76" t="b">
        <v>0</v>
      </c>
      <c r="AM512" s="78">
        <v>45170.986759259256</v>
      </c>
      <c r="AN512" s="76"/>
      <c r="AO512" s="76" t="s">
        <v>19229</v>
      </c>
      <c r="AP512" s="83" t="str">
        <f>HYPERLINK("https://t.co/Eymhwqji07")</f>
        <v>https://t.co/Eymhwqji07</v>
      </c>
      <c r="AQ512" s="83" t="str">
        <f>HYPERLINK("http://www.sustenseg.com.br")</f>
        <v>http://www.sustenseg.com.br</v>
      </c>
      <c r="AR512" s="76" t="s">
        <v>19606</v>
      </c>
      <c r="AS512" s="76"/>
      <c r="AT512" s="76"/>
      <c r="AU512" s="76"/>
      <c r="AV512" s="76">
        <v>1.7037133683877901E+18</v>
      </c>
      <c r="AW512" s="83" t="str">
        <f>HYPERLINK("https://t.co/Eymhwqji07")</f>
        <v>https://t.co/Eymhwqji07</v>
      </c>
      <c r="AX512" s="76" t="b">
        <v>1</v>
      </c>
      <c r="AY512" s="76"/>
      <c r="AZ512" s="76"/>
      <c r="BA512" s="76" t="b">
        <v>0</v>
      </c>
      <c r="BB512" s="76" t="b">
        <v>1</v>
      </c>
      <c r="BC512" s="76" t="b">
        <v>1</v>
      </c>
      <c r="BD512" s="76" t="b">
        <v>0</v>
      </c>
      <c r="BE512" s="76" t="b">
        <v>0</v>
      </c>
      <c r="BF512" s="76" t="b">
        <v>0</v>
      </c>
      <c r="BG512" s="76" t="b">
        <v>0</v>
      </c>
      <c r="BH512" s="83" t="str">
        <f>HYPERLINK("https://pbs.twimg.com/profile_banners/1697756048365367296/1693677793")</f>
        <v>https://pbs.twimg.com/profile_banners/1697756048365367296/1693677793</v>
      </c>
      <c r="BI512" s="76"/>
      <c r="BJ512" s="76" t="s">
        <v>19734</v>
      </c>
      <c r="BK512" s="76" t="b">
        <v>0</v>
      </c>
      <c r="BL512" s="76"/>
      <c r="BM512" s="76" t="s">
        <v>66</v>
      </c>
      <c r="BN512" s="76" t="s">
        <v>19736</v>
      </c>
      <c r="BO512" s="83" t="str">
        <f>HYPERLINK("https://twitter.com/seguroambiental")</f>
        <v>https://twitter.com/seguroambiental</v>
      </c>
      <c r="BP512" s="2"/>
    </row>
    <row r="513" spans="1:68" x14ac:dyDescent="0.25">
      <c r="A513" s="62" t="s">
        <v>666</v>
      </c>
      <c r="B513" s="63"/>
      <c r="C513" s="63"/>
      <c r="D513" s="64"/>
      <c r="E513" s="66"/>
      <c r="F513" s="103" t="str">
        <f>HYPERLINK("https://pbs.twimg.com/profile_images/1324534879913234433/lqQpayNj_normal.jpg")</f>
        <v>https://pbs.twimg.com/profile_images/1324534879913234433/lqQpayNj_normal.jpg</v>
      </c>
      <c r="G513" s="63"/>
      <c r="H513" s="67"/>
      <c r="I513" s="68"/>
      <c r="J513" s="68"/>
      <c r="K513" s="67" t="s">
        <v>20246</v>
      </c>
      <c r="L513" s="71"/>
      <c r="M513" s="72"/>
      <c r="N513" s="72"/>
      <c r="O513" s="73"/>
      <c r="P513" s="74"/>
      <c r="Q513" s="74"/>
      <c r="R513" s="87"/>
      <c r="S513" s="87"/>
      <c r="T513" s="87"/>
      <c r="U513" s="87"/>
      <c r="V513" s="48"/>
      <c r="W513" s="48"/>
      <c r="X513" s="48"/>
      <c r="Y513" s="48"/>
      <c r="Z513" s="47"/>
      <c r="AA513" s="69">
        <v>513</v>
      </c>
      <c r="AB513" s="69"/>
      <c r="AC513" s="70"/>
      <c r="AD513" s="76" t="s">
        <v>17874</v>
      </c>
      <c r="AE513" s="81" t="s">
        <v>18519</v>
      </c>
      <c r="AF513" s="76">
        <v>390</v>
      </c>
      <c r="AG513" s="76">
        <v>169</v>
      </c>
      <c r="AH513" s="76">
        <v>662</v>
      </c>
      <c r="AI513" s="76">
        <v>7</v>
      </c>
      <c r="AJ513" s="76">
        <v>679</v>
      </c>
      <c r="AK513" s="76">
        <v>163</v>
      </c>
      <c r="AL513" s="76" t="b">
        <v>0</v>
      </c>
      <c r="AM513" s="78">
        <v>40740.784583333334</v>
      </c>
      <c r="AN513" s="76"/>
      <c r="AO513" s="76" t="s">
        <v>19230</v>
      </c>
      <c r="AP513" s="76"/>
      <c r="AQ513" s="76"/>
      <c r="AR513" s="76"/>
      <c r="AS513" s="76"/>
      <c r="AT513" s="76"/>
      <c r="AU513" s="76"/>
      <c r="AV513" s="76"/>
      <c r="AW513" s="76"/>
      <c r="AX513" s="76" t="b">
        <v>0</v>
      </c>
      <c r="AY513" s="76"/>
      <c r="AZ513" s="76"/>
      <c r="BA513" s="76" t="b">
        <v>0</v>
      </c>
      <c r="BB513" s="76" t="b">
        <v>1</v>
      </c>
      <c r="BC513" s="76" t="b">
        <v>1</v>
      </c>
      <c r="BD513" s="76" t="b">
        <v>0</v>
      </c>
      <c r="BE513" s="76" t="b">
        <v>0</v>
      </c>
      <c r="BF513" s="76" t="b">
        <v>0</v>
      </c>
      <c r="BG513" s="76" t="b">
        <v>0</v>
      </c>
      <c r="BH513" s="76"/>
      <c r="BI513" s="76"/>
      <c r="BJ513" s="76" t="s">
        <v>19734</v>
      </c>
      <c r="BK513" s="76" t="b">
        <v>0</v>
      </c>
      <c r="BL513" s="76"/>
      <c r="BM513" s="76" t="s">
        <v>66</v>
      </c>
      <c r="BN513" s="76" t="s">
        <v>19736</v>
      </c>
      <c r="BO513" s="83" t="str">
        <f>HYPERLINK("https://twitter.com/eduardonishio")</f>
        <v>https://twitter.com/eduardonishio</v>
      </c>
      <c r="BP513" s="2"/>
    </row>
    <row r="514" spans="1:68" x14ac:dyDescent="0.25">
      <c r="A514" s="62" t="s">
        <v>667</v>
      </c>
      <c r="B514" s="63"/>
      <c r="C514" s="63"/>
      <c r="D514" s="64"/>
      <c r="E514" s="66"/>
      <c r="F514" s="103" t="str">
        <f>HYPERLINK("https://pbs.twimg.com/profile_images/1588323735349633025/zODkgxE1_normal.jpg")</f>
        <v>https://pbs.twimg.com/profile_images/1588323735349633025/zODkgxE1_normal.jpg</v>
      </c>
      <c r="G514" s="63"/>
      <c r="H514" s="67"/>
      <c r="I514" s="68"/>
      <c r="J514" s="68"/>
      <c r="K514" s="67" t="s">
        <v>20247</v>
      </c>
      <c r="L514" s="71"/>
      <c r="M514" s="72"/>
      <c r="N514" s="72"/>
      <c r="O514" s="73"/>
      <c r="P514" s="74"/>
      <c r="Q514" s="74"/>
      <c r="R514" s="87"/>
      <c r="S514" s="87"/>
      <c r="T514" s="87"/>
      <c r="U514" s="87"/>
      <c r="V514" s="48"/>
      <c r="W514" s="48"/>
      <c r="X514" s="48"/>
      <c r="Y514" s="48"/>
      <c r="Z514" s="47"/>
      <c r="AA514" s="69">
        <v>514</v>
      </c>
      <c r="AB514" s="69"/>
      <c r="AC514" s="70"/>
      <c r="AD514" s="76" t="s">
        <v>667</v>
      </c>
      <c r="AE514" s="81" t="s">
        <v>17684</v>
      </c>
      <c r="AF514" s="76">
        <v>8</v>
      </c>
      <c r="AG514" s="76">
        <v>18</v>
      </c>
      <c r="AH514" s="76">
        <v>385</v>
      </c>
      <c r="AI514" s="76">
        <v>1</v>
      </c>
      <c r="AJ514" s="76">
        <v>65</v>
      </c>
      <c r="AK514" s="76">
        <v>200</v>
      </c>
      <c r="AL514" s="76" t="b">
        <v>0</v>
      </c>
      <c r="AM514" s="78">
        <v>44862.02270833333</v>
      </c>
      <c r="AN514" s="76" t="s">
        <v>18745</v>
      </c>
      <c r="AO514" s="76" t="s">
        <v>19231</v>
      </c>
      <c r="AP514" s="83" t="str">
        <f>HYPERLINK("https://t.co/BLZkw6EREA")</f>
        <v>https://t.co/BLZkw6EREA</v>
      </c>
      <c r="AQ514" s="83" t="str">
        <f>HYPERLINK("http://www.2TMOBINVESTING.com.br")</f>
        <v>http://www.2TMOBINVESTING.com.br</v>
      </c>
      <c r="AR514" s="76" t="s">
        <v>19607</v>
      </c>
      <c r="AS514" s="76"/>
      <c r="AT514" s="76"/>
      <c r="AU514" s="76"/>
      <c r="AV514" s="76"/>
      <c r="AW514" s="83" t="str">
        <f>HYPERLINK("https://t.co/BLZkw6EREA")</f>
        <v>https://t.co/BLZkw6EREA</v>
      </c>
      <c r="AX514" s="76" t="b">
        <v>0</v>
      </c>
      <c r="AY514" s="76"/>
      <c r="AZ514" s="76"/>
      <c r="BA514" s="76" t="b">
        <v>0</v>
      </c>
      <c r="BB514" s="76" t="b">
        <v>1</v>
      </c>
      <c r="BC514" s="76" t="b">
        <v>1</v>
      </c>
      <c r="BD514" s="76" t="b">
        <v>0</v>
      </c>
      <c r="BE514" s="76" t="b">
        <v>0</v>
      </c>
      <c r="BF514" s="76" t="b">
        <v>0</v>
      </c>
      <c r="BG514" s="76" t="b">
        <v>0</v>
      </c>
      <c r="BH514" s="83" t="str">
        <f>HYPERLINK("https://pbs.twimg.com/profile_banners/1585791360224972802/1682107531")</f>
        <v>https://pbs.twimg.com/profile_banners/1585791360224972802/1682107531</v>
      </c>
      <c r="BI514" s="76"/>
      <c r="BJ514" s="76" t="s">
        <v>19734</v>
      </c>
      <c r="BK514" s="76" t="b">
        <v>0</v>
      </c>
      <c r="BL514" s="76"/>
      <c r="BM514" s="76" t="s">
        <v>66</v>
      </c>
      <c r="BN514" s="76" t="s">
        <v>19736</v>
      </c>
      <c r="BO514" s="83" t="str">
        <f>HYPERLINK("https://twitter.com/2tmobinvesting")</f>
        <v>https://twitter.com/2tmobinvesting</v>
      </c>
      <c r="BP514" s="2"/>
    </row>
    <row r="515" spans="1:68" x14ac:dyDescent="0.25">
      <c r="A515" s="62" t="s">
        <v>669</v>
      </c>
      <c r="B515" s="63"/>
      <c r="C515" s="63"/>
      <c r="D515" s="64"/>
      <c r="E515" s="66"/>
      <c r="F515" s="103" t="str">
        <f>HYPERLINK("https://pbs.twimg.com/profile_images/1594740041443643395/PkOZQC43_normal.jpg")</f>
        <v>https://pbs.twimg.com/profile_images/1594740041443643395/PkOZQC43_normal.jpg</v>
      </c>
      <c r="G515" s="63"/>
      <c r="H515" s="67"/>
      <c r="I515" s="68"/>
      <c r="J515" s="68"/>
      <c r="K515" s="67" t="s">
        <v>20248</v>
      </c>
      <c r="L515" s="71"/>
      <c r="M515" s="72"/>
      <c r="N515" s="72"/>
      <c r="O515" s="73"/>
      <c r="P515" s="74"/>
      <c r="Q515" s="74"/>
      <c r="R515" s="87"/>
      <c r="S515" s="87"/>
      <c r="T515" s="87"/>
      <c r="U515" s="87"/>
      <c r="V515" s="48"/>
      <c r="W515" s="48"/>
      <c r="X515" s="48"/>
      <c r="Y515" s="48"/>
      <c r="Z515" s="47"/>
      <c r="AA515" s="69">
        <v>515</v>
      </c>
      <c r="AB515" s="69"/>
      <c r="AC515" s="70"/>
      <c r="AD515" s="76" t="s">
        <v>18251</v>
      </c>
      <c r="AE515" s="81" t="s">
        <v>18520</v>
      </c>
      <c r="AF515" s="76">
        <v>817</v>
      </c>
      <c r="AG515" s="76">
        <v>3836</v>
      </c>
      <c r="AH515" s="76">
        <v>90119</v>
      </c>
      <c r="AI515" s="76">
        <v>11</v>
      </c>
      <c r="AJ515" s="76">
        <v>61239</v>
      </c>
      <c r="AK515" s="76">
        <v>29916</v>
      </c>
      <c r="AL515" s="76" t="b">
        <v>0</v>
      </c>
      <c r="AM515" s="78">
        <v>42275.065821759257</v>
      </c>
      <c r="AN515" s="76" t="s">
        <v>18746</v>
      </c>
      <c r="AO515" s="76" t="s">
        <v>19232</v>
      </c>
      <c r="AP515" s="83" t="str">
        <f>HYPERLINK("https://t.co/J2Z3ruv7Me")</f>
        <v>https://t.co/J2Z3ruv7Me</v>
      </c>
      <c r="AQ515" s="83" t="str">
        <f>HYPERLINK("http://regbit.blogspot.com/")</f>
        <v>http://regbit.blogspot.com/</v>
      </c>
      <c r="AR515" s="76" t="s">
        <v>19608</v>
      </c>
      <c r="AS515" s="76"/>
      <c r="AT515" s="76"/>
      <c r="AU515" s="76"/>
      <c r="AV515" s="76"/>
      <c r="AW515" s="83" t="str">
        <f>HYPERLINK("https://t.co/J2Z3ruv7Me")</f>
        <v>https://t.co/J2Z3ruv7Me</v>
      </c>
      <c r="AX515" s="76" t="b">
        <v>0</v>
      </c>
      <c r="AY515" s="76"/>
      <c r="AZ515" s="76"/>
      <c r="BA515" s="76" t="b">
        <v>0</v>
      </c>
      <c r="BB515" s="76" t="b">
        <v>1</v>
      </c>
      <c r="BC515" s="76" t="b">
        <v>0</v>
      </c>
      <c r="BD515" s="76" t="b">
        <v>0</v>
      </c>
      <c r="BE515" s="76" t="b">
        <v>1</v>
      </c>
      <c r="BF515" s="76" t="b">
        <v>0</v>
      </c>
      <c r="BG515" s="76" t="b">
        <v>0</v>
      </c>
      <c r="BH515" s="83" t="str">
        <f>HYPERLINK("https://pbs.twimg.com/profile_banners/3798705617/1586276543")</f>
        <v>https://pbs.twimg.com/profile_banners/3798705617/1586276543</v>
      </c>
      <c r="BI515" s="76"/>
      <c r="BJ515" s="76" t="s">
        <v>19734</v>
      </c>
      <c r="BK515" s="76" t="b">
        <v>0</v>
      </c>
      <c r="BL515" s="76"/>
      <c r="BM515" s="76" t="s">
        <v>66</v>
      </c>
      <c r="BN515" s="76" t="s">
        <v>19736</v>
      </c>
      <c r="BO515" s="83" t="str">
        <f>HYPERLINK("https://twitter.com/regbit1")</f>
        <v>https://twitter.com/regbit1</v>
      </c>
      <c r="BP515" s="2"/>
    </row>
    <row r="516" spans="1:68" x14ac:dyDescent="0.25">
      <c r="A516" s="62" t="s">
        <v>670</v>
      </c>
      <c r="B516" s="63"/>
      <c r="C516" s="63"/>
      <c r="D516" s="64"/>
      <c r="E516" s="66"/>
      <c r="F516" s="103" t="str">
        <f>HYPERLINK("https://pbs.twimg.com/profile_images/1682018590713851906/yH_kvRW9_normal.jpg")</f>
        <v>https://pbs.twimg.com/profile_images/1682018590713851906/yH_kvRW9_normal.jpg</v>
      </c>
      <c r="G516" s="63"/>
      <c r="H516" s="67"/>
      <c r="I516" s="68"/>
      <c r="J516" s="68"/>
      <c r="K516" s="67" t="s">
        <v>20249</v>
      </c>
      <c r="L516" s="71"/>
      <c r="M516" s="72"/>
      <c r="N516" s="72"/>
      <c r="O516" s="73"/>
      <c r="P516" s="74"/>
      <c r="Q516" s="74"/>
      <c r="R516" s="87"/>
      <c r="S516" s="87"/>
      <c r="T516" s="87"/>
      <c r="U516" s="87"/>
      <c r="V516" s="48"/>
      <c r="W516" s="48"/>
      <c r="X516" s="48"/>
      <c r="Y516" s="48"/>
      <c r="Z516" s="47"/>
      <c r="AA516" s="69">
        <v>516</v>
      </c>
      <c r="AB516" s="69"/>
      <c r="AC516" s="70"/>
      <c r="AD516" s="76" t="s">
        <v>18252</v>
      </c>
      <c r="AE516" s="81" t="s">
        <v>17376</v>
      </c>
      <c r="AF516" s="76">
        <v>28</v>
      </c>
      <c r="AG516" s="76">
        <v>30</v>
      </c>
      <c r="AH516" s="76">
        <v>311</v>
      </c>
      <c r="AI516" s="76">
        <v>3</v>
      </c>
      <c r="AJ516" s="76">
        <v>9</v>
      </c>
      <c r="AK516" s="76">
        <v>30</v>
      </c>
      <c r="AL516" s="76" t="b">
        <v>0</v>
      </c>
      <c r="AM516" s="78">
        <v>44509.601898148147</v>
      </c>
      <c r="AN516" s="76" t="s">
        <v>12040</v>
      </c>
      <c r="AO516" s="76" t="s">
        <v>19233</v>
      </c>
      <c r="AP516" s="83" t="str">
        <f>HYPERLINK("https://t.co/gVi4JHBA8B")</f>
        <v>https://t.co/gVi4JHBA8B</v>
      </c>
      <c r="AQ516" s="83" t="str">
        <f>HYPERLINK("https://linktr.ee/blockbr")</f>
        <v>https://linktr.ee/blockbr</v>
      </c>
      <c r="AR516" s="76" t="s">
        <v>19609</v>
      </c>
      <c r="AS516" s="76"/>
      <c r="AT516" s="76"/>
      <c r="AU516" s="76"/>
      <c r="AV516" s="76"/>
      <c r="AW516" s="83" t="str">
        <f>HYPERLINK("https://t.co/gVi4JHBA8B")</f>
        <v>https://t.co/gVi4JHBA8B</v>
      </c>
      <c r="AX516" s="76" t="b">
        <v>0</v>
      </c>
      <c r="AY516" s="76"/>
      <c r="AZ516" s="76"/>
      <c r="BA516" s="76" t="b">
        <v>0</v>
      </c>
      <c r="BB516" s="76" t="b">
        <v>1</v>
      </c>
      <c r="BC516" s="76" t="b">
        <v>1</v>
      </c>
      <c r="BD516" s="76" t="b">
        <v>0</v>
      </c>
      <c r="BE516" s="76" t="b">
        <v>0</v>
      </c>
      <c r="BF516" s="76" t="b">
        <v>0</v>
      </c>
      <c r="BG516" s="76" t="b">
        <v>0</v>
      </c>
      <c r="BH516" s="83" t="str">
        <f>HYPERLINK("https://pbs.twimg.com/profile_banners/1458078346730954754/1664369605")</f>
        <v>https://pbs.twimg.com/profile_banners/1458078346730954754/1664369605</v>
      </c>
      <c r="BI516" s="76"/>
      <c r="BJ516" s="76" t="s">
        <v>19734</v>
      </c>
      <c r="BK516" s="76" t="b">
        <v>0</v>
      </c>
      <c r="BL516" s="76"/>
      <c r="BM516" s="76" t="s">
        <v>66</v>
      </c>
      <c r="BN516" s="76" t="s">
        <v>19736</v>
      </c>
      <c r="BO516" s="83" t="str">
        <f>HYPERLINK("https://twitter.com/blockbr_")</f>
        <v>https://twitter.com/blockbr_</v>
      </c>
      <c r="BP516" s="2"/>
    </row>
    <row r="517" spans="1:68" x14ac:dyDescent="0.25">
      <c r="A517" s="62" t="s">
        <v>671</v>
      </c>
      <c r="B517" s="63"/>
      <c r="C517" s="63"/>
      <c r="D517" s="64"/>
      <c r="E517" s="66"/>
      <c r="F517" s="103" t="str">
        <f>HYPERLINK("https://pbs.twimg.com/profile_images/1618061311652384772/yc4oImxK_normal.jpg")</f>
        <v>https://pbs.twimg.com/profile_images/1618061311652384772/yc4oImxK_normal.jpg</v>
      </c>
      <c r="G517" s="63"/>
      <c r="H517" s="67"/>
      <c r="I517" s="68"/>
      <c r="J517" s="68"/>
      <c r="K517" s="67" t="s">
        <v>20250</v>
      </c>
      <c r="L517" s="71"/>
      <c r="M517" s="72"/>
      <c r="N517" s="72"/>
      <c r="O517" s="73"/>
      <c r="P517" s="74"/>
      <c r="Q517" s="74"/>
      <c r="R517" s="87"/>
      <c r="S517" s="87"/>
      <c r="T517" s="87"/>
      <c r="U517" s="87"/>
      <c r="V517" s="48"/>
      <c r="W517" s="48"/>
      <c r="X517" s="48"/>
      <c r="Y517" s="48"/>
      <c r="Z517" s="47"/>
      <c r="AA517" s="69">
        <v>517</v>
      </c>
      <c r="AB517" s="69"/>
      <c r="AC517" s="70"/>
      <c r="AD517" s="76" t="s">
        <v>18253</v>
      </c>
      <c r="AE517" s="81" t="s">
        <v>17685</v>
      </c>
      <c r="AF517" s="76">
        <v>28</v>
      </c>
      <c r="AG517" s="76">
        <v>107</v>
      </c>
      <c r="AH517" s="76">
        <v>108</v>
      </c>
      <c r="AI517" s="76">
        <v>0</v>
      </c>
      <c r="AJ517" s="76">
        <v>87</v>
      </c>
      <c r="AK517" s="76">
        <v>10</v>
      </c>
      <c r="AL517" s="76" t="b">
        <v>0</v>
      </c>
      <c r="AM517" s="78">
        <v>44067.62259259259</v>
      </c>
      <c r="AN517" s="76" t="s">
        <v>18747</v>
      </c>
      <c r="AO517" s="76" t="s">
        <v>19234</v>
      </c>
      <c r="AP517" s="76"/>
      <c r="AQ517" s="76"/>
      <c r="AR517" s="76"/>
      <c r="AS517" s="76"/>
      <c r="AT517" s="76"/>
      <c r="AU517" s="76"/>
      <c r="AV517" s="76"/>
      <c r="AW517" s="76"/>
      <c r="AX517" s="76" t="b">
        <v>0</v>
      </c>
      <c r="AY517" s="76"/>
      <c r="AZ517" s="76"/>
      <c r="BA517" s="76" t="b">
        <v>0</v>
      </c>
      <c r="BB517" s="76" t="b">
        <v>1</v>
      </c>
      <c r="BC517" s="76" t="b">
        <v>1</v>
      </c>
      <c r="BD517" s="76" t="b">
        <v>0</v>
      </c>
      <c r="BE517" s="76" t="b">
        <v>0</v>
      </c>
      <c r="BF517" s="76" t="b">
        <v>0</v>
      </c>
      <c r="BG517" s="76" t="b">
        <v>0</v>
      </c>
      <c r="BH517" s="76"/>
      <c r="BI517" s="76"/>
      <c r="BJ517" s="76" t="s">
        <v>19734</v>
      </c>
      <c r="BK517" s="76" t="b">
        <v>0</v>
      </c>
      <c r="BL517" s="76"/>
      <c r="BM517" s="76" t="s">
        <v>66</v>
      </c>
      <c r="BN517" s="76" t="s">
        <v>19736</v>
      </c>
      <c r="BO517" s="83" t="str">
        <f>HYPERLINK("https://twitter.com/peupimenta")</f>
        <v>https://twitter.com/peupimenta</v>
      </c>
      <c r="BP517" s="2"/>
    </row>
    <row r="518" spans="1:68" x14ac:dyDescent="0.25">
      <c r="A518" s="62" t="s">
        <v>672</v>
      </c>
      <c r="B518" s="63"/>
      <c r="C518" s="63"/>
      <c r="D518" s="64"/>
      <c r="E518" s="66"/>
      <c r="F518" s="103" t="str">
        <f>HYPERLINK("https://pbs.twimg.com/profile_images/1587536748292280321/o7UDTLUU_normal.jpg")</f>
        <v>https://pbs.twimg.com/profile_images/1587536748292280321/o7UDTLUU_normal.jpg</v>
      </c>
      <c r="G518" s="63"/>
      <c r="H518" s="67"/>
      <c r="I518" s="68"/>
      <c r="J518" s="68"/>
      <c r="K518" s="67" t="s">
        <v>20251</v>
      </c>
      <c r="L518" s="71"/>
      <c r="M518" s="72"/>
      <c r="N518" s="72"/>
      <c r="O518" s="73"/>
      <c r="P518" s="74"/>
      <c r="Q518" s="74"/>
      <c r="R518" s="87"/>
      <c r="S518" s="87"/>
      <c r="T518" s="87"/>
      <c r="U518" s="87"/>
      <c r="V518" s="48"/>
      <c r="W518" s="48"/>
      <c r="X518" s="48"/>
      <c r="Y518" s="48"/>
      <c r="Z518" s="47"/>
      <c r="AA518" s="69">
        <v>518</v>
      </c>
      <c r="AB518" s="69"/>
      <c r="AC518" s="70"/>
      <c r="AD518" s="76" t="s">
        <v>18254</v>
      </c>
      <c r="AE518" s="81" t="s">
        <v>18521</v>
      </c>
      <c r="AF518" s="76">
        <v>24</v>
      </c>
      <c r="AG518" s="76">
        <v>92</v>
      </c>
      <c r="AH518" s="76">
        <v>207</v>
      </c>
      <c r="AI518" s="76">
        <v>0</v>
      </c>
      <c r="AJ518" s="76">
        <v>8</v>
      </c>
      <c r="AK518" s="76">
        <v>29</v>
      </c>
      <c r="AL518" s="76" t="b">
        <v>0</v>
      </c>
      <c r="AM518" s="78">
        <v>40131.838252314818</v>
      </c>
      <c r="AN518" s="76" t="s">
        <v>18571</v>
      </c>
      <c r="AO518" s="76" t="s">
        <v>19235</v>
      </c>
      <c r="AP518" s="83" t="str">
        <f>HYPERLINK("https://t.co/qpU9IpXEXk")</f>
        <v>https://t.co/qpU9IpXEXk</v>
      </c>
      <c r="AQ518" s="83" t="str">
        <f>HYPERLINK("https://tradenews.com.br/rodrigo-spider/")</f>
        <v>https://tradenews.com.br/rodrigo-spider/</v>
      </c>
      <c r="AR518" s="76" t="s">
        <v>19610</v>
      </c>
      <c r="AS518" s="76"/>
      <c r="AT518" s="76"/>
      <c r="AU518" s="76"/>
      <c r="AV518" s="76">
        <v>1.70274661877091E+18</v>
      </c>
      <c r="AW518" s="83" t="str">
        <f>HYPERLINK("https://t.co/qpU9IpXEXk")</f>
        <v>https://t.co/qpU9IpXEXk</v>
      </c>
      <c r="AX518" s="76" t="b">
        <v>0</v>
      </c>
      <c r="AY518" s="76"/>
      <c r="AZ518" s="76"/>
      <c r="BA518" s="76" t="b">
        <v>0</v>
      </c>
      <c r="BB518" s="76" t="b">
        <v>0</v>
      </c>
      <c r="BC518" s="76" t="b">
        <v>1</v>
      </c>
      <c r="BD518" s="76" t="b">
        <v>0</v>
      </c>
      <c r="BE518" s="76" t="b">
        <v>0</v>
      </c>
      <c r="BF518" s="76" t="b">
        <v>0</v>
      </c>
      <c r="BG518" s="76" t="b">
        <v>0</v>
      </c>
      <c r="BH518" s="83" t="str">
        <f>HYPERLINK("https://pbs.twimg.com/profile_banners/90010417/1689891422")</f>
        <v>https://pbs.twimg.com/profile_banners/90010417/1689891422</v>
      </c>
      <c r="BI518" s="76"/>
      <c r="BJ518" s="76" t="s">
        <v>19734</v>
      </c>
      <c r="BK518" s="76" t="b">
        <v>0</v>
      </c>
      <c r="BL518" s="76"/>
      <c r="BM518" s="76" t="s">
        <v>66</v>
      </c>
      <c r="BN518" s="76" t="s">
        <v>19736</v>
      </c>
      <c r="BO518" s="83" t="str">
        <f>HYPERLINK("https://twitter.com/rodrigo__correa")</f>
        <v>https://twitter.com/rodrigo__correa</v>
      </c>
      <c r="BP518" s="2"/>
    </row>
    <row r="519" spans="1:68" x14ac:dyDescent="0.25">
      <c r="A519" s="62" t="s">
        <v>673</v>
      </c>
      <c r="B519" s="63"/>
      <c r="C519" s="63"/>
      <c r="D519" s="64"/>
      <c r="E519" s="66"/>
      <c r="F519" s="103" t="str">
        <f>HYPERLINK("https://pbs.twimg.com/profile_images/1329530048127373317/tdtMASp0_normal.jpg")</f>
        <v>https://pbs.twimg.com/profile_images/1329530048127373317/tdtMASp0_normal.jpg</v>
      </c>
      <c r="G519" s="63"/>
      <c r="H519" s="67"/>
      <c r="I519" s="68"/>
      <c r="J519" s="68"/>
      <c r="K519" s="67" t="s">
        <v>20252</v>
      </c>
      <c r="L519" s="71"/>
      <c r="M519" s="72"/>
      <c r="N519" s="72"/>
      <c r="O519" s="73"/>
      <c r="P519" s="74"/>
      <c r="Q519" s="74"/>
      <c r="R519" s="87"/>
      <c r="S519" s="87"/>
      <c r="T519" s="87"/>
      <c r="U519" s="87"/>
      <c r="V519" s="48"/>
      <c r="W519" s="48"/>
      <c r="X519" s="48"/>
      <c r="Y519" s="48"/>
      <c r="Z519" s="47"/>
      <c r="AA519" s="69">
        <v>519</v>
      </c>
      <c r="AB519" s="69"/>
      <c r="AC519" s="70"/>
      <c r="AD519" s="76" t="s">
        <v>18255</v>
      </c>
      <c r="AE519" s="81" t="s">
        <v>17686</v>
      </c>
      <c r="AF519" s="76">
        <v>10217</v>
      </c>
      <c r="AG519" s="76">
        <v>33</v>
      </c>
      <c r="AH519" s="76">
        <v>8041</v>
      </c>
      <c r="AI519" s="76">
        <v>18</v>
      </c>
      <c r="AJ519" s="76">
        <v>441</v>
      </c>
      <c r="AK519" s="76">
        <v>6417</v>
      </c>
      <c r="AL519" s="76" t="b">
        <v>0</v>
      </c>
      <c r="AM519" s="78">
        <v>44154.875173611108</v>
      </c>
      <c r="AN519" s="76" t="s">
        <v>12040</v>
      </c>
      <c r="AO519" s="76" t="s">
        <v>19236</v>
      </c>
      <c r="AP519" s="83" t="str">
        <f>HYPERLINK("https://t.co/09q8FY0geK")</f>
        <v>https://t.co/09q8FY0geK</v>
      </c>
      <c r="AQ519" s="83" t="str">
        <f>HYPERLINK("http://www.panflix.com.br")</f>
        <v>http://www.panflix.com.br</v>
      </c>
      <c r="AR519" s="76" t="s">
        <v>19611</v>
      </c>
      <c r="AS519" s="83" t="str">
        <f>HYPERLINK("https://t.co/a2vsR5231R")</f>
        <v>https://t.co/a2vsR5231R</v>
      </c>
      <c r="AT519" s="83" t="str">
        <f>HYPERLINK("https://www.panflix.com.br/")</f>
        <v>https://www.panflix.com.br/</v>
      </c>
      <c r="AU519" s="76" t="s">
        <v>19611</v>
      </c>
      <c r="AV519" s="76"/>
      <c r="AW519" s="83" t="str">
        <f>HYPERLINK("https://t.co/09q8FY0geK")</f>
        <v>https://t.co/09q8FY0geK</v>
      </c>
      <c r="AX519" s="76" t="b">
        <v>0</v>
      </c>
      <c r="AY519" s="76"/>
      <c r="AZ519" s="76"/>
      <c r="BA519" s="76" t="b">
        <v>0</v>
      </c>
      <c r="BB519" s="76" t="b">
        <v>1</v>
      </c>
      <c r="BC519" s="76" t="b">
        <v>1</v>
      </c>
      <c r="BD519" s="76" t="b">
        <v>0</v>
      </c>
      <c r="BE519" s="76" t="b">
        <v>0</v>
      </c>
      <c r="BF519" s="76" t="b">
        <v>0</v>
      </c>
      <c r="BG519" s="76" t="b">
        <v>0</v>
      </c>
      <c r="BH519" s="83" t="str">
        <f>HYPERLINK("https://pbs.twimg.com/profile_banners/1329529913016193027/1605819708")</f>
        <v>https://pbs.twimg.com/profile_banners/1329529913016193027/1605819708</v>
      </c>
      <c r="BI519" s="76"/>
      <c r="BJ519" s="76" t="s">
        <v>19734</v>
      </c>
      <c r="BK519" s="76" t="b">
        <v>0</v>
      </c>
      <c r="BL519" s="76"/>
      <c r="BM519" s="76" t="s">
        <v>66</v>
      </c>
      <c r="BN519" s="76" t="s">
        <v>19736</v>
      </c>
      <c r="BO519" s="83" t="str">
        <f>HYPERLINK("https://twitter.com/panflixoficial")</f>
        <v>https://twitter.com/panflixoficial</v>
      </c>
      <c r="BP519" s="2"/>
    </row>
    <row r="520" spans="1:68" x14ac:dyDescent="0.25">
      <c r="A520" s="62" t="s">
        <v>674</v>
      </c>
      <c r="B520" s="63"/>
      <c r="C520" s="63"/>
      <c r="D520" s="64"/>
      <c r="E520" s="66"/>
      <c r="F520" s="103" t="str">
        <f>HYPERLINK("https://pbs.twimg.com/profile_images/1663349305317400576/He06-Ued_normal.jpg")</f>
        <v>https://pbs.twimg.com/profile_images/1663349305317400576/He06-Ued_normal.jpg</v>
      </c>
      <c r="G520" s="63"/>
      <c r="H520" s="67"/>
      <c r="I520" s="68"/>
      <c r="J520" s="68"/>
      <c r="K520" s="67" t="s">
        <v>20253</v>
      </c>
      <c r="L520" s="71"/>
      <c r="M520" s="72"/>
      <c r="N520" s="72"/>
      <c r="O520" s="73"/>
      <c r="P520" s="74"/>
      <c r="Q520" s="74"/>
      <c r="R520" s="87"/>
      <c r="S520" s="87"/>
      <c r="T520" s="87"/>
      <c r="U520" s="87"/>
      <c r="V520" s="48"/>
      <c r="W520" s="48"/>
      <c r="X520" s="48"/>
      <c r="Y520" s="48"/>
      <c r="Z520" s="47"/>
      <c r="AA520" s="69">
        <v>520</v>
      </c>
      <c r="AB520" s="69"/>
      <c r="AC520" s="70"/>
      <c r="AD520" s="76" t="s">
        <v>18256</v>
      </c>
      <c r="AE520" s="81" t="s">
        <v>17687</v>
      </c>
      <c r="AF520" s="76">
        <v>28</v>
      </c>
      <c r="AG520" s="76">
        <v>4</v>
      </c>
      <c r="AH520" s="76">
        <v>2</v>
      </c>
      <c r="AI520" s="76">
        <v>0</v>
      </c>
      <c r="AJ520" s="76">
        <v>1</v>
      </c>
      <c r="AK520" s="76">
        <v>2</v>
      </c>
      <c r="AL520" s="76" t="b">
        <v>0</v>
      </c>
      <c r="AM520" s="78">
        <v>45069.89135416667</v>
      </c>
      <c r="AN520" s="76"/>
      <c r="AO520" s="76" t="s">
        <v>19237</v>
      </c>
      <c r="AP520" s="83" t="str">
        <f>HYPERLINK("https://t.co/89JSzU15mv")</f>
        <v>https://t.co/89JSzU15mv</v>
      </c>
      <c r="AQ520" s="83" t="str">
        <f>HYPERLINK("https://podcasters.spotify.com/pod/show/pod-call")</f>
        <v>https://podcasters.spotify.com/pod/show/pod-call</v>
      </c>
      <c r="AR520" s="76" t="s">
        <v>19612</v>
      </c>
      <c r="AS520" s="76"/>
      <c r="AT520" s="76"/>
      <c r="AU520" s="76"/>
      <c r="AV520" s="76"/>
      <c r="AW520" s="83" t="str">
        <f>HYPERLINK("https://t.co/89JSzU15mv")</f>
        <v>https://t.co/89JSzU15mv</v>
      </c>
      <c r="AX520" s="76" t="b">
        <v>0</v>
      </c>
      <c r="AY520" s="76"/>
      <c r="AZ520" s="76"/>
      <c r="BA520" s="76" t="b">
        <v>0</v>
      </c>
      <c r="BB520" s="76" t="b">
        <v>1</v>
      </c>
      <c r="BC520" s="76" t="b">
        <v>1</v>
      </c>
      <c r="BD520" s="76" t="b">
        <v>0</v>
      </c>
      <c r="BE520" s="76" t="b">
        <v>0</v>
      </c>
      <c r="BF520" s="76" t="b">
        <v>0</v>
      </c>
      <c r="BG520" s="76" t="b">
        <v>0</v>
      </c>
      <c r="BH520" s="83" t="str">
        <f>HYPERLINK("https://pbs.twimg.com/profile_banners/1661120600520237058/1684982579")</f>
        <v>https://pbs.twimg.com/profile_banners/1661120600520237058/1684982579</v>
      </c>
      <c r="BI520" s="76"/>
      <c r="BJ520" s="76" t="s">
        <v>19734</v>
      </c>
      <c r="BK520" s="76" t="b">
        <v>0</v>
      </c>
      <c r="BL520" s="76"/>
      <c r="BM520" s="76" t="s">
        <v>66</v>
      </c>
      <c r="BN520" s="76" t="s">
        <v>19736</v>
      </c>
      <c r="BO520" s="83" t="str">
        <f>HYPERLINK("https://twitter.com/podcall2023")</f>
        <v>https://twitter.com/podcall2023</v>
      </c>
      <c r="BP520" s="2"/>
    </row>
    <row r="521" spans="1:68" x14ac:dyDescent="0.25">
      <c r="A521" s="62" t="s">
        <v>675</v>
      </c>
      <c r="B521" s="63"/>
      <c r="C521" s="63"/>
      <c r="D521" s="64"/>
      <c r="E521" s="66"/>
      <c r="F521" s="103" t="str">
        <f>HYPERLINK("https://pbs.twimg.com/profile_images/1388535615050895360/wIg7KWay_normal.jpg")</f>
        <v>https://pbs.twimg.com/profile_images/1388535615050895360/wIg7KWay_normal.jpg</v>
      </c>
      <c r="G521" s="63"/>
      <c r="H521" s="67"/>
      <c r="I521" s="68"/>
      <c r="J521" s="68"/>
      <c r="K521" s="67" t="s">
        <v>20254</v>
      </c>
      <c r="L521" s="71"/>
      <c r="M521" s="72"/>
      <c r="N521" s="72"/>
      <c r="O521" s="73"/>
      <c r="P521" s="74"/>
      <c r="Q521" s="74"/>
      <c r="R521" s="87"/>
      <c r="S521" s="87"/>
      <c r="T521" s="87"/>
      <c r="U521" s="87"/>
      <c r="V521" s="48"/>
      <c r="W521" s="48"/>
      <c r="X521" s="48"/>
      <c r="Y521" s="48"/>
      <c r="Z521" s="47"/>
      <c r="AA521" s="69">
        <v>521</v>
      </c>
      <c r="AB521" s="69"/>
      <c r="AC521" s="70"/>
      <c r="AD521" s="76" t="s">
        <v>18257</v>
      </c>
      <c r="AE521" s="81" t="s">
        <v>17377</v>
      </c>
      <c r="AF521" s="76">
        <v>52</v>
      </c>
      <c r="AG521" s="76">
        <v>74</v>
      </c>
      <c r="AH521" s="76">
        <v>2726</v>
      </c>
      <c r="AI521" s="76">
        <v>2</v>
      </c>
      <c r="AJ521" s="76">
        <v>6921</v>
      </c>
      <c r="AK521" s="76">
        <v>95</v>
      </c>
      <c r="AL521" s="76" t="b">
        <v>0</v>
      </c>
      <c r="AM521" s="78">
        <v>41757.102858796294</v>
      </c>
      <c r="AN521" s="76" t="s">
        <v>18748</v>
      </c>
      <c r="AO521" s="76" t="s">
        <v>19238</v>
      </c>
      <c r="AP521" s="83" t="str">
        <f>HYPERLINK("https://t.co/5PSJXSKs1D")</f>
        <v>https://t.co/5PSJXSKs1D</v>
      </c>
      <c r="AQ521" s="83" t="str">
        <f>HYPERLINK("http://twitch.tv/bipolarizado01")</f>
        <v>http://twitch.tv/bipolarizado01</v>
      </c>
      <c r="AR521" s="76" t="s">
        <v>19613</v>
      </c>
      <c r="AS521" s="76"/>
      <c r="AT521" s="76"/>
      <c r="AU521" s="76"/>
      <c r="AV521" s="76"/>
      <c r="AW521" s="83" t="str">
        <f>HYPERLINK("https://t.co/5PSJXSKs1D")</f>
        <v>https://t.co/5PSJXSKs1D</v>
      </c>
      <c r="AX521" s="76" t="b">
        <v>0</v>
      </c>
      <c r="AY521" s="76"/>
      <c r="AZ521" s="76"/>
      <c r="BA521" s="76" t="b">
        <v>0</v>
      </c>
      <c r="BB521" s="76" t="b">
        <v>1</v>
      </c>
      <c r="BC521" s="76" t="b">
        <v>0</v>
      </c>
      <c r="BD521" s="76" t="b">
        <v>0</v>
      </c>
      <c r="BE521" s="76" t="b">
        <v>1</v>
      </c>
      <c r="BF521" s="76" t="b">
        <v>0</v>
      </c>
      <c r="BG521" s="76" t="b">
        <v>0</v>
      </c>
      <c r="BH521" s="83" t="str">
        <f>HYPERLINK("https://pbs.twimg.com/profile_banners/2467096693/1599513039")</f>
        <v>https://pbs.twimg.com/profile_banners/2467096693/1599513039</v>
      </c>
      <c r="BI521" s="76"/>
      <c r="BJ521" s="76" t="s">
        <v>19734</v>
      </c>
      <c r="BK521" s="76" t="b">
        <v>0</v>
      </c>
      <c r="BL521" s="76"/>
      <c r="BM521" s="76" t="s">
        <v>66</v>
      </c>
      <c r="BN521" s="76" t="s">
        <v>19736</v>
      </c>
      <c r="BO521" s="83" t="str">
        <f>HYPERLINK("https://twitter.com/pabloricksom")</f>
        <v>https://twitter.com/pabloricksom</v>
      </c>
      <c r="BP521" s="2"/>
    </row>
    <row r="522" spans="1:68" x14ac:dyDescent="0.25">
      <c r="A522" s="62" t="s">
        <v>676</v>
      </c>
      <c r="B522" s="63"/>
      <c r="C522" s="63"/>
      <c r="D522" s="64"/>
      <c r="E522" s="66"/>
      <c r="F522" s="103" t="str">
        <f>HYPERLINK("https://pbs.twimg.com/profile_images/1690896179851137024/MMj6EjEy_normal.jpg")</f>
        <v>https://pbs.twimg.com/profile_images/1690896179851137024/MMj6EjEy_normal.jpg</v>
      </c>
      <c r="G522" s="63"/>
      <c r="H522" s="67"/>
      <c r="I522" s="68"/>
      <c r="J522" s="68"/>
      <c r="K522" s="67" t="s">
        <v>20255</v>
      </c>
      <c r="L522" s="71"/>
      <c r="M522" s="72"/>
      <c r="N522" s="72"/>
      <c r="O522" s="73"/>
      <c r="P522" s="74"/>
      <c r="Q522" s="74"/>
      <c r="R522" s="87"/>
      <c r="S522" s="87"/>
      <c r="T522" s="87"/>
      <c r="U522" s="87"/>
      <c r="V522" s="48"/>
      <c r="W522" s="48"/>
      <c r="X522" s="48"/>
      <c r="Y522" s="48"/>
      <c r="Z522" s="47"/>
      <c r="AA522" s="69">
        <v>522</v>
      </c>
      <c r="AB522" s="69"/>
      <c r="AC522" s="70"/>
      <c r="AD522" s="76" t="s">
        <v>18258</v>
      </c>
      <c r="AE522" s="81" t="s">
        <v>18522</v>
      </c>
      <c r="AF522" s="76">
        <v>109437</v>
      </c>
      <c r="AG522" s="76">
        <v>216</v>
      </c>
      <c r="AH522" s="76">
        <v>16016</v>
      </c>
      <c r="AI522" s="76">
        <v>547</v>
      </c>
      <c r="AJ522" s="76">
        <v>1673</v>
      </c>
      <c r="AK522" s="76">
        <v>2703</v>
      </c>
      <c r="AL522" s="76" t="b">
        <v>0</v>
      </c>
      <c r="AM522" s="78">
        <v>40646.580208333333</v>
      </c>
      <c r="AN522" s="76"/>
      <c r="AO522" s="76" t="s">
        <v>19239</v>
      </c>
      <c r="AP522" s="83" t="str">
        <f>HYPERLINK("https://t.co/Bwnn504J4u")</f>
        <v>https://t.co/Bwnn504J4u</v>
      </c>
      <c r="AQ522" s="83" t="str">
        <f>HYPERLINK("http://gov.br/mdr")</f>
        <v>http://gov.br/mdr</v>
      </c>
      <c r="AR522" s="76" t="s">
        <v>19614</v>
      </c>
      <c r="AS522" s="83" t="str">
        <f>HYPERLINK("https://t.co/58gFnGbDzi")</f>
        <v>https://t.co/58gFnGbDzi</v>
      </c>
      <c r="AT522" s="83" t="str">
        <f>HYPERLINK("http://gov.br/mdr/")</f>
        <v>http://gov.br/mdr/</v>
      </c>
      <c r="AU522" s="76" t="s">
        <v>19732</v>
      </c>
      <c r="AV522" s="76">
        <v>1.6422504977120901E+18</v>
      </c>
      <c r="AW522" s="83" t="str">
        <f>HYPERLINK("https://t.co/Bwnn504J4u")</f>
        <v>https://t.co/Bwnn504J4u</v>
      </c>
      <c r="AX522" s="76" t="b">
        <v>0</v>
      </c>
      <c r="AY522" s="76"/>
      <c r="AZ522" s="76"/>
      <c r="BA522" s="76" t="b">
        <v>0</v>
      </c>
      <c r="BB522" s="76" t="b">
        <v>1</v>
      </c>
      <c r="BC522" s="76" t="b">
        <v>0</v>
      </c>
      <c r="BD522" s="76" t="b">
        <v>0</v>
      </c>
      <c r="BE522" s="76" t="b">
        <v>1</v>
      </c>
      <c r="BF522" s="76" t="b">
        <v>0</v>
      </c>
      <c r="BG522" s="76" t="b">
        <v>0</v>
      </c>
      <c r="BH522" s="83" t="str">
        <f>HYPERLINK("https://pbs.twimg.com/profile_banners/281544249/1678377524")</f>
        <v>https://pbs.twimg.com/profile_banners/281544249/1678377524</v>
      </c>
      <c r="BI522" s="76"/>
      <c r="BJ522" s="76" t="s">
        <v>19734</v>
      </c>
      <c r="BK522" s="76" t="b">
        <v>0</v>
      </c>
      <c r="BL522" s="76"/>
      <c r="BM522" s="76" t="s">
        <v>66</v>
      </c>
      <c r="BN522" s="76" t="s">
        <v>19736</v>
      </c>
      <c r="BO522" s="83" t="str">
        <f>HYPERLINK("https://twitter.com/midregional")</f>
        <v>https://twitter.com/midregional</v>
      </c>
      <c r="BP522" s="2"/>
    </row>
    <row r="523" spans="1:68" x14ac:dyDescent="0.25">
      <c r="A523" s="62" t="s">
        <v>795</v>
      </c>
      <c r="B523" s="63"/>
      <c r="C523" s="63"/>
      <c r="D523" s="64"/>
      <c r="E523" s="66"/>
      <c r="F523" s="103" t="str">
        <f>HYPERLINK("https://pbs.twimg.com/profile_images/1545823767779221505/2zHUzmI0_normal.jpg")</f>
        <v>https://pbs.twimg.com/profile_images/1545823767779221505/2zHUzmI0_normal.jpg</v>
      </c>
      <c r="G523" s="63"/>
      <c r="H523" s="67"/>
      <c r="I523" s="68"/>
      <c r="J523" s="68"/>
      <c r="K523" s="67" t="s">
        <v>20256</v>
      </c>
      <c r="L523" s="71"/>
      <c r="M523" s="72"/>
      <c r="N523" s="72"/>
      <c r="O523" s="73"/>
      <c r="P523" s="74"/>
      <c r="Q523" s="74"/>
      <c r="R523" s="87"/>
      <c r="S523" s="87"/>
      <c r="T523" s="87"/>
      <c r="U523" s="87"/>
      <c r="V523" s="48"/>
      <c r="W523" s="48"/>
      <c r="X523" s="48"/>
      <c r="Y523" s="48"/>
      <c r="Z523" s="47"/>
      <c r="AA523" s="69">
        <v>523</v>
      </c>
      <c r="AB523" s="69"/>
      <c r="AC523" s="70"/>
      <c r="AD523" s="76" t="s">
        <v>18259</v>
      </c>
      <c r="AE523" s="81" t="s">
        <v>18523</v>
      </c>
      <c r="AF523" s="76">
        <v>14373</v>
      </c>
      <c r="AG523" s="76">
        <v>452</v>
      </c>
      <c r="AH523" s="76">
        <v>9286</v>
      </c>
      <c r="AI523" s="76">
        <v>281</v>
      </c>
      <c r="AJ523" s="76">
        <v>2287</v>
      </c>
      <c r="AK523" s="76">
        <v>4779</v>
      </c>
      <c r="AL523" s="76" t="b">
        <v>0</v>
      </c>
      <c r="AM523" s="78">
        <v>43150.886307870373</v>
      </c>
      <c r="AN523" s="76" t="s">
        <v>18749</v>
      </c>
      <c r="AO523" s="76" t="s">
        <v>19240</v>
      </c>
      <c r="AP523" s="83" t="str">
        <f>HYPERLINK("https://t.co/B1O6USKeUc")</f>
        <v>https://t.co/B1O6USKeUc</v>
      </c>
      <c r="AQ523" s="83" t="str">
        <f>HYPERLINK("http://www.instagram.com/waldezgoesoficial")</f>
        <v>http://www.instagram.com/waldezgoesoficial</v>
      </c>
      <c r="AR523" s="76" t="s">
        <v>19615</v>
      </c>
      <c r="AS523" s="76"/>
      <c r="AT523" s="76"/>
      <c r="AU523" s="76"/>
      <c r="AV523" s="76"/>
      <c r="AW523" s="83" t="str">
        <f>HYPERLINK("https://t.co/B1O6USKeUc")</f>
        <v>https://t.co/B1O6USKeUc</v>
      </c>
      <c r="AX523" s="76" t="b">
        <v>0</v>
      </c>
      <c r="AY523" s="76"/>
      <c r="AZ523" s="76"/>
      <c r="BA523" s="76" t="b">
        <v>0</v>
      </c>
      <c r="BB523" s="76" t="b">
        <v>0</v>
      </c>
      <c r="BC523" s="76" t="b">
        <v>0</v>
      </c>
      <c r="BD523" s="76" t="b">
        <v>0</v>
      </c>
      <c r="BE523" s="76" t="b">
        <v>1</v>
      </c>
      <c r="BF523" s="76" t="b">
        <v>0</v>
      </c>
      <c r="BG523" s="76" t="b">
        <v>0</v>
      </c>
      <c r="BH523" s="83" t="str">
        <f>HYPERLINK("https://pbs.twimg.com/profile_banners/965696565074714625/1564147386")</f>
        <v>https://pbs.twimg.com/profile_banners/965696565074714625/1564147386</v>
      </c>
      <c r="BI523" s="76"/>
      <c r="BJ523" s="76" t="s">
        <v>19734</v>
      </c>
      <c r="BK523" s="76" t="b">
        <v>0</v>
      </c>
      <c r="BL523" s="76"/>
      <c r="BM523" s="76" t="s">
        <v>65</v>
      </c>
      <c r="BN523" s="76" t="s">
        <v>19736</v>
      </c>
      <c r="BO523" s="83" t="str">
        <f>HYPERLINK("https://twitter.com/waldezoficial")</f>
        <v>https://twitter.com/waldezoficial</v>
      </c>
      <c r="BP523" s="2"/>
    </row>
    <row r="524" spans="1:68" x14ac:dyDescent="0.25">
      <c r="A524" s="62" t="s">
        <v>677</v>
      </c>
      <c r="B524" s="63"/>
      <c r="C524" s="63"/>
      <c r="D524" s="64"/>
      <c r="E524" s="66"/>
      <c r="F524" s="103" t="str">
        <f>HYPERLINK("https://pbs.twimg.com/profile_images/1629520900746887174/GiJMlXTz_normal.jpg")</f>
        <v>https://pbs.twimg.com/profile_images/1629520900746887174/GiJMlXTz_normal.jpg</v>
      </c>
      <c r="G524" s="63"/>
      <c r="H524" s="67"/>
      <c r="I524" s="68"/>
      <c r="J524" s="68"/>
      <c r="K524" s="67" t="s">
        <v>20257</v>
      </c>
      <c r="L524" s="71"/>
      <c r="M524" s="72"/>
      <c r="N524" s="72"/>
      <c r="O524" s="73"/>
      <c r="P524" s="74"/>
      <c r="Q524" s="74"/>
      <c r="R524" s="87"/>
      <c r="S524" s="87"/>
      <c r="T524" s="87"/>
      <c r="U524" s="87"/>
      <c r="V524" s="48"/>
      <c r="W524" s="48"/>
      <c r="X524" s="48"/>
      <c r="Y524" s="48"/>
      <c r="Z524" s="47"/>
      <c r="AA524" s="69">
        <v>524</v>
      </c>
      <c r="AB524" s="69"/>
      <c r="AC524" s="70"/>
      <c r="AD524" s="76" t="s">
        <v>18260</v>
      </c>
      <c r="AE524" s="81" t="s">
        <v>17688</v>
      </c>
      <c r="AF524" s="76">
        <v>4</v>
      </c>
      <c r="AG524" s="76">
        <v>1</v>
      </c>
      <c r="AH524" s="76">
        <v>56</v>
      </c>
      <c r="AI524" s="76">
        <v>0</v>
      </c>
      <c r="AJ524" s="76">
        <v>5</v>
      </c>
      <c r="AK524" s="76">
        <v>56</v>
      </c>
      <c r="AL524" s="76" t="b">
        <v>0</v>
      </c>
      <c r="AM524" s="78">
        <v>44982.692326388889</v>
      </c>
      <c r="AN524" s="76"/>
      <c r="AO524" s="76" t="s">
        <v>19241</v>
      </c>
      <c r="AP524" s="83" t="str">
        <f>HYPERLINK("https://t.co/CFLfW1SVLZ")</f>
        <v>https://t.co/CFLfW1SVLZ</v>
      </c>
      <c r="AQ524" s="83" t="str">
        <f>HYPERLINK("https://linktr.ee/descomplicaft")</f>
        <v>https://linktr.ee/descomplicaft</v>
      </c>
      <c r="AR524" s="76" t="s">
        <v>19616</v>
      </c>
      <c r="AS524" s="76"/>
      <c r="AT524" s="76"/>
      <c r="AU524" s="76"/>
      <c r="AV524" s="76"/>
      <c r="AW524" s="83" t="str">
        <f>HYPERLINK("https://t.co/CFLfW1SVLZ")</f>
        <v>https://t.co/CFLfW1SVLZ</v>
      </c>
      <c r="AX524" s="76" t="b">
        <v>0</v>
      </c>
      <c r="AY524" s="76"/>
      <c r="AZ524" s="76"/>
      <c r="BA524" s="76" t="b">
        <v>0</v>
      </c>
      <c r="BB524" s="76" t="b">
        <v>1</v>
      </c>
      <c r="BC524" s="76" t="b">
        <v>1</v>
      </c>
      <c r="BD524" s="76" t="b">
        <v>0</v>
      </c>
      <c r="BE524" s="76" t="b">
        <v>0</v>
      </c>
      <c r="BF524" s="76" t="b">
        <v>0</v>
      </c>
      <c r="BG524" s="76" t="b">
        <v>0</v>
      </c>
      <c r="BH524" s="83" t="str">
        <f>HYPERLINK("https://pbs.twimg.com/profile_banners/1629520801710874625/1677343580")</f>
        <v>https://pbs.twimg.com/profile_banners/1629520801710874625/1677343580</v>
      </c>
      <c r="BI524" s="76"/>
      <c r="BJ524" s="76" t="s">
        <v>19734</v>
      </c>
      <c r="BK524" s="76" t="b">
        <v>0</v>
      </c>
      <c r="BL524" s="76"/>
      <c r="BM524" s="76" t="s">
        <v>66</v>
      </c>
      <c r="BN524" s="76" t="s">
        <v>19736</v>
      </c>
      <c r="BO524" s="83" t="str">
        <f>HYPERLINK("https://twitter.com/descomplicaft")</f>
        <v>https://twitter.com/descomplicaft</v>
      </c>
      <c r="BP524" s="2"/>
    </row>
    <row r="525" spans="1:68" x14ac:dyDescent="0.25">
      <c r="A525" s="62" t="s">
        <v>678</v>
      </c>
      <c r="B525" s="63"/>
      <c r="C525" s="63"/>
      <c r="D525" s="64"/>
      <c r="E525" s="66"/>
      <c r="F525" s="103" t="str">
        <f>HYPERLINK("https://pbs.twimg.com/profile_images/1367996582382157827/YtaP_J8O_normal.jpg")</f>
        <v>https://pbs.twimg.com/profile_images/1367996582382157827/YtaP_J8O_normal.jpg</v>
      </c>
      <c r="G525" s="63"/>
      <c r="H525" s="67"/>
      <c r="I525" s="68"/>
      <c r="J525" s="68"/>
      <c r="K525" s="67" t="s">
        <v>20258</v>
      </c>
      <c r="L525" s="71"/>
      <c r="M525" s="72"/>
      <c r="N525" s="72"/>
      <c r="O525" s="73"/>
      <c r="P525" s="74"/>
      <c r="Q525" s="74"/>
      <c r="R525" s="87"/>
      <c r="S525" s="87"/>
      <c r="T525" s="87"/>
      <c r="U525" s="87"/>
      <c r="V525" s="48"/>
      <c r="W525" s="48"/>
      <c r="X525" s="48"/>
      <c r="Y525" s="48"/>
      <c r="Z525" s="47"/>
      <c r="AA525" s="69">
        <v>525</v>
      </c>
      <c r="AB525" s="69"/>
      <c r="AC525" s="70"/>
      <c r="AD525" s="76" t="s">
        <v>18261</v>
      </c>
      <c r="AE525" s="81" t="s">
        <v>17689</v>
      </c>
      <c r="AF525" s="76">
        <v>2699</v>
      </c>
      <c r="AG525" s="76">
        <v>254</v>
      </c>
      <c r="AH525" s="76">
        <v>797</v>
      </c>
      <c r="AI525" s="76">
        <v>3</v>
      </c>
      <c r="AJ525" s="76">
        <v>1214</v>
      </c>
      <c r="AK525" s="76">
        <v>120</v>
      </c>
      <c r="AL525" s="76" t="b">
        <v>0</v>
      </c>
      <c r="AM525" s="78">
        <v>43151.625694444447</v>
      </c>
      <c r="AN525" s="76" t="s">
        <v>12007</v>
      </c>
      <c r="AO525" s="76" t="s">
        <v>19242</v>
      </c>
      <c r="AP525" s="83" t="str">
        <f>HYPERLINK("https://t.co/Cc97OR9oCs")</f>
        <v>https://t.co/Cc97OR9oCs</v>
      </c>
      <c r="AQ525" s="83" t="str">
        <f>HYPERLINK("https://linktr.ee/lvasconcellos1")</f>
        <v>https://linktr.ee/lvasconcellos1</v>
      </c>
      <c r="AR525" s="76" t="s">
        <v>19617</v>
      </c>
      <c r="AS525" s="76"/>
      <c r="AT525" s="76"/>
      <c r="AU525" s="76"/>
      <c r="AV525" s="76">
        <v>1.6469339647229499E+18</v>
      </c>
      <c r="AW525" s="83" t="str">
        <f>HYPERLINK("https://t.co/Cc97OR9oCs")</f>
        <v>https://t.co/Cc97OR9oCs</v>
      </c>
      <c r="AX525" s="76" t="b">
        <v>0</v>
      </c>
      <c r="AY525" s="76"/>
      <c r="AZ525" s="76"/>
      <c r="BA525" s="76" t="b">
        <v>0</v>
      </c>
      <c r="BB525" s="76" t="b">
        <v>0</v>
      </c>
      <c r="BC525" s="76" t="b">
        <v>1</v>
      </c>
      <c r="BD525" s="76" t="b">
        <v>0</v>
      </c>
      <c r="BE525" s="76" t="b">
        <v>0</v>
      </c>
      <c r="BF525" s="76" t="b">
        <v>0</v>
      </c>
      <c r="BG525" s="76" t="b">
        <v>0</v>
      </c>
      <c r="BH525" s="83" t="str">
        <f>HYPERLINK("https://pbs.twimg.com/profile_banners/965964508534657024/1574169811")</f>
        <v>https://pbs.twimg.com/profile_banners/965964508534657024/1574169811</v>
      </c>
      <c r="BI525" s="76"/>
      <c r="BJ525" s="76" t="s">
        <v>19734</v>
      </c>
      <c r="BK525" s="76" t="b">
        <v>0</v>
      </c>
      <c r="BL525" s="76"/>
      <c r="BM525" s="76" t="s">
        <v>66</v>
      </c>
      <c r="BN525" s="76" t="s">
        <v>19736</v>
      </c>
      <c r="BO525" s="83" t="str">
        <f>HYPERLINK("https://twitter.com/vasconcellos984")</f>
        <v>https://twitter.com/vasconcellos984</v>
      </c>
      <c r="BP525" s="2"/>
    </row>
    <row r="526" spans="1:68" x14ac:dyDescent="0.25">
      <c r="A526" s="62" t="s">
        <v>679</v>
      </c>
      <c r="B526" s="63"/>
      <c r="C526" s="63"/>
      <c r="D526" s="64"/>
      <c r="E526" s="66"/>
      <c r="F526" s="103" t="str">
        <f>HYPERLINK("https://pbs.twimg.com/profile_images/1364284176711757824/yk2A_8-H_normal.jpg")</f>
        <v>https://pbs.twimg.com/profile_images/1364284176711757824/yk2A_8-H_normal.jpg</v>
      </c>
      <c r="G526" s="63"/>
      <c r="H526" s="67"/>
      <c r="I526" s="68"/>
      <c r="J526" s="68"/>
      <c r="K526" s="67" t="s">
        <v>20259</v>
      </c>
      <c r="L526" s="71"/>
      <c r="M526" s="72"/>
      <c r="N526" s="72"/>
      <c r="O526" s="73"/>
      <c r="P526" s="74"/>
      <c r="Q526" s="74"/>
      <c r="R526" s="87"/>
      <c r="S526" s="87"/>
      <c r="T526" s="87"/>
      <c r="U526" s="87"/>
      <c r="V526" s="48"/>
      <c r="W526" s="48"/>
      <c r="X526" s="48"/>
      <c r="Y526" s="48"/>
      <c r="Z526" s="47"/>
      <c r="AA526" s="69">
        <v>526</v>
      </c>
      <c r="AB526" s="69"/>
      <c r="AC526" s="70"/>
      <c r="AD526" s="76" t="s">
        <v>679</v>
      </c>
      <c r="AE526" s="81" t="s">
        <v>17690</v>
      </c>
      <c r="AF526" s="76">
        <v>32384</v>
      </c>
      <c r="AG526" s="76">
        <v>482</v>
      </c>
      <c r="AH526" s="76">
        <v>10144</v>
      </c>
      <c r="AI526" s="76">
        <v>161</v>
      </c>
      <c r="AJ526" s="76">
        <v>18526</v>
      </c>
      <c r="AK526" s="76">
        <v>2676</v>
      </c>
      <c r="AL526" s="76" t="b">
        <v>0</v>
      </c>
      <c r="AM526" s="78">
        <v>43560.013275462959</v>
      </c>
      <c r="AN526" s="76"/>
      <c r="AO526" s="76" t="s">
        <v>19243</v>
      </c>
      <c r="AP526" s="76"/>
      <c r="AQ526" s="76"/>
      <c r="AR526" s="76"/>
      <c r="AS526" s="76"/>
      <c r="AT526" s="76"/>
      <c r="AU526" s="76"/>
      <c r="AV526" s="76">
        <v>1.5425876348617101E+18</v>
      </c>
      <c r="AW526" s="76"/>
      <c r="AX526" s="76" t="b">
        <v>1</v>
      </c>
      <c r="AY526" s="76"/>
      <c r="AZ526" s="76"/>
      <c r="BA526" s="76" t="b">
        <v>0</v>
      </c>
      <c r="BB526" s="76" t="b">
        <v>0</v>
      </c>
      <c r="BC526" s="76" t="b">
        <v>1</v>
      </c>
      <c r="BD526" s="76" t="b">
        <v>0</v>
      </c>
      <c r="BE526" s="76" t="b">
        <v>1</v>
      </c>
      <c r="BF526" s="76" t="b">
        <v>0</v>
      </c>
      <c r="BG526" s="76" t="b">
        <v>0</v>
      </c>
      <c r="BH526" s="83" t="str">
        <f>HYPERLINK("https://pbs.twimg.com/profile_banners/1113959212827193345/1614105670")</f>
        <v>https://pbs.twimg.com/profile_banners/1113959212827193345/1614105670</v>
      </c>
      <c r="BI526" s="76"/>
      <c r="BJ526" s="76" t="s">
        <v>19734</v>
      </c>
      <c r="BK526" s="76" t="b">
        <v>0</v>
      </c>
      <c r="BL526" s="76"/>
      <c r="BM526" s="76" t="s">
        <v>66</v>
      </c>
      <c r="BN526" s="76" t="s">
        <v>19736</v>
      </c>
      <c r="BO526" s="83" t="str">
        <f>HYPERLINK("https://twitter.com/otimistaoficial")</f>
        <v>https://twitter.com/otimistaoficial</v>
      </c>
      <c r="BP526" s="2"/>
    </row>
    <row r="527" spans="1:68" x14ac:dyDescent="0.25">
      <c r="A527" s="62" t="s">
        <v>680</v>
      </c>
      <c r="B527" s="63"/>
      <c r="C527" s="63"/>
      <c r="D527" s="64"/>
      <c r="E527" s="66"/>
      <c r="F527" s="103" t="str">
        <f>HYPERLINK("https://pbs.twimg.com/profile_images/1705019584594481152/XQIxGwgm_normal.jpg")</f>
        <v>https://pbs.twimg.com/profile_images/1705019584594481152/XQIxGwgm_normal.jpg</v>
      </c>
      <c r="G527" s="63"/>
      <c r="H527" s="67"/>
      <c r="I527" s="68"/>
      <c r="J527" s="68"/>
      <c r="K527" s="67" t="s">
        <v>20260</v>
      </c>
      <c r="L527" s="71"/>
      <c r="M527" s="72"/>
      <c r="N527" s="72"/>
      <c r="O527" s="73"/>
      <c r="P527" s="74"/>
      <c r="Q527" s="74"/>
      <c r="R527" s="87"/>
      <c r="S527" s="87"/>
      <c r="T527" s="87"/>
      <c r="U527" s="87"/>
      <c r="V527" s="48"/>
      <c r="W527" s="48"/>
      <c r="X527" s="48"/>
      <c r="Y527" s="48"/>
      <c r="Z527" s="47"/>
      <c r="AA527" s="69">
        <v>527</v>
      </c>
      <c r="AB527" s="69"/>
      <c r="AC527" s="70"/>
      <c r="AD527" s="76" t="s">
        <v>18262</v>
      </c>
      <c r="AE527" s="81" t="s">
        <v>17378</v>
      </c>
      <c r="AF527" s="76">
        <v>11</v>
      </c>
      <c r="AG527" s="76">
        <v>116</v>
      </c>
      <c r="AH527" s="76">
        <v>37</v>
      </c>
      <c r="AI527" s="76">
        <v>0</v>
      </c>
      <c r="AJ527" s="76">
        <v>204</v>
      </c>
      <c r="AK527" s="76">
        <v>2</v>
      </c>
      <c r="AL527" s="76" t="b">
        <v>0</v>
      </c>
      <c r="AM527" s="78">
        <v>45149.088252314818</v>
      </c>
      <c r="AN527" s="76"/>
      <c r="AO527" s="76" t="s">
        <v>19244</v>
      </c>
      <c r="AP527" s="76"/>
      <c r="AQ527" s="76"/>
      <c r="AR527" s="76"/>
      <c r="AS527" s="76"/>
      <c r="AT527" s="76"/>
      <c r="AU527" s="76"/>
      <c r="AV527" s="76"/>
      <c r="AW527" s="76"/>
      <c r="AX527" s="76" t="b">
        <v>0</v>
      </c>
      <c r="AY527" s="76"/>
      <c r="AZ527" s="76"/>
      <c r="BA527" s="76" t="b">
        <v>0</v>
      </c>
      <c r="BB527" s="76" t="b">
        <v>1</v>
      </c>
      <c r="BC527" s="76" t="b">
        <v>1</v>
      </c>
      <c r="BD527" s="76" t="b">
        <v>0</v>
      </c>
      <c r="BE527" s="76" t="b">
        <v>0</v>
      </c>
      <c r="BF527" s="76" t="b">
        <v>0</v>
      </c>
      <c r="BG527" s="76" t="b">
        <v>0</v>
      </c>
      <c r="BH527" s="76"/>
      <c r="BI527" s="76"/>
      <c r="BJ527" s="76" t="s">
        <v>19734</v>
      </c>
      <c r="BK527" s="76" t="b">
        <v>0</v>
      </c>
      <c r="BL527" s="76"/>
      <c r="BM527" s="76" t="s">
        <v>66</v>
      </c>
      <c r="BN527" s="76" t="s">
        <v>19736</v>
      </c>
      <c r="BO527" s="83" t="str">
        <f>HYPERLINK("https://twitter.com/thomasppessoaa")</f>
        <v>https://twitter.com/thomasppessoaa</v>
      </c>
      <c r="BP527" s="2"/>
    </row>
    <row r="528" spans="1:68" x14ac:dyDescent="0.25">
      <c r="A528" s="62" t="s">
        <v>681</v>
      </c>
      <c r="B528" s="63"/>
      <c r="C528" s="63"/>
      <c r="D528" s="64"/>
      <c r="E528" s="66"/>
      <c r="F528" s="103" t="str">
        <f>HYPERLINK("https://pbs.twimg.com/profile_images/1696347662851727361/Z11IXiDW_normal.jpg")</f>
        <v>https://pbs.twimg.com/profile_images/1696347662851727361/Z11IXiDW_normal.jpg</v>
      </c>
      <c r="G528" s="63"/>
      <c r="H528" s="67"/>
      <c r="I528" s="68"/>
      <c r="J528" s="68"/>
      <c r="K528" s="67" t="s">
        <v>20261</v>
      </c>
      <c r="L528" s="71"/>
      <c r="M528" s="72"/>
      <c r="N528" s="72"/>
      <c r="O528" s="73"/>
      <c r="P528" s="74"/>
      <c r="Q528" s="74"/>
      <c r="R528" s="87"/>
      <c r="S528" s="87"/>
      <c r="T528" s="87"/>
      <c r="U528" s="87"/>
      <c r="V528" s="48"/>
      <c r="W528" s="48"/>
      <c r="X528" s="48"/>
      <c r="Y528" s="48"/>
      <c r="Z528" s="47"/>
      <c r="AA528" s="69">
        <v>528</v>
      </c>
      <c r="AB528" s="69"/>
      <c r="AC528" s="70"/>
      <c r="AD528" s="76" t="s">
        <v>18263</v>
      </c>
      <c r="AE528" s="81" t="s">
        <v>17691</v>
      </c>
      <c r="AF528" s="76">
        <v>5518</v>
      </c>
      <c r="AG528" s="76">
        <v>457</v>
      </c>
      <c r="AH528" s="76">
        <v>218</v>
      </c>
      <c r="AI528" s="76">
        <v>114</v>
      </c>
      <c r="AJ528" s="76">
        <v>226</v>
      </c>
      <c r="AK528" s="76">
        <v>66</v>
      </c>
      <c r="AL528" s="76" t="b">
        <v>0</v>
      </c>
      <c r="AM528" s="78">
        <v>42855.179606481484</v>
      </c>
      <c r="AN528" s="76" t="s">
        <v>12014</v>
      </c>
      <c r="AO528" s="76" t="s">
        <v>19245</v>
      </c>
      <c r="AP528" s="83" t="str">
        <f>HYPERLINK("https://t.co/msxlFgAOBV")</f>
        <v>https://t.co/msxlFgAOBV</v>
      </c>
      <c r="AQ528" s="83" t="str">
        <f>HYPERLINK("https://instagram.com/2fbrokers?igshid=YmMyMTA2M2Y=")</f>
        <v>https://instagram.com/2fbrokers?igshid=YmMyMTA2M2Y=</v>
      </c>
      <c r="AR528" s="76" t="s">
        <v>19618</v>
      </c>
      <c r="AS528" s="76"/>
      <c r="AT528" s="76"/>
      <c r="AU528" s="76"/>
      <c r="AV528" s="76"/>
      <c r="AW528" s="83" t="str">
        <f>HYPERLINK("https://t.co/msxlFgAOBV")</f>
        <v>https://t.co/msxlFgAOBV</v>
      </c>
      <c r="AX528" s="76" t="b">
        <v>0</v>
      </c>
      <c r="AY528" s="76"/>
      <c r="AZ528" s="76"/>
      <c r="BA528" s="76" t="b">
        <v>0</v>
      </c>
      <c r="BB528" s="76" t="b">
        <v>0</v>
      </c>
      <c r="BC528" s="76" t="b">
        <v>1</v>
      </c>
      <c r="BD528" s="76" t="b">
        <v>0</v>
      </c>
      <c r="BE528" s="76" t="b">
        <v>1</v>
      </c>
      <c r="BF528" s="76" t="b">
        <v>0</v>
      </c>
      <c r="BG528" s="76" t="b">
        <v>0</v>
      </c>
      <c r="BH528" s="83" t="str">
        <f>HYPERLINK("https://pbs.twimg.com/profile_banners/858536044387586048/1693275818")</f>
        <v>https://pbs.twimg.com/profile_banners/858536044387586048/1693275818</v>
      </c>
      <c r="BI528" s="76"/>
      <c r="BJ528" s="76" t="s">
        <v>19734</v>
      </c>
      <c r="BK528" s="76" t="b">
        <v>0</v>
      </c>
      <c r="BL528" s="76"/>
      <c r="BM528" s="76" t="s">
        <v>66</v>
      </c>
      <c r="BN528" s="76" t="s">
        <v>19736</v>
      </c>
      <c r="BO528" s="83" t="str">
        <f>HYPERLINK("https://twitter.com/_primebrokers")</f>
        <v>https://twitter.com/_primebrokers</v>
      </c>
      <c r="BP528" s="2"/>
    </row>
    <row r="529" spans="1:68" x14ac:dyDescent="0.25">
      <c r="A529" s="62" t="s">
        <v>682</v>
      </c>
      <c r="B529" s="63"/>
      <c r="C529" s="63"/>
      <c r="D529" s="64"/>
      <c r="E529" s="66"/>
      <c r="F529" s="103" t="str">
        <f>HYPERLINK("https://pbs.twimg.com/profile_images/1649087655424958467/Kj-OEYcB_normal.jpg")</f>
        <v>https://pbs.twimg.com/profile_images/1649087655424958467/Kj-OEYcB_normal.jpg</v>
      </c>
      <c r="G529" s="63"/>
      <c r="H529" s="67"/>
      <c r="I529" s="68"/>
      <c r="J529" s="68"/>
      <c r="K529" s="67" t="s">
        <v>20262</v>
      </c>
      <c r="L529" s="71"/>
      <c r="M529" s="72"/>
      <c r="N529" s="72"/>
      <c r="O529" s="73"/>
      <c r="P529" s="74"/>
      <c r="Q529" s="74"/>
      <c r="R529" s="87"/>
      <c r="S529" s="87"/>
      <c r="T529" s="87"/>
      <c r="U529" s="87"/>
      <c r="V529" s="48"/>
      <c r="W529" s="48"/>
      <c r="X529" s="48"/>
      <c r="Y529" s="48"/>
      <c r="Z529" s="47"/>
      <c r="AA529" s="69">
        <v>529</v>
      </c>
      <c r="AB529" s="69"/>
      <c r="AC529" s="70"/>
      <c r="AD529" s="76" t="s">
        <v>18264</v>
      </c>
      <c r="AE529" s="81" t="s">
        <v>17692</v>
      </c>
      <c r="AF529" s="76">
        <v>12218</v>
      </c>
      <c r="AG529" s="76">
        <v>4255</v>
      </c>
      <c r="AH529" s="76">
        <v>32809</v>
      </c>
      <c r="AI529" s="76">
        <v>151</v>
      </c>
      <c r="AJ529" s="76">
        <v>256045</v>
      </c>
      <c r="AK529" s="76">
        <v>1327</v>
      </c>
      <c r="AL529" s="76" t="b">
        <v>0</v>
      </c>
      <c r="AM529" s="78">
        <v>43522.875648148147</v>
      </c>
      <c r="AN529" s="76" t="s">
        <v>12007</v>
      </c>
      <c r="AO529" s="76" t="s">
        <v>19246</v>
      </c>
      <c r="AP529" s="83" t="str">
        <f>HYPERLINK("https://t.co/9fwacFaV4J")</f>
        <v>https://t.co/9fwacFaV4J</v>
      </c>
      <c r="AQ529" s="83" t="str">
        <f>HYPERLINK("http://www.investe10.com.br")</f>
        <v>http://www.investe10.com.br</v>
      </c>
      <c r="AR529" s="76" t="s">
        <v>19619</v>
      </c>
      <c r="AS529" s="76"/>
      <c r="AT529" s="76"/>
      <c r="AU529" s="76"/>
      <c r="AV529" s="76">
        <v>1.6535602671066601E+18</v>
      </c>
      <c r="AW529" s="83" t="str">
        <f>HYPERLINK("https://t.co/9fwacFaV4J")</f>
        <v>https://t.co/9fwacFaV4J</v>
      </c>
      <c r="AX529" s="76" t="b">
        <v>1</v>
      </c>
      <c r="AY529" s="76"/>
      <c r="AZ529" s="76"/>
      <c r="BA529" s="76" t="b">
        <v>1</v>
      </c>
      <c r="BB529" s="76" t="b">
        <v>1</v>
      </c>
      <c r="BC529" s="76" t="b">
        <v>0</v>
      </c>
      <c r="BD529" s="76" t="b">
        <v>0</v>
      </c>
      <c r="BE529" s="76" t="b">
        <v>1</v>
      </c>
      <c r="BF529" s="76" t="b">
        <v>0</v>
      </c>
      <c r="BG529" s="76" t="b">
        <v>0</v>
      </c>
      <c r="BH529" s="83" t="str">
        <f>HYPERLINK("https://pbs.twimg.com/profile_banners/1100500988744687618/1664807233")</f>
        <v>https://pbs.twimg.com/profile_banners/1100500988744687618/1664807233</v>
      </c>
      <c r="BI529" s="76"/>
      <c r="BJ529" s="76" t="s">
        <v>19734</v>
      </c>
      <c r="BK529" s="76" t="b">
        <v>0</v>
      </c>
      <c r="BL529" s="76"/>
      <c r="BM529" s="76" t="s">
        <v>66</v>
      </c>
      <c r="BN529" s="76" t="s">
        <v>19736</v>
      </c>
      <c r="BO529" s="83" t="str">
        <f>HYPERLINK("https://twitter.com/crisinveste")</f>
        <v>https://twitter.com/crisinveste</v>
      </c>
      <c r="BP529" s="2"/>
    </row>
    <row r="530" spans="1:68" x14ac:dyDescent="0.25">
      <c r="A530" s="62" t="s">
        <v>683</v>
      </c>
      <c r="B530" s="63"/>
      <c r="C530" s="63"/>
      <c r="D530" s="64"/>
      <c r="E530" s="66"/>
      <c r="F530" s="103" t="str">
        <f>HYPERLINK("https://pbs.twimg.com/profile_images/1446982296926662657/3OCZ8KkD_normal.jpg")</f>
        <v>https://pbs.twimg.com/profile_images/1446982296926662657/3OCZ8KkD_normal.jpg</v>
      </c>
      <c r="G530" s="63"/>
      <c r="H530" s="67"/>
      <c r="I530" s="68"/>
      <c r="J530" s="68"/>
      <c r="K530" s="67" t="s">
        <v>20263</v>
      </c>
      <c r="L530" s="71"/>
      <c r="M530" s="72"/>
      <c r="N530" s="72"/>
      <c r="O530" s="73"/>
      <c r="P530" s="74"/>
      <c r="Q530" s="74"/>
      <c r="R530" s="87"/>
      <c r="S530" s="87"/>
      <c r="T530" s="87"/>
      <c r="U530" s="87"/>
      <c r="V530" s="48"/>
      <c r="W530" s="48"/>
      <c r="X530" s="48"/>
      <c r="Y530" s="48"/>
      <c r="Z530" s="47"/>
      <c r="AA530" s="69">
        <v>530</v>
      </c>
      <c r="AB530" s="69"/>
      <c r="AC530" s="70"/>
      <c r="AD530" s="76" t="s">
        <v>18265</v>
      </c>
      <c r="AE530" s="81" t="s">
        <v>17693</v>
      </c>
      <c r="AF530" s="76">
        <v>86</v>
      </c>
      <c r="AG530" s="76">
        <v>97</v>
      </c>
      <c r="AH530" s="76">
        <v>4532</v>
      </c>
      <c r="AI530" s="76">
        <v>1</v>
      </c>
      <c r="AJ530" s="76">
        <v>2390</v>
      </c>
      <c r="AK530" s="76">
        <v>194</v>
      </c>
      <c r="AL530" s="76" t="b">
        <v>0</v>
      </c>
      <c r="AM530" s="78">
        <v>44425.508506944447</v>
      </c>
      <c r="AN530" s="76"/>
      <c r="AO530" s="76"/>
      <c r="AP530" s="76"/>
      <c r="AQ530" s="76"/>
      <c r="AR530" s="76"/>
      <c r="AS530" s="76"/>
      <c r="AT530" s="76"/>
      <c r="AU530" s="76"/>
      <c r="AV530" s="76">
        <v>1.66845082693374E+18</v>
      </c>
      <c r="AW530" s="76"/>
      <c r="AX530" s="76" t="b">
        <v>0</v>
      </c>
      <c r="AY530" s="76"/>
      <c r="AZ530" s="76"/>
      <c r="BA530" s="76" t="b">
        <v>0</v>
      </c>
      <c r="BB530" s="76" t="b">
        <v>1</v>
      </c>
      <c r="BC530" s="76" t="b">
        <v>1</v>
      </c>
      <c r="BD530" s="76" t="b">
        <v>0</v>
      </c>
      <c r="BE530" s="76" t="b">
        <v>1</v>
      </c>
      <c r="BF530" s="76" t="b">
        <v>0</v>
      </c>
      <c r="BG530" s="76" t="b">
        <v>0</v>
      </c>
      <c r="BH530" s="83" t="str">
        <f>HYPERLINK("https://pbs.twimg.com/profile_banners/1427604079514169344/1633821957")</f>
        <v>https://pbs.twimg.com/profile_banners/1427604079514169344/1633821957</v>
      </c>
      <c r="BI530" s="76"/>
      <c r="BJ530" s="76" t="s">
        <v>19734</v>
      </c>
      <c r="BK530" s="76" t="b">
        <v>0</v>
      </c>
      <c r="BL530" s="76"/>
      <c r="BM530" s="76" t="s">
        <v>66</v>
      </c>
      <c r="BN530" s="76" t="s">
        <v>19736</v>
      </c>
      <c r="BO530" s="83" t="str">
        <f>HYPERLINK("https://twitter.com/erkcvl")</f>
        <v>https://twitter.com/erkcvl</v>
      </c>
      <c r="BP530" s="2"/>
    </row>
    <row r="531" spans="1:68" x14ac:dyDescent="0.25">
      <c r="A531" s="62" t="s">
        <v>684</v>
      </c>
      <c r="B531" s="63"/>
      <c r="C531" s="63"/>
      <c r="D531" s="64"/>
      <c r="E531" s="66"/>
      <c r="F531" s="103" t="str">
        <f>HYPERLINK("https://pbs.twimg.com/profile_images/1703909143411560449/_JzuZhLB_normal.jpg")</f>
        <v>https://pbs.twimg.com/profile_images/1703909143411560449/_JzuZhLB_normal.jpg</v>
      </c>
      <c r="G531" s="63"/>
      <c r="H531" s="67"/>
      <c r="I531" s="68"/>
      <c r="J531" s="68"/>
      <c r="K531" s="67" t="s">
        <v>20264</v>
      </c>
      <c r="L531" s="71"/>
      <c r="M531" s="72"/>
      <c r="N531" s="72"/>
      <c r="O531" s="73"/>
      <c r="P531" s="74"/>
      <c r="Q531" s="74"/>
      <c r="R531" s="87"/>
      <c r="S531" s="87"/>
      <c r="T531" s="87"/>
      <c r="U531" s="87"/>
      <c r="V531" s="48"/>
      <c r="W531" s="48"/>
      <c r="X531" s="48"/>
      <c r="Y531" s="48"/>
      <c r="Z531" s="47"/>
      <c r="AA531" s="69">
        <v>531</v>
      </c>
      <c r="AB531" s="69"/>
      <c r="AC531" s="70"/>
      <c r="AD531" s="76" t="s">
        <v>18266</v>
      </c>
      <c r="AE531" s="81" t="s">
        <v>18524</v>
      </c>
      <c r="AF531" s="76">
        <v>5</v>
      </c>
      <c r="AG531" s="76">
        <v>37</v>
      </c>
      <c r="AH531" s="76">
        <v>245</v>
      </c>
      <c r="AI531" s="76">
        <v>0</v>
      </c>
      <c r="AJ531" s="76">
        <v>469</v>
      </c>
      <c r="AK531" s="76">
        <v>47</v>
      </c>
      <c r="AL531" s="76" t="b">
        <v>0</v>
      </c>
      <c r="AM531" s="78">
        <v>40609.036203703705</v>
      </c>
      <c r="AN531" s="76"/>
      <c r="AO531" s="76" t="s">
        <v>19247</v>
      </c>
      <c r="AP531" s="76"/>
      <c r="AQ531" s="76"/>
      <c r="AR531" s="76"/>
      <c r="AS531" s="76"/>
      <c r="AT531" s="76"/>
      <c r="AU531" s="76"/>
      <c r="AV531" s="76"/>
      <c r="AW531" s="76"/>
      <c r="AX531" s="76" t="b">
        <v>0</v>
      </c>
      <c r="AY531" s="76"/>
      <c r="AZ531" s="76"/>
      <c r="BA531" s="76" t="b">
        <v>0</v>
      </c>
      <c r="BB531" s="76" t="b">
        <v>1</v>
      </c>
      <c r="BC531" s="76" t="b">
        <v>1</v>
      </c>
      <c r="BD531" s="76" t="b">
        <v>0</v>
      </c>
      <c r="BE531" s="76" t="b">
        <v>0</v>
      </c>
      <c r="BF531" s="76" t="b">
        <v>0</v>
      </c>
      <c r="BG531" s="76" t="b">
        <v>0</v>
      </c>
      <c r="BH531" s="83" t="str">
        <f>HYPERLINK("https://pbs.twimg.com/profile_banners/261934851/1693609243")</f>
        <v>https://pbs.twimg.com/profile_banners/261934851/1693609243</v>
      </c>
      <c r="BI531" s="76"/>
      <c r="BJ531" s="76" t="s">
        <v>19734</v>
      </c>
      <c r="BK531" s="76" t="b">
        <v>0</v>
      </c>
      <c r="BL531" s="76"/>
      <c r="BM531" s="76" t="s">
        <v>66</v>
      </c>
      <c r="BN531" s="76" t="s">
        <v>19736</v>
      </c>
      <c r="BO531" s="83" t="str">
        <f>HYPERLINK("https://twitter.com/lenoar75")</f>
        <v>https://twitter.com/lenoar75</v>
      </c>
      <c r="BP531" s="2"/>
    </row>
    <row r="532" spans="1:68" x14ac:dyDescent="0.25">
      <c r="A532" s="62" t="s">
        <v>685</v>
      </c>
      <c r="B532" s="63"/>
      <c r="C532" s="63"/>
      <c r="D532" s="64"/>
      <c r="E532" s="66"/>
      <c r="F532" s="103" t="str">
        <f>HYPERLINK("https://pbs.twimg.com/profile_images/1593020028517072896/VntwlBy4_normal.jpg")</f>
        <v>https://pbs.twimg.com/profile_images/1593020028517072896/VntwlBy4_normal.jpg</v>
      </c>
      <c r="G532" s="63"/>
      <c r="H532" s="67"/>
      <c r="I532" s="68"/>
      <c r="J532" s="68"/>
      <c r="K532" s="67" t="s">
        <v>20265</v>
      </c>
      <c r="L532" s="71"/>
      <c r="M532" s="72"/>
      <c r="N532" s="72"/>
      <c r="O532" s="73"/>
      <c r="P532" s="74"/>
      <c r="Q532" s="74"/>
      <c r="R532" s="87"/>
      <c r="S532" s="87"/>
      <c r="T532" s="87"/>
      <c r="U532" s="87"/>
      <c r="V532" s="48"/>
      <c r="W532" s="48"/>
      <c r="X532" s="48"/>
      <c r="Y532" s="48"/>
      <c r="Z532" s="47"/>
      <c r="AA532" s="69">
        <v>532</v>
      </c>
      <c r="AB532" s="69"/>
      <c r="AC532" s="70"/>
      <c r="AD532" s="76" t="s">
        <v>18267</v>
      </c>
      <c r="AE532" s="81" t="s">
        <v>18525</v>
      </c>
      <c r="AF532" s="76">
        <v>3842</v>
      </c>
      <c r="AG532" s="76">
        <v>1402</v>
      </c>
      <c r="AH532" s="76">
        <v>51202</v>
      </c>
      <c r="AI532" s="76">
        <v>39</v>
      </c>
      <c r="AJ532" s="76">
        <v>91</v>
      </c>
      <c r="AK532" s="76">
        <v>2759</v>
      </c>
      <c r="AL532" s="76" t="b">
        <v>0</v>
      </c>
      <c r="AM532" s="78">
        <v>40087.196192129632</v>
      </c>
      <c r="AN532" s="76" t="s">
        <v>18750</v>
      </c>
      <c r="AO532" s="76" t="s">
        <v>19248</v>
      </c>
      <c r="AP532" s="83" t="str">
        <f>HYPERLINK("https://t.co/KB5TsacFag")</f>
        <v>https://t.co/KB5TsacFag</v>
      </c>
      <c r="AQ532" s="83" t="str">
        <f>HYPERLINK("http://www.oaltoacre.com")</f>
        <v>http://www.oaltoacre.com</v>
      </c>
      <c r="AR532" s="76" t="s">
        <v>7143</v>
      </c>
      <c r="AS532" s="76"/>
      <c r="AT532" s="76"/>
      <c r="AU532" s="76"/>
      <c r="AV532" s="76"/>
      <c r="AW532" s="83" t="str">
        <f>HYPERLINK("https://t.co/KB5TsacFag")</f>
        <v>https://t.co/KB5TsacFag</v>
      </c>
      <c r="AX532" s="76" t="b">
        <v>0</v>
      </c>
      <c r="AY532" s="76"/>
      <c r="AZ532" s="76"/>
      <c r="BA532" s="76" t="b">
        <v>0</v>
      </c>
      <c r="BB532" s="76" t="b">
        <v>1</v>
      </c>
      <c r="BC532" s="76" t="b">
        <v>0</v>
      </c>
      <c r="BD532" s="76" t="b">
        <v>0</v>
      </c>
      <c r="BE532" s="76" t="b">
        <v>1</v>
      </c>
      <c r="BF532" s="76" t="b">
        <v>0</v>
      </c>
      <c r="BG532" s="76" t="b">
        <v>0</v>
      </c>
      <c r="BH532" s="83" t="str">
        <f>HYPERLINK("https://pbs.twimg.com/profile_banners/78807310/1668640714")</f>
        <v>https://pbs.twimg.com/profile_banners/78807310/1668640714</v>
      </c>
      <c r="BI532" s="76"/>
      <c r="BJ532" s="76" t="s">
        <v>19734</v>
      </c>
      <c r="BK532" s="76" t="b">
        <v>0</v>
      </c>
      <c r="BL532" s="76"/>
      <c r="BM532" s="76" t="s">
        <v>66</v>
      </c>
      <c r="BN532" s="76" t="s">
        <v>19736</v>
      </c>
      <c r="BO532" s="83" t="str">
        <f>HYPERLINK("https://twitter.com/oaltoacre")</f>
        <v>https://twitter.com/oaltoacre</v>
      </c>
      <c r="BP532" s="2"/>
    </row>
    <row r="533" spans="1:68" x14ac:dyDescent="0.25">
      <c r="A533" s="62" t="s">
        <v>686</v>
      </c>
      <c r="B533" s="63"/>
      <c r="C533" s="63"/>
      <c r="D533" s="64"/>
      <c r="E533" s="66"/>
      <c r="F533" s="103" t="str">
        <f>HYPERLINK("https://pbs.twimg.com/profile_images/1396982798989381640/IRSUTOjF_normal.jpg")</f>
        <v>https://pbs.twimg.com/profile_images/1396982798989381640/IRSUTOjF_normal.jpg</v>
      </c>
      <c r="G533" s="63"/>
      <c r="H533" s="67"/>
      <c r="I533" s="68"/>
      <c r="J533" s="68"/>
      <c r="K533" s="67" t="s">
        <v>20266</v>
      </c>
      <c r="L533" s="71"/>
      <c r="M533" s="72"/>
      <c r="N533" s="72"/>
      <c r="O533" s="73"/>
      <c r="P533" s="74"/>
      <c r="Q533" s="74"/>
      <c r="R533" s="87"/>
      <c r="S533" s="87"/>
      <c r="T533" s="87"/>
      <c r="U533" s="87"/>
      <c r="V533" s="48"/>
      <c r="W533" s="48"/>
      <c r="X533" s="48"/>
      <c r="Y533" s="48"/>
      <c r="Z533" s="47"/>
      <c r="AA533" s="69">
        <v>533</v>
      </c>
      <c r="AB533" s="69"/>
      <c r="AC533" s="70"/>
      <c r="AD533" s="76" t="s">
        <v>18268</v>
      </c>
      <c r="AE533" s="81" t="s">
        <v>18526</v>
      </c>
      <c r="AF533" s="76">
        <v>13468</v>
      </c>
      <c r="AG533" s="76">
        <v>455</v>
      </c>
      <c r="AH533" s="76">
        <v>95399</v>
      </c>
      <c r="AI533" s="76">
        <v>66</v>
      </c>
      <c r="AJ533" s="76">
        <v>1832</v>
      </c>
      <c r="AK533" s="76">
        <v>63355</v>
      </c>
      <c r="AL533" s="76" t="b">
        <v>0</v>
      </c>
      <c r="AM533" s="78">
        <v>40360.835266203707</v>
      </c>
      <c r="AN533" s="76" t="s">
        <v>18751</v>
      </c>
      <c r="AO533" s="76" t="s">
        <v>19249</v>
      </c>
      <c r="AP533" s="83" t="str">
        <f>HYPERLINK("https://t.co/aG95FZED7k")</f>
        <v>https://t.co/aG95FZED7k</v>
      </c>
      <c r="AQ533" s="83" t="str">
        <f>HYPERLINK("http://www.diariodegoias.com.br")</f>
        <v>http://www.diariodegoias.com.br</v>
      </c>
      <c r="AR533" s="76" t="s">
        <v>19620</v>
      </c>
      <c r="AS533" s="83" t="str">
        <f>HYPERLINK("https://t.co/LOHq4fDK2E")</f>
        <v>https://t.co/LOHq4fDK2E</v>
      </c>
      <c r="AT533" s="83" t="str">
        <f>HYPERLINK("http://diariodegoias.com.br")</f>
        <v>http://diariodegoias.com.br</v>
      </c>
      <c r="AU533" s="76" t="s">
        <v>19620</v>
      </c>
      <c r="AV533" s="76"/>
      <c r="AW533" s="83" t="str">
        <f>HYPERLINK("https://t.co/aG95FZED7k")</f>
        <v>https://t.co/aG95FZED7k</v>
      </c>
      <c r="AX533" s="76" t="b">
        <v>0</v>
      </c>
      <c r="AY533" s="76"/>
      <c r="AZ533" s="76"/>
      <c r="BA533" s="76" t="b">
        <v>0</v>
      </c>
      <c r="BB533" s="76" t="b">
        <v>1</v>
      </c>
      <c r="BC533" s="76" t="b">
        <v>0</v>
      </c>
      <c r="BD533" s="76" t="b">
        <v>0</v>
      </c>
      <c r="BE533" s="76" t="b">
        <v>1</v>
      </c>
      <c r="BF533" s="76" t="b">
        <v>0</v>
      </c>
      <c r="BG533" s="76" t="b">
        <v>0</v>
      </c>
      <c r="BH533" s="83" t="str">
        <f>HYPERLINK("https://pbs.twimg.com/profile_banners/161793323/1642502058")</f>
        <v>https://pbs.twimg.com/profile_banners/161793323/1642502058</v>
      </c>
      <c r="BI533" s="76"/>
      <c r="BJ533" s="76" t="s">
        <v>19734</v>
      </c>
      <c r="BK533" s="76" t="b">
        <v>0</v>
      </c>
      <c r="BL533" s="76"/>
      <c r="BM533" s="76" t="s">
        <v>66</v>
      </c>
      <c r="BN533" s="76" t="s">
        <v>19736</v>
      </c>
      <c r="BO533" s="83" t="str">
        <f>HYPERLINK("https://twitter.com/diariodegoias")</f>
        <v>https://twitter.com/diariodegoias</v>
      </c>
      <c r="BP533" s="2"/>
    </row>
    <row r="534" spans="1:68" x14ac:dyDescent="0.25">
      <c r="A534" s="62" t="s">
        <v>687</v>
      </c>
      <c r="B534" s="63"/>
      <c r="C534" s="63"/>
      <c r="D534" s="64"/>
      <c r="E534" s="66"/>
      <c r="F534" s="103" t="str">
        <f>HYPERLINK("https://pbs.twimg.com/profile_images/1645508547994681345/Cu2nWYBA_normal.jpg")</f>
        <v>https://pbs.twimg.com/profile_images/1645508547994681345/Cu2nWYBA_normal.jpg</v>
      </c>
      <c r="G534" s="63"/>
      <c r="H534" s="67"/>
      <c r="I534" s="68"/>
      <c r="J534" s="68"/>
      <c r="K534" s="67" t="s">
        <v>20267</v>
      </c>
      <c r="L534" s="71"/>
      <c r="M534" s="72"/>
      <c r="N534" s="72"/>
      <c r="O534" s="73"/>
      <c r="P534" s="74"/>
      <c r="Q534" s="74"/>
      <c r="R534" s="87"/>
      <c r="S534" s="87"/>
      <c r="T534" s="87"/>
      <c r="U534" s="87"/>
      <c r="V534" s="48"/>
      <c r="W534" s="48"/>
      <c r="X534" s="48"/>
      <c r="Y534" s="48"/>
      <c r="Z534" s="47"/>
      <c r="AA534" s="69">
        <v>534</v>
      </c>
      <c r="AB534" s="69"/>
      <c r="AC534" s="70"/>
      <c r="AD534" s="76" t="s">
        <v>18269</v>
      </c>
      <c r="AE534" s="81" t="s">
        <v>17379</v>
      </c>
      <c r="AF534" s="76">
        <v>10</v>
      </c>
      <c r="AG534" s="76">
        <v>36</v>
      </c>
      <c r="AH534" s="76">
        <v>519</v>
      </c>
      <c r="AI534" s="76">
        <v>0</v>
      </c>
      <c r="AJ534" s="76">
        <v>23</v>
      </c>
      <c r="AK534" s="76">
        <v>308</v>
      </c>
      <c r="AL534" s="76" t="b">
        <v>0</v>
      </c>
      <c r="AM534" s="78">
        <v>44735.674791666665</v>
      </c>
      <c r="AN534" s="76"/>
      <c r="AO534" s="76" t="s">
        <v>19250</v>
      </c>
      <c r="AP534" s="83" t="str">
        <f>HYPERLINK("https://t.co/zpjnsxfFS6")</f>
        <v>https://t.co/zpjnsxfFS6</v>
      </c>
      <c r="AQ534" s="83" t="str">
        <f>HYPERLINK("http://www.keepgrowing.com.br")</f>
        <v>http://www.keepgrowing.com.br</v>
      </c>
      <c r="AR534" s="76" t="s">
        <v>19621</v>
      </c>
      <c r="AS534" s="83" t="str">
        <f>HYPERLINK("https://t.co/c6QGORXc0J")</f>
        <v>https://t.co/c6QGORXc0J</v>
      </c>
      <c r="AT534" s="83" t="str">
        <f>HYPERLINK("http://keepgrowing.com.br")</f>
        <v>http://keepgrowing.com.br</v>
      </c>
      <c r="AU534" s="76" t="s">
        <v>19621</v>
      </c>
      <c r="AV534" s="76"/>
      <c r="AW534" s="83" t="str">
        <f>HYPERLINK("https://t.co/zpjnsxfFS6")</f>
        <v>https://t.co/zpjnsxfFS6</v>
      </c>
      <c r="AX534" s="76" t="b">
        <v>0</v>
      </c>
      <c r="AY534" s="76"/>
      <c r="AZ534" s="76"/>
      <c r="BA534" s="76" t="b">
        <v>0</v>
      </c>
      <c r="BB534" s="76" t="b">
        <v>1</v>
      </c>
      <c r="BC534" s="76" t="b">
        <v>1</v>
      </c>
      <c r="BD534" s="76" t="b">
        <v>0</v>
      </c>
      <c r="BE534" s="76" t="b">
        <v>0</v>
      </c>
      <c r="BF534" s="76" t="b">
        <v>0</v>
      </c>
      <c r="BG534" s="76" t="b">
        <v>0</v>
      </c>
      <c r="BH534" s="83" t="str">
        <f>HYPERLINK("https://pbs.twimg.com/profile_banners/1540004255012102144/1656001105")</f>
        <v>https://pbs.twimg.com/profile_banners/1540004255012102144/1656001105</v>
      </c>
      <c r="BI534" s="76"/>
      <c r="BJ534" s="76" t="s">
        <v>19734</v>
      </c>
      <c r="BK534" s="76" t="b">
        <v>0</v>
      </c>
      <c r="BL534" s="76"/>
      <c r="BM534" s="76" t="s">
        <v>66</v>
      </c>
      <c r="BN534" s="76" t="s">
        <v>19736</v>
      </c>
      <c r="BO534" s="83" t="str">
        <f>HYPERLINK("https://twitter.com/keepgrowing_")</f>
        <v>https://twitter.com/keepgrowing_</v>
      </c>
      <c r="BP534" s="2"/>
    </row>
    <row r="535" spans="1:68" x14ac:dyDescent="0.25">
      <c r="A535" s="62" t="s">
        <v>688</v>
      </c>
      <c r="B535" s="63"/>
      <c r="C535" s="63"/>
      <c r="D535" s="64"/>
      <c r="E535" s="66"/>
      <c r="F535" s="103" t="str">
        <f>HYPERLINK("https://pbs.twimg.com/profile_images/1528518079306661894/sm7Wt4_2_normal.jpg")</f>
        <v>https://pbs.twimg.com/profile_images/1528518079306661894/sm7Wt4_2_normal.jpg</v>
      </c>
      <c r="G535" s="63"/>
      <c r="H535" s="67"/>
      <c r="I535" s="68"/>
      <c r="J535" s="68"/>
      <c r="K535" s="67" t="s">
        <v>20268</v>
      </c>
      <c r="L535" s="71"/>
      <c r="M535" s="72"/>
      <c r="N535" s="72"/>
      <c r="O535" s="73"/>
      <c r="P535" s="74"/>
      <c r="Q535" s="74"/>
      <c r="R535" s="87"/>
      <c r="S535" s="87"/>
      <c r="T535" s="87"/>
      <c r="U535" s="87"/>
      <c r="V535" s="48"/>
      <c r="W535" s="48"/>
      <c r="X535" s="48"/>
      <c r="Y535" s="48"/>
      <c r="Z535" s="47"/>
      <c r="AA535" s="69">
        <v>535</v>
      </c>
      <c r="AB535" s="69"/>
      <c r="AC535" s="70"/>
      <c r="AD535" s="76" t="s">
        <v>18270</v>
      </c>
      <c r="AE535" s="81" t="s">
        <v>17694</v>
      </c>
      <c r="AF535" s="76">
        <v>193</v>
      </c>
      <c r="AG535" s="76">
        <v>66</v>
      </c>
      <c r="AH535" s="76">
        <v>1507</v>
      </c>
      <c r="AI535" s="76">
        <v>4</v>
      </c>
      <c r="AJ535" s="76">
        <v>1669</v>
      </c>
      <c r="AK535" s="76">
        <v>276</v>
      </c>
      <c r="AL535" s="76" t="b">
        <v>0</v>
      </c>
      <c r="AM535" s="78">
        <v>44419.996967592589</v>
      </c>
      <c r="AN535" s="76"/>
      <c r="AO535" s="76" t="s">
        <v>19251</v>
      </c>
      <c r="AP535" s="83" t="str">
        <f>HYPERLINK("https://t.co/D6TYyQQBfS")</f>
        <v>https://t.co/D6TYyQQBfS</v>
      </c>
      <c r="AQ535" s="83" t="str">
        <f>HYPERLINK("https://linktr.ee/CSSFinance")</f>
        <v>https://linktr.ee/CSSFinance</v>
      </c>
      <c r="AR535" s="76" t="s">
        <v>19622</v>
      </c>
      <c r="AS535" s="76"/>
      <c r="AT535" s="76"/>
      <c r="AU535" s="76"/>
      <c r="AV535" s="76"/>
      <c r="AW535" s="83" t="str">
        <f>HYPERLINK("https://t.co/D6TYyQQBfS")</f>
        <v>https://t.co/D6TYyQQBfS</v>
      </c>
      <c r="AX535" s="76" t="b">
        <v>0</v>
      </c>
      <c r="AY535" s="76"/>
      <c r="AZ535" s="76"/>
      <c r="BA535" s="76" t="b">
        <v>1</v>
      </c>
      <c r="BB535" s="76" t="b">
        <v>1</v>
      </c>
      <c r="BC535" s="76" t="b">
        <v>1</v>
      </c>
      <c r="BD535" s="76" t="b">
        <v>0</v>
      </c>
      <c r="BE535" s="76" t="b">
        <v>0</v>
      </c>
      <c r="BF535" s="76" t="b">
        <v>0</v>
      </c>
      <c r="BG535" s="76" t="b">
        <v>0</v>
      </c>
      <c r="BH535" s="83" t="str">
        <f>HYPERLINK("https://pbs.twimg.com/profile_banners/1425606809327476738/1652433902")</f>
        <v>https://pbs.twimg.com/profile_banners/1425606809327476738/1652433902</v>
      </c>
      <c r="BI535" s="76"/>
      <c r="BJ535" s="76" t="s">
        <v>19734</v>
      </c>
      <c r="BK535" s="76" t="b">
        <v>0</v>
      </c>
      <c r="BL535" s="76"/>
      <c r="BM535" s="76" t="s">
        <v>66</v>
      </c>
      <c r="BN535" s="76" t="s">
        <v>19736</v>
      </c>
      <c r="BO535" s="83" t="str">
        <f>HYPERLINK("https://twitter.com/cssfinance")</f>
        <v>https://twitter.com/cssfinance</v>
      </c>
      <c r="BP535" s="2"/>
    </row>
    <row r="536" spans="1:68" x14ac:dyDescent="0.25">
      <c r="A536" s="62" t="s">
        <v>689</v>
      </c>
      <c r="B536" s="63"/>
      <c r="C536" s="63"/>
      <c r="D536" s="64"/>
      <c r="E536" s="66"/>
      <c r="F536" s="103" t="str">
        <f>HYPERLINK("https://pbs.twimg.com/profile_images/993479284856709121/ZQpy2w-j_normal.jpg")</f>
        <v>https://pbs.twimg.com/profile_images/993479284856709121/ZQpy2w-j_normal.jpg</v>
      </c>
      <c r="G536" s="63"/>
      <c r="H536" s="67"/>
      <c r="I536" s="68"/>
      <c r="J536" s="68"/>
      <c r="K536" s="67" t="s">
        <v>20269</v>
      </c>
      <c r="L536" s="71"/>
      <c r="M536" s="72"/>
      <c r="N536" s="72"/>
      <c r="O536" s="73"/>
      <c r="P536" s="74"/>
      <c r="Q536" s="74"/>
      <c r="R536" s="87"/>
      <c r="S536" s="87"/>
      <c r="T536" s="87"/>
      <c r="U536" s="87"/>
      <c r="V536" s="48"/>
      <c r="W536" s="48"/>
      <c r="X536" s="48"/>
      <c r="Y536" s="48"/>
      <c r="Z536" s="47"/>
      <c r="AA536" s="69">
        <v>536</v>
      </c>
      <c r="AB536" s="69"/>
      <c r="AC536" s="70"/>
      <c r="AD536" s="76" t="s">
        <v>18271</v>
      </c>
      <c r="AE536" s="81" t="s">
        <v>18527</v>
      </c>
      <c r="AF536" s="76">
        <v>3340</v>
      </c>
      <c r="AG536" s="76">
        <v>215</v>
      </c>
      <c r="AH536" s="76">
        <v>28095</v>
      </c>
      <c r="AI536" s="76">
        <v>124</v>
      </c>
      <c r="AJ536" s="76">
        <v>6</v>
      </c>
      <c r="AK536" s="76">
        <v>2071</v>
      </c>
      <c r="AL536" s="76" t="b">
        <v>0</v>
      </c>
      <c r="AM536" s="78">
        <v>39891.830208333333</v>
      </c>
      <c r="AN536" s="76" t="s">
        <v>18752</v>
      </c>
      <c r="AO536" s="76" t="s">
        <v>19252</v>
      </c>
      <c r="AP536" s="76"/>
      <c r="AQ536" s="76"/>
      <c r="AR536" s="76"/>
      <c r="AS536" s="76"/>
      <c r="AT536" s="76"/>
      <c r="AU536" s="76"/>
      <c r="AV536" s="76"/>
      <c r="AW536" s="76"/>
      <c r="AX536" s="76" t="b">
        <v>0</v>
      </c>
      <c r="AY536" s="76"/>
      <c r="AZ536" s="76"/>
      <c r="BA536" s="76" t="b">
        <v>0</v>
      </c>
      <c r="BB536" s="76" t="b">
        <v>1</v>
      </c>
      <c r="BC536" s="76" t="b">
        <v>0</v>
      </c>
      <c r="BD536" s="76" t="b">
        <v>0</v>
      </c>
      <c r="BE536" s="76" t="b">
        <v>0</v>
      </c>
      <c r="BF536" s="76" t="b">
        <v>0</v>
      </c>
      <c r="BG536" s="76" t="b">
        <v>0</v>
      </c>
      <c r="BH536" s="76"/>
      <c r="BI536" s="76"/>
      <c r="BJ536" s="76" t="s">
        <v>19734</v>
      </c>
      <c r="BK536" s="76" t="b">
        <v>0</v>
      </c>
      <c r="BL536" s="76"/>
      <c r="BM536" s="76" t="s">
        <v>66</v>
      </c>
      <c r="BN536" s="76" t="s">
        <v>19736</v>
      </c>
      <c r="BO536" s="83" t="str">
        <f>HYPERLINK("https://twitter.com/financas")</f>
        <v>https://twitter.com/financas</v>
      </c>
      <c r="BP536" s="2"/>
    </row>
    <row r="537" spans="1:68" x14ac:dyDescent="0.25">
      <c r="A537" s="62" t="s">
        <v>690</v>
      </c>
      <c r="B537" s="63"/>
      <c r="C537" s="63"/>
      <c r="D537" s="64"/>
      <c r="E537" s="66"/>
      <c r="F537" s="103" t="str">
        <f>HYPERLINK("https://pbs.twimg.com/profile_images/1623704048682541056/03Q_riNX_normal.jpg")</f>
        <v>https://pbs.twimg.com/profile_images/1623704048682541056/03Q_riNX_normal.jpg</v>
      </c>
      <c r="G537" s="63"/>
      <c r="H537" s="67"/>
      <c r="I537" s="68"/>
      <c r="J537" s="68"/>
      <c r="K537" s="67" t="s">
        <v>20270</v>
      </c>
      <c r="L537" s="71"/>
      <c r="M537" s="72"/>
      <c r="N537" s="72"/>
      <c r="O537" s="73"/>
      <c r="P537" s="74"/>
      <c r="Q537" s="74"/>
      <c r="R537" s="87"/>
      <c r="S537" s="87"/>
      <c r="T537" s="87"/>
      <c r="U537" s="87"/>
      <c r="V537" s="48"/>
      <c r="W537" s="48"/>
      <c r="X537" s="48"/>
      <c r="Y537" s="48"/>
      <c r="Z537" s="47"/>
      <c r="AA537" s="69">
        <v>537</v>
      </c>
      <c r="AB537" s="69"/>
      <c r="AC537" s="70"/>
      <c r="AD537" s="76" t="s">
        <v>18272</v>
      </c>
      <c r="AE537" s="81" t="s">
        <v>17695</v>
      </c>
      <c r="AF537" s="76">
        <v>753</v>
      </c>
      <c r="AG537" s="76">
        <v>8</v>
      </c>
      <c r="AH537" s="76">
        <v>389</v>
      </c>
      <c r="AI537" s="76">
        <v>1</v>
      </c>
      <c r="AJ537" s="76">
        <v>37</v>
      </c>
      <c r="AK537" s="76">
        <v>140</v>
      </c>
      <c r="AL537" s="76" t="b">
        <v>0</v>
      </c>
      <c r="AM537" s="78">
        <v>44958.442037037035</v>
      </c>
      <c r="AN537" s="76" t="s">
        <v>12007</v>
      </c>
      <c r="AO537" s="76" t="s">
        <v>19253</v>
      </c>
      <c r="AP537" s="83" t="str">
        <f>HYPERLINK("https://t.co/uWjjKuKAHU")</f>
        <v>https://t.co/uWjjKuKAHU</v>
      </c>
      <c r="AQ537" s="83" t="str">
        <f>HYPERLINK("https://movotrade.onelink.me/DB5u/wjw6krsi")</f>
        <v>https://movotrade.onelink.me/DB5u/wjw6krsi</v>
      </c>
      <c r="AR537" s="76" t="s">
        <v>19623</v>
      </c>
      <c r="AS537" s="76"/>
      <c r="AT537" s="76"/>
      <c r="AU537" s="76"/>
      <c r="AV537" s="76">
        <v>1.7002198604106601E+18</v>
      </c>
      <c r="AW537" s="83" t="str">
        <f>HYPERLINK("https://t.co/uWjjKuKAHU")</f>
        <v>https://t.co/uWjjKuKAHU</v>
      </c>
      <c r="AX537" s="76" t="b">
        <v>1</v>
      </c>
      <c r="AY537" s="76"/>
      <c r="AZ537" s="76"/>
      <c r="BA537" s="76" t="b">
        <v>1</v>
      </c>
      <c r="BB537" s="76" t="b">
        <v>1</v>
      </c>
      <c r="BC537" s="76" t="b">
        <v>1</v>
      </c>
      <c r="BD537" s="76" t="b">
        <v>0</v>
      </c>
      <c r="BE537" s="76" t="b">
        <v>0</v>
      </c>
      <c r="BF537" s="76" t="b">
        <v>0</v>
      </c>
      <c r="BG537" s="76" t="b">
        <v>0</v>
      </c>
      <c r="BH537" s="83" t="str">
        <f>HYPERLINK("https://pbs.twimg.com/profile_banners/1620732790269513728/1675956655")</f>
        <v>https://pbs.twimg.com/profile_banners/1620732790269513728/1675956655</v>
      </c>
      <c r="BI537" s="76"/>
      <c r="BJ537" s="76" t="s">
        <v>19734</v>
      </c>
      <c r="BK537" s="76" t="b">
        <v>0</v>
      </c>
      <c r="BL537" s="76"/>
      <c r="BM537" s="76" t="s">
        <v>66</v>
      </c>
      <c r="BN537" s="76" t="s">
        <v>19736</v>
      </c>
      <c r="BO537" s="83" t="str">
        <f>HYPERLINK("https://twitter.com/movo_trade")</f>
        <v>https://twitter.com/movo_trade</v>
      </c>
      <c r="BP537" s="2"/>
    </row>
    <row r="538" spans="1:68" x14ac:dyDescent="0.25">
      <c r="A538" s="62" t="s">
        <v>691</v>
      </c>
      <c r="B538" s="63"/>
      <c r="C538" s="63"/>
      <c r="D538" s="64"/>
      <c r="E538" s="66"/>
      <c r="F538" s="103" t="str">
        <f>HYPERLINK("https://pbs.twimg.com/profile_images/1676545355905740800/CWmYR7PR_normal.jpg")</f>
        <v>https://pbs.twimg.com/profile_images/1676545355905740800/CWmYR7PR_normal.jpg</v>
      </c>
      <c r="G538" s="63"/>
      <c r="H538" s="67"/>
      <c r="I538" s="68"/>
      <c r="J538" s="68"/>
      <c r="K538" s="67" t="s">
        <v>20271</v>
      </c>
      <c r="L538" s="71"/>
      <c r="M538" s="72"/>
      <c r="N538" s="72"/>
      <c r="O538" s="73"/>
      <c r="P538" s="74"/>
      <c r="Q538" s="74"/>
      <c r="R538" s="87"/>
      <c r="S538" s="87"/>
      <c r="T538" s="87"/>
      <c r="U538" s="87"/>
      <c r="V538" s="48"/>
      <c r="W538" s="48"/>
      <c r="X538" s="48"/>
      <c r="Y538" s="48"/>
      <c r="Z538" s="47"/>
      <c r="AA538" s="69">
        <v>538</v>
      </c>
      <c r="AB538" s="69"/>
      <c r="AC538" s="70"/>
      <c r="AD538" s="76" t="s">
        <v>18273</v>
      </c>
      <c r="AE538" s="81" t="s">
        <v>17380</v>
      </c>
      <c r="AF538" s="76">
        <v>10</v>
      </c>
      <c r="AG538" s="76">
        <v>97</v>
      </c>
      <c r="AH538" s="76">
        <v>261</v>
      </c>
      <c r="AI538" s="76">
        <v>0</v>
      </c>
      <c r="AJ538" s="76">
        <v>349</v>
      </c>
      <c r="AK538" s="76">
        <v>26</v>
      </c>
      <c r="AL538" s="76" t="b">
        <v>0</v>
      </c>
      <c r="AM538" s="78">
        <v>45112.454328703701</v>
      </c>
      <c r="AN538" s="76"/>
      <c r="AO538" s="76" t="s">
        <v>19254</v>
      </c>
      <c r="AP538" s="76"/>
      <c r="AQ538" s="76"/>
      <c r="AR538" s="76"/>
      <c r="AS538" s="76"/>
      <c r="AT538" s="76"/>
      <c r="AU538" s="76"/>
      <c r="AV538" s="76">
        <v>1.67666190894915E+18</v>
      </c>
      <c r="AW538" s="76"/>
      <c r="AX538" s="76" t="b">
        <v>0</v>
      </c>
      <c r="AY538" s="76"/>
      <c r="AZ538" s="76"/>
      <c r="BA538" s="76" t="b">
        <v>0</v>
      </c>
      <c r="BB538" s="76" t="b">
        <v>1</v>
      </c>
      <c r="BC538" s="76" t="b">
        <v>1</v>
      </c>
      <c r="BD538" s="76" t="b">
        <v>0</v>
      </c>
      <c r="BE538" s="76" t="b">
        <v>0</v>
      </c>
      <c r="BF538" s="76" t="b">
        <v>0</v>
      </c>
      <c r="BG538" s="76" t="b">
        <v>0</v>
      </c>
      <c r="BH538" s="83" t="str">
        <f>HYPERLINK("https://pbs.twimg.com/profile_banners/1676544011060871168/1688823115")</f>
        <v>https://pbs.twimg.com/profile_banners/1676544011060871168/1688823115</v>
      </c>
      <c r="BI538" s="76"/>
      <c r="BJ538" s="76" t="s">
        <v>19734</v>
      </c>
      <c r="BK538" s="76" t="b">
        <v>0</v>
      </c>
      <c r="BL538" s="76"/>
      <c r="BM538" s="76" t="s">
        <v>66</v>
      </c>
      <c r="BN538" s="76" t="s">
        <v>19736</v>
      </c>
      <c r="BO538" s="83" t="str">
        <f>HYPERLINK("https://twitter.com/cbcardoso01")</f>
        <v>https://twitter.com/cbcardoso01</v>
      </c>
      <c r="BP538" s="2"/>
    </row>
    <row r="539" spans="1:68" x14ac:dyDescent="0.25">
      <c r="A539" s="62" t="s">
        <v>692</v>
      </c>
      <c r="B539" s="63"/>
      <c r="C539" s="63"/>
      <c r="D539" s="64"/>
      <c r="E539" s="66"/>
      <c r="F539" s="103" t="str">
        <f>HYPERLINK("https://pbs.twimg.com/profile_images/1518936529674117121/MCMYTicP_normal.jpg")</f>
        <v>https://pbs.twimg.com/profile_images/1518936529674117121/MCMYTicP_normal.jpg</v>
      </c>
      <c r="G539" s="63"/>
      <c r="H539" s="67"/>
      <c r="I539" s="68"/>
      <c r="J539" s="68"/>
      <c r="K539" s="67" t="s">
        <v>20272</v>
      </c>
      <c r="L539" s="71"/>
      <c r="M539" s="72"/>
      <c r="N539" s="72"/>
      <c r="O539" s="73"/>
      <c r="P539" s="74"/>
      <c r="Q539" s="74"/>
      <c r="R539" s="87"/>
      <c r="S539" s="87"/>
      <c r="T539" s="87"/>
      <c r="U539" s="87"/>
      <c r="V539" s="48"/>
      <c r="W539" s="48"/>
      <c r="X539" s="48"/>
      <c r="Y539" s="48"/>
      <c r="Z539" s="47"/>
      <c r="AA539" s="69">
        <v>539</v>
      </c>
      <c r="AB539" s="69"/>
      <c r="AC539" s="70"/>
      <c r="AD539" s="76" t="s">
        <v>18274</v>
      </c>
      <c r="AE539" s="81" t="s">
        <v>17381</v>
      </c>
      <c r="AF539" s="76">
        <v>9961</v>
      </c>
      <c r="AG539" s="76">
        <v>197</v>
      </c>
      <c r="AH539" s="76">
        <v>25768</v>
      </c>
      <c r="AI539" s="76">
        <v>25</v>
      </c>
      <c r="AJ539" s="76">
        <v>327</v>
      </c>
      <c r="AK539" s="76">
        <v>3337</v>
      </c>
      <c r="AL539" s="76" t="b">
        <v>0</v>
      </c>
      <c r="AM539" s="78">
        <v>43873.574583333335</v>
      </c>
      <c r="AN539" s="76"/>
      <c r="AO539" s="76" t="s">
        <v>19255</v>
      </c>
      <c r="AP539" s="83" t="str">
        <f>HYPERLINK("https://t.co/jUwDG1cTKo")</f>
        <v>https://t.co/jUwDG1cTKo</v>
      </c>
      <c r="AQ539" s="83" t="str">
        <f>HYPERLINK("http://bpmoney.com.br")</f>
        <v>http://bpmoney.com.br</v>
      </c>
      <c r="AR539" s="76" t="s">
        <v>19624</v>
      </c>
      <c r="AS539" s="76"/>
      <c r="AT539" s="76"/>
      <c r="AU539" s="76"/>
      <c r="AV539" s="76"/>
      <c r="AW539" s="83" t="str">
        <f>HYPERLINK("https://t.co/jUwDG1cTKo")</f>
        <v>https://t.co/jUwDG1cTKo</v>
      </c>
      <c r="AX539" s="76" t="b">
        <v>1</v>
      </c>
      <c r="AY539" s="76"/>
      <c r="AZ539" s="76"/>
      <c r="BA539" s="76" t="b">
        <v>1</v>
      </c>
      <c r="BB539" s="76" t="b">
        <v>1</v>
      </c>
      <c r="BC539" s="76" t="b">
        <v>1</v>
      </c>
      <c r="BD539" s="76" t="b">
        <v>0</v>
      </c>
      <c r="BE539" s="76" t="b">
        <v>1</v>
      </c>
      <c r="BF539" s="76" t="b">
        <v>0</v>
      </c>
      <c r="BG539" s="76" t="b">
        <v>0</v>
      </c>
      <c r="BH539" s="83" t="str">
        <f>HYPERLINK("https://pbs.twimg.com/profile_banners/1227589995411771392/1649096183")</f>
        <v>https://pbs.twimg.com/profile_banners/1227589995411771392/1649096183</v>
      </c>
      <c r="BI539" s="76"/>
      <c r="BJ539" s="76" t="s">
        <v>19734</v>
      </c>
      <c r="BK539" s="76" t="b">
        <v>0</v>
      </c>
      <c r="BL539" s="76"/>
      <c r="BM539" s="76" t="s">
        <v>66</v>
      </c>
      <c r="BN539" s="76" t="s">
        <v>19736</v>
      </c>
      <c r="BO539" s="83" t="str">
        <f>HYPERLINK("https://twitter.com/bpmoney_")</f>
        <v>https://twitter.com/bpmoney_</v>
      </c>
      <c r="BP539" s="2"/>
    </row>
    <row r="540" spans="1:68" x14ac:dyDescent="0.25">
      <c r="A540" s="62" t="s">
        <v>693</v>
      </c>
      <c r="B540" s="63"/>
      <c r="C540" s="63"/>
      <c r="D540" s="64"/>
      <c r="E540" s="66"/>
      <c r="F540" s="103" t="str">
        <f>HYPERLINK("https://pbs.twimg.com/profile_images/1285309208351715338/fsDJCU3y_normal.jpg")</f>
        <v>https://pbs.twimg.com/profile_images/1285309208351715338/fsDJCU3y_normal.jpg</v>
      </c>
      <c r="G540" s="63"/>
      <c r="H540" s="67"/>
      <c r="I540" s="68"/>
      <c r="J540" s="68"/>
      <c r="K540" s="67" t="s">
        <v>20273</v>
      </c>
      <c r="L540" s="71"/>
      <c r="M540" s="72"/>
      <c r="N540" s="72"/>
      <c r="O540" s="73"/>
      <c r="P540" s="74"/>
      <c r="Q540" s="74"/>
      <c r="R540" s="87"/>
      <c r="S540" s="87"/>
      <c r="T540" s="87"/>
      <c r="U540" s="87"/>
      <c r="V540" s="48"/>
      <c r="W540" s="48"/>
      <c r="X540" s="48"/>
      <c r="Y540" s="48"/>
      <c r="Z540" s="47"/>
      <c r="AA540" s="69">
        <v>540</v>
      </c>
      <c r="AB540" s="69"/>
      <c r="AC540" s="70"/>
      <c r="AD540" s="76" t="s">
        <v>18275</v>
      </c>
      <c r="AE540" s="81" t="s">
        <v>18528</v>
      </c>
      <c r="AF540" s="76">
        <v>93</v>
      </c>
      <c r="AG540" s="76">
        <v>312</v>
      </c>
      <c r="AH540" s="76">
        <v>7455</v>
      </c>
      <c r="AI540" s="76">
        <v>1</v>
      </c>
      <c r="AJ540" s="76">
        <v>363</v>
      </c>
      <c r="AK540" s="76">
        <v>1284</v>
      </c>
      <c r="AL540" s="76" t="b">
        <v>0</v>
      </c>
      <c r="AM540" s="78">
        <v>40044.696145833332</v>
      </c>
      <c r="AN540" s="76" t="s">
        <v>18753</v>
      </c>
      <c r="AO540" s="76" t="s">
        <v>19256</v>
      </c>
      <c r="AP540" s="76"/>
      <c r="AQ540" s="76"/>
      <c r="AR540" s="76"/>
      <c r="AS540" s="76"/>
      <c r="AT540" s="76"/>
      <c r="AU540" s="76"/>
      <c r="AV540" s="76"/>
      <c r="AW540" s="76"/>
      <c r="AX540" s="76" t="b">
        <v>0</v>
      </c>
      <c r="AY540" s="76"/>
      <c r="AZ540" s="76"/>
      <c r="BA540" s="76" t="b">
        <v>0</v>
      </c>
      <c r="BB540" s="76" t="b">
        <v>1</v>
      </c>
      <c r="BC540" s="76" t="b">
        <v>0</v>
      </c>
      <c r="BD540" s="76" t="b">
        <v>0</v>
      </c>
      <c r="BE540" s="76" t="b">
        <v>1</v>
      </c>
      <c r="BF540" s="76" t="b">
        <v>0</v>
      </c>
      <c r="BG540" s="76" t="b">
        <v>0</v>
      </c>
      <c r="BH540" s="76"/>
      <c r="BI540" s="76"/>
      <c r="BJ540" s="76" t="s">
        <v>19734</v>
      </c>
      <c r="BK540" s="76" t="b">
        <v>0</v>
      </c>
      <c r="BL540" s="76"/>
      <c r="BM540" s="76" t="s">
        <v>66</v>
      </c>
      <c r="BN540" s="76" t="s">
        <v>19736</v>
      </c>
      <c r="BO540" s="83" t="str">
        <f>HYPERLINK("https://twitter.com/ppspencersoares")</f>
        <v>https://twitter.com/ppspencersoares</v>
      </c>
      <c r="BP540" s="2"/>
    </row>
    <row r="541" spans="1:68" x14ac:dyDescent="0.25">
      <c r="A541" s="62" t="s">
        <v>694</v>
      </c>
      <c r="B541" s="63"/>
      <c r="C541" s="63"/>
      <c r="D541" s="64"/>
      <c r="E541" s="66"/>
      <c r="F541" s="103" t="str">
        <f>HYPERLINK("https://pbs.twimg.com/profile_images/1232941252800180224/TWhsnb6c_normal.jpg")</f>
        <v>https://pbs.twimg.com/profile_images/1232941252800180224/TWhsnb6c_normal.jpg</v>
      </c>
      <c r="G541" s="63"/>
      <c r="H541" s="67"/>
      <c r="I541" s="68"/>
      <c r="J541" s="68"/>
      <c r="K541" s="67" t="s">
        <v>20274</v>
      </c>
      <c r="L541" s="71"/>
      <c r="M541" s="72"/>
      <c r="N541" s="72"/>
      <c r="O541" s="73"/>
      <c r="P541" s="74"/>
      <c r="Q541" s="74"/>
      <c r="R541" s="87"/>
      <c r="S541" s="87"/>
      <c r="T541" s="87"/>
      <c r="U541" s="87"/>
      <c r="V541" s="48"/>
      <c r="W541" s="48"/>
      <c r="X541" s="48"/>
      <c r="Y541" s="48"/>
      <c r="Z541" s="47"/>
      <c r="AA541" s="69">
        <v>541</v>
      </c>
      <c r="AB541" s="69"/>
      <c r="AC541" s="70"/>
      <c r="AD541" s="76" t="s">
        <v>18276</v>
      </c>
      <c r="AE541" s="81" t="s">
        <v>17696</v>
      </c>
      <c r="AF541" s="76">
        <v>4</v>
      </c>
      <c r="AG541" s="76">
        <v>34</v>
      </c>
      <c r="AH541" s="76">
        <v>1790</v>
      </c>
      <c r="AI541" s="76">
        <v>0</v>
      </c>
      <c r="AJ541" s="76">
        <v>303</v>
      </c>
      <c r="AK541" s="76">
        <v>113</v>
      </c>
      <c r="AL541" s="76" t="b">
        <v>0</v>
      </c>
      <c r="AM541" s="78">
        <v>43888.340775462966</v>
      </c>
      <c r="AN541" s="76"/>
      <c r="AO541" s="76"/>
      <c r="AP541" s="76"/>
      <c r="AQ541" s="76"/>
      <c r="AR541" s="76"/>
      <c r="AS541" s="76"/>
      <c r="AT541" s="76"/>
      <c r="AU541" s="76"/>
      <c r="AV541" s="76"/>
      <c r="AW541" s="76"/>
      <c r="AX541" s="76" t="b">
        <v>0</v>
      </c>
      <c r="AY541" s="76"/>
      <c r="AZ541" s="76"/>
      <c r="BA541" s="76" t="b">
        <v>0</v>
      </c>
      <c r="BB541" s="76" t="b">
        <v>1</v>
      </c>
      <c r="BC541" s="76" t="b">
        <v>1</v>
      </c>
      <c r="BD541" s="76" t="b">
        <v>0</v>
      </c>
      <c r="BE541" s="76" t="b">
        <v>1</v>
      </c>
      <c r="BF541" s="76" t="b">
        <v>0</v>
      </c>
      <c r="BG541" s="76" t="b">
        <v>0</v>
      </c>
      <c r="BH541" s="76"/>
      <c r="BI541" s="76"/>
      <c r="BJ541" s="76" t="s">
        <v>19734</v>
      </c>
      <c r="BK541" s="76" t="b">
        <v>0</v>
      </c>
      <c r="BL541" s="76"/>
      <c r="BM541" s="76" t="s">
        <v>66</v>
      </c>
      <c r="BN541" s="76" t="s">
        <v>19736</v>
      </c>
      <c r="BO541" s="83" t="str">
        <f>HYPERLINK("https://twitter.com/hamampaulo")</f>
        <v>https://twitter.com/hamampaulo</v>
      </c>
      <c r="BP541" s="2"/>
    </row>
    <row r="542" spans="1:68" x14ac:dyDescent="0.25">
      <c r="A542" s="62" t="s">
        <v>796</v>
      </c>
      <c r="B542" s="63"/>
      <c r="C542" s="63"/>
      <c r="D542" s="64"/>
      <c r="E542" s="66"/>
      <c r="F542" s="103" t="str">
        <f>HYPERLINK("https://pbs.twimg.com/profile_images/1672003543228641286/WnBdXKVE_normal.jpg")</f>
        <v>https://pbs.twimg.com/profile_images/1672003543228641286/WnBdXKVE_normal.jpg</v>
      </c>
      <c r="G542" s="63"/>
      <c r="H542" s="67"/>
      <c r="I542" s="68"/>
      <c r="J542" s="68"/>
      <c r="K542" s="67" t="s">
        <v>20275</v>
      </c>
      <c r="L542" s="71"/>
      <c r="M542" s="72"/>
      <c r="N542" s="72"/>
      <c r="O542" s="73"/>
      <c r="P542" s="74"/>
      <c r="Q542" s="74"/>
      <c r="R542" s="87"/>
      <c r="S542" s="87"/>
      <c r="T542" s="87"/>
      <c r="U542" s="87"/>
      <c r="V542" s="48"/>
      <c r="W542" s="48"/>
      <c r="X542" s="48"/>
      <c r="Y542" s="48"/>
      <c r="Z542" s="47"/>
      <c r="AA542" s="69">
        <v>542</v>
      </c>
      <c r="AB542" s="69"/>
      <c r="AC542" s="70"/>
      <c r="AD542" s="76" t="s">
        <v>18277</v>
      </c>
      <c r="AE542" s="81" t="s">
        <v>17382</v>
      </c>
      <c r="AF542" s="76">
        <v>389930</v>
      </c>
      <c r="AG542" s="76">
        <v>931</v>
      </c>
      <c r="AH542" s="76">
        <v>33091</v>
      </c>
      <c r="AI542" s="76">
        <v>1355</v>
      </c>
      <c r="AJ542" s="76">
        <v>3799</v>
      </c>
      <c r="AK542" s="76">
        <v>602</v>
      </c>
      <c r="AL542" s="76" t="b">
        <v>0</v>
      </c>
      <c r="AM542" s="78">
        <v>40046.950636574074</v>
      </c>
      <c r="AN542" s="76"/>
      <c r="AO542" s="76" t="s">
        <v>19257</v>
      </c>
      <c r="AP542" s="76"/>
      <c r="AQ542" s="76"/>
      <c r="AR542" s="76"/>
      <c r="AS542" s="76"/>
      <c r="AT542" s="76"/>
      <c r="AU542" s="76"/>
      <c r="AV542" s="76">
        <v>1.6721567876031201E+18</v>
      </c>
      <c r="AW542" s="76"/>
      <c r="AX542" s="76" t="b">
        <v>0</v>
      </c>
      <c r="AY542" s="76"/>
      <c r="AZ542" s="76"/>
      <c r="BA542" s="76" t="b">
        <v>0</v>
      </c>
      <c r="BB542" s="76" t="b">
        <v>0</v>
      </c>
      <c r="BC542" s="76" t="b">
        <v>0</v>
      </c>
      <c r="BD542" s="76" t="b">
        <v>0</v>
      </c>
      <c r="BE542" s="76" t="b">
        <v>1</v>
      </c>
      <c r="BF542" s="76" t="b">
        <v>0</v>
      </c>
      <c r="BG542" s="76" t="b">
        <v>0</v>
      </c>
      <c r="BH542" s="83" t="str">
        <f>HYPERLINK("https://pbs.twimg.com/profile_banners/67743025/1609721659")</f>
        <v>https://pbs.twimg.com/profile_banners/67743025/1609721659</v>
      </c>
      <c r="BI542" s="76"/>
      <c r="BJ542" s="76" t="s">
        <v>19734</v>
      </c>
      <c r="BK542" s="76" t="b">
        <v>0</v>
      </c>
      <c r="BL542" s="76"/>
      <c r="BM542" s="76" t="s">
        <v>65</v>
      </c>
      <c r="BN542" s="76" t="s">
        <v>19736</v>
      </c>
      <c r="BO542" s="83" t="str">
        <f>HYPERLINK("https://twitter.com/danielalima_")</f>
        <v>https://twitter.com/danielalima_</v>
      </c>
      <c r="BP542" s="2"/>
    </row>
    <row r="543" spans="1:68" x14ac:dyDescent="0.25">
      <c r="A543" s="62" t="s">
        <v>695</v>
      </c>
      <c r="B543" s="63"/>
      <c r="C543" s="63"/>
      <c r="D543" s="64"/>
      <c r="E543" s="66"/>
      <c r="F543" s="103" t="str">
        <f>HYPERLINK("https://pbs.twimg.com/profile_images/1584142921179201536/uM4qS45U_normal.jpg")</f>
        <v>https://pbs.twimg.com/profile_images/1584142921179201536/uM4qS45U_normal.jpg</v>
      </c>
      <c r="G543" s="63"/>
      <c r="H543" s="67"/>
      <c r="I543" s="68"/>
      <c r="J543" s="68"/>
      <c r="K543" s="67" t="s">
        <v>20276</v>
      </c>
      <c r="L543" s="71"/>
      <c r="M543" s="72"/>
      <c r="N543" s="72"/>
      <c r="O543" s="73"/>
      <c r="P543" s="74"/>
      <c r="Q543" s="74"/>
      <c r="R543" s="87"/>
      <c r="S543" s="87"/>
      <c r="T543" s="87"/>
      <c r="U543" s="87"/>
      <c r="V543" s="48"/>
      <c r="W543" s="48"/>
      <c r="X543" s="48"/>
      <c r="Y543" s="48"/>
      <c r="Z543" s="47"/>
      <c r="AA543" s="69">
        <v>543</v>
      </c>
      <c r="AB543" s="69"/>
      <c r="AC543" s="70"/>
      <c r="AD543" s="76" t="s">
        <v>18278</v>
      </c>
      <c r="AE543" s="81" t="s">
        <v>18529</v>
      </c>
      <c r="AF543" s="76">
        <v>108</v>
      </c>
      <c r="AG543" s="76">
        <v>511</v>
      </c>
      <c r="AH543" s="76">
        <v>1180</v>
      </c>
      <c r="AI543" s="76">
        <v>6</v>
      </c>
      <c r="AJ543" s="76">
        <v>961</v>
      </c>
      <c r="AK543" s="76">
        <v>309</v>
      </c>
      <c r="AL543" s="76" t="b">
        <v>0</v>
      </c>
      <c r="AM543" s="78">
        <v>39994.428240740737</v>
      </c>
      <c r="AN543" s="76" t="s">
        <v>18754</v>
      </c>
      <c r="AO543" s="76" t="s">
        <v>19258</v>
      </c>
      <c r="AP543" s="76"/>
      <c r="AQ543" s="76"/>
      <c r="AR543" s="76"/>
      <c r="AS543" s="76"/>
      <c r="AT543" s="76"/>
      <c r="AU543" s="76"/>
      <c r="AV543" s="76"/>
      <c r="AW543" s="76"/>
      <c r="AX543" s="76" t="b">
        <v>1</v>
      </c>
      <c r="AY543" s="76"/>
      <c r="AZ543" s="76"/>
      <c r="BA543" s="76" t="b">
        <v>0</v>
      </c>
      <c r="BB543" s="76" t="b">
        <v>0</v>
      </c>
      <c r="BC543" s="76" t="b">
        <v>0</v>
      </c>
      <c r="BD543" s="76" t="b">
        <v>0</v>
      </c>
      <c r="BE543" s="76" t="b">
        <v>0</v>
      </c>
      <c r="BF543" s="76" t="b">
        <v>0</v>
      </c>
      <c r="BG543" s="76" t="b">
        <v>0</v>
      </c>
      <c r="BH543" s="83" t="str">
        <f>HYPERLINK("https://pbs.twimg.com/profile_banners/52359184/1680442151")</f>
        <v>https://pbs.twimg.com/profile_banners/52359184/1680442151</v>
      </c>
      <c r="BI543" s="76"/>
      <c r="BJ543" s="76" t="s">
        <v>19734</v>
      </c>
      <c r="BK543" s="76" t="b">
        <v>0</v>
      </c>
      <c r="BL543" s="76"/>
      <c r="BM543" s="76" t="s">
        <v>66</v>
      </c>
      <c r="BN543" s="76" t="s">
        <v>19736</v>
      </c>
      <c r="BO543" s="83" t="str">
        <f>HYPERLINK("https://twitter.com/cryptonita_ta")</f>
        <v>https://twitter.com/cryptonita_ta</v>
      </c>
      <c r="BP543" s="2"/>
    </row>
    <row r="544" spans="1:68" x14ac:dyDescent="0.25">
      <c r="A544" s="62" t="s">
        <v>696</v>
      </c>
      <c r="B544" s="63"/>
      <c r="C544" s="63"/>
      <c r="D544" s="64"/>
      <c r="E544" s="66"/>
      <c r="F544" s="103" t="str">
        <f>HYPERLINK("https://pbs.twimg.com/profile_images/1670518848431243265/yWhTcweE_normal.jpg")</f>
        <v>https://pbs.twimg.com/profile_images/1670518848431243265/yWhTcweE_normal.jpg</v>
      </c>
      <c r="G544" s="63"/>
      <c r="H544" s="67"/>
      <c r="I544" s="68"/>
      <c r="J544" s="68"/>
      <c r="K544" s="67" t="s">
        <v>20277</v>
      </c>
      <c r="L544" s="71"/>
      <c r="M544" s="72"/>
      <c r="N544" s="72"/>
      <c r="O544" s="73"/>
      <c r="P544" s="74"/>
      <c r="Q544" s="74"/>
      <c r="R544" s="87"/>
      <c r="S544" s="87"/>
      <c r="T544" s="87"/>
      <c r="U544" s="87"/>
      <c r="V544" s="48"/>
      <c r="W544" s="48"/>
      <c r="X544" s="48"/>
      <c r="Y544" s="48"/>
      <c r="Z544" s="47"/>
      <c r="AA544" s="69">
        <v>544</v>
      </c>
      <c r="AB544" s="69"/>
      <c r="AC544" s="70"/>
      <c r="AD544" s="76" t="s">
        <v>18279</v>
      </c>
      <c r="AE544" s="81" t="s">
        <v>17697</v>
      </c>
      <c r="AF544" s="76">
        <v>4</v>
      </c>
      <c r="AG544" s="76">
        <v>50</v>
      </c>
      <c r="AH544" s="76">
        <v>279</v>
      </c>
      <c r="AI544" s="76">
        <v>0</v>
      </c>
      <c r="AJ544" s="76">
        <v>57</v>
      </c>
      <c r="AK544" s="76">
        <v>12</v>
      </c>
      <c r="AL544" s="76" t="b">
        <v>0</v>
      </c>
      <c r="AM544" s="78">
        <v>45083.118611111109</v>
      </c>
      <c r="AN544" s="76"/>
      <c r="AO544" s="76" t="s">
        <v>19259</v>
      </c>
      <c r="AP544" s="83" t="str">
        <f>HYPERLINK("https://t.co/VPLkEWPWJg")</f>
        <v>https://t.co/VPLkEWPWJg</v>
      </c>
      <c r="AQ544" s="83" t="str">
        <f>HYPERLINK("https://dicionarionews.com.br")</f>
        <v>https://dicionarionews.com.br</v>
      </c>
      <c r="AR544" s="76" t="s">
        <v>19625</v>
      </c>
      <c r="AS544" s="76"/>
      <c r="AT544" s="76"/>
      <c r="AU544" s="76"/>
      <c r="AV544" s="76"/>
      <c r="AW544" s="83" t="str">
        <f>HYPERLINK("https://t.co/VPLkEWPWJg")</f>
        <v>https://t.co/VPLkEWPWJg</v>
      </c>
      <c r="AX544" s="76" t="b">
        <v>0</v>
      </c>
      <c r="AY544" s="76"/>
      <c r="AZ544" s="76"/>
      <c r="BA544" s="76" t="b">
        <v>0</v>
      </c>
      <c r="BB544" s="76" t="b">
        <v>1</v>
      </c>
      <c r="BC544" s="76" t="b">
        <v>1</v>
      </c>
      <c r="BD544" s="76" t="b">
        <v>0</v>
      </c>
      <c r="BE544" s="76" t="b">
        <v>0</v>
      </c>
      <c r="BF544" s="76" t="b">
        <v>0</v>
      </c>
      <c r="BG544" s="76" t="b">
        <v>0</v>
      </c>
      <c r="BH544" s="83" t="str">
        <f>HYPERLINK("https://pbs.twimg.com/profile_banners/1665913936657494016/1686794859")</f>
        <v>https://pbs.twimg.com/profile_banners/1665913936657494016/1686794859</v>
      </c>
      <c r="BI544" s="76"/>
      <c r="BJ544" s="76" t="s">
        <v>19734</v>
      </c>
      <c r="BK544" s="76" t="b">
        <v>0</v>
      </c>
      <c r="BL544" s="76"/>
      <c r="BM544" s="76" t="s">
        <v>66</v>
      </c>
      <c r="BN544" s="76" t="s">
        <v>19736</v>
      </c>
      <c r="BO544" s="83" t="str">
        <f>HYPERLINK("https://twitter.com/dicionario_news")</f>
        <v>https://twitter.com/dicionario_news</v>
      </c>
      <c r="BP544" s="2"/>
    </row>
    <row r="545" spans="1:68" x14ac:dyDescent="0.25">
      <c r="A545" s="62" t="s">
        <v>697</v>
      </c>
      <c r="B545" s="63"/>
      <c r="C545" s="63"/>
      <c r="D545" s="64"/>
      <c r="E545" s="66"/>
      <c r="F545" s="103" t="str">
        <f>HYPERLINK("https://pbs.twimg.com/profile_images/1586364365028167680/ecKJ-tR1_normal.jpg")</f>
        <v>https://pbs.twimg.com/profile_images/1586364365028167680/ecKJ-tR1_normal.jpg</v>
      </c>
      <c r="G545" s="63"/>
      <c r="H545" s="67"/>
      <c r="I545" s="68"/>
      <c r="J545" s="68"/>
      <c r="K545" s="67" t="s">
        <v>20278</v>
      </c>
      <c r="L545" s="71"/>
      <c r="M545" s="72"/>
      <c r="N545" s="72"/>
      <c r="O545" s="73"/>
      <c r="P545" s="74"/>
      <c r="Q545" s="74"/>
      <c r="R545" s="87"/>
      <c r="S545" s="87"/>
      <c r="T545" s="87"/>
      <c r="U545" s="87"/>
      <c r="V545" s="48"/>
      <c r="W545" s="48"/>
      <c r="X545" s="48"/>
      <c r="Y545" s="48"/>
      <c r="Z545" s="47"/>
      <c r="AA545" s="69">
        <v>545</v>
      </c>
      <c r="AB545" s="69"/>
      <c r="AC545" s="70"/>
      <c r="AD545" s="76" t="s">
        <v>18280</v>
      </c>
      <c r="AE545" s="81" t="s">
        <v>18530</v>
      </c>
      <c r="AF545" s="76">
        <v>12194</v>
      </c>
      <c r="AG545" s="76">
        <v>485</v>
      </c>
      <c r="AH545" s="76">
        <v>45379</v>
      </c>
      <c r="AI545" s="76">
        <v>235</v>
      </c>
      <c r="AJ545" s="76">
        <v>37405</v>
      </c>
      <c r="AK545" s="76">
        <v>4644</v>
      </c>
      <c r="AL545" s="76" t="b">
        <v>0</v>
      </c>
      <c r="AM545" s="78">
        <v>41882.076249999998</v>
      </c>
      <c r="AN545" s="76" t="s">
        <v>12014</v>
      </c>
      <c r="AO545" s="76" t="s">
        <v>19260</v>
      </c>
      <c r="AP545" s="76"/>
      <c r="AQ545" s="76"/>
      <c r="AR545" s="76"/>
      <c r="AS545" s="76"/>
      <c r="AT545" s="76"/>
      <c r="AU545" s="76"/>
      <c r="AV545" s="76">
        <v>1.2324906739845601E+18</v>
      </c>
      <c r="AW545" s="76"/>
      <c r="AX545" s="76" t="b">
        <v>0</v>
      </c>
      <c r="AY545" s="76"/>
      <c r="AZ545" s="76"/>
      <c r="BA545" s="76" t="b">
        <v>0</v>
      </c>
      <c r="BB545" s="76" t="b">
        <v>1</v>
      </c>
      <c r="BC545" s="76" t="b">
        <v>0</v>
      </c>
      <c r="BD545" s="76" t="b">
        <v>0</v>
      </c>
      <c r="BE545" s="76" t="b">
        <v>1</v>
      </c>
      <c r="BF545" s="76" t="b">
        <v>0</v>
      </c>
      <c r="BG545" s="76" t="b">
        <v>0</v>
      </c>
      <c r="BH545" s="83" t="str">
        <f>HYPERLINK("https://pbs.twimg.com/profile_banners/2781389394/1649031112")</f>
        <v>https://pbs.twimg.com/profile_banners/2781389394/1649031112</v>
      </c>
      <c r="BI545" s="76"/>
      <c r="BJ545" s="76" t="s">
        <v>19734</v>
      </c>
      <c r="BK545" s="76" t="b">
        <v>0</v>
      </c>
      <c r="BL545" s="76"/>
      <c r="BM545" s="76" t="s">
        <v>66</v>
      </c>
      <c r="BN545" s="76" t="s">
        <v>19736</v>
      </c>
      <c r="BO545" s="83" t="str">
        <f>HYPERLINK("https://twitter.com/capivaranab3")</f>
        <v>https://twitter.com/capivaranab3</v>
      </c>
      <c r="BP545" s="2"/>
    </row>
    <row r="546" spans="1:68" x14ac:dyDescent="0.25">
      <c r="A546" s="62" t="s">
        <v>698</v>
      </c>
      <c r="B546" s="63"/>
      <c r="C546" s="63"/>
      <c r="D546" s="64"/>
      <c r="E546" s="66"/>
      <c r="F546" s="103" t="str">
        <f>HYPERLINK("https://pbs.twimg.com/profile_images/576112126185492480/MDrKoKb4_normal.jpeg")</f>
        <v>https://pbs.twimg.com/profile_images/576112126185492480/MDrKoKb4_normal.jpeg</v>
      </c>
      <c r="G546" s="63"/>
      <c r="H546" s="67"/>
      <c r="I546" s="68"/>
      <c r="J546" s="68"/>
      <c r="K546" s="67" t="s">
        <v>20279</v>
      </c>
      <c r="L546" s="71"/>
      <c r="M546" s="72"/>
      <c r="N546" s="72"/>
      <c r="O546" s="73"/>
      <c r="P546" s="74"/>
      <c r="Q546" s="74"/>
      <c r="R546" s="87"/>
      <c r="S546" s="87"/>
      <c r="T546" s="87"/>
      <c r="U546" s="87"/>
      <c r="V546" s="48"/>
      <c r="W546" s="48"/>
      <c r="X546" s="48"/>
      <c r="Y546" s="48"/>
      <c r="Z546" s="47"/>
      <c r="AA546" s="69">
        <v>546</v>
      </c>
      <c r="AB546" s="69"/>
      <c r="AC546" s="70"/>
      <c r="AD546" s="76" t="s">
        <v>18281</v>
      </c>
      <c r="AE546" s="81" t="s">
        <v>18531</v>
      </c>
      <c r="AF546" s="76">
        <v>763</v>
      </c>
      <c r="AG546" s="76">
        <v>376</v>
      </c>
      <c r="AH546" s="76">
        <v>5857</v>
      </c>
      <c r="AI546" s="76">
        <v>7</v>
      </c>
      <c r="AJ546" s="76">
        <v>145</v>
      </c>
      <c r="AK546" s="76">
        <v>3238</v>
      </c>
      <c r="AL546" s="76" t="b">
        <v>0</v>
      </c>
      <c r="AM546" s="78">
        <v>40554.856435185182</v>
      </c>
      <c r="AN546" s="76" t="s">
        <v>18755</v>
      </c>
      <c r="AO546" s="76" t="s">
        <v>19261</v>
      </c>
      <c r="AP546" s="83" t="str">
        <f>HYPERLINK("https://t.co/2Y6n5zdMvs")</f>
        <v>https://t.co/2Y6n5zdMvs</v>
      </c>
      <c r="AQ546" s="83" t="str">
        <f>HYPERLINK("http://www.correiopopular.com.br")</f>
        <v>http://www.correiopopular.com.br</v>
      </c>
      <c r="AR546" s="76" t="s">
        <v>19626</v>
      </c>
      <c r="AS546" s="76"/>
      <c r="AT546" s="76"/>
      <c r="AU546" s="76"/>
      <c r="AV546" s="76">
        <v>1.68355987663774E+18</v>
      </c>
      <c r="AW546" s="83" t="str">
        <f>HYPERLINK("https://t.co/2Y6n5zdMvs")</f>
        <v>https://t.co/2Y6n5zdMvs</v>
      </c>
      <c r="AX546" s="76" t="b">
        <v>0</v>
      </c>
      <c r="AY546" s="76"/>
      <c r="AZ546" s="76"/>
      <c r="BA546" s="76" t="b">
        <v>0</v>
      </c>
      <c r="BB546" s="76" t="b">
        <v>1</v>
      </c>
      <c r="BC546" s="76" t="b">
        <v>0</v>
      </c>
      <c r="BD546" s="76" t="b">
        <v>0</v>
      </c>
      <c r="BE546" s="76" t="b">
        <v>0</v>
      </c>
      <c r="BF546" s="76" t="b">
        <v>0</v>
      </c>
      <c r="BG546" s="76" t="b">
        <v>0</v>
      </c>
      <c r="BH546" s="83" t="str">
        <f>HYPERLINK("https://pbs.twimg.com/profile_banners/236985635/1571671932")</f>
        <v>https://pbs.twimg.com/profile_banners/236985635/1571671932</v>
      </c>
      <c r="BI546" s="76"/>
      <c r="BJ546" s="76" t="s">
        <v>19734</v>
      </c>
      <c r="BK546" s="76" t="b">
        <v>0</v>
      </c>
      <c r="BL546" s="76"/>
      <c r="BM546" s="76" t="s">
        <v>66</v>
      </c>
      <c r="BN546" s="76" t="s">
        <v>19736</v>
      </c>
      <c r="BO546" s="83" t="str">
        <f>HYPERLINK("https://twitter.com/correiopopular_")</f>
        <v>https://twitter.com/correiopopular_</v>
      </c>
      <c r="BP546" s="2"/>
    </row>
    <row r="547" spans="1:68" x14ac:dyDescent="0.25">
      <c r="A547" s="62" t="s">
        <v>699</v>
      </c>
      <c r="B547" s="63"/>
      <c r="C547" s="63"/>
      <c r="D547" s="64"/>
      <c r="E547" s="66"/>
      <c r="F547" s="103" t="str">
        <f>HYPERLINK("https://pbs.twimg.com/profile_images/824599140302811136/SZ6VQJwb_normal.jpg")</f>
        <v>https://pbs.twimg.com/profile_images/824599140302811136/SZ6VQJwb_normal.jpg</v>
      </c>
      <c r="G547" s="63"/>
      <c r="H547" s="67"/>
      <c r="I547" s="68"/>
      <c r="J547" s="68"/>
      <c r="K547" s="67" t="s">
        <v>20280</v>
      </c>
      <c r="L547" s="71"/>
      <c r="M547" s="72"/>
      <c r="N547" s="72"/>
      <c r="O547" s="73"/>
      <c r="P547" s="74"/>
      <c r="Q547" s="74"/>
      <c r="R547" s="87"/>
      <c r="S547" s="87"/>
      <c r="T547" s="87"/>
      <c r="U547" s="87"/>
      <c r="V547" s="48"/>
      <c r="W547" s="48"/>
      <c r="X547" s="48"/>
      <c r="Y547" s="48"/>
      <c r="Z547" s="47"/>
      <c r="AA547" s="69">
        <v>547</v>
      </c>
      <c r="AB547" s="69"/>
      <c r="AC547" s="70"/>
      <c r="AD547" s="76" t="s">
        <v>18282</v>
      </c>
      <c r="AE547" s="81" t="s">
        <v>17698</v>
      </c>
      <c r="AF547" s="76">
        <v>219</v>
      </c>
      <c r="AG547" s="76">
        <v>105</v>
      </c>
      <c r="AH547" s="76">
        <v>2598</v>
      </c>
      <c r="AI547" s="76">
        <v>0</v>
      </c>
      <c r="AJ547" s="76">
        <v>38</v>
      </c>
      <c r="AK547" s="76">
        <v>7</v>
      </c>
      <c r="AL547" s="76" t="b">
        <v>0</v>
      </c>
      <c r="AM547" s="78">
        <v>42714.549363425926</v>
      </c>
      <c r="AN547" s="76" t="s">
        <v>18756</v>
      </c>
      <c r="AO547" s="76"/>
      <c r="AP547" s="76"/>
      <c r="AQ547" s="76"/>
      <c r="AR547" s="76"/>
      <c r="AS547" s="76"/>
      <c r="AT547" s="76"/>
      <c r="AU547" s="76"/>
      <c r="AV547" s="76"/>
      <c r="AW547" s="76"/>
      <c r="AX547" s="76" t="b">
        <v>0</v>
      </c>
      <c r="AY547" s="76"/>
      <c r="AZ547" s="76"/>
      <c r="BA547" s="76" t="b">
        <v>0</v>
      </c>
      <c r="BB547" s="76" t="b">
        <v>1</v>
      </c>
      <c r="BC547" s="76" t="b">
        <v>0</v>
      </c>
      <c r="BD547" s="76" t="b">
        <v>0</v>
      </c>
      <c r="BE547" s="76" t="b">
        <v>0</v>
      </c>
      <c r="BF547" s="76" t="b">
        <v>0</v>
      </c>
      <c r="BG547" s="76" t="b">
        <v>0</v>
      </c>
      <c r="BH547" s="83" t="str">
        <f>HYPERLINK("https://pbs.twimg.com/profile_banners/807573349815767040/1485434688")</f>
        <v>https://pbs.twimg.com/profile_banners/807573349815767040/1485434688</v>
      </c>
      <c r="BI547" s="76"/>
      <c r="BJ547" s="76" t="s">
        <v>19734</v>
      </c>
      <c r="BK547" s="76" t="b">
        <v>0</v>
      </c>
      <c r="BL547" s="76"/>
      <c r="BM547" s="76" t="s">
        <v>66</v>
      </c>
      <c r="BN547" s="76" t="s">
        <v>19736</v>
      </c>
      <c r="BO547" s="83" t="str">
        <f>HYPERLINK("https://twitter.com/empreendegoias")</f>
        <v>https://twitter.com/empreendegoias</v>
      </c>
      <c r="BP547" s="2"/>
    </row>
    <row r="548" spans="1:68" x14ac:dyDescent="0.25">
      <c r="A548" s="62" t="s">
        <v>700</v>
      </c>
      <c r="B548" s="63"/>
      <c r="C548" s="63"/>
      <c r="D548" s="64"/>
      <c r="E548" s="66"/>
      <c r="F548" s="103" t="str">
        <f>HYPERLINK("https://pbs.twimg.com/profile_images/1598414451404840974/FdwXCs7t_normal.jpg")</f>
        <v>https://pbs.twimg.com/profile_images/1598414451404840974/FdwXCs7t_normal.jpg</v>
      </c>
      <c r="G548" s="63"/>
      <c r="H548" s="67"/>
      <c r="I548" s="68"/>
      <c r="J548" s="68"/>
      <c r="K548" s="67" t="s">
        <v>20281</v>
      </c>
      <c r="L548" s="71"/>
      <c r="M548" s="72"/>
      <c r="N548" s="72"/>
      <c r="O548" s="73"/>
      <c r="P548" s="74"/>
      <c r="Q548" s="74"/>
      <c r="R548" s="87"/>
      <c r="S548" s="87"/>
      <c r="T548" s="87"/>
      <c r="U548" s="87"/>
      <c r="V548" s="48"/>
      <c r="W548" s="48"/>
      <c r="X548" s="48"/>
      <c r="Y548" s="48"/>
      <c r="Z548" s="47"/>
      <c r="AA548" s="69">
        <v>548</v>
      </c>
      <c r="AB548" s="69"/>
      <c r="AC548" s="70"/>
      <c r="AD548" s="76" t="s">
        <v>18283</v>
      </c>
      <c r="AE548" s="81" t="s">
        <v>18532</v>
      </c>
      <c r="AF548" s="76">
        <v>4216</v>
      </c>
      <c r="AG548" s="76">
        <v>2064</v>
      </c>
      <c r="AH548" s="76">
        <v>62902</v>
      </c>
      <c r="AI548" s="76">
        <v>106</v>
      </c>
      <c r="AJ548" s="76">
        <v>86</v>
      </c>
      <c r="AK548" s="76">
        <v>19034</v>
      </c>
      <c r="AL548" s="76" t="b">
        <v>0</v>
      </c>
      <c r="AM548" s="78">
        <v>41086.942696759259</v>
      </c>
      <c r="AN548" s="76"/>
      <c r="AO548" s="76" t="s">
        <v>19262</v>
      </c>
      <c r="AP548" s="83" t="str">
        <f>HYPERLINK("https://t.co/2BO1GYnRSC")</f>
        <v>https://t.co/2BO1GYnRSC</v>
      </c>
      <c r="AQ548" s="83" t="str">
        <f>HYPERLINK("http://www.agenciacma.com.br")</f>
        <v>http://www.agenciacma.com.br</v>
      </c>
      <c r="AR548" s="76" t="s">
        <v>19627</v>
      </c>
      <c r="AS548" s="76"/>
      <c r="AT548" s="76"/>
      <c r="AU548" s="76"/>
      <c r="AV548" s="76"/>
      <c r="AW548" s="83" t="str">
        <f>HYPERLINK("https://t.co/2BO1GYnRSC")</f>
        <v>https://t.co/2BO1GYnRSC</v>
      </c>
      <c r="AX548" s="76" t="b">
        <v>0</v>
      </c>
      <c r="AY548" s="76"/>
      <c r="AZ548" s="76"/>
      <c r="BA548" s="76" t="b">
        <v>0</v>
      </c>
      <c r="BB548" s="76" t="b">
        <v>1</v>
      </c>
      <c r="BC548" s="76" t="b">
        <v>0</v>
      </c>
      <c r="BD548" s="76" t="b">
        <v>0</v>
      </c>
      <c r="BE548" s="76" t="b">
        <v>1</v>
      </c>
      <c r="BF548" s="76" t="b">
        <v>0</v>
      </c>
      <c r="BG548" s="76" t="b">
        <v>0</v>
      </c>
      <c r="BH548" s="83" t="str">
        <f>HYPERLINK("https://pbs.twimg.com/profile_banners/619476869/1571942009")</f>
        <v>https://pbs.twimg.com/profile_banners/619476869/1571942009</v>
      </c>
      <c r="BI548" s="76"/>
      <c r="BJ548" s="76" t="s">
        <v>19734</v>
      </c>
      <c r="BK548" s="76" t="b">
        <v>0</v>
      </c>
      <c r="BL548" s="76"/>
      <c r="BM548" s="76" t="s">
        <v>66</v>
      </c>
      <c r="BN548" s="76" t="s">
        <v>19736</v>
      </c>
      <c r="BO548" s="83" t="str">
        <f>HYPERLINK("https://twitter.com/agenciacma")</f>
        <v>https://twitter.com/agenciacma</v>
      </c>
      <c r="BP548" s="2"/>
    </row>
    <row r="549" spans="1:68" x14ac:dyDescent="0.25">
      <c r="A549" s="62" t="s">
        <v>701</v>
      </c>
      <c r="B549" s="63"/>
      <c r="C549" s="63"/>
      <c r="D549" s="64"/>
      <c r="E549" s="66"/>
      <c r="F549" s="103" t="str">
        <f>HYPERLINK("https://pbs.twimg.com/profile_images/1557504655822929922/6S_5Ovvj_normal.jpg")</f>
        <v>https://pbs.twimg.com/profile_images/1557504655822929922/6S_5Ovvj_normal.jpg</v>
      </c>
      <c r="G549" s="63"/>
      <c r="H549" s="67"/>
      <c r="I549" s="68"/>
      <c r="J549" s="68"/>
      <c r="K549" s="67" t="s">
        <v>20282</v>
      </c>
      <c r="L549" s="71"/>
      <c r="M549" s="72"/>
      <c r="N549" s="72"/>
      <c r="O549" s="73"/>
      <c r="P549" s="74"/>
      <c r="Q549" s="74"/>
      <c r="R549" s="87"/>
      <c r="S549" s="87"/>
      <c r="T549" s="87"/>
      <c r="U549" s="87"/>
      <c r="V549" s="48"/>
      <c r="W549" s="48"/>
      <c r="X549" s="48"/>
      <c r="Y549" s="48"/>
      <c r="Z549" s="47"/>
      <c r="AA549" s="69">
        <v>549</v>
      </c>
      <c r="AB549" s="69"/>
      <c r="AC549" s="70"/>
      <c r="AD549" s="76" t="s">
        <v>18284</v>
      </c>
      <c r="AE549" s="81" t="s">
        <v>18533</v>
      </c>
      <c r="AF549" s="76">
        <v>20</v>
      </c>
      <c r="AG549" s="76">
        <v>41</v>
      </c>
      <c r="AH549" s="76">
        <v>3087</v>
      </c>
      <c r="AI549" s="76">
        <v>0</v>
      </c>
      <c r="AJ549" s="76">
        <v>1</v>
      </c>
      <c r="AK549" s="76">
        <v>3049</v>
      </c>
      <c r="AL549" s="76" t="b">
        <v>0</v>
      </c>
      <c r="AM549" s="78">
        <v>39955.686249999999</v>
      </c>
      <c r="AN549" s="76" t="s">
        <v>18740</v>
      </c>
      <c r="AO549" s="76" t="s">
        <v>19263</v>
      </c>
      <c r="AP549" s="83" t="str">
        <f>HYPERLINK("https://t.co/DsT4O8RjsI")</f>
        <v>https://t.co/DsT4O8RjsI</v>
      </c>
      <c r="AQ549" s="83" t="str">
        <f>HYPERLINK("https://www.youtube.com/channel/UCAu1jTOKpjOi0alVtL2CECg")</f>
        <v>https://www.youtube.com/channel/UCAu1jTOKpjOi0alVtL2CECg</v>
      </c>
      <c r="AR549" s="76" t="s">
        <v>19628</v>
      </c>
      <c r="AS549" s="76"/>
      <c r="AT549" s="76"/>
      <c r="AU549" s="76"/>
      <c r="AV549" s="76"/>
      <c r="AW549" s="83" t="str">
        <f>HYPERLINK("https://t.co/DsT4O8RjsI")</f>
        <v>https://t.co/DsT4O8RjsI</v>
      </c>
      <c r="AX549" s="76" t="b">
        <v>0</v>
      </c>
      <c r="AY549" s="76"/>
      <c r="AZ549" s="76"/>
      <c r="BA549" s="76" t="b">
        <v>0</v>
      </c>
      <c r="BB549" s="76" t="b">
        <v>1</v>
      </c>
      <c r="BC549" s="76" t="b">
        <v>0</v>
      </c>
      <c r="BD549" s="76" t="b">
        <v>0</v>
      </c>
      <c r="BE549" s="76" t="b">
        <v>0</v>
      </c>
      <c r="BF549" s="76" t="b">
        <v>0</v>
      </c>
      <c r="BG549" s="76" t="b">
        <v>0</v>
      </c>
      <c r="BH549" s="83" t="str">
        <f>HYPERLINK("https://pbs.twimg.com/profile_banners/41846500/1660173023")</f>
        <v>https://pbs.twimg.com/profile_banners/41846500/1660173023</v>
      </c>
      <c r="BI549" s="76"/>
      <c r="BJ549" s="76" t="s">
        <v>19734</v>
      </c>
      <c r="BK549" s="76" t="b">
        <v>0</v>
      </c>
      <c r="BL549" s="76"/>
      <c r="BM549" s="76" t="s">
        <v>66</v>
      </c>
      <c r="BN549" s="76" t="s">
        <v>19736</v>
      </c>
      <c r="BO549" s="83" t="str">
        <f>HYPERLINK("https://twitter.com/alyson_davalle")</f>
        <v>https://twitter.com/alyson_davalle</v>
      </c>
      <c r="BP549" s="2"/>
    </row>
    <row r="550" spans="1:68" x14ac:dyDescent="0.25">
      <c r="A550" s="62" t="s">
        <v>702</v>
      </c>
      <c r="B550" s="63"/>
      <c r="C550" s="63"/>
      <c r="D550" s="64"/>
      <c r="E550" s="66"/>
      <c r="F550" s="103" t="str">
        <f>HYPERLINK("https://pbs.twimg.com/profile_images/1672261697434796038/mvTmUnKM_normal.jpg")</f>
        <v>https://pbs.twimg.com/profile_images/1672261697434796038/mvTmUnKM_normal.jpg</v>
      </c>
      <c r="G550" s="63"/>
      <c r="H550" s="67"/>
      <c r="I550" s="68"/>
      <c r="J550" s="68"/>
      <c r="K550" s="67" t="s">
        <v>20283</v>
      </c>
      <c r="L550" s="71"/>
      <c r="M550" s="72"/>
      <c r="N550" s="72"/>
      <c r="O550" s="73"/>
      <c r="P550" s="74"/>
      <c r="Q550" s="74"/>
      <c r="R550" s="87"/>
      <c r="S550" s="87"/>
      <c r="T550" s="87"/>
      <c r="U550" s="87"/>
      <c r="V550" s="48"/>
      <c r="W550" s="48"/>
      <c r="X550" s="48"/>
      <c r="Y550" s="48"/>
      <c r="Z550" s="47"/>
      <c r="AA550" s="69">
        <v>550</v>
      </c>
      <c r="AB550" s="69"/>
      <c r="AC550" s="70"/>
      <c r="AD550" s="76" t="s">
        <v>18285</v>
      </c>
      <c r="AE550" s="81" t="s">
        <v>17699</v>
      </c>
      <c r="AF550" s="76">
        <v>4</v>
      </c>
      <c r="AG550" s="76">
        <v>35</v>
      </c>
      <c r="AH550" s="76">
        <v>45</v>
      </c>
      <c r="AI550" s="76">
        <v>0</v>
      </c>
      <c r="AJ550" s="76">
        <v>22</v>
      </c>
      <c r="AK550" s="76">
        <v>8</v>
      </c>
      <c r="AL550" s="76" t="b">
        <v>0</v>
      </c>
      <c r="AM550" s="78">
        <v>45100.63113425926</v>
      </c>
      <c r="AN550" s="76" t="s">
        <v>12007</v>
      </c>
      <c r="AO550" s="76" t="s">
        <v>19264</v>
      </c>
      <c r="AP550" s="76"/>
      <c r="AQ550" s="76"/>
      <c r="AR550" s="76"/>
      <c r="AS550" s="76"/>
      <c r="AT550" s="76"/>
      <c r="AU550" s="76"/>
      <c r="AV550" s="76"/>
      <c r="AW550" s="76"/>
      <c r="AX550" s="76" t="b">
        <v>0</v>
      </c>
      <c r="AY550" s="76"/>
      <c r="AZ550" s="76"/>
      <c r="BA550" s="76" t="b">
        <v>1</v>
      </c>
      <c r="BB550" s="76" t="b">
        <v>0</v>
      </c>
      <c r="BC550" s="76" t="b">
        <v>1</v>
      </c>
      <c r="BD550" s="76" t="b">
        <v>0</v>
      </c>
      <c r="BE550" s="76" t="b">
        <v>0</v>
      </c>
      <c r="BF550" s="76" t="b">
        <v>0</v>
      </c>
      <c r="BG550" s="76" t="b">
        <v>0</v>
      </c>
      <c r="BH550" s="83" t="str">
        <f>HYPERLINK("https://pbs.twimg.com/profile_banners/1672260365491609602/1687533309")</f>
        <v>https://pbs.twimg.com/profile_banners/1672260365491609602/1687533309</v>
      </c>
      <c r="BI550" s="76"/>
      <c r="BJ550" s="76" t="s">
        <v>19734</v>
      </c>
      <c r="BK550" s="76" t="b">
        <v>0</v>
      </c>
      <c r="BL550" s="76"/>
      <c r="BM550" s="76" t="s">
        <v>66</v>
      </c>
      <c r="BN550" s="76" t="s">
        <v>19736</v>
      </c>
      <c r="BO550" s="83" t="str">
        <f>HYPERLINK("https://twitter.com/corridasdetouro")</f>
        <v>https://twitter.com/corridasdetouro</v>
      </c>
      <c r="BP550" s="2"/>
    </row>
    <row r="551" spans="1:68" x14ac:dyDescent="0.25">
      <c r="A551" s="62" t="s">
        <v>703</v>
      </c>
      <c r="B551" s="63"/>
      <c r="C551" s="63"/>
      <c r="D551" s="64"/>
      <c r="E551" s="66"/>
      <c r="F551" s="103" t="str">
        <f>HYPERLINK("https://pbs.twimg.com/profile_images/1277626636767301637/6CwbB-f6_normal.jpg")</f>
        <v>https://pbs.twimg.com/profile_images/1277626636767301637/6CwbB-f6_normal.jpg</v>
      </c>
      <c r="G551" s="63"/>
      <c r="H551" s="67"/>
      <c r="I551" s="68"/>
      <c r="J551" s="68"/>
      <c r="K551" s="67" t="s">
        <v>20284</v>
      </c>
      <c r="L551" s="71"/>
      <c r="M551" s="72"/>
      <c r="N551" s="72"/>
      <c r="O551" s="73"/>
      <c r="P551" s="74"/>
      <c r="Q551" s="74"/>
      <c r="R551" s="87"/>
      <c r="S551" s="87"/>
      <c r="T551" s="87"/>
      <c r="U551" s="87"/>
      <c r="V551" s="48"/>
      <c r="W551" s="48"/>
      <c r="X551" s="48"/>
      <c r="Y551" s="48"/>
      <c r="Z551" s="47"/>
      <c r="AA551" s="69">
        <v>551</v>
      </c>
      <c r="AB551" s="69"/>
      <c r="AC551" s="70"/>
      <c r="AD551" s="76" t="s">
        <v>18286</v>
      </c>
      <c r="AE551" s="81" t="s">
        <v>17700</v>
      </c>
      <c r="AF551" s="76">
        <v>748</v>
      </c>
      <c r="AG551" s="76">
        <v>992</v>
      </c>
      <c r="AH551" s="76">
        <v>2869</v>
      </c>
      <c r="AI551" s="76">
        <v>12</v>
      </c>
      <c r="AJ551" s="76">
        <v>162</v>
      </c>
      <c r="AK551" s="76">
        <v>1466</v>
      </c>
      <c r="AL551" s="76" t="b">
        <v>0</v>
      </c>
      <c r="AM551" s="78">
        <v>44011.645891203705</v>
      </c>
      <c r="AN551" s="76" t="s">
        <v>12014</v>
      </c>
      <c r="AO551" s="76" t="s">
        <v>19265</v>
      </c>
      <c r="AP551" s="83" t="str">
        <f>HYPERLINK("https://t.co/Lca7VYggEi")</f>
        <v>https://t.co/Lca7VYggEi</v>
      </c>
      <c r="AQ551" s="83" t="str">
        <f>HYPERLINK("https://www.brasilmineral.com.br/")</f>
        <v>https://www.brasilmineral.com.br/</v>
      </c>
      <c r="AR551" s="76" t="s">
        <v>19629</v>
      </c>
      <c r="AS551" s="76"/>
      <c r="AT551" s="76"/>
      <c r="AU551" s="76"/>
      <c r="AV551" s="76">
        <v>1.70736474141533E+18</v>
      </c>
      <c r="AW551" s="83" t="str">
        <f>HYPERLINK("https://t.co/Lca7VYggEi")</f>
        <v>https://t.co/Lca7VYggEi</v>
      </c>
      <c r="AX551" s="76" t="b">
        <v>0</v>
      </c>
      <c r="AY551" s="76"/>
      <c r="AZ551" s="76"/>
      <c r="BA551" s="76" t="b">
        <v>0</v>
      </c>
      <c r="BB551" s="76" t="b">
        <v>1</v>
      </c>
      <c r="BC551" s="76" t="b">
        <v>1</v>
      </c>
      <c r="BD551" s="76" t="b">
        <v>0</v>
      </c>
      <c r="BE551" s="76" t="b">
        <v>0</v>
      </c>
      <c r="BF551" s="76" t="b">
        <v>0</v>
      </c>
      <c r="BG551" s="76" t="b">
        <v>0</v>
      </c>
      <c r="BH551" s="83" t="str">
        <f>HYPERLINK("https://pbs.twimg.com/profile_banners/1277625335182434304/1593556257")</f>
        <v>https://pbs.twimg.com/profile_banners/1277625335182434304/1593556257</v>
      </c>
      <c r="BI551" s="76"/>
      <c r="BJ551" s="76" t="s">
        <v>19734</v>
      </c>
      <c r="BK551" s="76" t="b">
        <v>0</v>
      </c>
      <c r="BL551" s="76"/>
      <c r="BM551" s="76" t="s">
        <v>66</v>
      </c>
      <c r="BN551" s="76" t="s">
        <v>19736</v>
      </c>
      <c r="BO551" s="83" t="str">
        <f>HYPERLINK("https://twitter.com/brazilmineral")</f>
        <v>https://twitter.com/brazilmineral</v>
      </c>
      <c r="BP551" s="2"/>
    </row>
    <row r="552" spans="1:68" x14ac:dyDescent="0.25">
      <c r="A552" s="62" t="s">
        <v>704</v>
      </c>
      <c r="B552" s="63"/>
      <c r="C552" s="63"/>
      <c r="D552" s="64"/>
      <c r="E552" s="66"/>
      <c r="F552" s="103" t="str">
        <f>HYPERLINK("https://pbs.twimg.com/profile_images/582322920476794880/BCepZ4fS_normal.jpg")</f>
        <v>https://pbs.twimg.com/profile_images/582322920476794880/BCepZ4fS_normal.jpg</v>
      </c>
      <c r="G552" s="63"/>
      <c r="H552" s="67"/>
      <c r="I552" s="68"/>
      <c r="J552" s="68"/>
      <c r="K552" s="67" t="s">
        <v>20285</v>
      </c>
      <c r="L552" s="71"/>
      <c r="M552" s="72"/>
      <c r="N552" s="72"/>
      <c r="O552" s="73"/>
      <c r="P552" s="74"/>
      <c r="Q552" s="74"/>
      <c r="R552" s="87"/>
      <c r="S552" s="87"/>
      <c r="T552" s="87"/>
      <c r="U552" s="87"/>
      <c r="V552" s="48"/>
      <c r="W552" s="48"/>
      <c r="X552" s="48"/>
      <c r="Y552" s="48"/>
      <c r="Z552" s="47"/>
      <c r="AA552" s="69">
        <v>552</v>
      </c>
      <c r="AB552" s="69"/>
      <c r="AC552" s="70"/>
      <c r="AD552" s="76" t="s">
        <v>18287</v>
      </c>
      <c r="AE552" s="81" t="s">
        <v>18534</v>
      </c>
      <c r="AF552" s="76">
        <v>35</v>
      </c>
      <c r="AG552" s="76">
        <v>81</v>
      </c>
      <c r="AH552" s="76">
        <v>1645</v>
      </c>
      <c r="AI552" s="76">
        <v>0</v>
      </c>
      <c r="AJ552" s="76">
        <v>8</v>
      </c>
      <c r="AK552" s="76">
        <v>264</v>
      </c>
      <c r="AL552" s="76" t="b">
        <v>0</v>
      </c>
      <c r="AM552" s="78">
        <v>42092.922476851854</v>
      </c>
      <c r="AN552" s="76" t="s">
        <v>18757</v>
      </c>
      <c r="AO552" s="76" t="s">
        <v>19266</v>
      </c>
      <c r="AP552" s="83" t="str">
        <f>HYPERLINK("https://t.co/zq2ryrr6lA")</f>
        <v>https://t.co/zq2ryrr6lA</v>
      </c>
      <c r="AQ552" s="83" t="str">
        <f>HYPERLINK("http://www.lpigestora.com.br")</f>
        <v>http://www.lpigestora.com.br</v>
      </c>
      <c r="AR552" s="76" t="s">
        <v>19630</v>
      </c>
      <c r="AS552" s="76"/>
      <c r="AT552" s="76"/>
      <c r="AU552" s="76"/>
      <c r="AV552" s="76"/>
      <c r="AW552" s="83" t="str">
        <f>HYPERLINK("https://t.co/zq2ryrr6lA")</f>
        <v>https://t.co/zq2ryrr6lA</v>
      </c>
      <c r="AX552" s="76" t="b">
        <v>0</v>
      </c>
      <c r="AY552" s="76"/>
      <c r="AZ552" s="76"/>
      <c r="BA552" s="76" t="b">
        <v>0</v>
      </c>
      <c r="BB552" s="76" t="b">
        <v>0</v>
      </c>
      <c r="BC552" s="76" t="b">
        <v>1</v>
      </c>
      <c r="BD552" s="76" t="b">
        <v>0</v>
      </c>
      <c r="BE552" s="76" t="b">
        <v>0</v>
      </c>
      <c r="BF552" s="76" t="b">
        <v>0</v>
      </c>
      <c r="BG552" s="76" t="b">
        <v>0</v>
      </c>
      <c r="BH552" s="83" t="str">
        <f>HYPERLINK("https://pbs.twimg.com/profile_banners/3127710448/1646242469")</f>
        <v>https://pbs.twimg.com/profile_banners/3127710448/1646242469</v>
      </c>
      <c r="BI552" s="76"/>
      <c r="BJ552" s="76" t="s">
        <v>19734</v>
      </c>
      <c r="BK552" s="76" t="b">
        <v>0</v>
      </c>
      <c r="BL552" s="76"/>
      <c r="BM552" s="76" t="s">
        <v>66</v>
      </c>
      <c r="BN552" s="76" t="s">
        <v>19736</v>
      </c>
      <c r="BO552" s="83" t="str">
        <f>HYPERLINK("https://twitter.com/ronaldolundgren")</f>
        <v>https://twitter.com/ronaldolundgren</v>
      </c>
      <c r="BP552" s="2"/>
    </row>
    <row r="553" spans="1:68" x14ac:dyDescent="0.25">
      <c r="A553" s="62" t="s">
        <v>705</v>
      </c>
      <c r="B553" s="63"/>
      <c r="C553" s="63"/>
      <c r="D553" s="64"/>
      <c r="E553" s="66"/>
      <c r="F553" s="103" t="str">
        <f>HYPERLINK("https://pbs.twimg.com/profile_images/1689797296597155840/vPpm0iCl_normal.png")</f>
        <v>https://pbs.twimg.com/profile_images/1689797296597155840/vPpm0iCl_normal.png</v>
      </c>
      <c r="G553" s="63"/>
      <c r="H553" s="67"/>
      <c r="I553" s="68"/>
      <c r="J553" s="68"/>
      <c r="K553" s="67" t="s">
        <v>20286</v>
      </c>
      <c r="L553" s="71"/>
      <c r="M553" s="72"/>
      <c r="N553" s="72"/>
      <c r="O553" s="73"/>
      <c r="P553" s="74"/>
      <c r="Q553" s="74"/>
      <c r="R553" s="87"/>
      <c r="S553" s="87"/>
      <c r="T553" s="87"/>
      <c r="U553" s="87"/>
      <c r="V553" s="48"/>
      <c r="W553" s="48"/>
      <c r="X553" s="48"/>
      <c r="Y553" s="48"/>
      <c r="Z553" s="47"/>
      <c r="AA553" s="69">
        <v>553</v>
      </c>
      <c r="AB553" s="69"/>
      <c r="AC553" s="70"/>
      <c r="AD553" s="76" t="s">
        <v>18288</v>
      </c>
      <c r="AE553" s="81" t="s">
        <v>18535</v>
      </c>
      <c r="AF553" s="76">
        <v>103</v>
      </c>
      <c r="AG553" s="76">
        <v>509</v>
      </c>
      <c r="AH553" s="76">
        <v>381</v>
      </c>
      <c r="AI553" s="76">
        <v>0</v>
      </c>
      <c r="AJ553" s="76">
        <v>578</v>
      </c>
      <c r="AK553" s="76">
        <v>46</v>
      </c>
      <c r="AL553" s="76" t="b">
        <v>0</v>
      </c>
      <c r="AM553" s="78">
        <v>40572.975925925923</v>
      </c>
      <c r="AN553" s="76" t="s">
        <v>18758</v>
      </c>
      <c r="AO553" s="76" t="s">
        <v>19267</v>
      </c>
      <c r="AP553" s="83" t="str">
        <f>HYPERLINK("https://t.co/KOhfjLFUv6")</f>
        <v>https://t.co/KOhfjLFUv6</v>
      </c>
      <c r="AQ553" s="83" t="str">
        <f>HYPERLINK("https://duduhrosa13.my.canva.site/")</f>
        <v>https://duduhrosa13.my.canva.site/</v>
      </c>
      <c r="AR553" s="76" t="s">
        <v>19631</v>
      </c>
      <c r="AS553" s="76"/>
      <c r="AT553" s="76"/>
      <c r="AU553" s="76"/>
      <c r="AV553" s="76"/>
      <c r="AW553" s="83" t="str">
        <f>HYPERLINK("https://t.co/KOhfjLFUv6")</f>
        <v>https://t.co/KOhfjLFUv6</v>
      </c>
      <c r="AX553" s="76" t="b">
        <v>0</v>
      </c>
      <c r="AY553" s="76"/>
      <c r="AZ553" s="76"/>
      <c r="BA553" s="76" t="b">
        <v>1</v>
      </c>
      <c r="BB553" s="76" t="b">
        <v>0</v>
      </c>
      <c r="BC553" s="76" t="b">
        <v>0</v>
      </c>
      <c r="BD553" s="76" t="b">
        <v>0</v>
      </c>
      <c r="BE553" s="76" t="b">
        <v>0</v>
      </c>
      <c r="BF553" s="76" t="b">
        <v>0</v>
      </c>
      <c r="BG553" s="76" t="b">
        <v>0</v>
      </c>
      <c r="BH553" s="83" t="str">
        <f>HYPERLINK("https://pbs.twimg.com/profile_banners/244707852/1685298575")</f>
        <v>https://pbs.twimg.com/profile_banners/244707852/1685298575</v>
      </c>
      <c r="BI553" s="76"/>
      <c r="BJ553" s="76" t="s">
        <v>19734</v>
      </c>
      <c r="BK553" s="76" t="b">
        <v>0</v>
      </c>
      <c r="BL553" s="76"/>
      <c r="BM553" s="76" t="s">
        <v>66</v>
      </c>
      <c r="BN553" s="76" t="s">
        <v>19736</v>
      </c>
      <c r="BO553" s="83" t="str">
        <f>HYPERLINK("https://twitter.com/duduhrosa13")</f>
        <v>https://twitter.com/duduhrosa13</v>
      </c>
      <c r="BP553" s="2"/>
    </row>
    <row r="554" spans="1:68" x14ac:dyDescent="0.25">
      <c r="A554" s="62" t="s">
        <v>707</v>
      </c>
      <c r="B554" s="63"/>
      <c r="C554" s="63"/>
      <c r="D554" s="64"/>
      <c r="E554" s="66"/>
      <c r="F554" s="103" t="str">
        <f>HYPERLINK("https://pbs.twimg.com/profile_images/1460727419829116929/1hfB_OTD_normal.jpg")</f>
        <v>https://pbs.twimg.com/profile_images/1460727419829116929/1hfB_OTD_normal.jpg</v>
      </c>
      <c r="G554" s="63"/>
      <c r="H554" s="67"/>
      <c r="I554" s="68"/>
      <c r="J554" s="68"/>
      <c r="K554" s="67" t="s">
        <v>20287</v>
      </c>
      <c r="L554" s="71"/>
      <c r="M554" s="72"/>
      <c r="N554" s="72"/>
      <c r="O554" s="73"/>
      <c r="P554" s="74"/>
      <c r="Q554" s="74"/>
      <c r="R554" s="87"/>
      <c r="S554" s="87"/>
      <c r="T554" s="87"/>
      <c r="U554" s="87"/>
      <c r="V554" s="48"/>
      <c r="W554" s="48"/>
      <c r="X554" s="48"/>
      <c r="Y554" s="48"/>
      <c r="Z554" s="47"/>
      <c r="AA554" s="69">
        <v>554</v>
      </c>
      <c r="AB554" s="69"/>
      <c r="AC554" s="70"/>
      <c r="AD554" s="76" t="s">
        <v>18289</v>
      </c>
      <c r="AE554" s="81" t="s">
        <v>17383</v>
      </c>
      <c r="AF554" s="76">
        <v>126</v>
      </c>
      <c r="AG554" s="76">
        <v>77</v>
      </c>
      <c r="AH554" s="76">
        <v>3112</v>
      </c>
      <c r="AI554" s="76">
        <v>1</v>
      </c>
      <c r="AJ554" s="76">
        <v>835</v>
      </c>
      <c r="AK554" s="76">
        <v>1365</v>
      </c>
      <c r="AL554" s="76" t="b">
        <v>0</v>
      </c>
      <c r="AM554" s="78">
        <v>44337.031539351854</v>
      </c>
      <c r="AN554" s="76"/>
      <c r="AO554" s="76" t="s">
        <v>19268</v>
      </c>
      <c r="AP554" s="76"/>
      <c r="AQ554" s="76"/>
      <c r="AR554" s="76"/>
      <c r="AS554" s="76"/>
      <c r="AT554" s="76"/>
      <c r="AU554" s="76"/>
      <c r="AV554" s="76"/>
      <c r="AW554" s="76"/>
      <c r="AX554" s="76" t="b">
        <v>0</v>
      </c>
      <c r="AY554" s="76"/>
      <c r="AZ554" s="76"/>
      <c r="BA554" s="76" t="b">
        <v>0</v>
      </c>
      <c r="BB554" s="76" t="b">
        <v>1</v>
      </c>
      <c r="BC554" s="76" t="b">
        <v>1</v>
      </c>
      <c r="BD554" s="76" t="b">
        <v>0</v>
      </c>
      <c r="BE554" s="76" t="b">
        <v>1</v>
      </c>
      <c r="BF554" s="76" t="b">
        <v>0</v>
      </c>
      <c r="BG554" s="76" t="b">
        <v>0</v>
      </c>
      <c r="BH554" s="76"/>
      <c r="BI554" s="76"/>
      <c r="BJ554" s="76" t="s">
        <v>19734</v>
      </c>
      <c r="BK554" s="76" t="b">
        <v>0</v>
      </c>
      <c r="BL554" s="76"/>
      <c r="BM554" s="76" t="s">
        <v>66</v>
      </c>
      <c r="BN554" s="76" t="s">
        <v>19736</v>
      </c>
      <c r="BO554" s="83" t="str">
        <f>HYPERLINK("https://twitter.com/rafael__costa__")</f>
        <v>https://twitter.com/rafael__costa__</v>
      </c>
      <c r="BP554" s="2"/>
    </row>
    <row r="555" spans="1:68" x14ac:dyDescent="0.25">
      <c r="A555" s="62" t="s">
        <v>708</v>
      </c>
      <c r="B555" s="63"/>
      <c r="C555" s="63"/>
      <c r="D555" s="64"/>
      <c r="E555" s="66"/>
      <c r="F555" s="103" t="str">
        <f>HYPERLINK("https://pbs.twimg.com/profile_images/1662187173855019018/8Hfz46CI_normal.jpg")</f>
        <v>https://pbs.twimg.com/profile_images/1662187173855019018/8Hfz46CI_normal.jpg</v>
      </c>
      <c r="G555" s="63"/>
      <c r="H555" s="67"/>
      <c r="I555" s="68"/>
      <c r="J555" s="68"/>
      <c r="K555" s="67" t="s">
        <v>20288</v>
      </c>
      <c r="L555" s="71"/>
      <c r="M555" s="72"/>
      <c r="N555" s="72"/>
      <c r="O555" s="73"/>
      <c r="P555" s="74"/>
      <c r="Q555" s="74"/>
      <c r="R555" s="87"/>
      <c r="S555" s="87"/>
      <c r="T555" s="87"/>
      <c r="U555" s="87"/>
      <c r="V555" s="48"/>
      <c r="W555" s="48"/>
      <c r="X555" s="48"/>
      <c r="Y555" s="48"/>
      <c r="Z555" s="47"/>
      <c r="AA555" s="69">
        <v>555</v>
      </c>
      <c r="AB555" s="69"/>
      <c r="AC555" s="70"/>
      <c r="AD555" s="76" t="s">
        <v>18290</v>
      </c>
      <c r="AE555" s="81" t="s">
        <v>17701</v>
      </c>
      <c r="AF555" s="76">
        <v>2</v>
      </c>
      <c r="AG555" s="76">
        <v>16</v>
      </c>
      <c r="AH555" s="76">
        <v>10</v>
      </c>
      <c r="AI555" s="76">
        <v>0</v>
      </c>
      <c r="AJ555" s="76">
        <v>10</v>
      </c>
      <c r="AK555" s="76">
        <v>0</v>
      </c>
      <c r="AL555" s="76" t="b">
        <v>0</v>
      </c>
      <c r="AM555" s="78">
        <v>45072.829675925925</v>
      </c>
      <c r="AN555" s="76"/>
      <c r="AO555" s="76" t="s">
        <v>19269</v>
      </c>
      <c r="AP555" s="83" t="str">
        <f>HYPERLINK("https://t.co/547fmSYf3P")</f>
        <v>https://t.co/547fmSYf3P</v>
      </c>
      <c r="AQ555" s="83" t="str">
        <f>HYPERLINK("http://investidorciente.com.br")</f>
        <v>http://investidorciente.com.br</v>
      </c>
      <c r="AR555" s="76" t="s">
        <v>19632</v>
      </c>
      <c r="AS555" s="76"/>
      <c r="AT555" s="76"/>
      <c r="AU555" s="76"/>
      <c r="AV555" s="76"/>
      <c r="AW555" s="83" t="str">
        <f>HYPERLINK("https://t.co/547fmSYf3P")</f>
        <v>https://t.co/547fmSYf3P</v>
      </c>
      <c r="AX555" s="76" t="b">
        <v>0</v>
      </c>
      <c r="AY555" s="76"/>
      <c r="AZ555" s="76"/>
      <c r="BA555" s="76" t="b">
        <v>0</v>
      </c>
      <c r="BB555" s="76" t="b">
        <v>1</v>
      </c>
      <c r="BC555" s="76" t="b">
        <v>1</v>
      </c>
      <c r="BD555" s="76" t="b">
        <v>0</v>
      </c>
      <c r="BE555" s="76" t="b">
        <v>0</v>
      </c>
      <c r="BF555" s="76" t="b">
        <v>0</v>
      </c>
      <c r="BG555" s="76" t="b">
        <v>0</v>
      </c>
      <c r="BH555" s="83" t="str">
        <f>HYPERLINK("https://pbs.twimg.com/profile_banners/1662185396111851565/1685131280")</f>
        <v>https://pbs.twimg.com/profile_banners/1662185396111851565/1685131280</v>
      </c>
      <c r="BI555" s="76"/>
      <c r="BJ555" s="76" t="s">
        <v>19734</v>
      </c>
      <c r="BK555" s="76" t="b">
        <v>0</v>
      </c>
      <c r="BL555" s="76"/>
      <c r="BM555" s="76" t="s">
        <v>66</v>
      </c>
      <c r="BN555" s="76" t="s">
        <v>19736</v>
      </c>
      <c r="BO555" s="83" t="str">
        <f>HYPERLINK("https://twitter.com/investciente")</f>
        <v>https://twitter.com/investciente</v>
      </c>
      <c r="BP555" s="2"/>
    </row>
    <row r="556" spans="1:68" x14ac:dyDescent="0.25">
      <c r="A556" s="62" t="s">
        <v>709</v>
      </c>
      <c r="B556" s="63"/>
      <c r="C556" s="63"/>
      <c r="D556" s="64"/>
      <c r="E556" s="66"/>
      <c r="F556" s="103" t="str">
        <f>HYPERLINK("https://pbs.twimg.com/profile_images/1672779282555314177/wq1HfFEs_normal.jpg")</f>
        <v>https://pbs.twimg.com/profile_images/1672779282555314177/wq1HfFEs_normal.jpg</v>
      </c>
      <c r="G556" s="63"/>
      <c r="H556" s="67"/>
      <c r="I556" s="68"/>
      <c r="J556" s="68"/>
      <c r="K556" s="67" t="s">
        <v>20289</v>
      </c>
      <c r="L556" s="71"/>
      <c r="M556" s="72"/>
      <c r="N556" s="72"/>
      <c r="O556" s="73"/>
      <c r="P556" s="74"/>
      <c r="Q556" s="74"/>
      <c r="R556" s="87"/>
      <c r="S556" s="87"/>
      <c r="T556" s="87"/>
      <c r="U556" s="87"/>
      <c r="V556" s="48"/>
      <c r="W556" s="48"/>
      <c r="X556" s="48"/>
      <c r="Y556" s="48"/>
      <c r="Z556" s="47"/>
      <c r="AA556" s="69">
        <v>556</v>
      </c>
      <c r="AB556" s="69"/>
      <c r="AC556" s="70"/>
      <c r="AD556" s="76" t="s">
        <v>18291</v>
      </c>
      <c r="AE556" s="81" t="s">
        <v>17702</v>
      </c>
      <c r="AF556" s="76">
        <v>28</v>
      </c>
      <c r="AG556" s="76">
        <v>227</v>
      </c>
      <c r="AH556" s="76">
        <v>419</v>
      </c>
      <c r="AI556" s="76">
        <v>1</v>
      </c>
      <c r="AJ556" s="76">
        <v>527</v>
      </c>
      <c r="AK556" s="76">
        <v>173</v>
      </c>
      <c r="AL556" s="76" t="b">
        <v>0</v>
      </c>
      <c r="AM556" s="78">
        <v>44996.792164351849</v>
      </c>
      <c r="AN556" s="76" t="s">
        <v>12007</v>
      </c>
      <c r="AO556" s="76" t="s">
        <v>19270</v>
      </c>
      <c r="AP556" s="83" t="str">
        <f>HYPERLINK("https://t.co/XmckyTipKI")</f>
        <v>https://t.co/XmckyTipKI</v>
      </c>
      <c r="AQ556" s="83" t="str">
        <f>HYPERLINK("https://www.youtube.com/@SMARTCRYPTOBRASIL")</f>
        <v>https://www.youtube.com/@SMARTCRYPTOBRASIL</v>
      </c>
      <c r="AR556" s="76" t="s">
        <v>19633</v>
      </c>
      <c r="AS556" s="76"/>
      <c r="AT556" s="76"/>
      <c r="AU556" s="76"/>
      <c r="AV556" s="76">
        <v>1.6727739596856599E+18</v>
      </c>
      <c r="AW556" s="83" t="str">
        <f>HYPERLINK("https://t.co/XmckyTipKI")</f>
        <v>https://t.co/XmckyTipKI</v>
      </c>
      <c r="AX556" s="76" t="b">
        <v>0</v>
      </c>
      <c r="AY556" s="76"/>
      <c r="AZ556" s="76"/>
      <c r="BA556" s="76" t="b">
        <v>0</v>
      </c>
      <c r="BB556" s="76" t="b">
        <v>1</v>
      </c>
      <c r="BC556" s="76" t="b">
        <v>1</v>
      </c>
      <c r="BD556" s="76" t="b">
        <v>0</v>
      </c>
      <c r="BE556" s="76" t="b">
        <v>1</v>
      </c>
      <c r="BF556" s="76" t="b">
        <v>0</v>
      </c>
      <c r="BG556" s="76" t="b">
        <v>0</v>
      </c>
      <c r="BH556" s="83" t="str">
        <f>HYPERLINK("https://pbs.twimg.com/profile_banners/1634630405423788033/1687656635")</f>
        <v>https://pbs.twimg.com/profile_banners/1634630405423788033/1687656635</v>
      </c>
      <c r="BI556" s="76"/>
      <c r="BJ556" s="76" t="s">
        <v>19734</v>
      </c>
      <c r="BK556" s="76" t="b">
        <v>0</v>
      </c>
      <c r="BL556" s="76"/>
      <c r="BM556" s="76" t="s">
        <v>66</v>
      </c>
      <c r="BN556" s="76" t="s">
        <v>19736</v>
      </c>
      <c r="BO556" s="83" t="str">
        <f>HYPERLINK("https://twitter.com/smartcryptobr")</f>
        <v>https://twitter.com/smartcryptobr</v>
      </c>
      <c r="BP556" s="2"/>
    </row>
    <row r="557" spans="1:68" x14ac:dyDescent="0.25">
      <c r="A557" s="62" t="s">
        <v>710</v>
      </c>
      <c r="B557" s="63"/>
      <c r="C557" s="63"/>
      <c r="D557" s="64"/>
      <c r="E557" s="66"/>
      <c r="F557" s="103" t="str">
        <f>HYPERLINK("https://pbs.twimg.com/profile_images/1326195867213295617/630TXqHT_normal.jpg")</f>
        <v>https://pbs.twimg.com/profile_images/1326195867213295617/630TXqHT_normal.jpg</v>
      </c>
      <c r="G557" s="63"/>
      <c r="H557" s="67"/>
      <c r="I557" s="68"/>
      <c r="J557" s="68"/>
      <c r="K557" s="67" t="s">
        <v>20290</v>
      </c>
      <c r="L557" s="71"/>
      <c r="M557" s="72"/>
      <c r="N557" s="72"/>
      <c r="O557" s="73"/>
      <c r="P557" s="74"/>
      <c r="Q557" s="74"/>
      <c r="R557" s="87"/>
      <c r="S557" s="87"/>
      <c r="T557" s="87"/>
      <c r="U557" s="87"/>
      <c r="V557" s="48"/>
      <c r="W557" s="48"/>
      <c r="X557" s="48"/>
      <c r="Y557" s="48"/>
      <c r="Z557" s="47"/>
      <c r="AA557" s="69">
        <v>557</v>
      </c>
      <c r="AB557" s="69"/>
      <c r="AC557" s="70"/>
      <c r="AD557" s="76" t="s">
        <v>18292</v>
      </c>
      <c r="AE557" s="81" t="s">
        <v>17703</v>
      </c>
      <c r="AF557" s="76">
        <v>95</v>
      </c>
      <c r="AG557" s="76">
        <v>52</v>
      </c>
      <c r="AH557" s="76">
        <v>48100</v>
      </c>
      <c r="AI557" s="76">
        <v>0</v>
      </c>
      <c r="AJ557" s="76">
        <v>158</v>
      </c>
      <c r="AK557" s="76">
        <v>1</v>
      </c>
      <c r="AL557" s="76" t="b">
        <v>0</v>
      </c>
      <c r="AM557" s="78">
        <v>43928.612708333334</v>
      </c>
      <c r="AN557" s="76" t="s">
        <v>12007</v>
      </c>
      <c r="AO557" s="76" t="s">
        <v>19271</v>
      </c>
      <c r="AP557" s="83" t="str">
        <f>HYPERLINK("https://t.co/GderKQuumf")</f>
        <v>https://t.co/GderKQuumf</v>
      </c>
      <c r="AQ557" s="83" t="str">
        <f>HYPERLINK("https://foleto.com.br/")</f>
        <v>https://foleto.com.br/</v>
      </c>
      <c r="AR557" s="76" t="s">
        <v>19634</v>
      </c>
      <c r="AS557" s="76"/>
      <c r="AT557" s="76"/>
      <c r="AU557" s="76"/>
      <c r="AV557" s="76">
        <v>1.24847836636304E+18</v>
      </c>
      <c r="AW557" s="83" t="str">
        <f>HYPERLINK("https://t.co/GderKQuumf")</f>
        <v>https://t.co/GderKQuumf</v>
      </c>
      <c r="AX557" s="76" t="b">
        <v>0</v>
      </c>
      <c r="AY557" s="76"/>
      <c r="AZ557" s="76"/>
      <c r="BA557" s="76" t="b">
        <v>0</v>
      </c>
      <c r="BB557" s="76" t="b">
        <v>1</v>
      </c>
      <c r="BC557" s="76" t="b">
        <v>1</v>
      </c>
      <c r="BD557" s="76" t="b">
        <v>0</v>
      </c>
      <c r="BE557" s="76" t="b">
        <v>0</v>
      </c>
      <c r="BF557" s="76" t="b">
        <v>0</v>
      </c>
      <c r="BG557" s="76" t="b">
        <v>0</v>
      </c>
      <c r="BH557" s="83" t="str">
        <f>HYPERLINK("https://pbs.twimg.com/profile_banners/1247535101954519044/1605025362")</f>
        <v>https://pbs.twimg.com/profile_banners/1247535101954519044/1605025362</v>
      </c>
      <c r="BI557" s="76"/>
      <c r="BJ557" s="76" t="s">
        <v>19734</v>
      </c>
      <c r="BK557" s="76" t="b">
        <v>0</v>
      </c>
      <c r="BL557" s="76"/>
      <c r="BM557" s="76" t="s">
        <v>66</v>
      </c>
      <c r="BN557" s="76" t="s">
        <v>19736</v>
      </c>
      <c r="BO557" s="83" t="str">
        <f>HYPERLINK("https://twitter.com/foletooficial")</f>
        <v>https://twitter.com/foletooficial</v>
      </c>
      <c r="BP557" s="2"/>
    </row>
    <row r="558" spans="1:68" x14ac:dyDescent="0.25">
      <c r="A558" s="62" t="s">
        <v>711</v>
      </c>
      <c r="B558" s="63"/>
      <c r="C558" s="63"/>
      <c r="D558" s="64"/>
      <c r="E558" s="66"/>
      <c r="F558" s="103" t="str">
        <f>HYPERLINK("https://pbs.twimg.com/profile_images/1505297873084329990/tfXWrzxg_normal.jpg")</f>
        <v>https://pbs.twimg.com/profile_images/1505297873084329990/tfXWrzxg_normal.jpg</v>
      </c>
      <c r="G558" s="63"/>
      <c r="H558" s="67"/>
      <c r="I558" s="68"/>
      <c r="J558" s="68"/>
      <c r="K558" s="67" t="s">
        <v>20291</v>
      </c>
      <c r="L558" s="71"/>
      <c r="M558" s="72"/>
      <c r="N558" s="72"/>
      <c r="O558" s="73"/>
      <c r="P558" s="74"/>
      <c r="Q558" s="74"/>
      <c r="R558" s="87"/>
      <c r="S558" s="87"/>
      <c r="T558" s="87"/>
      <c r="U558" s="87"/>
      <c r="V558" s="48"/>
      <c r="W558" s="48"/>
      <c r="X558" s="48"/>
      <c r="Y558" s="48"/>
      <c r="Z558" s="47"/>
      <c r="AA558" s="69">
        <v>558</v>
      </c>
      <c r="AB558" s="69"/>
      <c r="AC558" s="70"/>
      <c r="AD558" s="76" t="s">
        <v>18293</v>
      </c>
      <c r="AE558" s="81" t="s">
        <v>17704</v>
      </c>
      <c r="AF558" s="76">
        <v>27</v>
      </c>
      <c r="AG558" s="76">
        <v>188</v>
      </c>
      <c r="AH558" s="76">
        <v>851</v>
      </c>
      <c r="AI558" s="76">
        <v>2</v>
      </c>
      <c r="AJ558" s="76">
        <v>1116</v>
      </c>
      <c r="AK558" s="76">
        <v>435</v>
      </c>
      <c r="AL558" s="76" t="b">
        <v>0</v>
      </c>
      <c r="AM558" s="78">
        <v>44639.901828703703</v>
      </c>
      <c r="AN558" s="76" t="s">
        <v>12014</v>
      </c>
      <c r="AO558" s="76" t="s">
        <v>19272</v>
      </c>
      <c r="AP558" s="76"/>
      <c r="AQ558" s="76"/>
      <c r="AR558" s="76"/>
      <c r="AS558" s="76"/>
      <c r="AT558" s="76"/>
      <c r="AU558" s="76"/>
      <c r="AV558" s="76"/>
      <c r="AW558" s="76"/>
      <c r="AX558" s="76" t="b">
        <v>0</v>
      </c>
      <c r="AY558" s="76"/>
      <c r="AZ558" s="76"/>
      <c r="BA558" s="76" t="b">
        <v>0</v>
      </c>
      <c r="BB558" s="76" t="b">
        <v>1</v>
      </c>
      <c r="BC558" s="76" t="b">
        <v>1</v>
      </c>
      <c r="BD558" s="76" t="b">
        <v>0</v>
      </c>
      <c r="BE558" s="76" t="b">
        <v>0</v>
      </c>
      <c r="BF558" s="76" t="b">
        <v>0</v>
      </c>
      <c r="BG558" s="76" t="b">
        <v>0</v>
      </c>
      <c r="BH558" s="83" t="str">
        <f>HYPERLINK("https://pbs.twimg.com/profile_banners/1505297647934091268/1647726336")</f>
        <v>https://pbs.twimg.com/profile_banners/1505297647934091268/1647726336</v>
      </c>
      <c r="BI558" s="76"/>
      <c r="BJ558" s="76" t="s">
        <v>19734</v>
      </c>
      <c r="BK558" s="76" t="b">
        <v>0</v>
      </c>
      <c r="BL558" s="76"/>
      <c r="BM558" s="76" t="s">
        <v>66</v>
      </c>
      <c r="BN558" s="76" t="s">
        <v>19736</v>
      </c>
      <c r="BO558" s="83" t="str">
        <f>HYPERLINK("https://twitter.com/quebradob")</f>
        <v>https://twitter.com/quebradob</v>
      </c>
      <c r="BP558" s="2"/>
    </row>
    <row r="559" spans="1:68" x14ac:dyDescent="0.25">
      <c r="A559" s="62" t="s">
        <v>712</v>
      </c>
      <c r="B559" s="63"/>
      <c r="C559" s="63"/>
      <c r="D559" s="64"/>
      <c r="E559" s="66"/>
      <c r="F559" s="103" t="str">
        <f>HYPERLINK("https://pbs.twimg.com/profile_images/1601188173614387200/Fz1EeOb__normal.jpg")</f>
        <v>https://pbs.twimg.com/profile_images/1601188173614387200/Fz1EeOb__normal.jpg</v>
      </c>
      <c r="G559" s="63"/>
      <c r="H559" s="67"/>
      <c r="I559" s="68"/>
      <c r="J559" s="68"/>
      <c r="K559" s="67" t="s">
        <v>20292</v>
      </c>
      <c r="L559" s="71"/>
      <c r="M559" s="72"/>
      <c r="N559" s="72"/>
      <c r="O559" s="73"/>
      <c r="P559" s="74"/>
      <c r="Q559" s="74"/>
      <c r="R559" s="87"/>
      <c r="S559" s="87"/>
      <c r="T559" s="87"/>
      <c r="U559" s="87"/>
      <c r="V559" s="48"/>
      <c r="W559" s="48"/>
      <c r="X559" s="48"/>
      <c r="Y559" s="48"/>
      <c r="Z559" s="47"/>
      <c r="AA559" s="69">
        <v>559</v>
      </c>
      <c r="AB559" s="69"/>
      <c r="AC559" s="70"/>
      <c r="AD559" s="76" t="s">
        <v>18294</v>
      </c>
      <c r="AE559" s="81" t="s">
        <v>18536</v>
      </c>
      <c r="AF559" s="76">
        <v>14283</v>
      </c>
      <c r="AG559" s="76">
        <v>194</v>
      </c>
      <c r="AH559" s="76">
        <v>9192</v>
      </c>
      <c r="AI559" s="76">
        <v>78</v>
      </c>
      <c r="AJ559" s="76">
        <v>44</v>
      </c>
      <c r="AK559" s="76">
        <v>6441</v>
      </c>
      <c r="AL559" s="76" t="b">
        <v>0</v>
      </c>
      <c r="AM559" s="78">
        <v>40070.529039351852</v>
      </c>
      <c r="AN559" s="76" t="s">
        <v>12007</v>
      </c>
      <c r="AO559" s="76" t="s">
        <v>19273</v>
      </c>
      <c r="AP559" s="83" t="str">
        <f>HYPERLINK("https://t.co/lhQyGXAcah")</f>
        <v>https://t.co/lhQyGXAcah</v>
      </c>
      <c r="AQ559" s="83" t="str">
        <f>HYPERLINK("http://www.caesegatos.com.br")</f>
        <v>http://www.caesegatos.com.br</v>
      </c>
      <c r="AR559" s="76" t="s">
        <v>19635</v>
      </c>
      <c r="AS559" s="83" t="str">
        <f>HYPERLINK("https://t.co/W5eD8vAGXK")</f>
        <v>https://t.co/W5eD8vAGXK</v>
      </c>
      <c r="AT559" s="83" t="str">
        <f>HYPERLINK("http://revistacaesegatos.com.br")</f>
        <v>http://revistacaesegatos.com.br</v>
      </c>
      <c r="AU559" s="76" t="s">
        <v>19733</v>
      </c>
      <c r="AV559" s="76"/>
      <c r="AW559" s="83" t="str">
        <f>HYPERLINK("https://t.co/lhQyGXAcah")</f>
        <v>https://t.co/lhQyGXAcah</v>
      </c>
      <c r="AX559" s="76" t="b">
        <v>0</v>
      </c>
      <c r="AY559" s="76"/>
      <c r="AZ559" s="76"/>
      <c r="BA559" s="76" t="b">
        <v>0</v>
      </c>
      <c r="BB559" s="76" t="b">
        <v>1</v>
      </c>
      <c r="BC559" s="76" t="b">
        <v>0</v>
      </c>
      <c r="BD559" s="76" t="b">
        <v>0</v>
      </c>
      <c r="BE559" s="76" t="b">
        <v>0</v>
      </c>
      <c r="BF559" s="76" t="b">
        <v>0</v>
      </c>
      <c r="BG559" s="76" t="b">
        <v>0</v>
      </c>
      <c r="BH559" s="83" t="str">
        <f>HYPERLINK("https://pbs.twimg.com/profile_banners/74146257/1560773995")</f>
        <v>https://pbs.twimg.com/profile_banners/74146257/1560773995</v>
      </c>
      <c r="BI559" s="76"/>
      <c r="BJ559" s="76" t="s">
        <v>19734</v>
      </c>
      <c r="BK559" s="76" t="b">
        <v>0</v>
      </c>
      <c r="BL559" s="76"/>
      <c r="BM559" s="76" t="s">
        <v>66</v>
      </c>
      <c r="BN559" s="76" t="s">
        <v>19736</v>
      </c>
      <c r="BO559" s="83" t="str">
        <f>HYPERLINK("https://twitter.com/caesgatos")</f>
        <v>https://twitter.com/caesgatos</v>
      </c>
      <c r="BP559" s="2"/>
    </row>
    <row r="560" spans="1:68" x14ac:dyDescent="0.25">
      <c r="A560" s="62" t="s">
        <v>713</v>
      </c>
      <c r="B560" s="63"/>
      <c r="C560" s="63"/>
      <c r="D560" s="64"/>
      <c r="E560" s="66"/>
      <c r="F560" s="103" t="str">
        <f>HYPERLINK("https://pbs.twimg.com/profile_images/1369108406657748993/TEGj6Z9j_normal.jpg")</f>
        <v>https://pbs.twimg.com/profile_images/1369108406657748993/TEGj6Z9j_normal.jpg</v>
      </c>
      <c r="G560" s="63"/>
      <c r="H560" s="67"/>
      <c r="I560" s="68"/>
      <c r="J560" s="68"/>
      <c r="K560" s="67" t="s">
        <v>20293</v>
      </c>
      <c r="L560" s="71"/>
      <c r="M560" s="72"/>
      <c r="N560" s="72"/>
      <c r="O560" s="73"/>
      <c r="P560" s="74"/>
      <c r="Q560" s="74"/>
      <c r="R560" s="87"/>
      <c r="S560" s="87"/>
      <c r="T560" s="87"/>
      <c r="U560" s="87"/>
      <c r="V560" s="48"/>
      <c r="W560" s="48"/>
      <c r="X560" s="48"/>
      <c r="Y560" s="48"/>
      <c r="Z560" s="47"/>
      <c r="AA560" s="69">
        <v>560</v>
      </c>
      <c r="AB560" s="69"/>
      <c r="AC560" s="70"/>
      <c r="AD560" s="76" t="s">
        <v>18295</v>
      </c>
      <c r="AE560" s="81" t="s">
        <v>18537</v>
      </c>
      <c r="AF560" s="76">
        <v>852</v>
      </c>
      <c r="AG560" s="76">
        <v>498</v>
      </c>
      <c r="AH560" s="76">
        <v>5608</v>
      </c>
      <c r="AI560" s="76">
        <v>4</v>
      </c>
      <c r="AJ560" s="76">
        <v>133</v>
      </c>
      <c r="AK560" s="76">
        <v>363</v>
      </c>
      <c r="AL560" s="76" t="b">
        <v>0</v>
      </c>
      <c r="AM560" s="78">
        <v>40292.018703703703</v>
      </c>
      <c r="AN560" s="76" t="s">
        <v>18759</v>
      </c>
      <c r="AO560" s="76" t="s">
        <v>19274</v>
      </c>
      <c r="AP560" s="83" t="str">
        <f>HYPERLINK("https://t.co/Rt8Y4qBhID")</f>
        <v>https://t.co/Rt8Y4qBhID</v>
      </c>
      <c r="AQ560" s="83" t="str">
        <f>HYPERLINK("http://www.nivel.com.br/b2b_solucoes")</f>
        <v>http://www.nivel.com.br/b2b_solucoes</v>
      </c>
      <c r="AR560" s="76" t="s">
        <v>19636</v>
      </c>
      <c r="AS560" s="76"/>
      <c r="AT560" s="76"/>
      <c r="AU560" s="76"/>
      <c r="AV560" s="76"/>
      <c r="AW560" s="83" t="str">
        <f>HYPERLINK("https://t.co/Rt8Y4qBhID")</f>
        <v>https://t.co/Rt8Y4qBhID</v>
      </c>
      <c r="AX560" s="76" t="b">
        <v>0</v>
      </c>
      <c r="AY560" s="76"/>
      <c r="AZ560" s="76"/>
      <c r="BA560" s="76" t="b">
        <v>0</v>
      </c>
      <c r="BB560" s="76" t="b">
        <v>1</v>
      </c>
      <c r="BC560" s="76" t="b">
        <v>0</v>
      </c>
      <c r="BD560" s="76" t="b">
        <v>0</v>
      </c>
      <c r="BE560" s="76" t="b">
        <v>0</v>
      </c>
      <c r="BF560" s="76" t="b">
        <v>0</v>
      </c>
      <c r="BG560" s="76" t="b">
        <v>1</v>
      </c>
      <c r="BH560" s="83" t="str">
        <f>HYPERLINK("https://pbs.twimg.com/profile_banners/136452657/1615255855")</f>
        <v>https://pbs.twimg.com/profile_banners/136452657/1615255855</v>
      </c>
      <c r="BI560" s="76"/>
      <c r="BJ560" s="76" t="s">
        <v>19734</v>
      </c>
      <c r="BK560" s="76" t="b">
        <v>0</v>
      </c>
      <c r="BL560" s="76"/>
      <c r="BM560" s="76" t="s">
        <v>66</v>
      </c>
      <c r="BN560" s="76" t="s">
        <v>19736</v>
      </c>
      <c r="BO560" s="83" t="str">
        <f>HYPERLINK("https://twitter.com/rodrigobarboza7")</f>
        <v>https://twitter.com/rodrigobarboza7</v>
      </c>
      <c r="BP560" s="2"/>
    </row>
    <row r="561" spans="1:68" x14ac:dyDescent="0.25">
      <c r="A561" s="62" t="s">
        <v>797</v>
      </c>
      <c r="B561" s="63"/>
      <c r="C561" s="63"/>
      <c r="D561" s="64"/>
      <c r="E561" s="66"/>
      <c r="F561" s="103" t="str">
        <f>HYPERLINK("https://pbs.twimg.com/profile_images/1703769943689383936/tdsQSQjx_normal.jpg")</f>
        <v>https://pbs.twimg.com/profile_images/1703769943689383936/tdsQSQjx_normal.jpg</v>
      </c>
      <c r="G561" s="63"/>
      <c r="H561" s="67"/>
      <c r="I561" s="68"/>
      <c r="J561" s="68"/>
      <c r="K561" s="67" t="s">
        <v>20294</v>
      </c>
      <c r="L561" s="71"/>
      <c r="M561" s="72"/>
      <c r="N561" s="72"/>
      <c r="O561" s="73"/>
      <c r="P561" s="74"/>
      <c r="Q561" s="74"/>
      <c r="R561" s="87"/>
      <c r="S561" s="87"/>
      <c r="T561" s="87"/>
      <c r="U561" s="87"/>
      <c r="V561" s="48"/>
      <c r="W561" s="48"/>
      <c r="X561" s="48"/>
      <c r="Y561" s="48"/>
      <c r="Z561" s="47"/>
      <c r="AA561" s="69">
        <v>561</v>
      </c>
      <c r="AB561" s="69"/>
      <c r="AC561" s="70"/>
      <c r="AD561" s="76" t="s">
        <v>18296</v>
      </c>
      <c r="AE561" s="81" t="s">
        <v>18538</v>
      </c>
      <c r="AF561" s="76">
        <v>4046</v>
      </c>
      <c r="AG561" s="76">
        <v>436</v>
      </c>
      <c r="AH561" s="76">
        <v>5275</v>
      </c>
      <c r="AI561" s="76">
        <v>64</v>
      </c>
      <c r="AJ561" s="76">
        <v>21</v>
      </c>
      <c r="AK561" s="76">
        <v>2345</v>
      </c>
      <c r="AL561" s="76" t="b">
        <v>0</v>
      </c>
      <c r="AM561" s="78">
        <v>40442.857951388891</v>
      </c>
      <c r="AN561" s="76" t="s">
        <v>18760</v>
      </c>
      <c r="AO561" s="76" t="s">
        <v>19275</v>
      </c>
      <c r="AP561" s="83" t="str">
        <f>HYPERLINK("https://t.co/dhfAhcvUvf")</f>
        <v>https://t.co/dhfAhcvUvf</v>
      </c>
      <c r="AQ561" s="83" t="str">
        <f>HYPERLINK("http://www.consed.org.br")</f>
        <v>http://www.consed.org.br</v>
      </c>
      <c r="AR561" s="76" t="s">
        <v>19637</v>
      </c>
      <c r="AS561" s="76"/>
      <c r="AT561" s="76"/>
      <c r="AU561" s="76"/>
      <c r="AV561" s="76"/>
      <c r="AW561" s="83" t="str">
        <f>HYPERLINK("https://t.co/dhfAhcvUvf")</f>
        <v>https://t.co/dhfAhcvUvf</v>
      </c>
      <c r="AX561" s="76" t="b">
        <v>0</v>
      </c>
      <c r="AY561" s="76"/>
      <c r="AZ561" s="76"/>
      <c r="BA561" s="76" t="b">
        <v>0</v>
      </c>
      <c r="BB561" s="76" t="b">
        <v>1</v>
      </c>
      <c r="BC561" s="76" t="b">
        <v>0</v>
      </c>
      <c r="BD561" s="76" t="b">
        <v>0</v>
      </c>
      <c r="BE561" s="76" t="b">
        <v>1</v>
      </c>
      <c r="BF561" s="76" t="b">
        <v>0</v>
      </c>
      <c r="BG561" s="76" t="b">
        <v>0</v>
      </c>
      <c r="BH561" s="83" t="str">
        <f>HYPERLINK("https://pbs.twimg.com/profile_banners/193439905/1489091696")</f>
        <v>https://pbs.twimg.com/profile_banners/193439905/1489091696</v>
      </c>
      <c r="BI561" s="76"/>
      <c r="BJ561" s="76" t="s">
        <v>19734</v>
      </c>
      <c r="BK561" s="76" t="b">
        <v>0</v>
      </c>
      <c r="BL561" s="76"/>
      <c r="BM561" s="76" t="s">
        <v>65</v>
      </c>
      <c r="BN561" s="76" t="s">
        <v>19736</v>
      </c>
      <c r="BO561" s="83" t="str">
        <f>HYPERLINK("https://twitter.com/consedbr")</f>
        <v>https://twitter.com/consedbr</v>
      </c>
      <c r="BP561" s="2"/>
    </row>
    <row r="562" spans="1:68" x14ac:dyDescent="0.25">
      <c r="A562" s="62" t="s">
        <v>715</v>
      </c>
      <c r="B562" s="63"/>
      <c r="C562" s="63"/>
      <c r="D562" s="64"/>
      <c r="E562" s="66"/>
      <c r="F562" s="103" t="str">
        <f>HYPERLINK("https://pbs.twimg.com/profile_images/1619346286745894912/khiTCtJ6_normal.jpg")</f>
        <v>https://pbs.twimg.com/profile_images/1619346286745894912/khiTCtJ6_normal.jpg</v>
      </c>
      <c r="G562" s="63"/>
      <c r="H562" s="67"/>
      <c r="I562" s="68"/>
      <c r="J562" s="68"/>
      <c r="K562" s="67" t="s">
        <v>20295</v>
      </c>
      <c r="L562" s="71"/>
      <c r="M562" s="72"/>
      <c r="N562" s="72"/>
      <c r="O562" s="73"/>
      <c r="P562" s="74"/>
      <c r="Q562" s="74"/>
      <c r="R562" s="87"/>
      <c r="S562" s="87"/>
      <c r="T562" s="87"/>
      <c r="U562" s="87"/>
      <c r="V562" s="48"/>
      <c r="W562" s="48"/>
      <c r="X562" s="48"/>
      <c r="Y562" s="48"/>
      <c r="Z562" s="47"/>
      <c r="AA562" s="69">
        <v>562</v>
      </c>
      <c r="AB562" s="69"/>
      <c r="AC562" s="70"/>
      <c r="AD562" s="76" t="s">
        <v>18297</v>
      </c>
      <c r="AE562" s="81" t="s">
        <v>17705</v>
      </c>
      <c r="AF562" s="76">
        <v>3</v>
      </c>
      <c r="AG562" s="76">
        <v>9</v>
      </c>
      <c r="AH562" s="76">
        <v>581</v>
      </c>
      <c r="AI562" s="76">
        <v>0</v>
      </c>
      <c r="AJ562" s="76">
        <v>9</v>
      </c>
      <c r="AK562" s="76">
        <v>0</v>
      </c>
      <c r="AL562" s="76" t="b">
        <v>0</v>
      </c>
      <c r="AM562" s="78">
        <v>44954.595891203702</v>
      </c>
      <c r="AN562" s="76"/>
      <c r="AO562" s="76" t="s">
        <v>19276</v>
      </c>
      <c r="AP562" s="83" t="str">
        <f>HYPERLINK("https://t.co/OJpGIxY2Jn")</f>
        <v>https://t.co/OJpGIxY2Jn</v>
      </c>
      <c r="AQ562" s="83" t="str">
        <f>HYPERLINK("https://allqamari.online/")</f>
        <v>https://allqamari.online/</v>
      </c>
      <c r="AR562" s="76" t="s">
        <v>7147</v>
      </c>
      <c r="AS562" s="76"/>
      <c r="AT562" s="76"/>
      <c r="AU562" s="76"/>
      <c r="AV562" s="76"/>
      <c r="AW562" s="83" t="str">
        <f>HYPERLINK("https://t.co/OJpGIxY2Jn")</f>
        <v>https://t.co/OJpGIxY2Jn</v>
      </c>
      <c r="AX562" s="76" t="b">
        <v>0</v>
      </c>
      <c r="AY562" s="76"/>
      <c r="AZ562" s="76"/>
      <c r="BA562" s="76" t="b">
        <v>0</v>
      </c>
      <c r="BB562" s="76" t="b">
        <v>1</v>
      </c>
      <c r="BC562" s="76" t="b">
        <v>1</v>
      </c>
      <c r="BD562" s="76" t="b">
        <v>0</v>
      </c>
      <c r="BE562" s="76" t="b">
        <v>0</v>
      </c>
      <c r="BF562" s="76" t="b">
        <v>0</v>
      </c>
      <c r="BG562" s="76" t="b">
        <v>0</v>
      </c>
      <c r="BH562" s="83" t="str">
        <f>HYPERLINK("https://pbs.twimg.com/profile_banners/1619338976338317312/1674917418")</f>
        <v>https://pbs.twimg.com/profile_banners/1619338976338317312/1674917418</v>
      </c>
      <c r="BI562" s="76"/>
      <c r="BJ562" s="76" t="s">
        <v>19734</v>
      </c>
      <c r="BK562" s="76" t="b">
        <v>0</v>
      </c>
      <c r="BL562" s="76"/>
      <c r="BM562" s="76" t="s">
        <v>66</v>
      </c>
      <c r="BN562" s="76" t="s">
        <v>19736</v>
      </c>
      <c r="BO562" s="83" t="str">
        <f>HYPERLINK("https://twitter.com/allqamarin")</f>
        <v>https://twitter.com/allqamarin</v>
      </c>
      <c r="BP562" s="2"/>
    </row>
    <row r="563" spans="1:68" x14ac:dyDescent="0.25">
      <c r="A563" s="62" t="s">
        <v>716</v>
      </c>
      <c r="B563" s="63"/>
      <c r="C563" s="63"/>
      <c r="D563" s="64"/>
      <c r="E563" s="66"/>
      <c r="F563" s="103" t="str">
        <f>HYPERLINK("https://pbs.twimg.com/profile_images/1665917652403994627/IX6fMfk1_normal.jpg")</f>
        <v>https://pbs.twimg.com/profile_images/1665917652403994627/IX6fMfk1_normal.jpg</v>
      </c>
      <c r="G563" s="63"/>
      <c r="H563" s="67"/>
      <c r="I563" s="68"/>
      <c r="J563" s="68"/>
      <c r="K563" s="67" t="s">
        <v>20296</v>
      </c>
      <c r="L563" s="71"/>
      <c r="M563" s="72"/>
      <c r="N563" s="72"/>
      <c r="O563" s="73"/>
      <c r="P563" s="74"/>
      <c r="Q563" s="74"/>
      <c r="R563" s="87"/>
      <c r="S563" s="87"/>
      <c r="T563" s="87"/>
      <c r="U563" s="87"/>
      <c r="V563" s="48"/>
      <c r="W563" s="48"/>
      <c r="X563" s="48"/>
      <c r="Y563" s="48"/>
      <c r="Z563" s="47"/>
      <c r="AA563" s="69">
        <v>563</v>
      </c>
      <c r="AB563" s="69"/>
      <c r="AC563" s="70"/>
      <c r="AD563" s="76" t="s">
        <v>18298</v>
      </c>
      <c r="AE563" s="81" t="s">
        <v>17706</v>
      </c>
      <c r="AF563" s="76">
        <v>1</v>
      </c>
      <c r="AG563" s="76">
        <v>1</v>
      </c>
      <c r="AH563" s="76">
        <v>21</v>
      </c>
      <c r="AI563" s="76">
        <v>0</v>
      </c>
      <c r="AJ563" s="76">
        <v>0</v>
      </c>
      <c r="AK563" s="76">
        <v>21</v>
      </c>
      <c r="AL563" s="76" t="b">
        <v>0</v>
      </c>
      <c r="AM563" s="78">
        <v>45083.118252314816</v>
      </c>
      <c r="AN563" s="76"/>
      <c r="AO563" s="76" t="s">
        <v>19277</v>
      </c>
      <c r="AP563" s="83" t="str">
        <f>HYPERLINK("https://t.co/32VoKQipSm")</f>
        <v>https://t.co/32VoKQipSm</v>
      </c>
      <c r="AQ563" s="83" t="str">
        <f>HYPERLINK("https://linktr.ee/estantevirtuall")</f>
        <v>https://linktr.ee/estantevirtuall</v>
      </c>
      <c r="AR563" s="76" t="s">
        <v>19638</v>
      </c>
      <c r="AS563" s="76"/>
      <c r="AT563" s="76"/>
      <c r="AU563" s="76"/>
      <c r="AV563" s="76"/>
      <c r="AW563" s="83" t="str">
        <f>HYPERLINK("https://t.co/32VoKQipSm")</f>
        <v>https://t.co/32VoKQipSm</v>
      </c>
      <c r="AX563" s="76" t="b">
        <v>0</v>
      </c>
      <c r="AY563" s="76"/>
      <c r="AZ563" s="76"/>
      <c r="BA563" s="76" t="b">
        <v>0</v>
      </c>
      <c r="BB563" s="76" t="b">
        <v>1</v>
      </c>
      <c r="BC563" s="76" t="b">
        <v>1</v>
      </c>
      <c r="BD563" s="76" t="b">
        <v>0</v>
      </c>
      <c r="BE563" s="76" t="b">
        <v>0</v>
      </c>
      <c r="BF563" s="76" t="b">
        <v>0</v>
      </c>
      <c r="BG563" s="76" t="b">
        <v>0</v>
      </c>
      <c r="BH563" s="83" t="str">
        <f>HYPERLINK("https://pbs.twimg.com/profile_banners/1665913665466368003/1686020694")</f>
        <v>https://pbs.twimg.com/profile_banners/1665913665466368003/1686020694</v>
      </c>
      <c r="BI563" s="76"/>
      <c r="BJ563" s="76" t="s">
        <v>19734</v>
      </c>
      <c r="BK563" s="76" t="b">
        <v>0</v>
      </c>
      <c r="BL563" s="76"/>
      <c r="BM563" s="76" t="s">
        <v>66</v>
      </c>
      <c r="BN563" s="76" t="s">
        <v>19736</v>
      </c>
      <c r="BO563" s="83" t="str">
        <f>HYPERLINK("https://twitter.com/estantevirtuall")</f>
        <v>https://twitter.com/estantevirtuall</v>
      </c>
      <c r="BP563" s="2"/>
    </row>
    <row r="564" spans="1:68" x14ac:dyDescent="0.25">
      <c r="A564" s="62" t="s">
        <v>717</v>
      </c>
      <c r="B564" s="63"/>
      <c r="C564" s="63"/>
      <c r="D564" s="64"/>
      <c r="E564" s="66"/>
      <c r="F564" s="103" t="str">
        <f>HYPERLINK("https://pbs.twimg.com/profile_images/1688364209107558400/KNfrpB9y_normal.jpg")</f>
        <v>https://pbs.twimg.com/profile_images/1688364209107558400/KNfrpB9y_normal.jpg</v>
      </c>
      <c r="G564" s="63"/>
      <c r="H564" s="67"/>
      <c r="I564" s="68"/>
      <c r="J564" s="68"/>
      <c r="K564" s="67" t="s">
        <v>20297</v>
      </c>
      <c r="L564" s="71"/>
      <c r="M564" s="72"/>
      <c r="N564" s="72"/>
      <c r="O564" s="73"/>
      <c r="P564" s="74"/>
      <c r="Q564" s="74"/>
      <c r="R564" s="87"/>
      <c r="S564" s="87"/>
      <c r="T564" s="87"/>
      <c r="U564" s="87"/>
      <c r="V564" s="48"/>
      <c r="W564" s="48"/>
      <c r="X564" s="48"/>
      <c r="Y564" s="48"/>
      <c r="Z564" s="47"/>
      <c r="AA564" s="69">
        <v>564</v>
      </c>
      <c r="AB564" s="69"/>
      <c r="AC564" s="70"/>
      <c r="AD564" s="76" t="s">
        <v>18299</v>
      </c>
      <c r="AE564" s="81" t="s">
        <v>18539</v>
      </c>
      <c r="AF564" s="76">
        <v>46</v>
      </c>
      <c r="AG564" s="76">
        <v>176</v>
      </c>
      <c r="AH564" s="76">
        <v>496</v>
      </c>
      <c r="AI564" s="76">
        <v>0</v>
      </c>
      <c r="AJ564" s="76">
        <v>843</v>
      </c>
      <c r="AK564" s="76">
        <v>104</v>
      </c>
      <c r="AL564" s="76" t="b">
        <v>0</v>
      </c>
      <c r="AM564" s="78">
        <v>39923.161678240744</v>
      </c>
      <c r="AN564" s="76"/>
      <c r="AO564" s="76" t="s">
        <v>19278</v>
      </c>
      <c r="AP564" s="83" t="str">
        <f>HYPERLINK("https://t.co/NJJBokeu48")</f>
        <v>https://t.co/NJJBokeu48</v>
      </c>
      <c r="AQ564" s="83" t="str">
        <f>HYPERLINK("http://www.TradeWiser.pro")</f>
        <v>http://www.TradeWiser.pro</v>
      </c>
      <c r="AR564" s="76" t="s">
        <v>19639</v>
      </c>
      <c r="AS564" s="76"/>
      <c r="AT564" s="76"/>
      <c r="AU564" s="76"/>
      <c r="AV564" s="76"/>
      <c r="AW564" s="83" t="str">
        <f>HYPERLINK("https://t.co/NJJBokeu48")</f>
        <v>https://t.co/NJJBokeu48</v>
      </c>
      <c r="AX564" s="76" t="b">
        <v>0</v>
      </c>
      <c r="AY564" s="76"/>
      <c r="AZ564" s="76"/>
      <c r="BA564" s="76" t="b">
        <v>1</v>
      </c>
      <c r="BB564" s="76" t="b">
        <v>0</v>
      </c>
      <c r="BC564" s="76" t="b">
        <v>0</v>
      </c>
      <c r="BD564" s="76" t="b">
        <v>0</v>
      </c>
      <c r="BE564" s="76" t="b">
        <v>1</v>
      </c>
      <c r="BF564" s="76" t="b">
        <v>0</v>
      </c>
      <c r="BG564" s="76" t="b">
        <v>0</v>
      </c>
      <c r="BH564" s="83" t="str">
        <f>HYPERLINK("https://pbs.twimg.com/profile_banners/33412872/1692536667")</f>
        <v>https://pbs.twimg.com/profile_banners/33412872/1692536667</v>
      </c>
      <c r="BI564" s="76"/>
      <c r="BJ564" s="76" t="s">
        <v>19734</v>
      </c>
      <c r="BK564" s="76" t="b">
        <v>0</v>
      </c>
      <c r="BL564" s="76"/>
      <c r="BM564" s="76" t="s">
        <v>66</v>
      </c>
      <c r="BN564" s="76" t="s">
        <v>19736</v>
      </c>
      <c r="BO564" s="83" t="str">
        <f>HYPERLINK("https://twitter.com/mtteixeira")</f>
        <v>https://twitter.com/mtteixeira</v>
      </c>
      <c r="BP564" s="2"/>
    </row>
    <row r="565" spans="1:68" x14ac:dyDescent="0.25">
      <c r="A565" s="62" t="s">
        <v>718</v>
      </c>
      <c r="B565" s="63"/>
      <c r="C565" s="63"/>
      <c r="D565" s="64"/>
      <c r="E565" s="66"/>
      <c r="F565" s="103" t="str">
        <f>HYPERLINK("https://pbs.twimg.com/profile_images/1582377001373106176/Ivu-Hmj3_normal.jpg")</f>
        <v>https://pbs.twimg.com/profile_images/1582377001373106176/Ivu-Hmj3_normal.jpg</v>
      </c>
      <c r="G565" s="63"/>
      <c r="H565" s="67"/>
      <c r="I565" s="68"/>
      <c r="J565" s="68"/>
      <c r="K565" s="67" t="s">
        <v>20298</v>
      </c>
      <c r="L565" s="71"/>
      <c r="M565" s="72"/>
      <c r="N565" s="72"/>
      <c r="O565" s="73"/>
      <c r="P565" s="74"/>
      <c r="Q565" s="74"/>
      <c r="R565" s="87"/>
      <c r="S565" s="87"/>
      <c r="T565" s="87"/>
      <c r="U565" s="87"/>
      <c r="V565" s="48"/>
      <c r="W565" s="48"/>
      <c r="X565" s="48"/>
      <c r="Y565" s="48"/>
      <c r="Z565" s="47"/>
      <c r="AA565" s="69">
        <v>565</v>
      </c>
      <c r="AB565" s="69"/>
      <c r="AC565" s="70"/>
      <c r="AD565" s="76" t="s">
        <v>18300</v>
      </c>
      <c r="AE565" s="81" t="s">
        <v>18540</v>
      </c>
      <c r="AF565" s="76">
        <v>176</v>
      </c>
      <c r="AG565" s="76">
        <v>261</v>
      </c>
      <c r="AH565" s="76">
        <v>5416</v>
      </c>
      <c r="AI565" s="76">
        <v>45</v>
      </c>
      <c r="AJ565" s="76">
        <v>7076</v>
      </c>
      <c r="AK565" s="76">
        <v>802</v>
      </c>
      <c r="AL565" s="76" t="b">
        <v>0</v>
      </c>
      <c r="AM565" s="78">
        <v>42158.058495370373</v>
      </c>
      <c r="AN565" s="76" t="s">
        <v>18722</v>
      </c>
      <c r="AO565" s="76" t="s">
        <v>19279</v>
      </c>
      <c r="AP565" s="76"/>
      <c r="AQ565" s="76"/>
      <c r="AR565" s="76"/>
      <c r="AS565" s="76"/>
      <c r="AT565" s="76"/>
      <c r="AU565" s="76"/>
      <c r="AV565" s="76"/>
      <c r="AW565" s="76"/>
      <c r="AX565" s="76" t="b">
        <v>0</v>
      </c>
      <c r="AY565" s="76"/>
      <c r="AZ565" s="76"/>
      <c r="BA565" s="76" t="b">
        <v>0</v>
      </c>
      <c r="BB565" s="76" t="b">
        <v>0</v>
      </c>
      <c r="BC565" s="76" t="b">
        <v>0</v>
      </c>
      <c r="BD565" s="76" t="b">
        <v>0</v>
      </c>
      <c r="BE565" s="76" t="b">
        <v>1</v>
      </c>
      <c r="BF565" s="76" t="b">
        <v>0</v>
      </c>
      <c r="BG565" s="76" t="b">
        <v>0</v>
      </c>
      <c r="BH565" s="83" t="str">
        <f>HYPERLINK("https://pbs.twimg.com/profile_banners/3234532213/1665106439")</f>
        <v>https://pbs.twimg.com/profile_banners/3234532213/1665106439</v>
      </c>
      <c r="BI565" s="76"/>
      <c r="BJ565" s="76" t="s">
        <v>19734</v>
      </c>
      <c r="BK565" s="76" t="b">
        <v>0</v>
      </c>
      <c r="BL565" s="76"/>
      <c r="BM565" s="76" t="s">
        <v>66</v>
      </c>
      <c r="BN565" s="76" t="s">
        <v>19736</v>
      </c>
      <c r="BO565" s="83" t="str">
        <f>HYPERLINK("https://twitter.com/midimashup")</f>
        <v>https://twitter.com/midimashup</v>
      </c>
      <c r="BP565" s="2"/>
    </row>
    <row r="566" spans="1:68" x14ac:dyDescent="0.25">
      <c r="A566" s="62" t="s">
        <v>798</v>
      </c>
      <c r="B566" s="63"/>
      <c r="C566" s="63"/>
      <c r="D566" s="64"/>
      <c r="E566" s="66"/>
      <c r="F566" s="103" t="str">
        <f>HYPERLINK("https://pbs.twimg.com/profile_images/1668797105282985984/UUZWzpjy_normal.jpg")</f>
        <v>https://pbs.twimg.com/profile_images/1668797105282985984/UUZWzpjy_normal.jpg</v>
      </c>
      <c r="G566" s="63"/>
      <c r="H566" s="67"/>
      <c r="I566" s="68"/>
      <c r="J566" s="68"/>
      <c r="K566" s="67" t="s">
        <v>20299</v>
      </c>
      <c r="L566" s="71"/>
      <c r="M566" s="72"/>
      <c r="N566" s="72"/>
      <c r="O566" s="73"/>
      <c r="P566" s="74"/>
      <c r="Q566" s="74"/>
      <c r="R566" s="87"/>
      <c r="S566" s="87"/>
      <c r="T566" s="87"/>
      <c r="U566" s="87"/>
      <c r="V566" s="48"/>
      <c r="W566" s="48"/>
      <c r="X566" s="48"/>
      <c r="Y566" s="48"/>
      <c r="Z566" s="47"/>
      <c r="AA566" s="69">
        <v>566</v>
      </c>
      <c r="AB566" s="69"/>
      <c r="AC566" s="70"/>
      <c r="AD566" s="76" t="s">
        <v>18301</v>
      </c>
      <c r="AE566" s="81" t="s">
        <v>18541</v>
      </c>
      <c r="AF566" s="76">
        <v>599956</v>
      </c>
      <c r="AG566" s="76">
        <v>5852</v>
      </c>
      <c r="AH566" s="76">
        <v>46691</v>
      </c>
      <c r="AI566" s="76">
        <v>1050</v>
      </c>
      <c r="AJ566" s="76">
        <v>54460</v>
      </c>
      <c r="AK566" s="76">
        <v>2386</v>
      </c>
      <c r="AL566" s="76" t="b">
        <v>0</v>
      </c>
      <c r="AM566" s="78">
        <v>43013.773645833331</v>
      </c>
      <c r="AN566" s="76"/>
      <c r="AO566" s="76" t="s">
        <v>19280</v>
      </c>
      <c r="AP566" s="83" t="str">
        <f>HYPERLINK("https://t.co/vNiophC3Sb")</f>
        <v>https://t.co/vNiophC3Sb</v>
      </c>
      <c r="AQ566" s="83" t="str">
        <f>HYPERLINK("https://www.nathfinancas.com.br/nathplay/")</f>
        <v>https://www.nathfinancas.com.br/nathplay/</v>
      </c>
      <c r="AR566" s="76" t="s">
        <v>19640</v>
      </c>
      <c r="AS566" s="76"/>
      <c r="AT566" s="76"/>
      <c r="AU566" s="76"/>
      <c r="AV566" s="76">
        <v>1.70414966077485E+18</v>
      </c>
      <c r="AW566" s="83" t="str">
        <f>HYPERLINK("https://t.co/vNiophC3Sb")</f>
        <v>https://t.co/vNiophC3Sb</v>
      </c>
      <c r="AX566" s="76" t="b">
        <v>1</v>
      </c>
      <c r="AY566" s="76"/>
      <c r="AZ566" s="76"/>
      <c r="BA566" s="76" t="b">
        <v>1</v>
      </c>
      <c r="BB566" s="76" t="b">
        <v>0</v>
      </c>
      <c r="BC566" s="76" t="b">
        <v>1</v>
      </c>
      <c r="BD566" s="76" t="b">
        <v>0</v>
      </c>
      <c r="BE566" s="76" t="b">
        <v>1</v>
      </c>
      <c r="BF566" s="76" t="b">
        <v>0</v>
      </c>
      <c r="BG566" s="76" t="b">
        <v>0</v>
      </c>
      <c r="BH566" s="83" t="str">
        <f>HYPERLINK("https://pbs.twimg.com/profile_banners/916008599205359617/1687455188")</f>
        <v>https://pbs.twimg.com/profile_banners/916008599205359617/1687455188</v>
      </c>
      <c r="BI566" s="76"/>
      <c r="BJ566" s="76" t="s">
        <v>19734</v>
      </c>
      <c r="BK566" s="76" t="b">
        <v>0</v>
      </c>
      <c r="BL566" s="76"/>
      <c r="BM566" s="76" t="s">
        <v>65</v>
      </c>
      <c r="BN566" s="76" t="s">
        <v>19736</v>
      </c>
      <c r="BO566" s="83" t="str">
        <f>HYPERLINK("https://twitter.com/nathfinancas")</f>
        <v>https://twitter.com/nathfinancas</v>
      </c>
      <c r="BP566" s="2"/>
    </row>
    <row r="567" spans="1:68" x14ac:dyDescent="0.25">
      <c r="A567" s="62" t="s">
        <v>799</v>
      </c>
      <c r="B567" s="63"/>
      <c r="C567" s="63"/>
      <c r="D567" s="64"/>
      <c r="E567" s="66"/>
      <c r="F567" s="103" t="str">
        <f>HYPERLINK("https://pbs.twimg.com/profile_images/1425938327635640325/x13pSq-Y_normal.jpg")</f>
        <v>https://pbs.twimg.com/profile_images/1425938327635640325/x13pSq-Y_normal.jpg</v>
      </c>
      <c r="G567" s="63"/>
      <c r="H567" s="67"/>
      <c r="I567" s="68"/>
      <c r="J567" s="68"/>
      <c r="K567" s="67" t="s">
        <v>20300</v>
      </c>
      <c r="L567" s="71"/>
      <c r="M567" s="72"/>
      <c r="N567" s="72"/>
      <c r="O567" s="73"/>
      <c r="P567" s="74"/>
      <c r="Q567" s="74"/>
      <c r="R567" s="87"/>
      <c r="S567" s="87"/>
      <c r="T567" s="87"/>
      <c r="U567" s="87"/>
      <c r="V567" s="48"/>
      <c r="W567" s="48"/>
      <c r="X567" s="48"/>
      <c r="Y567" s="48"/>
      <c r="Z567" s="47"/>
      <c r="AA567" s="69">
        <v>567</v>
      </c>
      <c r="AB567" s="69"/>
      <c r="AC567" s="70"/>
      <c r="AD567" s="76" t="s">
        <v>18302</v>
      </c>
      <c r="AE567" s="81" t="s">
        <v>18542</v>
      </c>
      <c r="AF567" s="76">
        <v>314879</v>
      </c>
      <c r="AG567" s="76">
        <v>238</v>
      </c>
      <c r="AH567" s="76">
        <v>33045</v>
      </c>
      <c r="AI567" s="76">
        <v>1936</v>
      </c>
      <c r="AJ567" s="76">
        <v>2644</v>
      </c>
      <c r="AK567" s="76">
        <v>1313</v>
      </c>
      <c r="AL567" s="76" t="b">
        <v>0</v>
      </c>
      <c r="AM567" s="78">
        <v>39966.880162037036</v>
      </c>
      <c r="AN567" s="76" t="s">
        <v>12007</v>
      </c>
      <c r="AO567" s="76" t="s">
        <v>19281</v>
      </c>
      <c r="AP567" s="83" t="str">
        <f>HYPERLINK("https://t.co/NaQpfw2XaB")</f>
        <v>https://t.co/NaQpfw2XaB</v>
      </c>
      <c r="AQ567" s="83" t="str">
        <f>HYPERLINK("http://www.xpi.com.br")</f>
        <v>http://www.xpi.com.br</v>
      </c>
      <c r="AR567" s="76" t="s">
        <v>19641</v>
      </c>
      <c r="AS567" s="76"/>
      <c r="AT567" s="76"/>
      <c r="AU567" s="76"/>
      <c r="AV567" s="76"/>
      <c r="AW567" s="83" t="str">
        <f>HYPERLINK("https://t.co/NaQpfw2XaB")</f>
        <v>https://t.co/NaQpfw2XaB</v>
      </c>
      <c r="AX567" s="76" t="b">
        <v>0</v>
      </c>
      <c r="AY567" s="76"/>
      <c r="AZ567" s="76"/>
      <c r="BA567" s="76" t="b">
        <v>1</v>
      </c>
      <c r="BB567" s="76" t="b">
        <v>1</v>
      </c>
      <c r="BC567" s="76" t="b">
        <v>0</v>
      </c>
      <c r="BD567" s="76" t="b">
        <v>0</v>
      </c>
      <c r="BE567" s="76" t="b">
        <v>1</v>
      </c>
      <c r="BF567" s="76" t="b">
        <v>0</v>
      </c>
      <c r="BG567" s="76" t="b">
        <v>0</v>
      </c>
      <c r="BH567" s="83" t="str">
        <f>HYPERLINK("https://pbs.twimg.com/profile_banners/44208467/1691439709")</f>
        <v>https://pbs.twimg.com/profile_banners/44208467/1691439709</v>
      </c>
      <c r="BI567" s="76"/>
      <c r="BJ567" s="76" t="s">
        <v>19734</v>
      </c>
      <c r="BK567" s="76" t="b">
        <v>0</v>
      </c>
      <c r="BL567" s="76"/>
      <c r="BM567" s="76" t="s">
        <v>65</v>
      </c>
      <c r="BN567" s="76" t="s">
        <v>19736</v>
      </c>
      <c r="BO567" s="83" t="str">
        <f>HYPERLINK("https://twitter.com/xpinvestimentos")</f>
        <v>https://twitter.com/xpinvestimentos</v>
      </c>
      <c r="BP567" s="2"/>
    </row>
    <row r="568" spans="1:68" x14ac:dyDescent="0.25">
      <c r="A568" s="62" t="s">
        <v>719</v>
      </c>
      <c r="B568" s="63"/>
      <c r="C568" s="63"/>
      <c r="D568" s="64"/>
      <c r="E568" s="66"/>
      <c r="F568" s="103" t="str">
        <f>HYPERLINK("https://pbs.twimg.com/profile_images/1671188833746993158/_UZfLr58_normal.jpg")</f>
        <v>https://pbs.twimg.com/profile_images/1671188833746993158/_UZfLr58_normal.jpg</v>
      </c>
      <c r="G568" s="63"/>
      <c r="H568" s="67"/>
      <c r="I568" s="68"/>
      <c r="J568" s="68"/>
      <c r="K568" s="67" t="s">
        <v>20301</v>
      </c>
      <c r="L568" s="71"/>
      <c r="M568" s="72"/>
      <c r="N568" s="72"/>
      <c r="O568" s="73"/>
      <c r="P568" s="74"/>
      <c r="Q568" s="74"/>
      <c r="R568" s="87"/>
      <c r="S568" s="87"/>
      <c r="T568" s="87"/>
      <c r="U568" s="87"/>
      <c r="V568" s="48"/>
      <c r="W568" s="48"/>
      <c r="X568" s="48"/>
      <c r="Y568" s="48"/>
      <c r="Z568" s="47"/>
      <c r="AA568" s="69">
        <v>568</v>
      </c>
      <c r="AB568" s="69"/>
      <c r="AC568" s="70"/>
      <c r="AD568" s="76" t="s">
        <v>18303</v>
      </c>
      <c r="AE568" s="81" t="s">
        <v>17707</v>
      </c>
      <c r="AF568" s="76">
        <v>2</v>
      </c>
      <c r="AG568" s="76">
        <v>24</v>
      </c>
      <c r="AH568" s="76">
        <v>6</v>
      </c>
      <c r="AI568" s="76">
        <v>0</v>
      </c>
      <c r="AJ568" s="76">
        <v>6</v>
      </c>
      <c r="AK568" s="76">
        <v>0</v>
      </c>
      <c r="AL568" s="76" t="b">
        <v>0</v>
      </c>
      <c r="AM568" s="78">
        <v>45041.998263888891</v>
      </c>
      <c r="AN568" s="76"/>
      <c r="AO568" s="76" t="s">
        <v>19282</v>
      </c>
      <c r="AP568" s="76"/>
      <c r="AQ568" s="76"/>
      <c r="AR568" s="76"/>
      <c r="AS568" s="76"/>
      <c r="AT568" s="76"/>
      <c r="AU568" s="76"/>
      <c r="AV568" s="76"/>
      <c r="AW568" s="76"/>
      <c r="AX568" s="76" t="b">
        <v>0</v>
      </c>
      <c r="AY568" s="76"/>
      <c r="AZ568" s="76"/>
      <c r="BA568" s="76" t="b">
        <v>0</v>
      </c>
      <c r="BB568" s="76" t="b">
        <v>0</v>
      </c>
      <c r="BC568" s="76" t="b">
        <v>1</v>
      </c>
      <c r="BD568" s="76" t="b">
        <v>0</v>
      </c>
      <c r="BE568" s="76" t="b">
        <v>0</v>
      </c>
      <c r="BF568" s="76" t="b">
        <v>0</v>
      </c>
      <c r="BG568" s="76" t="b">
        <v>0</v>
      </c>
      <c r="BH568" s="83" t="str">
        <f>HYPERLINK("https://pbs.twimg.com/profile_banners/1651012435556311040/1687280061")</f>
        <v>https://pbs.twimg.com/profile_banners/1651012435556311040/1687280061</v>
      </c>
      <c r="BI568" s="76"/>
      <c r="BJ568" s="76" t="s">
        <v>19734</v>
      </c>
      <c r="BK568" s="76" t="b">
        <v>0</v>
      </c>
      <c r="BL568" s="76"/>
      <c r="BM568" s="76" t="s">
        <v>66</v>
      </c>
      <c r="BN568" s="76" t="s">
        <v>19736</v>
      </c>
      <c r="BO568" s="83" t="str">
        <f>HYPERLINK("https://twitter.com/vitoartswow")</f>
        <v>https://twitter.com/vitoartswow</v>
      </c>
      <c r="BP568" s="2"/>
    </row>
    <row r="569" spans="1:68" x14ac:dyDescent="0.25">
      <c r="A569" s="62" t="s">
        <v>720</v>
      </c>
      <c r="B569" s="63"/>
      <c r="C569" s="63"/>
      <c r="D569" s="64"/>
      <c r="E569" s="66"/>
      <c r="F569" s="103" t="str">
        <f>HYPERLINK("https://pbs.twimg.com/profile_images/1648621062857392130/PWzogkLU_normal.jpg")</f>
        <v>https://pbs.twimg.com/profile_images/1648621062857392130/PWzogkLU_normal.jpg</v>
      </c>
      <c r="G569" s="63"/>
      <c r="H569" s="67"/>
      <c r="I569" s="68"/>
      <c r="J569" s="68"/>
      <c r="K569" s="67" t="s">
        <v>20302</v>
      </c>
      <c r="L569" s="71"/>
      <c r="M569" s="72"/>
      <c r="N569" s="72"/>
      <c r="O569" s="73"/>
      <c r="P569" s="74"/>
      <c r="Q569" s="74"/>
      <c r="R569" s="87"/>
      <c r="S569" s="87"/>
      <c r="T569" s="87"/>
      <c r="U569" s="87"/>
      <c r="V569" s="48"/>
      <c r="W569" s="48"/>
      <c r="X569" s="48"/>
      <c r="Y569" s="48"/>
      <c r="Z569" s="47"/>
      <c r="AA569" s="69">
        <v>569</v>
      </c>
      <c r="AB569" s="69"/>
      <c r="AC569" s="70"/>
      <c r="AD569" s="76" t="s">
        <v>18304</v>
      </c>
      <c r="AE569" s="81" t="s">
        <v>18543</v>
      </c>
      <c r="AF569" s="76">
        <v>89</v>
      </c>
      <c r="AG569" s="76">
        <v>553</v>
      </c>
      <c r="AH569" s="76">
        <v>274</v>
      </c>
      <c r="AI569" s="76">
        <v>0</v>
      </c>
      <c r="AJ569" s="76">
        <v>371</v>
      </c>
      <c r="AK569" s="76">
        <v>18</v>
      </c>
      <c r="AL569" s="76" t="b">
        <v>0</v>
      </c>
      <c r="AM569" s="78">
        <v>42177.864895833336</v>
      </c>
      <c r="AN569" s="76" t="s">
        <v>12007</v>
      </c>
      <c r="AO569" s="76" t="s">
        <v>19283</v>
      </c>
      <c r="AP569" s="83" t="str">
        <f>HYPERLINK("https://t.co/h0pPtaFfNB")</f>
        <v>https://t.co/h0pPtaFfNB</v>
      </c>
      <c r="AQ569" s="83" t="str">
        <f>HYPERLINK("http://linktr.ee/romero.financas")</f>
        <v>http://linktr.ee/romero.financas</v>
      </c>
      <c r="AR569" s="76" t="s">
        <v>19642</v>
      </c>
      <c r="AS569" s="76"/>
      <c r="AT569" s="76"/>
      <c r="AU569" s="76"/>
      <c r="AV569" s="76"/>
      <c r="AW569" s="83" t="str">
        <f>HYPERLINK("https://t.co/h0pPtaFfNB")</f>
        <v>https://t.co/h0pPtaFfNB</v>
      </c>
      <c r="AX569" s="76" t="b">
        <v>0</v>
      </c>
      <c r="AY569" s="76"/>
      <c r="AZ569" s="76"/>
      <c r="BA569" s="76" t="b">
        <v>1</v>
      </c>
      <c r="BB569" s="76" t="b">
        <v>0</v>
      </c>
      <c r="BC569" s="76" t="b">
        <v>1</v>
      </c>
      <c r="BD569" s="76" t="b">
        <v>0</v>
      </c>
      <c r="BE569" s="76" t="b">
        <v>1</v>
      </c>
      <c r="BF569" s="76" t="b">
        <v>0</v>
      </c>
      <c r="BG569" s="76" t="b">
        <v>0</v>
      </c>
      <c r="BH569" s="83" t="str">
        <f>HYPERLINK("https://pbs.twimg.com/profile_banners/3341974577/1572475499")</f>
        <v>https://pbs.twimg.com/profile_banners/3341974577/1572475499</v>
      </c>
      <c r="BI569" s="76"/>
      <c r="BJ569" s="76" t="s">
        <v>19734</v>
      </c>
      <c r="BK569" s="76" t="b">
        <v>0</v>
      </c>
      <c r="BL569" s="76"/>
      <c r="BM569" s="76" t="s">
        <v>66</v>
      </c>
      <c r="BN569" s="76" t="s">
        <v>19736</v>
      </c>
      <c r="BO569" s="83" t="str">
        <f>HYPERLINK("https://twitter.com/romerofinancas")</f>
        <v>https://twitter.com/romerofinancas</v>
      </c>
      <c r="BP569" s="2"/>
    </row>
    <row r="570" spans="1:68" x14ac:dyDescent="0.25">
      <c r="A570" s="62" t="s">
        <v>721</v>
      </c>
      <c r="B570" s="63"/>
      <c r="C570" s="63"/>
      <c r="D570" s="64"/>
      <c r="E570" s="66"/>
      <c r="F570" s="103" t="str">
        <f>HYPERLINK("https://pbs.twimg.com/profile_images/1616129482158489634/7UAxChJf_normal.jpg")</f>
        <v>https://pbs.twimg.com/profile_images/1616129482158489634/7UAxChJf_normal.jpg</v>
      </c>
      <c r="G570" s="63"/>
      <c r="H570" s="67"/>
      <c r="I570" s="68"/>
      <c r="J570" s="68"/>
      <c r="K570" s="67" t="s">
        <v>20303</v>
      </c>
      <c r="L570" s="71"/>
      <c r="M570" s="72"/>
      <c r="N570" s="72"/>
      <c r="O570" s="73"/>
      <c r="P570" s="74"/>
      <c r="Q570" s="74"/>
      <c r="R570" s="87"/>
      <c r="S570" s="87"/>
      <c r="T570" s="87"/>
      <c r="U570" s="87"/>
      <c r="V570" s="48"/>
      <c r="W570" s="48"/>
      <c r="X570" s="48"/>
      <c r="Y570" s="48"/>
      <c r="Z570" s="47"/>
      <c r="AA570" s="69">
        <v>570</v>
      </c>
      <c r="AB570" s="69"/>
      <c r="AC570" s="70"/>
      <c r="AD570" s="76" t="s">
        <v>18305</v>
      </c>
      <c r="AE570" s="81" t="s">
        <v>17708</v>
      </c>
      <c r="AF570" s="76">
        <v>289</v>
      </c>
      <c r="AG570" s="76">
        <v>289</v>
      </c>
      <c r="AH570" s="76">
        <v>112119</v>
      </c>
      <c r="AI570" s="76">
        <v>9</v>
      </c>
      <c r="AJ570" s="76">
        <v>82</v>
      </c>
      <c r="AK570" s="76">
        <v>77895</v>
      </c>
      <c r="AL570" s="76" t="b">
        <v>0</v>
      </c>
      <c r="AM570" s="78">
        <v>42928.840520833335</v>
      </c>
      <c r="AN570" s="76"/>
      <c r="AO570" s="76" t="s">
        <v>19284</v>
      </c>
      <c r="AP570" s="83" t="str">
        <f>HYPERLINK("https://t.co/hKZtCjmsyD")</f>
        <v>https://t.co/hKZtCjmsyD</v>
      </c>
      <c r="AQ570" s="83" t="str">
        <f>HYPERLINK("http://www.yomelyah.com")</f>
        <v>http://www.yomelyah.com</v>
      </c>
      <c r="AR570" s="76" t="s">
        <v>19643</v>
      </c>
      <c r="AS570" s="76"/>
      <c r="AT570" s="76"/>
      <c r="AU570" s="76"/>
      <c r="AV570" s="76">
        <v>1.61613308567394E+18</v>
      </c>
      <c r="AW570" s="83" t="str">
        <f>HYPERLINK("https://t.co/hKZtCjmsyD")</f>
        <v>https://t.co/hKZtCjmsyD</v>
      </c>
      <c r="AX570" s="76" t="b">
        <v>0</v>
      </c>
      <c r="AY570" s="76"/>
      <c r="AZ570" s="76"/>
      <c r="BA570" s="76" t="b">
        <v>0</v>
      </c>
      <c r="BB570" s="76" t="b">
        <v>1</v>
      </c>
      <c r="BC570" s="76" t="b">
        <v>0</v>
      </c>
      <c r="BD570" s="76" t="b">
        <v>0</v>
      </c>
      <c r="BE570" s="76" t="b">
        <v>1</v>
      </c>
      <c r="BF570" s="76" t="b">
        <v>0</v>
      </c>
      <c r="BG570" s="76" t="b">
        <v>0</v>
      </c>
      <c r="BH570" s="83" t="str">
        <f>HYPERLINK("https://pbs.twimg.com/profile_banners/885229866437799936/1674150271")</f>
        <v>https://pbs.twimg.com/profile_banners/885229866437799936/1674150271</v>
      </c>
      <c r="BI570" s="76"/>
      <c r="BJ570" s="76" t="s">
        <v>19734</v>
      </c>
      <c r="BK570" s="76" t="b">
        <v>0</v>
      </c>
      <c r="BL570" s="76"/>
      <c r="BM570" s="76" t="s">
        <v>66</v>
      </c>
      <c r="BN570" s="76" t="s">
        <v>19736</v>
      </c>
      <c r="BO570" s="83" t="str">
        <f>HYPERLINK("https://twitter.com/yomelijah")</f>
        <v>https://twitter.com/yomelijah</v>
      </c>
      <c r="BP570" s="2"/>
    </row>
    <row r="571" spans="1:68" x14ac:dyDescent="0.25">
      <c r="A571" s="62" t="s">
        <v>722</v>
      </c>
      <c r="B571" s="63"/>
      <c r="C571" s="63"/>
      <c r="D571" s="64"/>
      <c r="E571" s="66"/>
      <c r="F571" s="103" t="str">
        <f>HYPERLINK("https://pbs.twimg.com/profile_images/1479498531316670468/_luYcChW_normal.jpg")</f>
        <v>https://pbs.twimg.com/profile_images/1479498531316670468/_luYcChW_normal.jpg</v>
      </c>
      <c r="G571" s="63"/>
      <c r="H571" s="67"/>
      <c r="I571" s="68"/>
      <c r="J571" s="68"/>
      <c r="K571" s="67" t="s">
        <v>20304</v>
      </c>
      <c r="L571" s="71"/>
      <c r="M571" s="72"/>
      <c r="N571" s="72"/>
      <c r="O571" s="73"/>
      <c r="P571" s="74"/>
      <c r="Q571" s="74"/>
      <c r="R571" s="87"/>
      <c r="S571" s="87"/>
      <c r="T571" s="87"/>
      <c r="U571" s="87"/>
      <c r="V571" s="48"/>
      <c r="W571" s="48"/>
      <c r="X571" s="48"/>
      <c r="Y571" s="48"/>
      <c r="Z571" s="47"/>
      <c r="AA571" s="69">
        <v>571</v>
      </c>
      <c r="AB571" s="69"/>
      <c r="AC571" s="70"/>
      <c r="AD571" s="76" t="s">
        <v>18306</v>
      </c>
      <c r="AE571" s="81" t="s">
        <v>17709</v>
      </c>
      <c r="AF571" s="76">
        <v>8</v>
      </c>
      <c r="AG571" s="76">
        <v>49</v>
      </c>
      <c r="AH571" s="76">
        <v>11</v>
      </c>
      <c r="AI571" s="76">
        <v>0</v>
      </c>
      <c r="AJ571" s="76">
        <v>21</v>
      </c>
      <c r="AK571" s="76">
        <v>3</v>
      </c>
      <c r="AL571" s="76" t="b">
        <v>0</v>
      </c>
      <c r="AM571" s="78">
        <v>44568.709629629629</v>
      </c>
      <c r="AN571" s="76" t="s">
        <v>18761</v>
      </c>
      <c r="AO571" s="76" t="s">
        <v>19285</v>
      </c>
      <c r="AP571" s="76"/>
      <c r="AQ571" s="76"/>
      <c r="AR571" s="76"/>
      <c r="AS571" s="76"/>
      <c r="AT571" s="76"/>
      <c r="AU571" s="76"/>
      <c r="AV571" s="76"/>
      <c r="AW571" s="76"/>
      <c r="AX571" s="76" t="b">
        <v>0</v>
      </c>
      <c r="AY571" s="76"/>
      <c r="AZ571" s="76"/>
      <c r="BA571" s="76" t="b">
        <v>0</v>
      </c>
      <c r="BB571" s="76" t="b">
        <v>1</v>
      </c>
      <c r="BC571" s="76" t="b">
        <v>1</v>
      </c>
      <c r="BD571" s="76" t="b">
        <v>0</v>
      </c>
      <c r="BE571" s="76" t="b">
        <v>0</v>
      </c>
      <c r="BF571" s="76" t="b">
        <v>0</v>
      </c>
      <c r="BG571" s="76" t="b">
        <v>0</v>
      </c>
      <c r="BH571" s="83" t="str">
        <f>HYPERLINK("https://pbs.twimg.com/profile_banners/1479498456012050437/1683134834")</f>
        <v>https://pbs.twimg.com/profile_banners/1479498456012050437/1683134834</v>
      </c>
      <c r="BI571" s="76"/>
      <c r="BJ571" s="76" t="s">
        <v>19734</v>
      </c>
      <c r="BK571" s="76" t="b">
        <v>0</v>
      </c>
      <c r="BL571" s="76"/>
      <c r="BM571" s="76" t="s">
        <v>66</v>
      </c>
      <c r="BN571" s="76" t="s">
        <v>19736</v>
      </c>
      <c r="BO571" s="83" t="str">
        <f>HYPERLINK("https://twitter.com/knop_op")</f>
        <v>https://twitter.com/knop_op</v>
      </c>
      <c r="BP571" s="2"/>
    </row>
    <row r="572" spans="1:68" x14ac:dyDescent="0.25">
      <c r="A572" s="62" t="s">
        <v>723</v>
      </c>
      <c r="B572" s="63"/>
      <c r="C572" s="63"/>
      <c r="D572" s="64"/>
      <c r="E572" s="66"/>
      <c r="F572" s="103" t="str">
        <f>HYPERLINK("https://pbs.twimg.com/profile_images/1507084958590029825/A0zYOuAD_normal.jpg")</f>
        <v>https://pbs.twimg.com/profile_images/1507084958590029825/A0zYOuAD_normal.jpg</v>
      </c>
      <c r="G572" s="63"/>
      <c r="H572" s="67"/>
      <c r="I572" s="68"/>
      <c r="J572" s="68"/>
      <c r="K572" s="67" t="s">
        <v>20305</v>
      </c>
      <c r="L572" s="71"/>
      <c r="M572" s="72"/>
      <c r="N572" s="72"/>
      <c r="O572" s="73"/>
      <c r="P572" s="74"/>
      <c r="Q572" s="74"/>
      <c r="R572" s="87"/>
      <c r="S572" s="87"/>
      <c r="T572" s="87"/>
      <c r="U572" s="87"/>
      <c r="V572" s="48"/>
      <c r="W572" s="48"/>
      <c r="X572" s="48"/>
      <c r="Y572" s="48"/>
      <c r="Z572" s="47"/>
      <c r="AA572" s="69">
        <v>572</v>
      </c>
      <c r="AB572" s="69"/>
      <c r="AC572" s="70"/>
      <c r="AD572" s="76" t="s">
        <v>18307</v>
      </c>
      <c r="AE572" s="81" t="s">
        <v>17710</v>
      </c>
      <c r="AF572" s="76">
        <v>4</v>
      </c>
      <c r="AG572" s="76">
        <v>7</v>
      </c>
      <c r="AH572" s="76">
        <v>316</v>
      </c>
      <c r="AI572" s="76">
        <v>1</v>
      </c>
      <c r="AJ572" s="76">
        <v>0</v>
      </c>
      <c r="AK572" s="76">
        <v>230</v>
      </c>
      <c r="AL572" s="76" t="b">
        <v>0</v>
      </c>
      <c r="AM572" s="78">
        <v>44644.831157407411</v>
      </c>
      <c r="AN572" s="76"/>
      <c r="AO572" s="76" t="s">
        <v>19286</v>
      </c>
      <c r="AP572" s="83" t="str">
        <f>HYPERLINK("https://t.co/uJpPSHrzat")</f>
        <v>https://t.co/uJpPSHrzat</v>
      </c>
      <c r="AQ572" s="83" t="str">
        <f>HYPERLINK("https://emoneybrasil.com.br/")</f>
        <v>https://emoneybrasil.com.br/</v>
      </c>
      <c r="AR572" s="76" t="s">
        <v>19644</v>
      </c>
      <c r="AS572" s="76"/>
      <c r="AT572" s="76"/>
      <c r="AU572" s="76"/>
      <c r="AV572" s="76"/>
      <c r="AW572" s="83" t="str">
        <f>HYPERLINK("https://t.co/uJpPSHrzat")</f>
        <v>https://t.co/uJpPSHrzat</v>
      </c>
      <c r="AX572" s="76" t="b">
        <v>0</v>
      </c>
      <c r="AY572" s="76"/>
      <c r="AZ572" s="76"/>
      <c r="BA572" s="76" t="b">
        <v>0</v>
      </c>
      <c r="BB572" s="76" t="b">
        <v>1</v>
      </c>
      <c r="BC572" s="76" t="b">
        <v>1</v>
      </c>
      <c r="BD572" s="76" t="b">
        <v>0</v>
      </c>
      <c r="BE572" s="76" t="b">
        <v>0</v>
      </c>
      <c r="BF572" s="76" t="b">
        <v>0</v>
      </c>
      <c r="BG572" s="76" t="b">
        <v>0</v>
      </c>
      <c r="BH572" s="83" t="str">
        <f>HYPERLINK("https://pbs.twimg.com/profile_banners/1507083919111434240/1648152030")</f>
        <v>https://pbs.twimg.com/profile_banners/1507083919111434240/1648152030</v>
      </c>
      <c r="BI572" s="76"/>
      <c r="BJ572" s="76" t="s">
        <v>19734</v>
      </c>
      <c r="BK572" s="76" t="b">
        <v>0</v>
      </c>
      <c r="BL572" s="76"/>
      <c r="BM572" s="76" t="s">
        <v>66</v>
      </c>
      <c r="BN572" s="76" t="s">
        <v>19736</v>
      </c>
      <c r="BO572" s="83" t="str">
        <f>HYPERLINK("https://twitter.com/emoneybrasil")</f>
        <v>https://twitter.com/emoneybrasil</v>
      </c>
      <c r="BP572" s="2"/>
    </row>
    <row r="573" spans="1:68" x14ac:dyDescent="0.25">
      <c r="A573" s="62" t="s">
        <v>724</v>
      </c>
      <c r="B573" s="63"/>
      <c r="C573" s="63"/>
      <c r="D573" s="64"/>
      <c r="E573" s="66"/>
      <c r="F573" s="103" t="str">
        <f>HYPERLINK("https://pbs.twimg.com/profile_images/1603545636309241856/yvqEuSnz_normal.jpg")</f>
        <v>https://pbs.twimg.com/profile_images/1603545636309241856/yvqEuSnz_normal.jpg</v>
      </c>
      <c r="G573" s="63"/>
      <c r="H573" s="67"/>
      <c r="I573" s="68"/>
      <c r="J573" s="68"/>
      <c r="K573" s="67" t="s">
        <v>20306</v>
      </c>
      <c r="L573" s="71"/>
      <c r="M573" s="72"/>
      <c r="N573" s="72"/>
      <c r="O573" s="73"/>
      <c r="P573" s="74"/>
      <c r="Q573" s="74"/>
      <c r="R573" s="87"/>
      <c r="S573" s="87"/>
      <c r="T573" s="87"/>
      <c r="U573" s="87"/>
      <c r="V573" s="48"/>
      <c r="W573" s="48"/>
      <c r="X573" s="48"/>
      <c r="Y573" s="48"/>
      <c r="Z573" s="47"/>
      <c r="AA573" s="69">
        <v>573</v>
      </c>
      <c r="AB573" s="69"/>
      <c r="AC573" s="70"/>
      <c r="AD573" s="76" t="s">
        <v>18308</v>
      </c>
      <c r="AE573" s="81" t="s">
        <v>18544</v>
      </c>
      <c r="AF573" s="76">
        <v>122386</v>
      </c>
      <c r="AG573" s="76">
        <v>2603</v>
      </c>
      <c r="AH573" s="76">
        <v>355384</v>
      </c>
      <c r="AI573" s="76">
        <v>899</v>
      </c>
      <c r="AJ573" s="76">
        <v>624</v>
      </c>
      <c r="AK573" s="76">
        <v>44169</v>
      </c>
      <c r="AL573" s="76" t="b">
        <v>0</v>
      </c>
      <c r="AM573" s="78">
        <v>39543.722395833334</v>
      </c>
      <c r="AN573" s="76"/>
      <c r="AO573" s="76" t="s">
        <v>19287</v>
      </c>
      <c r="AP573" s="76"/>
      <c r="AQ573" s="76"/>
      <c r="AR573" s="76"/>
      <c r="AS573" s="76"/>
      <c r="AT573" s="76"/>
      <c r="AU573" s="76"/>
      <c r="AV573" s="76"/>
      <c r="AW573" s="76"/>
      <c r="AX573" s="76" t="b">
        <v>1</v>
      </c>
      <c r="AY573" s="76"/>
      <c r="AZ573" s="76"/>
      <c r="BA573" s="76" t="b">
        <v>1</v>
      </c>
      <c r="BB573" s="76" t="b">
        <v>1</v>
      </c>
      <c r="BC573" s="76" t="b">
        <v>0</v>
      </c>
      <c r="BD573" s="76" t="b">
        <v>0</v>
      </c>
      <c r="BE573" s="76" t="b">
        <v>1</v>
      </c>
      <c r="BF573" s="76" t="b">
        <v>0</v>
      </c>
      <c r="BG573" s="76" t="b">
        <v>0</v>
      </c>
      <c r="BH573" s="83" t="str">
        <f>HYPERLINK("https://pbs.twimg.com/profile_banners/14311308/1695317963")</f>
        <v>https://pbs.twimg.com/profile_banners/14311308/1695317963</v>
      </c>
      <c r="BI573" s="76"/>
      <c r="BJ573" s="76" t="s">
        <v>19734</v>
      </c>
      <c r="BK573" s="76" t="b">
        <v>0</v>
      </c>
      <c r="BL573" s="76"/>
      <c r="BM573" s="76" t="s">
        <v>66</v>
      </c>
      <c r="BN573" s="76" t="s">
        <v>19736</v>
      </c>
      <c r="BO573" s="83" t="str">
        <f>HYPERLINK("https://twitter.com/ig")</f>
        <v>https://twitter.com/ig</v>
      </c>
      <c r="BP573" s="2"/>
    </row>
    <row r="574" spans="1:68" x14ac:dyDescent="0.25">
      <c r="A574" s="62" t="s">
        <v>725</v>
      </c>
      <c r="B574" s="63"/>
      <c r="C574" s="63"/>
      <c r="D574" s="64"/>
      <c r="E574" s="66"/>
      <c r="F574" s="103" t="str">
        <f>HYPERLINK("https://pbs.twimg.com/profile_images/1626422824867975169/qD7uN1ws_normal.jpg")</f>
        <v>https://pbs.twimg.com/profile_images/1626422824867975169/qD7uN1ws_normal.jpg</v>
      </c>
      <c r="G574" s="63"/>
      <c r="H574" s="67"/>
      <c r="I574" s="68"/>
      <c r="J574" s="68"/>
      <c r="K574" s="67" t="s">
        <v>20307</v>
      </c>
      <c r="L574" s="71"/>
      <c r="M574" s="72"/>
      <c r="N574" s="72"/>
      <c r="O574" s="73"/>
      <c r="P574" s="74"/>
      <c r="Q574" s="74"/>
      <c r="R574" s="87"/>
      <c r="S574" s="87"/>
      <c r="T574" s="87"/>
      <c r="U574" s="87"/>
      <c r="V574" s="48"/>
      <c r="W574" s="48"/>
      <c r="X574" s="48"/>
      <c r="Y574" s="48"/>
      <c r="Z574" s="47"/>
      <c r="AA574" s="69">
        <v>574</v>
      </c>
      <c r="AB574" s="69"/>
      <c r="AC574" s="70"/>
      <c r="AD574" s="76" t="s">
        <v>18309</v>
      </c>
      <c r="AE574" s="81" t="s">
        <v>17711</v>
      </c>
      <c r="AF574" s="76">
        <v>126</v>
      </c>
      <c r="AG574" s="76">
        <v>15</v>
      </c>
      <c r="AH574" s="76">
        <v>763</v>
      </c>
      <c r="AI574" s="76">
        <v>2</v>
      </c>
      <c r="AJ574" s="76">
        <v>8</v>
      </c>
      <c r="AK574" s="76">
        <v>30</v>
      </c>
      <c r="AL574" s="76" t="b">
        <v>0</v>
      </c>
      <c r="AM574" s="78">
        <v>44936.575208333335</v>
      </c>
      <c r="AN574" s="76"/>
      <c r="AO574" s="76" t="s">
        <v>19288</v>
      </c>
      <c r="AP574" s="76"/>
      <c r="AQ574" s="76"/>
      <c r="AR574" s="76"/>
      <c r="AS574" s="76"/>
      <c r="AT574" s="76"/>
      <c r="AU574" s="76"/>
      <c r="AV574" s="76"/>
      <c r="AW574" s="76"/>
      <c r="AX574" s="76" t="b">
        <v>0</v>
      </c>
      <c r="AY574" s="76"/>
      <c r="AZ574" s="76"/>
      <c r="BA574" s="76" t="b">
        <v>0</v>
      </c>
      <c r="BB574" s="76" t="b">
        <v>1</v>
      </c>
      <c r="BC574" s="76" t="b">
        <v>1</v>
      </c>
      <c r="BD574" s="76" t="b">
        <v>0</v>
      </c>
      <c r="BE574" s="76" t="b">
        <v>0</v>
      </c>
      <c r="BF574" s="76" t="b">
        <v>0</v>
      </c>
      <c r="BG574" s="76" t="b">
        <v>0</v>
      </c>
      <c r="BH574" s="76"/>
      <c r="BI574" s="76"/>
      <c r="BJ574" s="76" t="s">
        <v>19734</v>
      </c>
      <c r="BK574" s="76" t="b">
        <v>0</v>
      </c>
      <c r="BL574" s="76"/>
      <c r="BM574" s="76" t="s">
        <v>66</v>
      </c>
      <c r="BN574" s="76" t="s">
        <v>19736</v>
      </c>
      <c r="BO574" s="83" t="str">
        <f>HYPERLINK("https://twitter.com/henleinvest")</f>
        <v>https://twitter.com/henleinvest</v>
      </c>
      <c r="BP574" s="2"/>
    </row>
    <row r="575" spans="1:68" x14ac:dyDescent="0.25">
      <c r="A575" s="62" t="s">
        <v>726</v>
      </c>
      <c r="B575" s="63"/>
      <c r="C575" s="63"/>
      <c r="D575" s="64"/>
      <c r="E575" s="66"/>
      <c r="F575" s="103" t="str">
        <f>HYPERLINK("https://pbs.twimg.com/profile_images/1638166897043599365/AkjqbhKf_normal.jpg")</f>
        <v>https://pbs.twimg.com/profile_images/1638166897043599365/AkjqbhKf_normal.jpg</v>
      </c>
      <c r="G575" s="63"/>
      <c r="H575" s="67"/>
      <c r="I575" s="68"/>
      <c r="J575" s="68"/>
      <c r="K575" s="67" t="s">
        <v>20308</v>
      </c>
      <c r="L575" s="71"/>
      <c r="M575" s="72"/>
      <c r="N575" s="72"/>
      <c r="O575" s="73"/>
      <c r="P575" s="74"/>
      <c r="Q575" s="74"/>
      <c r="R575" s="87"/>
      <c r="S575" s="87"/>
      <c r="T575" s="87"/>
      <c r="U575" s="87"/>
      <c r="V575" s="48"/>
      <c r="W575" s="48"/>
      <c r="X575" s="48"/>
      <c r="Y575" s="48"/>
      <c r="Z575" s="47"/>
      <c r="AA575" s="69">
        <v>575</v>
      </c>
      <c r="AB575" s="69"/>
      <c r="AC575" s="70"/>
      <c r="AD575" s="76" t="s">
        <v>18310</v>
      </c>
      <c r="AE575" s="81" t="s">
        <v>17712</v>
      </c>
      <c r="AF575" s="76">
        <v>1013</v>
      </c>
      <c r="AG575" s="76">
        <v>83</v>
      </c>
      <c r="AH575" s="76">
        <v>993</v>
      </c>
      <c r="AI575" s="76">
        <v>31</v>
      </c>
      <c r="AJ575" s="76">
        <v>189</v>
      </c>
      <c r="AK575" s="76">
        <v>313</v>
      </c>
      <c r="AL575" s="76" t="b">
        <v>0</v>
      </c>
      <c r="AM575" s="78">
        <v>44089.680949074071</v>
      </c>
      <c r="AN575" s="76" t="s">
        <v>12007</v>
      </c>
      <c r="AO575" s="76" t="s">
        <v>19289</v>
      </c>
      <c r="AP575" s="83" t="str">
        <f>HYPERLINK("https://t.co/6Isegs9b9c")</f>
        <v>https://t.co/6Isegs9b9c</v>
      </c>
      <c r="AQ575" s="83" t="str">
        <f>HYPERLINK("http://bloomberg.com")</f>
        <v>http://bloomberg.com</v>
      </c>
      <c r="AR575" s="76" t="s">
        <v>7133</v>
      </c>
      <c r="AS575" s="76"/>
      <c r="AT575" s="76"/>
      <c r="AU575" s="76"/>
      <c r="AV575" s="76">
        <v>1.7073362567895601E+18</v>
      </c>
      <c r="AW575" s="83" t="str">
        <f>HYPERLINK("https://t.co/6Isegs9b9c")</f>
        <v>https://t.co/6Isegs9b9c</v>
      </c>
      <c r="AX575" s="76" t="b">
        <v>0</v>
      </c>
      <c r="AY575" s="76"/>
      <c r="AZ575" s="76"/>
      <c r="BA575" s="76" t="b">
        <v>0</v>
      </c>
      <c r="BB575" s="76" t="b">
        <v>0</v>
      </c>
      <c r="BC575" s="76" t="b">
        <v>1</v>
      </c>
      <c r="BD575" s="76" t="b">
        <v>0</v>
      </c>
      <c r="BE575" s="76" t="b">
        <v>0</v>
      </c>
      <c r="BF575" s="76" t="b">
        <v>0</v>
      </c>
      <c r="BG575" s="76" t="b">
        <v>0</v>
      </c>
      <c r="BH575" s="83" t="str">
        <f>HYPERLINK("https://pbs.twimg.com/profile_banners/1305903568642281473/1608824015")</f>
        <v>https://pbs.twimg.com/profile_banners/1305903568642281473/1608824015</v>
      </c>
      <c r="BI575" s="76"/>
      <c r="BJ575" s="76" t="s">
        <v>19734</v>
      </c>
      <c r="BK575" s="76" t="b">
        <v>0</v>
      </c>
      <c r="BL575" s="76"/>
      <c r="BM575" s="76" t="s">
        <v>66</v>
      </c>
      <c r="BN575" s="76" t="s">
        <v>19736</v>
      </c>
      <c r="BO575" s="83" t="str">
        <f>HYPERLINK("https://twitter.com/bbgemportugues")</f>
        <v>https://twitter.com/bbgemportugues</v>
      </c>
      <c r="BP575" s="2"/>
    </row>
    <row r="576" spans="1:68" x14ac:dyDescent="0.25">
      <c r="A576" s="62" t="s">
        <v>727</v>
      </c>
      <c r="B576" s="63"/>
      <c r="C576" s="63"/>
      <c r="D576" s="64"/>
      <c r="E576" s="66"/>
      <c r="F576" s="103" t="str">
        <f>HYPERLINK("https://pbs.twimg.com/profile_images/1108337112351469570/vkooDg2x_normal.png")</f>
        <v>https://pbs.twimg.com/profile_images/1108337112351469570/vkooDg2x_normal.png</v>
      </c>
      <c r="G576" s="63"/>
      <c r="H576" s="67"/>
      <c r="I576" s="68"/>
      <c r="J576" s="68"/>
      <c r="K576" s="67" t="s">
        <v>20309</v>
      </c>
      <c r="L576" s="71"/>
      <c r="M576" s="72"/>
      <c r="N576" s="72"/>
      <c r="O576" s="73"/>
      <c r="P576" s="74"/>
      <c r="Q576" s="74"/>
      <c r="R576" s="87"/>
      <c r="S576" s="87"/>
      <c r="T576" s="87"/>
      <c r="U576" s="87"/>
      <c r="V576" s="48"/>
      <c r="W576" s="48"/>
      <c r="X576" s="48"/>
      <c r="Y576" s="48"/>
      <c r="Z576" s="47"/>
      <c r="AA576" s="69">
        <v>576</v>
      </c>
      <c r="AB576" s="69"/>
      <c r="AC576" s="70"/>
      <c r="AD576" s="76" t="s">
        <v>18311</v>
      </c>
      <c r="AE576" s="81" t="s">
        <v>18545</v>
      </c>
      <c r="AF576" s="76">
        <v>222022</v>
      </c>
      <c r="AG576" s="76">
        <v>501</v>
      </c>
      <c r="AH576" s="76">
        <v>83646</v>
      </c>
      <c r="AI576" s="76">
        <v>1427</v>
      </c>
      <c r="AJ576" s="76">
        <v>561</v>
      </c>
      <c r="AK576" s="76">
        <v>3527</v>
      </c>
      <c r="AL576" s="76" t="b">
        <v>0</v>
      </c>
      <c r="AM576" s="78">
        <v>39985.465648148151</v>
      </c>
      <c r="AN576" s="76"/>
      <c r="AO576" s="76" t="s">
        <v>19290</v>
      </c>
      <c r="AP576" s="83" t="str">
        <f>HYPERLINK("http://t.co/LMvKSlSONH")</f>
        <v>http://t.co/LMvKSlSONH</v>
      </c>
      <c r="AQ576" s="83" t="str">
        <f>HYPERLINK("http://br.investing.com/")</f>
        <v>http://br.investing.com/</v>
      </c>
      <c r="AR576" s="76" t="s">
        <v>19645</v>
      </c>
      <c r="AS576" s="76"/>
      <c r="AT576" s="76"/>
      <c r="AU576" s="76"/>
      <c r="AV576" s="76">
        <v>1.70529405015522E+18</v>
      </c>
      <c r="AW576" s="83" t="str">
        <f>HYPERLINK("http://t.co/LMvKSlSONH")</f>
        <v>http://t.co/LMvKSlSONH</v>
      </c>
      <c r="AX576" s="76" t="b">
        <v>0</v>
      </c>
      <c r="AY576" s="76"/>
      <c r="AZ576" s="76"/>
      <c r="BA576" s="76" t="b">
        <v>1</v>
      </c>
      <c r="BB576" s="76" t="b">
        <v>1</v>
      </c>
      <c r="BC576" s="76" t="b">
        <v>0</v>
      </c>
      <c r="BD576" s="76" t="b">
        <v>0</v>
      </c>
      <c r="BE576" s="76" t="b">
        <v>1</v>
      </c>
      <c r="BF576" s="76" t="b">
        <v>0</v>
      </c>
      <c r="BG576" s="76" t="b">
        <v>0</v>
      </c>
      <c r="BH576" s="83" t="str">
        <f>HYPERLINK("https://pbs.twimg.com/profile_banners/49292227/1547577926")</f>
        <v>https://pbs.twimg.com/profile_banners/49292227/1547577926</v>
      </c>
      <c r="BI576" s="76"/>
      <c r="BJ576" s="76" t="s">
        <v>19734</v>
      </c>
      <c r="BK576" s="76" t="b">
        <v>0</v>
      </c>
      <c r="BL576" s="76"/>
      <c r="BM576" s="76" t="s">
        <v>66</v>
      </c>
      <c r="BN576" s="76" t="s">
        <v>19736</v>
      </c>
      <c r="BO576" s="83" t="str">
        <f>HYPERLINK("https://twitter.com/investingbrasil")</f>
        <v>https://twitter.com/investingbrasil</v>
      </c>
      <c r="BP576" s="2"/>
    </row>
    <row r="577" spans="1:68" x14ac:dyDescent="0.25">
      <c r="A577" s="62" t="s">
        <v>728</v>
      </c>
      <c r="B577" s="63"/>
      <c r="C577" s="63"/>
      <c r="D577" s="64"/>
      <c r="E577" s="66"/>
      <c r="F577" s="103" t="str">
        <f>HYPERLINK("https://pbs.twimg.com/profile_images/1686470528503250946/rl9ejHit_normal.jpg")</f>
        <v>https://pbs.twimg.com/profile_images/1686470528503250946/rl9ejHit_normal.jpg</v>
      </c>
      <c r="G577" s="63"/>
      <c r="H577" s="67"/>
      <c r="I577" s="68"/>
      <c r="J577" s="68"/>
      <c r="K577" s="67" t="s">
        <v>20310</v>
      </c>
      <c r="L577" s="71"/>
      <c r="M577" s="72"/>
      <c r="N577" s="72"/>
      <c r="O577" s="73"/>
      <c r="P577" s="74"/>
      <c r="Q577" s="74"/>
      <c r="R577" s="87"/>
      <c r="S577" s="87"/>
      <c r="T577" s="87"/>
      <c r="U577" s="87"/>
      <c r="V577" s="48"/>
      <c r="W577" s="48"/>
      <c r="X577" s="48"/>
      <c r="Y577" s="48"/>
      <c r="Z577" s="47"/>
      <c r="AA577" s="69">
        <v>577</v>
      </c>
      <c r="AB577" s="69"/>
      <c r="AC577" s="70"/>
      <c r="AD577" s="76" t="s">
        <v>18312</v>
      </c>
      <c r="AE577" s="81" t="s">
        <v>17713</v>
      </c>
      <c r="AF577" s="76">
        <v>1</v>
      </c>
      <c r="AG577" s="76">
        <v>11</v>
      </c>
      <c r="AH577" s="76">
        <v>10</v>
      </c>
      <c r="AI577" s="76">
        <v>0</v>
      </c>
      <c r="AJ577" s="76">
        <v>3</v>
      </c>
      <c r="AK577" s="76">
        <v>3</v>
      </c>
      <c r="AL577" s="76" t="b">
        <v>0</v>
      </c>
      <c r="AM577" s="78">
        <v>45139.839583333334</v>
      </c>
      <c r="AN577" s="76"/>
      <c r="AO577" s="76"/>
      <c r="AP577" s="76"/>
      <c r="AQ577" s="76"/>
      <c r="AR577" s="76"/>
      <c r="AS577" s="76"/>
      <c r="AT577" s="76"/>
      <c r="AU577" s="76"/>
      <c r="AV577" s="76"/>
      <c r="AW577" s="76"/>
      <c r="AX577" s="76" t="b">
        <v>0</v>
      </c>
      <c r="AY577" s="76"/>
      <c r="AZ577" s="76"/>
      <c r="BA577" s="76" t="b">
        <v>0</v>
      </c>
      <c r="BB577" s="76" t="b">
        <v>1</v>
      </c>
      <c r="BC577" s="76" t="b">
        <v>1</v>
      </c>
      <c r="BD577" s="76" t="b">
        <v>0</v>
      </c>
      <c r="BE577" s="76" t="b">
        <v>0</v>
      </c>
      <c r="BF577" s="76" t="b">
        <v>0</v>
      </c>
      <c r="BG577" s="76" t="b">
        <v>0</v>
      </c>
      <c r="BH577" s="76"/>
      <c r="BI577" s="76"/>
      <c r="BJ577" s="76" t="s">
        <v>19734</v>
      </c>
      <c r="BK577" s="76" t="b">
        <v>0</v>
      </c>
      <c r="BL577" s="76"/>
      <c r="BM577" s="76" t="s">
        <v>66</v>
      </c>
      <c r="BN577" s="76" t="s">
        <v>19736</v>
      </c>
      <c r="BO577" s="83" t="str">
        <f>HYPERLINK("https://twitter.com/farialima_aai")</f>
        <v>https://twitter.com/farialima_aai</v>
      </c>
      <c r="BP577" s="2"/>
    </row>
    <row r="578" spans="1:68" x14ac:dyDescent="0.25">
      <c r="A578" s="88" t="s">
        <v>729</v>
      </c>
      <c r="B578" s="89"/>
      <c r="C578" s="89"/>
      <c r="D578" s="90"/>
      <c r="E578" s="91"/>
      <c r="F578" s="104" t="str">
        <f>HYPERLINK("https://pbs.twimg.com/profile_images/1503380751831773191/zcG729SG_normal.jpg")</f>
        <v>https://pbs.twimg.com/profile_images/1503380751831773191/zcG729SG_normal.jpg</v>
      </c>
      <c r="G578" s="89"/>
      <c r="H578" s="92"/>
      <c r="I578" s="93"/>
      <c r="J578" s="93"/>
      <c r="K578" s="92" t="s">
        <v>20311</v>
      </c>
      <c r="L578" s="94"/>
      <c r="M578" s="95"/>
      <c r="N578" s="95"/>
      <c r="O578" s="96"/>
      <c r="P578" s="97"/>
      <c r="Q578" s="97"/>
      <c r="R578" s="98"/>
      <c r="S578" s="98"/>
      <c r="T578" s="98"/>
      <c r="U578" s="98"/>
      <c r="V578" s="99"/>
      <c r="W578" s="99"/>
      <c r="X578" s="99"/>
      <c r="Y578" s="99"/>
      <c r="Z578" s="100"/>
      <c r="AA578" s="101">
        <v>578</v>
      </c>
      <c r="AB578" s="101"/>
      <c r="AC578" s="102"/>
      <c r="AD578" s="76" t="s">
        <v>18313</v>
      </c>
      <c r="AE578" s="81" t="s">
        <v>17714</v>
      </c>
      <c r="AF578" s="76">
        <v>7</v>
      </c>
      <c r="AG578" s="76">
        <v>1</v>
      </c>
      <c r="AH578" s="76">
        <v>434</v>
      </c>
      <c r="AI578" s="76">
        <v>0</v>
      </c>
      <c r="AJ578" s="76">
        <v>1</v>
      </c>
      <c r="AK578" s="76">
        <v>8</v>
      </c>
      <c r="AL578" s="76" t="b">
        <v>0</v>
      </c>
      <c r="AM578" s="78">
        <v>44634.604884259257</v>
      </c>
      <c r="AN578" s="76"/>
      <c r="AO578" s="76" t="s">
        <v>19291</v>
      </c>
      <c r="AP578" s="83" t="str">
        <f>HYPERLINK("https://t.co/aO4X66l3tV")</f>
        <v>https://t.co/aO4X66l3tV</v>
      </c>
      <c r="AQ578" s="83" t="str">
        <f>HYPERLINK("https://financeone.com.br/")</f>
        <v>https://financeone.com.br/</v>
      </c>
      <c r="AR578" s="76" t="s">
        <v>19646</v>
      </c>
      <c r="AS578" s="76"/>
      <c r="AT578" s="76"/>
      <c r="AU578" s="76"/>
      <c r="AV578" s="76"/>
      <c r="AW578" s="83" t="str">
        <f>HYPERLINK("https://t.co/aO4X66l3tV")</f>
        <v>https://t.co/aO4X66l3tV</v>
      </c>
      <c r="AX578" s="76" t="b">
        <v>0</v>
      </c>
      <c r="AY578" s="76"/>
      <c r="AZ578" s="76"/>
      <c r="BA578" s="76" t="b">
        <v>0</v>
      </c>
      <c r="BB578" s="76" t="b">
        <v>1</v>
      </c>
      <c r="BC578" s="76" t="b">
        <v>1</v>
      </c>
      <c r="BD578" s="76" t="b">
        <v>0</v>
      </c>
      <c r="BE578" s="76" t="b">
        <v>0</v>
      </c>
      <c r="BF578" s="76" t="b">
        <v>0</v>
      </c>
      <c r="BG578" s="76" t="b">
        <v>0</v>
      </c>
      <c r="BH578" s="83" t="str">
        <f>HYPERLINK("https://pbs.twimg.com/profile_banners/1503378048531501058/1647268878")</f>
        <v>https://pbs.twimg.com/profile_banners/1503378048531501058/1647268878</v>
      </c>
      <c r="BI578" s="76"/>
      <c r="BJ578" s="76" t="s">
        <v>19734</v>
      </c>
      <c r="BK578" s="76" t="b">
        <v>0</v>
      </c>
      <c r="BL578" s="76"/>
      <c r="BM578" s="76" t="s">
        <v>66</v>
      </c>
      <c r="BN578" s="76" t="s">
        <v>19736</v>
      </c>
      <c r="BO578" s="83" t="str">
        <f>HYPERLINK("https://twitter.com/financeone_br")</f>
        <v>https://twitter.com/financeone_br</v>
      </c>
      <c r="BP578" s="2"/>
    </row>
    <row r="579" spans="1:68" x14ac:dyDescent="0.25">
      <c r="A579" s="62" t="s">
        <v>17718</v>
      </c>
      <c r="B579" s="63"/>
      <c r="C579" s="63"/>
      <c r="D579" s="64"/>
      <c r="E579" s="66"/>
      <c r="F579" s="103" t="str">
        <f>HYPERLINK("https://pbs.twimg.com/profile_images/1073460077716271104/-6XTg8tQ_normal.jpg")</f>
        <v>https://pbs.twimg.com/profile_images/1073460077716271104/-6XTg8tQ_normal.jpg</v>
      </c>
      <c r="G579" s="63" t="s">
        <v>51</v>
      </c>
      <c r="H579" s="67"/>
      <c r="I579" s="68"/>
      <c r="J579" s="68"/>
      <c r="K579" s="67" t="s">
        <v>20312</v>
      </c>
      <c r="L579" s="71"/>
      <c r="M579" s="72"/>
      <c r="N579" s="72"/>
      <c r="O579" s="73"/>
      <c r="P579" s="74"/>
      <c r="Q579" s="74"/>
      <c r="R579" s="87"/>
      <c r="S579" s="87"/>
      <c r="T579" s="87"/>
      <c r="U579" s="87"/>
      <c r="V579" s="48"/>
      <c r="W579" s="48"/>
      <c r="X579" s="48"/>
      <c r="Y579" s="48"/>
      <c r="Z579" s="47"/>
      <c r="AA579" s="69">
        <v>579</v>
      </c>
      <c r="AB579" s="69"/>
      <c r="AC579" s="70"/>
      <c r="AD579" s="76" t="s">
        <v>18314</v>
      </c>
      <c r="AE579" s="81" t="s">
        <v>18546</v>
      </c>
      <c r="AF579" s="76">
        <v>1400</v>
      </c>
      <c r="AG579" s="76">
        <v>3405</v>
      </c>
      <c r="AH579" s="76">
        <v>18083</v>
      </c>
      <c r="AI579" s="76">
        <v>7</v>
      </c>
      <c r="AJ579" s="76">
        <v>30924</v>
      </c>
      <c r="AK579" s="76">
        <v>4672</v>
      </c>
      <c r="AL579" s="76" t="b">
        <v>0</v>
      </c>
      <c r="AM579" s="78">
        <v>43448.079965277779</v>
      </c>
      <c r="AN579" s="76" t="s">
        <v>18762</v>
      </c>
      <c r="AO579" s="76" t="s">
        <v>19292</v>
      </c>
      <c r="AP579" s="76"/>
      <c r="AQ579" s="76"/>
      <c r="AR579" s="76"/>
      <c r="AS579" s="76"/>
      <c r="AT579" s="76"/>
      <c r="AU579" s="76"/>
      <c r="AV579" s="76"/>
      <c r="AW579" s="76"/>
      <c r="AX579" s="76" t="b">
        <v>0</v>
      </c>
      <c r="AY579" s="76"/>
      <c r="AZ579" s="76"/>
      <c r="BA579" s="76" t="b">
        <v>0</v>
      </c>
      <c r="BB579" s="76" t="b">
        <v>1</v>
      </c>
      <c r="BC579" s="76" t="b">
        <v>1</v>
      </c>
      <c r="BD579" s="76" t="b">
        <v>0</v>
      </c>
      <c r="BE579" s="76" t="b">
        <v>1</v>
      </c>
      <c r="BF579" s="76" t="b">
        <v>0</v>
      </c>
      <c r="BG579" s="76" t="b">
        <v>0</v>
      </c>
      <c r="BH579" s="83" t="str">
        <f>HYPERLINK("https://pbs.twimg.com/profile_banners/1073395940202070016/1674593249")</f>
        <v>https://pbs.twimg.com/profile_banners/1073395940202070016/1674593249</v>
      </c>
      <c r="BI579" s="76"/>
      <c r="BJ579" s="76" t="s">
        <v>19734</v>
      </c>
      <c r="BK579" s="76" t="b">
        <v>0</v>
      </c>
      <c r="BL579" s="76"/>
      <c r="BM579" s="76" t="s">
        <v>66</v>
      </c>
      <c r="BN579" s="76" t="s">
        <v>19736</v>
      </c>
      <c r="BO579" s="83" t="str">
        <f>HYPERLINK("https://twitter.com/esvensena")</f>
        <v>https://twitter.com/esvensena</v>
      </c>
      <c r="BP579" s="2"/>
    </row>
    <row r="580" spans="1:68" x14ac:dyDescent="0.25">
      <c r="A580" s="62" t="s">
        <v>17716</v>
      </c>
      <c r="B580" s="63"/>
      <c r="C580" s="63"/>
      <c r="D580" s="64"/>
      <c r="E580" s="66"/>
      <c r="F580" s="103" t="str">
        <f>HYPERLINK("https://pbs.twimg.com/profile_images/1690088589449646080/6SasQxjz_normal.jpg")</f>
        <v>https://pbs.twimg.com/profile_images/1690088589449646080/6SasQxjz_normal.jpg</v>
      </c>
      <c r="G580" s="63" t="s">
        <v>51</v>
      </c>
      <c r="H580" s="67"/>
      <c r="I580" s="68"/>
      <c r="J580" s="68"/>
      <c r="K580" s="67" t="s">
        <v>20313</v>
      </c>
      <c r="L580" s="71"/>
      <c r="M580" s="72"/>
      <c r="N580" s="72"/>
      <c r="O580" s="73"/>
      <c r="P580" s="74"/>
      <c r="Q580" s="74"/>
      <c r="R580" s="87"/>
      <c r="S580" s="87"/>
      <c r="T580" s="87"/>
      <c r="U580" s="87"/>
      <c r="V580" s="48"/>
      <c r="W580" s="48"/>
      <c r="X580" s="48"/>
      <c r="Y580" s="48"/>
      <c r="Z580" s="47"/>
      <c r="AA580" s="69">
        <v>580</v>
      </c>
      <c r="AB580" s="69"/>
      <c r="AC580" s="70"/>
      <c r="AD580" s="76" t="s">
        <v>18315</v>
      </c>
      <c r="AE580" s="81" t="s">
        <v>18547</v>
      </c>
      <c r="AF580" s="76">
        <v>251</v>
      </c>
      <c r="AG580" s="76">
        <v>428</v>
      </c>
      <c r="AH580" s="76">
        <v>993</v>
      </c>
      <c r="AI580" s="76">
        <v>2</v>
      </c>
      <c r="AJ580" s="76">
        <v>422</v>
      </c>
      <c r="AK580" s="76">
        <v>79</v>
      </c>
      <c r="AL580" s="76" t="b">
        <v>0</v>
      </c>
      <c r="AM580" s="78">
        <v>42395.01253472222</v>
      </c>
      <c r="AN580" s="76" t="s">
        <v>18763</v>
      </c>
      <c r="AO580" s="76" t="s">
        <v>19293</v>
      </c>
      <c r="AP580" s="83" t="str">
        <f>HYPERLINK("https://t.co/QSDV4UhrCW")</f>
        <v>https://t.co/QSDV4UhrCW</v>
      </c>
      <c r="AQ580" s="83" t="str">
        <f>HYPERLINK("https://defibyt.io/")</f>
        <v>https://defibyt.io/</v>
      </c>
      <c r="AR580" s="76" t="s">
        <v>19647</v>
      </c>
      <c r="AS580" s="76"/>
      <c r="AT580" s="76"/>
      <c r="AU580" s="76"/>
      <c r="AV580" s="76">
        <v>1.28166216265039E+18</v>
      </c>
      <c r="AW580" s="83" t="str">
        <f>HYPERLINK("https://t.co/QSDV4UhrCW")</f>
        <v>https://t.co/QSDV4UhrCW</v>
      </c>
      <c r="AX580" s="76" t="b">
        <v>1</v>
      </c>
      <c r="AY580" s="76"/>
      <c r="AZ580" s="76"/>
      <c r="BA580" s="76" t="b">
        <v>0</v>
      </c>
      <c r="BB580" s="76" t="b">
        <v>1</v>
      </c>
      <c r="BC580" s="76" t="b">
        <v>1</v>
      </c>
      <c r="BD580" s="76" t="b">
        <v>0</v>
      </c>
      <c r="BE580" s="76" t="b">
        <v>1</v>
      </c>
      <c r="BF580" s="76" t="b">
        <v>0</v>
      </c>
      <c r="BG580" s="76" t="b">
        <v>0</v>
      </c>
      <c r="BH580" s="83" t="str">
        <f>HYPERLINK("https://pbs.twimg.com/profile_banners/4847445713/1685858082")</f>
        <v>https://pbs.twimg.com/profile_banners/4847445713/1685858082</v>
      </c>
      <c r="BI580" s="76"/>
      <c r="BJ580" s="76" t="s">
        <v>19734</v>
      </c>
      <c r="BK580" s="76" t="b">
        <v>0</v>
      </c>
      <c r="BL580" s="76"/>
      <c r="BM580" s="76" t="s">
        <v>65</v>
      </c>
      <c r="BN580" s="76" t="s">
        <v>19736</v>
      </c>
      <c r="BO580" s="83" t="str">
        <f>HYPERLINK("https://twitter.com/montagcm")</f>
        <v>https://twitter.com/montagcm</v>
      </c>
      <c r="BP580" s="2"/>
    </row>
    <row r="581" spans="1:68" x14ac:dyDescent="0.25">
      <c r="A581" s="62" t="s">
        <v>17717</v>
      </c>
      <c r="B581" s="63"/>
      <c r="C581" s="63"/>
      <c r="D581" s="64"/>
      <c r="E581" s="66"/>
      <c r="F581" s="103" t="str">
        <f>HYPERLINK("https://pbs.twimg.com/profile_images/1675867592622260224/Nly2yMmo_normal.jpg")</f>
        <v>https://pbs.twimg.com/profile_images/1675867592622260224/Nly2yMmo_normal.jpg</v>
      </c>
      <c r="G581" s="63" t="s">
        <v>51</v>
      </c>
      <c r="H581" s="67"/>
      <c r="I581" s="68"/>
      <c r="J581" s="68"/>
      <c r="K581" s="67" t="s">
        <v>20314</v>
      </c>
      <c r="L581" s="71"/>
      <c r="M581" s="72"/>
      <c r="N581" s="72"/>
      <c r="O581" s="73"/>
      <c r="P581" s="74"/>
      <c r="Q581" s="74"/>
      <c r="R581" s="87"/>
      <c r="S581" s="87"/>
      <c r="T581" s="87"/>
      <c r="U581" s="87"/>
      <c r="V581" s="48"/>
      <c r="W581" s="48"/>
      <c r="X581" s="48"/>
      <c r="Y581" s="48"/>
      <c r="Z581" s="47"/>
      <c r="AA581" s="69">
        <v>581</v>
      </c>
      <c r="AB581" s="69"/>
      <c r="AC581" s="70"/>
      <c r="AD581" s="76" t="s">
        <v>18316</v>
      </c>
      <c r="AE581" s="81" t="s">
        <v>18548</v>
      </c>
      <c r="AF581" s="76">
        <v>5515</v>
      </c>
      <c r="AG581" s="76">
        <v>55</v>
      </c>
      <c r="AH581" s="76">
        <v>816</v>
      </c>
      <c r="AI581" s="76">
        <v>14</v>
      </c>
      <c r="AJ581" s="76">
        <v>28</v>
      </c>
      <c r="AK581" s="76">
        <v>330</v>
      </c>
      <c r="AL581" s="76" t="b">
        <v>0</v>
      </c>
      <c r="AM581" s="78">
        <v>43376.611076388886</v>
      </c>
      <c r="AN581" s="76" t="s">
        <v>12014</v>
      </c>
      <c r="AO581" s="76" t="s">
        <v>19294</v>
      </c>
      <c r="AP581" s="83" t="str">
        <f>HYPERLINK("https://t.co/NAXCNZ9FNP")</f>
        <v>https://t.co/NAXCNZ9FNP</v>
      </c>
      <c r="AQ581" s="83" t="str">
        <f>HYPERLINK("http://www.fgc.org.br")</f>
        <v>http://www.fgc.org.br</v>
      </c>
      <c r="AR581" s="76" t="s">
        <v>19648</v>
      </c>
      <c r="AS581" s="76"/>
      <c r="AT581" s="76"/>
      <c r="AU581" s="76"/>
      <c r="AV581" s="76"/>
      <c r="AW581" s="83" t="str">
        <f>HYPERLINK("https://t.co/NAXCNZ9FNP")</f>
        <v>https://t.co/NAXCNZ9FNP</v>
      </c>
      <c r="AX581" s="76" t="b">
        <v>1</v>
      </c>
      <c r="AY581" s="76"/>
      <c r="AZ581" s="76"/>
      <c r="BA581" s="76" t="b">
        <v>1</v>
      </c>
      <c r="BB581" s="76" t="b">
        <v>0</v>
      </c>
      <c r="BC581" s="76" t="b">
        <v>1</v>
      </c>
      <c r="BD581" s="76" t="b">
        <v>0</v>
      </c>
      <c r="BE581" s="76" t="b">
        <v>0</v>
      </c>
      <c r="BF581" s="76" t="b">
        <v>0</v>
      </c>
      <c r="BG581" s="76" t="b">
        <v>0</v>
      </c>
      <c r="BH581" s="83" t="str">
        <f>HYPERLINK("https://pbs.twimg.com/profile_banners/1047496479273865217/1685368633")</f>
        <v>https://pbs.twimg.com/profile_banners/1047496479273865217/1685368633</v>
      </c>
      <c r="BI581" s="76"/>
      <c r="BJ581" s="76" t="s">
        <v>19734</v>
      </c>
      <c r="BK581" s="76" t="b">
        <v>0</v>
      </c>
      <c r="BL581" s="76"/>
      <c r="BM581" s="76" t="s">
        <v>65</v>
      </c>
      <c r="BN581" s="76" t="s">
        <v>19736</v>
      </c>
      <c r="BO581" s="83" t="str">
        <f>HYPERLINK("https://twitter.com/fgc_br")</f>
        <v>https://twitter.com/fgc_br</v>
      </c>
      <c r="BP581" s="2"/>
    </row>
    <row r="582" spans="1:68" x14ac:dyDescent="0.25">
      <c r="A582" s="88" t="s">
        <v>7166</v>
      </c>
      <c r="B582" s="89"/>
      <c r="C582" s="89"/>
      <c r="D582" s="90"/>
      <c r="E582" s="91"/>
      <c r="F582" s="104" t="str">
        <f>HYPERLINK("https://pbs.twimg.com/profile_images/1658954567566913537/LUH_DajS_normal.jpg")</f>
        <v>https://pbs.twimg.com/profile_images/1658954567566913537/LUH_DajS_normal.jpg</v>
      </c>
      <c r="G582" s="89" t="s">
        <v>51</v>
      </c>
      <c r="H582" s="92"/>
      <c r="I582" s="93"/>
      <c r="J582" s="93"/>
      <c r="K582" s="92" t="s">
        <v>20315</v>
      </c>
      <c r="L582" s="94"/>
      <c r="M582" s="95"/>
      <c r="N582" s="95"/>
      <c r="O582" s="96"/>
      <c r="P582" s="97"/>
      <c r="Q582" s="97"/>
      <c r="R582" s="98"/>
      <c r="S582" s="98"/>
      <c r="T582" s="98"/>
      <c r="U582" s="98"/>
      <c r="V582" s="99"/>
      <c r="W582" s="99"/>
      <c r="X582" s="99"/>
      <c r="Y582" s="99"/>
      <c r="Z582" s="100"/>
      <c r="AA582" s="101">
        <v>582</v>
      </c>
      <c r="AB582" s="101"/>
      <c r="AC582" s="102"/>
      <c r="AD582" s="76" t="s">
        <v>18317</v>
      </c>
      <c r="AE582" s="81" t="s">
        <v>18549</v>
      </c>
      <c r="AF582" s="76">
        <v>5558</v>
      </c>
      <c r="AG582" s="76">
        <v>102</v>
      </c>
      <c r="AH582" s="76">
        <v>3264</v>
      </c>
      <c r="AI582" s="76">
        <v>55</v>
      </c>
      <c r="AJ582" s="76">
        <v>5405</v>
      </c>
      <c r="AK582" s="76">
        <v>583</v>
      </c>
      <c r="AL582" s="76" t="b">
        <v>0</v>
      </c>
      <c r="AM582" s="78">
        <v>44257.156261574077</v>
      </c>
      <c r="AN582" s="76"/>
      <c r="AO582" s="76" t="s">
        <v>19295</v>
      </c>
      <c r="AP582" s="83" t="str">
        <f>HYPERLINK("https://t.co/fR9zu0g5S8")</f>
        <v>https://t.co/fR9zu0g5S8</v>
      </c>
      <c r="AQ582" s="83" t="str">
        <f>HYPERLINK("http://linktr.ee/renetous")</f>
        <v>http://linktr.ee/renetous</v>
      </c>
      <c r="AR582" s="76" t="s">
        <v>19649</v>
      </c>
      <c r="AS582" s="76"/>
      <c r="AT582" s="76"/>
      <c r="AU582" s="76"/>
      <c r="AV582" s="76">
        <v>1.6477455014192399E+18</v>
      </c>
      <c r="AW582" s="83" t="str">
        <f>HYPERLINK("https://t.co/fR9zu0g5S8")</f>
        <v>https://t.co/fR9zu0g5S8</v>
      </c>
      <c r="AX582" s="76" t="b">
        <v>1</v>
      </c>
      <c r="AY582" s="76"/>
      <c r="AZ582" s="76"/>
      <c r="BA582" s="76" t="b">
        <v>1</v>
      </c>
      <c r="BB582" s="76" t="b">
        <v>1</v>
      </c>
      <c r="BC582" s="76" t="b">
        <v>1</v>
      </c>
      <c r="BD582" s="76" t="b">
        <v>0</v>
      </c>
      <c r="BE582" s="76" t="b">
        <v>1</v>
      </c>
      <c r="BF582" s="76" t="b">
        <v>0</v>
      </c>
      <c r="BG582" s="76" t="b">
        <v>0</v>
      </c>
      <c r="BH582" s="83" t="str">
        <f>HYPERLINK("https://pbs.twimg.com/profile_banners/1366595349792632834/1688687778")</f>
        <v>https://pbs.twimg.com/profile_banners/1366595349792632834/1688687778</v>
      </c>
      <c r="BI582" s="76"/>
      <c r="BJ582" s="76" t="s">
        <v>19734</v>
      </c>
      <c r="BK582" s="76" t="b">
        <v>0</v>
      </c>
      <c r="BL582" s="76"/>
      <c r="BM582" s="76" t="s">
        <v>65</v>
      </c>
      <c r="BN582" s="76" t="s">
        <v>19736</v>
      </c>
      <c r="BO582" s="83" t="str">
        <f>HYPERLINK("https://twitter.com/renetous")</f>
        <v>https://twitter.com/renetous</v>
      </c>
      <c r="BP582"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582"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582"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582"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582"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582"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582" xr:uid="{00000000-0002-0000-0100-000007000000}"/>
    <dataValidation allowBlank="1" showInputMessage="1" errorTitle="Invalid Vertex Image Key" promptTitle="Vertex Tooltip" prompt="Enter optional text that will pop up when the mouse is hovered over the vertex." sqref="K3:K582"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582"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582"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582" xr:uid="{00000000-0002-0000-0100-00000B000000}"/>
    <dataValidation allowBlank="1" showInputMessage="1" promptTitle="Vertex Label Fill Color" prompt="To select an optional fill color for the Label shape, right-click and select Select Color on the right-click menu." sqref="I3:I582" xr:uid="{00000000-0002-0000-0100-00000C000000}"/>
    <dataValidation allowBlank="1" showInputMessage="1" errorTitle="Invalid Vertex Image Key" promptTitle="Vertex Image File" prompt="Enter the path to an image file.  Hover over the column header for examples." sqref="F3:F582" xr:uid="{00000000-0002-0000-0100-00000D000000}"/>
    <dataValidation allowBlank="1" showInputMessage="1" promptTitle="Vertex Color" prompt="To select an optional vertex color, right-click and select Select Color on the right-click menu." sqref="B3:B582"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582"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582"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582"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582" xr:uid="{00000000-0002-0000-0100-000012000000}">
      <formula1>ValidVertexLabelPositions</formula1>
    </dataValidation>
    <dataValidation allowBlank="1" showInputMessage="1" showErrorMessage="1" promptTitle="Vertex Name" prompt="Enter the name of the vertex." sqref="A3:A582"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workbookViewId="0">
      <selection activeCell="A56" sqref="A56:XFD56"/>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20320</v>
      </c>
      <c r="B2" s="32" t="s">
        <v>20318</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5"/>
      <c r="B3" s="10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580</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5"/>
      <c r="B5" s="10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387</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3663</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4050</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5"/>
      <c r="B9" s="10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3868</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5"/>
      <c r="B11" s="10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1.6E-2</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3.1496062992125984E-2</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5"/>
      <c r="B14" s="10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456</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399</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18</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925</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5"/>
      <c r="B19" s="10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5</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1.2251380000000001</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5"/>
      <c r="B22" s="10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3.7817878625454114E-4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20321</v>
      </c>
      <c r="B24" s="32" t="s">
        <v>20337</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5"/>
      <c r="B25" s="10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20322</v>
      </c>
      <c r="B26" s="32" t="s">
        <v>20338</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5"/>
      <c r="B27" s="10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20323</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20324</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5"/>
      <c r="B30" s="10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20325</v>
      </c>
      <c r="B31" s="32" t="s">
        <v>20339</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20326</v>
      </c>
      <c r="B32" s="32" t="s">
        <v>20340</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20327</v>
      </c>
      <c r="B33" s="32" t="s">
        <v>20341</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20328</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20329</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20330</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20331</v>
      </c>
      <c r="B37" s="32" t="s">
        <v>85</v>
      </c>
    </row>
    <row r="38" spans="1:21" x14ac:dyDescent="0.25">
      <c r="A38" s="32" t="s">
        <v>20332</v>
      </c>
      <c r="B38" s="32" t="s">
        <v>85</v>
      </c>
    </row>
    <row r="39" spans="1:21" x14ac:dyDescent="0.25">
      <c r="A39" s="32" t="s">
        <v>20333</v>
      </c>
      <c r="B39" s="32" t="s">
        <v>85</v>
      </c>
    </row>
    <row r="40" spans="1:21" x14ac:dyDescent="0.25">
      <c r="A40" s="32" t="s">
        <v>21</v>
      </c>
      <c r="B40" s="32" t="s">
        <v>85</v>
      </c>
    </row>
    <row r="41" spans="1:21" x14ac:dyDescent="0.25">
      <c r="A41" s="32" t="s">
        <v>20334</v>
      </c>
      <c r="B41" s="32" t="s">
        <v>85</v>
      </c>
    </row>
    <row r="42" spans="1:21" x14ac:dyDescent="0.25">
      <c r="A42" s="32" t="s">
        <v>20335</v>
      </c>
      <c r="B42" s="32" t="s">
        <v>85</v>
      </c>
    </row>
    <row r="43" spans="1:21" x14ac:dyDescent="0.25">
      <c r="A43" s="32" t="s">
        <v>20336</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20318</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20319</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20317</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45C0A-C9BF-4881-8787-B404420EF419}">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20342</v>
      </c>
      <c r="B1" s="7" t="s">
        <v>17</v>
      </c>
    </row>
    <row r="2" spans="1:2" x14ac:dyDescent="0.25">
      <c r="A2" s="76" t="s">
        <v>20343</v>
      </c>
      <c r="B2" s="76"/>
    </row>
    <row r="3" spans="1:2" x14ac:dyDescent="0.25">
      <c r="A3" s="77" t="s">
        <v>20344</v>
      </c>
      <c r="B3" s="76"/>
    </row>
    <row r="4" spans="1:2" x14ac:dyDescent="0.25">
      <c r="A4" s="77" t="s">
        <v>20345</v>
      </c>
      <c r="B4" s="76"/>
    </row>
    <row r="5" spans="1:2" x14ac:dyDescent="0.25">
      <c r="A5" s="77" t="s">
        <v>20346</v>
      </c>
      <c r="B5" s="76"/>
    </row>
    <row r="6" spans="1:2" x14ac:dyDescent="0.25">
      <c r="A6" s="77" t="s">
        <v>20347</v>
      </c>
      <c r="B6" s="76"/>
    </row>
    <row r="7" spans="1:2" x14ac:dyDescent="0.25">
      <c r="A7" s="77" t="s">
        <v>17738</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7D4BF2-36DC-41D0-994B-93F413AAA5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2023-09-28T19:02:17Z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